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4326"/>
  <workbookPr/>
  <mc:AlternateContent xmlns:mc="http://schemas.openxmlformats.org/markup-compatibility/2006">
    <mc:Choice Requires="x15">
      <x15ac:absPath xmlns:x15ac="http://schemas.microsoft.com/office/spreadsheetml/2010/11/ac" url="C:\Users\merita.xhafaj\Desktop\"/>
    </mc:Choice>
  </mc:AlternateContent>
  <xr:revisionPtr revIDLastSave="0" documentId="8_{6E1AE75E-51A0-4D2D-BDCE-282FDBA04AD6}" xr6:coauthVersionLast="47" xr6:coauthVersionMax="47" xr10:uidLastSave="{00000000-0000-0000-0000-000000000000}"/>
  <bookViews>
    <workbookView xWindow="-120" yWindow="-120" windowWidth="29040" windowHeight="15840" activeTab="1" xr2:uid="{00000000-000D-0000-FFFF-FFFF00000000}"/>
  </bookViews>
  <sheets>
    <sheet name="1. Standard_Cost" sheetId="2" r:id="rId1"/>
    <sheet name="Incremental_Cost Year 1" sheetId="1" r:id="rId2"/>
    <sheet name="Incremental_Cost Year 2" sheetId="12" r:id="rId3"/>
    <sheet name="Incremental_Cost Year 3" sheetId="13" r:id="rId4"/>
    <sheet name="Incremental_Cost Year 4" sheetId="14" r:id="rId5"/>
    <sheet name="Incremental_Cost Year 5" sheetId="15" r:id="rId6"/>
    <sheet name="Incremental_Cost Year 6" sheetId="16" r:id="rId7"/>
    <sheet name="Incremental_Cost Year 7" sheetId="17" r:id="rId8"/>
    <sheet name="Incremental_Cost Year 8" sheetId="21" r:id="rId9"/>
    <sheet name="Incremental_Cost Year 9" sheetId="22" r:id="rId10"/>
    <sheet name="Incremental_Cost Year 10" sheetId="23" r:id="rId11"/>
    <sheet name="Summary for IPSIS" sheetId="18" r:id="rId12"/>
  </sheets>
  <externalReferences>
    <externalReference r:id="rId13"/>
  </externalReferences>
  <calcPr calcId="181029"/>
</workbook>
</file>

<file path=xl/calcChain.xml><?xml version="1.0" encoding="utf-8"?>
<calcChain xmlns="http://schemas.openxmlformats.org/spreadsheetml/2006/main">
  <c r="Z6" i="21" l="1"/>
  <c r="AA6" i="21"/>
  <c r="L7" i="21"/>
  <c r="M7" i="21" s="1"/>
  <c r="R7" i="21"/>
  <c r="S7" i="21"/>
  <c r="T7" i="21"/>
  <c r="U7" i="21"/>
  <c r="Y7" i="21"/>
  <c r="AB7" i="21"/>
  <c r="AM7" i="21"/>
  <c r="AN7" i="21" s="1"/>
  <c r="AS7" i="21" s="1"/>
  <c r="L8" i="21"/>
  <c r="R8" i="21"/>
  <c r="S8" i="21"/>
  <c r="T8" i="21"/>
  <c r="U8" i="21"/>
  <c r="Y8" i="21"/>
  <c r="AB8" i="21"/>
  <c r="AM8" i="21"/>
  <c r="AN8" i="21" s="1"/>
  <c r="L9" i="21"/>
  <c r="M9" i="21" s="1"/>
  <c r="AQ9" i="21" s="1"/>
  <c r="R9" i="21"/>
  <c r="S9" i="21"/>
  <c r="T9" i="21"/>
  <c r="U9" i="21"/>
  <c r="Y9" i="21"/>
  <c r="AB9" i="21"/>
  <c r="AM9" i="21"/>
  <c r="AN9" i="21" s="1"/>
  <c r="AS9" i="21" s="1"/>
  <c r="L10" i="21"/>
  <c r="M10" i="21" s="1"/>
  <c r="AQ10" i="21" s="1"/>
  <c r="R10" i="21"/>
  <c r="S10" i="21"/>
  <c r="T10" i="21"/>
  <c r="U10" i="21"/>
  <c r="Y10" i="21"/>
  <c r="AB10" i="21"/>
  <c r="AM10" i="21"/>
  <c r="AN10" i="21" s="1"/>
  <c r="AS10" i="21" s="1"/>
  <c r="R11" i="21"/>
  <c r="AB11" i="21"/>
  <c r="AC11" i="21"/>
  <c r="AD11" i="21"/>
  <c r="AJ11" i="21"/>
  <c r="AK11" i="21"/>
  <c r="AL11" i="21"/>
  <c r="AV11" i="21"/>
  <c r="AW11" i="21"/>
  <c r="AX11" i="21"/>
  <c r="AY11" i="21"/>
  <c r="AZ11" i="21"/>
  <c r="BA11" i="21"/>
  <c r="L12" i="21"/>
  <c r="M12" i="21" s="1"/>
  <c r="R12" i="21"/>
  <c r="S12" i="21"/>
  <c r="T12" i="21"/>
  <c r="U12" i="21"/>
  <c r="Y12" i="21"/>
  <c r="AB12" i="21"/>
  <c r="AM12" i="21"/>
  <c r="AN12" i="21" s="1"/>
  <c r="L13" i="21"/>
  <c r="M13" i="21" s="1"/>
  <c r="AQ13" i="21" s="1"/>
  <c r="R13" i="21"/>
  <c r="S13" i="21"/>
  <c r="T13" i="21"/>
  <c r="U13" i="21"/>
  <c r="Y13" i="21"/>
  <c r="AB13" i="21"/>
  <c r="AM13" i="21"/>
  <c r="AN13" i="21" s="1"/>
  <c r="AS13" i="21" s="1"/>
  <c r="L14" i="21"/>
  <c r="M14" i="21" s="1"/>
  <c r="R14" i="21"/>
  <c r="S14" i="21"/>
  <c r="S15" i="21" s="1"/>
  <c r="T14" i="21"/>
  <c r="U14" i="21"/>
  <c r="Y14" i="21"/>
  <c r="AB14" i="21"/>
  <c r="AB15" i="21" s="1"/>
  <c r="AC14" i="21"/>
  <c r="AC15" i="21" s="1"/>
  <c r="AM14" i="21"/>
  <c r="AN14" i="21" s="1"/>
  <c r="AS14" i="21" s="1"/>
  <c r="AD15" i="21"/>
  <c r="AJ15" i="21"/>
  <c r="AK15" i="21"/>
  <c r="AL15" i="21"/>
  <c r="AV15" i="21"/>
  <c r="AW15" i="21"/>
  <c r="AX15" i="21"/>
  <c r="AY15" i="21"/>
  <c r="AZ15" i="21"/>
  <c r="BA15" i="21"/>
  <c r="Z16" i="21"/>
  <c r="AA16" i="21"/>
  <c r="L17" i="21"/>
  <c r="M17" i="21" s="1"/>
  <c r="AQ17" i="21" s="1"/>
  <c r="R17" i="21"/>
  <c r="S17" i="21"/>
  <c r="T17" i="21"/>
  <c r="U17" i="21"/>
  <c r="Y17" i="21"/>
  <c r="AB17" i="21"/>
  <c r="AM17" i="21"/>
  <c r="AN17" i="21" s="1"/>
  <c r="AS17" i="21" s="1"/>
  <c r="L18" i="21"/>
  <c r="R18" i="21"/>
  <c r="S18" i="21"/>
  <c r="T18" i="21"/>
  <c r="U18" i="21"/>
  <c r="Y18" i="21"/>
  <c r="AB18" i="21"/>
  <c r="AM18" i="21"/>
  <c r="AN18" i="21" s="1"/>
  <c r="AC19" i="21"/>
  <c r="AC16" i="21" s="1"/>
  <c r="AD19" i="21"/>
  <c r="AD16" i="21" s="1"/>
  <c r="AJ19" i="21"/>
  <c r="AJ16" i="21" s="1"/>
  <c r="AK19" i="21"/>
  <c r="AK16" i="21" s="1"/>
  <c r="AL19" i="21"/>
  <c r="AL16" i="21" s="1"/>
  <c r="AV19" i="21"/>
  <c r="AV16" i="21" s="1"/>
  <c r="AW19" i="21"/>
  <c r="AW16" i="21" s="1"/>
  <c r="AX19" i="21"/>
  <c r="AX16" i="21" s="1"/>
  <c r="AY19" i="21"/>
  <c r="AY16" i="21" s="1"/>
  <c r="AZ19" i="21"/>
  <c r="AZ16" i="21" s="1"/>
  <c r="BA19" i="21"/>
  <c r="BA16" i="21" s="1"/>
  <c r="Z20" i="21"/>
  <c r="AA20" i="21"/>
  <c r="L21" i="21"/>
  <c r="M21" i="21" s="1"/>
  <c r="R21" i="21"/>
  <c r="S21" i="21"/>
  <c r="T21" i="21"/>
  <c r="U21" i="21"/>
  <c r="Y21" i="21"/>
  <c r="AB21" i="21"/>
  <c r="AM21" i="21"/>
  <c r="AN21" i="21" s="1"/>
  <c r="AS21" i="21" s="1"/>
  <c r="L22" i="21"/>
  <c r="M22" i="21" s="1"/>
  <c r="AQ22" i="21" s="1"/>
  <c r="R22" i="21"/>
  <c r="S22" i="21"/>
  <c r="T22" i="21"/>
  <c r="U22" i="21"/>
  <c r="Y22" i="21"/>
  <c r="AB22" i="21"/>
  <c r="AM22" i="21"/>
  <c r="AN22" i="21" s="1"/>
  <c r="AS22" i="21" s="1"/>
  <c r="L23" i="21"/>
  <c r="M23" i="21" s="1"/>
  <c r="R23" i="21"/>
  <c r="S23" i="21"/>
  <c r="T23" i="21"/>
  <c r="U23" i="21"/>
  <c r="Y23" i="21"/>
  <c r="AB23" i="21"/>
  <c r="AC23" i="21"/>
  <c r="AM23" i="21"/>
  <c r="L24" i="21"/>
  <c r="M24" i="21" s="1"/>
  <c r="AQ24" i="21" s="1"/>
  <c r="R24" i="21"/>
  <c r="S24" i="21"/>
  <c r="T24" i="21"/>
  <c r="U24" i="21"/>
  <c r="Y24" i="21"/>
  <c r="AB24" i="21"/>
  <c r="AM24" i="21"/>
  <c r="AN24" i="21" s="1"/>
  <c r="AS24" i="21" s="1"/>
  <c r="AD25" i="21"/>
  <c r="AJ25" i="21"/>
  <c r="AK25" i="21"/>
  <c r="AL25" i="21"/>
  <c r="AV25" i="21"/>
  <c r="AW25" i="21"/>
  <c r="AX25" i="21"/>
  <c r="AY25" i="21"/>
  <c r="AZ25" i="21"/>
  <c r="BA25" i="21"/>
  <c r="L26" i="21"/>
  <c r="M26" i="21" s="1"/>
  <c r="R26" i="21"/>
  <c r="S26" i="21"/>
  <c r="T26" i="21"/>
  <c r="U26" i="21"/>
  <c r="Y26" i="21"/>
  <c r="AB26" i="21"/>
  <c r="AM26" i="21"/>
  <c r="AN26" i="21" s="1"/>
  <c r="AS26" i="21" s="1"/>
  <c r="L27" i="21"/>
  <c r="M27" i="21" s="1"/>
  <c r="AQ27" i="21" s="1"/>
  <c r="R27" i="21"/>
  <c r="S27" i="21"/>
  <c r="T27" i="21"/>
  <c r="U27" i="21"/>
  <c r="Y27" i="21"/>
  <c r="AB27" i="21"/>
  <c r="AM27" i="21"/>
  <c r="AN27" i="21" s="1"/>
  <c r="AS27" i="21" s="1"/>
  <c r="L28" i="21"/>
  <c r="R28" i="21"/>
  <c r="S28" i="21"/>
  <c r="T28" i="21"/>
  <c r="U28" i="21"/>
  <c r="Y28" i="21"/>
  <c r="AB28" i="21"/>
  <c r="AM28" i="21"/>
  <c r="AN28" i="21" s="1"/>
  <c r="AS28" i="21" s="1"/>
  <c r="AC29" i="21"/>
  <c r="AD29" i="21"/>
  <c r="AE29" i="21"/>
  <c r="AJ29" i="21"/>
  <c r="AK29" i="21"/>
  <c r="AL29" i="21"/>
  <c r="AV29" i="21"/>
  <c r="AW29" i="21"/>
  <c r="AX29" i="21"/>
  <c r="AY29" i="21"/>
  <c r="AZ29" i="21"/>
  <c r="BA29" i="21"/>
  <c r="L30" i="21"/>
  <c r="M30" i="21" s="1"/>
  <c r="R30" i="21"/>
  <c r="S30" i="21"/>
  <c r="T30" i="21"/>
  <c r="U30" i="21"/>
  <c r="Y30" i="21"/>
  <c r="AB30" i="21"/>
  <c r="AM30" i="21"/>
  <c r="AN30" i="21" s="1"/>
  <c r="L31" i="21"/>
  <c r="R31" i="21"/>
  <c r="S31" i="21"/>
  <c r="T31" i="21"/>
  <c r="U31" i="21"/>
  <c r="Y31" i="21"/>
  <c r="AB31" i="21"/>
  <c r="AM31" i="21"/>
  <c r="AN31" i="21" s="1"/>
  <c r="AS31" i="21" s="1"/>
  <c r="L32" i="21"/>
  <c r="M32" i="21" s="1"/>
  <c r="AQ32" i="21" s="1"/>
  <c r="R32" i="21"/>
  <c r="S32" i="21"/>
  <c r="T32" i="21"/>
  <c r="U32" i="21"/>
  <c r="Y32" i="21"/>
  <c r="AB32" i="21"/>
  <c r="AM32" i="21"/>
  <c r="AN32" i="21" s="1"/>
  <c r="AS32" i="21" s="1"/>
  <c r="L33" i="21"/>
  <c r="M33" i="21" s="1"/>
  <c r="AQ33" i="21" s="1"/>
  <c r="R33" i="21"/>
  <c r="S33" i="21"/>
  <c r="T33" i="21"/>
  <c r="U33" i="21"/>
  <c r="Y33" i="21"/>
  <c r="AB33" i="21"/>
  <c r="AM33" i="21"/>
  <c r="AN33" i="21" s="1"/>
  <c r="AS33" i="21" s="1"/>
  <c r="L34" i="21"/>
  <c r="M34" i="21" s="1"/>
  <c r="AQ34" i="21" s="1"/>
  <c r="R34" i="21"/>
  <c r="S34" i="21"/>
  <c r="T34" i="21"/>
  <c r="U34" i="21"/>
  <c r="Y34" i="21"/>
  <c r="AB34" i="21"/>
  <c r="AM34" i="21"/>
  <c r="AN34" i="21" s="1"/>
  <c r="AS34" i="21" s="1"/>
  <c r="L35" i="21"/>
  <c r="M35" i="21" s="1"/>
  <c r="AQ35" i="21" s="1"/>
  <c r="R35" i="21"/>
  <c r="S35" i="21"/>
  <c r="T35" i="21"/>
  <c r="U35" i="21"/>
  <c r="Y35" i="21"/>
  <c r="AB35" i="21"/>
  <c r="AM35" i="21"/>
  <c r="AN35" i="21" s="1"/>
  <c r="AS35" i="21" s="1"/>
  <c r="L36" i="21"/>
  <c r="M36" i="21" s="1"/>
  <c r="AQ36" i="21" s="1"/>
  <c r="R36" i="21"/>
  <c r="S36" i="21"/>
  <c r="T36" i="21"/>
  <c r="U36" i="21"/>
  <c r="Y36" i="21"/>
  <c r="AB36" i="21"/>
  <c r="AM36" i="21"/>
  <c r="AN36" i="21" s="1"/>
  <c r="AS36" i="21" s="1"/>
  <c r="U37" i="21"/>
  <c r="AC37" i="21"/>
  <c r="AD37" i="21"/>
  <c r="AJ37" i="21"/>
  <c r="AK37" i="21"/>
  <c r="AL37" i="21"/>
  <c r="AV37" i="21"/>
  <c r="AW37" i="21"/>
  <c r="AX37" i="21"/>
  <c r="AY37" i="21"/>
  <c r="AZ37" i="21"/>
  <c r="BA37" i="21"/>
  <c r="L38" i="21"/>
  <c r="R38" i="21"/>
  <c r="R39" i="21" s="1"/>
  <c r="S38" i="21"/>
  <c r="S39" i="21" s="1"/>
  <c r="T38" i="21"/>
  <c r="T39" i="21" s="1"/>
  <c r="U38" i="21"/>
  <c r="U39" i="21" s="1"/>
  <c r="Y38" i="21"/>
  <c r="Y39" i="21" s="1"/>
  <c r="AB38" i="21"/>
  <c r="AB39" i="21" s="1"/>
  <c r="AM38" i="21"/>
  <c r="AN38" i="21" s="1"/>
  <c r="AS38" i="21" s="1"/>
  <c r="AS39" i="21" s="1"/>
  <c r="AC39" i="21"/>
  <c r="AD39" i="21"/>
  <c r="AE39" i="21"/>
  <c r="AJ39" i="21"/>
  <c r="AK39" i="21"/>
  <c r="AL39" i="21"/>
  <c r="AV39" i="21"/>
  <c r="AW39" i="21"/>
  <c r="AX39" i="21"/>
  <c r="AY39" i="21"/>
  <c r="AZ39" i="21"/>
  <c r="BA39" i="21"/>
  <c r="Z40" i="21"/>
  <c r="AA40" i="21"/>
  <c r="L41" i="21"/>
  <c r="M41" i="21" s="1"/>
  <c r="AQ41" i="21" s="1"/>
  <c r="AU41" i="21" s="1"/>
  <c r="R41" i="21"/>
  <c r="S41" i="21"/>
  <c r="T41" i="21"/>
  <c r="U41" i="21"/>
  <c r="Y41" i="21"/>
  <c r="AB41" i="21"/>
  <c r="AM41" i="21"/>
  <c r="AN41" i="21" s="1"/>
  <c r="L42" i="21"/>
  <c r="M42" i="21" s="1"/>
  <c r="AQ42" i="21" s="1"/>
  <c r="AU42" i="21" s="1"/>
  <c r="R42" i="21"/>
  <c r="S42" i="21"/>
  <c r="T42" i="21"/>
  <c r="U42" i="21"/>
  <c r="Y42" i="21"/>
  <c r="AB42" i="21"/>
  <c r="AC42" i="21"/>
  <c r="AC44" i="21" s="1"/>
  <c r="AC40" i="21" s="1"/>
  <c r="AM42" i="21"/>
  <c r="AN42" i="21" s="1"/>
  <c r="AS42" i="21" s="1"/>
  <c r="L43" i="21"/>
  <c r="M43" i="21" s="1"/>
  <c r="R43" i="21"/>
  <c r="S43" i="21"/>
  <c r="T43" i="21"/>
  <c r="U43" i="21"/>
  <c r="Y43" i="21"/>
  <c r="AB43" i="21"/>
  <c r="AM43" i="21"/>
  <c r="AN43" i="21" s="1"/>
  <c r="AS43" i="21" s="1"/>
  <c r="AD44" i="21"/>
  <c r="AD40" i="21" s="1"/>
  <c r="AJ44" i="21"/>
  <c r="AJ40" i="21" s="1"/>
  <c r="AK44" i="21"/>
  <c r="AK40" i="21" s="1"/>
  <c r="AL44" i="21"/>
  <c r="AL40" i="21" s="1"/>
  <c r="AV44" i="21"/>
  <c r="AV40" i="21" s="1"/>
  <c r="AW44" i="21"/>
  <c r="AW40" i="21" s="1"/>
  <c r="AX44" i="21"/>
  <c r="AX40" i="21" s="1"/>
  <c r="AY44" i="21"/>
  <c r="AY40" i="21" s="1"/>
  <c r="BA44" i="21"/>
  <c r="BA40" i="21" s="1"/>
  <c r="Z45" i="21"/>
  <c r="AA45" i="21"/>
  <c r="L46" i="21"/>
  <c r="M46" i="21" s="1"/>
  <c r="R46" i="21"/>
  <c r="S46" i="21"/>
  <c r="S50" i="21" s="1"/>
  <c r="T46" i="21"/>
  <c r="U46" i="21"/>
  <c r="Y46" i="21"/>
  <c r="AB46" i="21"/>
  <c r="AM46" i="21"/>
  <c r="AN46" i="21" s="1"/>
  <c r="L47" i="21"/>
  <c r="M47" i="21" s="1"/>
  <c r="AQ47" i="21" s="1"/>
  <c r="R47" i="21"/>
  <c r="S47" i="21"/>
  <c r="T47" i="21"/>
  <c r="U47" i="21"/>
  <c r="Y47" i="21"/>
  <c r="AB47" i="21"/>
  <c r="AM47" i="21"/>
  <c r="AN47" i="21" s="1"/>
  <c r="AS47" i="21" s="1"/>
  <c r="L48" i="21"/>
  <c r="M48" i="21" s="1"/>
  <c r="AQ48" i="21" s="1"/>
  <c r="R48" i="21"/>
  <c r="S48" i="21"/>
  <c r="T48" i="21"/>
  <c r="U48" i="21"/>
  <c r="Y48" i="21"/>
  <c r="AB48" i="21"/>
  <c r="AM48" i="21"/>
  <c r="AN48" i="21" s="1"/>
  <c r="AS48" i="21" s="1"/>
  <c r="L49" i="21"/>
  <c r="M49" i="21" s="1"/>
  <c r="AQ49" i="21" s="1"/>
  <c r="R49" i="21"/>
  <c r="S49" i="21"/>
  <c r="T49" i="21"/>
  <c r="U49" i="21"/>
  <c r="U50" i="21" s="1"/>
  <c r="Y49" i="21"/>
  <c r="AB49" i="21"/>
  <c r="AM49" i="21"/>
  <c r="AC50" i="21"/>
  <c r="AD50" i="21"/>
  <c r="AJ50" i="21"/>
  <c r="AK50" i="21"/>
  <c r="AL50" i="21"/>
  <c r="AV50" i="21"/>
  <c r="AW50" i="21"/>
  <c r="AX50" i="21"/>
  <c r="AY50" i="21"/>
  <c r="AZ50" i="21"/>
  <c r="BA50" i="21"/>
  <c r="L51" i="21"/>
  <c r="M51" i="21" s="1"/>
  <c r="R51" i="21"/>
  <c r="S51" i="21"/>
  <c r="T51" i="21"/>
  <c r="U51" i="21"/>
  <c r="Y51" i="21"/>
  <c r="AB51" i="21"/>
  <c r="AM51" i="21"/>
  <c r="AN51" i="21" s="1"/>
  <c r="K52" i="21"/>
  <c r="L52" i="21"/>
  <c r="M52" i="21" s="1"/>
  <c r="AQ52" i="21" s="1"/>
  <c r="R52" i="21"/>
  <c r="S52" i="21"/>
  <c r="T52" i="21"/>
  <c r="U52" i="21"/>
  <c r="Y52" i="21"/>
  <c r="AB52" i="21"/>
  <c r="AC52" i="21"/>
  <c r="AM52" i="21"/>
  <c r="AN52" i="21" s="1"/>
  <c r="AS52" i="21" s="1"/>
  <c r="L53" i="21"/>
  <c r="M53" i="21" s="1"/>
  <c r="AQ53" i="21" s="1"/>
  <c r="R53" i="21"/>
  <c r="S53" i="21"/>
  <c r="T53" i="21"/>
  <c r="U53" i="21"/>
  <c r="Y53" i="21"/>
  <c r="AB53" i="21"/>
  <c r="AM53" i="21"/>
  <c r="AN53" i="21" s="1"/>
  <c r="AS53" i="21" s="1"/>
  <c r="L54" i="21"/>
  <c r="M54" i="21" s="1"/>
  <c r="AQ54" i="21" s="1"/>
  <c r="R54" i="21"/>
  <c r="S54" i="21"/>
  <c r="T54" i="21"/>
  <c r="U54" i="21"/>
  <c r="Y54" i="21"/>
  <c r="AB54" i="21"/>
  <c r="AM54" i="21"/>
  <c r="AN54" i="21" s="1"/>
  <c r="AS54" i="21" s="1"/>
  <c r="L55" i="21"/>
  <c r="M55" i="21" s="1"/>
  <c r="AQ55" i="21" s="1"/>
  <c r="R55" i="21"/>
  <c r="S55" i="21"/>
  <c r="T55" i="21"/>
  <c r="U55" i="21"/>
  <c r="Y55" i="21"/>
  <c r="AB55" i="21"/>
  <c r="AM55" i="21"/>
  <c r="AN55" i="21" s="1"/>
  <c r="AS55" i="21" s="1"/>
  <c r="AC56" i="21"/>
  <c r="AD56" i="21"/>
  <c r="AJ56" i="21"/>
  <c r="AK56" i="21"/>
  <c r="AL56" i="21"/>
  <c r="AV56" i="21"/>
  <c r="AW56" i="21"/>
  <c r="AX56" i="21"/>
  <c r="AZ56" i="21"/>
  <c r="BA56" i="21"/>
  <c r="L57" i="21"/>
  <c r="M57" i="21" s="1"/>
  <c r="AQ57" i="21" s="1"/>
  <c r="R57" i="21"/>
  <c r="S57" i="21"/>
  <c r="T57" i="21"/>
  <c r="U57" i="21"/>
  <c r="Y57" i="21"/>
  <c r="AB57" i="21"/>
  <c r="AM57" i="21"/>
  <c r="AN57" i="21" s="1"/>
  <c r="AS57" i="21" s="1"/>
  <c r="L58" i="21"/>
  <c r="M58" i="21" s="1"/>
  <c r="AQ58" i="21" s="1"/>
  <c r="R58" i="21"/>
  <c r="S58" i="21"/>
  <c r="T58" i="21"/>
  <c r="U58" i="21"/>
  <c r="Y58" i="21"/>
  <c r="AB58" i="21"/>
  <c r="AM58" i="21"/>
  <c r="L59" i="21"/>
  <c r="M59" i="21" s="1"/>
  <c r="AQ59" i="21" s="1"/>
  <c r="R59" i="21"/>
  <c r="S59" i="21"/>
  <c r="T59" i="21"/>
  <c r="U59" i="21"/>
  <c r="Y59" i="21"/>
  <c r="AB59" i="21"/>
  <c r="AM59" i="21"/>
  <c r="AN59" i="21" s="1"/>
  <c r="AS59" i="21" s="1"/>
  <c r="L60" i="21"/>
  <c r="AC60" i="21"/>
  <c r="AD60" i="21"/>
  <c r="AJ60" i="21"/>
  <c r="AK60" i="21"/>
  <c r="AL60" i="21"/>
  <c r="AU60" i="21"/>
  <c r="AV60" i="21"/>
  <c r="AW60" i="21"/>
  <c r="AX60" i="21"/>
  <c r="AY60" i="21"/>
  <c r="AZ60" i="21"/>
  <c r="BA60" i="21"/>
  <c r="Z61" i="21"/>
  <c r="AA61" i="21"/>
  <c r="L62" i="21"/>
  <c r="M62" i="21" s="1"/>
  <c r="R62" i="21"/>
  <c r="S62" i="21"/>
  <c r="T62" i="21"/>
  <c r="U62" i="21"/>
  <c r="Y62" i="21"/>
  <c r="AB62" i="21"/>
  <c r="AM62" i="21"/>
  <c r="AN62" i="21" s="1"/>
  <c r="AS62" i="21" s="1"/>
  <c r="L63" i="21"/>
  <c r="M63" i="21" s="1"/>
  <c r="AQ63" i="21" s="1"/>
  <c r="R63" i="21"/>
  <c r="S63" i="21"/>
  <c r="T63" i="21"/>
  <c r="U63" i="21"/>
  <c r="Y63" i="21"/>
  <c r="AB63" i="21"/>
  <c r="AM63" i="21"/>
  <c r="AN63" i="21" s="1"/>
  <c r="AS63" i="21" s="1"/>
  <c r="L64" i="21"/>
  <c r="M64" i="21" s="1"/>
  <c r="AQ64" i="21" s="1"/>
  <c r="R64" i="21"/>
  <c r="S64" i="21"/>
  <c r="T64" i="21"/>
  <c r="U64" i="21"/>
  <c r="Y64" i="21"/>
  <c r="AB64" i="21"/>
  <c r="AC64" i="21"/>
  <c r="AC77" i="21" s="1"/>
  <c r="AC61" i="21" s="1"/>
  <c r="AM64" i="21"/>
  <c r="AN64" i="21" s="1"/>
  <c r="AS64" i="21" s="1"/>
  <c r="L65" i="21"/>
  <c r="M65" i="21" s="1"/>
  <c r="AQ65" i="21" s="1"/>
  <c r="R65" i="21"/>
  <c r="S65" i="21"/>
  <c r="T65" i="21"/>
  <c r="U65" i="21"/>
  <c r="Y65" i="21"/>
  <c r="AB65" i="21"/>
  <c r="AC65" i="21"/>
  <c r="AM65" i="21"/>
  <c r="AN65" i="21" s="1"/>
  <c r="AS65" i="21" s="1"/>
  <c r="K66" i="21"/>
  <c r="L66" i="21" s="1"/>
  <c r="R66" i="21"/>
  <c r="S66" i="21"/>
  <c r="T66" i="21"/>
  <c r="U66" i="21"/>
  <c r="Y66" i="21"/>
  <c r="AB66" i="21"/>
  <c r="AC66" i="21"/>
  <c r="AM66" i="21"/>
  <c r="AN66" i="21" s="1"/>
  <c r="AS66" i="21" s="1"/>
  <c r="L67" i="21"/>
  <c r="M67" i="21" s="1"/>
  <c r="AQ67" i="21" s="1"/>
  <c r="R67" i="21"/>
  <c r="S67" i="21"/>
  <c r="T67" i="21"/>
  <c r="U67" i="21"/>
  <c r="Y67" i="21"/>
  <c r="AB67" i="21"/>
  <c r="AM67" i="21"/>
  <c r="AN67" i="21" s="1"/>
  <c r="AS67" i="21" s="1"/>
  <c r="L68" i="21"/>
  <c r="M68" i="21" s="1"/>
  <c r="AQ68" i="21" s="1"/>
  <c r="R68" i="21"/>
  <c r="S68" i="21"/>
  <c r="T68" i="21"/>
  <c r="U68" i="21"/>
  <c r="Y68" i="21"/>
  <c r="AB68" i="21"/>
  <c r="AM68" i="21"/>
  <c r="AN68" i="21" s="1"/>
  <c r="AS68" i="21" s="1"/>
  <c r="L69" i="21"/>
  <c r="R69" i="21"/>
  <c r="S69" i="21"/>
  <c r="T69" i="21"/>
  <c r="U69" i="21"/>
  <c r="Y69" i="21"/>
  <c r="AB69" i="21"/>
  <c r="AM69" i="21"/>
  <c r="AR69" i="21"/>
  <c r="L70" i="21"/>
  <c r="M70" i="21" s="1"/>
  <c r="AQ70" i="21" s="1"/>
  <c r="R70" i="21"/>
  <c r="S70" i="21"/>
  <c r="T70" i="21"/>
  <c r="U70" i="21"/>
  <c r="Y70" i="21"/>
  <c r="AB70" i="21"/>
  <c r="AM70" i="21"/>
  <c r="AN70" i="21" s="1"/>
  <c r="AS70" i="21" s="1"/>
  <c r="L71" i="21"/>
  <c r="M71" i="21" s="1"/>
  <c r="AQ71" i="21" s="1"/>
  <c r="R71" i="21"/>
  <c r="S71" i="21"/>
  <c r="T71" i="21"/>
  <c r="U71" i="21"/>
  <c r="Y71" i="21"/>
  <c r="AB71" i="21"/>
  <c r="AM71" i="21"/>
  <c r="AN71" i="21" s="1"/>
  <c r="AS71" i="21" s="1"/>
  <c r="L72" i="21"/>
  <c r="M72" i="21" s="1"/>
  <c r="R72" i="21"/>
  <c r="S72" i="21"/>
  <c r="T72" i="21"/>
  <c r="U72" i="21"/>
  <c r="Y72" i="21"/>
  <c r="AB72" i="21"/>
  <c r="AC72" i="21"/>
  <c r="AM72" i="21"/>
  <c r="AN72" i="21" s="1"/>
  <c r="AS72" i="21" s="1"/>
  <c r="AY72" i="21"/>
  <c r="L73" i="21"/>
  <c r="R73" i="21"/>
  <c r="S73" i="21"/>
  <c r="T73" i="21"/>
  <c r="U73" i="21"/>
  <c r="Y73" i="21"/>
  <c r="AB73" i="21"/>
  <c r="AC73" i="21"/>
  <c r="AM73" i="21"/>
  <c r="AN73" i="21" s="1"/>
  <c r="AS73" i="21" s="1"/>
  <c r="L74" i="21"/>
  <c r="M74" i="21" s="1"/>
  <c r="R74" i="21"/>
  <c r="S74" i="21"/>
  <c r="T74" i="21"/>
  <c r="U74" i="21"/>
  <c r="Y74" i="21"/>
  <c r="AB74" i="21"/>
  <c r="AM74" i="21"/>
  <c r="AN74" i="21" s="1"/>
  <c r="L75" i="21"/>
  <c r="M75" i="21" s="1"/>
  <c r="R75" i="21"/>
  <c r="S75" i="21"/>
  <c r="T75" i="21"/>
  <c r="U75" i="21"/>
  <c r="Y75" i="21"/>
  <c r="AB75" i="21"/>
  <c r="AM75" i="21"/>
  <c r="AN75" i="21" s="1"/>
  <c r="L76" i="21"/>
  <c r="M76" i="21" s="1"/>
  <c r="R76" i="21"/>
  <c r="S76" i="21"/>
  <c r="T76" i="21"/>
  <c r="U76" i="21"/>
  <c r="Y76" i="21"/>
  <c r="AB76" i="21"/>
  <c r="AM76" i="21"/>
  <c r="AN76" i="21" s="1"/>
  <c r="AD77" i="21"/>
  <c r="AD61" i="21" s="1"/>
  <c r="AJ77" i="21"/>
  <c r="AJ61" i="21" s="1"/>
  <c r="AK77" i="21"/>
  <c r="AK61" i="21" s="1"/>
  <c r="AL77" i="21"/>
  <c r="AL61" i="21" s="1"/>
  <c r="AW77" i="21"/>
  <c r="AW61" i="21" s="1"/>
  <c r="AX77" i="21"/>
  <c r="AX61" i="21" s="1"/>
  <c r="AZ77" i="21"/>
  <c r="AZ61" i="21" s="1"/>
  <c r="BA77" i="21"/>
  <c r="BA61" i="21" s="1"/>
  <c r="L80" i="21"/>
  <c r="M80" i="21" s="1"/>
  <c r="AQ80" i="21" s="1"/>
  <c r="R80" i="21"/>
  <c r="S80" i="21"/>
  <c r="T80" i="21"/>
  <c r="U80" i="21"/>
  <c r="Y80" i="21"/>
  <c r="AB80" i="21"/>
  <c r="AE80" i="21"/>
  <c r="AM80" i="21"/>
  <c r="AN80" i="21" s="1"/>
  <c r="L81" i="21"/>
  <c r="M81" i="21" s="1"/>
  <c r="AQ81" i="21" s="1"/>
  <c r="R81" i="21"/>
  <c r="S81" i="21"/>
  <c r="T81" i="21"/>
  <c r="U81" i="21"/>
  <c r="Y81" i="21"/>
  <c r="AB81" i="21"/>
  <c r="AE81" i="21"/>
  <c r="AM81" i="21"/>
  <c r="AN81" i="21" s="1"/>
  <c r="AS81" i="21" s="1"/>
  <c r="L82" i="21"/>
  <c r="M82" i="21" s="1"/>
  <c r="R82" i="21"/>
  <c r="S82" i="21"/>
  <c r="T82" i="21"/>
  <c r="U82" i="21"/>
  <c r="Y82" i="21"/>
  <c r="AB82" i="21"/>
  <c r="AE82" i="21"/>
  <c r="AM82" i="21"/>
  <c r="AN82" i="21" s="1"/>
  <c r="AS82" i="21" s="1"/>
  <c r="L83" i="21"/>
  <c r="M83" i="21" s="1"/>
  <c r="AQ83" i="21" s="1"/>
  <c r="R83" i="21"/>
  <c r="S83" i="21"/>
  <c r="T83" i="21"/>
  <c r="U83" i="21"/>
  <c r="Y83" i="21"/>
  <c r="AB83" i="21"/>
  <c r="AM83" i="21"/>
  <c r="AN83" i="21" s="1"/>
  <c r="AS83" i="21" s="1"/>
  <c r="L84" i="21"/>
  <c r="M84" i="21" s="1"/>
  <c r="AQ84" i="21" s="1"/>
  <c r="R84" i="21"/>
  <c r="S84" i="21"/>
  <c r="T84" i="21"/>
  <c r="U84" i="21"/>
  <c r="Y84" i="21"/>
  <c r="AB84" i="21"/>
  <c r="AM84" i="21"/>
  <c r="AN84" i="21" s="1"/>
  <c r="AS84" i="21" s="1"/>
  <c r="AC85" i="21"/>
  <c r="AD85" i="21"/>
  <c r="AJ85" i="21"/>
  <c r="AK85" i="21"/>
  <c r="AL85" i="21"/>
  <c r="AU85" i="21"/>
  <c r="AV85" i="21"/>
  <c r="AW85" i="21"/>
  <c r="AX85" i="21"/>
  <c r="AY85" i="21"/>
  <c r="AZ85" i="21"/>
  <c r="BA85" i="21"/>
  <c r="L86" i="21"/>
  <c r="M86" i="21" s="1"/>
  <c r="R86" i="21"/>
  <c r="S86" i="21"/>
  <c r="T86" i="21"/>
  <c r="U86" i="21"/>
  <c r="Y86" i="21"/>
  <c r="AB86" i="21"/>
  <c r="AM86" i="21"/>
  <c r="L87" i="21"/>
  <c r="M87" i="21" s="1"/>
  <c r="AQ87" i="21" s="1"/>
  <c r="R87" i="21"/>
  <c r="S87" i="21"/>
  <c r="S88" i="21" s="1"/>
  <c r="T87" i="21"/>
  <c r="U87" i="21"/>
  <c r="Y87" i="21"/>
  <c r="AB87" i="21"/>
  <c r="AM87" i="21"/>
  <c r="AN87" i="21" s="1"/>
  <c r="AS87" i="21" s="1"/>
  <c r="AC88" i="21"/>
  <c r="AD88" i="21"/>
  <c r="AJ88" i="21"/>
  <c r="AK88" i="21"/>
  <c r="AL88" i="21"/>
  <c r="AU88" i="21"/>
  <c r="AV88" i="21"/>
  <c r="AW88" i="21"/>
  <c r="AX88" i="21"/>
  <c r="AY88" i="21"/>
  <c r="AZ88" i="21"/>
  <c r="BA88" i="21"/>
  <c r="L89" i="21"/>
  <c r="R89" i="21"/>
  <c r="S89" i="21"/>
  <c r="T89" i="21"/>
  <c r="U89" i="21"/>
  <c r="Y89" i="21"/>
  <c r="AB89" i="21"/>
  <c r="AM89" i="21"/>
  <c r="AN89" i="21" s="1"/>
  <c r="L90" i="21"/>
  <c r="M90" i="21" s="1"/>
  <c r="AQ90" i="21" s="1"/>
  <c r="R90" i="21"/>
  <c r="S90" i="21"/>
  <c r="T90" i="21"/>
  <c r="U90" i="21"/>
  <c r="Y90" i="21"/>
  <c r="AB90" i="21"/>
  <c r="AM90" i="21"/>
  <c r="AN90" i="21" s="1"/>
  <c r="AS90" i="21" s="1"/>
  <c r="L91" i="21"/>
  <c r="M91" i="21" s="1"/>
  <c r="AQ91" i="21" s="1"/>
  <c r="R91" i="21"/>
  <c r="S91" i="21"/>
  <c r="T91" i="21"/>
  <c r="U91" i="21"/>
  <c r="Y91" i="21"/>
  <c r="AB91" i="21"/>
  <c r="AM91" i="21"/>
  <c r="AN91" i="21" s="1"/>
  <c r="AS91" i="21" s="1"/>
  <c r="AC92" i="21"/>
  <c r="AD92" i="21"/>
  <c r="AJ92" i="21"/>
  <c r="AK92" i="21"/>
  <c r="AL92" i="21"/>
  <c r="AU92" i="21"/>
  <c r="AV92" i="21"/>
  <c r="AW92" i="21"/>
  <c r="AX92" i="21"/>
  <c r="AY92" i="21"/>
  <c r="AZ92" i="21"/>
  <c r="BA92" i="21"/>
  <c r="L94" i="21"/>
  <c r="M94" i="21" s="1"/>
  <c r="R94" i="21"/>
  <c r="S94" i="21"/>
  <c r="T94" i="21"/>
  <c r="U94" i="21"/>
  <c r="Y94" i="21"/>
  <c r="AB94" i="21"/>
  <c r="AM94" i="21"/>
  <c r="L95" i="21"/>
  <c r="M95" i="21" s="1"/>
  <c r="AQ95" i="21" s="1"/>
  <c r="R95" i="21"/>
  <c r="S95" i="21"/>
  <c r="T95" i="21"/>
  <c r="U95" i="21"/>
  <c r="Y95" i="21"/>
  <c r="AB95" i="21"/>
  <c r="AM95" i="21"/>
  <c r="AN95" i="21" s="1"/>
  <c r="AS95" i="21" s="1"/>
  <c r="L96" i="21"/>
  <c r="M96" i="21" s="1"/>
  <c r="AQ96" i="21" s="1"/>
  <c r="R96" i="21"/>
  <c r="S96" i="21"/>
  <c r="T96" i="21"/>
  <c r="U96" i="21"/>
  <c r="Y96" i="21"/>
  <c r="AB96" i="21"/>
  <c r="AM96" i="21"/>
  <c r="AN96" i="21" s="1"/>
  <c r="L97" i="21"/>
  <c r="M97" i="21" s="1"/>
  <c r="AQ97" i="21" s="1"/>
  <c r="R97" i="21"/>
  <c r="S97" i="21"/>
  <c r="T97" i="21"/>
  <c r="U97" i="21"/>
  <c r="Y97" i="21"/>
  <c r="AB97" i="21"/>
  <c r="AM97" i="21"/>
  <c r="AN97" i="21" s="1"/>
  <c r="AS97" i="21" s="1"/>
  <c r="L98" i="21"/>
  <c r="M98" i="21" s="1"/>
  <c r="AQ98" i="21" s="1"/>
  <c r="R98" i="21"/>
  <c r="S98" i="21"/>
  <c r="T98" i="21"/>
  <c r="T99" i="21" s="1"/>
  <c r="T93" i="21" s="1"/>
  <c r="U98" i="21"/>
  <c r="Y98" i="21"/>
  <c r="AB98" i="21"/>
  <c r="AM98" i="21"/>
  <c r="AN98" i="21" s="1"/>
  <c r="AS98" i="21" s="1"/>
  <c r="AC99" i="21"/>
  <c r="AC93" i="21" s="1"/>
  <c r="AD99" i="21"/>
  <c r="AD93" i="21" s="1"/>
  <c r="AJ99" i="21"/>
  <c r="AJ93" i="21" s="1"/>
  <c r="AK99" i="21"/>
  <c r="AK93" i="21" s="1"/>
  <c r="AL99" i="21"/>
  <c r="AL93" i="21" s="1"/>
  <c r="AU99" i="21"/>
  <c r="AU93" i="21" s="1"/>
  <c r="AV99" i="21"/>
  <c r="AV93" i="21" s="1"/>
  <c r="AW99" i="21"/>
  <c r="AX99" i="21"/>
  <c r="AX93" i="21" s="1"/>
  <c r="AY99" i="21"/>
  <c r="AY93" i="21" s="1"/>
  <c r="AZ99" i="21"/>
  <c r="AZ93" i="21" s="1"/>
  <c r="BA99" i="21"/>
  <c r="BA93" i="21" s="1"/>
  <c r="L101" i="21"/>
  <c r="M101" i="21" s="1"/>
  <c r="AQ101" i="21" s="1"/>
  <c r="R101" i="21"/>
  <c r="S101" i="21"/>
  <c r="T101" i="21"/>
  <c r="U101" i="21"/>
  <c r="Y101" i="21"/>
  <c r="AB101" i="21"/>
  <c r="AM101" i="21"/>
  <c r="AN101" i="21" s="1"/>
  <c r="L102" i="21"/>
  <c r="M102" i="21" s="1"/>
  <c r="R102" i="21"/>
  <c r="S102" i="21"/>
  <c r="T102" i="21"/>
  <c r="U102" i="21"/>
  <c r="Y102" i="21"/>
  <c r="AB102" i="21"/>
  <c r="AM102" i="21"/>
  <c r="AN102" i="21" s="1"/>
  <c r="AS102" i="21" s="1"/>
  <c r="L103" i="21"/>
  <c r="M103" i="21" s="1"/>
  <c r="AQ103" i="21" s="1"/>
  <c r="R103" i="21"/>
  <c r="S103" i="21"/>
  <c r="T103" i="21"/>
  <c r="U103" i="21"/>
  <c r="Y103" i="21"/>
  <c r="AB103" i="21"/>
  <c r="AM103" i="21"/>
  <c r="AN103" i="21" s="1"/>
  <c r="AS103" i="21" s="1"/>
  <c r="L104" i="21"/>
  <c r="M104" i="21" s="1"/>
  <c r="AQ104" i="21" s="1"/>
  <c r="R104" i="21"/>
  <c r="S104" i="21"/>
  <c r="T104" i="21"/>
  <c r="U104" i="21"/>
  <c r="Y104" i="21"/>
  <c r="AB104" i="21"/>
  <c r="AM104" i="21"/>
  <c r="AN104" i="21" s="1"/>
  <c r="AS104" i="21" s="1"/>
  <c r="U105" i="21"/>
  <c r="U100" i="21" s="1"/>
  <c r="AC105" i="21"/>
  <c r="AC100" i="21" s="1"/>
  <c r="AD105" i="21"/>
  <c r="AD100" i="21" s="1"/>
  <c r="AJ105" i="21"/>
  <c r="AJ100" i="21" s="1"/>
  <c r="AK105" i="21"/>
  <c r="AK100" i="21" s="1"/>
  <c r="AL105" i="21"/>
  <c r="AL100" i="21" s="1"/>
  <c r="AU105" i="21"/>
  <c r="AU100" i="21" s="1"/>
  <c r="AV105" i="21"/>
  <c r="AV100" i="21" s="1"/>
  <c r="AW105" i="21"/>
  <c r="AW100" i="21" s="1"/>
  <c r="AX105" i="21"/>
  <c r="AX100" i="21" s="1"/>
  <c r="AY105" i="21"/>
  <c r="AY100" i="21" s="1"/>
  <c r="AZ105" i="21"/>
  <c r="AZ100" i="21" s="1"/>
  <c r="BA105" i="21"/>
  <c r="BA100" i="21" s="1"/>
  <c r="L107" i="21"/>
  <c r="M107" i="21" s="1"/>
  <c r="R107" i="21"/>
  <c r="S107" i="21"/>
  <c r="T107" i="21"/>
  <c r="U107" i="21"/>
  <c r="Y107" i="21"/>
  <c r="AB107" i="21"/>
  <c r="AM107" i="21"/>
  <c r="AN107" i="21" s="1"/>
  <c r="AS107" i="21" s="1"/>
  <c r="L108" i="21"/>
  <c r="M108" i="21" s="1"/>
  <c r="AQ108" i="21" s="1"/>
  <c r="R108" i="21"/>
  <c r="S108" i="21"/>
  <c r="T108" i="21"/>
  <c r="U108" i="21"/>
  <c r="Y108" i="21"/>
  <c r="AB108" i="21"/>
  <c r="AM108" i="21"/>
  <c r="AN108" i="21" s="1"/>
  <c r="L109" i="21"/>
  <c r="M109" i="21" s="1"/>
  <c r="AQ109" i="21" s="1"/>
  <c r="R109" i="21"/>
  <c r="S109" i="21"/>
  <c r="T109" i="21"/>
  <c r="U109" i="21"/>
  <c r="Y109" i="21"/>
  <c r="AB109" i="21"/>
  <c r="AM109" i="21"/>
  <c r="AN109" i="21" s="1"/>
  <c r="AS109" i="21" s="1"/>
  <c r="AC110" i="21"/>
  <c r="AC106" i="21" s="1"/>
  <c r="AD110" i="21"/>
  <c r="AD106" i="21" s="1"/>
  <c r="AJ110" i="21"/>
  <c r="AJ106" i="21" s="1"/>
  <c r="AK110" i="21"/>
  <c r="AK106" i="21" s="1"/>
  <c r="AL110" i="21"/>
  <c r="AL106" i="21" s="1"/>
  <c r="AU110" i="21"/>
  <c r="AU106" i="21" s="1"/>
  <c r="AV110" i="21"/>
  <c r="AV106" i="21" s="1"/>
  <c r="AW110" i="21"/>
  <c r="AW106" i="21" s="1"/>
  <c r="AX110" i="21"/>
  <c r="AX106" i="21" s="1"/>
  <c r="AY110" i="21"/>
  <c r="AY106" i="21" s="1"/>
  <c r="AZ110" i="21"/>
  <c r="AZ106" i="21" s="1"/>
  <c r="BA110" i="21"/>
  <c r="BA106" i="21" s="1"/>
  <c r="L112" i="21"/>
  <c r="M112" i="21" s="1"/>
  <c r="AQ112" i="21" s="1"/>
  <c r="R112" i="21"/>
  <c r="S112" i="21"/>
  <c r="T112" i="21"/>
  <c r="U112" i="21"/>
  <c r="Y112" i="21"/>
  <c r="AB112" i="21"/>
  <c r="AM112" i="21"/>
  <c r="AN112" i="21" s="1"/>
  <c r="L113" i="21"/>
  <c r="M113" i="21" s="1"/>
  <c r="AQ113" i="21" s="1"/>
  <c r="R113" i="21"/>
  <c r="S113" i="21"/>
  <c r="T113" i="21"/>
  <c r="U113" i="21"/>
  <c r="Y113" i="21"/>
  <c r="AB113" i="21"/>
  <c r="AM113" i="21"/>
  <c r="AN113" i="21" s="1"/>
  <c r="AS113" i="21" s="1"/>
  <c r="L114" i="21"/>
  <c r="M114" i="21" s="1"/>
  <c r="R114" i="21"/>
  <c r="S114" i="21"/>
  <c r="T114" i="21"/>
  <c r="U114" i="21"/>
  <c r="Y114" i="21"/>
  <c r="AB114" i="21"/>
  <c r="AM114" i="21"/>
  <c r="AN114" i="21" s="1"/>
  <c r="AS114" i="21" s="1"/>
  <c r="L115" i="21"/>
  <c r="M115" i="21" s="1"/>
  <c r="AQ115" i="21" s="1"/>
  <c r="R115" i="21"/>
  <c r="S115" i="21"/>
  <c r="T115" i="21"/>
  <c r="U115" i="21"/>
  <c r="Y115" i="21"/>
  <c r="AB115" i="21"/>
  <c r="AM115" i="21"/>
  <c r="AN115" i="21" s="1"/>
  <c r="AS115" i="21" s="1"/>
  <c r="L116" i="21"/>
  <c r="M116" i="21" s="1"/>
  <c r="AQ116" i="21" s="1"/>
  <c r="R116" i="21"/>
  <c r="S116" i="21"/>
  <c r="T116" i="21"/>
  <c r="U116" i="21"/>
  <c r="Y116" i="21"/>
  <c r="AB116" i="21"/>
  <c r="AM116" i="21"/>
  <c r="AN116" i="21" s="1"/>
  <c r="AS116" i="21" s="1"/>
  <c r="AC117" i="21"/>
  <c r="AC111" i="21" s="1"/>
  <c r="AD117" i="21"/>
  <c r="AD111" i="21" s="1"/>
  <c r="AJ117" i="21"/>
  <c r="AJ111" i="21" s="1"/>
  <c r="AK117" i="21"/>
  <c r="AK111" i="21" s="1"/>
  <c r="AL117" i="21"/>
  <c r="AL111" i="21" s="1"/>
  <c r="AU117" i="21"/>
  <c r="AU111" i="21" s="1"/>
  <c r="AV117" i="21"/>
  <c r="AV111" i="21" s="1"/>
  <c r="AW117" i="21"/>
  <c r="AW111" i="21" s="1"/>
  <c r="AX117" i="21"/>
  <c r="AX111" i="21" s="1"/>
  <c r="AY117" i="21"/>
  <c r="AY111" i="21" s="1"/>
  <c r="AZ117" i="21"/>
  <c r="AZ111" i="21" s="1"/>
  <c r="BA117" i="21"/>
  <c r="BA111" i="21" s="1"/>
  <c r="L119" i="21"/>
  <c r="M119" i="21" s="1"/>
  <c r="R119" i="21"/>
  <c r="S119" i="21"/>
  <c r="T119" i="21"/>
  <c r="U119" i="21"/>
  <c r="Y119" i="21"/>
  <c r="AB119" i="21"/>
  <c r="AM119" i="21"/>
  <c r="AN119" i="21" s="1"/>
  <c r="AS119" i="21" s="1"/>
  <c r="L120" i="21"/>
  <c r="R120" i="21"/>
  <c r="S120" i="21"/>
  <c r="T120" i="21"/>
  <c r="U120" i="21"/>
  <c r="Y120" i="21"/>
  <c r="AB120" i="21"/>
  <c r="AM120" i="21"/>
  <c r="AN120" i="21" s="1"/>
  <c r="L121" i="21"/>
  <c r="M121" i="21" s="1"/>
  <c r="AQ121" i="21" s="1"/>
  <c r="R121" i="21"/>
  <c r="S121" i="21"/>
  <c r="T121" i="21"/>
  <c r="U121" i="21"/>
  <c r="Y121" i="21"/>
  <c r="AB121" i="21"/>
  <c r="AM121" i="21"/>
  <c r="AN121" i="21" s="1"/>
  <c r="AS121" i="21" s="1"/>
  <c r="AC122" i="21"/>
  <c r="AC118" i="21" s="1"/>
  <c r="AD122" i="21"/>
  <c r="AD118" i="21" s="1"/>
  <c r="AJ122" i="21"/>
  <c r="AJ118" i="21" s="1"/>
  <c r="AK122" i="21"/>
  <c r="AK118" i="21" s="1"/>
  <c r="AL122" i="21"/>
  <c r="AL118" i="21" s="1"/>
  <c r="AU122" i="21"/>
  <c r="AU118" i="21" s="1"/>
  <c r="AV122" i="21"/>
  <c r="AV118" i="21" s="1"/>
  <c r="AW122" i="21"/>
  <c r="AW118" i="21" s="1"/>
  <c r="AX122" i="21"/>
  <c r="AX118" i="21" s="1"/>
  <c r="AY122" i="21"/>
  <c r="AY118" i="21" s="1"/>
  <c r="AZ122" i="21"/>
  <c r="AZ118" i="21" s="1"/>
  <c r="BA122" i="21"/>
  <c r="BA118" i="21" s="1"/>
  <c r="L124" i="21"/>
  <c r="M124" i="21" s="1"/>
  <c r="AQ124" i="21" s="1"/>
  <c r="R124" i="21"/>
  <c r="S124" i="21"/>
  <c r="T124" i="21"/>
  <c r="U124" i="21"/>
  <c r="Y124" i="21"/>
  <c r="AB124" i="21"/>
  <c r="AM124" i="21"/>
  <c r="AN124" i="21" s="1"/>
  <c r="L125" i="21"/>
  <c r="M125" i="21" s="1"/>
  <c r="AQ125" i="21" s="1"/>
  <c r="R125" i="21"/>
  <c r="S125" i="21"/>
  <c r="T125" i="21"/>
  <c r="U125" i="21"/>
  <c r="Y125" i="21"/>
  <c r="AB125" i="21"/>
  <c r="AM125" i="21"/>
  <c r="AN125" i="21" s="1"/>
  <c r="AS125" i="21" s="1"/>
  <c r="L126" i="21"/>
  <c r="M126" i="21" s="1"/>
  <c r="R126" i="21"/>
  <c r="S126" i="21"/>
  <c r="T126" i="21"/>
  <c r="U126" i="21"/>
  <c r="Y126" i="21"/>
  <c r="AB126" i="21"/>
  <c r="AM126" i="21"/>
  <c r="AN126" i="21" s="1"/>
  <c r="AS126" i="21" s="1"/>
  <c r="L127" i="21"/>
  <c r="M127" i="21" s="1"/>
  <c r="AQ127" i="21" s="1"/>
  <c r="R127" i="21"/>
  <c r="S127" i="21"/>
  <c r="T127" i="21"/>
  <c r="U127" i="21"/>
  <c r="Y127" i="21"/>
  <c r="AB127" i="21"/>
  <c r="AM127" i="21"/>
  <c r="AN127" i="21" s="1"/>
  <c r="AS127" i="21" s="1"/>
  <c r="L128" i="21"/>
  <c r="M128" i="21" s="1"/>
  <c r="AQ128" i="21" s="1"/>
  <c r="R128" i="21"/>
  <c r="S128" i="21"/>
  <c r="T128" i="21"/>
  <c r="U128" i="21"/>
  <c r="Y128" i="21"/>
  <c r="AB128" i="21"/>
  <c r="AM128" i="21"/>
  <c r="AN128" i="21" s="1"/>
  <c r="AS128" i="21" s="1"/>
  <c r="L129" i="21"/>
  <c r="M129" i="21" s="1"/>
  <c r="AQ129" i="21" s="1"/>
  <c r="R129" i="21"/>
  <c r="S129" i="21"/>
  <c r="T129" i="21"/>
  <c r="U129" i="21"/>
  <c r="Y129" i="21"/>
  <c r="AB129" i="21"/>
  <c r="AM129" i="21"/>
  <c r="AN129" i="21" s="1"/>
  <c r="AS129" i="21" s="1"/>
  <c r="L130" i="21"/>
  <c r="M130" i="21" s="1"/>
  <c r="AQ130" i="21" s="1"/>
  <c r="R130" i="21"/>
  <c r="S130" i="21"/>
  <c r="T130" i="21"/>
  <c r="U130" i="21"/>
  <c r="Y130" i="21"/>
  <c r="AB130" i="21"/>
  <c r="AM130" i="21"/>
  <c r="AN130" i="21" s="1"/>
  <c r="AS130" i="21" s="1"/>
  <c r="L131" i="21"/>
  <c r="M131" i="21" s="1"/>
  <c r="AQ131" i="21" s="1"/>
  <c r="R131" i="21"/>
  <c r="S131" i="21"/>
  <c r="T131" i="21"/>
  <c r="U131" i="21"/>
  <c r="Y131" i="21"/>
  <c r="AB131" i="21"/>
  <c r="AM131" i="21"/>
  <c r="AN131" i="21" s="1"/>
  <c r="AS131" i="21" s="1"/>
  <c r="L132" i="21"/>
  <c r="M132" i="21" s="1"/>
  <c r="AQ132" i="21" s="1"/>
  <c r="R132" i="21"/>
  <c r="R133" i="21" s="1"/>
  <c r="R123" i="21" s="1"/>
  <c r="S132" i="21"/>
  <c r="T132" i="21"/>
  <c r="U132" i="21"/>
  <c r="Y132" i="21"/>
  <c r="Y133" i="21" s="1"/>
  <c r="Y123" i="21" s="1"/>
  <c r="AB132" i="21"/>
  <c r="AM132" i="21"/>
  <c r="AN132" i="21" s="1"/>
  <c r="AS132" i="21" s="1"/>
  <c r="AC133" i="21"/>
  <c r="AC123" i="21" s="1"/>
  <c r="AD133" i="21"/>
  <c r="AD123" i="21" s="1"/>
  <c r="AJ133" i="21"/>
  <c r="AJ123" i="21" s="1"/>
  <c r="AK133" i="21"/>
  <c r="AK123" i="21" s="1"/>
  <c r="AL133" i="21"/>
  <c r="AL123" i="21" s="1"/>
  <c r="AU133" i="21"/>
  <c r="AU123" i="21" s="1"/>
  <c r="AV133" i="21"/>
  <c r="AV123" i="21" s="1"/>
  <c r="AW133" i="21"/>
  <c r="AW123" i="21" s="1"/>
  <c r="AX133" i="21"/>
  <c r="AX123" i="21" s="1"/>
  <c r="AY133" i="21"/>
  <c r="AY123" i="21" s="1"/>
  <c r="AZ133" i="21"/>
  <c r="AZ123" i="21" s="1"/>
  <c r="BA133" i="21"/>
  <c r="BA123" i="21" s="1"/>
  <c r="L135" i="21"/>
  <c r="M135" i="21" s="1"/>
  <c r="R135" i="21"/>
  <c r="S135" i="21"/>
  <c r="T135" i="21"/>
  <c r="U135" i="21"/>
  <c r="Y135" i="21"/>
  <c r="AB135" i="21"/>
  <c r="AM135" i="21"/>
  <c r="AN135" i="21" s="1"/>
  <c r="AS135" i="21" s="1"/>
  <c r="L136" i="21"/>
  <c r="M136" i="21" s="1"/>
  <c r="AQ136" i="21" s="1"/>
  <c r="R136" i="21"/>
  <c r="S136" i="21"/>
  <c r="T136" i="21"/>
  <c r="U136" i="21"/>
  <c r="Y136" i="21"/>
  <c r="AB136" i="21"/>
  <c r="AM136" i="21"/>
  <c r="AN136" i="21" s="1"/>
  <c r="AS136" i="21" s="1"/>
  <c r="L137" i="21"/>
  <c r="M137" i="21" s="1"/>
  <c r="AQ137" i="21" s="1"/>
  <c r="R137" i="21"/>
  <c r="S137" i="21"/>
  <c r="T137" i="21"/>
  <c r="U137" i="21"/>
  <c r="Y137" i="21"/>
  <c r="AB137" i="21"/>
  <c r="AM137" i="21"/>
  <c r="AN137" i="21" s="1"/>
  <c r="AS137" i="21" s="1"/>
  <c r="L138" i="21"/>
  <c r="M138" i="21" s="1"/>
  <c r="AQ138" i="21" s="1"/>
  <c r="R138" i="21"/>
  <c r="S138" i="21"/>
  <c r="T138" i="21"/>
  <c r="U138" i="21"/>
  <c r="Y138" i="21"/>
  <c r="AB138" i="21"/>
  <c r="AM138" i="21"/>
  <c r="AN138" i="21" s="1"/>
  <c r="AC139" i="21"/>
  <c r="AC134" i="21" s="1"/>
  <c r="AD139" i="21"/>
  <c r="AD134" i="21" s="1"/>
  <c r="AJ139" i="21"/>
  <c r="AJ134" i="21" s="1"/>
  <c r="AK139" i="21"/>
  <c r="AK134" i="21" s="1"/>
  <c r="AL139" i="21"/>
  <c r="AL134" i="21" s="1"/>
  <c r="AU139" i="21"/>
  <c r="AU134" i="21" s="1"/>
  <c r="AV139" i="21"/>
  <c r="AV134" i="21" s="1"/>
  <c r="AW139" i="21"/>
  <c r="AW134" i="21" s="1"/>
  <c r="AX139" i="21"/>
  <c r="AX134" i="21" s="1"/>
  <c r="AY139" i="21"/>
  <c r="AY134" i="21" s="1"/>
  <c r="AZ139" i="21"/>
  <c r="AZ134" i="21" s="1"/>
  <c r="BA139" i="21"/>
  <c r="BA134" i="21" s="1"/>
  <c r="L141" i="21"/>
  <c r="R141" i="21"/>
  <c r="S141" i="21"/>
  <c r="T141" i="21"/>
  <c r="U141" i="21"/>
  <c r="Y141" i="21"/>
  <c r="AB141" i="21"/>
  <c r="AM141" i="21"/>
  <c r="L142" i="21"/>
  <c r="M142" i="21" s="1"/>
  <c r="AQ142" i="21" s="1"/>
  <c r="R142" i="21"/>
  <c r="S142" i="21"/>
  <c r="T142" i="21"/>
  <c r="U142" i="21"/>
  <c r="Y142" i="21"/>
  <c r="AB142" i="21"/>
  <c r="AM142" i="21"/>
  <c r="AN142" i="21" s="1"/>
  <c r="AS142" i="21" s="1"/>
  <c r="L143" i="21"/>
  <c r="M143" i="21" s="1"/>
  <c r="R143" i="21"/>
  <c r="S143" i="21"/>
  <c r="T143" i="21"/>
  <c r="U143" i="21"/>
  <c r="Y143" i="21"/>
  <c r="AB143" i="21"/>
  <c r="AM143" i="21"/>
  <c r="AN143" i="21" s="1"/>
  <c r="AS143" i="21" s="1"/>
  <c r="L144" i="21"/>
  <c r="M144" i="21" s="1"/>
  <c r="AQ144" i="21" s="1"/>
  <c r="R144" i="21"/>
  <c r="S144" i="21"/>
  <c r="T144" i="21"/>
  <c r="U144" i="21"/>
  <c r="Y144" i="21"/>
  <c r="AB144" i="21"/>
  <c r="AM144" i="21"/>
  <c r="AN144" i="21" s="1"/>
  <c r="AS144" i="21" s="1"/>
  <c r="L145" i="21"/>
  <c r="M145" i="21" s="1"/>
  <c r="R145" i="21"/>
  <c r="S145" i="21"/>
  <c r="T145" i="21"/>
  <c r="U145" i="21"/>
  <c r="Y145" i="21"/>
  <c r="AB145" i="21"/>
  <c r="AM145" i="21"/>
  <c r="AN145" i="21" s="1"/>
  <c r="AS145" i="21" s="1"/>
  <c r="L146" i="21"/>
  <c r="M146" i="21" s="1"/>
  <c r="AQ146" i="21" s="1"/>
  <c r="R146" i="21"/>
  <c r="S146" i="21"/>
  <c r="T146" i="21"/>
  <c r="U146" i="21"/>
  <c r="Y146" i="21"/>
  <c r="AB146" i="21"/>
  <c r="AM146" i="21"/>
  <c r="AN146" i="21" s="1"/>
  <c r="AS146" i="21" s="1"/>
  <c r="L147" i="21"/>
  <c r="M147" i="21" s="1"/>
  <c r="AQ147" i="21" s="1"/>
  <c r="R147" i="21"/>
  <c r="S147" i="21"/>
  <c r="T147" i="21"/>
  <c r="U147" i="21"/>
  <c r="Y147" i="21"/>
  <c r="AB147" i="21"/>
  <c r="AM147" i="21"/>
  <c r="AN147" i="21" s="1"/>
  <c r="AS147" i="21" s="1"/>
  <c r="L148" i="21"/>
  <c r="R148" i="21"/>
  <c r="S148" i="21"/>
  <c r="T148" i="21"/>
  <c r="U148" i="21"/>
  <c r="Y148" i="21"/>
  <c r="AB148" i="21"/>
  <c r="AC148" i="21"/>
  <c r="AM148" i="21"/>
  <c r="AN148" i="21" s="1"/>
  <c r="AS148" i="21" s="1"/>
  <c r="AC149" i="21"/>
  <c r="AC140" i="21" s="1"/>
  <c r="AD149" i="21"/>
  <c r="AD140" i="21" s="1"/>
  <c r="AJ149" i="21"/>
  <c r="AJ140" i="21" s="1"/>
  <c r="AK149" i="21"/>
  <c r="AK140" i="21" s="1"/>
  <c r="AL149" i="21"/>
  <c r="AL140" i="21" s="1"/>
  <c r="AV149" i="21"/>
  <c r="AV140" i="21" s="1"/>
  <c r="AW149" i="21"/>
  <c r="AW140" i="21" s="1"/>
  <c r="AX149" i="21"/>
  <c r="AX140" i="21" s="1"/>
  <c r="AY149" i="21"/>
  <c r="AY140" i="21" s="1"/>
  <c r="AZ149" i="21"/>
  <c r="AZ140" i="21" s="1"/>
  <c r="BA149" i="21"/>
  <c r="BA140" i="21" s="1"/>
  <c r="L152" i="21"/>
  <c r="M152" i="21" s="1"/>
  <c r="R152" i="21"/>
  <c r="S152" i="21"/>
  <c r="T152" i="21"/>
  <c r="U152" i="21"/>
  <c r="Y152" i="21"/>
  <c r="AB152" i="21"/>
  <c r="AM152" i="21"/>
  <c r="AN152" i="21" s="1"/>
  <c r="AS152" i="21" s="1"/>
  <c r="L153" i="21"/>
  <c r="M153" i="21" s="1"/>
  <c r="AQ153" i="21" s="1"/>
  <c r="R153" i="21"/>
  <c r="S153" i="21"/>
  <c r="T153" i="21"/>
  <c r="U153" i="21"/>
  <c r="Y153" i="21"/>
  <c r="AB153" i="21"/>
  <c r="AM153" i="21"/>
  <c r="AN153" i="21" s="1"/>
  <c r="L154" i="21"/>
  <c r="M154" i="21" s="1"/>
  <c r="AQ154" i="21" s="1"/>
  <c r="R154" i="21"/>
  <c r="S154" i="21"/>
  <c r="T154" i="21"/>
  <c r="U154" i="21"/>
  <c r="Y154" i="21"/>
  <c r="AB154" i="21"/>
  <c r="AM154" i="21"/>
  <c r="AN154" i="21" s="1"/>
  <c r="L155" i="21"/>
  <c r="M155" i="21" s="1"/>
  <c r="R155" i="21"/>
  <c r="S155" i="21"/>
  <c r="T155" i="21"/>
  <c r="U155" i="21"/>
  <c r="Y155" i="21"/>
  <c r="AB155" i="21"/>
  <c r="AM155" i="21"/>
  <c r="AN155" i="21" s="1"/>
  <c r="AS155" i="21" s="1"/>
  <c r="AC156" i="21"/>
  <c r="AD156" i="21"/>
  <c r="AJ156" i="21"/>
  <c r="AK156" i="21"/>
  <c r="AL156" i="21"/>
  <c r="AU156" i="21"/>
  <c r="AV156" i="21"/>
  <c r="AW156" i="21"/>
  <c r="AX156" i="21"/>
  <c r="AY156" i="21"/>
  <c r="AZ156" i="21"/>
  <c r="BA156" i="21"/>
  <c r="L157" i="21"/>
  <c r="M157" i="21" s="1"/>
  <c r="AQ157" i="21" s="1"/>
  <c r="R157" i="21"/>
  <c r="S157" i="21"/>
  <c r="T157" i="21"/>
  <c r="U157" i="21"/>
  <c r="Y157" i="21"/>
  <c r="AB157" i="21"/>
  <c r="AM157" i="21"/>
  <c r="L158" i="21"/>
  <c r="M158" i="21" s="1"/>
  <c r="AQ158" i="21" s="1"/>
  <c r="R158" i="21"/>
  <c r="S158" i="21"/>
  <c r="T158" i="21"/>
  <c r="U158" i="21"/>
  <c r="Y158" i="21"/>
  <c r="Y159" i="21" s="1"/>
  <c r="AB158" i="21"/>
  <c r="AM158" i="21"/>
  <c r="AN158" i="21" s="1"/>
  <c r="AS158" i="21" s="1"/>
  <c r="AC159" i="21"/>
  <c r="AD159" i="21"/>
  <c r="AJ159" i="21"/>
  <c r="AK159" i="21"/>
  <c r="AL159" i="21"/>
  <c r="AU159" i="21"/>
  <c r="AV159" i="21"/>
  <c r="AW159" i="21"/>
  <c r="AX159" i="21"/>
  <c r="AY159" i="21"/>
  <c r="AZ159" i="21"/>
  <c r="BA159" i="21"/>
  <c r="L160" i="21"/>
  <c r="M160" i="21" s="1"/>
  <c r="AQ160" i="21" s="1"/>
  <c r="R160" i="21"/>
  <c r="S160" i="21"/>
  <c r="T160" i="21"/>
  <c r="U160" i="21"/>
  <c r="Y160" i="21"/>
  <c r="AB160" i="21"/>
  <c r="AM160" i="21"/>
  <c r="AN160" i="21" s="1"/>
  <c r="L161" i="21"/>
  <c r="M161" i="21" s="1"/>
  <c r="AQ161" i="21" s="1"/>
  <c r="R161" i="21"/>
  <c r="S161" i="21"/>
  <c r="T161" i="21"/>
  <c r="T162" i="21" s="1"/>
  <c r="U161" i="21"/>
  <c r="Y161" i="21"/>
  <c r="AB161" i="21"/>
  <c r="AM161" i="21"/>
  <c r="AN161" i="21" s="1"/>
  <c r="AS161" i="21" s="1"/>
  <c r="AC162" i="21"/>
  <c r="AD162" i="21"/>
  <c r="AJ162" i="21"/>
  <c r="AK162" i="21"/>
  <c r="AL162" i="21"/>
  <c r="AU162" i="21"/>
  <c r="AV162" i="21"/>
  <c r="AW162" i="21"/>
  <c r="AX162" i="21"/>
  <c r="AY162" i="21"/>
  <c r="AZ162" i="21"/>
  <c r="BA162" i="21"/>
  <c r="L164" i="21"/>
  <c r="M164" i="21" s="1"/>
  <c r="AQ164" i="21" s="1"/>
  <c r="R164" i="21"/>
  <c r="S164" i="21"/>
  <c r="T164" i="21"/>
  <c r="U164" i="21"/>
  <c r="Y164" i="21"/>
  <c r="AB164" i="21"/>
  <c r="AM164" i="21"/>
  <c r="AN164" i="21" s="1"/>
  <c r="L165" i="21"/>
  <c r="M165" i="21" s="1"/>
  <c r="R165" i="21"/>
  <c r="S165" i="21"/>
  <c r="T165" i="21"/>
  <c r="U165" i="21"/>
  <c r="Y165" i="21"/>
  <c r="AB165" i="21"/>
  <c r="AM165" i="21"/>
  <c r="AN165" i="21" s="1"/>
  <c r="AS165" i="21" s="1"/>
  <c r="L166" i="21"/>
  <c r="M166" i="21" s="1"/>
  <c r="AQ166" i="21" s="1"/>
  <c r="R166" i="21"/>
  <c r="S166" i="21"/>
  <c r="T166" i="21"/>
  <c r="U166" i="21"/>
  <c r="Y166" i="21"/>
  <c r="AB166" i="21"/>
  <c r="AM166" i="21"/>
  <c r="AN166" i="21" s="1"/>
  <c r="AS166" i="21" s="1"/>
  <c r="L167" i="21"/>
  <c r="M167" i="21" s="1"/>
  <c r="AQ167" i="21" s="1"/>
  <c r="R167" i="21"/>
  <c r="S167" i="21"/>
  <c r="T167" i="21"/>
  <c r="U167" i="21"/>
  <c r="Y167" i="21"/>
  <c r="AB167" i="21"/>
  <c r="AE167" i="21"/>
  <c r="AM167" i="21"/>
  <c r="AN167" i="21" s="1"/>
  <c r="AS167" i="21" s="1"/>
  <c r="AC168" i="21"/>
  <c r="AD168" i="21"/>
  <c r="AJ168" i="21"/>
  <c r="AK168" i="21"/>
  <c r="AL168" i="21"/>
  <c r="AU168" i="21"/>
  <c r="AV168" i="21"/>
  <c r="AW168" i="21"/>
  <c r="AX168" i="21"/>
  <c r="AY168" i="21"/>
  <c r="AZ168" i="21"/>
  <c r="BA168" i="21"/>
  <c r="L169" i="21"/>
  <c r="M169" i="21" s="1"/>
  <c r="R169" i="21"/>
  <c r="S169" i="21"/>
  <c r="T169" i="21"/>
  <c r="U169" i="21"/>
  <c r="Y169" i="21"/>
  <c r="AB169" i="21"/>
  <c r="AE169" i="21"/>
  <c r="AM169" i="21"/>
  <c r="AN169" i="21" s="1"/>
  <c r="L170" i="21"/>
  <c r="M170" i="21" s="1"/>
  <c r="AQ170" i="21" s="1"/>
  <c r="R170" i="21"/>
  <c r="S170" i="21"/>
  <c r="T170" i="21"/>
  <c r="U170" i="21"/>
  <c r="Y170" i="21"/>
  <c r="AB170" i="21"/>
  <c r="AE170" i="21"/>
  <c r="AM170" i="21"/>
  <c r="AN170" i="21" s="1"/>
  <c r="AS170" i="21" s="1"/>
  <c r="L171" i="21"/>
  <c r="M171" i="21" s="1"/>
  <c r="AQ171" i="21" s="1"/>
  <c r="R171" i="21"/>
  <c r="S171" i="21"/>
  <c r="T171" i="21"/>
  <c r="U171" i="21"/>
  <c r="Y171" i="21"/>
  <c r="AB171" i="21"/>
  <c r="AE171" i="21"/>
  <c r="AM171" i="21"/>
  <c r="AN171" i="21" s="1"/>
  <c r="AS171" i="21" s="1"/>
  <c r="L172" i="21"/>
  <c r="M172" i="21" s="1"/>
  <c r="AQ172" i="21" s="1"/>
  <c r="R172" i="21"/>
  <c r="S172" i="21"/>
  <c r="T172" i="21"/>
  <c r="U172" i="21"/>
  <c r="Y172" i="21"/>
  <c r="AB172" i="21"/>
  <c r="AM172" i="21"/>
  <c r="AN172" i="21" s="1"/>
  <c r="AS172" i="21" s="1"/>
  <c r="L173" i="21"/>
  <c r="M173" i="21" s="1"/>
  <c r="AQ173" i="21" s="1"/>
  <c r="R173" i="21"/>
  <c r="S173" i="21"/>
  <c r="T173" i="21"/>
  <c r="U173" i="21"/>
  <c r="Y173" i="21"/>
  <c r="AB173" i="21"/>
  <c r="AE173" i="21"/>
  <c r="AM173" i="21"/>
  <c r="AN173" i="21" s="1"/>
  <c r="AS173" i="21" s="1"/>
  <c r="L174" i="21"/>
  <c r="M174" i="21" s="1"/>
  <c r="AQ174" i="21" s="1"/>
  <c r="R174" i="21"/>
  <c r="S174" i="21"/>
  <c r="T174" i="21"/>
  <c r="U174" i="21"/>
  <c r="Y174" i="21"/>
  <c r="AB174" i="21"/>
  <c r="AM174" i="21"/>
  <c r="AN174" i="21" s="1"/>
  <c r="AS174" i="21" s="1"/>
  <c r="L175" i="21"/>
  <c r="M175" i="21" s="1"/>
  <c r="AQ175" i="21" s="1"/>
  <c r="R175" i="21"/>
  <c r="S175" i="21"/>
  <c r="T175" i="21"/>
  <c r="U175" i="21"/>
  <c r="Y175" i="21"/>
  <c r="AB175" i="21"/>
  <c r="AM175" i="21"/>
  <c r="AN175" i="21" s="1"/>
  <c r="AS175" i="21" s="1"/>
  <c r="L176" i="21"/>
  <c r="M176" i="21" s="1"/>
  <c r="AQ176" i="21" s="1"/>
  <c r="R176" i="21"/>
  <c r="S176" i="21"/>
  <c r="T176" i="21"/>
  <c r="U176" i="21"/>
  <c r="Y176" i="21"/>
  <c r="AB176" i="21"/>
  <c r="AM176" i="21"/>
  <c r="AN176" i="21" s="1"/>
  <c r="AS176" i="21" s="1"/>
  <c r="L177" i="21"/>
  <c r="M177" i="21" s="1"/>
  <c r="AQ177" i="21" s="1"/>
  <c r="R177" i="21"/>
  <c r="S177" i="21"/>
  <c r="T177" i="21"/>
  <c r="U177" i="21"/>
  <c r="Y177" i="21"/>
  <c r="AB177" i="21"/>
  <c r="AE177" i="21"/>
  <c r="AM177" i="21"/>
  <c r="AN177" i="21" s="1"/>
  <c r="AS177" i="21" s="1"/>
  <c r="AC178" i="21"/>
  <c r="AD178" i="21"/>
  <c r="AJ178" i="21"/>
  <c r="AK178" i="21"/>
  <c r="AL178" i="21"/>
  <c r="AU178" i="21"/>
  <c r="AV178" i="21"/>
  <c r="AW178" i="21"/>
  <c r="AX178" i="21"/>
  <c r="AY178" i="21"/>
  <c r="AZ178" i="21"/>
  <c r="BA178" i="21"/>
  <c r="L179" i="21"/>
  <c r="M179" i="21" s="1"/>
  <c r="R179" i="21"/>
  <c r="S179" i="21"/>
  <c r="T179" i="21"/>
  <c r="U179" i="21"/>
  <c r="Y179" i="21"/>
  <c r="AB179" i="21"/>
  <c r="AM179" i="21"/>
  <c r="AN179" i="21" s="1"/>
  <c r="L180" i="21"/>
  <c r="M180" i="21" s="1"/>
  <c r="AQ180" i="21" s="1"/>
  <c r="R180" i="21"/>
  <c r="S180" i="21"/>
  <c r="T180" i="21"/>
  <c r="U180" i="21"/>
  <c r="Y180" i="21"/>
  <c r="AB180" i="21"/>
  <c r="AM180" i="21"/>
  <c r="AN180" i="21" s="1"/>
  <c r="AS180" i="21" s="1"/>
  <c r="AC181" i="21"/>
  <c r="AD181" i="21"/>
  <c r="AJ181" i="21"/>
  <c r="AK181" i="21"/>
  <c r="AL181" i="21"/>
  <c r="AU181" i="21"/>
  <c r="AV181" i="21"/>
  <c r="AW181" i="21"/>
  <c r="AX181" i="21"/>
  <c r="AY181" i="21"/>
  <c r="AZ181" i="21"/>
  <c r="BA181" i="21"/>
  <c r="L183" i="21"/>
  <c r="M183" i="21" s="1"/>
  <c r="R183" i="21"/>
  <c r="S183" i="21"/>
  <c r="T183" i="21"/>
  <c r="U183" i="21"/>
  <c r="Y183" i="21"/>
  <c r="AB183" i="21"/>
  <c r="AM183" i="21"/>
  <c r="AN183" i="21" s="1"/>
  <c r="L184" i="21"/>
  <c r="M184" i="21" s="1"/>
  <c r="AQ184" i="21" s="1"/>
  <c r="R184" i="21"/>
  <c r="S184" i="21"/>
  <c r="T184" i="21"/>
  <c r="U184" i="21"/>
  <c r="Y184" i="21"/>
  <c r="AB184" i="21"/>
  <c r="AM184" i="21"/>
  <c r="AN184" i="21" s="1"/>
  <c r="AS184" i="21" s="1"/>
  <c r="L185" i="21"/>
  <c r="M185" i="21" s="1"/>
  <c r="AQ185" i="21" s="1"/>
  <c r="R185" i="21"/>
  <c r="S185" i="21"/>
  <c r="T185" i="21"/>
  <c r="U185" i="21"/>
  <c r="Y185" i="21"/>
  <c r="AB185" i="21"/>
  <c r="AM185" i="21"/>
  <c r="AN185" i="21" s="1"/>
  <c r="AS185" i="21" s="1"/>
  <c r="L186" i="21"/>
  <c r="M186" i="21" s="1"/>
  <c r="AQ186" i="21" s="1"/>
  <c r="R186" i="21"/>
  <c r="S186" i="21"/>
  <c r="T186" i="21"/>
  <c r="U186" i="21"/>
  <c r="Y186" i="21"/>
  <c r="AB186" i="21"/>
  <c r="AM186" i="21"/>
  <c r="AN186" i="21" s="1"/>
  <c r="AS186" i="21" s="1"/>
  <c r="L187" i="21"/>
  <c r="M187" i="21" s="1"/>
  <c r="AQ187" i="21" s="1"/>
  <c r="R187" i="21"/>
  <c r="S187" i="21"/>
  <c r="T187" i="21"/>
  <c r="U187" i="21"/>
  <c r="Y187" i="21"/>
  <c r="AB187" i="21"/>
  <c r="AM187" i="21"/>
  <c r="AN187" i="21" s="1"/>
  <c r="AS187" i="21" s="1"/>
  <c r="L188" i="21"/>
  <c r="M188" i="21" s="1"/>
  <c r="AQ188" i="21" s="1"/>
  <c r="R188" i="21"/>
  <c r="S188" i="21"/>
  <c r="T188" i="21"/>
  <c r="U188" i="21"/>
  <c r="Y188" i="21"/>
  <c r="AB188" i="21"/>
  <c r="AM188" i="21"/>
  <c r="AN188" i="21" s="1"/>
  <c r="AS188" i="21" s="1"/>
  <c r="L189" i="21"/>
  <c r="M189" i="21" s="1"/>
  <c r="AQ189" i="21" s="1"/>
  <c r="R189" i="21"/>
  <c r="S189" i="21"/>
  <c r="T189" i="21"/>
  <c r="U189" i="21"/>
  <c r="Y189" i="21"/>
  <c r="AB189" i="21"/>
  <c r="AM189" i="21"/>
  <c r="AN189" i="21" s="1"/>
  <c r="AS189" i="21" s="1"/>
  <c r="AC190" i="21"/>
  <c r="AD190" i="21"/>
  <c r="AJ190" i="21"/>
  <c r="AK190" i="21"/>
  <c r="AL190" i="21"/>
  <c r="AU190" i="21"/>
  <c r="AV190" i="21"/>
  <c r="AW190" i="21"/>
  <c r="AX190" i="21"/>
  <c r="AY190" i="21"/>
  <c r="AZ190" i="21"/>
  <c r="BA190" i="21"/>
  <c r="L191" i="21"/>
  <c r="M191" i="21" s="1"/>
  <c r="R191" i="21"/>
  <c r="S191" i="21"/>
  <c r="T191" i="21"/>
  <c r="U191" i="21"/>
  <c r="Y191" i="21"/>
  <c r="AB191" i="21"/>
  <c r="AE191" i="21"/>
  <c r="AM191" i="21"/>
  <c r="AN191" i="21" s="1"/>
  <c r="AS191" i="21" s="1"/>
  <c r="L192" i="21"/>
  <c r="M192" i="21" s="1"/>
  <c r="AQ192" i="21" s="1"/>
  <c r="R192" i="21"/>
  <c r="S192" i="21"/>
  <c r="T192" i="21"/>
  <c r="U192" i="21"/>
  <c r="Y192" i="21"/>
  <c r="AB192" i="21"/>
  <c r="AM192" i="21"/>
  <c r="AN192" i="21" s="1"/>
  <c r="AC193" i="21"/>
  <c r="AD193" i="21"/>
  <c r="AJ193" i="21"/>
  <c r="AK193" i="21"/>
  <c r="AL193" i="21"/>
  <c r="AV193" i="21"/>
  <c r="AW193" i="21"/>
  <c r="AX193" i="21"/>
  <c r="AY193" i="21"/>
  <c r="AZ193" i="21"/>
  <c r="BA193" i="21"/>
  <c r="L194" i="21"/>
  <c r="R194" i="21"/>
  <c r="S194" i="21"/>
  <c r="T194" i="21"/>
  <c r="U194" i="21"/>
  <c r="Y194" i="21"/>
  <c r="AB194" i="21"/>
  <c r="AM194" i="21"/>
  <c r="AN194" i="21" s="1"/>
  <c r="AS194" i="21" s="1"/>
  <c r="L195" i="21"/>
  <c r="M195" i="21" s="1"/>
  <c r="AQ195" i="21" s="1"/>
  <c r="R195" i="21"/>
  <c r="S195" i="21"/>
  <c r="T195" i="21"/>
  <c r="U195" i="21"/>
  <c r="Y195" i="21"/>
  <c r="AB195" i="21"/>
  <c r="AM195" i="21"/>
  <c r="AN195" i="21" s="1"/>
  <c r="AS195" i="21" s="1"/>
  <c r="AC196" i="21"/>
  <c r="AD196" i="21"/>
  <c r="AJ196" i="21"/>
  <c r="AK196" i="21"/>
  <c r="AL196" i="21"/>
  <c r="AU196" i="21"/>
  <c r="AV196" i="21"/>
  <c r="AW196" i="21"/>
  <c r="AX196" i="21"/>
  <c r="AY196" i="21"/>
  <c r="AZ196" i="21"/>
  <c r="BA196" i="21"/>
  <c r="Z198" i="21"/>
  <c r="Z197" i="21" s="1"/>
  <c r="L199" i="21"/>
  <c r="M199" i="21" s="1"/>
  <c r="R199" i="21"/>
  <c r="S199" i="21"/>
  <c r="T199" i="21"/>
  <c r="U199" i="21"/>
  <c r="Y199" i="21"/>
  <c r="AB199" i="21"/>
  <c r="AM199" i="21"/>
  <c r="AN199" i="21" s="1"/>
  <c r="L200" i="21"/>
  <c r="M200" i="21" s="1"/>
  <c r="R200" i="21"/>
  <c r="S200" i="21"/>
  <c r="T200" i="21"/>
  <c r="U200" i="21"/>
  <c r="Y200" i="21"/>
  <c r="AB200" i="21"/>
  <c r="AC200" i="21"/>
  <c r="AM200" i="21"/>
  <c r="AN200" i="21" s="1"/>
  <c r="AS200" i="21" s="1"/>
  <c r="L201" i="21"/>
  <c r="M201" i="21" s="1"/>
  <c r="AQ201" i="21" s="1"/>
  <c r="R201" i="21"/>
  <c r="S201" i="21"/>
  <c r="T201" i="21"/>
  <c r="U201" i="21"/>
  <c r="Y201" i="21"/>
  <c r="AB201" i="21"/>
  <c r="AM201" i="21"/>
  <c r="AN201" i="21" s="1"/>
  <c r="AS201" i="21" s="1"/>
  <c r="L202" i="21"/>
  <c r="M202" i="21" s="1"/>
  <c r="AQ202" i="21" s="1"/>
  <c r="R202" i="21"/>
  <c r="S202" i="21"/>
  <c r="T202" i="21"/>
  <c r="U202" i="21"/>
  <c r="Y202" i="21"/>
  <c r="AB202" i="21"/>
  <c r="AM202" i="21"/>
  <c r="AN202" i="21" s="1"/>
  <c r="AS202" i="21" s="1"/>
  <c r="AC203" i="21"/>
  <c r="AD203" i="21"/>
  <c r="AJ203" i="21"/>
  <c r="AK203" i="21"/>
  <c r="AL203" i="21"/>
  <c r="AV203" i="21"/>
  <c r="AW203" i="21"/>
  <c r="AX203" i="21"/>
  <c r="AY203" i="21"/>
  <c r="AZ203" i="21"/>
  <c r="BA203" i="21"/>
  <c r="L204" i="21"/>
  <c r="M204" i="21" s="1"/>
  <c r="R204" i="21"/>
  <c r="S204" i="21"/>
  <c r="T204" i="21"/>
  <c r="U204" i="21"/>
  <c r="Y204" i="21"/>
  <c r="AB204" i="21"/>
  <c r="AM204" i="21"/>
  <c r="AN204" i="21" s="1"/>
  <c r="L205" i="21"/>
  <c r="M205" i="21" s="1"/>
  <c r="AQ205" i="21" s="1"/>
  <c r="R205" i="21"/>
  <c r="S205" i="21"/>
  <c r="T205" i="21"/>
  <c r="U205" i="21"/>
  <c r="Y205" i="21"/>
  <c r="AB205" i="21"/>
  <c r="AM205" i="21"/>
  <c r="AN205" i="21" s="1"/>
  <c r="AS205" i="21" s="1"/>
  <c r="L206" i="21"/>
  <c r="M206" i="21" s="1"/>
  <c r="AQ206" i="21" s="1"/>
  <c r="R206" i="21"/>
  <c r="S206" i="21"/>
  <c r="T206" i="21"/>
  <c r="U206" i="21"/>
  <c r="Y206" i="21"/>
  <c r="AB206" i="21"/>
  <c r="AM206" i="21"/>
  <c r="AN206" i="21" s="1"/>
  <c r="AS206" i="21" s="1"/>
  <c r="L207" i="21"/>
  <c r="M207" i="21" s="1"/>
  <c r="AQ207" i="21" s="1"/>
  <c r="R207" i="21"/>
  <c r="S207" i="21"/>
  <c r="T207" i="21"/>
  <c r="U207" i="21"/>
  <c r="Y207" i="21"/>
  <c r="AB207" i="21"/>
  <c r="AM207" i="21"/>
  <c r="AN207" i="21" s="1"/>
  <c r="AS207" i="21" s="1"/>
  <c r="L208" i="21"/>
  <c r="M208" i="21" s="1"/>
  <c r="AQ208" i="21" s="1"/>
  <c r="R208" i="21"/>
  <c r="S208" i="21"/>
  <c r="T208" i="21"/>
  <c r="U208" i="21"/>
  <c r="Y208" i="21"/>
  <c r="AB208" i="21"/>
  <c r="AM208" i="21"/>
  <c r="AN208" i="21" s="1"/>
  <c r="AS208" i="21" s="1"/>
  <c r="AC209" i="21"/>
  <c r="AD209" i="21"/>
  <c r="AJ209" i="21"/>
  <c r="AK209" i="21"/>
  <c r="AL209" i="21"/>
  <c r="AV209" i="21"/>
  <c r="AX209" i="21"/>
  <c r="AY209" i="21"/>
  <c r="AZ209" i="21"/>
  <c r="BA209" i="21"/>
  <c r="L210" i="21"/>
  <c r="M210" i="21" s="1"/>
  <c r="R210" i="21"/>
  <c r="S210" i="21"/>
  <c r="T210" i="21"/>
  <c r="U210" i="21"/>
  <c r="Y210" i="21"/>
  <c r="AB210" i="21"/>
  <c r="AM210" i="21"/>
  <c r="AN210" i="21" s="1"/>
  <c r="L211" i="21"/>
  <c r="M211" i="21" s="1"/>
  <c r="AQ211" i="21" s="1"/>
  <c r="R211" i="21"/>
  <c r="R212" i="21" s="1"/>
  <c r="S211" i="21"/>
  <c r="T211" i="21"/>
  <c r="U211" i="21"/>
  <c r="U212" i="21" s="1"/>
  <c r="Y211" i="21"/>
  <c r="Y212" i="21" s="1"/>
  <c r="AB211" i="21"/>
  <c r="AM211" i="21"/>
  <c r="AN211" i="21" s="1"/>
  <c r="AS211" i="21" s="1"/>
  <c r="L212" i="21"/>
  <c r="AC212" i="21"/>
  <c r="AD212" i="21"/>
  <c r="AJ212" i="21"/>
  <c r="AK212" i="21"/>
  <c r="AL212" i="21"/>
  <c r="AV212" i="21"/>
  <c r="AW212" i="21"/>
  <c r="AX212" i="21"/>
  <c r="AY212" i="21"/>
  <c r="AZ212" i="21"/>
  <c r="BA212" i="21"/>
  <c r="L214" i="21"/>
  <c r="M214" i="21" s="1"/>
  <c r="R214" i="21"/>
  <c r="S214" i="21"/>
  <c r="T214" i="21"/>
  <c r="U214" i="21"/>
  <c r="Y214" i="21"/>
  <c r="AB214" i="21"/>
  <c r="AM214" i="21"/>
  <c r="AN214" i="21" s="1"/>
  <c r="L215" i="21"/>
  <c r="M215" i="21" s="1"/>
  <c r="AQ215" i="21" s="1"/>
  <c r="R215" i="21"/>
  <c r="S215" i="21"/>
  <c r="T215" i="21"/>
  <c r="U215" i="21"/>
  <c r="Y215" i="21"/>
  <c r="AB215" i="21"/>
  <c r="AM215" i="21"/>
  <c r="AN215" i="21" s="1"/>
  <c r="AS215" i="21" s="1"/>
  <c r="L216" i="21"/>
  <c r="R216" i="21"/>
  <c r="S216" i="21"/>
  <c r="T216" i="21"/>
  <c r="U216" i="21"/>
  <c r="Y216" i="21"/>
  <c r="AB216" i="21"/>
  <c r="AM216" i="21"/>
  <c r="AN216" i="21" s="1"/>
  <c r="AS216" i="21" s="1"/>
  <c r="L217" i="21"/>
  <c r="M217" i="21" s="1"/>
  <c r="AQ217" i="21" s="1"/>
  <c r="R217" i="21"/>
  <c r="S217" i="21"/>
  <c r="T217" i="21"/>
  <c r="U217" i="21"/>
  <c r="Y217" i="21"/>
  <c r="AB217" i="21"/>
  <c r="AC217" i="21"/>
  <c r="AM217" i="21"/>
  <c r="AN217" i="21" s="1"/>
  <c r="AS217" i="21" s="1"/>
  <c r="L218" i="21"/>
  <c r="M218" i="21" s="1"/>
  <c r="AQ218" i="21" s="1"/>
  <c r="R218" i="21"/>
  <c r="S218" i="21"/>
  <c r="T218" i="21"/>
  <c r="U218" i="21"/>
  <c r="Y218" i="21"/>
  <c r="AB218" i="21"/>
  <c r="AC218" i="21"/>
  <c r="AM218" i="21"/>
  <c r="AN218" i="21" s="1"/>
  <c r="AS218" i="21" s="1"/>
  <c r="L219" i="21"/>
  <c r="M219" i="21" s="1"/>
  <c r="AQ219" i="21" s="1"/>
  <c r="R219" i="21"/>
  <c r="S219" i="21"/>
  <c r="T219" i="21"/>
  <c r="U219" i="21"/>
  <c r="Y219" i="21"/>
  <c r="AB219" i="21"/>
  <c r="AM219" i="21"/>
  <c r="AN219" i="21" s="1"/>
  <c r="AS219" i="21" s="1"/>
  <c r="AD220" i="21"/>
  <c r="AD213" i="21" s="1"/>
  <c r="AJ220" i="21"/>
  <c r="AJ213" i="21" s="1"/>
  <c r="AK220" i="21"/>
  <c r="AK213" i="21" s="1"/>
  <c r="AL220" i="21"/>
  <c r="AL213" i="21" s="1"/>
  <c r="AV220" i="21"/>
  <c r="AV213" i="21" s="1"/>
  <c r="AW220" i="21"/>
  <c r="AW213" i="21" s="1"/>
  <c r="AX220" i="21"/>
  <c r="AX213" i="21" s="1"/>
  <c r="AY220" i="21"/>
  <c r="AY213" i="21" s="1"/>
  <c r="AZ220" i="21"/>
  <c r="AZ213" i="21" s="1"/>
  <c r="BA220" i="21"/>
  <c r="BA213" i="21" s="1"/>
  <c r="L222" i="21"/>
  <c r="M222" i="21" s="1"/>
  <c r="R222" i="21"/>
  <c r="S222" i="21"/>
  <c r="T222" i="21"/>
  <c r="U222" i="21"/>
  <c r="Y222" i="21"/>
  <c r="AB222" i="21"/>
  <c r="AM222" i="21"/>
  <c r="AN222" i="21" s="1"/>
  <c r="AS222" i="21" s="1"/>
  <c r="L223" i="21"/>
  <c r="M223" i="21" s="1"/>
  <c r="AQ223" i="21" s="1"/>
  <c r="R223" i="21"/>
  <c r="S223" i="21"/>
  <c r="T223" i="21"/>
  <c r="U223" i="21"/>
  <c r="Y223" i="21"/>
  <c r="AB223" i="21"/>
  <c r="AM223" i="21"/>
  <c r="AN223" i="21" s="1"/>
  <c r="AS223" i="21" s="1"/>
  <c r="L224" i="21"/>
  <c r="M224" i="21" s="1"/>
  <c r="AQ224" i="21" s="1"/>
  <c r="R224" i="21"/>
  <c r="S224" i="21"/>
  <c r="T224" i="21"/>
  <c r="U224" i="21"/>
  <c r="Y224" i="21"/>
  <c r="AB224" i="21"/>
  <c r="AM224" i="21"/>
  <c r="AN224" i="21" s="1"/>
  <c r="AS224" i="21" s="1"/>
  <c r="AC225" i="21"/>
  <c r="AC221" i="21" s="1"/>
  <c r="AD225" i="21"/>
  <c r="AD221" i="21" s="1"/>
  <c r="AJ225" i="21"/>
  <c r="AJ221" i="21" s="1"/>
  <c r="AK225" i="21"/>
  <c r="AK221" i="21" s="1"/>
  <c r="AL225" i="21"/>
  <c r="AL221" i="21" s="1"/>
  <c r="AV225" i="21"/>
  <c r="AV221" i="21" s="1"/>
  <c r="AW225" i="21"/>
  <c r="AW221" i="21" s="1"/>
  <c r="AX225" i="21"/>
  <c r="AX221" i="21" s="1"/>
  <c r="AY225" i="21"/>
  <c r="AY221" i="21" s="1"/>
  <c r="AZ225" i="21"/>
  <c r="AZ221" i="21" s="1"/>
  <c r="BA225" i="21"/>
  <c r="BA221" i="21" s="1"/>
  <c r="L227" i="21"/>
  <c r="M227" i="21" s="1"/>
  <c r="R227" i="21"/>
  <c r="S227" i="21"/>
  <c r="T227" i="21"/>
  <c r="U227" i="21"/>
  <c r="Y227" i="21"/>
  <c r="AB227" i="21"/>
  <c r="AM227" i="21"/>
  <c r="AN227" i="21" s="1"/>
  <c r="L228" i="21"/>
  <c r="M228" i="21" s="1"/>
  <c r="R228" i="21"/>
  <c r="S228" i="21"/>
  <c r="T228" i="21"/>
  <c r="U228" i="21"/>
  <c r="Y228" i="21"/>
  <c r="AB228" i="21"/>
  <c r="AC228" i="21"/>
  <c r="AM228" i="21"/>
  <c r="AN228" i="21" s="1"/>
  <c r="AS228" i="21" s="1"/>
  <c r="L229" i="21"/>
  <c r="M229" i="21" s="1"/>
  <c r="AQ229" i="21" s="1"/>
  <c r="R229" i="21"/>
  <c r="S229" i="21"/>
  <c r="T229" i="21"/>
  <c r="U229" i="21"/>
  <c r="Y229" i="21"/>
  <c r="AB229" i="21"/>
  <c r="AM229" i="21"/>
  <c r="AN229" i="21" s="1"/>
  <c r="AS229" i="21" s="1"/>
  <c r="L230" i="21"/>
  <c r="M230" i="21" s="1"/>
  <c r="AQ230" i="21" s="1"/>
  <c r="R230" i="21"/>
  <c r="S230" i="21"/>
  <c r="T230" i="21"/>
  <c r="U230" i="21"/>
  <c r="Y230" i="21"/>
  <c r="AB230" i="21"/>
  <c r="AM230" i="21"/>
  <c r="AN230" i="21" s="1"/>
  <c r="AS230" i="21" s="1"/>
  <c r="AC231" i="21"/>
  <c r="AC226" i="21" s="1"/>
  <c r="AD231" i="21"/>
  <c r="AD226" i="21" s="1"/>
  <c r="AJ231" i="21"/>
  <c r="AJ226" i="21" s="1"/>
  <c r="AK231" i="21"/>
  <c r="AK226" i="21" s="1"/>
  <c r="AL231" i="21"/>
  <c r="AL226" i="21" s="1"/>
  <c r="AV231" i="21"/>
  <c r="AV226" i="21" s="1"/>
  <c r="AW231" i="21"/>
  <c r="AW226" i="21" s="1"/>
  <c r="AX231" i="21"/>
  <c r="AX226" i="21" s="1"/>
  <c r="AY231" i="21"/>
  <c r="AY226" i="21" s="1"/>
  <c r="AZ231" i="21"/>
  <c r="AZ226" i="21" s="1"/>
  <c r="BA231" i="21"/>
  <c r="BA226" i="21" s="1"/>
  <c r="L233" i="21"/>
  <c r="M233" i="21" s="1"/>
  <c r="AQ233" i="21" s="1"/>
  <c r="R233" i="21"/>
  <c r="S233" i="21"/>
  <c r="T233" i="21"/>
  <c r="U233" i="21"/>
  <c r="Y233" i="21"/>
  <c r="AB233" i="21"/>
  <c r="AM233" i="21"/>
  <c r="AN233" i="21" s="1"/>
  <c r="L234" i="21"/>
  <c r="M234" i="21" s="1"/>
  <c r="R234" i="21"/>
  <c r="S234" i="21"/>
  <c r="T234" i="21"/>
  <c r="U234" i="21"/>
  <c r="Y234" i="21"/>
  <c r="AB234" i="21"/>
  <c r="AM234" i="21"/>
  <c r="AN234" i="21" s="1"/>
  <c r="AS234" i="21" s="1"/>
  <c r="L235" i="21"/>
  <c r="M235" i="21" s="1"/>
  <c r="AQ235" i="21" s="1"/>
  <c r="R235" i="21"/>
  <c r="S235" i="21"/>
  <c r="T235" i="21"/>
  <c r="U235" i="21"/>
  <c r="Y235" i="21"/>
  <c r="AB235" i="21"/>
  <c r="AM235" i="21"/>
  <c r="AN235" i="21" s="1"/>
  <c r="L236" i="21"/>
  <c r="M236" i="21" s="1"/>
  <c r="R236" i="21"/>
  <c r="S236" i="21"/>
  <c r="T236" i="21"/>
  <c r="U236" i="21"/>
  <c r="Y236" i="21"/>
  <c r="AB236" i="21"/>
  <c r="AM236" i="21"/>
  <c r="AN236" i="21" s="1"/>
  <c r="AS236" i="21" s="1"/>
  <c r="AQ236" i="21"/>
  <c r="AC237" i="21"/>
  <c r="AC232" i="21" s="1"/>
  <c r="AD237" i="21"/>
  <c r="AD232" i="21" s="1"/>
  <c r="AJ237" i="21"/>
  <c r="AJ232" i="21" s="1"/>
  <c r="AK237" i="21"/>
  <c r="AK232" i="21" s="1"/>
  <c r="AL237" i="21"/>
  <c r="AL232" i="21" s="1"/>
  <c r="AV237" i="21"/>
  <c r="AV232" i="21" s="1"/>
  <c r="AW237" i="21"/>
  <c r="AW232" i="21" s="1"/>
  <c r="AX237" i="21"/>
  <c r="AX232" i="21" s="1"/>
  <c r="AY237" i="21"/>
  <c r="AY232" i="21" s="1"/>
  <c r="AZ237" i="21"/>
  <c r="AZ232" i="21" s="1"/>
  <c r="BA237" i="21"/>
  <c r="BA232" i="21" s="1"/>
  <c r="L239" i="21"/>
  <c r="R239" i="21"/>
  <c r="S239" i="21"/>
  <c r="T239" i="21"/>
  <c r="U239" i="21"/>
  <c r="Y239" i="21"/>
  <c r="AB239" i="21"/>
  <c r="AM239" i="21"/>
  <c r="AN239" i="21" s="1"/>
  <c r="AS239" i="21" s="1"/>
  <c r="L240" i="21"/>
  <c r="M240" i="21" s="1"/>
  <c r="AQ240" i="21" s="1"/>
  <c r="R240" i="21"/>
  <c r="S240" i="21"/>
  <c r="T240" i="21"/>
  <c r="U240" i="21"/>
  <c r="Y240" i="21"/>
  <c r="AB240" i="21"/>
  <c r="AM240" i="21"/>
  <c r="AN240" i="21" s="1"/>
  <c r="L241" i="21"/>
  <c r="M241" i="21" s="1"/>
  <c r="AQ241" i="21" s="1"/>
  <c r="R241" i="21"/>
  <c r="S241" i="21"/>
  <c r="T241" i="21"/>
  <c r="U241" i="21"/>
  <c r="Y241" i="21"/>
  <c r="AB241" i="21"/>
  <c r="AM241" i="21"/>
  <c r="AN241" i="21" s="1"/>
  <c r="AS241" i="21" s="1"/>
  <c r="L242" i="21"/>
  <c r="M242" i="21" s="1"/>
  <c r="AQ242" i="21" s="1"/>
  <c r="R242" i="21"/>
  <c r="S242" i="21"/>
  <c r="T242" i="21"/>
  <c r="U242" i="21"/>
  <c r="Y242" i="21"/>
  <c r="AB242" i="21"/>
  <c r="AM242" i="21"/>
  <c r="AC243" i="21"/>
  <c r="AC238" i="21" s="1"/>
  <c r="AD243" i="21"/>
  <c r="AD238" i="21" s="1"/>
  <c r="AJ243" i="21"/>
  <c r="AJ238" i="21" s="1"/>
  <c r="AK243" i="21"/>
  <c r="AK238" i="21" s="1"/>
  <c r="AL243" i="21"/>
  <c r="AL238" i="21" s="1"/>
  <c r="AV243" i="21"/>
  <c r="AV238" i="21" s="1"/>
  <c r="AW243" i="21"/>
  <c r="AW238" i="21" s="1"/>
  <c r="AX243" i="21"/>
  <c r="AX238" i="21" s="1"/>
  <c r="AY243" i="21"/>
  <c r="AY238" i="21" s="1"/>
  <c r="AZ243" i="21"/>
  <c r="AZ238" i="21" s="1"/>
  <c r="BA243" i="21"/>
  <c r="BA238" i="21" s="1"/>
  <c r="AA244" i="21"/>
  <c r="Z245" i="21"/>
  <c r="Z244" i="21" s="1"/>
  <c r="L246" i="21"/>
  <c r="M246" i="21" s="1"/>
  <c r="AQ246" i="21" s="1"/>
  <c r="AU246" i="21" s="1"/>
  <c r="R246" i="21"/>
  <c r="S246" i="21"/>
  <c r="T246" i="21"/>
  <c r="U246" i="21"/>
  <c r="Y246" i="21"/>
  <c r="AB246" i="21"/>
  <c r="AD246" i="21"/>
  <c r="AD250" i="21" s="1"/>
  <c r="AM246" i="21"/>
  <c r="L247" i="21"/>
  <c r="R247" i="21"/>
  <c r="S247" i="21"/>
  <c r="T247" i="21"/>
  <c r="U247" i="21"/>
  <c r="Y247" i="21"/>
  <c r="AB247" i="21"/>
  <c r="AM247" i="21"/>
  <c r="AN247" i="21" s="1"/>
  <c r="L248" i="21"/>
  <c r="M248" i="21" s="1"/>
  <c r="R248" i="21"/>
  <c r="S248" i="21"/>
  <c r="T248" i="21"/>
  <c r="U248" i="21"/>
  <c r="Y248" i="21"/>
  <c r="AB248" i="21"/>
  <c r="AC248" i="21"/>
  <c r="AM248" i="21"/>
  <c r="AN248" i="21" s="1"/>
  <c r="AS248" i="21" s="1"/>
  <c r="L249" i="21"/>
  <c r="M249" i="21" s="1"/>
  <c r="AQ249" i="21" s="1"/>
  <c r="R249" i="21"/>
  <c r="S249" i="21"/>
  <c r="T249" i="21"/>
  <c r="U249" i="21"/>
  <c r="Y249" i="21"/>
  <c r="AB249" i="21"/>
  <c r="AM249" i="21"/>
  <c r="AN249" i="21" s="1"/>
  <c r="AJ250" i="21"/>
  <c r="AK250" i="21"/>
  <c r="AL250" i="21"/>
  <c r="AV250" i="21"/>
  <c r="AW250" i="21"/>
  <c r="AX250" i="21"/>
  <c r="AY250" i="21"/>
  <c r="AZ250" i="21"/>
  <c r="BA250" i="21"/>
  <c r="L251" i="21"/>
  <c r="M251" i="21" s="1"/>
  <c r="R251" i="21"/>
  <c r="S251" i="21"/>
  <c r="T251" i="21"/>
  <c r="U251" i="21"/>
  <c r="Y251" i="21"/>
  <c r="AB251" i="21"/>
  <c r="AM251" i="21"/>
  <c r="AN251" i="21" s="1"/>
  <c r="AS251" i="21" s="1"/>
  <c r="L252" i="21"/>
  <c r="R252" i="21"/>
  <c r="S252" i="21"/>
  <c r="T252" i="21"/>
  <c r="U252" i="21"/>
  <c r="Y252" i="21"/>
  <c r="AB252" i="21"/>
  <c r="AC252" i="21"/>
  <c r="AM252" i="21"/>
  <c r="AN252" i="21" s="1"/>
  <c r="L253" i="21"/>
  <c r="R253" i="21"/>
  <c r="S253" i="21"/>
  <c r="T253" i="21"/>
  <c r="U253" i="21"/>
  <c r="Y253" i="21"/>
  <c r="AB253" i="21"/>
  <c r="AC253" i="21"/>
  <c r="AM253" i="21"/>
  <c r="AN253" i="21" s="1"/>
  <c r="AS253" i="21" s="1"/>
  <c r="AD254" i="21"/>
  <c r="AJ254" i="21"/>
  <c r="AK254" i="21"/>
  <c r="AL254" i="21"/>
  <c r="AV254" i="21"/>
  <c r="AX254" i="21"/>
  <c r="AY254" i="21"/>
  <c r="AZ254" i="21"/>
  <c r="BA254" i="21"/>
  <c r="L255" i="21"/>
  <c r="M255" i="21" s="1"/>
  <c r="AQ255" i="21" s="1"/>
  <c r="R255" i="21"/>
  <c r="S255" i="21"/>
  <c r="T255" i="21"/>
  <c r="U255" i="21"/>
  <c r="Y255" i="21"/>
  <c r="AB255" i="21"/>
  <c r="AD255" i="21"/>
  <c r="AM255" i="21"/>
  <c r="AN255" i="21" s="1"/>
  <c r="L256" i="21"/>
  <c r="M256" i="21" s="1"/>
  <c r="AQ256" i="21" s="1"/>
  <c r="R256" i="21"/>
  <c r="S256" i="21"/>
  <c r="T256" i="21"/>
  <c r="U256" i="21"/>
  <c r="Y256" i="21"/>
  <c r="AB256" i="21"/>
  <c r="AM256" i="21"/>
  <c r="AN256" i="21" s="1"/>
  <c r="AS256" i="21" s="1"/>
  <c r="L257" i="21"/>
  <c r="M257" i="21" s="1"/>
  <c r="AQ257" i="21" s="1"/>
  <c r="R257" i="21"/>
  <c r="S257" i="21"/>
  <c r="T257" i="21"/>
  <c r="U257" i="21"/>
  <c r="Y257" i="21"/>
  <c r="AB257" i="21"/>
  <c r="AD257" i="21"/>
  <c r="AD258" i="21" s="1"/>
  <c r="AM257" i="21"/>
  <c r="AN257" i="21" s="1"/>
  <c r="AS257" i="21" s="1"/>
  <c r="AC258" i="21"/>
  <c r="AJ258" i="21"/>
  <c r="AK258" i="21"/>
  <c r="AL258" i="21"/>
  <c r="AV258" i="21"/>
  <c r="AW258" i="21"/>
  <c r="AX258" i="21"/>
  <c r="AY258" i="21"/>
  <c r="AZ258" i="21"/>
  <c r="BA258" i="21"/>
  <c r="L260" i="21"/>
  <c r="R260" i="21"/>
  <c r="S260" i="21"/>
  <c r="T260" i="21"/>
  <c r="U260" i="21"/>
  <c r="Y260" i="21"/>
  <c r="AB260" i="21"/>
  <c r="AD260" i="21"/>
  <c r="AM260" i="21"/>
  <c r="L261" i="21"/>
  <c r="M261" i="21" s="1"/>
  <c r="AQ261" i="21" s="1"/>
  <c r="R261" i="21"/>
  <c r="S261" i="21"/>
  <c r="T261" i="21"/>
  <c r="U261" i="21"/>
  <c r="Y261" i="21"/>
  <c r="AB261" i="21"/>
  <c r="AD261" i="21"/>
  <c r="AM261" i="21"/>
  <c r="AN261" i="21" s="1"/>
  <c r="AS261" i="21" s="1"/>
  <c r="L262" i="21"/>
  <c r="M262" i="21" s="1"/>
  <c r="AQ262" i="21" s="1"/>
  <c r="R262" i="21"/>
  <c r="S262" i="21"/>
  <c r="T262" i="21"/>
  <c r="U262" i="21"/>
  <c r="Y262" i="21"/>
  <c r="AB262" i="21"/>
  <c r="AD262" i="21"/>
  <c r="AM262" i="21"/>
  <c r="AN262" i="21" s="1"/>
  <c r="AS262" i="21" s="1"/>
  <c r="AC263" i="21"/>
  <c r="AE263" i="21"/>
  <c r="AJ263" i="21"/>
  <c r="AK263" i="21"/>
  <c r="AL263" i="21"/>
  <c r="AV263" i="21"/>
  <c r="AW263" i="21"/>
  <c r="AX263" i="21"/>
  <c r="AY263" i="21"/>
  <c r="AZ263" i="21"/>
  <c r="BA263" i="21"/>
  <c r="L264" i="21"/>
  <c r="M264" i="21" s="1"/>
  <c r="R264" i="21"/>
  <c r="S264" i="21"/>
  <c r="T264" i="21"/>
  <c r="U264" i="21"/>
  <c r="Y264" i="21"/>
  <c r="AB264" i="21"/>
  <c r="AD264" i="21"/>
  <c r="AM264" i="21"/>
  <c r="AN264" i="21" s="1"/>
  <c r="L265" i="21"/>
  <c r="M265" i="21" s="1"/>
  <c r="AQ265" i="21" s="1"/>
  <c r="R265" i="21"/>
  <c r="S265" i="21"/>
  <c r="T265" i="21"/>
  <c r="U265" i="21"/>
  <c r="Y265" i="21"/>
  <c r="AB265" i="21"/>
  <c r="AM265" i="21"/>
  <c r="AN265" i="21" s="1"/>
  <c r="AS265" i="21" s="1"/>
  <c r="L266" i="21"/>
  <c r="R266" i="21"/>
  <c r="S266" i="21"/>
  <c r="T266" i="21"/>
  <c r="U266" i="21"/>
  <c r="Y266" i="21"/>
  <c r="AB266" i="21"/>
  <c r="AM266" i="21"/>
  <c r="AN266" i="21" s="1"/>
  <c r="AS266" i="21" s="1"/>
  <c r="L267" i="21"/>
  <c r="M267" i="21" s="1"/>
  <c r="AQ267" i="21" s="1"/>
  <c r="R267" i="21"/>
  <c r="S267" i="21"/>
  <c r="T267" i="21"/>
  <c r="U267" i="21"/>
  <c r="Y267" i="21"/>
  <c r="AB267" i="21"/>
  <c r="AD267" i="21"/>
  <c r="AM267" i="21"/>
  <c r="AN267" i="21" s="1"/>
  <c r="AS267" i="21" s="1"/>
  <c r="AC268" i="21"/>
  <c r="AD268" i="21"/>
  <c r="AJ268" i="21"/>
  <c r="AK268" i="21"/>
  <c r="AL268" i="21"/>
  <c r="AV268" i="21"/>
  <c r="AW268" i="21"/>
  <c r="AX268" i="21"/>
  <c r="AY268" i="21"/>
  <c r="AZ268" i="21"/>
  <c r="BA268" i="21"/>
  <c r="L270" i="21"/>
  <c r="R270" i="21"/>
  <c r="S270" i="21"/>
  <c r="T270" i="21"/>
  <c r="U270" i="21"/>
  <c r="Y270" i="21"/>
  <c r="AB270" i="21"/>
  <c r="AM270" i="21"/>
  <c r="AN270" i="21" s="1"/>
  <c r="AS270" i="21" s="1"/>
  <c r="L271" i="21"/>
  <c r="M271" i="21" s="1"/>
  <c r="AQ271" i="21" s="1"/>
  <c r="R271" i="21"/>
  <c r="S271" i="21"/>
  <c r="T271" i="21"/>
  <c r="U271" i="21"/>
  <c r="Y271" i="21"/>
  <c r="AB271" i="21"/>
  <c r="AM271" i="21"/>
  <c r="AN271" i="21" s="1"/>
  <c r="AS271" i="21" s="1"/>
  <c r="L272" i="21"/>
  <c r="M272" i="21" s="1"/>
  <c r="AQ272" i="21" s="1"/>
  <c r="R272" i="21"/>
  <c r="S272" i="21"/>
  <c r="T272" i="21"/>
  <c r="U272" i="21"/>
  <c r="Y272" i="21"/>
  <c r="AB272" i="21"/>
  <c r="AC272" i="21"/>
  <c r="AC273" i="21" s="1"/>
  <c r="AM272" i="21"/>
  <c r="AN272" i="21" s="1"/>
  <c r="AS272" i="21" s="1"/>
  <c r="AD273" i="21"/>
  <c r="AJ273" i="21"/>
  <c r="AK273" i="21"/>
  <c r="AL273" i="21"/>
  <c r="AV273" i="21"/>
  <c r="AW273" i="21"/>
  <c r="AX273" i="21"/>
  <c r="AY273" i="21"/>
  <c r="AZ273" i="21"/>
  <c r="BA273" i="21"/>
  <c r="L274" i="21"/>
  <c r="M274" i="21" s="1"/>
  <c r="AQ274" i="21" s="1"/>
  <c r="R274" i="21"/>
  <c r="S274" i="21"/>
  <c r="T274" i="21"/>
  <c r="U274" i="21"/>
  <c r="Y274" i="21"/>
  <c r="AB274" i="21"/>
  <c r="AM274" i="21"/>
  <c r="AN274" i="21" s="1"/>
  <c r="L275" i="21"/>
  <c r="M275" i="21" s="1"/>
  <c r="R275" i="21"/>
  <c r="S275" i="21"/>
  <c r="S276" i="21" s="1"/>
  <c r="T275" i="21"/>
  <c r="U275" i="21"/>
  <c r="Y275" i="21"/>
  <c r="Y276" i="21" s="1"/>
  <c r="AB275" i="21"/>
  <c r="AB276" i="21" s="1"/>
  <c r="AM275" i="21"/>
  <c r="AN275" i="21" s="1"/>
  <c r="AS275" i="21" s="1"/>
  <c r="AC276" i="21"/>
  <c r="AD276" i="21"/>
  <c r="AJ276" i="21"/>
  <c r="AK276" i="21"/>
  <c r="AL276" i="21"/>
  <c r="AV276" i="21"/>
  <c r="AW276" i="21"/>
  <c r="AX276" i="21"/>
  <c r="AY276" i="21"/>
  <c r="AZ276" i="21"/>
  <c r="BA276" i="21"/>
  <c r="L278" i="21"/>
  <c r="M278" i="21" s="1"/>
  <c r="R278" i="21"/>
  <c r="S278" i="21"/>
  <c r="T278" i="21"/>
  <c r="U278" i="21"/>
  <c r="Y278" i="21"/>
  <c r="AB278" i="21"/>
  <c r="AM278" i="21"/>
  <c r="AN278" i="21" s="1"/>
  <c r="AS278" i="21" s="1"/>
  <c r="L279" i="21"/>
  <c r="M279" i="21" s="1"/>
  <c r="AQ279" i="21" s="1"/>
  <c r="R279" i="21"/>
  <c r="S279" i="21"/>
  <c r="T279" i="21"/>
  <c r="U279" i="21"/>
  <c r="Y279" i="21"/>
  <c r="AB279" i="21"/>
  <c r="AM279" i="21"/>
  <c r="AN279" i="21" s="1"/>
  <c r="L280" i="21"/>
  <c r="M280" i="21" s="1"/>
  <c r="AQ280" i="21" s="1"/>
  <c r="R280" i="21"/>
  <c r="S280" i="21"/>
  <c r="T280" i="21"/>
  <c r="U280" i="21"/>
  <c r="Y280" i="21"/>
  <c r="AB280" i="21"/>
  <c r="AM280" i="21"/>
  <c r="AN280" i="21" s="1"/>
  <c r="AS280" i="21" s="1"/>
  <c r="L281" i="21"/>
  <c r="M281" i="21" s="1"/>
  <c r="AQ281" i="21" s="1"/>
  <c r="R281" i="21"/>
  <c r="S281" i="21"/>
  <c r="T281" i="21"/>
  <c r="U281" i="21"/>
  <c r="Y281" i="21"/>
  <c r="AB281" i="21"/>
  <c r="AM281" i="21"/>
  <c r="AN281" i="21" s="1"/>
  <c r="AS281" i="21" s="1"/>
  <c r="L282" i="21"/>
  <c r="M282" i="21" s="1"/>
  <c r="AQ282" i="21" s="1"/>
  <c r="R282" i="21"/>
  <c r="S282" i="21"/>
  <c r="T282" i="21"/>
  <c r="U282" i="21"/>
  <c r="Y282" i="21"/>
  <c r="AB282" i="21"/>
  <c r="AM282" i="21"/>
  <c r="AN282" i="21" s="1"/>
  <c r="AS282" i="21" s="1"/>
  <c r="AC283" i="21"/>
  <c r="AC277" i="21" s="1"/>
  <c r="AD283" i="21"/>
  <c r="AD277" i="21" s="1"/>
  <c r="AJ283" i="21"/>
  <c r="AJ277" i="21" s="1"/>
  <c r="AK283" i="21"/>
  <c r="AK277" i="21" s="1"/>
  <c r="AL283" i="21"/>
  <c r="AL277" i="21" s="1"/>
  <c r="AV283" i="21"/>
  <c r="AV277" i="21" s="1"/>
  <c r="AW283" i="21"/>
  <c r="AW277" i="21" s="1"/>
  <c r="AX283" i="21"/>
  <c r="AX277" i="21" s="1"/>
  <c r="AY283" i="21"/>
  <c r="AY277" i="21" s="1"/>
  <c r="AZ283" i="21"/>
  <c r="AZ277" i="21" s="1"/>
  <c r="BA283" i="21"/>
  <c r="BA277" i="21" s="1"/>
  <c r="L285" i="21"/>
  <c r="M285" i="21" s="1"/>
  <c r="R285" i="21"/>
  <c r="S285" i="21"/>
  <c r="T285" i="21"/>
  <c r="U285" i="21"/>
  <c r="Y285" i="21"/>
  <c r="AB285" i="21"/>
  <c r="AM285" i="21"/>
  <c r="L286" i="21"/>
  <c r="M286" i="21" s="1"/>
  <c r="AQ286" i="21" s="1"/>
  <c r="R286" i="21"/>
  <c r="S286" i="21"/>
  <c r="T286" i="21"/>
  <c r="U286" i="21"/>
  <c r="Y286" i="21"/>
  <c r="AB286" i="21"/>
  <c r="AM286" i="21"/>
  <c r="AN286" i="21" s="1"/>
  <c r="L287" i="21"/>
  <c r="M287" i="21" s="1"/>
  <c r="AQ287" i="21" s="1"/>
  <c r="R287" i="21"/>
  <c r="S287" i="21"/>
  <c r="T287" i="21"/>
  <c r="U287" i="21"/>
  <c r="Y287" i="21"/>
  <c r="AB287" i="21"/>
  <c r="AM287" i="21"/>
  <c r="AN287" i="21" s="1"/>
  <c r="L288" i="21"/>
  <c r="M288" i="21" s="1"/>
  <c r="AQ288" i="21" s="1"/>
  <c r="R288" i="21"/>
  <c r="S288" i="21"/>
  <c r="T288" i="21"/>
  <c r="U288" i="21"/>
  <c r="Y288" i="21"/>
  <c r="AB288" i="21"/>
  <c r="AM288" i="21"/>
  <c r="AN288" i="21" s="1"/>
  <c r="AS288" i="21" s="1"/>
  <c r="AC289" i="21"/>
  <c r="AC284" i="21" s="1"/>
  <c r="AD289" i="21"/>
  <c r="AD284" i="21" s="1"/>
  <c r="AJ289" i="21"/>
  <c r="AJ284" i="21" s="1"/>
  <c r="AK289" i="21"/>
  <c r="AK284" i="21" s="1"/>
  <c r="AL289" i="21"/>
  <c r="AL284" i="21" s="1"/>
  <c r="AV289" i="21"/>
  <c r="AV284" i="21" s="1"/>
  <c r="AW289" i="21"/>
  <c r="AW284" i="21" s="1"/>
  <c r="AX289" i="21"/>
  <c r="AX284" i="21" s="1"/>
  <c r="AY289" i="21"/>
  <c r="AY284" i="21" s="1"/>
  <c r="AZ289" i="21"/>
  <c r="AZ284" i="21" s="1"/>
  <c r="BA289" i="21"/>
  <c r="BA284" i="21" s="1"/>
  <c r="AD264" i="23"/>
  <c r="AD262" i="23"/>
  <c r="AD260" i="23"/>
  <c r="AD264" i="22"/>
  <c r="AD262" i="22"/>
  <c r="AD260" i="22"/>
  <c r="AD264" i="17"/>
  <c r="AD262" i="17"/>
  <c r="AD260" i="17"/>
  <c r="AD264" i="16"/>
  <c r="AD262" i="16"/>
  <c r="AD260" i="16"/>
  <c r="AD264" i="15"/>
  <c r="AD262" i="15"/>
  <c r="AD260" i="15"/>
  <c r="AU262" i="14"/>
  <c r="AD262" i="14"/>
  <c r="AU260" i="12"/>
  <c r="U275" i="12"/>
  <c r="Y288" i="23"/>
  <c r="Y287" i="23"/>
  <c r="Y286" i="23"/>
  <c r="Y285" i="23"/>
  <c r="Y282" i="23"/>
  <c r="Y281" i="23"/>
  <c r="Y280" i="23"/>
  <c r="Y279" i="23"/>
  <c r="Y278" i="23"/>
  <c r="Y275" i="23"/>
  <c r="Y274" i="23"/>
  <c r="Y276" i="23" s="1"/>
  <c r="Y272" i="23"/>
  <c r="Y271" i="23"/>
  <c r="Y270" i="23"/>
  <c r="Y267" i="23"/>
  <c r="Y266" i="23"/>
  <c r="Y265" i="23"/>
  <c r="Y264" i="23"/>
  <c r="Y262" i="23"/>
  <c r="Y261" i="23"/>
  <c r="Y260" i="23"/>
  <c r="Y257" i="23"/>
  <c r="Y256" i="23"/>
  <c r="Y255" i="23"/>
  <c r="Y253" i="23"/>
  <c r="Y252" i="23"/>
  <c r="Y251" i="23"/>
  <c r="Y249" i="23"/>
  <c r="Y248" i="23"/>
  <c r="Y247" i="23"/>
  <c r="Y246" i="23"/>
  <c r="Y242" i="23"/>
  <c r="Y241" i="23"/>
  <c r="Y240" i="23"/>
  <c r="Y239" i="23"/>
  <c r="Y236" i="23"/>
  <c r="Y235" i="23"/>
  <c r="Y234" i="23"/>
  <c r="Y233" i="23"/>
  <c r="Y230" i="23"/>
  <c r="Y229" i="23"/>
  <c r="Y228" i="23"/>
  <c r="Y227" i="23"/>
  <c r="Y224" i="23"/>
  <c r="Y223" i="23"/>
  <c r="Y222" i="23"/>
  <c r="Y219" i="23"/>
  <c r="Y218" i="23"/>
  <c r="Y217" i="23"/>
  <c r="Y216" i="23"/>
  <c r="Y215" i="23"/>
  <c r="Y214" i="23"/>
  <c r="Y211" i="23"/>
  <c r="Y210" i="23"/>
  <c r="Y208" i="23"/>
  <c r="Y207" i="23"/>
  <c r="Y206" i="23"/>
  <c r="Y205" i="23"/>
  <c r="Y204" i="23"/>
  <c r="Y202" i="23"/>
  <c r="Y201" i="23"/>
  <c r="Y200" i="23"/>
  <c r="Y199" i="23"/>
  <c r="Y195" i="23"/>
  <c r="Y194" i="23"/>
  <c r="Y192" i="23"/>
  <c r="Y191" i="23"/>
  <c r="Y193" i="23" s="1"/>
  <c r="Y189" i="23"/>
  <c r="Y188" i="23"/>
  <c r="Y187" i="23"/>
  <c r="Y186" i="23"/>
  <c r="Y185" i="23"/>
  <c r="Y184" i="23"/>
  <c r="Y183" i="23"/>
  <c r="Y180" i="23"/>
  <c r="Y179" i="23"/>
  <c r="Y177" i="23"/>
  <c r="Y176" i="23"/>
  <c r="Y175" i="23"/>
  <c r="Y174" i="23"/>
  <c r="Y173" i="23"/>
  <c r="Y172" i="23"/>
  <c r="Y171" i="23"/>
  <c r="Y170" i="23"/>
  <c r="Y169" i="23"/>
  <c r="Y167" i="23"/>
  <c r="Y166" i="23"/>
  <c r="Y165" i="23"/>
  <c r="Y164" i="23"/>
  <c r="Y161" i="23"/>
  <c r="Y160" i="23"/>
  <c r="Y162" i="23" s="1"/>
  <c r="Y158" i="23"/>
  <c r="Y157" i="23"/>
  <c r="Y155" i="23"/>
  <c r="Y154" i="23"/>
  <c r="Y153" i="23"/>
  <c r="Y152" i="23"/>
  <c r="Y148" i="23"/>
  <c r="Y147" i="23"/>
  <c r="Y146" i="23"/>
  <c r="Y145" i="23"/>
  <c r="Y144" i="23"/>
  <c r="Y143" i="23"/>
  <c r="Y142" i="23"/>
  <c r="Y141" i="23"/>
  <c r="Y138" i="23"/>
  <c r="Y137" i="23"/>
  <c r="Y136" i="23"/>
  <c r="Y135" i="23"/>
  <c r="Y132" i="23"/>
  <c r="Y131" i="23"/>
  <c r="Y130" i="23"/>
  <c r="Y129" i="23"/>
  <c r="Y128" i="23"/>
  <c r="Y127" i="23"/>
  <c r="Y126" i="23"/>
  <c r="Y125" i="23"/>
  <c r="Y124" i="23"/>
  <c r="Y121" i="23"/>
  <c r="Y120" i="23"/>
  <c r="Y119" i="23"/>
  <c r="Y116" i="23"/>
  <c r="Y115" i="23"/>
  <c r="Y114" i="23"/>
  <c r="Y113" i="23"/>
  <c r="Y112" i="23"/>
  <c r="Y109" i="23"/>
  <c r="Y108" i="23"/>
  <c r="Y107" i="23"/>
  <c r="Y104" i="23"/>
  <c r="Y103" i="23"/>
  <c r="Y102" i="23"/>
  <c r="Y101" i="23"/>
  <c r="Y98" i="23"/>
  <c r="Y97" i="23"/>
  <c r="Y96" i="23"/>
  <c r="Y95" i="23"/>
  <c r="Y94" i="23"/>
  <c r="Y91" i="23"/>
  <c r="Y90" i="23"/>
  <c r="Y89" i="23"/>
  <c r="Y87" i="23"/>
  <c r="Y86" i="23"/>
  <c r="Y88" i="23" s="1"/>
  <c r="Y84" i="23"/>
  <c r="Y83" i="23"/>
  <c r="Y82" i="23"/>
  <c r="Y81" i="23"/>
  <c r="Y80" i="23"/>
  <c r="Y76" i="23"/>
  <c r="Y75" i="23"/>
  <c r="Y74" i="23"/>
  <c r="Y73" i="23"/>
  <c r="Y72" i="23"/>
  <c r="Y71" i="23"/>
  <c r="Y70" i="23"/>
  <c r="Y69" i="23"/>
  <c r="Y68" i="23"/>
  <c r="Y67" i="23"/>
  <c r="Y66" i="23"/>
  <c r="Y65" i="23"/>
  <c r="Y64" i="23"/>
  <c r="Y63" i="23"/>
  <c r="Y62" i="23"/>
  <c r="Y59" i="23"/>
  <c r="Y58" i="23"/>
  <c r="Y57" i="23"/>
  <c r="Y55" i="23"/>
  <c r="Y54" i="23"/>
  <c r="Y53" i="23"/>
  <c r="Y52" i="23"/>
  <c r="Y51" i="23"/>
  <c r="Y49" i="23"/>
  <c r="Y48" i="23"/>
  <c r="Y47" i="23"/>
  <c r="Y46" i="23"/>
  <c r="Y43" i="23"/>
  <c r="Y42" i="23"/>
  <c r="Y41" i="23"/>
  <c r="Y38" i="23"/>
  <c r="Y39" i="23" s="1"/>
  <c r="Y36" i="23"/>
  <c r="Y35" i="23"/>
  <c r="Y34" i="23"/>
  <c r="Y33" i="23"/>
  <c r="Y32" i="23"/>
  <c r="Y31" i="23"/>
  <c r="Y30" i="23"/>
  <c r="Y28" i="23"/>
  <c r="Y27" i="23"/>
  <c r="Y26" i="23"/>
  <c r="Y24" i="23"/>
  <c r="Y23" i="23"/>
  <c r="Y22" i="23"/>
  <c r="Y21" i="23"/>
  <c r="Y18" i="23"/>
  <c r="Y17" i="23"/>
  <c r="Y19" i="23" s="1"/>
  <c r="Y16" i="23" s="1"/>
  <c r="Y14" i="23"/>
  <c r="Y13" i="23"/>
  <c r="Y12" i="23"/>
  <c r="Y10" i="23"/>
  <c r="Y9" i="23"/>
  <c r="Y8" i="23"/>
  <c r="Y7" i="23"/>
  <c r="Y288" i="22"/>
  <c r="Y287" i="22"/>
  <c r="Y286" i="22"/>
  <c r="Y285" i="22"/>
  <c r="Y282" i="22"/>
  <c r="Y281" i="22"/>
  <c r="Y280" i="22"/>
  <c r="Y279" i="22"/>
  <c r="Y278" i="22"/>
  <c r="Y275" i="22"/>
  <c r="Y274" i="22"/>
  <c r="Y272" i="22"/>
  <c r="Y271" i="22"/>
  <c r="Y270" i="22"/>
  <c r="Y267" i="22"/>
  <c r="Y266" i="22"/>
  <c r="Y265" i="22"/>
  <c r="Y264" i="22"/>
  <c r="Y262" i="22"/>
  <c r="Y261" i="22"/>
  <c r="Y260" i="22"/>
  <c r="Y263" i="22" s="1"/>
  <c r="Y257" i="22"/>
  <c r="Y256" i="22"/>
  <c r="Y255" i="22"/>
  <c r="Y253" i="22"/>
  <c r="Y252" i="22"/>
  <c r="Y251" i="22"/>
  <c r="Y249" i="22"/>
  <c r="Y248" i="22"/>
  <c r="Y247" i="22"/>
  <c r="Y246" i="22"/>
  <c r="Y242" i="22"/>
  <c r="Y241" i="22"/>
  <c r="Y240" i="22"/>
  <c r="Y239" i="22"/>
  <c r="Y236" i="22"/>
  <c r="Y235" i="22"/>
  <c r="Y234" i="22"/>
  <c r="Y233" i="22"/>
  <c r="Y230" i="22"/>
  <c r="Y229" i="22"/>
  <c r="Y228" i="22"/>
  <c r="Y227" i="22"/>
  <c r="Y224" i="22"/>
  <c r="Y223" i="22"/>
  <c r="Y222" i="22"/>
  <c r="Y219" i="22"/>
  <c r="Y218" i="22"/>
  <c r="Y217" i="22"/>
  <c r="Y216" i="22"/>
  <c r="Y215" i="22"/>
  <c r="Y214" i="22"/>
  <c r="Y211" i="22"/>
  <c r="Y210" i="22"/>
  <c r="Y208" i="22"/>
  <c r="Y207" i="22"/>
  <c r="Y206" i="22"/>
  <c r="Y205" i="22"/>
  <c r="Y204" i="22"/>
  <c r="Y202" i="22"/>
  <c r="Y201" i="22"/>
  <c r="Y200" i="22"/>
  <c r="Y199" i="22"/>
  <c r="Y195" i="22"/>
  <c r="Y194" i="22"/>
  <c r="Y196" i="22" s="1"/>
  <c r="Y192" i="22"/>
  <c r="Y191" i="22"/>
  <c r="Y189" i="22"/>
  <c r="Y188" i="22"/>
  <c r="Y187" i="22"/>
  <c r="Y186" i="22"/>
  <c r="Y185" i="22"/>
  <c r="Y184" i="22"/>
  <c r="Y183" i="22"/>
  <c r="Y180" i="22"/>
  <c r="Y179" i="22"/>
  <c r="Y177" i="22"/>
  <c r="Y176" i="22"/>
  <c r="Y175" i="22"/>
  <c r="Y174" i="22"/>
  <c r="Y173" i="22"/>
  <c r="Y172" i="22"/>
  <c r="Y171" i="22"/>
  <c r="Y170" i="22"/>
  <c r="Y169" i="22"/>
  <c r="Y167" i="22"/>
  <c r="Y166" i="22"/>
  <c r="Y165" i="22"/>
  <c r="Y164" i="22"/>
  <c r="Y161" i="22"/>
  <c r="Y160" i="22"/>
  <c r="Y158" i="22"/>
  <c r="Y157" i="22"/>
  <c r="Y159" i="22" s="1"/>
  <c r="Y155" i="22"/>
  <c r="Y154" i="22"/>
  <c r="Y153" i="22"/>
  <c r="Y152" i="22"/>
  <c r="Y148" i="22"/>
  <c r="Y147" i="22"/>
  <c r="Y146" i="22"/>
  <c r="Y145" i="22"/>
  <c r="Y144" i="22"/>
  <c r="Y143" i="22"/>
  <c r="Y142" i="22"/>
  <c r="Y141" i="22"/>
  <c r="Y138" i="22"/>
  <c r="Y137" i="22"/>
  <c r="Y136" i="22"/>
  <c r="Y135" i="22"/>
  <c r="Y132" i="22"/>
  <c r="Y131" i="22"/>
  <c r="Y130" i="22"/>
  <c r="Y129" i="22"/>
  <c r="Y128" i="22"/>
  <c r="Y127" i="22"/>
  <c r="Y126" i="22"/>
  <c r="Y125" i="22"/>
  <c r="Y124" i="22"/>
  <c r="Y121" i="22"/>
  <c r="Y120" i="22"/>
  <c r="Y119" i="22"/>
  <c r="Y116" i="22"/>
  <c r="Y115" i="22"/>
  <c r="Y114" i="22"/>
  <c r="Y113" i="22"/>
  <c r="Y112" i="22"/>
  <c r="Y109" i="22"/>
  <c r="Y108" i="22"/>
  <c r="Y107" i="22"/>
  <c r="Y104" i="22"/>
  <c r="Y103" i="22"/>
  <c r="Y102" i="22"/>
  <c r="Y101" i="22"/>
  <c r="Y98" i="22"/>
  <c r="Y97" i="22"/>
  <c r="Y96" i="22"/>
  <c r="Y95" i="22"/>
  <c r="Y94" i="22"/>
  <c r="Y91" i="22"/>
  <c r="Y90" i="22"/>
  <c r="Y89" i="22"/>
  <c r="Y92" i="22" s="1"/>
  <c r="Y87" i="22"/>
  <c r="Y86" i="22"/>
  <c r="Y84" i="22"/>
  <c r="Y83" i="22"/>
  <c r="Y82" i="22"/>
  <c r="Y81" i="22"/>
  <c r="Y80" i="22"/>
  <c r="Y76" i="22"/>
  <c r="Y75" i="22"/>
  <c r="Y74" i="22"/>
  <c r="Y73" i="22"/>
  <c r="Y72" i="22"/>
  <c r="Y71" i="22"/>
  <c r="Y70" i="22"/>
  <c r="Y69" i="22"/>
  <c r="Y68" i="22"/>
  <c r="Y67" i="22"/>
  <c r="Y66" i="22"/>
  <c r="Y65" i="22"/>
  <c r="Y64" i="22"/>
  <c r="Y63" i="22"/>
  <c r="Y62" i="22"/>
  <c r="Y59" i="22"/>
  <c r="Y58" i="22"/>
  <c r="Y57" i="22"/>
  <c r="Y55" i="22"/>
  <c r="Y54" i="22"/>
  <c r="Y53" i="22"/>
  <c r="Y52" i="22"/>
  <c r="Y51" i="22"/>
  <c r="Y49" i="22"/>
  <c r="Y48" i="22"/>
  <c r="Y47" i="22"/>
  <c r="Y46" i="22"/>
  <c r="Y43" i="22"/>
  <c r="Y42" i="22"/>
  <c r="Y41" i="22"/>
  <c r="Y39" i="22"/>
  <c r="Y38" i="22"/>
  <c r="Y36" i="22"/>
  <c r="Y35" i="22"/>
  <c r="Y34" i="22"/>
  <c r="Y33" i="22"/>
  <c r="Y32" i="22"/>
  <c r="Y31" i="22"/>
  <c r="Y30" i="22"/>
  <c r="Y28" i="22"/>
  <c r="Y27" i="22"/>
  <c r="Y26" i="22"/>
  <c r="Y24" i="22"/>
  <c r="Y23" i="22"/>
  <c r="Y22" i="22"/>
  <c r="Y21" i="22"/>
  <c r="Y18" i="22"/>
  <c r="Y17" i="22"/>
  <c r="Y14" i="22"/>
  <c r="Y13" i="22"/>
  <c r="Y12" i="22"/>
  <c r="Y10" i="22"/>
  <c r="Y9" i="22"/>
  <c r="Y8" i="22"/>
  <c r="Y7" i="22"/>
  <c r="AQ74" i="21" l="1"/>
  <c r="Y283" i="22"/>
  <c r="Y277" i="22" s="1"/>
  <c r="Y203" i="23"/>
  <c r="Y231" i="23"/>
  <c r="Y226" i="23" s="1"/>
  <c r="AJ269" i="21"/>
  <c r="Y105" i="22"/>
  <c r="Y100" i="22" s="1"/>
  <c r="Y29" i="22"/>
  <c r="Y11" i="22"/>
  <c r="Y50" i="22"/>
  <c r="Y56" i="22"/>
  <c r="Y77" i="22"/>
  <c r="Y61" i="22" s="1"/>
  <c r="Y88" i="22"/>
  <c r="Y162" i="22"/>
  <c r="Y193" i="22"/>
  <c r="Y203" i="22"/>
  <c r="Y209" i="22"/>
  <c r="Y231" i="22"/>
  <c r="Y226" i="22" s="1"/>
  <c r="Y237" i="22"/>
  <c r="Y232" i="22" s="1"/>
  <c r="Y243" i="22"/>
  <c r="Y238" i="22" s="1"/>
  <c r="Y250" i="22"/>
  <c r="Y254" i="22"/>
  <c r="Y258" i="22"/>
  <c r="Y276" i="22"/>
  <c r="Y25" i="23"/>
  <c r="Y29" i="23"/>
  <c r="Y92" i="23"/>
  <c r="Y105" i="23"/>
  <c r="Y100" i="23" s="1"/>
  <c r="Y110" i="23"/>
  <c r="Y106" i="23" s="1"/>
  <c r="Y122" i="23"/>
  <c r="Y118" i="23" s="1"/>
  <c r="Y139" i="23"/>
  <c r="Y134" i="23" s="1"/>
  <c r="Y149" i="23"/>
  <c r="Y140" i="23" s="1"/>
  <c r="Y159" i="23"/>
  <c r="AS75" i="21"/>
  <c r="T56" i="21"/>
  <c r="R276" i="21"/>
  <c r="U193" i="21"/>
  <c r="AE13" i="21"/>
  <c r="AF13" i="21" s="1"/>
  <c r="AR13" i="21" s="1"/>
  <c r="Y258" i="21"/>
  <c r="R258" i="21"/>
  <c r="AM162" i="21"/>
  <c r="T258" i="21"/>
  <c r="AX151" i="21"/>
  <c r="T110" i="21"/>
  <c r="T106" i="21" s="1"/>
  <c r="AE98" i="21"/>
  <c r="AF98" i="21" s="1"/>
  <c r="AR98" i="21" s="1"/>
  <c r="T231" i="21"/>
  <c r="T226" i="21" s="1"/>
  <c r="AB162" i="21"/>
  <c r="S162" i="21"/>
  <c r="Y88" i="21"/>
  <c r="T273" i="21"/>
  <c r="AF267" i="21"/>
  <c r="AR267" i="21" s="1"/>
  <c r="U117" i="21"/>
  <c r="U111" i="21" s="1"/>
  <c r="U15" i="21"/>
  <c r="T149" i="21"/>
  <c r="T140" i="21" s="1"/>
  <c r="AE107" i="21"/>
  <c r="AE76" i="21"/>
  <c r="AF76" i="21" s="1"/>
  <c r="AR76" i="21" s="1"/>
  <c r="AU44" i="21"/>
  <c r="AU40" i="21" s="1"/>
  <c r="Y19" i="21"/>
  <c r="Y16" i="21" s="1"/>
  <c r="AE281" i="21"/>
  <c r="AF281" i="21" s="1"/>
  <c r="AR281" i="21" s="1"/>
  <c r="Y283" i="21"/>
  <c r="Y277" i="21" s="1"/>
  <c r="R283" i="21"/>
  <c r="R277" i="21" s="1"/>
  <c r="AZ259" i="21"/>
  <c r="AV259" i="21"/>
  <c r="AE227" i="21"/>
  <c r="AF227" i="21" s="1"/>
  <c r="T190" i="21"/>
  <c r="AE54" i="21"/>
  <c r="AF54" i="21" s="1"/>
  <c r="AR54" i="21" s="1"/>
  <c r="AD269" i="21"/>
  <c r="Y268" i="21"/>
  <c r="U254" i="21"/>
  <c r="Y254" i="21"/>
  <c r="R254" i="21"/>
  <c r="AQ248" i="21"/>
  <c r="AU248" i="21" s="1"/>
  <c r="T250" i="21"/>
  <c r="Y225" i="21"/>
  <c r="Y221" i="21" s="1"/>
  <c r="R225" i="21"/>
  <c r="R221" i="21" s="1"/>
  <c r="U220" i="21"/>
  <c r="U213" i="21" s="1"/>
  <c r="AU204" i="21"/>
  <c r="Y193" i="21"/>
  <c r="R193" i="21"/>
  <c r="AE165" i="21"/>
  <c r="AF165" i="21" s="1"/>
  <c r="AR165" i="21" s="1"/>
  <c r="AB156" i="21"/>
  <c r="AE136" i="21"/>
  <c r="AF136" i="21" s="1"/>
  <c r="AR136" i="21" s="1"/>
  <c r="AE102" i="21"/>
  <c r="AF102" i="21" s="1"/>
  <c r="AR102" i="21" s="1"/>
  <c r="AB99" i="21"/>
  <c r="AB93" i="21" s="1"/>
  <c r="AE90" i="21"/>
  <c r="AF90" i="21" s="1"/>
  <c r="AR90" i="21" s="1"/>
  <c r="T276" i="21"/>
  <c r="T263" i="21"/>
  <c r="L263" i="21"/>
  <c r="L258" i="21"/>
  <c r="AF191" i="21"/>
  <c r="T193" i="21"/>
  <c r="BA182" i="21"/>
  <c r="AW182" i="21"/>
  <c r="AK182" i="21"/>
  <c r="AE130" i="21"/>
  <c r="AF130" i="21" s="1"/>
  <c r="AR130" i="21" s="1"/>
  <c r="AE128" i="21"/>
  <c r="AF128" i="21" s="1"/>
  <c r="AR128" i="21" s="1"/>
  <c r="AF81" i="21"/>
  <c r="AR81" i="21" s="1"/>
  <c r="AS74" i="21"/>
  <c r="AE58" i="21"/>
  <c r="AF58" i="21" s="1"/>
  <c r="AR58" i="21" s="1"/>
  <c r="R60" i="21"/>
  <c r="Y60" i="21"/>
  <c r="AE47" i="21"/>
  <c r="AF47" i="21" s="1"/>
  <c r="AR47" i="21" s="1"/>
  <c r="T44" i="21"/>
  <c r="T40" i="21" s="1"/>
  <c r="U44" i="21"/>
  <c r="U40" i="21" s="1"/>
  <c r="AE33" i="21"/>
  <c r="AF33" i="21" s="1"/>
  <c r="AR33" i="21" s="1"/>
  <c r="AE287" i="21"/>
  <c r="AF287" i="21" s="1"/>
  <c r="AR287" i="21" s="1"/>
  <c r="AB289" i="21"/>
  <c r="AB284" i="21" s="1"/>
  <c r="S289" i="21"/>
  <c r="S284" i="21" s="1"/>
  <c r="AF257" i="21"/>
  <c r="AR257" i="21" s="1"/>
  <c r="T212" i="21"/>
  <c r="U168" i="21"/>
  <c r="AE74" i="21"/>
  <c r="AF74" i="21" s="1"/>
  <c r="AR74" i="21" s="1"/>
  <c r="Y44" i="21"/>
  <c r="Y40" i="21" s="1"/>
  <c r="AF38" i="21"/>
  <c r="AR38" i="21" s="1"/>
  <c r="AR39" i="21" s="1"/>
  <c r="AE24" i="21"/>
  <c r="AF24" i="21" s="1"/>
  <c r="AR24" i="21" s="1"/>
  <c r="U243" i="21"/>
  <c r="U238" i="21" s="1"/>
  <c r="R159" i="21"/>
  <c r="T139" i="21"/>
  <c r="T134" i="21" s="1"/>
  <c r="AM25" i="21"/>
  <c r="L289" i="21"/>
  <c r="L284" i="21" s="1"/>
  <c r="AY269" i="21"/>
  <c r="AE270" i="21"/>
  <c r="AF270" i="21" s="1"/>
  <c r="AL259" i="21"/>
  <c r="AF266" i="21"/>
  <c r="AR266" i="21" s="1"/>
  <c r="AB263" i="21"/>
  <c r="S263" i="21"/>
  <c r="L254" i="21"/>
  <c r="AE251" i="21"/>
  <c r="S254" i="21"/>
  <c r="AS240" i="21"/>
  <c r="AE233" i="21"/>
  <c r="AF233" i="21" s="1"/>
  <c r="AR233" i="21" s="1"/>
  <c r="R237" i="21"/>
  <c r="R232" i="21" s="1"/>
  <c r="Y231" i="21"/>
  <c r="Y226" i="21" s="1"/>
  <c r="R231" i="21"/>
  <c r="R226" i="21" s="1"/>
  <c r="AE210" i="21"/>
  <c r="AF210" i="21" s="1"/>
  <c r="AE206" i="21"/>
  <c r="AF206" i="21" s="1"/>
  <c r="AR206" i="21" s="1"/>
  <c r="S209" i="21"/>
  <c r="AE205" i="21"/>
  <c r="AE201" i="21"/>
  <c r="AF201" i="21" s="1"/>
  <c r="AR201" i="21" s="1"/>
  <c r="AE200" i="21"/>
  <c r="U196" i="21"/>
  <c r="L196" i="21"/>
  <c r="AE172" i="21"/>
  <c r="AF172" i="21" s="1"/>
  <c r="AR172" i="21" s="1"/>
  <c r="AU151" i="21"/>
  <c r="AE155" i="21"/>
  <c r="AF155" i="21" s="1"/>
  <c r="AR155" i="21" s="1"/>
  <c r="AE144" i="21"/>
  <c r="AF144" i="21" s="1"/>
  <c r="AR144" i="21" s="1"/>
  <c r="AE143" i="21"/>
  <c r="AF143" i="21" s="1"/>
  <c r="AR143" i="21" s="1"/>
  <c r="U139" i="21"/>
  <c r="U134" i="21" s="1"/>
  <c r="Y139" i="21"/>
  <c r="Y134" i="21" s="1"/>
  <c r="R139" i="21"/>
  <c r="R134" i="21" s="1"/>
  <c r="AE129" i="21"/>
  <c r="AF129" i="21" s="1"/>
  <c r="AR129" i="21" s="1"/>
  <c r="AE126" i="21"/>
  <c r="AF126" i="21" s="1"/>
  <c r="AR126" i="21" s="1"/>
  <c r="AE116" i="21"/>
  <c r="AF116" i="21" s="1"/>
  <c r="AR116" i="21" s="1"/>
  <c r="R110" i="21"/>
  <c r="R106" i="21" s="1"/>
  <c r="S110" i="21"/>
  <c r="S106" i="21" s="1"/>
  <c r="AM99" i="21"/>
  <c r="AM93" i="21" s="1"/>
  <c r="AM88" i="21"/>
  <c r="T77" i="21"/>
  <c r="T61" i="21" s="1"/>
  <c r="AE18" i="21"/>
  <c r="AF18" i="21" s="1"/>
  <c r="AR18" i="21" s="1"/>
  <c r="AY6" i="21"/>
  <c r="AE7" i="21"/>
  <c r="AF7" i="21" s="1"/>
  <c r="S11" i="21"/>
  <c r="S6" i="21" s="1"/>
  <c r="U276" i="21"/>
  <c r="Y273" i="21"/>
  <c r="Y269" i="21" s="1"/>
  <c r="R273" i="21"/>
  <c r="R269" i="21" s="1"/>
  <c r="S231" i="21"/>
  <c r="S226" i="21" s="1"/>
  <c r="U203" i="21"/>
  <c r="Y181" i="21"/>
  <c r="R181" i="21"/>
  <c r="AY151" i="21"/>
  <c r="AN156" i="21"/>
  <c r="T156" i="21"/>
  <c r="L149" i="21"/>
  <c r="L140" i="21" s="1"/>
  <c r="T122" i="21"/>
  <c r="T118" i="21" s="1"/>
  <c r="U88" i="21"/>
  <c r="AX79" i="21"/>
  <c r="AF80" i="21"/>
  <c r="S85" i="21"/>
  <c r="AB60" i="21"/>
  <c r="S60" i="21"/>
  <c r="AM29" i="21"/>
  <c r="AF28" i="21"/>
  <c r="AR28" i="21" s="1"/>
  <c r="AF27" i="21"/>
  <c r="AR27" i="21" s="1"/>
  <c r="S29" i="21"/>
  <c r="AN23" i="21"/>
  <c r="AS23" i="21" s="1"/>
  <c r="AE22" i="21"/>
  <c r="AD6" i="21"/>
  <c r="T11" i="21"/>
  <c r="AM289" i="21"/>
  <c r="AM284" i="21" s="1"/>
  <c r="T289" i="21"/>
  <c r="T284" i="21" s="1"/>
  <c r="AE280" i="21"/>
  <c r="AF280" i="21" s="1"/>
  <c r="AR280" i="21" s="1"/>
  <c r="T283" i="21"/>
  <c r="T277" i="21" s="1"/>
  <c r="L276" i="21"/>
  <c r="AS273" i="21"/>
  <c r="AM254" i="21"/>
  <c r="AF252" i="21"/>
  <c r="AR252" i="21" s="1"/>
  <c r="AE236" i="21"/>
  <c r="AF236" i="21" s="1"/>
  <c r="AR236" i="21" s="1"/>
  <c r="AE235" i="21"/>
  <c r="AF235" i="21" s="1"/>
  <c r="AR235" i="21" s="1"/>
  <c r="S237" i="21"/>
  <c r="S232" i="21" s="1"/>
  <c r="AE216" i="21"/>
  <c r="AF216" i="21" s="1"/>
  <c r="AR216" i="21" s="1"/>
  <c r="AE215" i="21"/>
  <c r="AF215" i="21" s="1"/>
  <c r="AR215" i="21" s="1"/>
  <c r="AT215" i="21" s="1"/>
  <c r="Y209" i="21"/>
  <c r="R209" i="21"/>
  <c r="AY198" i="21"/>
  <c r="AE199" i="21"/>
  <c r="AF199" i="21" s="1"/>
  <c r="AE195" i="21"/>
  <c r="AF195" i="21" s="1"/>
  <c r="AR195" i="21" s="1"/>
  <c r="AL182" i="21"/>
  <c r="AE189" i="21"/>
  <c r="AF189" i="21" s="1"/>
  <c r="AR189" i="21" s="1"/>
  <c r="AT189" i="21" s="1"/>
  <c r="BB189" i="21" s="1"/>
  <c r="AE180" i="21"/>
  <c r="AF180" i="21" s="1"/>
  <c r="AR180" i="21" s="1"/>
  <c r="AT180" i="21" s="1"/>
  <c r="BB180" i="21" s="1"/>
  <c r="AF177" i="21"/>
  <c r="AR177" i="21" s="1"/>
  <c r="AT172" i="21"/>
  <c r="BB172" i="21" s="1"/>
  <c r="AB178" i="21"/>
  <c r="S178" i="21"/>
  <c r="AF169" i="21"/>
  <c r="AK163" i="21"/>
  <c r="Y168" i="21"/>
  <c r="R168" i="21"/>
  <c r="AM159" i="21"/>
  <c r="AK151" i="21"/>
  <c r="AE147" i="21"/>
  <c r="AF147" i="21" s="1"/>
  <c r="AR147" i="21" s="1"/>
  <c r="U149" i="21"/>
  <c r="U140" i="21" s="1"/>
  <c r="U133" i="21"/>
  <c r="U123" i="21" s="1"/>
  <c r="L122" i="21"/>
  <c r="L118" i="21" s="1"/>
  <c r="AT116" i="21"/>
  <c r="BB116" i="21" s="1"/>
  <c r="R88" i="21"/>
  <c r="Y85" i="21"/>
  <c r="R85" i="21"/>
  <c r="AE72" i="21"/>
  <c r="AF72" i="21" s="1"/>
  <c r="AR72" i="21" s="1"/>
  <c r="Y77" i="21"/>
  <c r="Y61" i="21" s="1"/>
  <c r="R77" i="21"/>
  <c r="R61" i="21" s="1"/>
  <c r="T60" i="21"/>
  <c r="U56" i="21"/>
  <c r="L44" i="21"/>
  <c r="L40" i="21" s="1"/>
  <c r="R44" i="21"/>
  <c r="R40" i="21" s="1"/>
  <c r="AE31" i="21"/>
  <c r="AF31" i="21" s="1"/>
  <c r="AR31" i="21" s="1"/>
  <c r="AB25" i="21"/>
  <c r="U25" i="21"/>
  <c r="S25" i="21"/>
  <c r="U19" i="21"/>
  <c r="U16" i="21" s="1"/>
  <c r="T15" i="21"/>
  <c r="BA6" i="21"/>
  <c r="AW6" i="21"/>
  <c r="L11" i="21"/>
  <c r="U283" i="21"/>
  <c r="U277" i="21" s="1"/>
  <c r="AX269" i="21"/>
  <c r="AK269" i="21"/>
  <c r="U273" i="21"/>
  <c r="L273" i="21"/>
  <c r="R268" i="21"/>
  <c r="AE264" i="21"/>
  <c r="BA259" i="21"/>
  <c r="AW259" i="21"/>
  <c r="AJ259" i="21"/>
  <c r="AB258" i="21"/>
  <c r="S258" i="21"/>
  <c r="AQ251" i="21"/>
  <c r="AF247" i="21"/>
  <c r="AR247" i="21" s="1"/>
  <c r="L250" i="21"/>
  <c r="AE239" i="21"/>
  <c r="AF239" i="21" s="1"/>
  <c r="AM231" i="21"/>
  <c r="AM226" i="21" s="1"/>
  <c r="AE230" i="21"/>
  <c r="AF230" i="21" s="1"/>
  <c r="AR230" i="21" s="1"/>
  <c r="U209" i="21"/>
  <c r="AE204" i="21"/>
  <c r="AF204" i="21" s="1"/>
  <c r="Y203" i="21"/>
  <c r="R203" i="21"/>
  <c r="T196" i="21"/>
  <c r="AE188" i="21"/>
  <c r="AF188" i="21" s="1"/>
  <c r="AR188" i="21" s="1"/>
  <c r="AE186" i="21"/>
  <c r="AF186" i="21" s="1"/>
  <c r="AR186" i="21" s="1"/>
  <c r="T181" i="21"/>
  <c r="BA163" i="21"/>
  <c r="AW163" i="21"/>
  <c r="AE166" i="21"/>
  <c r="AF166" i="21" s="1"/>
  <c r="AR166" i="21" s="1"/>
  <c r="S168" i="21"/>
  <c r="T168" i="21"/>
  <c r="AC151" i="21"/>
  <c r="AE161" i="21"/>
  <c r="AF161" i="21" s="1"/>
  <c r="AR161" i="21" s="1"/>
  <c r="AQ145" i="21"/>
  <c r="AT128" i="21"/>
  <c r="BB128" i="21" s="1"/>
  <c r="AE114" i="21"/>
  <c r="AF114" i="21" s="1"/>
  <c r="AR114" i="21" s="1"/>
  <c r="Y99" i="21"/>
  <c r="Y93" i="21" s="1"/>
  <c r="R99" i="21"/>
  <c r="R93" i="21" s="1"/>
  <c r="AE95" i="21"/>
  <c r="AF95" i="21" s="1"/>
  <c r="AR95" i="21" s="1"/>
  <c r="AE94" i="21"/>
  <c r="AF94" i="21" s="1"/>
  <c r="S99" i="21"/>
  <c r="S93" i="21" s="1"/>
  <c r="AE89" i="21"/>
  <c r="R92" i="21"/>
  <c r="AE87" i="21"/>
  <c r="AE86" i="21"/>
  <c r="AF86" i="21" s="1"/>
  <c r="U85" i="21"/>
  <c r="AE62" i="21"/>
  <c r="AF62" i="21" s="1"/>
  <c r="AB56" i="21"/>
  <c r="S56" i="21"/>
  <c r="AZ45" i="21"/>
  <c r="AF43" i="21"/>
  <c r="AR43" i="21" s="1"/>
  <c r="AE42" i="21"/>
  <c r="AE44" i="21" s="1"/>
  <c r="AE40" i="21" s="1"/>
  <c r="AT27" i="21"/>
  <c r="AU27" i="21" s="1"/>
  <c r="BB27" i="21" s="1"/>
  <c r="Y29" i="21"/>
  <c r="R29" i="21"/>
  <c r="R19" i="21"/>
  <c r="R16" i="21" s="1"/>
  <c r="AK6" i="21"/>
  <c r="AE10" i="21"/>
  <c r="AF10" i="21" s="1"/>
  <c r="AR10" i="21" s="1"/>
  <c r="Y11" i="21"/>
  <c r="U198" i="21"/>
  <c r="AV269" i="21"/>
  <c r="AC198" i="21"/>
  <c r="AB190" i="21"/>
  <c r="U162" i="21"/>
  <c r="AB149" i="21"/>
  <c r="AB140" i="21" s="1"/>
  <c r="S149" i="21"/>
  <c r="S140" i="21" s="1"/>
  <c r="T105" i="21"/>
  <c r="T100" i="21" s="1"/>
  <c r="U99" i="21"/>
  <c r="U93" i="21" s="1"/>
  <c r="AL79" i="21"/>
  <c r="AC79" i="21"/>
  <c r="R79" i="21"/>
  <c r="AT81" i="21"/>
  <c r="BB81" i="21" s="1"/>
  <c r="AV45" i="21"/>
  <c r="AD45" i="21"/>
  <c r="T50" i="21"/>
  <c r="T45" i="21" s="1"/>
  <c r="L37" i="21"/>
  <c r="AX20" i="21"/>
  <c r="AL20" i="21"/>
  <c r="AB6" i="21"/>
  <c r="L245" i="21"/>
  <c r="AE286" i="21"/>
  <c r="AF286" i="21" s="1"/>
  <c r="AR286" i="21" s="1"/>
  <c r="AN285" i="21"/>
  <c r="AS285" i="21" s="1"/>
  <c r="L283" i="21"/>
  <c r="L277" i="21" s="1"/>
  <c r="BA269" i="21"/>
  <c r="AW269" i="21"/>
  <c r="AE271" i="21"/>
  <c r="AT267" i="21"/>
  <c r="BB267" i="21" s="1"/>
  <c r="AX259" i="21"/>
  <c r="AK259" i="21"/>
  <c r="AF261" i="21"/>
  <c r="AR261" i="21" s="1"/>
  <c r="AM263" i="21"/>
  <c r="U263" i="21"/>
  <c r="M260" i="21"/>
  <c r="AQ260" i="21" s="1"/>
  <c r="AM258" i="21"/>
  <c r="BA245" i="21"/>
  <c r="M252" i="21"/>
  <c r="AQ252" i="21" s="1"/>
  <c r="AJ245" i="21"/>
  <c r="AF248" i="21"/>
  <c r="AR248" i="21" s="1"/>
  <c r="AT248" i="21" s="1"/>
  <c r="BB248" i="21" s="1"/>
  <c r="AS247" i="21"/>
  <c r="AE242" i="21"/>
  <c r="AF242" i="21" s="1"/>
  <c r="AR242" i="21" s="1"/>
  <c r="Y243" i="21"/>
  <c r="Y238" i="21" s="1"/>
  <c r="R243" i="21"/>
  <c r="R238" i="21" s="1"/>
  <c r="AQ234" i="21"/>
  <c r="AB231" i="21"/>
  <c r="AB226" i="21" s="1"/>
  <c r="AM225" i="21"/>
  <c r="AM221" i="21" s="1"/>
  <c r="U225" i="21"/>
  <c r="U221" i="21" s="1"/>
  <c r="AE222" i="21"/>
  <c r="S225" i="21"/>
  <c r="S221" i="21" s="1"/>
  <c r="T220" i="21"/>
  <c r="T213" i="21" s="1"/>
  <c r="AB212" i="21"/>
  <c r="S212" i="21"/>
  <c r="AZ198" i="21"/>
  <c r="AV198" i="21"/>
  <c r="AD198" i="21"/>
  <c r="AE202" i="21"/>
  <c r="AF202" i="21" s="1"/>
  <c r="AR202" i="21" s="1"/>
  <c r="AE192" i="21"/>
  <c r="AF192" i="21" s="1"/>
  <c r="AR192" i="21" s="1"/>
  <c r="AX182" i="21"/>
  <c r="AC182" i="21"/>
  <c r="AE185" i="21"/>
  <c r="AF185" i="21" s="1"/>
  <c r="AR185" i="21" s="1"/>
  <c r="AF184" i="21"/>
  <c r="AR184" i="21" s="1"/>
  <c r="AM178" i="21"/>
  <c r="AE174" i="21"/>
  <c r="AF174" i="21" s="1"/>
  <c r="AR174" i="21" s="1"/>
  <c r="AF173" i="21"/>
  <c r="AR173" i="21" s="1"/>
  <c r="T178" i="21"/>
  <c r="Y178" i="21"/>
  <c r="R178" i="21"/>
  <c r="AF170" i="21"/>
  <c r="AR170" i="21" s="1"/>
  <c r="U178" i="21"/>
  <c r="AX163" i="21"/>
  <c r="AL163" i="21"/>
  <c r="AC163" i="21"/>
  <c r="Y162" i="21"/>
  <c r="R162" i="21"/>
  <c r="AE158" i="21"/>
  <c r="AF158" i="21" s="1"/>
  <c r="AR158" i="21" s="1"/>
  <c r="S159" i="21"/>
  <c r="M148" i="21"/>
  <c r="AQ148" i="21" s="1"/>
  <c r="AE142" i="21"/>
  <c r="AF142" i="21" s="1"/>
  <c r="AR142" i="21" s="1"/>
  <c r="AM149" i="21"/>
  <c r="AM140" i="21" s="1"/>
  <c r="AE132" i="21"/>
  <c r="AF132" i="21" s="1"/>
  <c r="AR132" i="21" s="1"/>
  <c r="T133" i="21"/>
  <c r="T123" i="21" s="1"/>
  <c r="M120" i="21"/>
  <c r="AQ120" i="21" s="1"/>
  <c r="AE119" i="21"/>
  <c r="S122" i="21"/>
  <c r="S118" i="21" s="1"/>
  <c r="T117" i="21"/>
  <c r="T111" i="21" s="1"/>
  <c r="L110" i="21"/>
  <c r="L106" i="21" s="1"/>
  <c r="U110" i="21"/>
  <c r="U106" i="21" s="1"/>
  <c r="AE103" i="21"/>
  <c r="AF103" i="21" s="1"/>
  <c r="AR103" i="21" s="1"/>
  <c r="AN94" i="21"/>
  <c r="AS94" i="21" s="1"/>
  <c r="AM92" i="21"/>
  <c r="BA79" i="21"/>
  <c r="AW79" i="21"/>
  <c r="AN86" i="21"/>
  <c r="AS86" i="21" s="1"/>
  <c r="AY79" i="21"/>
  <c r="AE84" i="21"/>
  <c r="AF84" i="21" s="1"/>
  <c r="AR84" i="21" s="1"/>
  <c r="AF75" i="21"/>
  <c r="AR75" i="21" s="1"/>
  <c r="L77" i="21"/>
  <c r="L61" i="21" s="1"/>
  <c r="AE67" i="21"/>
  <c r="AF67" i="21" s="1"/>
  <c r="AR67" i="21" s="1"/>
  <c r="AF64" i="21"/>
  <c r="AR64" i="21" s="1"/>
  <c r="AE51" i="21"/>
  <c r="AF51" i="21" s="1"/>
  <c r="BA45" i="21"/>
  <c r="AW45" i="21"/>
  <c r="AJ45" i="21"/>
  <c r="AE49" i="21"/>
  <c r="AF49" i="21" s="1"/>
  <c r="AR49" i="21" s="1"/>
  <c r="AE48" i="21"/>
  <c r="AF48" i="21" s="1"/>
  <c r="AR48" i="21" s="1"/>
  <c r="AE36" i="21"/>
  <c r="AF36" i="21" s="1"/>
  <c r="AR36" i="21" s="1"/>
  <c r="AB37" i="21"/>
  <c r="S37" i="21"/>
  <c r="S20" i="21" s="1"/>
  <c r="AE30" i="21"/>
  <c r="AY20" i="21"/>
  <c r="AD20" i="21"/>
  <c r="T19" i="21"/>
  <c r="T16" i="21" s="1"/>
  <c r="AX6" i="21"/>
  <c r="AL6" i="21"/>
  <c r="U11" i="21"/>
  <c r="U6" i="21" s="1"/>
  <c r="M8" i="21"/>
  <c r="AQ8" i="21" s="1"/>
  <c r="AA5" i="21"/>
  <c r="AZ269" i="21"/>
  <c r="L269" i="21"/>
  <c r="AE288" i="21"/>
  <c r="AF288" i="21" s="1"/>
  <c r="AR288" i="21" s="1"/>
  <c r="Y289" i="21"/>
  <c r="Y284" i="21" s="1"/>
  <c r="R289" i="21"/>
  <c r="R284" i="21" s="1"/>
  <c r="AE282" i="21"/>
  <c r="AF282" i="21" s="1"/>
  <c r="AR282" i="21" s="1"/>
  <c r="AE279" i="21"/>
  <c r="AF279" i="21" s="1"/>
  <c r="AR279" i="21" s="1"/>
  <c r="AB283" i="21"/>
  <c r="AB277" i="21" s="1"/>
  <c r="S283" i="21"/>
  <c r="S277" i="21" s="1"/>
  <c r="AC269" i="21"/>
  <c r="AB273" i="21"/>
  <c r="S273" i="21"/>
  <c r="AY259" i="21"/>
  <c r="AC259" i="21"/>
  <c r="AF262" i="21"/>
  <c r="AR262" i="21" s="1"/>
  <c r="AF260" i="21"/>
  <c r="R263" i="21"/>
  <c r="R259" i="21" s="1"/>
  <c r="AX245" i="21"/>
  <c r="AF246" i="21"/>
  <c r="T243" i="21"/>
  <c r="T238" i="21" s="1"/>
  <c r="AE237" i="21"/>
  <c r="AE232" i="21" s="1"/>
  <c r="AF234" i="21"/>
  <c r="AR234" i="21" s="1"/>
  <c r="AR237" i="21" s="1"/>
  <c r="AR232" i="21" s="1"/>
  <c r="L231" i="21"/>
  <c r="L226" i="21" s="1"/>
  <c r="AE229" i="21"/>
  <c r="AF229" i="21" s="1"/>
  <c r="AR229" i="21" s="1"/>
  <c r="AE228" i="21"/>
  <c r="AF228" i="21" s="1"/>
  <c r="AR228" i="21" s="1"/>
  <c r="U231" i="21"/>
  <c r="U226" i="21" s="1"/>
  <c r="T225" i="21"/>
  <c r="T221" i="21" s="1"/>
  <c r="Y220" i="21"/>
  <c r="Y213" i="21" s="1"/>
  <c r="R220" i="21"/>
  <c r="R213" i="21" s="1"/>
  <c r="AF217" i="21"/>
  <c r="AR217" i="21" s="1"/>
  <c r="L220" i="21"/>
  <c r="L213" i="21" s="1"/>
  <c r="AE208" i="21"/>
  <c r="AF208" i="21" s="1"/>
  <c r="AR208" i="21" s="1"/>
  <c r="AE207" i="21"/>
  <c r="AF207" i="21" s="1"/>
  <c r="AR207" i="21" s="1"/>
  <c r="T209" i="21"/>
  <c r="BA198" i="21"/>
  <c r="AJ198" i="21"/>
  <c r="AT195" i="21"/>
  <c r="BB195" i="21" s="1"/>
  <c r="AY182" i="21"/>
  <c r="AD182" i="21"/>
  <c r="AT188" i="21"/>
  <c r="BB188" i="21" s="1"/>
  <c r="L181" i="21"/>
  <c r="U181" i="21"/>
  <c r="AE175" i="21"/>
  <c r="AF175" i="21" s="1"/>
  <c r="AR175" i="21" s="1"/>
  <c r="AT170" i="21"/>
  <c r="BB170" i="21" s="1"/>
  <c r="AY163" i="21"/>
  <c r="AU163" i="21"/>
  <c r="AD163" i="21"/>
  <c r="AF167" i="21"/>
  <c r="AR167" i="21" s="1"/>
  <c r="AE160" i="21"/>
  <c r="T159" i="21"/>
  <c r="AN157" i="21"/>
  <c r="AS157" i="21" s="1"/>
  <c r="AS159" i="21" s="1"/>
  <c r="AM156" i="21"/>
  <c r="AE152" i="21"/>
  <c r="S156" i="21"/>
  <c r="S151" i="21" s="1"/>
  <c r="AT147" i="21"/>
  <c r="AU147" i="21" s="1"/>
  <c r="AE145" i="21"/>
  <c r="AF145" i="21" s="1"/>
  <c r="AR145" i="21" s="1"/>
  <c r="AT145" i="21" s="1"/>
  <c r="BB145" i="21" s="1"/>
  <c r="AN141" i="21"/>
  <c r="M141" i="21"/>
  <c r="AQ141" i="21" s="1"/>
  <c r="L139" i="21"/>
  <c r="L134" i="21" s="1"/>
  <c r="AE137" i="21"/>
  <c r="AF137" i="21" s="1"/>
  <c r="AR137" i="21" s="1"/>
  <c r="AF135" i="21"/>
  <c r="S139" i="21"/>
  <c r="S134" i="21" s="1"/>
  <c r="AE127" i="21"/>
  <c r="AF127" i="21" s="1"/>
  <c r="AR127" i="21" s="1"/>
  <c r="U122" i="21"/>
  <c r="U118" i="21" s="1"/>
  <c r="Y122" i="21"/>
  <c r="Y118" i="21" s="1"/>
  <c r="R122" i="21"/>
  <c r="R118" i="21" s="1"/>
  <c r="AE115" i="21"/>
  <c r="AF115" i="21" s="1"/>
  <c r="AR115" i="21" s="1"/>
  <c r="AE109" i="21"/>
  <c r="AF109" i="21" s="1"/>
  <c r="AR109" i="21" s="1"/>
  <c r="AE108" i="21"/>
  <c r="AF108" i="21" s="1"/>
  <c r="AR108" i="21" s="1"/>
  <c r="Y105" i="21"/>
  <c r="Y100" i="21" s="1"/>
  <c r="R105" i="21"/>
  <c r="R100" i="21" s="1"/>
  <c r="AE101" i="21"/>
  <c r="AE97" i="21"/>
  <c r="AF97" i="21" s="1"/>
  <c r="AR97" i="21" s="1"/>
  <c r="AE96" i="21"/>
  <c r="AF96" i="21" s="1"/>
  <c r="AR96" i="21" s="1"/>
  <c r="T92" i="21"/>
  <c r="L92" i="21"/>
  <c r="AZ79" i="21"/>
  <c r="AV79" i="21"/>
  <c r="AJ79" i="21"/>
  <c r="AF82" i="21"/>
  <c r="AR82" i="21" s="1"/>
  <c r="T85" i="21"/>
  <c r="AQ76" i="21"/>
  <c r="AU76" i="21" s="1"/>
  <c r="AE71" i="21"/>
  <c r="AF71" i="21" s="1"/>
  <c r="AR71" i="21" s="1"/>
  <c r="AE70" i="21"/>
  <c r="AF70" i="21" s="1"/>
  <c r="AR70" i="21" s="1"/>
  <c r="AY70" i="21" s="1"/>
  <c r="AF66" i="21"/>
  <c r="AR66" i="21" s="1"/>
  <c r="AF65" i="21"/>
  <c r="AR65" i="21" s="1"/>
  <c r="AE59" i="21"/>
  <c r="AF59" i="21" s="1"/>
  <c r="AR59" i="21" s="1"/>
  <c r="AM60" i="21"/>
  <c r="U60" i="21"/>
  <c r="L56" i="21"/>
  <c r="AE53" i="21"/>
  <c r="AX45" i="21"/>
  <c r="AX5" i="21" s="1"/>
  <c r="AX292" i="21" s="1"/>
  <c r="AK45" i="21"/>
  <c r="AB50" i="21"/>
  <c r="AB45" i="21" s="1"/>
  <c r="AE46" i="21"/>
  <c r="R50" i="21"/>
  <c r="R45" i="21" s="1"/>
  <c r="AF41" i="21"/>
  <c r="S44" i="21"/>
  <c r="S40" i="21" s="1"/>
  <c r="AM39" i="21"/>
  <c r="AF39" i="21"/>
  <c r="AM37" i="21"/>
  <c r="AE32" i="21"/>
  <c r="AF32" i="21" s="1"/>
  <c r="AR32" i="21" s="1"/>
  <c r="R37" i="21"/>
  <c r="AB29" i="21"/>
  <c r="AB20" i="21" s="1"/>
  <c r="U29" i="21"/>
  <c r="AZ20" i="21"/>
  <c r="AV20" i="21"/>
  <c r="AJ20" i="21"/>
  <c r="AJ5" i="21" s="1"/>
  <c r="AE23" i="21"/>
  <c r="AF23" i="21" s="1"/>
  <c r="AR23" i="21" s="1"/>
  <c r="T25" i="21"/>
  <c r="L19" i="21"/>
  <c r="L16" i="21" s="1"/>
  <c r="Z5" i="21"/>
  <c r="AM11" i="21"/>
  <c r="T268" i="21"/>
  <c r="AL198" i="21"/>
  <c r="S190" i="21"/>
  <c r="S182" i="21" s="1"/>
  <c r="U289" i="21"/>
  <c r="U284" i="21" s="1"/>
  <c r="AM283" i="21"/>
  <c r="AM277" i="21" s="1"/>
  <c r="AE274" i="21"/>
  <c r="AF274" i="21" s="1"/>
  <c r="AL269" i="21"/>
  <c r="T269" i="21"/>
  <c r="AE265" i="21"/>
  <c r="AF265" i="21" s="1"/>
  <c r="AR265" i="21" s="1"/>
  <c r="AB268" i="21"/>
  <c r="AB259" i="21" s="1"/>
  <c r="S268" i="21"/>
  <c r="S259" i="21" s="1"/>
  <c r="AF255" i="21"/>
  <c r="AR255" i="21" s="1"/>
  <c r="U258" i="21"/>
  <c r="AE253" i="21"/>
  <c r="AF253" i="21" s="1"/>
  <c r="AR253" i="21" s="1"/>
  <c r="T254" i="21"/>
  <c r="T245" i="21" s="1"/>
  <c r="AS252" i="21"/>
  <c r="AS254" i="21" s="1"/>
  <c r="U250" i="21"/>
  <c r="L243" i="21"/>
  <c r="L238" i="21" s="1"/>
  <c r="AE241" i="21"/>
  <c r="AF241" i="21" s="1"/>
  <c r="AR241" i="21" s="1"/>
  <c r="Y237" i="21"/>
  <c r="Y232" i="21" s="1"/>
  <c r="AT236" i="21"/>
  <c r="AU236" i="21" s="1"/>
  <c r="BB236" i="21" s="1"/>
  <c r="U237" i="21"/>
  <c r="U232" i="21" s="1"/>
  <c r="AE224" i="21"/>
  <c r="AF224" i="21" s="1"/>
  <c r="AR224" i="21" s="1"/>
  <c r="AT224" i="21" s="1"/>
  <c r="BB224" i="21" s="1"/>
  <c r="AE223" i="21"/>
  <c r="AF223" i="21" s="1"/>
  <c r="AR223" i="21" s="1"/>
  <c r="AS225" i="21"/>
  <c r="AS221" i="21" s="1"/>
  <c r="AF219" i="21"/>
  <c r="AR219" i="21" s="1"/>
  <c r="AF218" i="21"/>
  <c r="AR218" i="21" s="1"/>
  <c r="AT218" i="21" s="1"/>
  <c r="AU218" i="21" s="1"/>
  <c r="BB218" i="21" s="1"/>
  <c r="AE214" i="21"/>
  <c r="S220" i="21"/>
  <c r="S213" i="21" s="1"/>
  <c r="AX198" i="21"/>
  <c r="AK198" i="21"/>
  <c r="AK197" i="21" s="1"/>
  <c r="AT202" i="21"/>
  <c r="BB202" i="21" s="1"/>
  <c r="AB203" i="21"/>
  <c r="S203" i="21"/>
  <c r="T203" i="21"/>
  <c r="Y196" i="21"/>
  <c r="R196" i="21"/>
  <c r="AE194" i="21"/>
  <c r="S196" i="21"/>
  <c r="L193" i="21"/>
  <c r="AB193" i="21"/>
  <c r="S193" i="21"/>
  <c r="AZ182" i="21"/>
  <c r="AV182" i="21"/>
  <c r="AJ182" i="21"/>
  <c r="L190" i="21"/>
  <c r="L182" i="21" s="1"/>
  <c r="AE187" i="21"/>
  <c r="AF187" i="21" s="1"/>
  <c r="AR187" i="21" s="1"/>
  <c r="AT187" i="21" s="1"/>
  <c r="BB187" i="21" s="1"/>
  <c r="U190" i="21"/>
  <c r="U182" i="21" s="1"/>
  <c r="Y190" i="21"/>
  <c r="R190" i="21"/>
  <c r="AB181" i="21"/>
  <c r="S181" i="21"/>
  <c r="AE176" i="21"/>
  <c r="AF176" i="21" s="1"/>
  <c r="AR176" i="21" s="1"/>
  <c r="AF171" i="21"/>
  <c r="AR171" i="21" s="1"/>
  <c r="AT171" i="21" s="1"/>
  <c r="BB171" i="21" s="1"/>
  <c r="AZ163" i="21"/>
  <c r="AV163" i="21"/>
  <c r="AJ163" i="21"/>
  <c r="AE164" i="21"/>
  <c r="AD151" i="21"/>
  <c r="AD150" i="21" s="1"/>
  <c r="U159" i="21"/>
  <c r="AJ151" i="21"/>
  <c r="AE146" i="21"/>
  <c r="AF146" i="21" s="1"/>
  <c r="AR146" i="21" s="1"/>
  <c r="AT146" i="21" s="1"/>
  <c r="BB146" i="21" s="1"/>
  <c r="Y149" i="21"/>
  <c r="Y140" i="21" s="1"/>
  <c r="R149" i="21"/>
  <c r="R140" i="21" s="1"/>
  <c r="AE138" i="21"/>
  <c r="AF138" i="21" s="1"/>
  <c r="AR138" i="21" s="1"/>
  <c r="AM139" i="21"/>
  <c r="AM134" i="21" s="1"/>
  <c r="AE131" i="21"/>
  <c r="AF131" i="21" s="1"/>
  <c r="AR131" i="21" s="1"/>
  <c r="AE125" i="21"/>
  <c r="AF125" i="21" s="1"/>
  <c r="AR125" i="21" s="1"/>
  <c r="AT125" i="21" s="1"/>
  <c r="BB125" i="21" s="1"/>
  <c r="AE124" i="21"/>
  <c r="S133" i="21"/>
  <c r="S123" i="21" s="1"/>
  <c r="AE121" i="21"/>
  <c r="AF121" i="21" s="1"/>
  <c r="AR121" i="21" s="1"/>
  <c r="AT121" i="21" s="1"/>
  <c r="BB121" i="21" s="1"/>
  <c r="AE120" i="21"/>
  <c r="AF120" i="21" s="1"/>
  <c r="AR120" i="21" s="1"/>
  <c r="Y117" i="21"/>
  <c r="Y111" i="21" s="1"/>
  <c r="R117" i="21"/>
  <c r="R111" i="21" s="1"/>
  <c r="AE113" i="21"/>
  <c r="AF113" i="21" s="1"/>
  <c r="AR113" i="21" s="1"/>
  <c r="AT113" i="21" s="1"/>
  <c r="BB113" i="21" s="1"/>
  <c r="AE112" i="21"/>
  <c r="S117" i="21"/>
  <c r="S111" i="21" s="1"/>
  <c r="Y110" i="21"/>
  <c r="Y106" i="21" s="1"/>
  <c r="AE104" i="21"/>
  <c r="AF104" i="21" s="1"/>
  <c r="AR104" i="21" s="1"/>
  <c r="AT104" i="21" s="1"/>
  <c r="BB104" i="21" s="1"/>
  <c r="AB105" i="21"/>
  <c r="AB100" i="21" s="1"/>
  <c r="S105" i="21"/>
  <c r="S100" i="21" s="1"/>
  <c r="Y92" i="21"/>
  <c r="Y79" i="21" s="1"/>
  <c r="AE91" i="21"/>
  <c r="AF91" i="21" s="1"/>
  <c r="AR91" i="21" s="1"/>
  <c r="AT91" i="21" s="1"/>
  <c r="BB91" i="21" s="1"/>
  <c r="S92" i="21"/>
  <c r="U92" i="21"/>
  <c r="M89" i="21"/>
  <c r="AQ89" i="21" s="1"/>
  <c r="T88" i="21"/>
  <c r="T79" i="21" s="1"/>
  <c r="T78" i="21" s="1"/>
  <c r="AE83" i="21"/>
  <c r="AS76" i="21"/>
  <c r="AQ75" i="21"/>
  <c r="AE63" i="21"/>
  <c r="AF63" i="21" s="1"/>
  <c r="AR63" i="21" s="1"/>
  <c r="AT63" i="21" s="1"/>
  <c r="BB63" i="21" s="1"/>
  <c r="AE55" i="21"/>
  <c r="AF55" i="21" s="1"/>
  <c r="AR55" i="21" s="1"/>
  <c r="R56" i="21"/>
  <c r="AF52" i="21"/>
  <c r="AR52" i="21" s="1"/>
  <c r="AL45" i="21"/>
  <c r="AC45" i="21"/>
  <c r="AM50" i="21"/>
  <c r="AE35" i="21"/>
  <c r="AF35" i="21" s="1"/>
  <c r="AR35" i="21" s="1"/>
  <c r="T37" i="21"/>
  <c r="T29" i="21"/>
  <c r="BA20" i="21"/>
  <c r="AW20" i="21"/>
  <c r="AK20" i="21"/>
  <c r="Y25" i="21"/>
  <c r="R25" i="21"/>
  <c r="AE17" i="21"/>
  <c r="S19" i="21"/>
  <c r="S16" i="21" s="1"/>
  <c r="AM15" i="21"/>
  <c r="Y15" i="21"/>
  <c r="R15" i="21"/>
  <c r="AE12" i="21"/>
  <c r="AF12" i="21" s="1"/>
  <c r="AZ6" i="21"/>
  <c r="AV6" i="21"/>
  <c r="AJ6" i="21"/>
  <c r="AE9" i="21"/>
  <c r="AF9" i="21" s="1"/>
  <c r="AR9" i="21" s="1"/>
  <c r="AT9" i="21" s="1"/>
  <c r="AE8" i="21"/>
  <c r="AT282" i="21"/>
  <c r="AU282" i="21"/>
  <c r="BB282" i="21" s="1"/>
  <c r="AU281" i="21"/>
  <c r="AT281" i="21"/>
  <c r="M283" i="21"/>
  <c r="M277" i="21" s="1"/>
  <c r="AQ278" i="21"/>
  <c r="AE268" i="21"/>
  <c r="AE259" i="21" s="1"/>
  <c r="AF264" i="21"/>
  <c r="AN258" i="21"/>
  <c r="AS255" i="21"/>
  <c r="AS258" i="21" s="1"/>
  <c r="AF251" i="21"/>
  <c r="AT288" i="21"/>
  <c r="AU288" i="21" s="1"/>
  <c r="BB288" i="21" s="1"/>
  <c r="T259" i="21"/>
  <c r="AT257" i="21"/>
  <c r="BB257" i="21" s="1"/>
  <c r="M289" i="21"/>
  <c r="M284" i="21" s="1"/>
  <c r="AQ285" i="21"/>
  <c r="AN283" i="21"/>
  <c r="AN277" i="21" s="1"/>
  <c r="AS279" i="21"/>
  <c r="AS283" i="21" s="1"/>
  <c r="AS277" i="21" s="1"/>
  <c r="AE273" i="21"/>
  <c r="AF271" i="21"/>
  <c r="AR271" i="21" s="1"/>
  <c r="AS264" i="21"/>
  <c r="AS268" i="21" s="1"/>
  <c r="AN268" i="21"/>
  <c r="AU262" i="21"/>
  <c r="AT262" i="21"/>
  <c r="AU260" i="21"/>
  <c r="AQ263" i="21"/>
  <c r="BA244" i="21"/>
  <c r="AJ244" i="21"/>
  <c r="AN289" i="21"/>
  <c r="AN284" i="21" s="1"/>
  <c r="AS286" i="21"/>
  <c r="AT280" i="21"/>
  <c r="AU280" i="21"/>
  <c r="AN276" i="21"/>
  <c r="AS274" i="21"/>
  <c r="AS276" i="21" s="1"/>
  <c r="AS269" i="21" s="1"/>
  <c r="AU261" i="21"/>
  <c r="AT261" i="21"/>
  <c r="AR260" i="21"/>
  <c r="AR263" i="21" s="1"/>
  <c r="AF263" i="21"/>
  <c r="AR239" i="21"/>
  <c r="AB269" i="21"/>
  <c r="S269" i="21"/>
  <c r="AX244" i="21"/>
  <c r="M276" i="21"/>
  <c r="AQ275" i="21"/>
  <c r="AQ276" i="21" s="1"/>
  <c r="AU272" i="21"/>
  <c r="AU271" i="21"/>
  <c r="AT271" i="21"/>
  <c r="AR270" i="21"/>
  <c r="AU255" i="21"/>
  <c r="AQ258" i="21"/>
  <c r="AT265" i="21"/>
  <c r="BB265" i="21" s="1"/>
  <c r="U245" i="21"/>
  <c r="AT241" i="21"/>
  <c r="AU241" i="21" s="1"/>
  <c r="BB241" i="21" s="1"/>
  <c r="M253" i="21"/>
  <c r="AQ253" i="21" s="1"/>
  <c r="AB243" i="21"/>
  <c r="AB238" i="21" s="1"/>
  <c r="AE240" i="21"/>
  <c r="AF240" i="21" s="1"/>
  <c r="AR240" i="21" s="1"/>
  <c r="AT240" i="21" s="1"/>
  <c r="AU240" i="21" s="1"/>
  <c r="BB240" i="21" s="1"/>
  <c r="AU229" i="21"/>
  <c r="AT229" i="21"/>
  <c r="AS214" i="21"/>
  <c r="AS220" i="21" s="1"/>
  <c r="AS213" i="21" s="1"/>
  <c r="AN220" i="21"/>
  <c r="AN213" i="21" s="1"/>
  <c r="AE209" i="21"/>
  <c r="AF205" i="21"/>
  <c r="AR205" i="21" s="1"/>
  <c r="AE203" i="21"/>
  <c r="AF200" i="21"/>
  <c r="AR200" i="21" s="1"/>
  <c r="AN203" i="21"/>
  <c r="AS199" i="21"/>
  <c r="AS203" i="21" s="1"/>
  <c r="AQ199" i="21"/>
  <c r="M203" i="21"/>
  <c r="AF193" i="21"/>
  <c r="AR191" i="21"/>
  <c r="AR193" i="21" s="1"/>
  <c r="AS179" i="21"/>
  <c r="AS181" i="21" s="1"/>
  <c r="AN181" i="21"/>
  <c r="AR169" i="21"/>
  <c r="AS164" i="21"/>
  <c r="AS168" i="21" s="1"/>
  <c r="AN168" i="21"/>
  <c r="AQ162" i="21"/>
  <c r="AS287" i="21"/>
  <c r="AT287" i="21" s="1"/>
  <c r="AU287" i="21" s="1"/>
  <c r="AE285" i="21"/>
  <c r="AE278" i="21"/>
  <c r="AE275" i="21"/>
  <c r="AF275" i="21" s="1"/>
  <c r="AR275" i="21" s="1"/>
  <c r="AM273" i="21"/>
  <c r="AF272" i="21"/>
  <c r="AR272" i="21" s="1"/>
  <c r="AT272" i="21" s="1"/>
  <c r="M270" i="21"/>
  <c r="AM268" i="21"/>
  <c r="AM259" i="21" s="1"/>
  <c r="M266" i="21"/>
  <c r="M268" i="21" s="1"/>
  <c r="AD263" i="21"/>
  <c r="AD259" i="21" s="1"/>
  <c r="M263" i="21"/>
  <c r="AN260" i="21"/>
  <c r="M258" i="21"/>
  <c r="AE256" i="21"/>
  <c r="AB254" i="21"/>
  <c r="M254" i="21"/>
  <c r="AK245" i="21"/>
  <c r="AK244" i="21" s="1"/>
  <c r="AS249" i="21"/>
  <c r="AE249" i="21"/>
  <c r="M247" i="21"/>
  <c r="M250" i="21" s="1"/>
  <c r="AN246" i="21"/>
  <c r="AN250" i="21" s="1"/>
  <c r="Y250" i="21"/>
  <c r="Y245" i="21" s="1"/>
  <c r="R250" i="21"/>
  <c r="R245" i="21" s="1"/>
  <c r="R244" i="21" s="1"/>
  <c r="AN242" i="21"/>
  <c r="AN243" i="21" s="1"/>
  <c r="AN238" i="21" s="1"/>
  <c r="S243" i="21"/>
  <c r="S238" i="21" s="1"/>
  <c r="M239" i="21"/>
  <c r="M243" i="21" s="1"/>
  <c r="M238" i="21" s="1"/>
  <c r="AM237" i="21"/>
  <c r="AM232" i="21" s="1"/>
  <c r="AF237" i="21"/>
  <c r="AF232" i="21" s="1"/>
  <c r="AB237" i="21"/>
  <c r="AB232" i="21" s="1"/>
  <c r="AS235" i="21"/>
  <c r="AT235" i="21" s="1"/>
  <c r="AU235" i="21" s="1"/>
  <c r="BB235" i="21" s="1"/>
  <c r="T237" i="21"/>
  <c r="T232" i="21" s="1"/>
  <c r="AT208" i="21"/>
  <c r="AU208" i="21" s="1"/>
  <c r="BB208" i="21" s="1"/>
  <c r="AT207" i="21"/>
  <c r="AU207" i="21" s="1"/>
  <c r="BB207" i="21" s="1"/>
  <c r="AY197" i="21"/>
  <c r="AL197" i="21"/>
  <c r="Y198" i="21"/>
  <c r="Y197" i="21" s="1"/>
  <c r="R198" i="21"/>
  <c r="R197" i="21" s="1"/>
  <c r="T182" i="21"/>
  <c r="AT186" i="21"/>
  <c r="BB186" i="21" s="1"/>
  <c r="AT185" i="21"/>
  <c r="BB185" i="21" s="1"/>
  <c r="AT175" i="21"/>
  <c r="BB175" i="21" s="1"/>
  <c r="U163" i="21"/>
  <c r="Y163" i="21"/>
  <c r="R163" i="21"/>
  <c r="S163" i="21"/>
  <c r="T163" i="21"/>
  <c r="AX150" i="21"/>
  <c r="AT161" i="21"/>
  <c r="BB161" i="21" s="1"/>
  <c r="AY150" i="21"/>
  <c r="AR227" i="21"/>
  <c r="AR231" i="21" s="1"/>
  <c r="AR226" i="21" s="1"/>
  <c r="AF231" i="21"/>
  <c r="AF226" i="21" s="1"/>
  <c r="AF222" i="21"/>
  <c r="AQ214" i="21"/>
  <c r="AR210" i="21"/>
  <c r="AQ191" i="21"/>
  <c r="M193" i="21"/>
  <c r="AS183" i="21"/>
  <c r="AS190" i="21" s="1"/>
  <c r="AN190" i="21"/>
  <c r="M181" i="21"/>
  <c r="AQ179" i="21"/>
  <c r="AN178" i="21"/>
  <c r="AS169" i="21"/>
  <c r="AS178" i="21" s="1"/>
  <c r="AQ169" i="21"/>
  <c r="M178" i="21"/>
  <c r="AQ165" i="21"/>
  <c r="AT165" i="21" s="1"/>
  <c r="BB165" i="21" s="1"/>
  <c r="M168" i="21"/>
  <c r="AM276" i="21"/>
  <c r="AN273" i="21"/>
  <c r="L268" i="21"/>
  <c r="L259" i="21" s="1"/>
  <c r="L244" i="21" s="1"/>
  <c r="AQ264" i="21"/>
  <c r="Y263" i="21"/>
  <c r="Y259" i="21" s="1"/>
  <c r="AN254" i="21"/>
  <c r="AC254" i="21"/>
  <c r="AY245" i="21"/>
  <c r="AY244" i="21" s="1"/>
  <c r="AL245" i="21"/>
  <c r="AC250" i="21"/>
  <c r="AB250" i="21"/>
  <c r="S250" i="21"/>
  <c r="S245" i="21" s="1"/>
  <c r="AM243" i="21"/>
  <c r="AM238" i="21" s="1"/>
  <c r="AT223" i="21"/>
  <c r="AU223" i="21" s="1"/>
  <c r="BB223" i="21" s="1"/>
  <c r="AT219" i="21"/>
  <c r="AU219" i="21" s="1"/>
  <c r="BB219" i="21" s="1"/>
  <c r="AZ197" i="21"/>
  <c r="AV197" i="21"/>
  <c r="AD197" i="21"/>
  <c r="AS196" i="21"/>
  <c r="AT177" i="21"/>
  <c r="BB177" i="21" s="1"/>
  <c r="AT176" i="21"/>
  <c r="BB176" i="21" s="1"/>
  <c r="AR246" i="21"/>
  <c r="AS233" i="21"/>
  <c r="AN237" i="21"/>
  <c r="AN232" i="21" s="1"/>
  <c r="AU230" i="21"/>
  <c r="AT230" i="21"/>
  <c r="AN231" i="21"/>
  <c r="AN226" i="21" s="1"/>
  <c r="AS227" i="21"/>
  <c r="AS231" i="21" s="1"/>
  <c r="AS226" i="21" s="1"/>
  <c r="AQ227" i="21"/>
  <c r="M231" i="21"/>
  <c r="M226" i="21" s="1"/>
  <c r="AN212" i="21"/>
  <c r="AS210" i="21"/>
  <c r="AS212" i="21" s="1"/>
  <c r="M212" i="21"/>
  <c r="AQ210" i="21"/>
  <c r="AR204" i="21"/>
  <c r="AR209" i="21" s="1"/>
  <c r="AS192" i="21"/>
  <c r="AT192" i="21" s="1"/>
  <c r="AU192" i="21" s="1"/>
  <c r="AN193" i="21"/>
  <c r="M190" i="21"/>
  <c r="AQ183" i="21"/>
  <c r="AF160" i="21"/>
  <c r="AE162" i="21"/>
  <c r="AQ159" i="21"/>
  <c r="AF152" i="21"/>
  <c r="BB147" i="21"/>
  <c r="AU149" i="21"/>
  <c r="AU140" i="21" s="1"/>
  <c r="U268" i="21"/>
  <c r="U259" i="21" s="1"/>
  <c r="AZ245" i="21"/>
  <c r="AZ244" i="21" s="1"/>
  <c r="AV245" i="21"/>
  <c r="AV244" i="21" s="1"/>
  <c r="AD245" i="21"/>
  <c r="AT234" i="21"/>
  <c r="AU234" i="21" s="1"/>
  <c r="BB234" i="21" s="1"/>
  <c r="AT206" i="21"/>
  <c r="AU206" i="21" s="1"/>
  <c r="BB206" i="21" s="1"/>
  <c r="AT205" i="21"/>
  <c r="AU205" i="21" s="1"/>
  <c r="BA197" i="21"/>
  <c r="AJ197" i="21"/>
  <c r="AT201" i="21"/>
  <c r="BB201" i="21" s="1"/>
  <c r="AS193" i="21"/>
  <c r="AT173" i="21"/>
  <c r="BB173" i="21" s="1"/>
  <c r="AT166" i="21"/>
  <c r="BB166" i="21" s="1"/>
  <c r="AK150" i="21"/>
  <c r="AU252" i="21"/>
  <c r="AT252" i="21"/>
  <c r="AQ237" i="21"/>
  <c r="AQ232" i="21" s="1"/>
  <c r="AQ222" i="21"/>
  <c r="M225" i="21"/>
  <c r="M221" i="21" s="1"/>
  <c r="AE220" i="21"/>
  <c r="AE213" i="21" s="1"/>
  <c r="AF214" i="21"/>
  <c r="AU211" i="21"/>
  <c r="AN209" i="21"/>
  <c r="AS204" i="21"/>
  <c r="AS209" i="21" s="1"/>
  <c r="AQ204" i="21"/>
  <c r="M209" i="21"/>
  <c r="AR199" i="21"/>
  <c r="AE196" i="21"/>
  <c r="AF194" i="21"/>
  <c r="AE168" i="21"/>
  <c r="AF164" i="21"/>
  <c r="AS160" i="21"/>
  <c r="AS162" i="21" s="1"/>
  <c r="AN162" i="21"/>
  <c r="AM250" i="21"/>
  <c r="AM245" i="21" s="1"/>
  <c r="AT217" i="21"/>
  <c r="AU217" i="21" s="1"/>
  <c r="BB217" i="21" s="1"/>
  <c r="AX197" i="21"/>
  <c r="U197" i="21"/>
  <c r="S198" i="21"/>
  <c r="T198" i="21"/>
  <c r="AT184" i="21"/>
  <c r="BB184" i="21" s="1"/>
  <c r="Y182" i="21"/>
  <c r="R182" i="21"/>
  <c r="AT174" i="21"/>
  <c r="BB174" i="21" s="1"/>
  <c r="AT167" i="21"/>
  <c r="BB167" i="21" s="1"/>
  <c r="AC150" i="21"/>
  <c r="AT158" i="21"/>
  <c r="BB158" i="21" s="1"/>
  <c r="AJ150" i="21"/>
  <c r="T151" i="21"/>
  <c r="M149" i="21"/>
  <c r="M140" i="21" s="1"/>
  <c r="AQ143" i="21"/>
  <c r="AT143" i="21" s="1"/>
  <c r="BB143" i="21" s="1"/>
  <c r="M139" i="21"/>
  <c r="M134" i="21" s="1"/>
  <c r="AQ135" i="21"/>
  <c r="AS124" i="21"/>
  <c r="AS133" i="21" s="1"/>
  <c r="AS123" i="21" s="1"/>
  <c r="AN133" i="21"/>
  <c r="AN123" i="21" s="1"/>
  <c r="AS120" i="21"/>
  <c r="AN122" i="21"/>
  <c r="AN118" i="21" s="1"/>
  <c r="AS112" i="21"/>
  <c r="AS117" i="21" s="1"/>
  <c r="AS111" i="21" s="1"/>
  <c r="AN117" i="21"/>
  <c r="AN111" i="21" s="1"/>
  <c r="AF107" i="21"/>
  <c r="AE110" i="21"/>
  <c r="AE106" i="21" s="1"/>
  <c r="AS101" i="21"/>
  <c r="AS105" i="21" s="1"/>
  <c r="AS100" i="21" s="1"/>
  <c r="AN105" i="21"/>
  <c r="AN100" i="21" s="1"/>
  <c r="AQ94" i="21"/>
  <c r="M99" i="21"/>
  <c r="M93" i="21" s="1"/>
  <c r="AF89" i="21"/>
  <c r="AE92" i="21"/>
  <c r="AE88" i="21"/>
  <c r="AF87" i="21"/>
  <c r="AR87" i="21" s="1"/>
  <c r="AT87" i="21" s="1"/>
  <c r="BB87" i="21" s="1"/>
  <c r="AQ86" i="21"/>
  <c r="M88" i="21"/>
  <c r="AR80" i="21"/>
  <c r="L237" i="21"/>
  <c r="L232" i="21" s="1"/>
  <c r="AN225" i="21"/>
  <c r="AN221" i="21" s="1"/>
  <c r="L225" i="21"/>
  <c r="L221" i="21" s="1"/>
  <c r="AM220" i="21"/>
  <c r="AM213" i="21" s="1"/>
  <c r="AB220" i="21"/>
  <c r="AB213" i="21" s="1"/>
  <c r="M216" i="21"/>
  <c r="AQ216" i="21" s="1"/>
  <c r="AT216" i="21" s="1"/>
  <c r="BB216" i="21" s="1"/>
  <c r="AE211" i="21"/>
  <c r="AF211" i="21" s="1"/>
  <c r="AR211" i="21" s="1"/>
  <c r="AT211" i="21" s="1"/>
  <c r="AM209" i="21"/>
  <c r="AB209" i="21"/>
  <c r="AB198" i="21" s="1"/>
  <c r="AM203" i="21"/>
  <c r="AM196" i="21"/>
  <c r="AB196" i="21"/>
  <c r="AB182" i="21" s="1"/>
  <c r="M194" i="21"/>
  <c r="AE193" i="21"/>
  <c r="AE183" i="21"/>
  <c r="AE179" i="21"/>
  <c r="AM168" i="21"/>
  <c r="AB168" i="21"/>
  <c r="M162" i="21"/>
  <c r="AN159" i="21"/>
  <c r="L159" i="21"/>
  <c r="AE157" i="21"/>
  <c r="BA151" i="21"/>
  <c r="BA150" i="21" s="1"/>
  <c r="AW151" i="21"/>
  <c r="AW150" i="21" s="1"/>
  <c r="L156" i="21"/>
  <c r="AE154" i="21"/>
  <c r="AF154" i="21" s="1"/>
  <c r="AR154" i="21" s="1"/>
  <c r="AS153" i="21"/>
  <c r="Y156" i="21"/>
  <c r="R156" i="21"/>
  <c r="R151" i="21" s="1"/>
  <c r="AQ152" i="21"/>
  <c r="AT142" i="21"/>
  <c r="BB142" i="21" s="1"/>
  <c r="AT137" i="21"/>
  <c r="BB137" i="21" s="1"/>
  <c r="AT127" i="21"/>
  <c r="BB127" i="21" s="1"/>
  <c r="AT115" i="21"/>
  <c r="BB115" i="21" s="1"/>
  <c r="AX78" i="21"/>
  <c r="AL78" i="21"/>
  <c r="AC78" i="21"/>
  <c r="R78" i="21"/>
  <c r="S79" i="21"/>
  <c r="S78" i="21" s="1"/>
  <c r="AS138" i="21"/>
  <c r="AS139" i="21" s="1"/>
  <c r="AS134" i="21" s="1"/>
  <c r="AN139" i="21"/>
  <c r="AN134" i="21" s="1"/>
  <c r="AF119" i="21"/>
  <c r="AE122" i="21"/>
  <c r="AE118" i="21" s="1"/>
  <c r="AQ102" i="21"/>
  <c r="AT102" i="21" s="1"/>
  <c r="BB102" i="21" s="1"/>
  <c r="M105" i="21"/>
  <c r="M100" i="21" s="1"/>
  <c r="M237" i="21"/>
  <c r="M232" i="21" s="1"/>
  <c r="AE231" i="21"/>
  <c r="AE226" i="21" s="1"/>
  <c r="AQ228" i="21"/>
  <c r="AT228" i="21" s="1"/>
  <c r="AU228" i="21" s="1"/>
  <c r="BB228" i="21" s="1"/>
  <c r="AC220" i="21"/>
  <c r="AC213" i="21" s="1"/>
  <c r="AC197" i="21" s="1"/>
  <c r="AM212" i="21"/>
  <c r="L209" i="21"/>
  <c r="L203" i="21"/>
  <c r="AQ200" i="21"/>
  <c r="AN196" i="21"/>
  <c r="AM193" i="21"/>
  <c r="AM190" i="21"/>
  <c r="AM181" i="21"/>
  <c r="AE178" i="21"/>
  <c r="L168" i="21"/>
  <c r="M159" i="21"/>
  <c r="AL151" i="21"/>
  <c r="AL150" i="21" s="1"/>
  <c r="AQ155" i="21"/>
  <c r="AT155" i="21" s="1"/>
  <c r="BB155" i="21" s="1"/>
  <c r="AS154" i="21"/>
  <c r="AE153" i="21"/>
  <c r="AF153" i="21" s="1"/>
  <c r="AR153" i="21" s="1"/>
  <c r="AE148" i="21"/>
  <c r="AF148" i="21" s="1"/>
  <c r="AR148" i="21" s="1"/>
  <c r="AT136" i="21"/>
  <c r="BB136" i="21" s="1"/>
  <c r="AT131" i="21"/>
  <c r="BB131" i="21" s="1"/>
  <c r="AT120" i="21"/>
  <c r="BB120" i="21" s="1"/>
  <c r="AT109" i="21"/>
  <c r="BB109" i="21" s="1"/>
  <c r="AT98" i="21"/>
  <c r="BB98" i="21" s="1"/>
  <c r="AT97" i="21"/>
  <c r="BB97" i="21" s="1"/>
  <c r="BA78" i="21"/>
  <c r="AS88" i="21"/>
  <c r="AY78" i="21"/>
  <c r="AR135" i="21"/>
  <c r="AR139" i="21" s="1"/>
  <c r="AR134" i="21" s="1"/>
  <c r="AF139" i="21"/>
  <c r="AF134" i="21" s="1"/>
  <c r="AQ126" i="21"/>
  <c r="AT126" i="21" s="1"/>
  <c r="BB126" i="21" s="1"/>
  <c r="M133" i="21"/>
  <c r="M123" i="21" s="1"/>
  <c r="AQ114" i="21"/>
  <c r="AT114" i="21" s="1"/>
  <c r="BB114" i="21" s="1"/>
  <c r="M117" i="21"/>
  <c r="M111" i="21" s="1"/>
  <c r="AQ107" i="21"/>
  <c r="M110" i="21"/>
  <c r="M106" i="21" s="1"/>
  <c r="AF101" i="21"/>
  <c r="AS89" i="21"/>
  <c r="AS92" i="21" s="1"/>
  <c r="AN92" i="21"/>
  <c r="AS80" i="21"/>
  <c r="AS85" i="21" s="1"/>
  <c r="AN85" i="21"/>
  <c r="AM151" i="21"/>
  <c r="M156" i="21"/>
  <c r="AT144" i="21"/>
  <c r="BB144" i="21" s="1"/>
  <c r="AT95" i="21"/>
  <c r="BB95" i="21" s="1"/>
  <c r="AZ78" i="21"/>
  <c r="AV78" i="21"/>
  <c r="AJ78" i="21"/>
  <c r="AE133" i="21"/>
  <c r="AE123" i="21" s="1"/>
  <c r="AF124" i="21"/>
  <c r="AQ119" i="21"/>
  <c r="M122" i="21"/>
  <c r="M118" i="21" s="1"/>
  <c r="AE117" i="21"/>
  <c r="AE111" i="21" s="1"/>
  <c r="AF112" i="21"/>
  <c r="AS108" i="21"/>
  <c r="AT108" i="21" s="1"/>
  <c r="BB108" i="21" s="1"/>
  <c r="AN110" i="21"/>
  <c r="AN106" i="21" s="1"/>
  <c r="AN99" i="21"/>
  <c r="AN93" i="21" s="1"/>
  <c r="AS96" i="21"/>
  <c r="AT96" i="21" s="1"/>
  <c r="BB96" i="21" s="1"/>
  <c r="AR94" i="21"/>
  <c r="AR99" i="21" s="1"/>
  <c r="AR93" i="21" s="1"/>
  <c r="AF99" i="21"/>
  <c r="AF93" i="21" s="1"/>
  <c r="AQ92" i="21"/>
  <c r="AR86" i="21"/>
  <c r="AR88" i="21" s="1"/>
  <c r="AF88" i="21"/>
  <c r="AE85" i="21"/>
  <c r="AF83" i="21"/>
  <c r="AR83" i="21" s="1"/>
  <c r="AT83" i="21" s="1"/>
  <c r="BB83" i="21" s="1"/>
  <c r="AQ82" i="21"/>
  <c r="AT82" i="21" s="1"/>
  <c r="BB82" i="21" s="1"/>
  <c r="M85" i="21"/>
  <c r="AB225" i="21"/>
  <c r="AB221" i="21" s="1"/>
  <c r="L178" i="21"/>
  <c r="L162" i="21"/>
  <c r="AB159" i="21"/>
  <c r="AB151" i="21" s="1"/>
  <c r="AZ151" i="21"/>
  <c r="AV151" i="21"/>
  <c r="AV150" i="21" s="1"/>
  <c r="U156" i="21"/>
  <c r="U151" i="21" s="1"/>
  <c r="U150" i="21" s="1"/>
  <c r="AT132" i="21"/>
  <c r="BB132" i="21" s="1"/>
  <c r="AT130" i="21"/>
  <c r="BB130" i="21" s="1"/>
  <c r="AT129" i="21"/>
  <c r="BB129" i="21" s="1"/>
  <c r="AS122" i="21"/>
  <c r="AS118" i="21" s="1"/>
  <c r="AT103" i="21"/>
  <c r="BB103" i="21" s="1"/>
  <c r="AT90" i="21"/>
  <c r="BB90" i="21" s="1"/>
  <c r="AT84" i="21"/>
  <c r="BB84" i="21" s="1"/>
  <c r="AU70" i="21"/>
  <c r="M66" i="21"/>
  <c r="AQ66" i="21" s="1"/>
  <c r="AT66" i="21" s="1"/>
  <c r="AU66" i="21" s="1"/>
  <c r="BB66" i="21" s="1"/>
  <c r="AS46" i="21"/>
  <c r="AQ30" i="21"/>
  <c r="AF22" i="21"/>
  <c r="AR22" i="21" s="1"/>
  <c r="AT22" i="21" s="1"/>
  <c r="AU22" i="21" s="1"/>
  <c r="AE25" i="21"/>
  <c r="AN15" i="21"/>
  <c r="AS12" i="21"/>
  <c r="AS15" i="21" s="1"/>
  <c r="AS8" i="21"/>
  <c r="AS11" i="21" s="1"/>
  <c r="AS6" i="21" s="1"/>
  <c r="AN11" i="21"/>
  <c r="AE141" i="21"/>
  <c r="AE139" i="21"/>
  <c r="AE134" i="21" s="1"/>
  <c r="AM133" i="21"/>
  <c r="AM123" i="21" s="1"/>
  <c r="AB133" i="21"/>
  <c r="AB123" i="21" s="1"/>
  <c r="AM117" i="21"/>
  <c r="AM111" i="21" s="1"/>
  <c r="AB117" i="21"/>
  <c r="AB111" i="21" s="1"/>
  <c r="AM105" i="21"/>
  <c r="AM100" i="21" s="1"/>
  <c r="AW93" i="21"/>
  <c r="AW78" i="21" s="1"/>
  <c r="AN88" i="21"/>
  <c r="L88" i="21"/>
  <c r="AM85" i="21"/>
  <c r="AM79" i="21" s="1"/>
  <c r="AB85" i="21"/>
  <c r="AT59" i="21"/>
  <c r="BB59" i="21" s="1"/>
  <c r="AT52" i="21"/>
  <c r="AU52" i="21" s="1"/>
  <c r="BB52" i="21" s="1"/>
  <c r="S45" i="21"/>
  <c r="M44" i="21"/>
  <c r="M40" i="21" s="1"/>
  <c r="AS29" i="21"/>
  <c r="BA5" i="21"/>
  <c r="AW5" i="21"/>
  <c r="AK5" i="21"/>
  <c r="R6" i="21"/>
  <c r="AU71" i="21"/>
  <c r="AT71" i="21"/>
  <c r="AV68" i="21"/>
  <c r="AV77" i="21" s="1"/>
  <c r="AV61" i="21" s="1"/>
  <c r="AV5" i="21" s="1"/>
  <c r="AU54" i="21"/>
  <c r="AT54" i="21"/>
  <c r="AU53" i="21"/>
  <c r="AR51" i="21"/>
  <c r="M50" i="21"/>
  <c r="AQ46" i="21"/>
  <c r="AF30" i="21"/>
  <c r="AU13" i="21"/>
  <c r="AT13" i="21"/>
  <c r="AQ12" i="21"/>
  <c r="M15" i="21"/>
  <c r="AU9" i="21"/>
  <c r="AU8" i="21"/>
  <c r="AR7" i="21"/>
  <c r="AB139" i="21"/>
  <c r="AB134" i="21" s="1"/>
  <c r="L133" i="21"/>
  <c r="L123" i="21" s="1"/>
  <c r="AM122" i="21"/>
  <c r="AM118" i="21" s="1"/>
  <c r="AB122" i="21"/>
  <c r="AB118" i="21" s="1"/>
  <c r="L117" i="21"/>
  <c r="L111" i="21" s="1"/>
  <c r="AM110" i="21"/>
  <c r="AM106" i="21" s="1"/>
  <c r="AB110" i="21"/>
  <c r="AB106" i="21" s="1"/>
  <c r="L105" i="21"/>
  <c r="L100" i="21" s="1"/>
  <c r="AE99" i="21"/>
  <c r="AE93" i="21" s="1"/>
  <c r="M92" i="21"/>
  <c r="L85" i="21"/>
  <c r="AT76" i="21"/>
  <c r="BB76" i="21" s="1"/>
  <c r="AT75" i="21"/>
  <c r="AU75" i="21" s="1"/>
  <c r="BB75" i="21" s="1"/>
  <c r="AT74" i="21"/>
  <c r="BB74" i="21" s="1"/>
  <c r="AE73" i="21"/>
  <c r="AF73" i="21" s="1"/>
  <c r="AR73" i="21" s="1"/>
  <c r="AY73" i="21" s="1"/>
  <c r="AM77" i="21"/>
  <c r="AM61" i="21" s="1"/>
  <c r="U77" i="21"/>
  <c r="U61" i="21" s="1"/>
  <c r="U45" i="21"/>
  <c r="AT47" i="21"/>
  <c r="BB47" i="21" s="1"/>
  <c r="AT35" i="21"/>
  <c r="AU35" i="21" s="1"/>
  <c r="BB35" i="21" s="1"/>
  <c r="AT33" i="21"/>
  <c r="BB33" i="21" s="1"/>
  <c r="AT32" i="21"/>
  <c r="AU32" i="21" s="1"/>
  <c r="BB32" i="21" s="1"/>
  <c r="AL5" i="21"/>
  <c r="AC6" i="21"/>
  <c r="M73" i="21"/>
  <c r="AQ73" i="21" s="1"/>
  <c r="AR62" i="21"/>
  <c r="AQ60" i="21"/>
  <c r="AU55" i="21"/>
  <c r="AT55" i="21"/>
  <c r="AF53" i="21"/>
  <c r="AR53" i="21" s="1"/>
  <c r="AT53" i="21" s="1"/>
  <c r="AE56" i="21"/>
  <c r="AN56" i="21"/>
  <c r="AS51" i="21"/>
  <c r="AS56" i="21" s="1"/>
  <c r="AQ51" i="21"/>
  <c r="M56" i="21"/>
  <c r="AF46" i="21"/>
  <c r="AE50" i="21"/>
  <c r="AR41" i="21"/>
  <c r="AS18" i="21"/>
  <c r="AS19" i="21" s="1"/>
  <c r="AS16" i="21" s="1"/>
  <c r="AN19" i="21"/>
  <c r="AN16" i="21" s="1"/>
  <c r="M11" i="21"/>
  <c r="AQ7" i="21"/>
  <c r="AU79" i="21"/>
  <c r="AU78" i="21" s="1"/>
  <c r="AK79" i="21"/>
  <c r="AK78" i="21" s="1"/>
  <c r="AD79" i="21"/>
  <c r="AD78" i="21" s="1"/>
  <c r="U79" i="21"/>
  <c r="U78" i="21" s="1"/>
  <c r="AT64" i="21"/>
  <c r="AU64" i="21" s="1"/>
  <c r="BB64" i="21" s="1"/>
  <c r="U20" i="21"/>
  <c r="AT24" i="21"/>
  <c r="AU24" i="21" s="1"/>
  <c r="BB24" i="21" s="1"/>
  <c r="T20" i="21"/>
  <c r="AS25" i="21"/>
  <c r="M25" i="21"/>
  <c r="AD5" i="21"/>
  <c r="AQ62" i="21"/>
  <c r="AS41" i="21"/>
  <c r="AS44" i="21" s="1"/>
  <c r="AS40" i="21" s="1"/>
  <c r="AN44" i="21"/>
  <c r="AN40" i="21" s="1"/>
  <c r="AS30" i="21"/>
  <c r="AS37" i="21" s="1"/>
  <c r="AN37" i="21"/>
  <c r="AF17" i="21"/>
  <c r="AE19" i="21"/>
  <c r="AE16" i="21" s="1"/>
  <c r="AT10" i="21"/>
  <c r="AU10" i="21"/>
  <c r="AF8" i="21"/>
  <c r="AR8" i="21" s="1"/>
  <c r="AT8" i="21" s="1"/>
  <c r="L99" i="21"/>
  <c r="L93" i="21" s="1"/>
  <c r="AB92" i="21"/>
  <c r="AB88" i="21"/>
  <c r="AB77" i="21"/>
  <c r="AB61" i="21" s="1"/>
  <c r="S77" i="21"/>
  <c r="S61" i="21" s="1"/>
  <c r="AT67" i="21"/>
  <c r="AU67" i="21" s="1"/>
  <c r="BB67" i="21" s="1"/>
  <c r="AT65" i="21"/>
  <c r="AU65" i="21" s="1"/>
  <c r="BB65" i="21" s="1"/>
  <c r="AT48" i="21"/>
  <c r="BB48" i="21" s="1"/>
  <c r="AT36" i="21"/>
  <c r="AU36" i="21" s="1"/>
  <c r="BB36" i="21" s="1"/>
  <c r="R20" i="21"/>
  <c r="Y6" i="21"/>
  <c r="AQ72" i="21"/>
  <c r="AN69" i="21"/>
  <c r="M69" i="21"/>
  <c r="AQ69" i="21" s="1"/>
  <c r="AE68" i="21"/>
  <c r="M60" i="21"/>
  <c r="AN58" i="21"/>
  <c r="AE57" i="21"/>
  <c r="Y50" i="21"/>
  <c r="AN49" i="21"/>
  <c r="AS49" i="21" s="1"/>
  <c r="AT49" i="21" s="1"/>
  <c r="BB49" i="21" s="1"/>
  <c r="AM44" i="21"/>
  <c r="AM40" i="21" s="1"/>
  <c r="AB44" i="21"/>
  <c r="AB40" i="21" s="1"/>
  <c r="AQ43" i="21"/>
  <c r="AT43" i="21" s="1"/>
  <c r="BB43" i="21" s="1"/>
  <c r="AN39" i="21"/>
  <c r="L39" i="21"/>
  <c r="M38" i="21"/>
  <c r="M39" i="21" s="1"/>
  <c r="Y37" i="21"/>
  <c r="Y20" i="21" s="1"/>
  <c r="AE34" i="21"/>
  <c r="AF34" i="21" s="1"/>
  <c r="AR34" i="21" s="1"/>
  <c r="AT34" i="21" s="1"/>
  <c r="AU34" i="21" s="1"/>
  <c r="BB34" i="21" s="1"/>
  <c r="M31" i="21"/>
  <c r="AQ31" i="21" s="1"/>
  <c r="AT31" i="21" s="1"/>
  <c r="AU31" i="21" s="1"/>
  <c r="BB31" i="21" s="1"/>
  <c r="AN29" i="21"/>
  <c r="L29" i="21"/>
  <c r="M28" i="21"/>
  <c r="M29" i="21" s="1"/>
  <c r="AQ26" i="21"/>
  <c r="AN25" i="21"/>
  <c r="AC25" i="21"/>
  <c r="AC20" i="21" s="1"/>
  <c r="L25" i="21"/>
  <c r="AQ23" i="21"/>
  <c r="AT23" i="21" s="1"/>
  <c r="AU23" i="21" s="1"/>
  <c r="BB23" i="21" s="1"/>
  <c r="AQ21" i="21"/>
  <c r="AM19" i="21"/>
  <c r="AM16" i="21" s="1"/>
  <c r="AB19" i="21"/>
  <c r="AB16" i="21" s="1"/>
  <c r="M18" i="21"/>
  <c r="AQ18" i="21" s="1"/>
  <c r="AQ14" i="21"/>
  <c r="AE14" i="21"/>
  <c r="AF14" i="21" s="1"/>
  <c r="AR14" i="21" s="1"/>
  <c r="Y56" i="21"/>
  <c r="AF26" i="21"/>
  <c r="AF21" i="21"/>
  <c r="AM56" i="21"/>
  <c r="L50" i="21"/>
  <c r="L45" i="21" s="1"/>
  <c r="L15" i="21"/>
  <c r="L6" i="21" s="1"/>
  <c r="Y110" i="22"/>
  <c r="Y106" i="22" s="1"/>
  <c r="Y139" i="22"/>
  <c r="Y134" i="22" s="1"/>
  <c r="Y50" i="23"/>
  <c r="Y122" i="22"/>
  <c r="Y118" i="22" s="1"/>
  <c r="Y220" i="23"/>
  <c r="Y213" i="23" s="1"/>
  <c r="Y258" i="23"/>
  <c r="Y289" i="23"/>
  <c r="Y284" i="23" s="1"/>
  <c r="Y156" i="23"/>
  <c r="Y15" i="22"/>
  <c r="Y6" i="22" s="1"/>
  <c r="Y25" i="22"/>
  <c r="Y37" i="22"/>
  <c r="Y44" i="22"/>
  <c r="Y40" i="22" s="1"/>
  <c r="Y60" i="22"/>
  <c r="Y45" i="22" s="1"/>
  <c r="Y99" i="22"/>
  <c r="Y93" i="22" s="1"/>
  <c r="Y117" i="22"/>
  <c r="Y111" i="22" s="1"/>
  <c r="Y133" i="22"/>
  <c r="Y123" i="22" s="1"/>
  <c r="Y190" i="22"/>
  <c r="Y212" i="22"/>
  <c r="Y225" i="22"/>
  <c r="Y221" i="22" s="1"/>
  <c r="Y268" i="22"/>
  <c r="Y259" i="22" s="1"/>
  <c r="Y273" i="22"/>
  <c r="Y269" i="22" s="1"/>
  <c r="Y85" i="23"/>
  <c r="Y181" i="23"/>
  <c r="Y85" i="22"/>
  <c r="Y79" i="22" s="1"/>
  <c r="Y198" i="22"/>
  <c r="Y168" i="23"/>
  <c r="Y163" i="23" s="1"/>
  <c r="Y178" i="23"/>
  <c r="Y196" i="23"/>
  <c r="Y263" i="23"/>
  <c r="Y283" i="23"/>
  <c r="Y277" i="23" s="1"/>
  <c r="Y19" i="22"/>
  <c r="Y16" i="22" s="1"/>
  <c r="Y181" i="22"/>
  <c r="Y220" i="22"/>
  <c r="Y213" i="22" s="1"/>
  <c r="Y289" i="22"/>
  <c r="Y284" i="22" s="1"/>
  <c r="Y11" i="23"/>
  <c r="Y15" i="23"/>
  <c r="Y37" i="23"/>
  <c r="Y20" i="23" s="1"/>
  <c r="Y44" i="23"/>
  <c r="Y40" i="23" s="1"/>
  <c r="Y60" i="23"/>
  <c r="Y99" i="23"/>
  <c r="Y93" i="23" s="1"/>
  <c r="Y117" i="23"/>
  <c r="Y111" i="23" s="1"/>
  <c r="Y133" i="23"/>
  <c r="Y123" i="23" s="1"/>
  <c r="Y190" i="23"/>
  <c r="Y182" i="23" s="1"/>
  <c r="Y212" i="23"/>
  <c r="Y225" i="23"/>
  <c r="Y221" i="23" s="1"/>
  <c r="Y268" i="23"/>
  <c r="Y273" i="23"/>
  <c r="Y269" i="23" s="1"/>
  <c r="Y149" i="22"/>
  <c r="Y140" i="22" s="1"/>
  <c r="Y156" i="22"/>
  <c r="Y168" i="22"/>
  <c r="Y178" i="22"/>
  <c r="Y56" i="23"/>
  <c r="Y77" i="23"/>
  <c r="Y61" i="23" s="1"/>
  <c r="Y209" i="23"/>
  <c r="Y198" i="23" s="1"/>
  <c r="Y237" i="23"/>
  <c r="Y232" i="23" s="1"/>
  <c r="Y243" i="23"/>
  <c r="Y238" i="23" s="1"/>
  <c r="Y250" i="23"/>
  <c r="Y254" i="23"/>
  <c r="Y79" i="23"/>
  <c r="Y20" i="22"/>
  <c r="Y182" i="22"/>
  <c r="S244" i="21" l="1"/>
  <c r="Y45" i="23"/>
  <c r="AM45" i="21"/>
  <c r="Y6" i="23"/>
  <c r="AT70" i="21"/>
  <c r="AE105" i="21"/>
  <c r="AE100" i="21" s="1"/>
  <c r="T150" i="21"/>
  <c r="AE243" i="21"/>
  <c r="AE238" i="21" s="1"/>
  <c r="Y245" i="22"/>
  <c r="Y78" i="23"/>
  <c r="Y245" i="23"/>
  <c r="Y163" i="22"/>
  <c r="Y259" i="23"/>
  <c r="Y244" i="22"/>
  <c r="AL244" i="21"/>
  <c r="AE225" i="21"/>
  <c r="AE221" i="21" s="1"/>
  <c r="AE11" i="21"/>
  <c r="AZ150" i="21"/>
  <c r="AB163" i="21"/>
  <c r="AB150" i="21" s="1"/>
  <c r="S197" i="21"/>
  <c r="Y78" i="21"/>
  <c r="AF42" i="21"/>
  <c r="AT154" i="21"/>
  <c r="BB154" i="21" s="1"/>
  <c r="AQ247" i="21"/>
  <c r="S150" i="21"/>
  <c r="AE79" i="21"/>
  <c r="AN20" i="21"/>
  <c r="AV292" i="21"/>
  <c r="BB280" i="21"/>
  <c r="AF203" i="21"/>
  <c r="AD244" i="21"/>
  <c r="AB245" i="21"/>
  <c r="AB244" i="21" s="1"/>
  <c r="AF178" i="21"/>
  <c r="T244" i="21"/>
  <c r="AT255" i="21"/>
  <c r="BB55" i="21"/>
  <c r="T197" i="21"/>
  <c r="AR203" i="21"/>
  <c r="AR178" i="21"/>
  <c r="AE254" i="21"/>
  <c r="AT279" i="21"/>
  <c r="AU279" i="21" s="1"/>
  <c r="BB279" i="21" s="1"/>
  <c r="BA292" i="21"/>
  <c r="AS237" i="21"/>
  <c r="AS232" i="21" s="1"/>
  <c r="AB5" i="21"/>
  <c r="AQ44" i="21"/>
  <c r="AQ40" i="21" s="1"/>
  <c r="AT153" i="21"/>
  <c r="BB153" i="21" s="1"/>
  <c r="AN151" i="21"/>
  <c r="AF209" i="21"/>
  <c r="AN269" i="21"/>
  <c r="AU215" i="21"/>
  <c r="BB215" i="21" s="1"/>
  <c r="BB281" i="21"/>
  <c r="AM20" i="21"/>
  <c r="U269" i="21"/>
  <c r="M19" i="21"/>
  <c r="M16" i="21" s="1"/>
  <c r="U5" i="21"/>
  <c r="M245" i="21"/>
  <c r="S5" i="21"/>
  <c r="T6" i="21"/>
  <c r="T5" i="21" s="1"/>
  <c r="AS79" i="21"/>
  <c r="AQ239" i="21"/>
  <c r="AB197" i="21"/>
  <c r="Y45" i="21"/>
  <c r="L198" i="21"/>
  <c r="AN245" i="21"/>
  <c r="AS141" i="21"/>
  <c r="AS149" i="21" s="1"/>
  <c r="AS140" i="21" s="1"/>
  <c r="AN149" i="21"/>
  <c r="AN140" i="21" s="1"/>
  <c r="AT148" i="21"/>
  <c r="BB148" i="21" s="1"/>
  <c r="AQ133" i="21"/>
  <c r="AQ123" i="21" s="1"/>
  <c r="AS156" i="21"/>
  <c r="AS151" i="21" s="1"/>
  <c r="AS163" i="21"/>
  <c r="AS289" i="21"/>
  <c r="AS284" i="21" s="1"/>
  <c r="AM6" i="21"/>
  <c r="AM5" i="21" s="1"/>
  <c r="BB287" i="21"/>
  <c r="AU289" i="21"/>
  <c r="AU284" i="21" s="1"/>
  <c r="AT14" i="21"/>
  <c r="AU14" i="21"/>
  <c r="AU72" i="21"/>
  <c r="AT72" i="21"/>
  <c r="AR17" i="21"/>
  <c r="AF19" i="21"/>
  <c r="AF16" i="21" s="1"/>
  <c r="AY62" i="21"/>
  <c r="AY77" i="21" s="1"/>
  <c r="AY61" i="21" s="1"/>
  <c r="AR30" i="21"/>
  <c r="AR37" i="21" s="1"/>
  <c r="AF37" i="21"/>
  <c r="AR101" i="21"/>
  <c r="AF105" i="21"/>
  <c r="AF100" i="21" s="1"/>
  <c r="AQ194" i="21"/>
  <c r="M196" i="21"/>
  <c r="M182" i="21" s="1"/>
  <c r="AU247" i="21"/>
  <c r="AT247" i="21"/>
  <c r="AQ250" i="21"/>
  <c r="AT227" i="21"/>
  <c r="AQ231" i="21"/>
  <c r="AQ226" i="21" s="1"/>
  <c r="AF225" i="21"/>
  <c r="AF221" i="21" s="1"/>
  <c r="AR222" i="21"/>
  <c r="AR225" i="21" s="1"/>
  <c r="AR221" i="21" s="1"/>
  <c r="AQ270" i="21"/>
  <c r="M273" i="21"/>
  <c r="M269" i="21" s="1"/>
  <c r="AF278" i="21"/>
  <c r="AE283" i="21"/>
  <c r="AE277" i="21" s="1"/>
  <c r="L20" i="21"/>
  <c r="AS20" i="21"/>
  <c r="AQ28" i="21"/>
  <c r="AT28" i="21" s="1"/>
  <c r="AU28" i="21" s="1"/>
  <c r="BB28" i="21" s="1"/>
  <c r="L79" i="21"/>
  <c r="L78" i="21" s="1"/>
  <c r="AR11" i="21"/>
  <c r="BB9" i="21"/>
  <c r="BB13" i="21"/>
  <c r="AF56" i="21"/>
  <c r="BB54" i="21"/>
  <c r="BB71" i="21"/>
  <c r="AM78" i="21"/>
  <c r="AS50" i="21"/>
  <c r="BB70" i="21"/>
  <c r="AT138" i="21"/>
  <c r="BB138" i="21" s="1"/>
  <c r="M151" i="21"/>
  <c r="AN79" i="21"/>
  <c r="AN78" i="21" s="1"/>
  <c r="AS99" i="21"/>
  <c r="AS93" i="21" s="1"/>
  <c r="L163" i="21"/>
  <c r="R150" i="21"/>
  <c r="L151" i="21"/>
  <c r="AM163" i="21"/>
  <c r="BB230" i="21"/>
  <c r="AC245" i="21"/>
  <c r="AC244" i="21" s="1"/>
  <c r="M163" i="21"/>
  <c r="AN182" i="21"/>
  <c r="AF212" i="21"/>
  <c r="Y244" i="21"/>
  <c r="M259" i="21"/>
  <c r="AN198" i="21"/>
  <c r="AN197" i="21" s="1"/>
  <c r="BB229" i="21"/>
  <c r="AS246" i="21"/>
  <c r="AT286" i="21"/>
  <c r="BB286" i="21" s="1"/>
  <c r="AF273" i="21"/>
  <c r="AE276" i="21"/>
  <c r="AE269" i="21" s="1"/>
  <c r="AS242" i="21"/>
  <c r="AF243" i="21"/>
  <c r="AF238" i="21" s="1"/>
  <c r="BB261" i="21"/>
  <c r="BB262" i="21"/>
  <c r="AF25" i="21"/>
  <c r="AR21" i="21"/>
  <c r="AR25" i="21" s="1"/>
  <c r="BB22" i="21"/>
  <c r="AU25" i="21"/>
  <c r="AU18" i="21"/>
  <c r="AT18" i="21"/>
  <c r="AS58" i="21"/>
  <c r="AN60" i="21"/>
  <c r="AS69" i="21"/>
  <c r="AS77" i="21" s="1"/>
  <c r="AS61" i="21" s="1"/>
  <c r="AN77" i="21"/>
  <c r="AN61" i="21" s="1"/>
  <c r="AU51" i="21"/>
  <c r="AT51" i="21"/>
  <c r="AT56" i="21" s="1"/>
  <c r="AQ56" i="21"/>
  <c r="AR56" i="21"/>
  <c r="AY51" i="21"/>
  <c r="AY56" i="21" s="1"/>
  <c r="AY45" i="21" s="1"/>
  <c r="AY5" i="21" s="1"/>
  <c r="AY292" i="21" s="1"/>
  <c r="AR112" i="21"/>
  <c r="AF117" i="21"/>
  <c r="AF111" i="21" s="1"/>
  <c r="AR124" i="21"/>
  <c r="AF133" i="21"/>
  <c r="AF123" i="21" s="1"/>
  <c r="AQ110" i="21"/>
  <c r="AQ106" i="21" s="1"/>
  <c r="AQ156" i="21"/>
  <c r="AQ151" i="21" s="1"/>
  <c r="AF157" i="21"/>
  <c r="AE159" i="21"/>
  <c r="AT94" i="21"/>
  <c r="AQ99" i="21"/>
  <c r="AQ93" i="21" s="1"/>
  <c r="AF110" i="21"/>
  <c r="AF106" i="21" s="1"/>
  <c r="AR107" i="21"/>
  <c r="AR110" i="21" s="1"/>
  <c r="AR106" i="21" s="1"/>
  <c r="AR164" i="21"/>
  <c r="AF168" i="21"/>
  <c r="AR214" i="21"/>
  <c r="AR220" i="21" s="1"/>
  <c r="AR213" i="21" s="1"/>
  <c r="AF220" i="21"/>
  <c r="AF213" i="21" s="1"/>
  <c r="AQ190" i="21"/>
  <c r="AT169" i="21"/>
  <c r="AQ178" i="21"/>
  <c r="AQ193" i="21"/>
  <c r="AT191" i="21"/>
  <c r="AE250" i="21"/>
  <c r="AF249" i="21"/>
  <c r="AS260" i="21"/>
  <c r="AS263" i="21" s="1"/>
  <c r="AS259" i="21" s="1"/>
  <c r="AN263" i="21"/>
  <c r="AN259" i="21" s="1"/>
  <c r="AU253" i="21"/>
  <c r="AU254" i="21" s="1"/>
  <c r="AT253" i="21"/>
  <c r="BB255" i="21"/>
  <c r="AQ289" i="21"/>
  <c r="AQ284" i="21" s="1"/>
  <c r="AQ283" i="21"/>
  <c r="AQ277" i="21" s="1"/>
  <c r="Y5" i="21"/>
  <c r="BB10" i="21"/>
  <c r="M6" i="21"/>
  <c r="AF11" i="21"/>
  <c r="AE37" i="21"/>
  <c r="AE20" i="21" s="1"/>
  <c r="AB79" i="21"/>
  <c r="AB78" i="21" s="1"/>
  <c r="AN6" i="21"/>
  <c r="AN50" i="21"/>
  <c r="AS110" i="21"/>
  <c r="AS106" i="21" s="1"/>
  <c r="AT80" i="21"/>
  <c r="AM182" i="21"/>
  <c r="L197" i="21"/>
  <c r="AQ105" i="21"/>
  <c r="AQ100" i="21" s="1"/>
  <c r="AM198" i="21"/>
  <c r="AM197" i="21" s="1"/>
  <c r="AE212" i="21"/>
  <c r="AR85" i="21"/>
  <c r="AF198" i="21"/>
  <c r="AT233" i="21"/>
  <c r="AQ149" i="21"/>
  <c r="AQ140" i="21" s="1"/>
  <c r="AQ168" i="21"/>
  <c r="M220" i="21"/>
  <c r="M213" i="21" s="1"/>
  <c r="AS198" i="21"/>
  <c r="AQ254" i="21"/>
  <c r="AQ266" i="21"/>
  <c r="AT266" i="21" s="1"/>
  <c r="AU266" i="21" s="1"/>
  <c r="BB271" i="21"/>
  <c r="AR243" i="21"/>
  <c r="AR238" i="21" s="1"/>
  <c r="AF29" i="21"/>
  <c r="AR26" i="21"/>
  <c r="AR29" i="21" s="1"/>
  <c r="AT21" i="21"/>
  <c r="AQ25" i="21"/>
  <c r="AF57" i="21"/>
  <c r="AE60" i="21"/>
  <c r="AE45" i="21" s="1"/>
  <c r="AF15" i="21"/>
  <c r="AR12" i="21"/>
  <c r="AR15" i="21" s="1"/>
  <c r="AU62" i="21"/>
  <c r="AT62" i="21"/>
  <c r="AQ77" i="21"/>
  <c r="AQ61" i="21" s="1"/>
  <c r="AQ11" i="21"/>
  <c r="AU7" i="21"/>
  <c r="AT7" i="21"/>
  <c r="AT11" i="21" s="1"/>
  <c r="AU73" i="21"/>
  <c r="AT73" i="21"/>
  <c r="AU12" i="21"/>
  <c r="AQ15" i="21"/>
  <c r="AF141" i="21"/>
  <c r="AE149" i="21"/>
  <c r="AE140" i="21" s="1"/>
  <c r="AE78" i="21" s="1"/>
  <c r="AQ122" i="21"/>
  <c r="AQ118" i="21" s="1"/>
  <c r="AU200" i="21"/>
  <c r="AT200" i="21"/>
  <c r="AF183" i="21"/>
  <c r="AE190" i="21"/>
  <c r="AE182" i="21" s="1"/>
  <c r="AQ139" i="21"/>
  <c r="AQ134" i="21" s="1"/>
  <c r="AT135" i="21"/>
  <c r="AQ209" i="21"/>
  <c r="AT204" i="21"/>
  <c r="AT222" i="21"/>
  <c r="AQ225" i="21"/>
  <c r="AQ221" i="21" s="1"/>
  <c r="BB252" i="21"/>
  <c r="BB205" i="21"/>
  <c r="AU209" i="21"/>
  <c r="AR160" i="21"/>
  <c r="AF162" i="21"/>
  <c r="AQ181" i="21"/>
  <c r="AT214" i="21"/>
  <c r="AQ220" i="21"/>
  <c r="AQ213" i="21" s="1"/>
  <c r="AQ203" i="21"/>
  <c r="AT199" i="21"/>
  <c r="AT275" i="21"/>
  <c r="AU275" i="21"/>
  <c r="AU263" i="21"/>
  <c r="AR251" i="21"/>
  <c r="AF254" i="21"/>
  <c r="L5" i="21"/>
  <c r="AC5" i="21"/>
  <c r="AQ19" i="21"/>
  <c r="AQ16" i="21" s="1"/>
  <c r="M45" i="21"/>
  <c r="BB53" i="21"/>
  <c r="AT41" i="21"/>
  <c r="M37" i="21"/>
  <c r="M20" i="21" s="1"/>
  <c r="AQ85" i="21"/>
  <c r="AQ117" i="21"/>
  <c r="AQ111" i="21" s="1"/>
  <c r="AF85" i="21"/>
  <c r="AE156" i="21"/>
  <c r="AE151" i="21" s="1"/>
  <c r="M244" i="21"/>
  <c r="AM269" i="21"/>
  <c r="AM244" i="21" s="1"/>
  <c r="AE198" i="21"/>
  <c r="AE197" i="21" s="1"/>
  <c r="AF68" i="21"/>
  <c r="AE77" i="21"/>
  <c r="AE61" i="21" s="1"/>
  <c r="AR46" i="21"/>
  <c r="AR50" i="21" s="1"/>
  <c r="AF50" i="21"/>
  <c r="AQ50" i="21"/>
  <c r="AQ45" i="21" s="1"/>
  <c r="AU46" i="21"/>
  <c r="AT46" i="21"/>
  <c r="AT50" i="21" s="1"/>
  <c r="AQ37" i="21"/>
  <c r="AT30" i="21"/>
  <c r="AF122" i="21"/>
  <c r="AF118" i="21" s="1"/>
  <c r="AR119" i="21"/>
  <c r="AR122" i="21" s="1"/>
  <c r="AR118" i="21" s="1"/>
  <c r="AF179" i="21"/>
  <c r="AE181" i="21"/>
  <c r="AE163" i="21" s="1"/>
  <c r="AT86" i="21"/>
  <c r="AQ88" i="21"/>
  <c r="AF92" i="21"/>
  <c r="AR89" i="21"/>
  <c r="AU193" i="21"/>
  <c r="AU182" i="21" s="1"/>
  <c r="AU150" i="21" s="1"/>
  <c r="BB192" i="21"/>
  <c r="AR194" i="21"/>
  <c r="AR196" i="21" s="1"/>
  <c r="AF196" i="21"/>
  <c r="AR152" i="21"/>
  <c r="AR156" i="21" s="1"/>
  <c r="AF156" i="21"/>
  <c r="AQ212" i="21"/>
  <c r="AU210" i="21"/>
  <c r="AT210" i="21"/>
  <c r="AT212" i="21" s="1"/>
  <c r="AF256" i="21"/>
  <c r="AE258" i="21"/>
  <c r="AF285" i="21"/>
  <c r="AE289" i="21"/>
  <c r="AE284" i="21" s="1"/>
  <c r="AT239" i="21"/>
  <c r="AQ243" i="21"/>
  <c r="AQ238" i="21" s="1"/>
  <c r="AR274" i="21"/>
  <c r="AF276" i="21"/>
  <c r="AR264" i="21"/>
  <c r="AR268" i="21" s="1"/>
  <c r="AR259" i="21" s="1"/>
  <c r="AF268" i="21"/>
  <c r="AE15" i="21"/>
  <c r="AE6" i="21" s="1"/>
  <c r="M77" i="21"/>
  <c r="M61" i="21" s="1"/>
  <c r="AQ38" i="21"/>
  <c r="BB8" i="21"/>
  <c r="R5" i="21"/>
  <c r="M79" i="21"/>
  <c r="M78" i="21" s="1"/>
  <c r="AM150" i="21"/>
  <c r="AS78" i="21"/>
  <c r="BB211" i="21"/>
  <c r="AS182" i="21"/>
  <c r="AS150" i="21" s="1"/>
  <c r="AR212" i="21"/>
  <c r="AR198" i="21" s="1"/>
  <c r="AR197" i="21" s="1"/>
  <c r="AN244" i="21"/>
  <c r="AN163" i="21"/>
  <c r="AN150" i="21" s="1"/>
  <c r="M198" i="21"/>
  <c r="M197" i="21" s="1"/>
  <c r="U244" i="21"/>
  <c r="AR273" i="21"/>
  <c r="BB272" i="21"/>
  <c r="AF259" i="21"/>
  <c r="AT260" i="21"/>
  <c r="AT263" i="21" s="1"/>
  <c r="Y5" i="22"/>
  <c r="Y5" i="23"/>
  <c r="Y78" i="22"/>
  <c r="Y197" i="22"/>
  <c r="Y197" i="23"/>
  <c r="AU183" i="17"/>
  <c r="L184" i="15"/>
  <c r="L184" i="14"/>
  <c r="L184" i="13"/>
  <c r="AC155" i="13"/>
  <c r="AC166" i="12"/>
  <c r="AC155" i="12"/>
  <c r="Y244" i="23" l="1"/>
  <c r="AQ268" i="21"/>
  <c r="AQ259" i="21" s="1"/>
  <c r="AR42" i="21"/>
  <c r="AF44" i="21"/>
  <c r="AF40" i="21" s="1"/>
  <c r="AF197" i="21"/>
  <c r="AU220" i="21"/>
  <c r="AU213" i="21" s="1"/>
  <c r="BB253" i="21"/>
  <c r="AQ6" i="21"/>
  <c r="BB14" i="21"/>
  <c r="BB72" i="21"/>
  <c r="AQ29" i="21"/>
  <c r="AF79" i="21"/>
  <c r="BB200" i="21"/>
  <c r="AT12" i="21"/>
  <c r="AT15" i="21" s="1"/>
  <c r="AE5" i="21"/>
  <c r="BB86" i="21"/>
  <c r="BB88" i="21" s="1"/>
  <c r="AT88" i="21"/>
  <c r="AR256" i="21"/>
  <c r="AF258" i="21"/>
  <c r="AT38" i="21"/>
  <c r="AQ39" i="21"/>
  <c r="AR179" i="21"/>
  <c r="AF181" i="21"/>
  <c r="AF163" i="21" s="1"/>
  <c r="BB135" i="21"/>
  <c r="BB139" i="21" s="1"/>
  <c r="BB134" i="21" s="1"/>
  <c r="AT139" i="21"/>
  <c r="AT134" i="21" s="1"/>
  <c r="AU15" i="21"/>
  <c r="BB7" i="21"/>
  <c r="BB11" i="21" s="1"/>
  <c r="AU11" i="21"/>
  <c r="BB62" i="21"/>
  <c r="AF60" i="21"/>
  <c r="AR57" i="21"/>
  <c r="AR249" i="21"/>
  <c r="AF250" i="21"/>
  <c r="AF245" i="21" s="1"/>
  <c r="AT242" i="21"/>
  <c r="AU242" i="21" s="1"/>
  <c r="BB242" i="21" s="1"/>
  <c r="AS243" i="21"/>
  <c r="AS238" i="21" s="1"/>
  <c r="AS250" i="21"/>
  <c r="AS245" i="21" s="1"/>
  <c r="AS244" i="21" s="1"/>
  <c r="AT246" i="21"/>
  <c r="AR278" i="21"/>
  <c r="AF283" i="21"/>
  <c r="AF277" i="21" s="1"/>
  <c r="AF45" i="21"/>
  <c r="AQ79" i="21"/>
  <c r="AQ78" i="21" s="1"/>
  <c r="BB275" i="21"/>
  <c r="AT264" i="21"/>
  <c r="AN45" i="21"/>
  <c r="AN5" i="21" s="1"/>
  <c r="AT107" i="21"/>
  <c r="AT26" i="21"/>
  <c r="M150" i="21"/>
  <c r="AR6" i="21"/>
  <c r="AU50" i="21"/>
  <c r="BB46" i="21"/>
  <c r="BB50" i="21" s="1"/>
  <c r="AU239" i="21"/>
  <c r="AT220" i="21"/>
  <c r="AT213" i="21" s="1"/>
  <c r="BB214" i="21"/>
  <c r="BB220" i="21" s="1"/>
  <c r="BB213" i="21" s="1"/>
  <c r="AR276" i="21"/>
  <c r="AR269" i="21" s="1"/>
  <c r="AT274" i="21"/>
  <c r="AR285" i="21"/>
  <c r="AF289" i="21"/>
  <c r="AF284" i="21" s="1"/>
  <c r="BB210" i="21"/>
  <c r="BB212" i="21" s="1"/>
  <c r="AU212" i="21"/>
  <c r="AR92" i="21"/>
  <c r="AR79" i="21" s="1"/>
  <c r="AT89" i="21"/>
  <c r="AT37" i="21"/>
  <c r="AU30" i="21"/>
  <c r="AR68" i="21"/>
  <c r="AF77" i="21"/>
  <c r="AF61" i="21" s="1"/>
  <c r="AR162" i="21"/>
  <c r="AT160" i="21"/>
  <c r="AR183" i="21"/>
  <c r="AF190" i="21"/>
  <c r="AF182" i="21" s="1"/>
  <c r="BB266" i="21"/>
  <c r="AU268" i="21"/>
  <c r="AU259" i="21" s="1"/>
  <c r="AR168" i="21"/>
  <c r="AT164" i="21"/>
  <c r="AT99" i="21"/>
  <c r="BB94" i="21"/>
  <c r="AR133" i="21"/>
  <c r="AR123" i="21" s="1"/>
  <c r="AT124" i="21"/>
  <c r="AT194" i="21"/>
  <c r="AQ196" i="21"/>
  <c r="AR19" i="21"/>
  <c r="AR16" i="21" s="1"/>
  <c r="AT17" i="21"/>
  <c r="AE150" i="21"/>
  <c r="BB260" i="21"/>
  <c r="BB263" i="21" s="1"/>
  <c r="AQ198" i="21"/>
  <c r="AQ197" i="21" s="1"/>
  <c r="AT6" i="21"/>
  <c r="AQ163" i="21"/>
  <c r="L150" i="21"/>
  <c r="AQ245" i="21"/>
  <c r="AT69" i="21"/>
  <c r="BB69" i="21" s="1"/>
  <c r="AZ41" i="21"/>
  <c r="AU199" i="21"/>
  <c r="AT203" i="21"/>
  <c r="AW204" i="21"/>
  <c r="AT209" i="21"/>
  <c r="BB21" i="21"/>
  <c r="BB25" i="21" s="1"/>
  <c r="AT25" i="21"/>
  <c r="AT85" i="21"/>
  <c r="BB80" i="21"/>
  <c r="BB85" i="21" s="1"/>
  <c r="BB191" i="21"/>
  <c r="BB193" i="21" s="1"/>
  <c r="AT193" i="21"/>
  <c r="BB51" i="21"/>
  <c r="BB56" i="21" s="1"/>
  <c r="AU56" i="21"/>
  <c r="AS60" i="21"/>
  <c r="AS45" i="21" s="1"/>
  <c r="AS5" i="21" s="1"/>
  <c r="AT58" i="21"/>
  <c r="BB58" i="21" s="1"/>
  <c r="AU19" i="21"/>
  <c r="AU16" i="21" s="1"/>
  <c r="BB18" i="21"/>
  <c r="AU270" i="21"/>
  <c r="AT270" i="21"/>
  <c r="AT273" i="21" s="1"/>
  <c r="AQ273" i="21"/>
  <c r="AQ269" i="21" s="1"/>
  <c r="AT231" i="21"/>
  <c r="AT226" i="21" s="1"/>
  <c r="AU227" i="21"/>
  <c r="AT119" i="21"/>
  <c r="BB73" i="21"/>
  <c r="M5" i="21"/>
  <c r="AQ182" i="21"/>
  <c r="AT152" i="21"/>
  <c r="AF20" i="21"/>
  <c r="AF269" i="21"/>
  <c r="AR254" i="21"/>
  <c r="AT251" i="21"/>
  <c r="AU222" i="21"/>
  <c r="AT225" i="21"/>
  <c r="AT221" i="21" s="1"/>
  <c r="AR141" i="21"/>
  <c r="AF149" i="21"/>
  <c r="AF140" i="21" s="1"/>
  <c r="AF78" i="21" s="1"/>
  <c r="AU233" i="21"/>
  <c r="AT237" i="21"/>
  <c r="AT232" i="21" s="1"/>
  <c r="AT178" i="21"/>
  <c r="BB169" i="21"/>
  <c r="BB178" i="21" s="1"/>
  <c r="AR157" i="21"/>
  <c r="AF159" i="21"/>
  <c r="AF151" i="21" s="1"/>
  <c r="AR117" i="21"/>
  <c r="AR111" i="21" s="1"/>
  <c r="AT112" i="21"/>
  <c r="BB247" i="21"/>
  <c r="AU250" i="21"/>
  <c r="AR105" i="21"/>
  <c r="AR100" i="21" s="1"/>
  <c r="AT101" i="21"/>
  <c r="AS197" i="21"/>
  <c r="AF6" i="21"/>
  <c r="AE245" i="21"/>
  <c r="AE244" i="21" s="1"/>
  <c r="AR20" i="21"/>
  <c r="AU157" i="1"/>
  <c r="AL157" i="1"/>
  <c r="AT42" i="21" l="1"/>
  <c r="AR44" i="21"/>
  <c r="AR40" i="21" s="1"/>
  <c r="AU6" i="21"/>
  <c r="AT243" i="21"/>
  <c r="AT238" i="21" s="1"/>
  <c r="AQ20" i="21"/>
  <c r="AQ5" i="21" s="1"/>
  <c r="AQ150" i="21"/>
  <c r="AF5" i="21"/>
  <c r="AF150" i="21"/>
  <c r="AS292" i="21"/>
  <c r="AQ244" i="21"/>
  <c r="BB12" i="21"/>
  <c r="BB15" i="21" s="1"/>
  <c r="BB6" i="21" s="1"/>
  <c r="AT198" i="21"/>
  <c r="AU45" i="21"/>
  <c r="AT117" i="21"/>
  <c r="AT111" i="21" s="1"/>
  <c r="BB112" i="21"/>
  <c r="BB117" i="21" s="1"/>
  <c r="BB111" i="21" s="1"/>
  <c r="AW251" i="21"/>
  <c r="AT254" i="21"/>
  <c r="BB152" i="21"/>
  <c r="BB156" i="21" s="1"/>
  <c r="AT156" i="21"/>
  <c r="AW209" i="21"/>
  <c r="AW198" i="21" s="1"/>
  <c r="AW197" i="21" s="1"/>
  <c r="BB204" i="21"/>
  <c r="BB209" i="21" s="1"/>
  <c r="BB17" i="21"/>
  <c r="BB19" i="21" s="1"/>
  <c r="BB16" i="21" s="1"/>
  <c r="AT19" i="21"/>
  <c r="AT16" i="21" s="1"/>
  <c r="AT133" i="21"/>
  <c r="AT123" i="21" s="1"/>
  <c r="BB124" i="21"/>
  <c r="BB133" i="21" s="1"/>
  <c r="BB123" i="21" s="1"/>
  <c r="BB164" i="21"/>
  <c r="BB168" i="21" s="1"/>
  <c r="AT168" i="21"/>
  <c r="BB89" i="21"/>
  <c r="BB92" i="21" s="1"/>
  <c r="BB79" i="21" s="1"/>
  <c r="AT92" i="21"/>
  <c r="AT79" i="21" s="1"/>
  <c r="BB246" i="21"/>
  <c r="AF244" i="21"/>
  <c r="BB227" i="21"/>
  <c r="BB231" i="21" s="1"/>
  <c r="BB226" i="21" s="1"/>
  <c r="AU231" i="21"/>
  <c r="AU226" i="21" s="1"/>
  <c r="BB199" i="21"/>
  <c r="BB203" i="21" s="1"/>
  <c r="AU203" i="21"/>
  <c r="AU198" i="21" s="1"/>
  <c r="AR149" i="21"/>
  <c r="AR140" i="21" s="1"/>
  <c r="AR78" i="21" s="1"/>
  <c r="AT141" i="21"/>
  <c r="AT68" i="21"/>
  <c r="AR77" i="21"/>
  <c r="AR61" i="21" s="1"/>
  <c r="BB264" i="21"/>
  <c r="BB268" i="21" s="1"/>
  <c r="BB259" i="21" s="1"/>
  <c r="AT268" i="21"/>
  <c r="AT259" i="21" s="1"/>
  <c r="BB101" i="21"/>
  <c r="BB105" i="21" s="1"/>
  <c r="BB100" i="21" s="1"/>
  <c r="AT105" i="21"/>
  <c r="AT100" i="21" s="1"/>
  <c r="AR159" i="21"/>
  <c r="AR151" i="21" s="1"/>
  <c r="AT157" i="21"/>
  <c r="AU237" i="21"/>
  <c r="AU232" i="21" s="1"/>
  <c r="BB233" i="21"/>
  <c r="BB237" i="21" s="1"/>
  <c r="BB232" i="21" s="1"/>
  <c r="AU225" i="21"/>
  <c r="AU221" i="21" s="1"/>
  <c r="BB222" i="21"/>
  <c r="BB225" i="21" s="1"/>
  <c r="BB221" i="21" s="1"/>
  <c r="AZ44" i="21"/>
  <c r="AZ40" i="21" s="1"/>
  <c r="AZ5" i="21" s="1"/>
  <c r="AZ292" i="21" s="1"/>
  <c r="BB41" i="21"/>
  <c r="BB194" i="21"/>
  <c r="BB196" i="21" s="1"/>
  <c r="AT196" i="21"/>
  <c r="AT93" i="21"/>
  <c r="BB99" i="21"/>
  <c r="BB93" i="21" s="1"/>
  <c r="AR283" i="21"/>
  <c r="AR277" i="21" s="1"/>
  <c r="AT278" i="21"/>
  <c r="AU38" i="21"/>
  <c r="AT39" i="21"/>
  <c r="AT197" i="21"/>
  <c r="BB119" i="21"/>
  <c r="BB122" i="21" s="1"/>
  <c r="BB118" i="21" s="1"/>
  <c r="AT122" i="21"/>
  <c r="AT118" i="21" s="1"/>
  <c r="AT162" i="21"/>
  <c r="BB160" i="21"/>
  <c r="BB162" i="21" s="1"/>
  <c r="AU37" i="21"/>
  <c r="BB30" i="21"/>
  <c r="BB37" i="21" s="1"/>
  <c r="AU274" i="21"/>
  <c r="AT276" i="21"/>
  <c r="AT269" i="21" s="1"/>
  <c r="AU243" i="21"/>
  <c r="AU238" i="21" s="1"/>
  <c r="BB239" i="21"/>
  <c r="BB243" i="21" s="1"/>
  <c r="BB238" i="21" s="1"/>
  <c r="BB107" i="21"/>
  <c r="BB110" i="21" s="1"/>
  <c r="BB106" i="21" s="1"/>
  <c r="AT110" i="21"/>
  <c r="AT106" i="21" s="1"/>
  <c r="AR60" i="21"/>
  <c r="AR45" i="21" s="1"/>
  <c r="AR5" i="21" s="1"/>
  <c r="AT57" i="21"/>
  <c r="AU273" i="21"/>
  <c r="BB270" i="21"/>
  <c r="BB273" i="21" s="1"/>
  <c r="AR190" i="21"/>
  <c r="AR182" i="21" s="1"/>
  <c r="AT183" i="21"/>
  <c r="AR289" i="21"/>
  <c r="AR284" i="21" s="1"/>
  <c r="AT285" i="21"/>
  <c r="AU26" i="21"/>
  <c r="AT29" i="21"/>
  <c r="AT20" i="21" s="1"/>
  <c r="AT249" i="21"/>
  <c r="BB249" i="21" s="1"/>
  <c r="AR250" i="21"/>
  <c r="AR181" i="21"/>
  <c r="AR163" i="21" s="1"/>
  <c r="AT179" i="21"/>
  <c r="AR258" i="21"/>
  <c r="AT256" i="21"/>
  <c r="AU190" i="12"/>
  <c r="AV190" i="12"/>
  <c r="AW190" i="12"/>
  <c r="AX190" i="12"/>
  <c r="AY190" i="12"/>
  <c r="AZ190" i="12"/>
  <c r="BA190" i="12"/>
  <c r="AU139" i="23"/>
  <c r="AV139" i="23"/>
  <c r="AW139" i="23"/>
  <c r="AX139" i="23"/>
  <c r="AY139" i="23"/>
  <c r="AZ139" i="23"/>
  <c r="BA139" i="23"/>
  <c r="AU139" i="22"/>
  <c r="AV139" i="22"/>
  <c r="AW139" i="22"/>
  <c r="AX139" i="22"/>
  <c r="AY139" i="22"/>
  <c r="AZ139" i="22"/>
  <c r="BA139" i="22"/>
  <c r="BA105" i="15"/>
  <c r="AZ105" i="15"/>
  <c r="AY105" i="15"/>
  <c r="AX105" i="15"/>
  <c r="AW105" i="15"/>
  <c r="AV105" i="15"/>
  <c r="AU105" i="15"/>
  <c r="AL105" i="15"/>
  <c r="AK105" i="15"/>
  <c r="AJ105" i="15"/>
  <c r="AD105" i="15"/>
  <c r="AC105" i="15"/>
  <c r="AU105" i="14"/>
  <c r="AV105" i="14"/>
  <c r="AW105" i="14"/>
  <c r="AX105" i="14"/>
  <c r="AY105" i="14"/>
  <c r="AZ105" i="14"/>
  <c r="BA105" i="14"/>
  <c r="AU99" i="14"/>
  <c r="AV99" i="14"/>
  <c r="AW99" i="14"/>
  <c r="AX99" i="14"/>
  <c r="AY99" i="14"/>
  <c r="AZ99" i="14"/>
  <c r="BA99" i="14"/>
  <c r="AU99" i="13"/>
  <c r="AV99" i="13"/>
  <c r="AW99" i="13"/>
  <c r="AX99" i="13"/>
  <c r="AY99" i="13"/>
  <c r="AZ99" i="13"/>
  <c r="BA99" i="13"/>
  <c r="AU99" i="12"/>
  <c r="AV99" i="12"/>
  <c r="AW99" i="12"/>
  <c r="AX99" i="12"/>
  <c r="AY99" i="12"/>
  <c r="AZ99" i="12"/>
  <c r="BA99" i="12"/>
  <c r="BA99" i="1"/>
  <c r="AZ99" i="1"/>
  <c r="AY99" i="1"/>
  <c r="AX99" i="1"/>
  <c r="AW99" i="1"/>
  <c r="AV99" i="1"/>
  <c r="AU99" i="1"/>
  <c r="AL99" i="1"/>
  <c r="AK99" i="1"/>
  <c r="AJ99" i="1"/>
  <c r="AD99" i="1"/>
  <c r="AC99" i="1"/>
  <c r="Z99" i="1"/>
  <c r="AV11" i="14"/>
  <c r="AZ8" i="18" s="1"/>
  <c r="AW11" i="14"/>
  <c r="BA8" i="18" s="1"/>
  <c r="AX11" i="14"/>
  <c r="BB8" i="18" s="1"/>
  <c r="AY11" i="14"/>
  <c r="BC8" i="18" s="1"/>
  <c r="AZ11" i="14"/>
  <c r="BD8" i="18" s="1"/>
  <c r="BA11" i="14"/>
  <c r="BE8" i="18" s="1"/>
  <c r="AV11" i="13"/>
  <c r="AW11" i="13"/>
  <c r="AX11" i="13"/>
  <c r="AY11" i="13"/>
  <c r="AZ11" i="13"/>
  <c r="BA11" i="13"/>
  <c r="AV11" i="12"/>
  <c r="AW11" i="12"/>
  <c r="AA8" i="18" s="1"/>
  <c r="AX11" i="12"/>
  <c r="AY11" i="12"/>
  <c r="AC8" i="18" s="1"/>
  <c r="AZ11" i="12"/>
  <c r="BA11" i="12"/>
  <c r="AE8" i="18" s="1"/>
  <c r="AM8" i="18"/>
  <c r="AN8" i="18"/>
  <c r="AO8" i="18"/>
  <c r="AP8" i="18"/>
  <c r="AQ8" i="18"/>
  <c r="AR8" i="18"/>
  <c r="Z8" i="18"/>
  <c r="AB8" i="18"/>
  <c r="AD8" i="18"/>
  <c r="D73" i="18"/>
  <c r="D71" i="18"/>
  <c r="D69" i="18"/>
  <c r="D67" i="18"/>
  <c r="D65" i="18"/>
  <c r="D61" i="18"/>
  <c r="D62" i="18"/>
  <c r="D63" i="18"/>
  <c r="D56" i="18"/>
  <c r="D57" i="18"/>
  <c r="D58" i="18"/>
  <c r="D52" i="18"/>
  <c r="D53" i="18"/>
  <c r="D54" i="18"/>
  <c r="D48" i="18"/>
  <c r="D49" i="18"/>
  <c r="D50" i="18"/>
  <c r="D45" i="18"/>
  <c r="D43" i="18"/>
  <c r="D41" i="18"/>
  <c r="D39" i="18"/>
  <c r="D37" i="18"/>
  <c r="D35" i="18"/>
  <c r="D33" i="18"/>
  <c r="D31" i="18"/>
  <c r="D27" i="18"/>
  <c r="D28" i="18"/>
  <c r="D29" i="18"/>
  <c r="D24" i="18"/>
  <c r="D20" i="18"/>
  <c r="D21" i="18"/>
  <c r="D22" i="18"/>
  <c r="D18" i="18"/>
  <c r="D16" i="18"/>
  <c r="D15" i="18"/>
  <c r="D14" i="18"/>
  <c r="D13" i="18"/>
  <c r="D11" i="18"/>
  <c r="D9" i="18"/>
  <c r="D8" i="18"/>
  <c r="C30" i="18"/>
  <c r="BB42" i="21" l="1"/>
  <c r="BB44" i="21" s="1"/>
  <c r="BB40" i="21" s="1"/>
  <c r="AT44" i="21"/>
  <c r="AT40" i="21" s="1"/>
  <c r="BB198" i="21"/>
  <c r="BB197" i="21" s="1"/>
  <c r="AQ292" i="21"/>
  <c r="BB274" i="21"/>
  <c r="BB276" i="21" s="1"/>
  <c r="BB269" i="21" s="1"/>
  <c r="AU276" i="21"/>
  <c r="AU269" i="21" s="1"/>
  <c r="AU256" i="21"/>
  <c r="AT258" i="21"/>
  <c r="AT289" i="21"/>
  <c r="AT284" i="21" s="1"/>
  <c r="BB285" i="21"/>
  <c r="BB289" i="21" s="1"/>
  <c r="BB284" i="21" s="1"/>
  <c r="AT283" i="21"/>
  <c r="AT277" i="21" s="1"/>
  <c r="AU278" i="21"/>
  <c r="BB157" i="21"/>
  <c r="BB159" i="21" s="1"/>
  <c r="BB151" i="21" s="1"/>
  <c r="AT159" i="21"/>
  <c r="AT151" i="21" s="1"/>
  <c r="BB141" i="21"/>
  <c r="BB149" i="21" s="1"/>
  <c r="BB140" i="21" s="1"/>
  <c r="BB78" i="21" s="1"/>
  <c r="AT149" i="21"/>
  <c r="AT140" i="21" s="1"/>
  <c r="AR245" i="21"/>
  <c r="AR244" i="21" s="1"/>
  <c r="AT78" i="21"/>
  <c r="BB38" i="21"/>
  <c r="BB39" i="21" s="1"/>
  <c r="AU39" i="21"/>
  <c r="AU68" i="21"/>
  <c r="AT77" i="21"/>
  <c r="AT61" i="21" s="1"/>
  <c r="AT250" i="21"/>
  <c r="BB26" i="21"/>
  <c r="BB29" i="21" s="1"/>
  <c r="AU29" i="21"/>
  <c r="AT181" i="21"/>
  <c r="BB179" i="21"/>
  <c r="BB181" i="21" s="1"/>
  <c r="BB163" i="21" s="1"/>
  <c r="AT190" i="21"/>
  <c r="AT182" i="21" s="1"/>
  <c r="BB183" i="21"/>
  <c r="BB190" i="21" s="1"/>
  <c r="BB182" i="21" s="1"/>
  <c r="AT60" i="21"/>
  <c r="AT45" i="21" s="1"/>
  <c r="BB57" i="21"/>
  <c r="BB60" i="21" s="1"/>
  <c r="BB45" i="21" s="1"/>
  <c r="AU197" i="21"/>
  <c r="BB250" i="21"/>
  <c r="AT163" i="21"/>
  <c r="BB251" i="21"/>
  <c r="BB254" i="21" s="1"/>
  <c r="AW254" i="21"/>
  <c r="AW245" i="21" s="1"/>
  <c r="AW244" i="21" s="1"/>
  <c r="AW292" i="21" s="1"/>
  <c r="AR150" i="21"/>
  <c r="BA209" i="23"/>
  <c r="AZ209" i="23"/>
  <c r="AY209" i="23"/>
  <c r="AX209" i="23"/>
  <c r="AV209" i="23"/>
  <c r="AL209" i="23"/>
  <c r="AK209" i="23"/>
  <c r="AJ209" i="23"/>
  <c r="AD209" i="23"/>
  <c r="AC209" i="23"/>
  <c r="BA209" i="22"/>
  <c r="AZ209" i="22"/>
  <c r="AY209" i="22"/>
  <c r="AX209" i="22"/>
  <c r="AV209" i="22"/>
  <c r="AL209" i="22"/>
  <c r="AK209" i="22"/>
  <c r="AJ209" i="22"/>
  <c r="AD209" i="22"/>
  <c r="AC209" i="22"/>
  <c r="DE62" i="18"/>
  <c r="CZ62" i="18"/>
  <c r="BA209" i="17"/>
  <c r="AZ209" i="17"/>
  <c r="AY209" i="17"/>
  <c r="AX209" i="17"/>
  <c r="AV209" i="17"/>
  <c r="AL209" i="17"/>
  <c r="AK209" i="17"/>
  <c r="AJ209" i="17"/>
  <c r="AD209" i="17"/>
  <c r="AC209" i="17"/>
  <c r="BA209" i="16"/>
  <c r="AZ209" i="16"/>
  <c r="AY209" i="16"/>
  <c r="AX209" i="16"/>
  <c r="AV209" i="16"/>
  <c r="AL209" i="16"/>
  <c r="AK209" i="16"/>
  <c r="AJ209" i="16"/>
  <c r="AD209" i="16"/>
  <c r="AC209" i="16"/>
  <c r="BA209" i="15"/>
  <c r="AZ209" i="15"/>
  <c r="AY209" i="15"/>
  <c r="AX209" i="15"/>
  <c r="AW209" i="15"/>
  <c r="AV209" i="15"/>
  <c r="AL209" i="15"/>
  <c r="AK209" i="15"/>
  <c r="AJ209" i="15"/>
  <c r="AD209" i="15"/>
  <c r="BA209" i="14"/>
  <c r="AZ209" i="14"/>
  <c r="AY209" i="14"/>
  <c r="AX209" i="14"/>
  <c r="AW209" i="14"/>
  <c r="AV209" i="14"/>
  <c r="AL209" i="14"/>
  <c r="AK209" i="14"/>
  <c r="AJ209" i="14"/>
  <c r="AD209" i="14"/>
  <c r="BA209" i="13"/>
  <c r="AZ209" i="13"/>
  <c r="AY209" i="13"/>
  <c r="AX209" i="13"/>
  <c r="AW209" i="13"/>
  <c r="AV209" i="13"/>
  <c r="AL209" i="13"/>
  <c r="AK209" i="13"/>
  <c r="AJ209" i="13"/>
  <c r="AD209" i="13"/>
  <c r="BA209" i="12"/>
  <c r="AZ209" i="12"/>
  <c r="AY209" i="12"/>
  <c r="AX209" i="12"/>
  <c r="AV209" i="12"/>
  <c r="AL209" i="12"/>
  <c r="AK209" i="12"/>
  <c r="AJ209" i="12"/>
  <c r="AD209" i="12"/>
  <c r="BA209" i="1"/>
  <c r="AZ209" i="1"/>
  <c r="AY209" i="1"/>
  <c r="AX209" i="1"/>
  <c r="AV209" i="1"/>
  <c r="AL209" i="1"/>
  <c r="AK209" i="1"/>
  <c r="AJ209" i="1"/>
  <c r="AD209" i="1"/>
  <c r="AC209" i="1"/>
  <c r="BA243" i="23"/>
  <c r="AZ243" i="23"/>
  <c r="AY243" i="23"/>
  <c r="AX243" i="23"/>
  <c r="AW243" i="23"/>
  <c r="AV243" i="23"/>
  <c r="BA238" i="23"/>
  <c r="AZ238" i="23"/>
  <c r="AY238" i="23"/>
  <c r="AX238" i="23"/>
  <c r="AW238" i="23"/>
  <c r="AV238" i="23"/>
  <c r="BA237" i="23"/>
  <c r="AZ237" i="23"/>
  <c r="AY237" i="23"/>
  <c r="AX237" i="23"/>
  <c r="AW237" i="23"/>
  <c r="AV237" i="23"/>
  <c r="BA232" i="23"/>
  <c r="AZ232" i="23"/>
  <c r="AY232" i="23"/>
  <c r="AX232" i="23"/>
  <c r="AW232" i="23"/>
  <c r="AV232" i="23"/>
  <c r="BA231" i="23"/>
  <c r="AZ231" i="23"/>
  <c r="AY231" i="23"/>
  <c r="AX231" i="23"/>
  <c r="AW231" i="23"/>
  <c r="AV231" i="23"/>
  <c r="BA226" i="23"/>
  <c r="AZ226" i="23"/>
  <c r="AY226" i="23"/>
  <c r="AX226" i="23"/>
  <c r="AW226" i="23"/>
  <c r="AV226" i="23"/>
  <c r="BA225" i="23"/>
  <c r="AZ225" i="23"/>
  <c r="AY225" i="23"/>
  <c r="AX225" i="23"/>
  <c r="AW225" i="23"/>
  <c r="AV225" i="23"/>
  <c r="BA221" i="23"/>
  <c r="AZ221" i="23"/>
  <c r="AY221" i="23"/>
  <c r="AX221" i="23"/>
  <c r="AW221" i="23"/>
  <c r="AV221" i="23"/>
  <c r="BA220" i="23"/>
  <c r="AZ220" i="23"/>
  <c r="AY220" i="23"/>
  <c r="AX220" i="23"/>
  <c r="AW220" i="23"/>
  <c r="AV220" i="23"/>
  <c r="BA213" i="23"/>
  <c r="AZ213" i="23"/>
  <c r="AY213" i="23"/>
  <c r="AX213" i="23"/>
  <c r="AW213" i="23"/>
  <c r="AV213" i="23"/>
  <c r="BA212" i="23"/>
  <c r="AZ212" i="23"/>
  <c r="AY212" i="23"/>
  <c r="AX212" i="23"/>
  <c r="AW212" i="23"/>
  <c r="AV212" i="23"/>
  <c r="BA203" i="23"/>
  <c r="AZ203" i="23"/>
  <c r="AY203" i="23"/>
  <c r="AX203" i="23"/>
  <c r="AW203" i="23"/>
  <c r="AV203" i="23"/>
  <c r="BA198" i="23"/>
  <c r="BA197" i="23" s="1"/>
  <c r="AZ198" i="23"/>
  <c r="AY198" i="23"/>
  <c r="AY197" i="23" s="1"/>
  <c r="AX198" i="23"/>
  <c r="AX197" i="23" s="1"/>
  <c r="AV198" i="23"/>
  <c r="AV197" i="23" s="1"/>
  <c r="AZ197" i="23"/>
  <c r="BA196" i="23"/>
  <c r="AZ196" i="23"/>
  <c r="AY196" i="23"/>
  <c r="AX196" i="23"/>
  <c r="AW196" i="23"/>
  <c r="AV196" i="23"/>
  <c r="AU196" i="23"/>
  <c r="BA193" i="23"/>
  <c r="AZ193" i="23"/>
  <c r="AY193" i="23"/>
  <c r="AX193" i="23"/>
  <c r="AX182" i="23" s="1"/>
  <c r="AW193" i="23"/>
  <c r="AV193" i="23"/>
  <c r="BA190" i="23"/>
  <c r="BA182" i="23" s="1"/>
  <c r="AZ190" i="23"/>
  <c r="AZ182" i="23" s="1"/>
  <c r="AY190" i="23"/>
  <c r="AX190" i="23"/>
  <c r="AW190" i="23"/>
  <c r="AW182" i="23" s="1"/>
  <c r="AV190" i="23"/>
  <c r="AU190" i="23"/>
  <c r="BA181" i="23"/>
  <c r="AZ181" i="23"/>
  <c r="AY181" i="23"/>
  <c r="AX181" i="23"/>
  <c r="AW181" i="23"/>
  <c r="AV181" i="23"/>
  <c r="AU181" i="23"/>
  <c r="BA178" i="23"/>
  <c r="AZ178" i="23"/>
  <c r="AY178" i="23"/>
  <c r="AX178" i="23"/>
  <c r="AW178" i="23"/>
  <c r="AV178" i="23"/>
  <c r="AU178" i="23"/>
  <c r="BA168" i="23"/>
  <c r="BA163" i="23" s="1"/>
  <c r="AZ168" i="23"/>
  <c r="AY168" i="23"/>
  <c r="AX168" i="23"/>
  <c r="AW168" i="23"/>
  <c r="AW163" i="23" s="1"/>
  <c r="AV168" i="23"/>
  <c r="AU168" i="23"/>
  <c r="AZ163" i="23"/>
  <c r="AX163" i="23"/>
  <c r="AV163" i="23"/>
  <c r="BA162" i="23"/>
  <c r="AZ162" i="23"/>
  <c r="AY162" i="23"/>
  <c r="AX162" i="23"/>
  <c r="AW162" i="23"/>
  <c r="AV162" i="23"/>
  <c r="AU162" i="23"/>
  <c r="BA159" i="23"/>
  <c r="AZ159" i="23"/>
  <c r="AY159" i="23"/>
  <c r="AX159" i="23"/>
  <c r="AW159" i="23"/>
  <c r="AV159" i="23"/>
  <c r="AU159" i="23"/>
  <c r="BA156" i="23"/>
  <c r="BA151" i="23" s="1"/>
  <c r="BA150" i="23" s="1"/>
  <c r="AZ156" i="23"/>
  <c r="AY156" i="23"/>
  <c r="AX156" i="23"/>
  <c r="AW156" i="23"/>
  <c r="AW151" i="23" s="1"/>
  <c r="AW150" i="23" s="1"/>
  <c r="AV156" i="23"/>
  <c r="AU156" i="23"/>
  <c r="AZ151" i="23"/>
  <c r="AX151" i="23"/>
  <c r="AV151" i="23"/>
  <c r="BA149" i="23"/>
  <c r="AZ149" i="23"/>
  <c r="AZ140" i="23" s="1"/>
  <c r="AY149" i="23"/>
  <c r="AY140" i="23" s="1"/>
  <c r="AX149" i="23"/>
  <c r="AX140" i="23" s="1"/>
  <c r="AW149" i="23"/>
  <c r="AV149" i="23"/>
  <c r="AV140" i="23" s="1"/>
  <c r="BA140" i="23"/>
  <c r="AW140" i="23"/>
  <c r="BA134" i="23"/>
  <c r="AZ134" i="23"/>
  <c r="AY134" i="23"/>
  <c r="AX134" i="23"/>
  <c r="AW134" i="23"/>
  <c r="AV134" i="23"/>
  <c r="AU134" i="23"/>
  <c r="BA133" i="23"/>
  <c r="AZ133" i="23"/>
  <c r="AZ123" i="23" s="1"/>
  <c r="AY133" i="23"/>
  <c r="AY123" i="23" s="1"/>
  <c r="AX133" i="23"/>
  <c r="AX123" i="23" s="1"/>
  <c r="AW133" i="23"/>
  <c r="AV133" i="23"/>
  <c r="AV123" i="23" s="1"/>
  <c r="AU133" i="23"/>
  <c r="AU123" i="23" s="1"/>
  <c r="BA123" i="23"/>
  <c r="AW123" i="23"/>
  <c r="BA122" i="23"/>
  <c r="BA118" i="23" s="1"/>
  <c r="AZ122" i="23"/>
  <c r="AZ118" i="23" s="1"/>
  <c r="AY122" i="23"/>
  <c r="AX122" i="23"/>
  <c r="AW122" i="23"/>
  <c r="AW118" i="23" s="1"/>
  <c r="AV122" i="23"/>
  <c r="AV118" i="23" s="1"/>
  <c r="AU122" i="23"/>
  <c r="AY118" i="23"/>
  <c r="AX118" i="23"/>
  <c r="AU118" i="23"/>
  <c r="BA117" i="23"/>
  <c r="AZ117" i="23"/>
  <c r="AY117" i="23"/>
  <c r="AY111" i="23" s="1"/>
  <c r="AX117" i="23"/>
  <c r="AX111" i="23" s="1"/>
  <c r="AW117" i="23"/>
  <c r="AV117" i="23"/>
  <c r="AU117" i="23"/>
  <c r="AU111" i="23" s="1"/>
  <c r="BA111" i="23"/>
  <c r="AZ111" i="23"/>
  <c r="AW111" i="23"/>
  <c r="AV111" i="23"/>
  <c r="BA110" i="23"/>
  <c r="BA106" i="23" s="1"/>
  <c r="AZ110" i="23"/>
  <c r="AZ106" i="23" s="1"/>
  <c r="AY110" i="23"/>
  <c r="AX110" i="23"/>
  <c r="AW110" i="23"/>
  <c r="AW106" i="23" s="1"/>
  <c r="AV110" i="23"/>
  <c r="AV106" i="23" s="1"/>
  <c r="AU110" i="23"/>
  <c r="AY106" i="23"/>
  <c r="AX106" i="23"/>
  <c r="AU106" i="23"/>
  <c r="BA105" i="23"/>
  <c r="AZ105" i="23"/>
  <c r="AY105" i="23"/>
  <c r="AY100" i="23" s="1"/>
  <c r="AX105" i="23"/>
  <c r="AX100" i="23" s="1"/>
  <c r="AW105" i="23"/>
  <c r="AV105" i="23"/>
  <c r="AU105" i="23"/>
  <c r="AU100" i="23" s="1"/>
  <c r="BA100" i="23"/>
  <c r="AZ100" i="23"/>
  <c r="AW100" i="23"/>
  <c r="AV100" i="23"/>
  <c r="BA99" i="23"/>
  <c r="BA93" i="23" s="1"/>
  <c r="AZ99" i="23"/>
  <c r="AZ93" i="23" s="1"/>
  <c r="AY99" i="23"/>
  <c r="AX99" i="23"/>
  <c r="AW99" i="23"/>
  <c r="AW93" i="23" s="1"/>
  <c r="AV99" i="23"/>
  <c r="AV93" i="23" s="1"/>
  <c r="AU99" i="23"/>
  <c r="AY93" i="23"/>
  <c r="AX93" i="23"/>
  <c r="AU93" i="23"/>
  <c r="BA92" i="23"/>
  <c r="AZ92" i="23"/>
  <c r="AY92" i="23"/>
  <c r="AX92" i="23"/>
  <c r="AW92" i="23"/>
  <c r="AV92" i="23"/>
  <c r="AU92" i="23"/>
  <c r="BA88" i="23"/>
  <c r="AZ88" i="23"/>
  <c r="AY88" i="23"/>
  <c r="AX88" i="23"/>
  <c r="AW88" i="23"/>
  <c r="AV88" i="23"/>
  <c r="AU88" i="23"/>
  <c r="BA85" i="23"/>
  <c r="BA79" i="23" s="1"/>
  <c r="AZ85" i="23"/>
  <c r="AZ79" i="23" s="1"/>
  <c r="AY85" i="23"/>
  <c r="AX85" i="23"/>
  <c r="AW85" i="23"/>
  <c r="AW79" i="23" s="1"/>
  <c r="AV85" i="23"/>
  <c r="AV79" i="23" s="1"/>
  <c r="AU85" i="23"/>
  <c r="AY79" i="23"/>
  <c r="AU79" i="23"/>
  <c r="BA77" i="23"/>
  <c r="BA61" i="23" s="1"/>
  <c r="AZ77" i="23"/>
  <c r="AZ61" i="23" s="1"/>
  <c r="AX77" i="23"/>
  <c r="AX61" i="23" s="1"/>
  <c r="AW77" i="23"/>
  <c r="AW61" i="23" s="1"/>
  <c r="AY72" i="23"/>
  <c r="BA60" i="23"/>
  <c r="AZ60" i="23"/>
  <c r="AY60" i="23"/>
  <c r="AX60" i="23"/>
  <c r="AW60" i="23"/>
  <c r="AV60" i="23"/>
  <c r="AU60" i="23"/>
  <c r="BA56" i="23"/>
  <c r="AZ56" i="23"/>
  <c r="AX56" i="23"/>
  <c r="AW56" i="23"/>
  <c r="AV56" i="23"/>
  <c r="BA50" i="23"/>
  <c r="BA45" i="23" s="1"/>
  <c r="AZ50" i="23"/>
  <c r="AY50" i="23"/>
  <c r="AX50" i="23"/>
  <c r="AW50" i="23"/>
  <c r="AW45" i="23" s="1"/>
  <c r="AV50" i="23"/>
  <c r="AV45" i="23" s="1"/>
  <c r="AX45" i="23"/>
  <c r="BA44" i="23"/>
  <c r="AY44" i="23"/>
  <c r="AY40" i="23" s="1"/>
  <c r="AX44" i="23"/>
  <c r="AX40" i="23" s="1"/>
  <c r="AW44" i="23"/>
  <c r="AV44" i="23"/>
  <c r="BA40" i="23"/>
  <c r="AW40" i="23"/>
  <c r="AV40" i="23"/>
  <c r="BA39" i="23"/>
  <c r="AZ39" i="23"/>
  <c r="AY39" i="23"/>
  <c r="AX39" i="23"/>
  <c r="AW39" i="23"/>
  <c r="AV39" i="23"/>
  <c r="BA37" i="23"/>
  <c r="AZ37" i="23"/>
  <c r="AY37" i="23"/>
  <c r="AX37" i="23"/>
  <c r="AW37" i="23"/>
  <c r="AV37" i="23"/>
  <c r="BA29" i="23"/>
  <c r="AZ29" i="23"/>
  <c r="AY29" i="23"/>
  <c r="AX29" i="23"/>
  <c r="AW29" i="23"/>
  <c r="AV29" i="23"/>
  <c r="BA25" i="23"/>
  <c r="AZ25" i="23"/>
  <c r="AZ20" i="23" s="1"/>
  <c r="AY25" i="23"/>
  <c r="AX25" i="23"/>
  <c r="AW25" i="23"/>
  <c r="AV25" i="23"/>
  <c r="AV20" i="23" s="1"/>
  <c r="BA20" i="23"/>
  <c r="AY20" i="23"/>
  <c r="AX20" i="23"/>
  <c r="AW20" i="23"/>
  <c r="BA19" i="23"/>
  <c r="AZ19" i="23"/>
  <c r="AZ16" i="23" s="1"/>
  <c r="AY19" i="23"/>
  <c r="AX19" i="23"/>
  <c r="AW19" i="23"/>
  <c r="AV19" i="23"/>
  <c r="AV16" i="23" s="1"/>
  <c r="BA16" i="23"/>
  <c r="AY16" i="23"/>
  <c r="AX16" i="23"/>
  <c r="AW16" i="23"/>
  <c r="BA15" i="23"/>
  <c r="AZ15" i="23"/>
  <c r="AY15" i="23"/>
  <c r="AX15" i="23"/>
  <c r="AW15" i="23"/>
  <c r="AV15" i="23"/>
  <c r="BA11" i="23"/>
  <c r="AZ11" i="23"/>
  <c r="AY11" i="23"/>
  <c r="AX11" i="23"/>
  <c r="AW11" i="23"/>
  <c r="AV11" i="23"/>
  <c r="AL243" i="23"/>
  <c r="AL238" i="23" s="1"/>
  <c r="AK243" i="23"/>
  <c r="AK238" i="23" s="1"/>
  <c r="AJ243" i="23"/>
  <c r="AJ238" i="23"/>
  <c r="AL237" i="23"/>
  <c r="AL232" i="23" s="1"/>
  <c r="AK237" i="23"/>
  <c r="AJ237" i="23"/>
  <c r="AJ232" i="23" s="1"/>
  <c r="AK232" i="23"/>
  <c r="AL231" i="23"/>
  <c r="AL226" i="23" s="1"/>
  <c r="AK231" i="23"/>
  <c r="AK226" i="23" s="1"/>
  <c r="AJ231" i="23"/>
  <c r="AJ226" i="23" s="1"/>
  <c r="AL225" i="23"/>
  <c r="AL221" i="23" s="1"/>
  <c r="AK225" i="23"/>
  <c r="AJ225" i="23"/>
  <c r="AJ221" i="23" s="1"/>
  <c r="AK221" i="23"/>
  <c r="AL220" i="23"/>
  <c r="AL213" i="23" s="1"/>
  <c r="AK220" i="23"/>
  <c r="AK213" i="23" s="1"/>
  <c r="AJ220" i="23"/>
  <c r="AJ213" i="23"/>
  <c r="AL212" i="23"/>
  <c r="AK212" i="23"/>
  <c r="AJ212" i="23"/>
  <c r="AL203" i="23"/>
  <c r="AL198" i="23" s="1"/>
  <c r="AK203" i="23"/>
  <c r="AK198" i="23" s="1"/>
  <c r="AJ203" i="23"/>
  <c r="AJ198" i="23"/>
  <c r="AL196" i="23"/>
  <c r="AK196" i="23"/>
  <c r="AJ196" i="23"/>
  <c r="AL193" i="23"/>
  <c r="AK193" i="23"/>
  <c r="AJ193" i="23"/>
  <c r="AL190" i="23"/>
  <c r="AK190" i="23"/>
  <c r="AK182" i="23" s="1"/>
  <c r="AJ190" i="23"/>
  <c r="AJ182" i="23" s="1"/>
  <c r="AL181" i="23"/>
  <c r="AK181" i="23"/>
  <c r="AJ181" i="23"/>
  <c r="AL178" i="23"/>
  <c r="AK178" i="23"/>
  <c r="AJ178" i="23"/>
  <c r="AL168" i="23"/>
  <c r="AL163" i="23" s="1"/>
  <c r="AK168" i="23"/>
  <c r="AJ168" i="23"/>
  <c r="AJ163" i="23"/>
  <c r="AL162" i="23"/>
  <c r="AK162" i="23"/>
  <c r="AJ162" i="23"/>
  <c r="AL159" i="23"/>
  <c r="AK159" i="23"/>
  <c r="AJ159" i="23"/>
  <c r="AL156" i="23"/>
  <c r="AK156" i="23"/>
  <c r="AK151" i="23" s="1"/>
  <c r="AJ156" i="23"/>
  <c r="AJ151" i="23" s="1"/>
  <c r="AJ150" i="23" s="1"/>
  <c r="AL149" i="23"/>
  <c r="AL140" i="23" s="1"/>
  <c r="AK149" i="23"/>
  <c r="AK140" i="23" s="1"/>
  <c r="AJ149" i="23"/>
  <c r="AJ140" i="23"/>
  <c r="AL139" i="23"/>
  <c r="AL134" i="23" s="1"/>
  <c r="AK139" i="23"/>
  <c r="AK134" i="23" s="1"/>
  <c r="AJ139" i="23"/>
  <c r="AJ134" i="23" s="1"/>
  <c r="AL133" i="23"/>
  <c r="AL123" i="23" s="1"/>
  <c r="AK133" i="23"/>
  <c r="AK123" i="23" s="1"/>
  <c r="AJ133" i="23"/>
  <c r="AJ123" i="23"/>
  <c r="AL122" i="23"/>
  <c r="AK122" i="23"/>
  <c r="AK118" i="23" s="1"/>
  <c r="AJ122" i="23"/>
  <c r="AJ118" i="23" s="1"/>
  <c r="AL118" i="23"/>
  <c r="AL117" i="23"/>
  <c r="AL111" i="23" s="1"/>
  <c r="AK117" i="23"/>
  <c r="AJ117" i="23"/>
  <c r="AK111" i="23"/>
  <c r="AJ111" i="23"/>
  <c r="AL110" i="23"/>
  <c r="AK110" i="23"/>
  <c r="AK106" i="23" s="1"/>
  <c r="AJ110" i="23"/>
  <c r="AJ106" i="23" s="1"/>
  <c r="AL106" i="23"/>
  <c r="AL105" i="23"/>
  <c r="AL100" i="23" s="1"/>
  <c r="AK105" i="23"/>
  <c r="AK100" i="23" s="1"/>
  <c r="AJ105" i="23"/>
  <c r="AJ100" i="23"/>
  <c r="AL99" i="23"/>
  <c r="AK99" i="23"/>
  <c r="AJ99" i="23"/>
  <c r="AJ93" i="23" s="1"/>
  <c r="AL93" i="23"/>
  <c r="AK93" i="23"/>
  <c r="AL92" i="23"/>
  <c r="AK92" i="23"/>
  <c r="AJ92" i="23"/>
  <c r="AL88" i="23"/>
  <c r="AK88" i="23"/>
  <c r="AK79" i="23" s="1"/>
  <c r="AJ88" i="23"/>
  <c r="AL85" i="23"/>
  <c r="AK85" i="23"/>
  <c r="AJ85" i="23"/>
  <c r="AJ79" i="23" s="1"/>
  <c r="AL77" i="23"/>
  <c r="AK77" i="23"/>
  <c r="AK61" i="23" s="1"/>
  <c r="AJ77" i="23"/>
  <c r="AJ61" i="23" s="1"/>
  <c r="AL61" i="23"/>
  <c r="AL60" i="23"/>
  <c r="AK60" i="23"/>
  <c r="AJ60" i="23"/>
  <c r="AL56" i="23"/>
  <c r="AK56" i="23"/>
  <c r="AJ56" i="23"/>
  <c r="AL50" i="23"/>
  <c r="AK50" i="23"/>
  <c r="AJ50" i="23"/>
  <c r="AJ45" i="23" s="1"/>
  <c r="AL44" i="23"/>
  <c r="AK44" i="23"/>
  <c r="AK40" i="23" s="1"/>
  <c r="AJ44" i="23"/>
  <c r="AJ40" i="23" s="1"/>
  <c r="AL40" i="23"/>
  <c r="AL39" i="23"/>
  <c r="AK39" i="23"/>
  <c r="AJ39" i="23"/>
  <c r="AL37" i="23"/>
  <c r="AK37" i="23"/>
  <c r="AJ37" i="23"/>
  <c r="AL29" i="23"/>
  <c r="AK29" i="23"/>
  <c r="AJ29" i="23"/>
  <c r="AL25" i="23"/>
  <c r="AL20" i="23" s="1"/>
  <c r="AK25" i="23"/>
  <c r="AJ25" i="23"/>
  <c r="AJ20" i="23" s="1"/>
  <c r="AL19" i="23"/>
  <c r="AL16" i="23" s="1"/>
  <c r="AK19" i="23"/>
  <c r="AJ19" i="23"/>
  <c r="AJ16" i="23" s="1"/>
  <c r="AK16" i="23"/>
  <c r="AL15" i="23"/>
  <c r="AK15" i="23"/>
  <c r="AJ15" i="23"/>
  <c r="AL11" i="23"/>
  <c r="AK11" i="23"/>
  <c r="AJ11" i="23"/>
  <c r="AD243" i="23"/>
  <c r="AD238" i="23" s="1"/>
  <c r="AC243" i="23"/>
  <c r="AC238" i="23" s="1"/>
  <c r="AD237" i="23"/>
  <c r="AD232" i="23" s="1"/>
  <c r="AC237" i="23"/>
  <c r="AC232" i="23"/>
  <c r="AD231" i="23"/>
  <c r="AD226" i="23" s="1"/>
  <c r="AC228" i="23"/>
  <c r="AC231" i="23" s="1"/>
  <c r="AC226" i="23" s="1"/>
  <c r="AD225" i="23"/>
  <c r="AD221" i="23" s="1"/>
  <c r="AC225" i="23"/>
  <c r="AC221" i="23"/>
  <c r="AD220" i="23"/>
  <c r="AD213" i="23" s="1"/>
  <c r="AC218" i="23"/>
  <c r="AC217" i="23"/>
  <c r="AC220" i="23" s="1"/>
  <c r="AC213" i="23" s="1"/>
  <c r="AD212" i="23"/>
  <c r="AC212" i="23"/>
  <c r="AD203" i="23"/>
  <c r="AC200" i="23"/>
  <c r="AC203" i="23" s="1"/>
  <c r="AC198" i="23" s="1"/>
  <c r="AD198" i="23"/>
  <c r="AD196" i="23"/>
  <c r="AC196" i="23"/>
  <c r="AD193" i="23"/>
  <c r="AC193" i="23"/>
  <c r="AD190" i="23"/>
  <c r="AC190" i="23"/>
  <c r="AC182" i="23" s="1"/>
  <c r="AD182" i="23"/>
  <c r="AD181" i="23"/>
  <c r="AC181" i="23"/>
  <c r="AD178" i="23"/>
  <c r="AC178" i="23"/>
  <c r="AD168" i="23"/>
  <c r="AC168" i="23"/>
  <c r="AD163" i="23"/>
  <c r="AD162" i="23"/>
  <c r="AC162" i="23"/>
  <c r="AD159" i="23"/>
  <c r="AC159" i="23"/>
  <c r="AD156" i="23"/>
  <c r="AD151" i="23" s="1"/>
  <c r="AD150" i="23" s="1"/>
  <c r="AC156" i="23"/>
  <c r="AC151" i="23" s="1"/>
  <c r="AD149" i="23"/>
  <c r="AD140" i="23" s="1"/>
  <c r="AC148" i="23"/>
  <c r="AC149" i="23" s="1"/>
  <c r="AC140" i="23" s="1"/>
  <c r="AD139" i="23"/>
  <c r="AD134" i="23" s="1"/>
  <c r="AC139" i="23"/>
  <c r="AC134" i="23" s="1"/>
  <c r="AD133" i="23"/>
  <c r="AD123" i="23" s="1"/>
  <c r="AC133" i="23"/>
  <c r="AC123" i="23" s="1"/>
  <c r="AD122" i="23"/>
  <c r="AC122" i="23"/>
  <c r="AC118" i="23" s="1"/>
  <c r="AD118" i="23"/>
  <c r="AD117" i="23"/>
  <c r="AD111" i="23" s="1"/>
  <c r="AC117" i="23"/>
  <c r="AC111" i="23" s="1"/>
  <c r="AD110" i="23"/>
  <c r="AD106" i="23" s="1"/>
  <c r="AC110" i="23"/>
  <c r="AC106" i="23" s="1"/>
  <c r="AD105" i="23"/>
  <c r="AD100" i="23" s="1"/>
  <c r="AC105" i="23"/>
  <c r="AC100" i="23" s="1"/>
  <c r="AD99" i="23"/>
  <c r="AD93" i="23" s="1"/>
  <c r="AC99" i="23"/>
  <c r="AC93" i="23" s="1"/>
  <c r="AD92" i="23"/>
  <c r="AC92" i="23"/>
  <c r="AD88" i="23"/>
  <c r="AC88" i="23"/>
  <c r="AD85" i="23"/>
  <c r="AD79" i="23" s="1"/>
  <c r="AC85" i="23"/>
  <c r="AC79" i="23" s="1"/>
  <c r="AD77" i="23"/>
  <c r="AD61" i="23" s="1"/>
  <c r="AC73" i="23"/>
  <c r="AC72" i="23"/>
  <c r="AC66" i="23"/>
  <c r="AC65" i="23"/>
  <c r="AC64" i="23"/>
  <c r="AD60" i="23"/>
  <c r="AC60" i="23"/>
  <c r="AD56" i="23"/>
  <c r="AC52" i="23"/>
  <c r="AC56" i="23" s="1"/>
  <c r="AD50" i="23"/>
  <c r="AD45" i="23" s="1"/>
  <c r="AC50" i="23"/>
  <c r="AD44" i="23"/>
  <c r="AD40" i="23" s="1"/>
  <c r="AC42" i="23"/>
  <c r="AC44" i="23" s="1"/>
  <c r="AC40" i="23" s="1"/>
  <c r="AD39" i="23"/>
  <c r="AC39" i="23"/>
  <c r="AD37" i="23"/>
  <c r="AC37" i="23"/>
  <c r="AD29" i="23"/>
  <c r="AC29" i="23"/>
  <c r="AD25" i="23"/>
  <c r="AC23" i="23"/>
  <c r="AC25" i="23" s="1"/>
  <c r="AC20" i="23" s="1"/>
  <c r="AD19" i="23"/>
  <c r="AD16" i="23" s="1"/>
  <c r="AC19" i="23"/>
  <c r="AC16" i="23" s="1"/>
  <c r="AD15" i="23"/>
  <c r="AC14" i="23"/>
  <c r="AC15" i="23" s="1"/>
  <c r="AD11" i="23"/>
  <c r="AC11" i="23"/>
  <c r="Z198" i="23"/>
  <c r="Z197" i="23" s="1"/>
  <c r="AA61" i="23"/>
  <c r="Z61" i="23"/>
  <c r="AA45" i="23"/>
  <c r="Z45" i="23"/>
  <c r="AA40" i="23"/>
  <c r="Z40" i="23"/>
  <c r="AA20" i="23"/>
  <c r="Z20" i="23"/>
  <c r="AA16" i="23"/>
  <c r="Z16" i="23"/>
  <c r="K66" i="23"/>
  <c r="K52" i="23"/>
  <c r="BA243" i="22"/>
  <c r="BA238" i="22" s="1"/>
  <c r="AZ243" i="22"/>
  <c r="AZ238" i="22" s="1"/>
  <c r="AZ197" i="22" s="1"/>
  <c r="AY243" i="22"/>
  <c r="AX243" i="22"/>
  <c r="AX238" i="22" s="1"/>
  <c r="AW243" i="22"/>
  <c r="AV243" i="22"/>
  <c r="AV238" i="22" s="1"/>
  <c r="AY238" i="22"/>
  <c r="AW238" i="22"/>
  <c r="BA237" i="22"/>
  <c r="AZ237" i="22"/>
  <c r="AY237" i="22"/>
  <c r="AX237" i="22"/>
  <c r="AX232" i="22" s="1"/>
  <c r="AW237" i="22"/>
  <c r="AV237" i="22"/>
  <c r="BA232" i="22"/>
  <c r="AZ232" i="22"/>
  <c r="AY232" i="22"/>
  <c r="AW232" i="22"/>
  <c r="AV232" i="22"/>
  <c r="BA231" i="22"/>
  <c r="AZ231" i="22"/>
  <c r="AY231" i="22"/>
  <c r="AX231" i="22"/>
  <c r="AW231" i="22"/>
  <c r="AV231" i="22"/>
  <c r="BA226" i="22"/>
  <c r="AZ226" i="22"/>
  <c r="AY226" i="22"/>
  <c r="AX226" i="22"/>
  <c r="AW226" i="22"/>
  <c r="AV226" i="22"/>
  <c r="BA225" i="22"/>
  <c r="AZ225" i="22"/>
  <c r="AY225" i="22"/>
  <c r="AX225" i="22"/>
  <c r="AW225" i="22"/>
  <c r="AV225" i="22"/>
  <c r="BA221" i="22"/>
  <c r="AZ221" i="22"/>
  <c r="AY221" i="22"/>
  <c r="AX221" i="22"/>
  <c r="AW221" i="22"/>
  <c r="AV221" i="22"/>
  <c r="BA220" i="22"/>
  <c r="AZ220" i="22"/>
  <c r="AY220" i="22"/>
  <c r="AX220" i="22"/>
  <c r="AW220" i="22"/>
  <c r="AV220" i="22"/>
  <c r="BA213" i="22"/>
  <c r="AZ213" i="22"/>
  <c r="AY213" i="22"/>
  <c r="AX213" i="22"/>
  <c r="AW213" i="22"/>
  <c r="AV213" i="22"/>
  <c r="BA212" i="22"/>
  <c r="AZ212" i="22"/>
  <c r="AY212" i="22"/>
  <c r="AX212" i="22"/>
  <c r="AW212" i="22"/>
  <c r="AV212" i="22"/>
  <c r="BA203" i="22"/>
  <c r="AZ203" i="22"/>
  <c r="AY203" i="22"/>
  <c r="AX203" i="22"/>
  <c r="AW203" i="22"/>
  <c r="AV203" i="22"/>
  <c r="BA198" i="22"/>
  <c r="AZ198" i="22"/>
  <c r="AY198" i="22"/>
  <c r="AY197" i="22" s="1"/>
  <c r="AX198" i="22"/>
  <c r="AV198" i="22"/>
  <c r="BA196" i="22"/>
  <c r="AZ196" i="22"/>
  <c r="AY196" i="22"/>
  <c r="AX196" i="22"/>
  <c r="AW196" i="22"/>
  <c r="AV196" i="22"/>
  <c r="AU196" i="22"/>
  <c r="BA193" i="22"/>
  <c r="AZ193" i="22"/>
  <c r="AY193" i="22"/>
  <c r="AX193" i="22"/>
  <c r="AW193" i="22"/>
  <c r="AV193" i="22"/>
  <c r="BA190" i="22"/>
  <c r="BA182" i="22" s="1"/>
  <c r="AZ190" i="22"/>
  <c r="AY190" i="22"/>
  <c r="AX190" i="22"/>
  <c r="AW190" i="22"/>
  <c r="AW182" i="22" s="1"/>
  <c r="AV190" i="22"/>
  <c r="AV182" i="22" s="1"/>
  <c r="AU190" i="22"/>
  <c r="AY182" i="22"/>
  <c r="BA181" i="22"/>
  <c r="AZ181" i="22"/>
  <c r="AY181" i="22"/>
  <c r="AX181" i="22"/>
  <c r="AW181" i="22"/>
  <c r="AV181" i="22"/>
  <c r="AU181" i="22"/>
  <c r="BA178" i="22"/>
  <c r="AZ178" i="22"/>
  <c r="AY178" i="22"/>
  <c r="AX178" i="22"/>
  <c r="AW178" i="22"/>
  <c r="AV178" i="22"/>
  <c r="AU178" i="22"/>
  <c r="BA168" i="22"/>
  <c r="BA163" i="22" s="1"/>
  <c r="AZ168" i="22"/>
  <c r="AY168" i="22"/>
  <c r="AY163" i="22" s="1"/>
  <c r="AX168" i="22"/>
  <c r="AW168" i="22"/>
  <c r="AW163" i="22" s="1"/>
  <c r="AV168" i="22"/>
  <c r="AU168" i="22"/>
  <c r="AZ163" i="22"/>
  <c r="AX163" i="22"/>
  <c r="BA162" i="22"/>
  <c r="AZ162" i="22"/>
  <c r="AY162" i="22"/>
  <c r="AX162" i="22"/>
  <c r="AW162" i="22"/>
  <c r="AV162" i="22"/>
  <c r="AU162" i="22"/>
  <c r="BA159" i="22"/>
  <c r="AZ159" i="22"/>
  <c r="AY159" i="22"/>
  <c r="AX159" i="22"/>
  <c r="AW159" i="22"/>
  <c r="AV159" i="22"/>
  <c r="AU159" i="22"/>
  <c r="BA156" i="22"/>
  <c r="BA151" i="22" s="1"/>
  <c r="AZ156" i="22"/>
  <c r="AY156" i="22"/>
  <c r="AY151" i="22" s="1"/>
  <c r="AY150" i="22" s="1"/>
  <c r="AX156" i="22"/>
  <c r="AW156" i="22"/>
  <c r="AW151" i="22" s="1"/>
  <c r="AV156" i="22"/>
  <c r="AU156" i="22"/>
  <c r="AU151" i="22" s="1"/>
  <c r="AZ151" i="22"/>
  <c r="AX151" i="22"/>
  <c r="AV151" i="22"/>
  <c r="BA149" i="22"/>
  <c r="AZ149" i="22"/>
  <c r="AY149" i="22"/>
  <c r="AY140" i="22" s="1"/>
  <c r="AX149" i="22"/>
  <c r="AW149" i="22"/>
  <c r="AW140" i="22" s="1"/>
  <c r="AV149" i="22"/>
  <c r="BA140" i="22"/>
  <c r="AZ140" i="22"/>
  <c r="AX140" i="22"/>
  <c r="AV140" i="22"/>
  <c r="BA134" i="22"/>
  <c r="AZ134" i="22"/>
  <c r="AY134" i="22"/>
  <c r="AX134" i="22"/>
  <c r="AW134" i="22"/>
  <c r="AV134" i="22"/>
  <c r="AU134" i="22"/>
  <c r="BA133" i="22"/>
  <c r="AZ133" i="22"/>
  <c r="AZ123" i="22" s="1"/>
  <c r="AY133" i="22"/>
  <c r="AX133" i="22"/>
  <c r="AX123" i="22" s="1"/>
  <c r="AW133" i="22"/>
  <c r="AV133" i="22"/>
  <c r="AV123" i="22" s="1"/>
  <c r="AU133" i="22"/>
  <c r="BA123" i="22"/>
  <c r="AY123" i="22"/>
  <c r="AW123" i="22"/>
  <c r="AU123" i="22"/>
  <c r="BA122" i="22"/>
  <c r="AZ122" i="22"/>
  <c r="AZ118" i="22" s="1"/>
  <c r="AY122" i="22"/>
  <c r="AX122" i="22"/>
  <c r="AX118" i="22" s="1"/>
  <c r="AW122" i="22"/>
  <c r="AV122" i="22"/>
  <c r="AV118" i="22" s="1"/>
  <c r="AU122" i="22"/>
  <c r="BA118" i="22"/>
  <c r="AY118" i="22"/>
  <c r="AW118" i="22"/>
  <c r="AU118" i="22"/>
  <c r="BA117" i="22"/>
  <c r="AZ117" i="22"/>
  <c r="AY117" i="22"/>
  <c r="AX117" i="22"/>
  <c r="AX111" i="22" s="1"/>
  <c r="AW117" i="22"/>
  <c r="AV117" i="22"/>
  <c r="AV111" i="22" s="1"/>
  <c r="AU117" i="22"/>
  <c r="BA111" i="22"/>
  <c r="AZ111" i="22"/>
  <c r="AY111" i="22"/>
  <c r="AW111" i="22"/>
  <c r="AU111" i="22"/>
  <c r="BA110" i="22"/>
  <c r="AZ110" i="22"/>
  <c r="AY110" i="22"/>
  <c r="AX110" i="22"/>
  <c r="AW110" i="22"/>
  <c r="AV110" i="22"/>
  <c r="AV106" i="22" s="1"/>
  <c r="AU110" i="22"/>
  <c r="AU106" i="22" s="1"/>
  <c r="BA106" i="22"/>
  <c r="AZ106" i="22"/>
  <c r="AY106" i="22"/>
  <c r="AX106" i="22"/>
  <c r="AW106" i="22"/>
  <c r="BA105" i="22"/>
  <c r="BA100" i="22" s="1"/>
  <c r="BA78" i="22" s="1"/>
  <c r="AZ105" i="22"/>
  <c r="AY105" i="22"/>
  <c r="AX105" i="22"/>
  <c r="AW105" i="22"/>
  <c r="AW100" i="22" s="1"/>
  <c r="AV105" i="22"/>
  <c r="AU105" i="22"/>
  <c r="AZ100" i="22"/>
  <c r="AY100" i="22"/>
  <c r="AX100" i="22"/>
  <c r="AV100" i="22"/>
  <c r="AU100" i="22"/>
  <c r="BA99" i="22"/>
  <c r="AZ99" i="22"/>
  <c r="AY99" i="22"/>
  <c r="AY93" i="22" s="1"/>
  <c r="AX99" i="22"/>
  <c r="AW99" i="22"/>
  <c r="AV99" i="22"/>
  <c r="AU99" i="22"/>
  <c r="BA93" i="22"/>
  <c r="AZ93" i="22"/>
  <c r="AX93" i="22"/>
  <c r="AW93" i="22"/>
  <c r="AV93" i="22"/>
  <c r="AU93" i="22"/>
  <c r="BA92" i="22"/>
  <c r="AZ92" i="22"/>
  <c r="AY92" i="22"/>
  <c r="AX92" i="22"/>
  <c r="AW92" i="22"/>
  <c r="AV92" i="22"/>
  <c r="AU92" i="22"/>
  <c r="BA88" i="22"/>
  <c r="AZ88" i="22"/>
  <c r="AY88" i="22"/>
  <c r="AX88" i="22"/>
  <c r="AW88" i="22"/>
  <c r="AV88" i="22"/>
  <c r="AU88" i="22"/>
  <c r="BA85" i="22"/>
  <c r="AZ85" i="22"/>
  <c r="AY85" i="22"/>
  <c r="AX85" i="22"/>
  <c r="AW85" i="22"/>
  <c r="AV85" i="22"/>
  <c r="AU85" i="22"/>
  <c r="AU79" i="22" s="1"/>
  <c r="BA79" i="22"/>
  <c r="AZ79" i="22"/>
  <c r="AY79" i="22"/>
  <c r="AX79" i="22"/>
  <c r="AW79" i="22"/>
  <c r="AV79" i="22"/>
  <c r="AW78" i="22"/>
  <c r="BA77" i="22"/>
  <c r="AZ77" i="22"/>
  <c r="AX77" i="22"/>
  <c r="AW77" i="22"/>
  <c r="AW61" i="22" s="1"/>
  <c r="AY72" i="22"/>
  <c r="BA61" i="22"/>
  <c r="AZ61" i="22"/>
  <c r="AX61" i="22"/>
  <c r="BA60" i="22"/>
  <c r="AZ60" i="22"/>
  <c r="AY60" i="22"/>
  <c r="AX60" i="22"/>
  <c r="AW60" i="22"/>
  <c r="AV60" i="22"/>
  <c r="AU60" i="22"/>
  <c r="BA56" i="22"/>
  <c r="BA45" i="22" s="1"/>
  <c r="AZ56" i="22"/>
  <c r="AX56" i="22"/>
  <c r="AW56" i="22"/>
  <c r="AV56" i="22"/>
  <c r="AV45" i="22" s="1"/>
  <c r="BA50" i="22"/>
  <c r="AZ50" i="22"/>
  <c r="AY50" i="22"/>
  <c r="AX50" i="22"/>
  <c r="AX45" i="22" s="1"/>
  <c r="AW50" i="22"/>
  <c r="AV50" i="22"/>
  <c r="AZ45" i="22"/>
  <c r="AW45" i="22"/>
  <c r="BA44" i="22"/>
  <c r="BA40" i="22" s="1"/>
  <c r="AY44" i="22"/>
  <c r="AX44" i="22"/>
  <c r="AW44" i="22"/>
  <c r="AV44" i="22"/>
  <c r="AV40" i="22" s="1"/>
  <c r="AY40" i="22"/>
  <c r="AX40" i="22"/>
  <c r="AW40" i="22"/>
  <c r="BA39" i="22"/>
  <c r="AZ39" i="22"/>
  <c r="AY39" i="22"/>
  <c r="AX39" i="22"/>
  <c r="AW39" i="22"/>
  <c r="AV39" i="22"/>
  <c r="BA37" i="22"/>
  <c r="AZ37" i="22"/>
  <c r="AY37" i="22"/>
  <c r="AX37" i="22"/>
  <c r="AW37" i="22"/>
  <c r="AV37" i="22"/>
  <c r="BA29" i="22"/>
  <c r="AZ29" i="22"/>
  <c r="AY29" i="22"/>
  <c r="AY20" i="22" s="1"/>
  <c r="AX29" i="22"/>
  <c r="AW29" i="22"/>
  <c r="AV29" i="22"/>
  <c r="BA25" i="22"/>
  <c r="BA20" i="22" s="1"/>
  <c r="AZ25" i="22"/>
  <c r="AY25" i="22"/>
  <c r="AX25" i="22"/>
  <c r="AW25" i="22"/>
  <c r="AW20" i="22" s="1"/>
  <c r="AV25" i="22"/>
  <c r="AZ20" i="22"/>
  <c r="AX20" i="22"/>
  <c r="AV20" i="22"/>
  <c r="BA19" i="22"/>
  <c r="BA16" i="22" s="1"/>
  <c r="AZ19" i="22"/>
  <c r="AY19" i="22"/>
  <c r="AX19" i="22"/>
  <c r="AW19" i="22"/>
  <c r="AW16" i="22" s="1"/>
  <c r="AV19" i="22"/>
  <c r="AZ16" i="22"/>
  <c r="AY16" i="22"/>
  <c r="AX16" i="22"/>
  <c r="AV16" i="22"/>
  <c r="BA15" i="22"/>
  <c r="AZ15" i="22"/>
  <c r="AY15" i="22"/>
  <c r="AX15" i="22"/>
  <c r="AW15" i="22"/>
  <c r="AV15" i="22"/>
  <c r="BA11" i="22"/>
  <c r="AZ11" i="22"/>
  <c r="AY11" i="22"/>
  <c r="AX11" i="22"/>
  <c r="AW11" i="22"/>
  <c r="AV11" i="22"/>
  <c r="AL243" i="22"/>
  <c r="AL238" i="22" s="1"/>
  <c r="AK243" i="22"/>
  <c r="AK238" i="22" s="1"/>
  <c r="AJ243" i="22"/>
  <c r="AJ238" i="22"/>
  <c r="AL237" i="22"/>
  <c r="AL232" i="22" s="1"/>
  <c r="AK237" i="22"/>
  <c r="AJ237" i="22"/>
  <c r="AK232" i="22"/>
  <c r="AJ232" i="22"/>
  <c r="AL231" i="22"/>
  <c r="AK231" i="22"/>
  <c r="AJ231" i="22"/>
  <c r="AJ226" i="22" s="1"/>
  <c r="AL226" i="22"/>
  <c r="AK226" i="22"/>
  <c r="AL225" i="22"/>
  <c r="AL221" i="22" s="1"/>
  <c r="AK225" i="22"/>
  <c r="AJ225" i="22"/>
  <c r="AK221" i="22"/>
  <c r="AJ221" i="22"/>
  <c r="AL220" i="22"/>
  <c r="AK220" i="22"/>
  <c r="AJ220" i="22"/>
  <c r="AJ213" i="22" s="1"/>
  <c r="AL213" i="22"/>
  <c r="AK213" i="22"/>
  <c r="AL212" i="22"/>
  <c r="AL198" i="22" s="1"/>
  <c r="AK212" i="22"/>
  <c r="AJ212" i="22"/>
  <c r="AL203" i="22"/>
  <c r="AK203" i="22"/>
  <c r="AK198" i="22" s="1"/>
  <c r="AJ203" i="22"/>
  <c r="AJ198" i="22"/>
  <c r="AL196" i="22"/>
  <c r="AK196" i="22"/>
  <c r="AJ196" i="22"/>
  <c r="AL193" i="22"/>
  <c r="AK193" i="22"/>
  <c r="AJ193" i="22"/>
  <c r="AL190" i="22"/>
  <c r="AL182" i="22" s="1"/>
  <c r="AK190" i="22"/>
  <c r="AK182" i="22" s="1"/>
  <c r="AJ190" i="22"/>
  <c r="AL181" i="22"/>
  <c r="AK181" i="22"/>
  <c r="AJ181" i="22"/>
  <c r="AL178" i="22"/>
  <c r="AK178" i="22"/>
  <c r="AJ178" i="22"/>
  <c r="AL168" i="22"/>
  <c r="AK168" i="22"/>
  <c r="AJ168" i="22"/>
  <c r="AJ163" i="22" s="1"/>
  <c r="AL162" i="22"/>
  <c r="AK162" i="22"/>
  <c r="AJ162" i="22"/>
  <c r="AL159" i="22"/>
  <c r="AK159" i="22"/>
  <c r="AJ159" i="22"/>
  <c r="AL156" i="22"/>
  <c r="AL151" i="22" s="1"/>
  <c r="AK156" i="22"/>
  <c r="AK151" i="22" s="1"/>
  <c r="AJ156" i="22"/>
  <c r="AJ151" i="22"/>
  <c r="AL149" i="22"/>
  <c r="AK149" i="22"/>
  <c r="AK140" i="22" s="1"/>
  <c r="AJ149" i="22"/>
  <c r="AL140" i="22"/>
  <c r="AJ140" i="22"/>
  <c r="AL139" i="22"/>
  <c r="AK139" i="22"/>
  <c r="AK134" i="22" s="1"/>
  <c r="AJ139" i="22"/>
  <c r="AJ134" i="22" s="1"/>
  <c r="AL134" i="22"/>
  <c r="AL133" i="22"/>
  <c r="AL123" i="22" s="1"/>
  <c r="AK133" i="22"/>
  <c r="AK123" i="22" s="1"/>
  <c r="AJ133" i="22"/>
  <c r="AJ123" i="22"/>
  <c r="AL122" i="22"/>
  <c r="AK122" i="22"/>
  <c r="AJ122" i="22"/>
  <c r="AJ118" i="22" s="1"/>
  <c r="AL118" i="22"/>
  <c r="AK118" i="22"/>
  <c r="AL117" i="22"/>
  <c r="AL111" i="22" s="1"/>
  <c r="AK117" i="22"/>
  <c r="AK111" i="22" s="1"/>
  <c r="AJ117" i="22"/>
  <c r="AJ111" i="22"/>
  <c r="AL110" i="22"/>
  <c r="AK110" i="22"/>
  <c r="AJ110" i="22"/>
  <c r="AJ106" i="22" s="1"/>
  <c r="AL106" i="22"/>
  <c r="AK106" i="22"/>
  <c r="AL105" i="22"/>
  <c r="AL100" i="22" s="1"/>
  <c r="AK105" i="22"/>
  <c r="AK100" i="22" s="1"/>
  <c r="AJ105" i="22"/>
  <c r="AJ100" i="22"/>
  <c r="AL99" i="22"/>
  <c r="AK99" i="22"/>
  <c r="AJ99" i="22"/>
  <c r="AJ93" i="22" s="1"/>
  <c r="AL93" i="22"/>
  <c r="AK93" i="22"/>
  <c r="AL92" i="22"/>
  <c r="AK92" i="22"/>
  <c r="AK79" i="22" s="1"/>
  <c r="AJ92" i="22"/>
  <c r="AL88" i="22"/>
  <c r="AK88" i="22"/>
  <c r="AJ88" i="22"/>
  <c r="AL85" i="22"/>
  <c r="AK85" i="22"/>
  <c r="AJ85" i="22"/>
  <c r="AL79" i="22"/>
  <c r="AL77" i="22"/>
  <c r="AK77" i="22"/>
  <c r="AK61" i="22" s="1"/>
  <c r="AJ77" i="22"/>
  <c r="AJ61" i="22" s="1"/>
  <c r="AL61" i="22"/>
  <c r="AL60" i="22"/>
  <c r="AK60" i="22"/>
  <c r="AJ60" i="22"/>
  <c r="AL56" i="22"/>
  <c r="AK56" i="22"/>
  <c r="AJ56" i="22"/>
  <c r="AL50" i="22"/>
  <c r="AK50" i="22"/>
  <c r="AK45" i="22" s="1"/>
  <c r="AJ50" i="22"/>
  <c r="AJ45" i="22"/>
  <c r="AL44" i="22"/>
  <c r="AL40" i="22" s="1"/>
  <c r="AK44" i="22"/>
  <c r="AJ44" i="22"/>
  <c r="AK40" i="22"/>
  <c r="AJ40" i="22"/>
  <c r="AL39" i="22"/>
  <c r="AK39" i="22"/>
  <c r="AJ39" i="22"/>
  <c r="AL37" i="22"/>
  <c r="AK37" i="22"/>
  <c r="AJ37" i="22"/>
  <c r="AL29" i="22"/>
  <c r="AK29" i="22"/>
  <c r="AJ29" i="22"/>
  <c r="AL25" i="22"/>
  <c r="AK25" i="22"/>
  <c r="AK20" i="22" s="1"/>
  <c r="AJ25" i="22"/>
  <c r="AL19" i="22"/>
  <c r="AL16" i="22" s="1"/>
  <c r="AK19" i="22"/>
  <c r="AK16" i="22" s="1"/>
  <c r="AJ19" i="22"/>
  <c r="AJ16" i="22" s="1"/>
  <c r="AL15" i="22"/>
  <c r="AK15" i="22"/>
  <c r="AJ15" i="22"/>
  <c r="AL11" i="22"/>
  <c r="AK11" i="22"/>
  <c r="AJ11" i="22"/>
  <c r="AD243" i="22"/>
  <c r="AC243" i="22"/>
  <c r="AC238" i="22" s="1"/>
  <c r="AD238" i="22"/>
  <c r="AD237" i="22"/>
  <c r="AC237" i="22"/>
  <c r="AC232" i="22" s="1"/>
  <c r="AD232" i="22"/>
  <c r="AD231" i="22"/>
  <c r="AC228" i="22"/>
  <c r="AC231" i="22" s="1"/>
  <c r="AC226" i="22" s="1"/>
  <c r="AD226" i="22"/>
  <c r="AD225" i="22"/>
  <c r="AC225" i="22"/>
  <c r="AD221" i="22"/>
  <c r="AC221" i="22"/>
  <c r="AD220" i="22"/>
  <c r="AC218" i="22"/>
  <c r="AC217" i="22"/>
  <c r="AC220" i="22" s="1"/>
  <c r="AC213" i="22" s="1"/>
  <c r="AD213" i="22"/>
  <c r="AD212" i="22"/>
  <c r="AC212" i="22"/>
  <c r="AD203" i="22"/>
  <c r="AD198" i="22" s="1"/>
  <c r="AC200" i="22"/>
  <c r="AC203" i="22" s="1"/>
  <c r="AC198" i="22" s="1"/>
  <c r="AD196" i="22"/>
  <c r="AC196" i="22"/>
  <c r="AD193" i="22"/>
  <c r="AC193" i="22"/>
  <c r="AD190" i="22"/>
  <c r="AC190" i="22"/>
  <c r="AD182" i="22"/>
  <c r="AD181" i="22"/>
  <c r="AC181" i="22"/>
  <c r="AD178" i="22"/>
  <c r="AC178" i="22"/>
  <c r="AD168" i="22"/>
  <c r="AD163" i="22" s="1"/>
  <c r="AC168" i="22"/>
  <c r="AD162" i="22"/>
  <c r="AC162" i="22"/>
  <c r="AD159" i="22"/>
  <c r="AC159" i="22"/>
  <c r="AD156" i="22"/>
  <c r="AC156" i="22"/>
  <c r="AC151" i="22" s="1"/>
  <c r="AD149" i="22"/>
  <c r="AD140" i="22" s="1"/>
  <c r="AC148" i="22"/>
  <c r="AC149" i="22" s="1"/>
  <c r="AC140" i="22" s="1"/>
  <c r="AD139" i="22"/>
  <c r="AD134" i="22" s="1"/>
  <c r="AC139" i="22"/>
  <c r="AC134" i="22" s="1"/>
  <c r="AD133" i="22"/>
  <c r="AD123" i="22" s="1"/>
  <c r="AC133" i="22"/>
  <c r="AC123" i="22" s="1"/>
  <c r="AD122" i="22"/>
  <c r="AC122" i="22"/>
  <c r="AC118" i="22" s="1"/>
  <c r="AD118" i="22"/>
  <c r="AD117" i="22"/>
  <c r="AD111" i="22" s="1"/>
  <c r="AC117" i="22"/>
  <c r="AC111" i="22" s="1"/>
  <c r="AD110" i="22"/>
  <c r="AD106" i="22" s="1"/>
  <c r="AC110" i="22"/>
  <c r="AC106" i="22" s="1"/>
  <c r="AD105" i="22"/>
  <c r="AC105" i="22"/>
  <c r="AC100" i="22" s="1"/>
  <c r="AD100" i="22"/>
  <c r="AD99" i="22"/>
  <c r="AD93" i="22" s="1"/>
  <c r="AC99" i="22"/>
  <c r="AC93" i="22" s="1"/>
  <c r="AD92" i="22"/>
  <c r="AC92" i="22"/>
  <c r="AD88" i="22"/>
  <c r="AC88" i="22"/>
  <c r="AD85" i="22"/>
  <c r="AD79" i="22" s="1"/>
  <c r="AC85" i="22"/>
  <c r="AC79" i="22" s="1"/>
  <c r="AD77" i="22"/>
  <c r="AC73" i="22"/>
  <c r="AC72" i="22"/>
  <c r="AC66" i="22"/>
  <c r="AC65" i="22"/>
  <c r="AC64" i="22"/>
  <c r="AD61" i="22"/>
  <c r="AD60" i="22"/>
  <c r="AC60" i="22"/>
  <c r="AD56" i="22"/>
  <c r="AC52" i="22"/>
  <c r="AC56" i="22" s="1"/>
  <c r="AD50" i="22"/>
  <c r="AC50" i="22"/>
  <c r="AD45" i="22"/>
  <c r="AD44" i="22"/>
  <c r="AD40" i="22" s="1"/>
  <c r="AC42" i="22"/>
  <c r="AC44" i="22" s="1"/>
  <c r="AC40" i="22" s="1"/>
  <c r="AD39" i="22"/>
  <c r="AC39" i="22"/>
  <c r="AD37" i="22"/>
  <c r="AC37" i="22"/>
  <c r="AD29" i="22"/>
  <c r="AC29" i="22"/>
  <c r="AD25" i="22"/>
  <c r="AD20" i="22" s="1"/>
  <c r="AC23" i="22"/>
  <c r="AC25" i="22" s="1"/>
  <c r="AD19" i="22"/>
  <c r="AC19" i="22"/>
  <c r="AC16" i="22" s="1"/>
  <c r="AD16" i="22"/>
  <c r="AD15" i="22"/>
  <c r="AC14" i="22"/>
  <c r="AC15" i="22" s="1"/>
  <c r="AD11" i="22"/>
  <c r="AC11" i="22"/>
  <c r="Z198" i="22"/>
  <c r="Z197" i="22" s="1"/>
  <c r="AA61" i="22"/>
  <c r="Z61" i="22"/>
  <c r="AA45" i="22"/>
  <c r="Z45" i="22"/>
  <c r="AA40" i="22"/>
  <c r="Z40" i="22"/>
  <c r="AA20" i="22"/>
  <c r="Z20" i="22"/>
  <c r="AA16" i="22"/>
  <c r="Z16" i="22"/>
  <c r="K66" i="22"/>
  <c r="K52" i="22"/>
  <c r="L52" i="22" s="1"/>
  <c r="DD73" i="18"/>
  <c r="DD72" i="18" s="1"/>
  <c r="DE69" i="18"/>
  <c r="DE68" i="18" s="1"/>
  <c r="CZ67" i="18"/>
  <c r="CZ66" i="18" s="1"/>
  <c r="DE63" i="18"/>
  <c r="DA63" i="18"/>
  <c r="CZ63" i="18"/>
  <c r="DE57" i="18"/>
  <c r="DA57" i="18"/>
  <c r="DD56" i="18"/>
  <c r="CZ56" i="18"/>
  <c r="DC54" i="18"/>
  <c r="CY54" i="18"/>
  <c r="DB53" i="18"/>
  <c r="DE52" i="18"/>
  <c r="DA52" i="18"/>
  <c r="DE50" i="18"/>
  <c r="DD50" i="18"/>
  <c r="DA50" i="18"/>
  <c r="CZ50" i="18"/>
  <c r="DD49" i="18"/>
  <c r="DC49" i="18"/>
  <c r="CZ49" i="18"/>
  <c r="CY49" i="18"/>
  <c r="DC48" i="18"/>
  <c r="DB48" i="18"/>
  <c r="DD41" i="18"/>
  <c r="DD40" i="18" s="1"/>
  <c r="DE37" i="18"/>
  <c r="DE29" i="18"/>
  <c r="CZ29" i="18"/>
  <c r="DC28" i="18"/>
  <c r="CZ28" i="18"/>
  <c r="DC27" i="18"/>
  <c r="DE22" i="18"/>
  <c r="DB21" i="18"/>
  <c r="DE20" i="18"/>
  <c r="DD20" i="18"/>
  <c r="CZ20" i="18"/>
  <c r="DD16" i="18"/>
  <c r="CZ16" i="18"/>
  <c r="DB15" i="18"/>
  <c r="DA15" i="18"/>
  <c r="DC14" i="18"/>
  <c r="CZ14" i="18"/>
  <c r="DE13" i="18"/>
  <c r="DB13" i="18"/>
  <c r="DC9" i="18"/>
  <c r="DB9" i="18"/>
  <c r="DE8" i="18"/>
  <c r="CZ8" i="18"/>
  <c r="BA243" i="17"/>
  <c r="BA238" i="17" s="1"/>
  <c r="AZ243" i="17"/>
  <c r="AZ238" i="17" s="1"/>
  <c r="AY243" i="17"/>
  <c r="AY238" i="17" s="1"/>
  <c r="AX243" i="17"/>
  <c r="AW243" i="17"/>
  <c r="AW238" i="17" s="1"/>
  <c r="AV243" i="17"/>
  <c r="AV238" i="17" s="1"/>
  <c r="AX238" i="17"/>
  <c r="BA237" i="17"/>
  <c r="AZ237" i="17"/>
  <c r="AY237" i="17"/>
  <c r="AY232" i="17" s="1"/>
  <c r="AX237" i="17"/>
  <c r="AX232" i="17" s="1"/>
  <c r="AW237" i="17"/>
  <c r="AV237" i="17"/>
  <c r="BA232" i="17"/>
  <c r="AZ232" i="17"/>
  <c r="AW232" i="17"/>
  <c r="AV232" i="17"/>
  <c r="BA231" i="17"/>
  <c r="BA226" i="17" s="1"/>
  <c r="AZ231" i="17"/>
  <c r="AY231" i="17"/>
  <c r="AY226" i="17" s="1"/>
  <c r="AX231" i="17"/>
  <c r="AW231" i="17"/>
  <c r="AW226" i="17" s="1"/>
  <c r="AV231" i="17"/>
  <c r="AZ226" i="17"/>
  <c r="AX226" i="17"/>
  <c r="AV226" i="17"/>
  <c r="BA225" i="17"/>
  <c r="AZ225" i="17"/>
  <c r="AZ221" i="17" s="1"/>
  <c r="AY225" i="17"/>
  <c r="AY221" i="17" s="1"/>
  <c r="AX225" i="17"/>
  <c r="AX221" i="17" s="1"/>
  <c r="AW225" i="17"/>
  <c r="AV225" i="17"/>
  <c r="AV221" i="17" s="1"/>
  <c r="BA221" i="17"/>
  <c r="AW221" i="17"/>
  <c r="BA220" i="17"/>
  <c r="AZ220" i="17"/>
  <c r="AY220" i="17"/>
  <c r="AY213" i="17" s="1"/>
  <c r="AX220" i="17"/>
  <c r="AW220" i="17"/>
  <c r="AW213" i="17" s="1"/>
  <c r="AV220" i="17"/>
  <c r="BA213" i="17"/>
  <c r="AZ213" i="17"/>
  <c r="AX213" i="17"/>
  <c r="AV213" i="17"/>
  <c r="BA212" i="17"/>
  <c r="AZ212" i="17"/>
  <c r="AY212" i="17"/>
  <c r="AX212" i="17"/>
  <c r="AW212" i="17"/>
  <c r="AV212" i="17"/>
  <c r="BA203" i="17"/>
  <c r="AZ203" i="17"/>
  <c r="AZ198" i="17" s="1"/>
  <c r="AY203" i="17"/>
  <c r="AX203" i="17"/>
  <c r="AW203" i="17"/>
  <c r="AV203" i="17"/>
  <c r="AV198" i="17" s="1"/>
  <c r="BA198" i="17"/>
  <c r="AY198" i="17"/>
  <c r="AX198" i="17"/>
  <c r="BA196" i="17"/>
  <c r="AZ196" i="17"/>
  <c r="AY196" i="17"/>
  <c r="AX196" i="17"/>
  <c r="AW196" i="17"/>
  <c r="AV196" i="17"/>
  <c r="AU196" i="17"/>
  <c r="BA193" i="17"/>
  <c r="AZ193" i="17"/>
  <c r="AY193" i="17"/>
  <c r="AX193" i="17"/>
  <c r="AW193" i="17"/>
  <c r="AW182" i="17" s="1"/>
  <c r="AV193" i="17"/>
  <c r="BA190" i="17"/>
  <c r="AZ190" i="17"/>
  <c r="AY190" i="17"/>
  <c r="AX190" i="17"/>
  <c r="AW190" i="17"/>
  <c r="AV190" i="17"/>
  <c r="AU190" i="17"/>
  <c r="BA181" i="17"/>
  <c r="AZ181" i="17"/>
  <c r="AY181" i="17"/>
  <c r="AX181" i="17"/>
  <c r="AW181" i="17"/>
  <c r="AV181" i="17"/>
  <c r="AU181" i="17"/>
  <c r="BA178" i="17"/>
  <c r="AZ178" i="17"/>
  <c r="AZ163" i="17" s="1"/>
  <c r="AY178" i="17"/>
  <c r="AX178" i="17"/>
  <c r="AW178" i="17"/>
  <c r="AV178" i="17"/>
  <c r="AU178" i="17"/>
  <c r="BA168" i="17"/>
  <c r="AZ168" i="17"/>
  <c r="AY168" i="17"/>
  <c r="AX168" i="17"/>
  <c r="AW168" i="17"/>
  <c r="AV168" i="17"/>
  <c r="AU168" i="17"/>
  <c r="AV163" i="17"/>
  <c r="BA162" i="17"/>
  <c r="AZ162" i="17"/>
  <c r="AY162" i="17"/>
  <c r="AX162" i="17"/>
  <c r="AW162" i="17"/>
  <c r="AV162" i="17"/>
  <c r="AU162" i="17"/>
  <c r="BA159" i="17"/>
  <c r="AZ159" i="17"/>
  <c r="AY159" i="17"/>
  <c r="AX159" i="17"/>
  <c r="AW159" i="17"/>
  <c r="AV159" i="17"/>
  <c r="AU159" i="17"/>
  <c r="BA156" i="17"/>
  <c r="AZ156" i="17"/>
  <c r="AZ151" i="17" s="1"/>
  <c r="AY156" i="17"/>
  <c r="AX156" i="17"/>
  <c r="AW156" i="17"/>
  <c r="AV156" i="17"/>
  <c r="AV151" i="17" s="1"/>
  <c r="AU156" i="17"/>
  <c r="BA149" i="17"/>
  <c r="BA140" i="17" s="1"/>
  <c r="AZ149" i="17"/>
  <c r="AZ140" i="17" s="1"/>
  <c r="AY149" i="17"/>
  <c r="AY140" i="17" s="1"/>
  <c r="AX149" i="17"/>
  <c r="AW149" i="17"/>
  <c r="AW140" i="17" s="1"/>
  <c r="AV149" i="17"/>
  <c r="AV140" i="17" s="1"/>
  <c r="AX140" i="17"/>
  <c r="BA139" i="17"/>
  <c r="AZ139" i="17"/>
  <c r="AZ134" i="17" s="1"/>
  <c r="AY139" i="17"/>
  <c r="AY134" i="17" s="1"/>
  <c r="AX139" i="17"/>
  <c r="AX134" i="17" s="1"/>
  <c r="AW139" i="17"/>
  <c r="AV139" i="17"/>
  <c r="AV134" i="17" s="1"/>
  <c r="AU139" i="17"/>
  <c r="BA134" i="17"/>
  <c r="AW134" i="17"/>
  <c r="AU134" i="17"/>
  <c r="BA133" i="17"/>
  <c r="AZ133" i="17"/>
  <c r="AZ123" i="17" s="1"/>
  <c r="AY133" i="17"/>
  <c r="AX133" i="17"/>
  <c r="AX123" i="17" s="1"/>
  <c r="AW133" i="17"/>
  <c r="AW123" i="17" s="1"/>
  <c r="AV133" i="17"/>
  <c r="AV123" i="17" s="1"/>
  <c r="AU133" i="17"/>
  <c r="AU123" i="17" s="1"/>
  <c r="BA123" i="17"/>
  <c r="AY123" i="17"/>
  <c r="BA122" i="17"/>
  <c r="BA118" i="17" s="1"/>
  <c r="AZ122" i="17"/>
  <c r="AZ118" i="17" s="1"/>
  <c r="AY122" i="17"/>
  <c r="AY118" i="17" s="1"/>
  <c r="AX122" i="17"/>
  <c r="AX118" i="17" s="1"/>
  <c r="AW122" i="17"/>
  <c r="AW118" i="17" s="1"/>
  <c r="AV122" i="17"/>
  <c r="AV118" i="17" s="1"/>
  <c r="AU122" i="17"/>
  <c r="AU118" i="17" s="1"/>
  <c r="BA117" i="17"/>
  <c r="AZ117" i="17"/>
  <c r="AZ111" i="17" s="1"/>
  <c r="AY117" i="17"/>
  <c r="AX117" i="17"/>
  <c r="AX111" i="17" s="1"/>
  <c r="AW117" i="17"/>
  <c r="AV117" i="17"/>
  <c r="AV111" i="17" s="1"/>
  <c r="AU117" i="17"/>
  <c r="BA111" i="17"/>
  <c r="AY111" i="17"/>
  <c r="AW111" i="17"/>
  <c r="AU111" i="17"/>
  <c r="BA110" i="17"/>
  <c r="BA106" i="17" s="1"/>
  <c r="AZ110" i="17"/>
  <c r="AZ106" i="17" s="1"/>
  <c r="AY110" i="17"/>
  <c r="AY106" i="17" s="1"/>
  <c r="AX110" i="17"/>
  <c r="AX106" i="17" s="1"/>
  <c r="AW110" i="17"/>
  <c r="AV110" i="17"/>
  <c r="AV106" i="17" s="1"/>
  <c r="AU110" i="17"/>
  <c r="AU106" i="17" s="1"/>
  <c r="AW106" i="17"/>
  <c r="BA105" i="17"/>
  <c r="BA100" i="17" s="1"/>
  <c r="AZ105" i="17"/>
  <c r="AZ100" i="17" s="1"/>
  <c r="AY105" i="17"/>
  <c r="AY100" i="17" s="1"/>
  <c r="AX105" i="17"/>
  <c r="AX100" i="17" s="1"/>
  <c r="AW105" i="17"/>
  <c r="AW100" i="17" s="1"/>
  <c r="AV105" i="17"/>
  <c r="AV100" i="17" s="1"/>
  <c r="AU105" i="17"/>
  <c r="AU100" i="17"/>
  <c r="BA99" i="17"/>
  <c r="AZ99" i="17"/>
  <c r="AZ93" i="17" s="1"/>
  <c r="AY99" i="17"/>
  <c r="AX99" i="17"/>
  <c r="AX93" i="17" s="1"/>
  <c r="AW99" i="17"/>
  <c r="AV99" i="17"/>
  <c r="AV93" i="17" s="1"/>
  <c r="AU99" i="17"/>
  <c r="BA93" i="17"/>
  <c r="AY93" i="17"/>
  <c r="AW93" i="17"/>
  <c r="AU93" i="17"/>
  <c r="BA92" i="17"/>
  <c r="BA79" i="17" s="1"/>
  <c r="BA78" i="17" s="1"/>
  <c r="AZ92" i="17"/>
  <c r="AY92" i="17"/>
  <c r="AX92" i="17"/>
  <c r="AW92" i="17"/>
  <c r="AW79" i="17" s="1"/>
  <c r="AV92" i="17"/>
  <c r="AU92" i="17"/>
  <c r="BA88" i="17"/>
  <c r="AZ88" i="17"/>
  <c r="AY88" i="17"/>
  <c r="AX88" i="17"/>
  <c r="AW88" i="17"/>
  <c r="AV88" i="17"/>
  <c r="AU88" i="17"/>
  <c r="BA85" i="17"/>
  <c r="AZ85" i="17"/>
  <c r="AY85" i="17"/>
  <c r="AY79" i="17" s="1"/>
  <c r="AX85" i="17"/>
  <c r="AX79" i="17" s="1"/>
  <c r="AW85" i="17"/>
  <c r="AV85" i="17"/>
  <c r="AU85" i="17"/>
  <c r="AU79" i="17" s="1"/>
  <c r="BA77" i="17"/>
  <c r="BA61" i="17" s="1"/>
  <c r="AZ77" i="17"/>
  <c r="AX77" i="17"/>
  <c r="AX61" i="17" s="1"/>
  <c r="AW77" i="17"/>
  <c r="AW61" i="17" s="1"/>
  <c r="AY72" i="17"/>
  <c r="AZ61" i="17"/>
  <c r="BA60" i="17"/>
  <c r="AZ60" i="17"/>
  <c r="AY60" i="17"/>
  <c r="AX60" i="17"/>
  <c r="AW60" i="17"/>
  <c r="AV60" i="17"/>
  <c r="AU60" i="17"/>
  <c r="BA56" i="17"/>
  <c r="AZ56" i="17"/>
  <c r="AX56" i="17"/>
  <c r="AW56" i="17"/>
  <c r="AV56" i="17"/>
  <c r="BA50" i="17"/>
  <c r="AZ50" i="17"/>
  <c r="AY50" i="17"/>
  <c r="AX50" i="17"/>
  <c r="AW50" i="17"/>
  <c r="AW45" i="17" s="1"/>
  <c r="AV50" i="17"/>
  <c r="AV45" i="17" s="1"/>
  <c r="BA44" i="17"/>
  <c r="AY44" i="17"/>
  <c r="AY40" i="17" s="1"/>
  <c r="AX44" i="17"/>
  <c r="AW44" i="17"/>
  <c r="AW40" i="17" s="1"/>
  <c r="AV44" i="17"/>
  <c r="BA40" i="17"/>
  <c r="AX40" i="17"/>
  <c r="AV40" i="17"/>
  <c r="BA39" i="17"/>
  <c r="AZ39" i="17"/>
  <c r="AY39" i="17"/>
  <c r="AX39" i="17"/>
  <c r="AW39" i="17"/>
  <c r="AV39" i="17"/>
  <c r="BA37" i="17"/>
  <c r="AZ37" i="17"/>
  <c r="AY37" i="17"/>
  <c r="AX37" i="17"/>
  <c r="AW37" i="17"/>
  <c r="AV37" i="17"/>
  <c r="BA29" i="17"/>
  <c r="AZ29" i="17"/>
  <c r="AY29" i="17"/>
  <c r="AY20" i="17" s="1"/>
  <c r="AX29" i="17"/>
  <c r="AW29" i="17"/>
  <c r="AV29" i="17"/>
  <c r="BA25" i="17"/>
  <c r="BA20" i="17" s="1"/>
  <c r="AZ25" i="17"/>
  <c r="AZ20" i="17" s="1"/>
  <c r="AY25" i="17"/>
  <c r="AX25" i="17"/>
  <c r="AW25" i="17"/>
  <c r="AW20" i="17" s="1"/>
  <c r="AV25" i="17"/>
  <c r="AV20" i="17" s="1"/>
  <c r="BA19" i="17"/>
  <c r="BA16" i="17" s="1"/>
  <c r="AZ19" i="17"/>
  <c r="AZ16" i="17" s="1"/>
  <c r="AY19" i="17"/>
  <c r="AX19" i="17"/>
  <c r="AX16" i="17" s="1"/>
  <c r="AW19" i="17"/>
  <c r="AW16" i="17" s="1"/>
  <c r="AV19" i="17"/>
  <c r="AV16" i="17" s="1"/>
  <c r="AY16" i="17"/>
  <c r="BA15" i="17"/>
  <c r="AZ15" i="17"/>
  <c r="AY15" i="17"/>
  <c r="AX15" i="17"/>
  <c r="AW15" i="17"/>
  <c r="AV15" i="17"/>
  <c r="BA11" i="17"/>
  <c r="AZ11" i="17"/>
  <c r="AY11" i="17"/>
  <c r="AX11" i="17"/>
  <c r="AW11" i="17"/>
  <c r="AV11" i="17"/>
  <c r="AL243" i="17"/>
  <c r="AL238" i="17" s="1"/>
  <c r="AK243" i="17"/>
  <c r="AK238" i="17" s="1"/>
  <c r="AJ243" i="17"/>
  <c r="AJ238" i="17" s="1"/>
  <c r="AL237" i="17"/>
  <c r="AL232" i="17" s="1"/>
  <c r="AK237" i="17"/>
  <c r="AK232" i="17" s="1"/>
  <c r="AJ237" i="17"/>
  <c r="AJ232" i="17" s="1"/>
  <c r="AL231" i="17"/>
  <c r="AL226" i="17" s="1"/>
  <c r="AK231" i="17"/>
  <c r="AK226" i="17" s="1"/>
  <c r="AJ231" i="17"/>
  <c r="AJ226" i="17" s="1"/>
  <c r="AL225" i="17"/>
  <c r="AL221" i="17" s="1"/>
  <c r="AK225" i="17"/>
  <c r="AK221" i="17" s="1"/>
  <c r="AJ225" i="17"/>
  <c r="AJ221" i="17" s="1"/>
  <c r="AL220" i="17"/>
  <c r="AL213" i="17" s="1"/>
  <c r="AK220" i="17"/>
  <c r="AK213" i="17" s="1"/>
  <c r="AJ220" i="17"/>
  <c r="AJ213" i="17" s="1"/>
  <c r="AL212" i="17"/>
  <c r="AK212" i="17"/>
  <c r="AJ212" i="17"/>
  <c r="AL203" i="17"/>
  <c r="AL198" i="17" s="1"/>
  <c r="AK203" i="17"/>
  <c r="AK198" i="17" s="1"/>
  <c r="AJ203" i="17"/>
  <c r="AJ198" i="17"/>
  <c r="AL196" i="17"/>
  <c r="AK196" i="17"/>
  <c r="AJ196" i="17"/>
  <c r="AL193" i="17"/>
  <c r="AK193" i="17"/>
  <c r="AJ193" i="17"/>
  <c r="AL190" i="17"/>
  <c r="AK190" i="17"/>
  <c r="AK182" i="17" s="1"/>
  <c r="AJ190" i="17"/>
  <c r="AJ182" i="17" s="1"/>
  <c r="AL181" i="17"/>
  <c r="AK181" i="17"/>
  <c r="AJ181" i="17"/>
  <c r="AL178" i="17"/>
  <c r="AK178" i="17"/>
  <c r="AJ178" i="17"/>
  <c r="AL168" i="17"/>
  <c r="AL163" i="17" s="1"/>
  <c r="AK168" i="17"/>
  <c r="AJ168" i="17"/>
  <c r="AL162" i="17"/>
  <c r="AL151" i="17" s="1"/>
  <c r="AK162" i="17"/>
  <c r="AJ162" i="17"/>
  <c r="AL159" i="17"/>
  <c r="AK159" i="17"/>
  <c r="AJ159" i="17"/>
  <c r="AL156" i="17"/>
  <c r="AK156" i="17"/>
  <c r="AJ156" i="17"/>
  <c r="AL149" i="17"/>
  <c r="AL140" i="17" s="1"/>
  <c r="AK149" i="17"/>
  <c r="AK140" i="17" s="1"/>
  <c r="AJ149" i="17"/>
  <c r="AJ140" i="17" s="1"/>
  <c r="AL139" i="17"/>
  <c r="AL134" i="17" s="1"/>
  <c r="AK139" i="17"/>
  <c r="AK134" i="17" s="1"/>
  <c r="AJ139" i="17"/>
  <c r="AJ134" i="17" s="1"/>
  <c r="AL133" i="17"/>
  <c r="AL123" i="17" s="1"/>
  <c r="AK133" i="17"/>
  <c r="AK123" i="17" s="1"/>
  <c r="AJ133" i="17"/>
  <c r="AJ123" i="17" s="1"/>
  <c r="AL122" i="17"/>
  <c r="AL118" i="17" s="1"/>
  <c r="AK122" i="17"/>
  <c r="AK118" i="17" s="1"/>
  <c r="AJ122" i="17"/>
  <c r="AJ118" i="17" s="1"/>
  <c r="AL117" i="17"/>
  <c r="AL111" i="17" s="1"/>
  <c r="AK117" i="17"/>
  <c r="AK111" i="17" s="1"/>
  <c r="AJ117" i="17"/>
  <c r="AJ111" i="17" s="1"/>
  <c r="AL110" i="17"/>
  <c r="AL106" i="17" s="1"/>
  <c r="AK110" i="17"/>
  <c r="AK106" i="17" s="1"/>
  <c r="AJ110" i="17"/>
  <c r="AJ106" i="17" s="1"/>
  <c r="AL105" i="17"/>
  <c r="AL100" i="17" s="1"/>
  <c r="AK105" i="17"/>
  <c r="AK100" i="17" s="1"/>
  <c r="AJ105" i="17"/>
  <c r="AJ100" i="17" s="1"/>
  <c r="AL99" i="17"/>
  <c r="AL93" i="17" s="1"/>
  <c r="AK99" i="17"/>
  <c r="AK93" i="17" s="1"/>
  <c r="AJ99" i="17"/>
  <c r="AJ93" i="17" s="1"/>
  <c r="AL92" i="17"/>
  <c r="AK92" i="17"/>
  <c r="AJ92" i="17"/>
  <c r="AL88" i="17"/>
  <c r="AK88" i="17"/>
  <c r="AJ88" i="17"/>
  <c r="AL85" i="17"/>
  <c r="AL79" i="17" s="1"/>
  <c r="AL78" i="17" s="1"/>
  <c r="AK85" i="17"/>
  <c r="AJ85" i="17"/>
  <c r="AL77" i="17"/>
  <c r="AL61" i="17" s="1"/>
  <c r="AK77" i="17"/>
  <c r="AK61" i="17" s="1"/>
  <c r="AJ77" i="17"/>
  <c r="AJ61" i="17"/>
  <c r="AL60" i="17"/>
  <c r="AK60" i="17"/>
  <c r="AJ60" i="17"/>
  <c r="AL56" i="17"/>
  <c r="AK56" i="17"/>
  <c r="AJ56" i="17"/>
  <c r="AJ45" i="17" s="1"/>
  <c r="AL50" i="17"/>
  <c r="AK50" i="17"/>
  <c r="AJ50" i="17"/>
  <c r="AL45" i="17"/>
  <c r="AL44" i="17"/>
  <c r="AL40" i="17" s="1"/>
  <c r="AK44" i="17"/>
  <c r="AK40" i="17" s="1"/>
  <c r="AJ44" i="17"/>
  <c r="AJ40" i="17"/>
  <c r="AL39" i="17"/>
  <c r="AK39" i="17"/>
  <c r="AJ39" i="17"/>
  <c r="AL37" i="17"/>
  <c r="AK37" i="17"/>
  <c r="AJ37" i="17"/>
  <c r="AL29" i="17"/>
  <c r="AK29" i="17"/>
  <c r="AJ29" i="17"/>
  <c r="AL25" i="17"/>
  <c r="AK25" i="17"/>
  <c r="AJ25" i="17"/>
  <c r="AJ20" i="17" s="1"/>
  <c r="AL19" i="17"/>
  <c r="AL16" i="17" s="1"/>
  <c r="AK19" i="17"/>
  <c r="AK16" i="17" s="1"/>
  <c r="AJ19" i="17"/>
  <c r="AJ16" i="17" s="1"/>
  <c r="AL15" i="17"/>
  <c r="AK15" i="17"/>
  <c r="AJ15" i="17"/>
  <c r="AL11" i="17"/>
  <c r="AK11" i="17"/>
  <c r="AJ11" i="17"/>
  <c r="AD243" i="17"/>
  <c r="AD238" i="17" s="1"/>
  <c r="AC243" i="17"/>
  <c r="AC238" i="17" s="1"/>
  <c r="AD237" i="17"/>
  <c r="AD232" i="17" s="1"/>
  <c r="AC237" i="17"/>
  <c r="AC232" i="17" s="1"/>
  <c r="AD231" i="17"/>
  <c r="AD226" i="17" s="1"/>
  <c r="AC228" i="17"/>
  <c r="AC231" i="17" s="1"/>
  <c r="AC226" i="17" s="1"/>
  <c r="AD225" i="17"/>
  <c r="AC225" i="17"/>
  <c r="AC221" i="17" s="1"/>
  <c r="AD221" i="17"/>
  <c r="AD220" i="17"/>
  <c r="AD213" i="17" s="1"/>
  <c r="AC218" i="17"/>
  <c r="AC217" i="17"/>
  <c r="AC220" i="17" s="1"/>
  <c r="AC213" i="17" s="1"/>
  <c r="AD212" i="17"/>
  <c r="AC212" i="17"/>
  <c r="AD203" i="17"/>
  <c r="AD198" i="17" s="1"/>
  <c r="AC200" i="17"/>
  <c r="AC203" i="17" s="1"/>
  <c r="AD196" i="17"/>
  <c r="AC196" i="17"/>
  <c r="AD193" i="17"/>
  <c r="AC193" i="17"/>
  <c r="AD190" i="17"/>
  <c r="AC190" i="17"/>
  <c r="AD181" i="17"/>
  <c r="AC181" i="17"/>
  <c r="AD178" i="17"/>
  <c r="AC178" i="17"/>
  <c r="AD168" i="17"/>
  <c r="AD163" i="17" s="1"/>
  <c r="AC168" i="17"/>
  <c r="AD162" i="17"/>
  <c r="AC162" i="17"/>
  <c r="AD159" i="17"/>
  <c r="AC159" i="17"/>
  <c r="AD156" i="17"/>
  <c r="AC156" i="17"/>
  <c r="AD151" i="17"/>
  <c r="AD149" i="17"/>
  <c r="AD140" i="17" s="1"/>
  <c r="AC148" i="17"/>
  <c r="AC149" i="17" s="1"/>
  <c r="AC140" i="17" s="1"/>
  <c r="AD139" i="17"/>
  <c r="AD134" i="17" s="1"/>
  <c r="AC139" i="17"/>
  <c r="AC134" i="17" s="1"/>
  <c r="AD133" i="17"/>
  <c r="AD123" i="17" s="1"/>
  <c r="AC133" i="17"/>
  <c r="AC123" i="17" s="1"/>
  <c r="AD122" i="17"/>
  <c r="AD118" i="17" s="1"/>
  <c r="AC122" i="17"/>
  <c r="AC118" i="17" s="1"/>
  <c r="AD117" i="17"/>
  <c r="AD111" i="17" s="1"/>
  <c r="AC117" i="17"/>
  <c r="AC111" i="17" s="1"/>
  <c r="AD110" i="17"/>
  <c r="AD106" i="17" s="1"/>
  <c r="AC110" i="17"/>
  <c r="AC106" i="17" s="1"/>
  <c r="AD105" i="17"/>
  <c r="AD100" i="17" s="1"/>
  <c r="AC105" i="17"/>
  <c r="AC100" i="17" s="1"/>
  <c r="AD99" i="17"/>
  <c r="AD93" i="17" s="1"/>
  <c r="AC99" i="17"/>
  <c r="AC93" i="17" s="1"/>
  <c r="AD92" i="17"/>
  <c r="AC92" i="17"/>
  <c r="AD88" i="17"/>
  <c r="AC88" i="17"/>
  <c r="AD85" i="17"/>
  <c r="AD79" i="17" s="1"/>
  <c r="AC85" i="17"/>
  <c r="AC79" i="17" s="1"/>
  <c r="AD77" i="17"/>
  <c r="AC73" i="17"/>
  <c r="AC72" i="17"/>
  <c r="AC66" i="17"/>
  <c r="AC65" i="17"/>
  <c r="AC64" i="17"/>
  <c r="AD61" i="17"/>
  <c r="AD60" i="17"/>
  <c r="AC60" i="17"/>
  <c r="AD56" i="17"/>
  <c r="AC52" i="17"/>
  <c r="AC56" i="17" s="1"/>
  <c r="AD50" i="17"/>
  <c r="AD45" i="17" s="1"/>
  <c r="AC50" i="17"/>
  <c r="AD44" i="17"/>
  <c r="AC42" i="17"/>
  <c r="AC44" i="17" s="1"/>
  <c r="AC40" i="17" s="1"/>
  <c r="AD40" i="17"/>
  <c r="AD39" i="17"/>
  <c r="AC39" i="17"/>
  <c r="AD37" i="17"/>
  <c r="AC37" i="17"/>
  <c r="AD29" i="17"/>
  <c r="AC29" i="17"/>
  <c r="AD25" i="17"/>
  <c r="AD20" i="17" s="1"/>
  <c r="AC25" i="17"/>
  <c r="AC20" i="17" s="1"/>
  <c r="AC23" i="17"/>
  <c r="AD19" i="17"/>
  <c r="AD16" i="17" s="1"/>
  <c r="AC18" i="17"/>
  <c r="AC19" i="17" s="1"/>
  <c r="AC16" i="17" s="1"/>
  <c r="AD15" i="17"/>
  <c r="AC14" i="17"/>
  <c r="AC15" i="17" s="1"/>
  <c r="AD11" i="17"/>
  <c r="AC11" i="17"/>
  <c r="Z198" i="17"/>
  <c r="Z197" i="17" s="1"/>
  <c r="AA61" i="17"/>
  <c r="Z61" i="17"/>
  <c r="AA45" i="17"/>
  <c r="Z45" i="17"/>
  <c r="AA40" i="17"/>
  <c r="Z40" i="17"/>
  <c r="AA20" i="17"/>
  <c r="Z20" i="17"/>
  <c r="AA16" i="17"/>
  <c r="Z16" i="17"/>
  <c r="K66" i="17"/>
  <c r="K52" i="17"/>
  <c r="BA243" i="16"/>
  <c r="AZ243" i="16"/>
  <c r="AZ238" i="16" s="1"/>
  <c r="AY243" i="16"/>
  <c r="AY238" i="16" s="1"/>
  <c r="AX243" i="16"/>
  <c r="AX238" i="16" s="1"/>
  <c r="AW243" i="16"/>
  <c r="AV243" i="16"/>
  <c r="AV238" i="16" s="1"/>
  <c r="BA238" i="16"/>
  <c r="AW238" i="16"/>
  <c r="BA237" i="16"/>
  <c r="AZ237" i="16"/>
  <c r="AZ232" i="16" s="1"/>
  <c r="AY237" i="16"/>
  <c r="AY232" i="16" s="1"/>
  <c r="AX237" i="16"/>
  <c r="AX232" i="16" s="1"/>
  <c r="AW237" i="16"/>
  <c r="AV237" i="16"/>
  <c r="AV232" i="16" s="1"/>
  <c r="BA232" i="16"/>
  <c r="AW232" i="16"/>
  <c r="BA231" i="16"/>
  <c r="BA226" i="16" s="1"/>
  <c r="AZ231" i="16"/>
  <c r="AZ226" i="16" s="1"/>
  <c r="AY231" i="16"/>
  <c r="AX231" i="16"/>
  <c r="AX226" i="16" s="1"/>
  <c r="AW231" i="16"/>
  <c r="AW226" i="16" s="1"/>
  <c r="AV231" i="16"/>
  <c r="AV226" i="16" s="1"/>
  <c r="AY226" i="16"/>
  <c r="BA225" i="16"/>
  <c r="AZ225" i="16"/>
  <c r="AZ221" i="16" s="1"/>
  <c r="AY225" i="16"/>
  <c r="AX225" i="16"/>
  <c r="AX221" i="16" s="1"/>
  <c r="AW225" i="16"/>
  <c r="AV225" i="16"/>
  <c r="AV221" i="16" s="1"/>
  <c r="BA221" i="16"/>
  <c r="AY221" i="16"/>
  <c r="AW221" i="16"/>
  <c r="BA220" i="16"/>
  <c r="AZ220" i="16"/>
  <c r="AZ213" i="16" s="1"/>
  <c r="AY220" i="16"/>
  <c r="AY213" i="16" s="1"/>
  <c r="AX220" i="16"/>
  <c r="AX213" i="16" s="1"/>
  <c r="AW220" i="16"/>
  <c r="AV220" i="16"/>
  <c r="AV213" i="16" s="1"/>
  <c r="BA213" i="16"/>
  <c r="AW213" i="16"/>
  <c r="BA212" i="16"/>
  <c r="AZ212" i="16"/>
  <c r="AY212" i="16"/>
  <c r="AX212" i="16"/>
  <c r="AW212" i="16"/>
  <c r="AV212" i="16"/>
  <c r="BA203" i="16"/>
  <c r="AZ203" i="16"/>
  <c r="AY203" i="16"/>
  <c r="AX203" i="16"/>
  <c r="AX198" i="16" s="1"/>
  <c r="AW203" i="16"/>
  <c r="AV203" i="16"/>
  <c r="BA198" i="16"/>
  <c r="AY198" i="16"/>
  <c r="AY197" i="16" s="1"/>
  <c r="BA196" i="16"/>
  <c r="AZ196" i="16"/>
  <c r="AY196" i="16"/>
  <c r="AX196" i="16"/>
  <c r="AW196" i="16"/>
  <c r="AV196" i="16"/>
  <c r="AU196" i="16"/>
  <c r="BA193" i="16"/>
  <c r="BA182" i="16" s="1"/>
  <c r="AZ193" i="16"/>
  <c r="AY193" i="16"/>
  <c r="AX193" i="16"/>
  <c r="AW193" i="16"/>
  <c r="AV193" i="16"/>
  <c r="BA190" i="16"/>
  <c r="AZ190" i="16"/>
  <c r="AZ182" i="16" s="1"/>
  <c r="AY190" i="16"/>
  <c r="AY182" i="16" s="1"/>
  <c r="AX190" i="16"/>
  <c r="AW190" i="16"/>
  <c r="AV190" i="16"/>
  <c r="AV182" i="16" s="1"/>
  <c r="AU190" i="16"/>
  <c r="BA181" i="16"/>
  <c r="AZ181" i="16"/>
  <c r="AY181" i="16"/>
  <c r="AY163" i="16" s="1"/>
  <c r="AX181" i="16"/>
  <c r="AW181" i="16"/>
  <c r="AV181" i="16"/>
  <c r="AU181" i="16"/>
  <c r="AU163" i="16" s="1"/>
  <c r="BA178" i="16"/>
  <c r="AZ178" i="16"/>
  <c r="AY178" i="16"/>
  <c r="AX178" i="16"/>
  <c r="AW178" i="16"/>
  <c r="AV178" i="16"/>
  <c r="AU178" i="16"/>
  <c r="BA168" i="16"/>
  <c r="BA163" i="16" s="1"/>
  <c r="AZ168" i="16"/>
  <c r="AZ163" i="16" s="1"/>
  <c r="AY168" i="16"/>
  <c r="AX168" i="16"/>
  <c r="AW168" i="16"/>
  <c r="AW163" i="16" s="1"/>
  <c r="AV168" i="16"/>
  <c r="AV163" i="16" s="1"/>
  <c r="AU168" i="16"/>
  <c r="BA162" i="16"/>
  <c r="AZ162" i="16"/>
  <c r="AY162" i="16"/>
  <c r="AX162" i="16"/>
  <c r="AW162" i="16"/>
  <c r="AV162" i="16"/>
  <c r="AU162" i="16"/>
  <c r="BA159" i="16"/>
  <c r="AZ159" i="16"/>
  <c r="AY159" i="16"/>
  <c r="AX159" i="16"/>
  <c r="AW159" i="16"/>
  <c r="AV159" i="16"/>
  <c r="AU159" i="16"/>
  <c r="AU151" i="16" s="1"/>
  <c r="BA156" i="16"/>
  <c r="BA151" i="16" s="1"/>
  <c r="AZ156" i="16"/>
  <c r="AY156" i="16"/>
  <c r="AX156" i="16"/>
  <c r="AW156" i="16"/>
  <c r="AV156" i="16"/>
  <c r="AU156" i="16"/>
  <c r="AY151" i="16"/>
  <c r="AW151" i="16"/>
  <c r="BA149" i="16"/>
  <c r="AZ149" i="16"/>
  <c r="AZ140" i="16" s="1"/>
  <c r="AY149" i="16"/>
  <c r="AY140" i="16" s="1"/>
  <c r="AX149" i="16"/>
  <c r="AW149" i="16"/>
  <c r="AV149" i="16"/>
  <c r="AV140" i="16" s="1"/>
  <c r="BA140" i="16"/>
  <c r="AX140" i="16"/>
  <c r="AW140" i="16"/>
  <c r="BA139" i="16"/>
  <c r="BA134" i="16" s="1"/>
  <c r="AZ139" i="16"/>
  <c r="AZ134" i="16" s="1"/>
  <c r="AY139" i="16"/>
  <c r="AY134" i="16" s="1"/>
  <c r="AX139" i="16"/>
  <c r="AX134" i="16" s="1"/>
  <c r="AW139" i="16"/>
  <c r="AW134" i="16" s="1"/>
  <c r="AV139" i="16"/>
  <c r="AV134" i="16" s="1"/>
  <c r="AU139" i="16"/>
  <c r="AU134" i="16"/>
  <c r="BA133" i="16"/>
  <c r="AZ133" i="16"/>
  <c r="AZ123" i="16" s="1"/>
  <c r="AY133" i="16"/>
  <c r="AY123" i="16" s="1"/>
  <c r="AX133" i="16"/>
  <c r="AX123" i="16" s="1"/>
  <c r="AW133" i="16"/>
  <c r="AV133" i="16"/>
  <c r="AV123" i="16" s="1"/>
  <c r="AU133" i="16"/>
  <c r="AU123" i="16" s="1"/>
  <c r="BA123" i="16"/>
  <c r="AW123" i="16"/>
  <c r="BA122" i="16"/>
  <c r="AZ122" i="16"/>
  <c r="AZ118" i="16" s="1"/>
  <c r="AY122" i="16"/>
  <c r="AX122" i="16"/>
  <c r="AX118" i="16" s="1"/>
  <c r="AW122" i="16"/>
  <c r="AV122" i="16"/>
  <c r="AV118" i="16" s="1"/>
  <c r="AU122" i="16"/>
  <c r="BA118" i="16"/>
  <c r="AY118" i="16"/>
  <c r="AW118" i="16"/>
  <c r="AU118" i="16"/>
  <c r="BA117" i="16"/>
  <c r="BA111" i="16" s="1"/>
  <c r="AZ117" i="16"/>
  <c r="AZ111" i="16" s="1"/>
  <c r="AY117" i="16"/>
  <c r="AX117" i="16"/>
  <c r="AX111" i="16" s="1"/>
  <c r="AW117" i="16"/>
  <c r="AW111" i="16" s="1"/>
  <c r="AV117" i="16"/>
  <c r="AV111" i="16" s="1"/>
  <c r="AU117" i="16"/>
  <c r="AY111" i="16"/>
  <c r="AU111" i="16"/>
  <c r="BA110" i="16"/>
  <c r="AZ110" i="16"/>
  <c r="AZ106" i="16" s="1"/>
  <c r="AY110" i="16"/>
  <c r="AX110" i="16"/>
  <c r="AX106" i="16" s="1"/>
  <c r="AW110" i="16"/>
  <c r="AV110" i="16"/>
  <c r="AV106" i="16" s="1"/>
  <c r="AU110" i="16"/>
  <c r="BA106" i="16"/>
  <c r="AY106" i="16"/>
  <c r="AW106" i="16"/>
  <c r="AU106" i="16"/>
  <c r="BA105" i="16"/>
  <c r="AZ105" i="16"/>
  <c r="AZ100" i="16" s="1"/>
  <c r="AY105" i="16"/>
  <c r="AY100" i="16" s="1"/>
  <c r="AX105" i="16"/>
  <c r="AX100" i="16" s="1"/>
  <c r="AW105" i="16"/>
  <c r="AV105" i="16"/>
  <c r="AV100" i="16" s="1"/>
  <c r="AU105" i="16"/>
  <c r="AU100" i="16" s="1"/>
  <c r="BA100" i="16"/>
  <c r="AW100" i="16"/>
  <c r="BA99" i="16"/>
  <c r="AZ99" i="16"/>
  <c r="AZ93" i="16" s="1"/>
  <c r="AY99" i="16"/>
  <c r="AX99" i="16"/>
  <c r="AX93" i="16" s="1"/>
  <c r="AW99" i="16"/>
  <c r="AV99" i="16"/>
  <c r="AV93" i="16" s="1"/>
  <c r="AU99" i="16"/>
  <c r="BA93" i="16"/>
  <c r="AY93" i="16"/>
  <c r="AW93" i="16"/>
  <c r="AU93" i="16"/>
  <c r="BA92" i="16"/>
  <c r="BA79" i="16" s="1"/>
  <c r="AZ92" i="16"/>
  <c r="AY92" i="16"/>
  <c r="AX92" i="16"/>
  <c r="AW92" i="16"/>
  <c r="AW79" i="16" s="1"/>
  <c r="AV92" i="16"/>
  <c r="AU92" i="16"/>
  <c r="BA88" i="16"/>
  <c r="AZ88" i="16"/>
  <c r="AY88" i="16"/>
  <c r="AX88" i="16"/>
  <c r="AW88" i="16"/>
  <c r="AV88" i="16"/>
  <c r="AU88" i="16"/>
  <c r="BA85" i="16"/>
  <c r="AZ85" i="16"/>
  <c r="AY85" i="16"/>
  <c r="AY79" i="16" s="1"/>
  <c r="AX85" i="16"/>
  <c r="AX79" i="16" s="1"/>
  <c r="AW85" i="16"/>
  <c r="AV85" i="16"/>
  <c r="AU85" i="16"/>
  <c r="AU79" i="16"/>
  <c r="BA77" i="16"/>
  <c r="BA61" i="16" s="1"/>
  <c r="AZ77" i="16"/>
  <c r="AX77" i="16"/>
  <c r="AX61" i="16" s="1"/>
  <c r="AW77" i="16"/>
  <c r="AW61" i="16" s="1"/>
  <c r="AY72" i="16"/>
  <c r="AZ61" i="16"/>
  <c r="BA60" i="16"/>
  <c r="AZ60" i="16"/>
  <c r="AY60" i="16"/>
  <c r="AX60" i="16"/>
  <c r="AW60" i="16"/>
  <c r="AV60" i="16"/>
  <c r="AU60" i="16"/>
  <c r="BA56" i="16"/>
  <c r="AZ56" i="16"/>
  <c r="AX56" i="16"/>
  <c r="AW56" i="16"/>
  <c r="AV56" i="16"/>
  <c r="BA50" i="16"/>
  <c r="AZ50" i="16"/>
  <c r="AY50" i="16"/>
  <c r="AX50" i="16"/>
  <c r="AW50" i="16"/>
  <c r="AV50" i="16"/>
  <c r="AV45" i="16" s="1"/>
  <c r="BA44" i="16"/>
  <c r="BA40" i="16" s="1"/>
  <c r="AY44" i="16"/>
  <c r="AX44" i="16"/>
  <c r="AX40" i="16" s="1"/>
  <c r="AW44" i="16"/>
  <c r="AV44" i="16"/>
  <c r="AV40" i="16" s="1"/>
  <c r="AY40" i="16"/>
  <c r="AW40" i="16"/>
  <c r="BA39" i="16"/>
  <c r="AZ39" i="16"/>
  <c r="AY39" i="16"/>
  <c r="AX39" i="16"/>
  <c r="AW39" i="16"/>
  <c r="AV39" i="16"/>
  <c r="BA37" i="16"/>
  <c r="AZ37" i="16"/>
  <c r="AY37" i="16"/>
  <c r="AX37" i="16"/>
  <c r="AW37" i="16"/>
  <c r="AV37" i="16"/>
  <c r="BA29" i="16"/>
  <c r="AZ29" i="16"/>
  <c r="AY29" i="16"/>
  <c r="AX29" i="16"/>
  <c r="AX20" i="16" s="1"/>
  <c r="AW29" i="16"/>
  <c r="AV29" i="16"/>
  <c r="BA25" i="16"/>
  <c r="BA20" i="16" s="1"/>
  <c r="AZ25" i="16"/>
  <c r="AZ20" i="16" s="1"/>
  <c r="AY25" i="16"/>
  <c r="AX25" i="16"/>
  <c r="AW25" i="16"/>
  <c r="AW20" i="16" s="1"/>
  <c r="AV25" i="16"/>
  <c r="AV20" i="16" s="1"/>
  <c r="BA19" i="16"/>
  <c r="BA16" i="16" s="1"/>
  <c r="AZ19" i="16"/>
  <c r="AY19" i="16"/>
  <c r="AX19" i="16"/>
  <c r="AX16" i="16" s="1"/>
  <c r="AW19" i="16"/>
  <c r="AW16" i="16" s="1"/>
  <c r="AV19" i="16"/>
  <c r="AZ16" i="16"/>
  <c r="AY16" i="16"/>
  <c r="AV16" i="16"/>
  <c r="BA15" i="16"/>
  <c r="AZ15" i="16"/>
  <c r="AY15" i="16"/>
  <c r="AX15" i="16"/>
  <c r="AW15" i="16"/>
  <c r="AV15" i="16"/>
  <c r="BA11" i="16"/>
  <c r="AZ11" i="16"/>
  <c r="AY11" i="16"/>
  <c r="AX11" i="16"/>
  <c r="AW11" i="16"/>
  <c r="AV11" i="16"/>
  <c r="AL243" i="16"/>
  <c r="AK243" i="16"/>
  <c r="AK238" i="16" s="1"/>
  <c r="AJ243" i="16"/>
  <c r="AL238" i="16"/>
  <c r="AJ238" i="16"/>
  <c r="AL237" i="16"/>
  <c r="AL232" i="16" s="1"/>
  <c r="AK237" i="16"/>
  <c r="AK232" i="16" s="1"/>
  <c r="AJ237" i="16"/>
  <c r="AJ232" i="16"/>
  <c r="AL231" i="16"/>
  <c r="AK231" i="16"/>
  <c r="AK226" i="16" s="1"/>
  <c r="AJ231" i="16"/>
  <c r="AL226" i="16"/>
  <c r="AJ226" i="16"/>
  <c r="AL225" i="16"/>
  <c r="AK225" i="16"/>
  <c r="AK221" i="16" s="1"/>
  <c r="AJ225" i="16"/>
  <c r="AJ221" i="16" s="1"/>
  <c r="AL221" i="16"/>
  <c r="AL220" i="16"/>
  <c r="AL213" i="16" s="1"/>
  <c r="AK220" i="16"/>
  <c r="AK213" i="16" s="1"/>
  <c r="AJ220" i="16"/>
  <c r="AJ213" i="16"/>
  <c r="AL212" i="16"/>
  <c r="AK212" i="16"/>
  <c r="AJ212" i="16"/>
  <c r="AL203" i="16"/>
  <c r="AK203" i="16"/>
  <c r="AJ203" i="16"/>
  <c r="AJ198" i="16" s="1"/>
  <c r="AL196" i="16"/>
  <c r="AK196" i="16"/>
  <c r="AJ196" i="16"/>
  <c r="AJ182" i="16" s="1"/>
  <c r="AL193" i="16"/>
  <c r="AK193" i="16"/>
  <c r="AJ193" i="16"/>
  <c r="AL190" i="16"/>
  <c r="AL182" i="16" s="1"/>
  <c r="AK190" i="16"/>
  <c r="AK182" i="16" s="1"/>
  <c r="AJ190" i="16"/>
  <c r="AL181" i="16"/>
  <c r="AK181" i="16"/>
  <c r="AJ181" i="16"/>
  <c r="AL178" i="16"/>
  <c r="AK178" i="16"/>
  <c r="AJ178" i="16"/>
  <c r="AL168" i="16"/>
  <c r="AL163" i="16" s="1"/>
  <c r="AK168" i="16"/>
  <c r="AK163" i="16" s="1"/>
  <c r="AJ168" i="16"/>
  <c r="AJ163" i="16" s="1"/>
  <c r="AL162" i="16"/>
  <c r="AL151" i="16" s="1"/>
  <c r="AL150" i="16" s="1"/>
  <c r="AK162" i="16"/>
  <c r="AJ162" i="16"/>
  <c r="AL159" i="16"/>
  <c r="AK159" i="16"/>
  <c r="AJ159" i="16"/>
  <c r="AL156" i="16"/>
  <c r="AK156" i="16"/>
  <c r="AJ156" i="16"/>
  <c r="AJ151" i="16" s="1"/>
  <c r="AL149" i="16"/>
  <c r="AL140" i="16" s="1"/>
  <c r="AK149" i="16"/>
  <c r="AK140" i="16" s="1"/>
  <c r="AJ149" i="16"/>
  <c r="AJ140" i="16" s="1"/>
  <c r="AL139" i="16"/>
  <c r="AL134" i="16" s="1"/>
  <c r="AK139" i="16"/>
  <c r="AK134" i="16" s="1"/>
  <c r="AJ139" i="16"/>
  <c r="AJ134" i="16" s="1"/>
  <c r="AL133" i="16"/>
  <c r="AL123" i="16" s="1"/>
  <c r="AK133" i="16"/>
  <c r="AK123" i="16" s="1"/>
  <c r="AJ133" i="16"/>
  <c r="AJ123" i="16" s="1"/>
  <c r="AL122" i="16"/>
  <c r="AL118" i="16" s="1"/>
  <c r="AK122" i="16"/>
  <c r="AK118" i="16" s="1"/>
  <c r="AJ122" i="16"/>
  <c r="AJ118" i="16" s="1"/>
  <c r="AL117" i="16"/>
  <c r="AL111" i="16" s="1"/>
  <c r="AK117" i="16"/>
  <c r="AK111" i="16" s="1"/>
  <c r="AJ117" i="16"/>
  <c r="AJ111" i="16" s="1"/>
  <c r="AL110" i="16"/>
  <c r="AL106" i="16" s="1"/>
  <c r="AK110" i="16"/>
  <c r="AK106" i="16" s="1"/>
  <c r="AJ110" i="16"/>
  <c r="AJ106" i="16" s="1"/>
  <c r="AL105" i="16"/>
  <c r="AL100" i="16" s="1"/>
  <c r="AK105" i="16"/>
  <c r="AK100" i="16" s="1"/>
  <c r="AJ105" i="16"/>
  <c r="AJ100" i="16" s="1"/>
  <c r="AL99" i="16"/>
  <c r="AL93" i="16" s="1"/>
  <c r="AK99" i="16"/>
  <c r="AK93" i="16" s="1"/>
  <c r="AJ99" i="16"/>
  <c r="AJ93" i="16" s="1"/>
  <c r="AL92" i="16"/>
  <c r="AK92" i="16"/>
  <c r="AJ92" i="16"/>
  <c r="AL88" i="16"/>
  <c r="AK88" i="16"/>
  <c r="AJ88" i="16"/>
  <c r="AL85" i="16"/>
  <c r="AL79" i="16" s="1"/>
  <c r="AL78" i="16" s="1"/>
  <c r="AK85" i="16"/>
  <c r="AJ85" i="16"/>
  <c r="AK79" i="16"/>
  <c r="AL77" i="16"/>
  <c r="AK77" i="16"/>
  <c r="AK61" i="16" s="1"/>
  <c r="AJ77" i="16"/>
  <c r="AL61" i="16"/>
  <c r="AJ61" i="16"/>
  <c r="AL60" i="16"/>
  <c r="AK60" i="16"/>
  <c r="AJ60" i="16"/>
  <c r="AL56" i="16"/>
  <c r="AK56" i="16"/>
  <c r="AJ56" i="16"/>
  <c r="AL50" i="16"/>
  <c r="AL45" i="16" s="1"/>
  <c r="AK50" i="16"/>
  <c r="AK45" i="16" s="1"/>
  <c r="AJ50" i="16"/>
  <c r="AJ45" i="16"/>
  <c r="AL44" i="16"/>
  <c r="AK44" i="16"/>
  <c r="AK40" i="16" s="1"/>
  <c r="AJ44" i="16"/>
  <c r="AL40" i="16"/>
  <c r="AJ40" i="16"/>
  <c r="AL39" i="16"/>
  <c r="AK39" i="16"/>
  <c r="AJ39" i="16"/>
  <c r="AL37" i="16"/>
  <c r="AK37" i="16"/>
  <c r="AJ37" i="16"/>
  <c r="AL29" i="16"/>
  <c r="AK29" i="16"/>
  <c r="AJ29" i="16"/>
  <c r="AL25" i="16"/>
  <c r="AK25" i="16"/>
  <c r="AK20" i="16" s="1"/>
  <c r="AJ25" i="16"/>
  <c r="AL19" i="16"/>
  <c r="AL16" i="16" s="1"/>
  <c r="AK19" i="16"/>
  <c r="AK16" i="16" s="1"/>
  <c r="AJ19" i="16"/>
  <c r="AJ16" i="16" s="1"/>
  <c r="AL15" i="16"/>
  <c r="AK15" i="16"/>
  <c r="AJ15" i="16"/>
  <c r="AL11" i="16"/>
  <c r="AK11" i="16"/>
  <c r="AJ11" i="16"/>
  <c r="AD243" i="16"/>
  <c r="AD238" i="16" s="1"/>
  <c r="AC243" i="16"/>
  <c r="AC238" i="16" s="1"/>
  <c r="AD237" i="16"/>
  <c r="AD232" i="16" s="1"/>
  <c r="AC237" i="16"/>
  <c r="AC232" i="16" s="1"/>
  <c r="AD231" i="16"/>
  <c r="AD226" i="16" s="1"/>
  <c r="AC228" i="16"/>
  <c r="AC231" i="16" s="1"/>
  <c r="AC226" i="16" s="1"/>
  <c r="AD225" i="16"/>
  <c r="AC225" i="16"/>
  <c r="AC221" i="16" s="1"/>
  <c r="AD221" i="16"/>
  <c r="AD220" i="16"/>
  <c r="AD213" i="16" s="1"/>
  <c r="AC218" i="16"/>
  <c r="AC217" i="16"/>
  <c r="AD212" i="16"/>
  <c r="AC212" i="16"/>
  <c r="AD203" i="16"/>
  <c r="AD198" i="16" s="1"/>
  <c r="AC200" i="16"/>
  <c r="AC203" i="16" s="1"/>
  <c r="AC198" i="16" s="1"/>
  <c r="AD196" i="16"/>
  <c r="AC196" i="16"/>
  <c r="AD193" i="16"/>
  <c r="AC193" i="16"/>
  <c r="AD190" i="16"/>
  <c r="AC190" i="16"/>
  <c r="AD181" i="16"/>
  <c r="AC181" i="16"/>
  <c r="AD178" i="16"/>
  <c r="AC178" i="16"/>
  <c r="AD168" i="16"/>
  <c r="AD163" i="16" s="1"/>
  <c r="AC168" i="16"/>
  <c r="AC163" i="16" s="1"/>
  <c r="AD162" i="16"/>
  <c r="AC162" i="16"/>
  <c r="AD159" i="16"/>
  <c r="AC159" i="16"/>
  <c r="AC151" i="16" s="1"/>
  <c r="AD156" i="16"/>
  <c r="AC156" i="16"/>
  <c r="AD149" i="16"/>
  <c r="AC148" i="16"/>
  <c r="AC149" i="16" s="1"/>
  <c r="AC140" i="16" s="1"/>
  <c r="AD140" i="16"/>
  <c r="AD139" i="16"/>
  <c r="AD134" i="16" s="1"/>
  <c r="AC139" i="16"/>
  <c r="AC134" i="16" s="1"/>
  <c r="AD133" i="16"/>
  <c r="AD123" i="16" s="1"/>
  <c r="AC133" i="16"/>
  <c r="AC123" i="16" s="1"/>
  <c r="AD122" i="16"/>
  <c r="AC122" i="16"/>
  <c r="AC118" i="16" s="1"/>
  <c r="AD118" i="16"/>
  <c r="AD117" i="16"/>
  <c r="AD111" i="16" s="1"/>
  <c r="AC117" i="16"/>
  <c r="AC111" i="16" s="1"/>
  <c r="AD110" i="16"/>
  <c r="AD106" i="16" s="1"/>
  <c r="AC110" i="16"/>
  <c r="AC106" i="16" s="1"/>
  <c r="AD105" i="16"/>
  <c r="AD100" i="16" s="1"/>
  <c r="AC105" i="16"/>
  <c r="AC100" i="16" s="1"/>
  <c r="AD99" i="16"/>
  <c r="AD93" i="16" s="1"/>
  <c r="AC99" i="16"/>
  <c r="AC93" i="16" s="1"/>
  <c r="AD92" i="16"/>
  <c r="AC92" i="16"/>
  <c r="AD88" i="16"/>
  <c r="AC88" i="16"/>
  <c r="AD85" i="16"/>
  <c r="AC85" i="16"/>
  <c r="AC79" i="16" s="1"/>
  <c r="AD79" i="16"/>
  <c r="AD77" i="16"/>
  <c r="AC73" i="16"/>
  <c r="AC72" i="16"/>
  <c r="AC66" i="16"/>
  <c r="AC65" i="16"/>
  <c r="AC64" i="16"/>
  <c r="AD61" i="16"/>
  <c r="AD60" i="16"/>
  <c r="AC60" i="16"/>
  <c r="AD56" i="16"/>
  <c r="AC52" i="16"/>
  <c r="AC56" i="16" s="1"/>
  <c r="AD50" i="16"/>
  <c r="AD45" i="16" s="1"/>
  <c r="AC50" i="16"/>
  <c r="AD44" i="16"/>
  <c r="AD40" i="16" s="1"/>
  <c r="AC42" i="16"/>
  <c r="AC44" i="16" s="1"/>
  <c r="AC40" i="16" s="1"/>
  <c r="AD39" i="16"/>
  <c r="AC39" i="16"/>
  <c r="AD37" i="16"/>
  <c r="AC37" i="16"/>
  <c r="AD29" i="16"/>
  <c r="AC29" i="16"/>
  <c r="AD25" i="16"/>
  <c r="AC25" i="16"/>
  <c r="AC20" i="16" s="1"/>
  <c r="AC23" i="16"/>
  <c r="AD19" i="16"/>
  <c r="AD16" i="16" s="1"/>
  <c r="AC18" i="16"/>
  <c r="AC19" i="16" s="1"/>
  <c r="AC16" i="16" s="1"/>
  <c r="AD15" i="16"/>
  <c r="AC14" i="16"/>
  <c r="AC15" i="16" s="1"/>
  <c r="AD11" i="16"/>
  <c r="AC11" i="16"/>
  <c r="Z198" i="16"/>
  <c r="Z197" i="16" s="1"/>
  <c r="AA61" i="16"/>
  <c r="Z61" i="16"/>
  <c r="AA45" i="16"/>
  <c r="Z45" i="16"/>
  <c r="AA40" i="16"/>
  <c r="Z40" i="16"/>
  <c r="AA20" i="16"/>
  <c r="Z20" i="16"/>
  <c r="AA16" i="16"/>
  <c r="Z16" i="16"/>
  <c r="K66" i="16"/>
  <c r="K52" i="16"/>
  <c r="BA243" i="15"/>
  <c r="BA238" i="15" s="1"/>
  <c r="AZ243" i="15"/>
  <c r="AZ238" i="15" s="1"/>
  <c r="AY243" i="15"/>
  <c r="AY238" i="15" s="1"/>
  <c r="AX243" i="15"/>
  <c r="AX238" i="15" s="1"/>
  <c r="AW243" i="15"/>
  <c r="AW238" i="15" s="1"/>
  <c r="AV243" i="15"/>
  <c r="AV238" i="15"/>
  <c r="BA237" i="15"/>
  <c r="BA232" i="15" s="1"/>
  <c r="AZ237" i="15"/>
  <c r="AY237" i="15"/>
  <c r="AY232" i="15" s="1"/>
  <c r="AX237" i="15"/>
  <c r="AW237" i="15"/>
  <c r="AW232" i="15" s="1"/>
  <c r="AV237" i="15"/>
  <c r="AZ232" i="15"/>
  <c r="AX232" i="15"/>
  <c r="AV232" i="15"/>
  <c r="BA231" i="15"/>
  <c r="BA226" i="15" s="1"/>
  <c r="AZ231" i="15"/>
  <c r="AY231" i="15"/>
  <c r="AY226" i="15" s="1"/>
  <c r="AX231" i="15"/>
  <c r="AW231" i="15"/>
  <c r="AW226" i="15" s="1"/>
  <c r="AV231" i="15"/>
  <c r="AV226" i="15" s="1"/>
  <c r="AZ226" i="15"/>
  <c r="AX226" i="15"/>
  <c r="BA225" i="15"/>
  <c r="BA221" i="15" s="1"/>
  <c r="AZ225" i="15"/>
  <c r="AZ221" i="15" s="1"/>
  <c r="AY225" i="15"/>
  <c r="AY221" i="15" s="1"/>
  <c r="AX225" i="15"/>
  <c r="AW225" i="15"/>
  <c r="AW221" i="15" s="1"/>
  <c r="AV225" i="15"/>
  <c r="AV221" i="15" s="1"/>
  <c r="AX221" i="15"/>
  <c r="BA220" i="15"/>
  <c r="BA213" i="15" s="1"/>
  <c r="AZ220" i="15"/>
  <c r="AZ213" i="15" s="1"/>
  <c r="AY220" i="15"/>
  <c r="AY213" i="15" s="1"/>
  <c r="AX220" i="15"/>
  <c r="AW220" i="15"/>
  <c r="AW213" i="15" s="1"/>
  <c r="AV220" i="15"/>
  <c r="AX213" i="15"/>
  <c r="AV213" i="15"/>
  <c r="BA212" i="15"/>
  <c r="AZ212" i="15"/>
  <c r="AY212" i="15"/>
  <c r="AX212" i="15"/>
  <c r="AW212" i="15"/>
  <c r="AW198" i="15" s="1"/>
  <c r="AW197" i="15" s="1"/>
  <c r="AV212" i="15"/>
  <c r="BA203" i="15"/>
  <c r="AZ203" i="15"/>
  <c r="AZ198" i="15" s="1"/>
  <c r="AY203" i="15"/>
  <c r="AY198" i="15" s="1"/>
  <c r="AY197" i="15" s="1"/>
  <c r="AX203" i="15"/>
  <c r="AW203" i="15"/>
  <c r="AV203" i="15"/>
  <c r="AV198" i="15" s="1"/>
  <c r="BA198" i="15"/>
  <c r="BA196" i="15"/>
  <c r="AZ196" i="15"/>
  <c r="AY196" i="15"/>
  <c r="AX196" i="15"/>
  <c r="AW196" i="15"/>
  <c r="AV196" i="15"/>
  <c r="AU196" i="15"/>
  <c r="BA193" i="15"/>
  <c r="AZ193" i="15"/>
  <c r="AY193" i="15"/>
  <c r="AX193" i="15"/>
  <c r="AW193" i="15"/>
  <c r="AV193" i="15"/>
  <c r="BA190" i="15"/>
  <c r="AZ190" i="15"/>
  <c r="AY190" i="15"/>
  <c r="AX190" i="15"/>
  <c r="AW190" i="15"/>
  <c r="AV190" i="15"/>
  <c r="AU190" i="15"/>
  <c r="AY182" i="15"/>
  <c r="BA181" i="15"/>
  <c r="AZ181" i="15"/>
  <c r="AY181" i="15"/>
  <c r="AX181" i="15"/>
  <c r="AW181" i="15"/>
  <c r="AV181" i="15"/>
  <c r="AU181" i="15"/>
  <c r="BA178" i="15"/>
  <c r="AZ178" i="15"/>
  <c r="AY178" i="15"/>
  <c r="AX178" i="15"/>
  <c r="AW178" i="15"/>
  <c r="AW163" i="15" s="1"/>
  <c r="AV178" i="15"/>
  <c r="AU178" i="15"/>
  <c r="BA168" i="15"/>
  <c r="BA163" i="15" s="1"/>
  <c r="AZ168" i="15"/>
  <c r="AZ163" i="15" s="1"/>
  <c r="AY168" i="15"/>
  <c r="AY163" i="15" s="1"/>
  <c r="AX168" i="15"/>
  <c r="AW168" i="15"/>
  <c r="AV168" i="15"/>
  <c r="AV163" i="15" s="1"/>
  <c r="AU168" i="15"/>
  <c r="BA162" i="15"/>
  <c r="AZ162" i="15"/>
  <c r="AY162" i="15"/>
  <c r="AX162" i="15"/>
  <c r="AW162" i="15"/>
  <c r="AV162" i="15"/>
  <c r="AU162" i="15"/>
  <c r="BA159" i="15"/>
  <c r="AZ159" i="15"/>
  <c r="AY159" i="15"/>
  <c r="AX159" i="15"/>
  <c r="AW159" i="15"/>
  <c r="AV159" i="15"/>
  <c r="AU159" i="15"/>
  <c r="BA156" i="15"/>
  <c r="AZ156" i="15"/>
  <c r="AY156" i="15"/>
  <c r="AY151" i="15" s="1"/>
  <c r="AX156" i="15"/>
  <c r="AW156" i="15"/>
  <c r="AV156" i="15"/>
  <c r="AU156" i="15"/>
  <c r="AU151" i="15" s="1"/>
  <c r="BA149" i="15"/>
  <c r="AZ149" i="15"/>
  <c r="AZ140" i="15" s="1"/>
  <c r="AY149" i="15"/>
  <c r="AY140" i="15" s="1"/>
  <c r="AX149" i="15"/>
  <c r="AW149" i="15"/>
  <c r="AV149" i="15"/>
  <c r="AV140" i="15" s="1"/>
  <c r="BA140" i="15"/>
  <c r="AX140" i="15"/>
  <c r="AW140" i="15"/>
  <c r="BA139" i="15"/>
  <c r="AZ139" i="15"/>
  <c r="AZ134" i="15" s="1"/>
  <c r="AY139" i="15"/>
  <c r="AY134" i="15" s="1"/>
  <c r="AX139" i="15"/>
  <c r="AX134" i="15" s="1"/>
  <c r="AW139" i="15"/>
  <c r="AV139" i="15"/>
  <c r="AV134" i="15" s="1"/>
  <c r="AU139" i="15"/>
  <c r="BA134" i="15"/>
  <c r="AW134" i="15"/>
  <c r="AU134" i="15"/>
  <c r="BA133" i="15"/>
  <c r="BA123" i="15" s="1"/>
  <c r="AZ133" i="15"/>
  <c r="AZ123" i="15" s="1"/>
  <c r="AY133" i="15"/>
  <c r="AX133" i="15"/>
  <c r="AX123" i="15" s="1"/>
  <c r="AW133" i="15"/>
  <c r="AW123" i="15" s="1"/>
  <c r="AV133" i="15"/>
  <c r="AV123" i="15" s="1"/>
  <c r="AU133" i="15"/>
  <c r="AY123" i="15"/>
  <c r="AU123" i="15"/>
  <c r="BA122" i="15"/>
  <c r="AZ122" i="15"/>
  <c r="AZ118" i="15" s="1"/>
  <c r="AY122" i="15"/>
  <c r="AY118" i="15" s="1"/>
  <c r="AX122" i="15"/>
  <c r="AX118" i="15" s="1"/>
  <c r="AW122" i="15"/>
  <c r="AV122" i="15"/>
  <c r="AV118" i="15" s="1"/>
  <c r="AU122" i="15"/>
  <c r="BA118" i="15"/>
  <c r="AW118" i="15"/>
  <c r="AU118" i="15"/>
  <c r="BA117" i="15"/>
  <c r="BA111" i="15" s="1"/>
  <c r="AZ117" i="15"/>
  <c r="AZ111" i="15" s="1"/>
  <c r="AY117" i="15"/>
  <c r="AX117" i="15"/>
  <c r="AX111" i="15" s="1"/>
  <c r="AW117" i="15"/>
  <c r="AW111" i="15" s="1"/>
  <c r="AV117" i="15"/>
  <c r="AV111" i="15" s="1"/>
  <c r="AU117" i="15"/>
  <c r="AY111" i="15"/>
  <c r="AU111" i="15"/>
  <c r="BA110" i="15"/>
  <c r="AZ110" i="15"/>
  <c r="AZ106" i="15" s="1"/>
  <c r="AY110" i="15"/>
  <c r="AY106" i="15" s="1"/>
  <c r="AX110" i="15"/>
  <c r="AX106" i="15" s="1"/>
  <c r="AW110" i="15"/>
  <c r="AV110" i="15"/>
  <c r="AV106" i="15" s="1"/>
  <c r="AU110" i="15"/>
  <c r="BA106" i="15"/>
  <c r="AW106" i="15"/>
  <c r="AU106" i="15"/>
  <c r="AZ100" i="15"/>
  <c r="AX100" i="15"/>
  <c r="AV100" i="15"/>
  <c r="BA100" i="15"/>
  <c r="AY100" i="15"/>
  <c r="AW100" i="15"/>
  <c r="AU100" i="15"/>
  <c r="BA99" i="15"/>
  <c r="BA93" i="15" s="1"/>
  <c r="AZ99" i="15"/>
  <c r="AZ93" i="15" s="1"/>
  <c r="AY99" i="15"/>
  <c r="AX99" i="15"/>
  <c r="AX93" i="15" s="1"/>
  <c r="AW99" i="15"/>
  <c r="AW93" i="15" s="1"/>
  <c r="AV99" i="15"/>
  <c r="AV93" i="15" s="1"/>
  <c r="AU99" i="15"/>
  <c r="AY93" i="15"/>
  <c r="AU93" i="15"/>
  <c r="BA92" i="15"/>
  <c r="AZ92" i="15"/>
  <c r="AY92" i="15"/>
  <c r="AX92" i="15"/>
  <c r="AW92" i="15"/>
  <c r="AV92" i="15"/>
  <c r="AU92" i="15"/>
  <c r="BA88" i="15"/>
  <c r="AZ88" i="15"/>
  <c r="AY88" i="15"/>
  <c r="AY79" i="15" s="1"/>
  <c r="AY78" i="15" s="1"/>
  <c r="AX88" i="15"/>
  <c r="AW88" i="15"/>
  <c r="AV88" i="15"/>
  <c r="AU88" i="15"/>
  <c r="AU79" i="15" s="1"/>
  <c r="BA85" i="15"/>
  <c r="AZ85" i="15"/>
  <c r="AY85" i="15"/>
  <c r="AX85" i="15"/>
  <c r="AX79" i="15" s="1"/>
  <c r="AX78" i="15" s="1"/>
  <c r="AW85" i="15"/>
  <c r="AW79" i="15" s="1"/>
  <c r="AV85" i="15"/>
  <c r="AU85" i="15"/>
  <c r="BA79" i="15"/>
  <c r="BA77" i="15"/>
  <c r="BA61" i="15" s="1"/>
  <c r="AZ77" i="15"/>
  <c r="AX77" i="15"/>
  <c r="AX61" i="15" s="1"/>
  <c r="AW77" i="15"/>
  <c r="AY72" i="15"/>
  <c r="AZ61" i="15"/>
  <c r="AW61" i="15"/>
  <c r="BA60" i="15"/>
  <c r="AZ60" i="15"/>
  <c r="AY60" i="15"/>
  <c r="AX60" i="15"/>
  <c r="AW60" i="15"/>
  <c r="AV60" i="15"/>
  <c r="AU60" i="15"/>
  <c r="BA56" i="15"/>
  <c r="AZ56" i="15"/>
  <c r="AX56" i="15"/>
  <c r="AX45" i="15" s="1"/>
  <c r="AW56" i="15"/>
  <c r="AV56" i="15"/>
  <c r="BA50" i="15"/>
  <c r="AZ50" i="15"/>
  <c r="AZ45" i="15" s="1"/>
  <c r="AY50" i="15"/>
  <c r="AX50" i="15"/>
  <c r="AW50" i="15"/>
  <c r="AV50" i="15"/>
  <c r="AV45" i="15" s="1"/>
  <c r="BA44" i="15"/>
  <c r="BA40" i="15" s="1"/>
  <c r="AY44" i="15"/>
  <c r="AX44" i="15"/>
  <c r="AW44" i="15"/>
  <c r="AV44" i="15"/>
  <c r="AY40" i="15"/>
  <c r="AX40" i="15"/>
  <c r="AW40" i="15"/>
  <c r="AV40" i="15"/>
  <c r="BA39" i="15"/>
  <c r="AZ39" i="15"/>
  <c r="AY39" i="15"/>
  <c r="AX39" i="15"/>
  <c r="AW39" i="15"/>
  <c r="AV39" i="15"/>
  <c r="BA37" i="15"/>
  <c r="AZ37" i="15"/>
  <c r="AY37" i="15"/>
  <c r="AX37" i="15"/>
  <c r="AW37" i="15"/>
  <c r="AV37" i="15"/>
  <c r="BA29" i="15"/>
  <c r="AZ29" i="15"/>
  <c r="AY29" i="15"/>
  <c r="AX29" i="15"/>
  <c r="AX20" i="15" s="1"/>
  <c r="AW29" i="15"/>
  <c r="AV29" i="15"/>
  <c r="BA25" i="15"/>
  <c r="BA20" i="15" s="1"/>
  <c r="AZ25" i="15"/>
  <c r="AZ20" i="15" s="1"/>
  <c r="AY25" i="15"/>
  <c r="AX25" i="15"/>
  <c r="AW25" i="15"/>
  <c r="AW20" i="15" s="1"/>
  <c r="AV25" i="15"/>
  <c r="AV20" i="15" s="1"/>
  <c r="BA19" i="15"/>
  <c r="BA16" i="15" s="1"/>
  <c r="AZ19" i="15"/>
  <c r="AZ16" i="15" s="1"/>
  <c r="AY19" i="15"/>
  <c r="AY16" i="15" s="1"/>
  <c r="AX19" i="15"/>
  <c r="AX16" i="15" s="1"/>
  <c r="AW19" i="15"/>
  <c r="AW16" i="15" s="1"/>
  <c r="AV19" i="15"/>
  <c r="AV16" i="15" s="1"/>
  <c r="BA15" i="15"/>
  <c r="AZ15" i="15"/>
  <c r="AY15" i="15"/>
  <c r="AX15" i="15"/>
  <c r="AW15" i="15"/>
  <c r="AV15" i="15"/>
  <c r="BA11" i="15"/>
  <c r="AZ11" i="15"/>
  <c r="AY11" i="15"/>
  <c r="AX11" i="15"/>
  <c r="AW11" i="15"/>
  <c r="AV11" i="15"/>
  <c r="AL243" i="15"/>
  <c r="AL238" i="15" s="1"/>
  <c r="AK243" i="15"/>
  <c r="AJ243" i="15"/>
  <c r="AK238" i="15"/>
  <c r="AJ238" i="15"/>
  <c r="AL237" i="15"/>
  <c r="AK237" i="15"/>
  <c r="AJ237" i="15"/>
  <c r="AJ232" i="15" s="1"/>
  <c r="AL232" i="15"/>
  <c r="AK232" i="15"/>
  <c r="AL231" i="15"/>
  <c r="AL226" i="15" s="1"/>
  <c r="AK231" i="15"/>
  <c r="AJ231" i="15"/>
  <c r="AK226" i="15"/>
  <c r="AJ226" i="15"/>
  <c r="AL225" i="15"/>
  <c r="AK225" i="15"/>
  <c r="AJ225" i="15"/>
  <c r="AJ221" i="15" s="1"/>
  <c r="AL221" i="15"/>
  <c r="AK221" i="15"/>
  <c r="AL220" i="15"/>
  <c r="AL213" i="15" s="1"/>
  <c r="AK220" i="15"/>
  <c r="AK213" i="15" s="1"/>
  <c r="AJ220" i="15"/>
  <c r="AJ213" i="15"/>
  <c r="AL212" i="15"/>
  <c r="AK212" i="15"/>
  <c r="AJ212" i="15"/>
  <c r="AL203" i="15"/>
  <c r="AL198" i="15" s="1"/>
  <c r="AL197" i="15" s="1"/>
  <c r="AK203" i="15"/>
  <c r="AJ203" i="15"/>
  <c r="AK198" i="15"/>
  <c r="AJ198" i="15"/>
  <c r="AJ197" i="15" s="1"/>
  <c r="AL196" i="15"/>
  <c r="AL182" i="15" s="1"/>
  <c r="AK196" i="15"/>
  <c r="AJ196" i="15"/>
  <c r="AL193" i="15"/>
  <c r="AK193" i="15"/>
  <c r="AK182" i="15" s="1"/>
  <c r="AJ193" i="15"/>
  <c r="AL190" i="15"/>
  <c r="AK190" i="15"/>
  <c r="AJ190" i="15"/>
  <c r="AJ182" i="15" s="1"/>
  <c r="AL181" i="15"/>
  <c r="AL163" i="15" s="1"/>
  <c r="AK181" i="15"/>
  <c r="AJ181" i="15"/>
  <c r="AL178" i="15"/>
  <c r="AK178" i="15"/>
  <c r="AK163" i="15" s="1"/>
  <c r="AJ178" i="15"/>
  <c r="AL168" i="15"/>
  <c r="AK168" i="15"/>
  <c r="AJ168" i="15"/>
  <c r="AJ163" i="15" s="1"/>
  <c r="AL162" i="15"/>
  <c r="AL151" i="15" s="1"/>
  <c r="AK162" i="15"/>
  <c r="AJ162" i="15"/>
  <c r="AL159" i="15"/>
  <c r="AK159" i="15"/>
  <c r="AK151" i="15" s="1"/>
  <c r="AJ159" i="15"/>
  <c r="AL156" i="15"/>
  <c r="AK156" i="15"/>
  <c r="AJ156" i="15"/>
  <c r="AJ151" i="15" s="1"/>
  <c r="AL149" i="15"/>
  <c r="AK149" i="15"/>
  <c r="AJ149" i="15"/>
  <c r="AJ140" i="15" s="1"/>
  <c r="AL140" i="15"/>
  <c r="AK140" i="15"/>
  <c r="AL139" i="15"/>
  <c r="AL134" i="15" s="1"/>
  <c r="AK139" i="15"/>
  <c r="AJ139" i="15"/>
  <c r="AK134" i="15"/>
  <c r="AJ134" i="15"/>
  <c r="AL133" i="15"/>
  <c r="AL123" i="15" s="1"/>
  <c r="AK133" i="15"/>
  <c r="AJ133" i="15"/>
  <c r="AJ123" i="15" s="1"/>
  <c r="AK123" i="15"/>
  <c r="AL122" i="15"/>
  <c r="AK122" i="15"/>
  <c r="AK118" i="15" s="1"/>
  <c r="AJ122" i="15"/>
  <c r="AJ118" i="15" s="1"/>
  <c r="AL118" i="15"/>
  <c r="AL117" i="15"/>
  <c r="AL111" i="15" s="1"/>
  <c r="AK117" i="15"/>
  <c r="AK111" i="15" s="1"/>
  <c r="AJ117" i="15"/>
  <c r="AJ111" i="15"/>
  <c r="AL110" i="15"/>
  <c r="AK110" i="15"/>
  <c r="AJ110" i="15"/>
  <c r="AL106" i="15"/>
  <c r="AK106" i="15"/>
  <c r="AJ106" i="15"/>
  <c r="AL100" i="15"/>
  <c r="AK100" i="15"/>
  <c r="AJ100" i="15"/>
  <c r="AL99" i="15"/>
  <c r="AK99" i="15"/>
  <c r="AJ99" i="15"/>
  <c r="AJ93" i="15" s="1"/>
  <c r="AL93" i="15"/>
  <c r="AK93" i="15"/>
  <c r="AL92" i="15"/>
  <c r="AL79" i="15" s="1"/>
  <c r="AK92" i="15"/>
  <c r="AJ92" i="15"/>
  <c r="AL88" i="15"/>
  <c r="AK88" i="15"/>
  <c r="AK79" i="15" s="1"/>
  <c r="AK78" i="15" s="1"/>
  <c r="AJ88" i="15"/>
  <c r="AL85" i="15"/>
  <c r="AK85" i="15"/>
  <c r="AJ85" i="15"/>
  <c r="AJ79" i="15" s="1"/>
  <c r="AL77" i="15"/>
  <c r="AK77" i="15"/>
  <c r="AJ77" i="15"/>
  <c r="AL61" i="15"/>
  <c r="AK61" i="15"/>
  <c r="AJ61" i="15"/>
  <c r="AL60" i="15"/>
  <c r="AK60" i="15"/>
  <c r="AK45" i="15" s="1"/>
  <c r="AJ60" i="15"/>
  <c r="AL56" i="15"/>
  <c r="AK56" i="15"/>
  <c r="AJ56" i="15"/>
  <c r="AJ45" i="15" s="1"/>
  <c r="AL50" i="15"/>
  <c r="AK50" i="15"/>
  <c r="AJ50" i="15"/>
  <c r="AL45" i="15"/>
  <c r="AL44" i="15"/>
  <c r="AK44" i="15"/>
  <c r="AK40" i="15" s="1"/>
  <c r="AJ44" i="15"/>
  <c r="AL40" i="15"/>
  <c r="AJ40" i="15"/>
  <c r="AL39" i="15"/>
  <c r="AK39" i="15"/>
  <c r="AJ39" i="15"/>
  <c r="AL37" i="15"/>
  <c r="AL20" i="15" s="1"/>
  <c r="AK37" i="15"/>
  <c r="AJ37" i="15"/>
  <c r="AL29" i="15"/>
  <c r="AK29" i="15"/>
  <c r="AK20" i="15" s="1"/>
  <c r="AJ29" i="15"/>
  <c r="AL25" i="15"/>
  <c r="AK25" i="15"/>
  <c r="AJ25" i="15"/>
  <c r="AJ20" i="15" s="1"/>
  <c r="AL19" i="15"/>
  <c r="AK19" i="15"/>
  <c r="AK16" i="15" s="1"/>
  <c r="AJ19" i="15"/>
  <c r="AL16" i="15"/>
  <c r="AJ16" i="15"/>
  <c r="AL15" i="15"/>
  <c r="AK15" i="15"/>
  <c r="AJ15" i="15"/>
  <c r="AL11" i="15"/>
  <c r="AK11" i="15"/>
  <c r="AJ11" i="15"/>
  <c r="AD243" i="15"/>
  <c r="AC243" i="15"/>
  <c r="AC238" i="15" s="1"/>
  <c r="AD238" i="15"/>
  <c r="AD237" i="15"/>
  <c r="AC237" i="15"/>
  <c r="AC232" i="15" s="1"/>
  <c r="AD232" i="15"/>
  <c r="AD231" i="15"/>
  <c r="AC228" i="15"/>
  <c r="AC231" i="15" s="1"/>
  <c r="AC226" i="15" s="1"/>
  <c r="AD226" i="15"/>
  <c r="AD225" i="15"/>
  <c r="AD221" i="15" s="1"/>
  <c r="AC225" i="15"/>
  <c r="AC221" i="15" s="1"/>
  <c r="AD220" i="15"/>
  <c r="AD213" i="15" s="1"/>
  <c r="AC218" i="15"/>
  <c r="AC217" i="15"/>
  <c r="AD212" i="15"/>
  <c r="AC211" i="15"/>
  <c r="AC210" i="15"/>
  <c r="AC207" i="15"/>
  <c r="AC209" i="15" s="1"/>
  <c r="AD203" i="15"/>
  <c r="AC200" i="15"/>
  <c r="AC203" i="15" s="1"/>
  <c r="AD198" i="15"/>
  <c r="AD196" i="15"/>
  <c r="AC196" i="15"/>
  <c r="AD193" i="15"/>
  <c r="AC193" i="15"/>
  <c r="AD190" i="15"/>
  <c r="AC190" i="15"/>
  <c r="AD181" i="15"/>
  <c r="AC181" i="15"/>
  <c r="AD178" i="15"/>
  <c r="AC178" i="15"/>
  <c r="AD168" i="15"/>
  <c r="AD163" i="15" s="1"/>
  <c r="AC168" i="15"/>
  <c r="AC163" i="15" s="1"/>
  <c r="AD162" i="15"/>
  <c r="AC162" i="15"/>
  <c r="AD159" i="15"/>
  <c r="AC159" i="15"/>
  <c r="AD156" i="15"/>
  <c r="AD151" i="15" s="1"/>
  <c r="AC156" i="15"/>
  <c r="AC151" i="15" s="1"/>
  <c r="AD149" i="15"/>
  <c r="AD140" i="15" s="1"/>
  <c r="AC148" i="15"/>
  <c r="AC149" i="15" s="1"/>
  <c r="AC140" i="15" s="1"/>
  <c r="AD139" i="15"/>
  <c r="AC139" i="15"/>
  <c r="AC134" i="15" s="1"/>
  <c r="AD134" i="15"/>
  <c r="AD133" i="15"/>
  <c r="AD123" i="15" s="1"/>
  <c r="AC133" i="15"/>
  <c r="AC123" i="15" s="1"/>
  <c r="AD122" i="15"/>
  <c r="AD118" i="15" s="1"/>
  <c r="AC122" i="15"/>
  <c r="AC118" i="15" s="1"/>
  <c r="AD117" i="15"/>
  <c r="AD111" i="15" s="1"/>
  <c r="AC117" i="15"/>
  <c r="AC111" i="15" s="1"/>
  <c r="AD110" i="15"/>
  <c r="AD106" i="15" s="1"/>
  <c r="AC110" i="15"/>
  <c r="AC106" i="15" s="1"/>
  <c r="AD100" i="15"/>
  <c r="AC100" i="15"/>
  <c r="AD99" i="15"/>
  <c r="AD93" i="15" s="1"/>
  <c r="AC99" i="15"/>
  <c r="AC93" i="15" s="1"/>
  <c r="AD92" i="15"/>
  <c r="AC92" i="15"/>
  <c r="AD88" i="15"/>
  <c r="AC88" i="15"/>
  <c r="AD85" i="15"/>
  <c r="AD79" i="15" s="1"/>
  <c r="AC85" i="15"/>
  <c r="AC79" i="15" s="1"/>
  <c r="AD77" i="15"/>
  <c r="AC73" i="15"/>
  <c r="AC72" i="15"/>
  <c r="AC66" i="15"/>
  <c r="AC65" i="15"/>
  <c r="AC64" i="15"/>
  <c r="AC77" i="15" s="1"/>
  <c r="AC61" i="15" s="1"/>
  <c r="AD61" i="15"/>
  <c r="AD60" i="15"/>
  <c r="AC60" i="15"/>
  <c r="AD56" i="15"/>
  <c r="AC52" i="15"/>
  <c r="AC56" i="15" s="1"/>
  <c r="AD50" i="15"/>
  <c r="AC50" i="15"/>
  <c r="AD45" i="15"/>
  <c r="AD44" i="15"/>
  <c r="AD40" i="15" s="1"/>
  <c r="AC42" i="15"/>
  <c r="AC44" i="15" s="1"/>
  <c r="AC40" i="15" s="1"/>
  <c r="AD39" i="15"/>
  <c r="AC39" i="15"/>
  <c r="AD37" i="15"/>
  <c r="AC37" i="15"/>
  <c r="AD29" i="15"/>
  <c r="AC29" i="15"/>
  <c r="AD25" i="15"/>
  <c r="AD20" i="15" s="1"/>
  <c r="AC23" i="15"/>
  <c r="AC25" i="15" s="1"/>
  <c r="AD19" i="15"/>
  <c r="AD16" i="15" s="1"/>
  <c r="AC18" i="15"/>
  <c r="AC17" i="15"/>
  <c r="AD15" i="15"/>
  <c r="AC14" i="15"/>
  <c r="AC12" i="15"/>
  <c r="AD11" i="15"/>
  <c r="AC11" i="15"/>
  <c r="Z198" i="15"/>
  <c r="Z197" i="15" s="1"/>
  <c r="AA61" i="15"/>
  <c r="Z61" i="15"/>
  <c r="AA45" i="15"/>
  <c r="Z45" i="15"/>
  <c r="AA40" i="15"/>
  <c r="Z40" i="15"/>
  <c r="AA20" i="15"/>
  <c r="Z20" i="15"/>
  <c r="AA16" i="15"/>
  <c r="Z16" i="15"/>
  <c r="K207" i="15"/>
  <c r="K66" i="15"/>
  <c r="K52" i="15"/>
  <c r="BA243" i="14"/>
  <c r="BA238" i="14" s="1"/>
  <c r="AZ243" i="14"/>
  <c r="AY243" i="14"/>
  <c r="AX243" i="14"/>
  <c r="AX238" i="14" s="1"/>
  <c r="AW243" i="14"/>
  <c r="AW238" i="14" s="1"/>
  <c r="AV243" i="14"/>
  <c r="AZ238" i="14"/>
  <c r="AY238" i="14"/>
  <c r="AV238" i="14"/>
  <c r="BA237" i="14"/>
  <c r="BA232" i="14" s="1"/>
  <c r="AZ237" i="14"/>
  <c r="AY237" i="14"/>
  <c r="AX237" i="14"/>
  <c r="AX232" i="14" s="1"/>
  <c r="AW237" i="14"/>
  <c r="AW232" i="14" s="1"/>
  <c r="AV237" i="14"/>
  <c r="AV232" i="14" s="1"/>
  <c r="AZ232" i="14"/>
  <c r="AY232" i="14"/>
  <c r="BA231" i="14"/>
  <c r="BA226" i="14" s="1"/>
  <c r="AZ231" i="14"/>
  <c r="AZ226" i="14" s="1"/>
  <c r="AY231" i="14"/>
  <c r="AX231" i="14"/>
  <c r="AW231" i="14"/>
  <c r="AW226" i="14" s="1"/>
  <c r="AV231" i="14"/>
  <c r="AV226" i="14" s="1"/>
  <c r="AY226" i="14"/>
  <c r="AX226" i="14"/>
  <c r="BA225" i="14"/>
  <c r="BA221" i="14" s="1"/>
  <c r="AZ225" i="14"/>
  <c r="AZ221" i="14" s="1"/>
  <c r="AY225" i="14"/>
  <c r="AX225" i="14"/>
  <c r="AW225" i="14"/>
  <c r="AW221" i="14" s="1"/>
  <c r="AV225" i="14"/>
  <c r="AV221" i="14" s="1"/>
  <c r="AY221" i="14"/>
  <c r="AX221" i="14"/>
  <c r="BA220" i="14"/>
  <c r="BA213" i="14" s="1"/>
  <c r="AZ220" i="14"/>
  <c r="AZ213" i="14" s="1"/>
  <c r="AY220" i="14"/>
  <c r="AX220" i="14"/>
  <c r="AX213" i="14" s="1"/>
  <c r="AW220" i="14"/>
  <c r="AW213" i="14" s="1"/>
  <c r="AV220" i="14"/>
  <c r="AV213" i="14" s="1"/>
  <c r="AU216" i="14"/>
  <c r="AY213" i="14"/>
  <c r="BA212" i="14"/>
  <c r="AZ212" i="14"/>
  <c r="AY212" i="14"/>
  <c r="AX212" i="14"/>
  <c r="AW212" i="14"/>
  <c r="AV212" i="14"/>
  <c r="BA203" i="14"/>
  <c r="BA198" i="14" s="1"/>
  <c r="AZ203" i="14"/>
  <c r="AZ198" i="14" s="1"/>
  <c r="AY203" i="14"/>
  <c r="AX203" i="14"/>
  <c r="AW203" i="14"/>
  <c r="AW198" i="14" s="1"/>
  <c r="AV203" i="14"/>
  <c r="AV198" i="14" s="1"/>
  <c r="AY198" i="14"/>
  <c r="AY197" i="14" s="1"/>
  <c r="AX198" i="14"/>
  <c r="BA196" i="14"/>
  <c r="AZ196" i="14"/>
  <c r="AZ182" i="14" s="1"/>
  <c r="AY196" i="14"/>
  <c r="AX196" i="14"/>
  <c r="AW196" i="14"/>
  <c r="AV196" i="14"/>
  <c r="AV182" i="14" s="1"/>
  <c r="AU196" i="14"/>
  <c r="BA193" i="14"/>
  <c r="AZ193" i="14"/>
  <c r="AY193" i="14"/>
  <c r="AY182" i="14" s="1"/>
  <c r="AX193" i="14"/>
  <c r="AW193" i="14"/>
  <c r="AV193" i="14"/>
  <c r="AU193" i="14"/>
  <c r="BA190" i="14"/>
  <c r="AZ190" i="14"/>
  <c r="AY190" i="14"/>
  <c r="AX190" i="14"/>
  <c r="AX182" i="14" s="1"/>
  <c r="AW190" i="14"/>
  <c r="AV190" i="14"/>
  <c r="AU190" i="14"/>
  <c r="BA182" i="14"/>
  <c r="AW182" i="14"/>
  <c r="BA181" i="14"/>
  <c r="AZ181" i="14"/>
  <c r="AY181" i="14"/>
  <c r="AY163" i="14" s="1"/>
  <c r="AX181" i="14"/>
  <c r="AW181" i="14"/>
  <c r="AV181" i="14"/>
  <c r="AU181" i="14"/>
  <c r="AU163" i="14" s="1"/>
  <c r="BA178" i="14"/>
  <c r="AZ178" i="14"/>
  <c r="AY178" i="14"/>
  <c r="AX178" i="14"/>
  <c r="AX163" i="14" s="1"/>
  <c r="AW178" i="14"/>
  <c r="AV178" i="14"/>
  <c r="AU178" i="14"/>
  <c r="BA168" i="14"/>
  <c r="BA163" i="14" s="1"/>
  <c r="AZ168" i="14"/>
  <c r="AY168" i="14"/>
  <c r="AX168" i="14"/>
  <c r="AW168" i="14"/>
  <c r="AW163" i="14" s="1"/>
  <c r="AV168" i="14"/>
  <c r="AU168" i="14"/>
  <c r="AZ163" i="14"/>
  <c r="AV163" i="14"/>
  <c r="BA162" i="14"/>
  <c r="AZ162" i="14"/>
  <c r="AY162" i="14"/>
  <c r="AY151" i="14" s="1"/>
  <c r="AY150" i="14" s="1"/>
  <c r="AX162" i="14"/>
  <c r="AW162" i="14"/>
  <c r="AV162" i="14"/>
  <c r="AU162" i="14"/>
  <c r="AU151" i="14" s="1"/>
  <c r="BA159" i="14"/>
  <c r="AZ159" i="14"/>
  <c r="AY159" i="14"/>
  <c r="AX159" i="14"/>
  <c r="AX151" i="14" s="1"/>
  <c r="AX150" i="14" s="1"/>
  <c r="AW159" i="14"/>
  <c r="AV159" i="14"/>
  <c r="AU159" i="14"/>
  <c r="BA156" i="14"/>
  <c r="BA151" i="14" s="1"/>
  <c r="BA150" i="14" s="1"/>
  <c r="AZ156" i="14"/>
  <c r="AY156" i="14"/>
  <c r="AX156" i="14"/>
  <c r="AW156" i="14"/>
  <c r="AW151" i="14" s="1"/>
  <c r="AV156" i="14"/>
  <c r="AU156" i="14"/>
  <c r="AZ151" i="14"/>
  <c r="AV151" i="14"/>
  <c r="AV150" i="14" s="1"/>
  <c r="BA149" i="14"/>
  <c r="AZ149" i="14"/>
  <c r="AZ140" i="14" s="1"/>
  <c r="AY149" i="14"/>
  <c r="AX149" i="14"/>
  <c r="AW149" i="14"/>
  <c r="AV149" i="14"/>
  <c r="AV140" i="14" s="1"/>
  <c r="AU149" i="14"/>
  <c r="BA140" i="14"/>
  <c r="AY140" i="14"/>
  <c r="AX140" i="14"/>
  <c r="AW140" i="14"/>
  <c r="AU140" i="14"/>
  <c r="BA139" i="14"/>
  <c r="AZ139" i="14"/>
  <c r="AY139" i="14"/>
  <c r="AX139" i="14"/>
  <c r="AX134" i="14" s="1"/>
  <c r="AW139" i="14"/>
  <c r="AV139" i="14"/>
  <c r="AU139" i="14"/>
  <c r="BA134" i="14"/>
  <c r="AZ134" i="14"/>
  <c r="AY134" i="14"/>
  <c r="AW134" i="14"/>
  <c r="AV134" i="14"/>
  <c r="AU134" i="14"/>
  <c r="BA133" i="14"/>
  <c r="AZ133" i="14"/>
  <c r="AZ123" i="14" s="1"/>
  <c r="AY133" i="14"/>
  <c r="AX133" i="14"/>
  <c r="AW133" i="14"/>
  <c r="AW123" i="14" s="1"/>
  <c r="AV133" i="14"/>
  <c r="AV123" i="14" s="1"/>
  <c r="AU133" i="14"/>
  <c r="AU123" i="14" s="1"/>
  <c r="BA123" i="14"/>
  <c r="AY123" i="14"/>
  <c r="AX123" i="14"/>
  <c r="BA122" i="14"/>
  <c r="BA118" i="14" s="1"/>
  <c r="AZ122" i="14"/>
  <c r="AY122" i="14"/>
  <c r="AX122" i="14"/>
  <c r="AX118" i="14" s="1"/>
  <c r="AW122" i="14"/>
  <c r="AW118" i="14" s="1"/>
  <c r="AV122" i="14"/>
  <c r="AU122" i="14"/>
  <c r="AZ118" i="14"/>
  <c r="AY118" i="14"/>
  <c r="AV118" i="14"/>
  <c r="AU118" i="14"/>
  <c r="BA117" i="14"/>
  <c r="AZ117" i="14"/>
  <c r="AZ111" i="14" s="1"/>
  <c r="AY117" i="14"/>
  <c r="AY111" i="14" s="1"/>
  <c r="AX117" i="14"/>
  <c r="AW117" i="14"/>
  <c r="AV117" i="14"/>
  <c r="AV111" i="14" s="1"/>
  <c r="AU117" i="14"/>
  <c r="AU111" i="14" s="1"/>
  <c r="BA111" i="14"/>
  <c r="AX111" i="14"/>
  <c r="AW111" i="14"/>
  <c r="BA110" i="14"/>
  <c r="BA106" i="14" s="1"/>
  <c r="AZ110" i="14"/>
  <c r="AY110" i="14"/>
  <c r="AY106" i="14" s="1"/>
  <c r="AX110" i="14"/>
  <c r="AW110" i="14"/>
  <c r="AW106" i="14" s="1"/>
  <c r="AV110" i="14"/>
  <c r="AV106" i="14" s="1"/>
  <c r="AU110" i="14"/>
  <c r="AU106" i="14" s="1"/>
  <c r="AZ106" i="14"/>
  <c r="AX106" i="14"/>
  <c r="BA100" i="14"/>
  <c r="AZ100" i="14"/>
  <c r="AY100" i="14"/>
  <c r="AX100" i="14"/>
  <c r="AW100" i="14"/>
  <c r="AV100" i="14"/>
  <c r="AU100" i="14"/>
  <c r="BA93" i="14"/>
  <c r="AZ93" i="14"/>
  <c r="AY93" i="14"/>
  <c r="AX93" i="14"/>
  <c r="AW93" i="14"/>
  <c r="AV93" i="14"/>
  <c r="AU93" i="14"/>
  <c r="BA92" i="14"/>
  <c r="AZ92" i="14"/>
  <c r="AY92" i="14"/>
  <c r="AY79" i="14" s="1"/>
  <c r="AX92" i="14"/>
  <c r="AW92" i="14"/>
  <c r="AV92" i="14"/>
  <c r="AU92" i="14"/>
  <c r="AU79" i="14" s="1"/>
  <c r="BA88" i="14"/>
  <c r="AZ88" i="14"/>
  <c r="AY88" i="14"/>
  <c r="AX88" i="14"/>
  <c r="AX79" i="14" s="1"/>
  <c r="AX78" i="14" s="1"/>
  <c r="AW88" i="14"/>
  <c r="AV88" i="14"/>
  <c r="AU88" i="14"/>
  <c r="BA85" i="14"/>
  <c r="BA79" i="14" s="1"/>
  <c r="BA78" i="14" s="1"/>
  <c r="AZ85" i="14"/>
  <c r="AY85" i="14"/>
  <c r="AX85" i="14"/>
  <c r="AW85" i="14"/>
  <c r="AW79" i="14" s="1"/>
  <c r="AV85" i="14"/>
  <c r="AU85" i="14"/>
  <c r="AZ79" i="14"/>
  <c r="AZ78" i="14" s="1"/>
  <c r="AV79" i="14"/>
  <c r="AV78" i="14" s="1"/>
  <c r="BA77" i="14"/>
  <c r="AZ77" i="14"/>
  <c r="AZ61" i="14" s="1"/>
  <c r="AX77" i="14"/>
  <c r="AX61" i="14" s="1"/>
  <c r="AW77" i="14"/>
  <c r="AV77" i="14"/>
  <c r="AY72" i="14"/>
  <c r="BA61" i="14"/>
  <c r="AW61" i="14"/>
  <c r="AV61" i="14"/>
  <c r="BA60" i="14"/>
  <c r="AZ60" i="14"/>
  <c r="AY60" i="14"/>
  <c r="AX60" i="14"/>
  <c r="AW60" i="14"/>
  <c r="AV60" i="14"/>
  <c r="AU60" i="14"/>
  <c r="BA56" i="14"/>
  <c r="AZ56" i="14"/>
  <c r="AZ45" i="14" s="1"/>
  <c r="AX56" i="14"/>
  <c r="AW56" i="14"/>
  <c r="AV56" i="14"/>
  <c r="BA50" i="14"/>
  <c r="BA45" i="14" s="1"/>
  <c r="AZ50" i="14"/>
  <c r="AY50" i="14"/>
  <c r="AX50" i="14"/>
  <c r="AX45" i="14" s="1"/>
  <c r="AW50" i="14"/>
  <c r="AW45" i="14" s="1"/>
  <c r="AV50" i="14"/>
  <c r="AV45" i="14"/>
  <c r="BA44" i="14"/>
  <c r="BA40" i="14" s="1"/>
  <c r="AY44" i="14"/>
  <c r="AX44" i="14"/>
  <c r="AW44" i="14"/>
  <c r="AV44" i="14"/>
  <c r="AV40" i="14" s="1"/>
  <c r="AY40" i="14"/>
  <c r="AX40" i="14"/>
  <c r="AW40" i="14"/>
  <c r="BA39" i="14"/>
  <c r="AZ39" i="14"/>
  <c r="AY39" i="14"/>
  <c r="AX39" i="14"/>
  <c r="AW39" i="14"/>
  <c r="AV39" i="14"/>
  <c r="BA37" i="14"/>
  <c r="AZ37" i="14"/>
  <c r="AY37" i="14"/>
  <c r="AX37" i="14"/>
  <c r="AW37" i="14"/>
  <c r="AV37" i="14"/>
  <c r="BA29" i="14"/>
  <c r="AZ29" i="14"/>
  <c r="AY29" i="14"/>
  <c r="AX29" i="14"/>
  <c r="AW29" i="14"/>
  <c r="AV29" i="14"/>
  <c r="BA25" i="14"/>
  <c r="BA20" i="14" s="1"/>
  <c r="AZ25" i="14"/>
  <c r="AY25" i="14"/>
  <c r="AX25" i="14"/>
  <c r="AW25" i="14"/>
  <c r="AW20" i="14" s="1"/>
  <c r="AV25" i="14"/>
  <c r="AZ20" i="14"/>
  <c r="AY20" i="14"/>
  <c r="AX20" i="14"/>
  <c r="AV20" i="14"/>
  <c r="BA19" i="14"/>
  <c r="BA16" i="14" s="1"/>
  <c r="AZ19" i="14"/>
  <c r="AY19" i="14"/>
  <c r="AX19" i="14"/>
  <c r="AW19" i="14"/>
  <c r="AW16" i="14" s="1"/>
  <c r="AV19" i="14"/>
  <c r="AU19" i="14"/>
  <c r="AZ16" i="14"/>
  <c r="AY16" i="14"/>
  <c r="AX16" i="14"/>
  <c r="AV16" i="14"/>
  <c r="AU16" i="14"/>
  <c r="BA15" i="14"/>
  <c r="AZ15" i="14"/>
  <c r="AY15" i="14"/>
  <c r="AX15" i="14"/>
  <c r="AW15" i="14"/>
  <c r="AV15" i="14"/>
  <c r="AL243" i="14"/>
  <c r="AL238" i="14" s="1"/>
  <c r="AK243" i="14"/>
  <c r="AJ243" i="14"/>
  <c r="AJ238" i="14" s="1"/>
  <c r="AK238" i="14"/>
  <c r="AL237" i="14"/>
  <c r="AL232" i="14" s="1"/>
  <c r="AK237" i="14"/>
  <c r="AJ237" i="14"/>
  <c r="AJ232" i="14" s="1"/>
  <c r="AK232" i="14"/>
  <c r="AL231" i="14"/>
  <c r="AL226" i="14" s="1"/>
  <c r="AK231" i="14"/>
  <c r="AJ231" i="14"/>
  <c r="AJ226" i="14" s="1"/>
  <c r="AK226" i="14"/>
  <c r="AL225" i="14"/>
  <c r="AL221" i="14" s="1"/>
  <c r="AK225" i="14"/>
  <c r="AJ225" i="14"/>
  <c r="AJ221" i="14" s="1"/>
  <c r="AK221" i="14"/>
  <c r="AL220" i="14"/>
  <c r="AL213" i="14" s="1"/>
  <c r="AK220" i="14"/>
  <c r="AJ220" i="14"/>
  <c r="AJ213" i="14" s="1"/>
  <c r="AK213" i="14"/>
  <c r="AL212" i="14"/>
  <c r="AK212" i="14"/>
  <c r="AJ212" i="14"/>
  <c r="AL203" i="14"/>
  <c r="AL198" i="14" s="1"/>
  <c r="AL197" i="14" s="1"/>
  <c r="AK203" i="14"/>
  <c r="AJ203" i="14"/>
  <c r="AK198" i="14"/>
  <c r="AJ198" i="14"/>
  <c r="AL196" i="14"/>
  <c r="AK196" i="14"/>
  <c r="AJ196" i="14"/>
  <c r="AL193" i="14"/>
  <c r="AK193" i="14"/>
  <c r="AJ193" i="14"/>
  <c r="AL190" i="14"/>
  <c r="AK190" i="14"/>
  <c r="AK182" i="14" s="1"/>
  <c r="AJ190" i="14"/>
  <c r="AJ182" i="14"/>
  <c r="AL181" i="14"/>
  <c r="AK181" i="14"/>
  <c r="AJ181" i="14"/>
  <c r="AL178" i="14"/>
  <c r="AK178" i="14"/>
  <c r="AJ178" i="14"/>
  <c r="AL168" i="14"/>
  <c r="AK168" i="14"/>
  <c r="AK163" i="14" s="1"/>
  <c r="AJ168" i="14"/>
  <c r="AL162" i="14"/>
  <c r="AK162" i="14"/>
  <c r="AJ162" i="14"/>
  <c r="AL159" i="14"/>
  <c r="AK159" i="14"/>
  <c r="AJ159" i="14"/>
  <c r="AL156" i="14"/>
  <c r="AK156" i="14"/>
  <c r="AJ152" i="14"/>
  <c r="AJ156" i="14" s="1"/>
  <c r="AL149" i="14"/>
  <c r="AL140" i="14" s="1"/>
  <c r="AK149" i="14"/>
  <c r="AK140" i="14" s="1"/>
  <c r="AJ149" i="14"/>
  <c r="AJ140" i="14"/>
  <c r="AL139" i="14"/>
  <c r="AL134" i="14" s="1"/>
  <c r="AK139" i="14"/>
  <c r="AJ139" i="14"/>
  <c r="AJ134" i="14" s="1"/>
  <c r="AK134" i="14"/>
  <c r="AL133" i="14"/>
  <c r="AL123" i="14" s="1"/>
  <c r="AK133" i="14"/>
  <c r="AJ133" i="14"/>
  <c r="AJ123" i="14" s="1"/>
  <c r="AK123" i="14"/>
  <c r="AL122" i="14"/>
  <c r="AL118" i="14" s="1"/>
  <c r="AK122" i="14"/>
  <c r="AK118" i="14" s="1"/>
  <c r="AJ122" i="14"/>
  <c r="AJ118" i="14" s="1"/>
  <c r="AL117" i="14"/>
  <c r="AL111" i="14" s="1"/>
  <c r="AK117" i="14"/>
  <c r="AK111" i="14" s="1"/>
  <c r="AJ117" i="14"/>
  <c r="AJ111" i="14"/>
  <c r="AL110" i="14"/>
  <c r="AL106" i="14" s="1"/>
  <c r="AK110" i="14"/>
  <c r="AJ110" i="14"/>
  <c r="AJ106" i="14" s="1"/>
  <c r="AK106" i="14"/>
  <c r="AL105" i="14"/>
  <c r="AK105" i="14"/>
  <c r="AK100" i="14" s="1"/>
  <c r="AJ105" i="14"/>
  <c r="AJ100" i="14" s="1"/>
  <c r="AL100" i="14"/>
  <c r="AL99" i="14"/>
  <c r="AL93" i="14" s="1"/>
  <c r="AK99" i="14"/>
  <c r="AK93" i="14" s="1"/>
  <c r="AJ99" i="14"/>
  <c r="AJ93" i="14"/>
  <c r="AL92" i="14"/>
  <c r="AK92" i="14"/>
  <c r="AJ92" i="14"/>
  <c r="AL88" i="14"/>
  <c r="AK88" i="14"/>
  <c r="AJ88" i="14"/>
  <c r="AL85" i="14"/>
  <c r="AL79" i="14" s="1"/>
  <c r="AK85" i="14"/>
  <c r="AK79" i="14" s="1"/>
  <c r="AK78" i="14" s="1"/>
  <c r="AJ85" i="14"/>
  <c r="AJ79" i="14"/>
  <c r="AL77" i="14"/>
  <c r="AK77" i="14"/>
  <c r="AK61" i="14" s="1"/>
  <c r="AJ77" i="14"/>
  <c r="AJ61" i="14" s="1"/>
  <c r="AL61" i="14"/>
  <c r="AL60" i="14"/>
  <c r="AK60" i="14"/>
  <c r="AK45" i="14" s="1"/>
  <c r="AJ60" i="14"/>
  <c r="AL56" i="14"/>
  <c r="AK56" i="14"/>
  <c r="AJ56" i="14"/>
  <c r="AL50" i="14"/>
  <c r="AK50" i="14"/>
  <c r="AJ50" i="14"/>
  <c r="AJ45" i="14" s="1"/>
  <c r="AL45" i="14"/>
  <c r="AL44" i="14"/>
  <c r="AL40" i="14" s="1"/>
  <c r="AK44" i="14"/>
  <c r="AK40" i="14" s="1"/>
  <c r="AJ44" i="14"/>
  <c r="AJ40" i="14" s="1"/>
  <c r="AL39" i="14"/>
  <c r="AK39" i="14"/>
  <c r="AJ39" i="14"/>
  <c r="AL37" i="14"/>
  <c r="AK37" i="14"/>
  <c r="AK20" i="14" s="1"/>
  <c r="AJ37" i="14"/>
  <c r="AL29" i="14"/>
  <c r="AK29" i="14"/>
  <c r="AJ29" i="14"/>
  <c r="AL25" i="14"/>
  <c r="AK25" i="14"/>
  <c r="AJ25" i="14"/>
  <c r="AL20" i="14"/>
  <c r="AL19" i="14"/>
  <c r="AL16" i="14" s="1"/>
  <c r="AK19" i="14"/>
  <c r="AJ19" i="14"/>
  <c r="AJ16" i="14" s="1"/>
  <c r="AK16" i="14"/>
  <c r="AL15" i="14"/>
  <c r="AK15" i="14"/>
  <c r="AJ15" i="14"/>
  <c r="AL11" i="14"/>
  <c r="AK11" i="14"/>
  <c r="AJ11" i="14"/>
  <c r="AD243" i="14"/>
  <c r="AD238" i="14" s="1"/>
  <c r="AC243" i="14"/>
  <c r="AC238" i="14"/>
  <c r="AD237" i="14"/>
  <c r="AD232" i="14" s="1"/>
  <c r="AC234" i="14"/>
  <c r="AC237" i="14" s="1"/>
  <c r="AC232" i="14" s="1"/>
  <c r="AD231" i="14"/>
  <c r="AD226" i="14" s="1"/>
  <c r="AC228" i="14"/>
  <c r="AC231" i="14" s="1"/>
  <c r="AC226" i="14" s="1"/>
  <c r="AD225" i="14"/>
  <c r="AC225" i="14"/>
  <c r="AD221" i="14"/>
  <c r="AC221" i="14"/>
  <c r="AD220" i="14"/>
  <c r="AD213" i="14" s="1"/>
  <c r="AC218" i="14"/>
  <c r="AC217" i="14"/>
  <c r="AC220" i="14" s="1"/>
  <c r="AC213" i="14" s="1"/>
  <c r="AD212" i="14"/>
  <c r="AC211" i="14"/>
  <c r="AC210" i="14"/>
  <c r="AC212" i="14" s="1"/>
  <c r="AC207" i="14"/>
  <c r="AC209" i="14" s="1"/>
  <c r="AD203" i="14"/>
  <c r="AD198" i="14" s="1"/>
  <c r="AC200" i="14"/>
  <c r="AC203" i="14" s="1"/>
  <c r="AD196" i="14"/>
  <c r="AC196" i="14"/>
  <c r="AD193" i="14"/>
  <c r="AC193" i="14"/>
  <c r="AD190" i="14"/>
  <c r="AD182" i="14" s="1"/>
  <c r="AC190" i="14"/>
  <c r="AC182" i="14" s="1"/>
  <c r="AD181" i="14"/>
  <c r="AC181" i="14"/>
  <c r="AD178" i="14"/>
  <c r="AC178" i="14"/>
  <c r="AD168" i="14"/>
  <c r="AC168" i="14"/>
  <c r="AC163" i="14" s="1"/>
  <c r="AD162" i="14"/>
  <c r="AC162" i="14"/>
  <c r="AD159" i="14"/>
  <c r="AC159" i="14"/>
  <c r="AD156" i="14"/>
  <c r="AD151" i="14" s="1"/>
  <c r="AC156" i="14"/>
  <c r="AD149" i="14"/>
  <c r="AC149" i="14"/>
  <c r="AC140" i="14" s="1"/>
  <c r="AD140" i="14"/>
  <c r="AD139" i="14"/>
  <c r="AC139" i="14"/>
  <c r="AC134" i="14" s="1"/>
  <c r="AD134" i="14"/>
  <c r="AD133" i="14"/>
  <c r="AD123" i="14" s="1"/>
  <c r="AC133" i="14"/>
  <c r="AC123" i="14" s="1"/>
  <c r="AD122" i="14"/>
  <c r="AC122" i="14"/>
  <c r="AC118" i="14" s="1"/>
  <c r="AD118" i="14"/>
  <c r="AD117" i="14"/>
  <c r="AC117" i="14"/>
  <c r="AC111" i="14" s="1"/>
  <c r="AD111" i="14"/>
  <c r="AD110" i="14"/>
  <c r="AD106" i="14" s="1"/>
  <c r="AC110" i="14"/>
  <c r="AC106" i="14"/>
  <c r="AD105" i="14"/>
  <c r="AD100" i="14" s="1"/>
  <c r="AC105" i="14"/>
  <c r="AC100" i="14" s="1"/>
  <c r="AD99" i="14"/>
  <c r="AD93" i="14" s="1"/>
  <c r="AC99" i="14"/>
  <c r="AC93" i="14" s="1"/>
  <c r="AD92" i="14"/>
  <c r="AC92" i="14"/>
  <c r="AD88" i="14"/>
  <c r="AC88" i="14"/>
  <c r="AD85" i="14"/>
  <c r="AD79" i="14" s="1"/>
  <c r="AC85" i="14"/>
  <c r="AC79" i="14" s="1"/>
  <c r="AD77" i="14"/>
  <c r="AC73" i="14"/>
  <c r="AC72" i="14"/>
  <c r="AC71" i="14"/>
  <c r="AC68" i="14"/>
  <c r="AC66" i="14"/>
  <c r="AC65" i="14"/>
  <c r="AC64" i="14"/>
  <c r="AD61" i="14"/>
  <c r="AD60" i="14"/>
  <c r="AC60" i="14"/>
  <c r="AD56" i="14"/>
  <c r="AC52" i="14"/>
  <c r="AC51" i="14"/>
  <c r="AD50" i="14"/>
  <c r="AC50" i="14"/>
  <c r="AD44" i="14"/>
  <c r="AD40" i="14" s="1"/>
  <c r="AC42" i="14"/>
  <c r="AC44" i="14" s="1"/>
  <c r="AC40" i="14" s="1"/>
  <c r="AD39" i="14"/>
  <c r="AC39" i="14"/>
  <c r="AD37" i="14"/>
  <c r="AC37" i="14"/>
  <c r="AD29" i="14"/>
  <c r="AC29" i="14"/>
  <c r="AD25" i="14"/>
  <c r="AD20" i="14" s="1"/>
  <c r="AC25" i="14"/>
  <c r="AC23" i="14"/>
  <c r="AD19" i="14"/>
  <c r="AD16" i="14" s="1"/>
  <c r="AC17" i="14"/>
  <c r="AC19" i="14" s="1"/>
  <c r="AC16" i="14" s="1"/>
  <c r="AD15" i="14"/>
  <c r="AC14" i="14"/>
  <c r="AC12" i="14"/>
  <c r="AD11" i="14"/>
  <c r="AC10" i="14"/>
  <c r="AC8" i="14"/>
  <c r="AC11" i="14" s="1"/>
  <c r="Z198" i="14"/>
  <c r="Z197" i="14" s="1"/>
  <c r="AA61" i="14"/>
  <c r="Z61" i="14"/>
  <c r="AA45" i="14"/>
  <c r="Z45" i="14"/>
  <c r="AA40" i="14"/>
  <c r="Z40" i="14"/>
  <c r="AA20" i="14"/>
  <c r="Z20" i="14"/>
  <c r="AA16" i="14"/>
  <c r="Z16" i="14"/>
  <c r="K207" i="14"/>
  <c r="K66" i="14"/>
  <c r="K52" i="14"/>
  <c r="BA243" i="13"/>
  <c r="AZ243" i="13"/>
  <c r="AY243" i="13"/>
  <c r="AY238" i="13" s="1"/>
  <c r="AX243" i="13"/>
  <c r="AX238" i="13" s="1"/>
  <c r="AW243" i="13"/>
  <c r="AV243" i="13"/>
  <c r="BA238" i="13"/>
  <c r="AZ238" i="13"/>
  <c r="AW238" i="13"/>
  <c r="AV238" i="13"/>
  <c r="BA237" i="13"/>
  <c r="BA232" i="13" s="1"/>
  <c r="AZ237" i="13"/>
  <c r="AY237" i="13"/>
  <c r="AY232" i="13" s="1"/>
  <c r="AX237" i="13"/>
  <c r="AX232" i="13" s="1"/>
  <c r="AX197" i="13" s="1"/>
  <c r="AW237" i="13"/>
  <c r="AW232" i="13" s="1"/>
  <c r="AV237" i="13"/>
  <c r="AZ232" i="13"/>
  <c r="AV232" i="13"/>
  <c r="BA231" i="13"/>
  <c r="BA226" i="13" s="1"/>
  <c r="AZ231" i="13"/>
  <c r="AZ226" i="13" s="1"/>
  <c r="AY231" i="13"/>
  <c r="AX231" i="13"/>
  <c r="AW231" i="13"/>
  <c r="AW226" i="13" s="1"/>
  <c r="AV231" i="13"/>
  <c r="AV226" i="13" s="1"/>
  <c r="AY226" i="13"/>
  <c r="AX226" i="13"/>
  <c r="BA225" i="13"/>
  <c r="BA221" i="13" s="1"/>
  <c r="AZ225" i="13"/>
  <c r="AZ221" i="13" s="1"/>
  <c r="AY225" i="13"/>
  <c r="AX225" i="13"/>
  <c r="AW225" i="13"/>
  <c r="AW221" i="13" s="1"/>
  <c r="AV225" i="13"/>
  <c r="AV221" i="13" s="1"/>
  <c r="AY221" i="13"/>
  <c r="AX221" i="13"/>
  <c r="BA220" i="13"/>
  <c r="BA213" i="13" s="1"/>
  <c r="AZ220" i="13"/>
  <c r="AZ213" i="13" s="1"/>
  <c r="AZ197" i="13" s="1"/>
  <c r="AY220" i="13"/>
  <c r="AX220" i="13"/>
  <c r="AW220" i="13"/>
  <c r="AW213" i="13" s="1"/>
  <c r="AV220" i="13"/>
  <c r="AV213" i="13" s="1"/>
  <c r="AV197" i="13" s="1"/>
  <c r="AY213" i="13"/>
  <c r="AX213" i="13"/>
  <c r="BA212" i="13"/>
  <c r="AZ212" i="13"/>
  <c r="AY212" i="13"/>
  <c r="AX212" i="13"/>
  <c r="AW212" i="13"/>
  <c r="AV212" i="13"/>
  <c r="BA203" i="13"/>
  <c r="AZ203" i="13"/>
  <c r="AY203" i="13"/>
  <c r="AY198" i="13" s="1"/>
  <c r="AX203" i="13"/>
  <c r="AW203" i="13"/>
  <c r="AV203" i="13"/>
  <c r="BA198" i="13"/>
  <c r="BA197" i="13" s="1"/>
  <c r="AZ198" i="13"/>
  <c r="AX198" i="13"/>
  <c r="AW198" i="13"/>
  <c r="AW197" i="13" s="1"/>
  <c r="AV198" i="13"/>
  <c r="BA196" i="13"/>
  <c r="AZ196" i="13"/>
  <c r="AY196" i="13"/>
  <c r="AX196" i="13"/>
  <c r="AW196" i="13"/>
  <c r="AV196" i="13"/>
  <c r="AU196" i="13"/>
  <c r="BA193" i="13"/>
  <c r="AZ193" i="13"/>
  <c r="AY193" i="13"/>
  <c r="AX193" i="13"/>
  <c r="AW193" i="13"/>
  <c r="AV193" i="13"/>
  <c r="AU193" i="13"/>
  <c r="BA190" i="13"/>
  <c r="AZ190" i="13"/>
  <c r="AY190" i="13"/>
  <c r="AX190" i="13"/>
  <c r="AX182" i="13" s="1"/>
  <c r="AW190" i="13"/>
  <c r="AV190" i="13"/>
  <c r="AV182" i="13" s="1"/>
  <c r="AU190" i="13"/>
  <c r="BA182" i="13"/>
  <c r="AZ182" i="13"/>
  <c r="AY182" i="13"/>
  <c r="AW182" i="13"/>
  <c r="BA181" i="13"/>
  <c r="AZ181" i="13"/>
  <c r="AY181" i="13"/>
  <c r="AX181" i="13"/>
  <c r="AW181" i="13"/>
  <c r="AV181" i="13"/>
  <c r="AU181" i="13"/>
  <c r="BA178" i="13"/>
  <c r="AZ178" i="13"/>
  <c r="AY178" i="13"/>
  <c r="AX178" i="13"/>
  <c r="AW178" i="13"/>
  <c r="AV178" i="13"/>
  <c r="AU178" i="13"/>
  <c r="BA168" i="13"/>
  <c r="AZ168" i="13"/>
  <c r="AY168" i="13"/>
  <c r="AX168" i="13"/>
  <c r="AX163" i="13" s="1"/>
  <c r="AW168" i="13"/>
  <c r="AV168" i="13"/>
  <c r="AU168" i="13"/>
  <c r="BA163" i="13"/>
  <c r="AZ163" i="13"/>
  <c r="AY163" i="13"/>
  <c r="AW163" i="13"/>
  <c r="AV163" i="13"/>
  <c r="AU163" i="13"/>
  <c r="BA162" i="13"/>
  <c r="AZ162" i="13"/>
  <c r="AY162" i="13"/>
  <c r="AX162" i="13"/>
  <c r="AW162" i="13"/>
  <c r="AV162" i="13"/>
  <c r="AU162" i="13"/>
  <c r="BA159" i="13"/>
  <c r="AZ159" i="13"/>
  <c r="AY159" i="13"/>
  <c r="AX159" i="13"/>
  <c r="AW159" i="13"/>
  <c r="AV159" i="13"/>
  <c r="AU159" i="13"/>
  <c r="BA156" i="13"/>
  <c r="AZ156" i="13"/>
  <c r="AZ151" i="13" s="1"/>
  <c r="AZ150" i="13" s="1"/>
  <c r="AY156" i="13"/>
  <c r="AX156" i="13"/>
  <c r="AW156" i="13"/>
  <c r="AV156" i="13"/>
  <c r="AV151" i="13" s="1"/>
  <c r="AU156" i="13"/>
  <c r="BA151" i="13"/>
  <c r="AY151" i="13"/>
  <c r="AX151" i="13"/>
  <c r="AW151" i="13"/>
  <c r="AU151" i="13"/>
  <c r="BA150" i="13"/>
  <c r="AY150" i="13"/>
  <c r="BA149" i="13"/>
  <c r="AZ149" i="13"/>
  <c r="AY149" i="13"/>
  <c r="AX149" i="13"/>
  <c r="AX140" i="13" s="1"/>
  <c r="AX78" i="13" s="1"/>
  <c r="AW149" i="13"/>
  <c r="AV149" i="13"/>
  <c r="AU149" i="13"/>
  <c r="BA140" i="13"/>
  <c r="AZ140" i="13"/>
  <c r="AY140" i="13"/>
  <c r="AW140" i="13"/>
  <c r="AV140" i="13"/>
  <c r="AU140" i="13"/>
  <c r="BA139" i="13"/>
  <c r="AZ139" i="13"/>
  <c r="AY139" i="13"/>
  <c r="AX139" i="13"/>
  <c r="AW139" i="13"/>
  <c r="AV139" i="13"/>
  <c r="AU139" i="13"/>
  <c r="BA134" i="13"/>
  <c r="AZ134" i="13"/>
  <c r="AY134" i="13"/>
  <c r="AX134" i="13"/>
  <c r="AW134" i="13"/>
  <c r="AV134" i="13"/>
  <c r="AU134" i="13"/>
  <c r="BA133" i="13"/>
  <c r="AZ133" i="13"/>
  <c r="AY133" i="13"/>
  <c r="AX133" i="13"/>
  <c r="AW133" i="13"/>
  <c r="AV133" i="13"/>
  <c r="AU133" i="13"/>
  <c r="BA123" i="13"/>
  <c r="AZ123" i="13"/>
  <c r="AY123" i="13"/>
  <c r="AX123" i="13"/>
  <c r="AW123" i="13"/>
  <c r="AV123" i="13"/>
  <c r="AU123" i="13"/>
  <c r="BA122" i="13"/>
  <c r="AZ122" i="13"/>
  <c r="AY122" i="13"/>
  <c r="AX122" i="13"/>
  <c r="AW122" i="13"/>
  <c r="AV122" i="13"/>
  <c r="AU122" i="13"/>
  <c r="BA118" i="13"/>
  <c r="AZ118" i="13"/>
  <c r="AY118" i="13"/>
  <c r="AX118" i="13"/>
  <c r="AW118" i="13"/>
  <c r="AV118" i="13"/>
  <c r="AU118" i="13"/>
  <c r="BA117" i="13"/>
  <c r="AZ117" i="13"/>
  <c r="AY117" i="13"/>
  <c r="AX117" i="13"/>
  <c r="AW117" i="13"/>
  <c r="AV117" i="13"/>
  <c r="AU117" i="13"/>
  <c r="BA111" i="13"/>
  <c r="AZ111" i="13"/>
  <c r="AY111" i="13"/>
  <c r="AX111" i="13"/>
  <c r="AW111" i="13"/>
  <c r="AV111" i="13"/>
  <c r="AU111" i="13"/>
  <c r="BA110" i="13"/>
  <c r="AZ110" i="13"/>
  <c r="AY110" i="13"/>
  <c r="AX110" i="13"/>
  <c r="AW110" i="13"/>
  <c r="AV110" i="13"/>
  <c r="AU110" i="13"/>
  <c r="AU106" i="13" s="1"/>
  <c r="AU78" i="13" s="1"/>
  <c r="BA106" i="13"/>
  <c r="AZ106" i="13"/>
  <c r="AY106" i="13"/>
  <c r="AX106" i="13"/>
  <c r="AW106" i="13"/>
  <c r="AV106" i="13"/>
  <c r="BA105" i="13"/>
  <c r="AZ105" i="13"/>
  <c r="AY105" i="13"/>
  <c r="AX105" i="13"/>
  <c r="AW105" i="13"/>
  <c r="AV105" i="13"/>
  <c r="AU105" i="13"/>
  <c r="BA100" i="13"/>
  <c r="AZ100" i="13"/>
  <c r="AY100" i="13"/>
  <c r="AX100" i="13"/>
  <c r="AW100" i="13"/>
  <c r="AV100" i="13"/>
  <c r="AU100" i="13"/>
  <c r="BA93" i="13"/>
  <c r="AZ93" i="13"/>
  <c r="AY93" i="13"/>
  <c r="AX93" i="13"/>
  <c r="AW93" i="13"/>
  <c r="AV93" i="13"/>
  <c r="AU93" i="13"/>
  <c r="BA92" i="13"/>
  <c r="AZ92" i="13"/>
  <c r="AY92" i="13"/>
  <c r="AX92" i="13"/>
  <c r="AW92" i="13"/>
  <c r="AV92" i="13"/>
  <c r="AU92" i="13"/>
  <c r="BA88" i="13"/>
  <c r="AZ88" i="13"/>
  <c r="AY88" i="13"/>
  <c r="AX88" i="13"/>
  <c r="AW88" i="13"/>
  <c r="AV88" i="13"/>
  <c r="AU88" i="13"/>
  <c r="BA85" i="13"/>
  <c r="AZ85" i="13"/>
  <c r="AY85" i="13"/>
  <c r="AX85" i="13"/>
  <c r="AW85" i="13"/>
  <c r="AV85" i="13"/>
  <c r="AU85" i="13"/>
  <c r="BA79" i="13"/>
  <c r="AZ79" i="13"/>
  <c r="AY79" i="13"/>
  <c r="AX79" i="13"/>
  <c r="AW79" i="13"/>
  <c r="AV79" i="13"/>
  <c r="AU79" i="13"/>
  <c r="BA78" i="13"/>
  <c r="AZ78" i="13"/>
  <c r="AY78" i="13"/>
  <c r="AW78" i="13"/>
  <c r="AV78" i="13"/>
  <c r="BA77" i="13"/>
  <c r="AZ77" i="13"/>
  <c r="AX77" i="13"/>
  <c r="AW77" i="13"/>
  <c r="AV77" i="13"/>
  <c r="AY72" i="13"/>
  <c r="BA61" i="13"/>
  <c r="AZ61" i="13"/>
  <c r="AX61" i="13"/>
  <c r="AW61" i="13"/>
  <c r="AV61" i="13"/>
  <c r="BA60" i="13"/>
  <c r="AZ60" i="13"/>
  <c r="AY60" i="13"/>
  <c r="AX60" i="13"/>
  <c r="AW60" i="13"/>
  <c r="AV60" i="13"/>
  <c r="AU60" i="13"/>
  <c r="BA56" i="13"/>
  <c r="AZ56" i="13"/>
  <c r="AX56" i="13"/>
  <c r="AW56" i="13"/>
  <c r="AV56" i="13"/>
  <c r="BA50" i="13"/>
  <c r="AZ50" i="13"/>
  <c r="AY50" i="13"/>
  <c r="AX50" i="13"/>
  <c r="AW50" i="13"/>
  <c r="AV50" i="13"/>
  <c r="BA45" i="13"/>
  <c r="AZ45" i="13"/>
  <c r="AX45" i="13"/>
  <c r="AW45" i="13"/>
  <c r="AV45" i="13"/>
  <c r="BA44" i="13"/>
  <c r="AY44" i="13"/>
  <c r="AX44" i="13"/>
  <c r="AW44" i="13"/>
  <c r="AV44" i="13"/>
  <c r="BA40" i="13"/>
  <c r="AY40" i="13"/>
  <c r="AX40" i="13"/>
  <c r="AW40" i="13"/>
  <c r="AV40" i="13"/>
  <c r="BA39" i="13"/>
  <c r="AZ39" i="13"/>
  <c r="AY39" i="13"/>
  <c r="AX39" i="13"/>
  <c r="AW39" i="13"/>
  <c r="AV39" i="13"/>
  <c r="BA37" i="13"/>
  <c r="AZ37" i="13"/>
  <c r="AY37" i="13"/>
  <c r="AX37" i="13"/>
  <c r="AW37" i="13"/>
  <c r="AV37" i="13"/>
  <c r="BA29" i="13"/>
  <c r="AZ29" i="13"/>
  <c r="AY29" i="13"/>
  <c r="AX29" i="13"/>
  <c r="AW29" i="13"/>
  <c r="AV29" i="13"/>
  <c r="BA25" i="13"/>
  <c r="AZ25" i="13"/>
  <c r="AY25" i="13"/>
  <c r="AX25" i="13"/>
  <c r="AW25" i="13"/>
  <c r="AV25" i="13"/>
  <c r="BA20" i="13"/>
  <c r="AZ20" i="13"/>
  <c r="AY20" i="13"/>
  <c r="AX20" i="13"/>
  <c r="AW20" i="13"/>
  <c r="AV20" i="13"/>
  <c r="BA19" i="13"/>
  <c r="AZ19" i="13"/>
  <c r="AY19" i="13"/>
  <c r="AX19" i="13"/>
  <c r="AW19" i="13"/>
  <c r="AV19" i="13"/>
  <c r="AU19" i="13"/>
  <c r="BA16" i="13"/>
  <c r="AZ16" i="13"/>
  <c r="AY16" i="13"/>
  <c r="AX16" i="13"/>
  <c r="AW16" i="13"/>
  <c r="AV16" i="13"/>
  <c r="AU16" i="13"/>
  <c r="BA15" i="13"/>
  <c r="AZ15" i="13"/>
  <c r="AY15" i="13"/>
  <c r="AX15" i="13"/>
  <c r="AW15" i="13"/>
  <c r="AV15" i="13"/>
  <c r="AL243" i="13"/>
  <c r="AL238" i="13" s="1"/>
  <c r="AK243" i="13"/>
  <c r="AK238" i="13" s="1"/>
  <c r="AJ243" i="13"/>
  <c r="AJ238" i="13"/>
  <c r="AL237" i="13"/>
  <c r="AK237" i="13"/>
  <c r="AJ237" i="13"/>
  <c r="AL232" i="13"/>
  <c r="AK232" i="13"/>
  <c r="AJ232" i="13"/>
  <c r="AL231" i="13"/>
  <c r="AK231" i="13"/>
  <c r="AK226" i="13" s="1"/>
  <c r="AJ231" i="13"/>
  <c r="AL226" i="13"/>
  <c r="AJ226" i="13"/>
  <c r="AL225" i="13"/>
  <c r="AK225" i="13"/>
  <c r="AJ225" i="13"/>
  <c r="AL221" i="13"/>
  <c r="AK221" i="13"/>
  <c r="AJ221" i="13"/>
  <c r="AL220" i="13"/>
  <c r="AK220" i="13"/>
  <c r="AK213" i="13" s="1"/>
  <c r="AJ220" i="13"/>
  <c r="AJ213" i="13" s="1"/>
  <c r="AL213" i="13"/>
  <c r="AL212" i="13"/>
  <c r="AK212" i="13"/>
  <c r="AJ212" i="13"/>
  <c r="AL203" i="13"/>
  <c r="AL198" i="13" s="1"/>
  <c r="AK203" i="13"/>
  <c r="AK198" i="13" s="1"/>
  <c r="AK197" i="13" s="1"/>
  <c r="AJ203" i="13"/>
  <c r="AJ198" i="13"/>
  <c r="AL196" i="13"/>
  <c r="AK196" i="13"/>
  <c r="AJ196" i="13"/>
  <c r="AL193" i="13"/>
  <c r="AK193" i="13"/>
  <c r="AJ193" i="13"/>
  <c r="AL190" i="13"/>
  <c r="AL182" i="13" s="1"/>
  <c r="AK190" i="13"/>
  <c r="AK182" i="13" s="1"/>
  <c r="AJ190" i="13"/>
  <c r="AJ182" i="13"/>
  <c r="AL181" i="13"/>
  <c r="AK181" i="13"/>
  <c r="AJ181" i="13"/>
  <c r="AL178" i="13"/>
  <c r="AK178" i="13"/>
  <c r="AJ178" i="13"/>
  <c r="AL168" i="13"/>
  <c r="AK168" i="13"/>
  <c r="AK163" i="13" s="1"/>
  <c r="AJ168" i="13"/>
  <c r="AL162" i="13"/>
  <c r="AK162" i="13"/>
  <c r="AJ162" i="13"/>
  <c r="AK159" i="13"/>
  <c r="AJ159" i="13"/>
  <c r="AL157" i="13"/>
  <c r="AL159" i="13" s="1"/>
  <c r="AL156" i="13"/>
  <c r="AK156" i="13"/>
  <c r="AK151" i="13" s="1"/>
  <c r="AJ152" i="13"/>
  <c r="AJ156" i="13" s="1"/>
  <c r="AJ151" i="13" s="1"/>
  <c r="AL149" i="13"/>
  <c r="AL140" i="13" s="1"/>
  <c r="AK149" i="13"/>
  <c r="AK140" i="13" s="1"/>
  <c r="AJ149" i="13"/>
  <c r="AJ140" i="13" s="1"/>
  <c r="AL139" i="13"/>
  <c r="AL134" i="13" s="1"/>
  <c r="AK139" i="13"/>
  <c r="AK134" i="13" s="1"/>
  <c r="AJ139" i="13"/>
  <c r="AJ134" i="13" s="1"/>
  <c r="AL133" i="13"/>
  <c r="AL123" i="13" s="1"/>
  <c r="AK133" i="13"/>
  <c r="AK123" i="13" s="1"/>
  <c r="AJ133" i="13"/>
  <c r="AJ123" i="13" s="1"/>
  <c r="AL122" i="13"/>
  <c r="AL118" i="13" s="1"/>
  <c r="AK122" i="13"/>
  <c r="AK118" i="13" s="1"/>
  <c r="AJ122" i="13"/>
  <c r="AJ118" i="13"/>
  <c r="AL117" i="13"/>
  <c r="AK117" i="13"/>
  <c r="AJ117" i="13"/>
  <c r="AJ111" i="13" s="1"/>
  <c r="AL111" i="13"/>
  <c r="AK111" i="13"/>
  <c r="AL110" i="13"/>
  <c r="AL106" i="13" s="1"/>
  <c r="AK110" i="13"/>
  <c r="AJ110" i="13"/>
  <c r="AK106" i="13"/>
  <c r="AJ106" i="13"/>
  <c r="AL105" i="13"/>
  <c r="AK105" i="13"/>
  <c r="AK100" i="13" s="1"/>
  <c r="AJ105" i="13"/>
  <c r="AJ100" i="13" s="1"/>
  <c r="AL100" i="13"/>
  <c r="AL99" i="13"/>
  <c r="AL93" i="13" s="1"/>
  <c r="AK99" i="13"/>
  <c r="AK93" i="13" s="1"/>
  <c r="AJ99" i="13"/>
  <c r="AJ93" i="13"/>
  <c r="AL92" i="13"/>
  <c r="AK92" i="13"/>
  <c r="AJ92" i="13"/>
  <c r="AL88" i="13"/>
  <c r="AK88" i="13"/>
  <c r="AJ88" i="13"/>
  <c r="AL85" i="13"/>
  <c r="AK85" i="13"/>
  <c r="AK79" i="13" s="1"/>
  <c r="AJ85" i="13"/>
  <c r="AL79" i="13"/>
  <c r="AJ79" i="13"/>
  <c r="AK77" i="13"/>
  <c r="AK61" i="13" s="1"/>
  <c r="AL69" i="13"/>
  <c r="AL77" i="13" s="1"/>
  <c r="AL61" i="13" s="1"/>
  <c r="AJ66" i="13"/>
  <c r="AJ77" i="13" s="1"/>
  <c r="AJ61" i="13" s="1"/>
  <c r="AL60" i="13"/>
  <c r="AK60" i="13"/>
  <c r="AJ60" i="13"/>
  <c r="AL56" i="13"/>
  <c r="AK56" i="13"/>
  <c r="AJ56" i="13"/>
  <c r="AL50" i="13"/>
  <c r="AK50" i="13"/>
  <c r="AJ50" i="13"/>
  <c r="AJ45" i="13" s="1"/>
  <c r="AL45" i="13"/>
  <c r="AK45" i="13"/>
  <c r="AL44" i="13"/>
  <c r="AL40" i="13" s="1"/>
  <c r="AK44" i="13"/>
  <c r="AK40" i="13" s="1"/>
  <c r="AJ44" i="13"/>
  <c r="AJ40" i="13" s="1"/>
  <c r="AL39" i="13"/>
  <c r="AK39" i="13"/>
  <c r="AJ39" i="13"/>
  <c r="AL37" i="13"/>
  <c r="AK37" i="13"/>
  <c r="AJ37" i="13"/>
  <c r="AL29" i="13"/>
  <c r="AK29" i="13"/>
  <c r="AJ29" i="13"/>
  <c r="AL25" i="13"/>
  <c r="AK25" i="13"/>
  <c r="AJ25" i="13"/>
  <c r="AJ20" i="13" s="1"/>
  <c r="AL20" i="13"/>
  <c r="AK20" i="13"/>
  <c r="AL19" i="13"/>
  <c r="AL16" i="13" s="1"/>
  <c r="AK19" i="13"/>
  <c r="AK16" i="13" s="1"/>
  <c r="AJ19" i="13"/>
  <c r="AJ16" i="13"/>
  <c r="AL15" i="13"/>
  <c r="AK15" i="13"/>
  <c r="AJ15" i="13"/>
  <c r="AL11" i="13"/>
  <c r="AK11" i="13"/>
  <c r="AJ11" i="13"/>
  <c r="AD243" i="13"/>
  <c r="AC243" i="13"/>
  <c r="AC238" i="13" s="1"/>
  <c r="AD238" i="13"/>
  <c r="AD237" i="13"/>
  <c r="AC234" i="13"/>
  <c r="AC237" i="13" s="1"/>
  <c r="AC232" i="13" s="1"/>
  <c r="AD232" i="13"/>
  <c r="AD231" i="13"/>
  <c r="AD226" i="13" s="1"/>
  <c r="AC229" i="13"/>
  <c r="AC228" i="13"/>
  <c r="AC231" i="13" s="1"/>
  <c r="AC226" i="13" s="1"/>
  <c r="AD225" i="13"/>
  <c r="AD221" i="13" s="1"/>
  <c r="AC225" i="13"/>
  <c r="AC221" i="13" s="1"/>
  <c r="AD220" i="13"/>
  <c r="AD213" i="13" s="1"/>
  <c r="AC218" i="13"/>
  <c r="AC217" i="13"/>
  <c r="AD212" i="13"/>
  <c r="AC211" i="13"/>
  <c r="AC210" i="13"/>
  <c r="AC207" i="13"/>
  <c r="AC209" i="13" s="1"/>
  <c r="AD203" i="13"/>
  <c r="AC200" i="13"/>
  <c r="AC203" i="13" s="1"/>
  <c r="AD198" i="13"/>
  <c r="AD196" i="13"/>
  <c r="AC196" i="13"/>
  <c r="AD193" i="13"/>
  <c r="AC193" i="13"/>
  <c r="AD190" i="13"/>
  <c r="AD182" i="13" s="1"/>
  <c r="AC190" i="13"/>
  <c r="AC182" i="13" s="1"/>
  <c r="AD181" i="13"/>
  <c r="AC181" i="13"/>
  <c r="AD178" i="13"/>
  <c r="AC178" i="13"/>
  <c r="AD168" i="13"/>
  <c r="AC168" i="13"/>
  <c r="AD163" i="13"/>
  <c r="AD162" i="13"/>
  <c r="AC162" i="13"/>
  <c r="AD159" i="13"/>
  <c r="AC159" i="13"/>
  <c r="AD156" i="13"/>
  <c r="AD151" i="13" s="1"/>
  <c r="AC156" i="13"/>
  <c r="AC151" i="13"/>
  <c r="AD149" i="13"/>
  <c r="AD140" i="13" s="1"/>
  <c r="AC149" i="13"/>
  <c r="AC140" i="13" s="1"/>
  <c r="AD139" i="13"/>
  <c r="AD134" i="13" s="1"/>
  <c r="AC139" i="13"/>
  <c r="AC134" i="13" s="1"/>
  <c r="AD133" i="13"/>
  <c r="AD123" i="13" s="1"/>
  <c r="AC133" i="13"/>
  <c r="AC123" i="13" s="1"/>
  <c r="AD122" i="13"/>
  <c r="AD118" i="13" s="1"/>
  <c r="AC122" i="13"/>
  <c r="AC118" i="13" s="1"/>
  <c r="AD117" i="13"/>
  <c r="AC117" i="13"/>
  <c r="AC111" i="13" s="1"/>
  <c r="AD111" i="13"/>
  <c r="AD110" i="13"/>
  <c r="AC110" i="13"/>
  <c r="AC106" i="13" s="1"/>
  <c r="AD106" i="13"/>
  <c r="AD105" i="13"/>
  <c r="AD100" i="13" s="1"/>
  <c r="AC105" i="13"/>
  <c r="AC100" i="13" s="1"/>
  <c r="AD99" i="13"/>
  <c r="AD93" i="13" s="1"/>
  <c r="AC99" i="13"/>
  <c r="AC93" i="13" s="1"/>
  <c r="AD92" i="13"/>
  <c r="AC92" i="13"/>
  <c r="AD88" i="13"/>
  <c r="AC88" i="13"/>
  <c r="AD85" i="13"/>
  <c r="AC85" i="13"/>
  <c r="AD79" i="13"/>
  <c r="AD77" i="13"/>
  <c r="AC73" i="13"/>
  <c r="AC72" i="13"/>
  <c r="AC71" i="13"/>
  <c r="AC70" i="13"/>
  <c r="AC68" i="13"/>
  <c r="AC66" i="13"/>
  <c r="AC65" i="13"/>
  <c r="AC64" i="13"/>
  <c r="AC62" i="13"/>
  <c r="AD61" i="13"/>
  <c r="AD60" i="13"/>
  <c r="AC60" i="13"/>
  <c r="AD56" i="13"/>
  <c r="AC52" i="13"/>
  <c r="AC51" i="13"/>
  <c r="AC56" i="13" s="1"/>
  <c r="AD50" i="13"/>
  <c r="AC46" i="13"/>
  <c r="AC50" i="13" s="1"/>
  <c r="AD44" i="13"/>
  <c r="AC42" i="13"/>
  <c r="AC44" i="13" s="1"/>
  <c r="AC40" i="13" s="1"/>
  <c r="AD40" i="13"/>
  <c r="AD39" i="13"/>
  <c r="AC39" i="13"/>
  <c r="AD37" i="13"/>
  <c r="AC37" i="13"/>
  <c r="AD29" i="13"/>
  <c r="AC29" i="13"/>
  <c r="AD25" i="13"/>
  <c r="AD20" i="13" s="1"/>
  <c r="AC23" i="13"/>
  <c r="AC25" i="13" s="1"/>
  <c r="AC20" i="13" s="1"/>
  <c r="AD19" i="13"/>
  <c r="AD16" i="13" s="1"/>
  <c r="AC19" i="13"/>
  <c r="AC16" i="13" s="1"/>
  <c r="AD15" i="13"/>
  <c r="AC14" i="13"/>
  <c r="AC12" i="13"/>
  <c r="AD11" i="13"/>
  <c r="AC10" i="13"/>
  <c r="AC8" i="13"/>
  <c r="AC7" i="13"/>
  <c r="Z198" i="13"/>
  <c r="Z197" i="13" s="1"/>
  <c r="AA61" i="13"/>
  <c r="Z61" i="13"/>
  <c r="AA45" i="13"/>
  <c r="Z45" i="13"/>
  <c r="AA40" i="13"/>
  <c r="Z40" i="13"/>
  <c r="AA20" i="13"/>
  <c r="Z20" i="13"/>
  <c r="AA16" i="13"/>
  <c r="Z16" i="13"/>
  <c r="K207" i="13"/>
  <c r="K66" i="13"/>
  <c r="K52" i="13"/>
  <c r="BA243" i="12"/>
  <c r="AZ243" i="12"/>
  <c r="AY243" i="12"/>
  <c r="AX243" i="12"/>
  <c r="AX238" i="12" s="1"/>
  <c r="AW243" i="12"/>
  <c r="AV243" i="12"/>
  <c r="BA238" i="12"/>
  <c r="AZ238" i="12"/>
  <c r="AY238" i="12"/>
  <c r="AW238" i="12"/>
  <c r="AV238" i="12"/>
  <c r="BA237" i="12"/>
  <c r="AZ237" i="12"/>
  <c r="AZ232" i="12" s="1"/>
  <c r="AY237" i="12"/>
  <c r="AX237" i="12"/>
  <c r="AX232" i="12" s="1"/>
  <c r="AW237" i="12"/>
  <c r="AV237" i="12"/>
  <c r="AV232" i="12" s="1"/>
  <c r="AU237" i="12"/>
  <c r="BA232" i="12"/>
  <c r="AY232" i="12"/>
  <c r="AW232" i="12"/>
  <c r="AU232" i="12"/>
  <c r="BA231" i="12"/>
  <c r="AZ231" i="12"/>
  <c r="AY231" i="12"/>
  <c r="AX231" i="12"/>
  <c r="AW231" i="12"/>
  <c r="AV231" i="12"/>
  <c r="BA226" i="12"/>
  <c r="AZ226" i="12"/>
  <c r="AY226" i="12"/>
  <c r="AX226" i="12"/>
  <c r="AW226" i="12"/>
  <c r="AV226" i="12"/>
  <c r="BA225" i="12"/>
  <c r="AZ225" i="12"/>
  <c r="AY225" i="12"/>
  <c r="AX225" i="12"/>
  <c r="AW225" i="12"/>
  <c r="AV225" i="12"/>
  <c r="BA221" i="12"/>
  <c r="AZ221" i="12"/>
  <c r="AY221" i="12"/>
  <c r="AX221" i="12"/>
  <c r="AW221" i="12"/>
  <c r="AV221" i="12"/>
  <c r="BA220" i="12"/>
  <c r="AZ220" i="12"/>
  <c r="AY220" i="12"/>
  <c r="AX220" i="12"/>
  <c r="AW220" i="12"/>
  <c r="AV220" i="12"/>
  <c r="BA213" i="12"/>
  <c r="AZ213" i="12"/>
  <c r="AY213" i="12"/>
  <c r="AX213" i="12"/>
  <c r="AW213" i="12"/>
  <c r="AV213" i="12"/>
  <c r="BA212" i="12"/>
  <c r="AZ212" i="12"/>
  <c r="AY212" i="12"/>
  <c r="AX212" i="12"/>
  <c r="AW212" i="12"/>
  <c r="AV212" i="12"/>
  <c r="AW204" i="12"/>
  <c r="AW209" i="12" s="1"/>
  <c r="AU204" i="12"/>
  <c r="BA203" i="12"/>
  <c r="AZ203" i="12"/>
  <c r="AY203" i="12"/>
  <c r="AX203" i="12"/>
  <c r="AW203" i="12"/>
  <c r="AV203" i="12"/>
  <c r="BA198" i="12"/>
  <c r="AZ198" i="12"/>
  <c r="AY198" i="12"/>
  <c r="AX198" i="12"/>
  <c r="AV198" i="12"/>
  <c r="BA197" i="12"/>
  <c r="AY197" i="12"/>
  <c r="BA196" i="12"/>
  <c r="AZ196" i="12"/>
  <c r="AY196" i="12"/>
  <c r="AX196" i="12"/>
  <c r="AW196" i="12"/>
  <c r="AV196" i="12"/>
  <c r="AU196" i="12"/>
  <c r="BA193" i="12"/>
  <c r="AZ193" i="12"/>
  <c r="AY193" i="12"/>
  <c r="AX193" i="12"/>
  <c r="AX182" i="12" s="1"/>
  <c r="AW193" i="12"/>
  <c r="AV193" i="12"/>
  <c r="AU193" i="12"/>
  <c r="BA182" i="12"/>
  <c r="AZ182" i="12"/>
  <c r="AY182" i="12"/>
  <c r="AW182" i="12"/>
  <c r="AV182" i="12"/>
  <c r="AU182" i="12"/>
  <c r="BA181" i="12"/>
  <c r="AZ181" i="12"/>
  <c r="AY181" i="12"/>
  <c r="AX181" i="12"/>
  <c r="AW181" i="12"/>
  <c r="AV181" i="12"/>
  <c r="AU181" i="12"/>
  <c r="BA178" i="12"/>
  <c r="AZ178" i="12"/>
  <c r="AY178" i="12"/>
  <c r="AX178" i="12"/>
  <c r="AW178" i="12"/>
  <c r="AV178" i="12"/>
  <c r="AU178" i="12"/>
  <c r="BA168" i="12"/>
  <c r="AZ168" i="12"/>
  <c r="AZ163" i="12" s="1"/>
  <c r="AY168" i="12"/>
  <c r="AX168" i="12"/>
  <c r="AW168" i="12"/>
  <c r="AV168" i="12"/>
  <c r="AV163" i="12" s="1"/>
  <c r="AU168" i="12"/>
  <c r="BA163" i="12"/>
  <c r="AY163" i="12"/>
  <c r="AX163" i="12"/>
  <c r="BA162" i="12"/>
  <c r="AZ162" i="12"/>
  <c r="AY162" i="12"/>
  <c r="AX162" i="12"/>
  <c r="AW162" i="12"/>
  <c r="AV162" i="12"/>
  <c r="AU162" i="12"/>
  <c r="BA159" i="12"/>
  <c r="AZ159" i="12"/>
  <c r="AY159" i="12"/>
  <c r="AX159" i="12"/>
  <c r="AW159" i="12"/>
  <c r="AV159" i="12"/>
  <c r="AU159" i="12"/>
  <c r="BA156" i="12"/>
  <c r="BA151" i="12" s="1"/>
  <c r="BA150" i="12" s="1"/>
  <c r="AZ156" i="12"/>
  <c r="AZ151" i="12" s="1"/>
  <c r="AY156" i="12"/>
  <c r="AX156" i="12"/>
  <c r="AW156" i="12"/>
  <c r="AV156" i="12"/>
  <c r="AV151" i="12" s="1"/>
  <c r="AV150" i="12" s="1"/>
  <c r="AU156" i="12"/>
  <c r="AY151" i="12"/>
  <c r="AX151" i="12"/>
  <c r="AW151" i="12"/>
  <c r="AU151" i="12"/>
  <c r="AY150" i="12"/>
  <c r="BA149" i="12"/>
  <c r="AZ149" i="12"/>
  <c r="AY149" i="12"/>
  <c r="AX149" i="12"/>
  <c r="AX140" i="12" s="1"/>
  <c r="AW149" i="12"/>
  <c r="AW140" i="12" s="1"/>
  <c r="AV149" i="12"/>
  <c r="AU149" i="12"/>
  <c r="BA140" i="12"/>
  <c r="AZ140" i="12"/>
  <c r="AY140" i="12"/>
  <c r="AV140" i="12"/>
  <c r="AU140" i="12"/>
  <c r="BA139" i="12"/>
  <c r="AZ139" i="12"/>
  <c r="AZ134" i="12" s="1"/>
  <c r="AY139" i="12"/>
  <c r="AX139" i="12"/>
  <c r="AW139" i="12"/>
  <c r="AV139" i="12"/>
  <c r="AV134" i="12" s="1"/>
  <c r="AU139" i="12"/>
  <c r="AU134" i="12" s="1"/>
  <c r="BA134" i="12"/>
  <c r="AY134" i="12"/>
  <c r="AX134" i="12"/>
  <c r="AW134" i="12"/>
  <c r="BA133" i="12"/>
  <c r="AZ133" i="12"/>
  <c r="AY133" i="12"/>
  <c r="AX133" i="12"/>
  <c r="AW133" i="12"/>
  <c r="AW123" i="12" s="1"/>
  <c r="AV133" i="12"/>
  <c r="AU133" i="12"/>
  <c r="AU123" i="12" s="1"/>
  <c r="BA123" i="12"/>
  <c r="AZ123" i="12"/>
  <c r="AY123" i="12"/>
  <c r="AX123" i="12"/>
  <c r="AV123" i="12"/>
  <c r="BA122" i="12"/>
  <c r="AZ122" i="12"/>
  <c r="AY122" i="12"/>
  <c r="AX122" i="12"/>
  <c r="AW122" i="12"/>
  <c r="AV122" i="12"/>
  <c r="AU122" i="12"/>
  <c r="BA118" i="12"/>
  <c r="AZ118" i="12"/>
  <c r="AY118" i="12"/>
  <c r="AX118" i="12"/>
  <c r="AW118" i="12"/>
  <c r="AV118" i="12"/>
  <c r="AU118" i="12"/>
  <c r="BA117" i="12"/>
  <c r="BA111" i="12" s="1"/>
  <c r="AZ117" i="12"/>
  <c r="AZ111" i="12" s="1"/>
  <c r="AY117" i="12"/>
  <c r="AY111" i="12" s="1"/>
  <c r="AX117" i="12"/>
  <c r="AX111" i="12" s="1"/>
  <c r="AW117" i="12"/>
  <c r="AW111" i="12" s="1"/>
  <c r="AV117" i="12"/>
  <c r="AV111" i="12" s="1"/>
  <c r="AU117" i="12"/>
  <c r="AU111" i="12" s="1"/>
  <c r="BA110" i="12"/>
  <c r="BA106" i="12" s="1"/>
  <c r="AZ110" i="12"/>
  <c r="AZ106" i="12" s="1"/>
  <c r="AY110" i="12"/>
  <c r="AY106" i="12" s="1"/>
  <c r="AX110" i="12"/>
  <c r="AX106" i="12" s="1"/>
  <c r="AW110" i="12"/>
  <c r="AW106" i="12" s="1"/>
  <c r="AV110" i="12"/>
  <c r="AV106" i="12" s="1"/>
  <c r="AU110" i="12"/>
  <c r="AU106" i="12" s="1"/>
  <c r="BA105" i="12"/>
  <c r="AZ105" i="12"/>
  <c r="AZ100" i="12" s="1"/>
  <c r="AY105" i="12"/>
  <c r="AX105" i="12"/>
  <c r="AX100" i="12" s="1"/>
  <c r="AW105" i="12"/>
  <c r="AV105" i="12"/>
  <c r="AV100" i="12" s="1"/>
  <c r="AU105" i="12"/>
  <c r="BA100" i="12"/>
  <c r="AY100" i="12"/>
  <c r="AW100" i="12"/>
  <c r="AU100" i="12"/>
  <c r="AZ93" i="12"/>
  <c r="AX93" i="12"/>
  <c r="AV93" i="12"/>
  <c r="BA93" i="12"/>
  <c r="AY93" i="12"/>
  <c r="AW93" i="12"/>
  <c r="AU93" i="12"/>
  <c r="BA92" i="12"/>
  <c r="AZ92" i="12"/>
  <c r="AY92" i="12"/>
  <c r="AX92" i="12"/>
  <c r="AW92" i="12"/>
  <c r="AV92" i="12"/>
  <c r="AU92" i="12"/>
  <c r="BA88" i="12"/>
  <c r="AE28" i="18" s="1"/>
  <c r="AZ88" i="12"/>
  <c r="AY88" i="12"/>
  <c r="AC28" i="18" s="1"/>
  <c r="AX88" i="12"/>
  <c r="AW88" i="12"/>
  <c r="AA28" i="18" s="1"/>
  <c r="AV88" i="12"/>
  <c r="AU88" i="12"/>
  <c r="Y28" i="18" s="1"/>
  <c r="BA85" i="12"/>
  <c r="BA79" i="12" s="1"/>
  <c r="AZ85" i="12"/>
  <c r="AZ79" i="12" s="1"/>
  <c r="AY85" i="12"/>
  <c r="AY79" i="12" s="1"/>
  <c r="AX85" i="12"/>
  <c r="AX79" i="12" s="1"/>
  <c r="AW85" i="12"/>
  <c r="AW79" i="12" s="1"/>
  <c r="AV85" i="12"/>
  <c r="AV79" i="12" s="1"/>
  <c r="AU85" i="12"/>
  <c r="AU79" i="12" s="1"/>
  <c r="BA77" i="12"/>
  <c r="AZ77" i="12"/>
  <c r="AX77" i="12"/>
  <c r="AW77" i="12"/>
  <c r="AV77" i="12"/>
  <c r="AY72" i="12"/>
  <c r="BA61" i="12"/>
  <c r="AZ61" i="12"/>
  <c r="AX61" i="12"/>
  <c r="AW61" i="12"/>
  <c r="AV61" i="12"/>
  <c r="BA60" i="12"/>
  <c r="AZ60" i="12"/>
  <c r="AD22" i="18" s="1"/>
  <c r="AY60" i="12"/>
  <c r="AX60" i="12"/>
  <c r="AB22" i="18" s="1"/>
  <c r="AW60" i="12"/>
  <c r="AV60" i="12"/>
  <c r="Z22" i="18" s="1"/>
  <c r="AU60" i="12"/>
  <c r="BA56" i="12"/>
  <c r="AZ56" i="12"/>
  <c r="AX56" i="12"/>
  <c r="AW56" i="12"/>
  <c r="AV56" i="12"/>
  <c r="BA50" i="12"/>
  <c r="AZ50" i="12"/>
  <c r="AD20" i="18" s="1"/>
  <c r="AY50" i="12"/>
  <c r="AX50" i="12"/>
  <c r="AB20" i="18" s="1"/>
  <c r="AW50" i="12"/>
  <c r="AV50" i="12"/>
  <c r="Z20" i="18" s="1"/>
  <c r="AX45" i="12"/>
  <c r="BA44" i="12"/>
  <c r="BA40" i="12" s="1"/>
  <c r="AZ44" i="12"/>
  <c r="AY44" i="12"/>
  <c r="AY40" i="12" s="1"/>
  <c r="AX44" i="12"/>
  <c r="AW44" i="12"/>
  <c r="AW40" i="12" s="1"/>
  <c r="AV44" i="12"/>
  <c r="AZ40" i="12"/>
  <c r="AX40" i="12"/>
  <c r="AV40" i="12"/>
  <c r="BA39" i="12"/>
  <c r="AE16" i="18" s="1"/>
  <c r="AZ39" i="12"/>
  <c r="AY39" i="12"/>
  <c r="AC16" i="18" s="1"/>
  <c r="AX39" i="12"/>
  <c r="AW39" i="12"/>
  <c r="AA16" i="18" s="1"/>
  <c r="AV39" i="12"/>
  <c r="AU39" i="12"/>
  <c r="Y16" i="18" s="1"/>
  <c r="BA37" i="12"/>
  <c r="AZ37" i="12"/>
  <c r="AY37" i="12"/>
  <c r="AX37" i="12"/>
  <c r="AW37" i="12"/>
  <c r="AV37" i="12"/>
  <c r="BA29" i="12"/>
  <c r="AE14" i="18" s="1"/>
  <c r="AZ29" i="12"/>
  <c r="AY29" i="12"/>
  <c r="AC14" i="18" s="1"/>
  <c r="AX29" i="12"/>
  <c r="AW29" i="12"/>
  <c r="AA14" i="18" s="1"/>
  <c r="AV29" i="12"/>
  <c r="BA25" i="12"/>
  <c r="BA20" i="12" s="1"/>
  <c r="AZ25" i="12"/>
  <c r="AY25" i="12"/>
  <c r="AY20" i="12" s="1"/>
  <c r="AX25" i="12"/>
  <c r="AW25" i="12"/>
  <c r="AW20" i="12" s="1"/>
  <c r="AV25" i="12"/>
  <c r="AZ20" i="12"/>
  <c r="AX20" i="12"/>
  <c r="AV20" i="12"/>
  <c r="BA19" i="12"/>
  <c r="BA16" i="12" s="1"/>
  <c r="AZ19" i="12"/>
  <c r="AY19" i="12"/>
  <c r="AY16" i="12" s="1"/>
  <c r="AX19" i="12"/>
  <c r="AX16" i="12" s="1"/>
  <c r="AW19" i="12"/>
  <c r="AW16" i="12" s="1"/>
  <c r="AV19" i="12"/>
  <c r="AU19" i="12"/>
  <c r="AU16" i="12" s="1"/>
  <c r="AZ16" i="12"/>
  <c r="AV16" i="12"/>
  <c r="BA15" i="12"/>
  <c r="AZ15" i="12"/>
  <c r="AY15" i="12"/>
  <c r="AW15" i="12"/>
  <c r="AV15" i="12"/>
  <c r="AL243" i="12"/>
  <c r="AL238" i="12" s="1"/>
  <c r="AK243" i="12"/>
  <c r="AK238" i="12" s="1"/>
  <c r="AJ243" i="12"/>
  <c r="AJ238" i="12" s="1"/>
  <c r="AL237" i="12"/>
  <c r="AL232" i="12" s="1"/>
  <c r="AK237" i="12"/>
  <c r="AK232" i="12" s="1"/>
  <c r="AJ237" i="12"/>
  <c r="AJ232" i="12" s="1"/>
  <c r="AL231" i="12"/>
  <c r="AL226" i="12" s="1"/>
  <c r="AK231" i="12"/>
  <c r="AK226" i="12" s="1"/>
  <c r="AJ231" i="12"/>
  <c r="AJ226" i="12" s="1"/>
  <c r="AL225" i="12"/>
  <c r="AL221" i="12" s="1"/>
  <c r="AK225" i="12"/>
  <c r="AK221" i="12" s="1"/>
  <c r="AJ225" i="12"/>
  <c r="AJ221" i="12" s="1"/>
  <c r="AL220" i="12"/>
  <c r="AL213" i="12" s="1"/>
  <c r="AK220" i="12"/>
  <c r="AK213" i="12" s="1"/>
  <c r="AJ220" i="12"/>
  <c r="AJ213" i="12" s="1"/>
  <c r="AL212" i="12"/>
  <c r="AK212" i="12"/>
  <c r="AJ212" i="12"/>
  <c r="AJ198" i="12" s="1"/>
  <c r="AL203" i="12"/>
  <c r="AK203" i="12"/>
  <c r="AK198" i="12" s="1"/>
  <c r="AJ203" i="12"/>
  <c r="AL198" i="12"/>
  <c r="AL196" i="12"/>
  <c r="AK196" i="12"/>
  <c r="AJ196" i="12"/>
  <c r="AL193" i="12"/>
  <c r="AK193" i="12"/>
  <c r="AJ193" i="12"/>
  <c r="AL190" i="12"/>
  <c r="AK190" i="12"/>
  <c r="AJ190" i="12"/>
  <c r="AL181" i="12"/>
  <c r="AK181" i="12"/>
  <c r="AJ181" i="12"/>
  <c r="AL178" i="12"/>
  <c r="AK178" i="12"/>
  <c r="AK163" i="12" s="1"/>
  <c r="AJ178" i="12"/>
  <c r="AL168" i="12"/>
  <c r="AK168" i="12"/>
  <c r="AJ168" i="12"/>
  <c r="AL162" i="12"/>
  <c r="AK162" i="12"/>
  <c r="AJ162" i="12"/>
  <c r="AK159" i="12"/>
  <c r="AJ159" i="12"/>
  <c r="AL157" i="12"/>
  <c r="AL159" i="12" s="1"/>
  <c r="AL151" i="12" s="1"/>
  <c r="AL156" i="12"/>
  <c r="AK156" i="12"/>
  <c r="AK151" i="12" s="1"/>
  <c r="AJ152" i="12"/>
  <c r="AJ156" i="12" s="1"/>
  <c r="AJ151" i="12" s="1"/>
  <c r="AL149" i="12"/>
  <c r="AL140" i="12" s="1"/>
  <c r="AK149" i="12"/>
  <c r="AK140" i="12" s="1"/>
  <c r="AJ149" i="12"/>
  <c r="AJ140" i="12" s="1"/>
  <c r="AL139" i="12"/>
  <c r="AL134" i="12" s="1"/>
  <c r="AK139" i="12"/>
  <c r="AK134" i="12" s="1"/>
  <c r="AJ139" i="12"/>
  <c r="AJ134" i="12" s="1"/>
  <c r="AL133" i="12"/>
  <c r="AL123" i="12" s="1"/>
  <c r="AK133" i="12"/>
  <c r="AK123" i="12" s="1"/>
  <c r="AJ133" i="12"/>
  <c r="AJ123" i="12" s="1"/>
  <c r="AL122" i="12"/>
  <c r="AL118" i="12" s="1"/>
  <c r="AK122" i="12"/>
  <c r="AK118" i="12" s="1"/>
  <c r="AJ122" i="12"/>
  <c r="AJ118" i="12" s="1"/>
  <c r="AL117" i="12"/>
  <c r="AL111" i="12" s="1"/>
  <c r="AK117" i="12"/>
  <c r="AK111" i="12" s="1"/>
  <c r="AJ117" i="12"/>
  <c r="AJ111" i="12" s="1"/>
  <c r="AL110" i="12"/>
  <c r="AL106" i="12" s="1"/>
  <c r="AK110" i="12"/>
  <c r="AK106" i="12" s="1"/>
  <c r="AJ110" i="12"/>
  <c r="AJ106" i="12" s="1"/>
  <c r="AL105" i="12"/>
  <c r="AL100" i="12" s="1"/>
  <c r="AK105" i="12"/>
  <c r="AK100" i="12" s="1"/>
  <c r="AJ105" i="12"/>
  <c r="AJ100" i="12" s="1"/>
  <c r="AL99" i="12"/>
  <c r="AL93" i="12" s="1"/>
  <c r="AK99" i="12"/>
  <c r="AK93" i="12" s="1"/>
  <c r="AJ99" i="12"/>
  <c r="AJ93" i="12" s="1"/>
  <c r="AL92" i="12"/>
  <c r="AK92" i="12"/>
  <c r="AJ92" i="12"/>
  <c r="AL88" i="12"/>
  <c r="AK88" i="12"/>
  <c r="AJ88" i="12"/>
  <c r="AL85" i="12"/>
  <c r="AL79" i="12" s="1"/>
  <c r="AK85" i="12"/>
  <c r="AJ85" i="12"/>
  <c r="AJ79" i="12"/>
  <c r="AL77" i="12"/>
  <c r="AK77" i="12"/>
  <c r="AK61" i="12" s="1"/>
  <c r="AJ66" i="12"/>
  <c r="AJ77" i="12" s="1"/>
  <c r="AJ61" i="12" s="1"/>
  <c r="AL61" i="12"/>
  <c r="AL60" i="12"/>
  <c r="AK60" i="12"/>
  <c r="AJ60" i="12"/>
  <c r="AL56" i="12"/>
  <c r="AK56" i="12"/>
  <c r="AK45" i="12" s="1"/>
  <c r="AJ56" i="12"/>
  <c r="AL50" i="12"/>
  <c r="AL45" i="12" s="1"/>
  <c r="AK50" i="12"/>
  <c r="AJ50" i="12"/>
  <c r="AJ45" i="12" s="1"/>
  <c r="AL44" i="12"/>
  <c r="AL40" i="12" s="1"/>
  <c r="AK44" i="12"/>
  <c r="AJ44" i="12"/>
  <c r="AJ40" i="12" s="1"/>
  <c r="AK40" i="12"/>
  <c r="AL39" i="12"/>
  <c r="AK39" i="12"/>
  <c r="AJ39" i="12"/>
  <c r="AL37" i="12"/>
  <c r="AK37" i="12"/>
  <c r="AJ37" i="12"/>
  <c r="AL29" i="12"/>
  <c r="AK29" i="12"/>
  <c r="AJ29" i="12"/>
  <c r="AL25" i="12"/>
  <c r="AK25" i="12"/>
  <c r="AK20" i="12" s="1"/>
  <c r="AJ25" i="12"/>
  <c r="AL20" i="12"/>
  <c r="AL19" i="12"/>
  <c r="AL16" i="12" s="1"/>
  <c r="AK19" i="12"/>
  <c r="AK16" i="12" s="1"/>
  <c r="AJ19" i="12"/>
  <c r="AJ16" i="12" s="1"/>
  <c r="AL15" i="12"/>
  <c r="AK15" i="12"/>
  <c r="AJ15" i="12"/>
  <c r="AL11" i="12"/>
  <c r="AK11" i="12"/>
  <c r="AJ11" i="12"/>
  <c r="AD243" i="12"/>
  <c r="AC243" i="12"/>
  <c r="AC238" i="12" s="1"/>
  <c r="AD238" i="12"/>
  <c r="AD237" i="12"/>
  <c r="AC237" i="12"/>
  <c r="AC232" i="12" s="1"/>
  <c r="AD232" i="12"/>
  <c r="AD231" i="12"/>
  <c r="AC228" i="12"/>
  <c r="AC231" i="12" s="1"/>
  <c r="AC226" i="12" s="1"/>
  <c r="AD226" i="12"/>
  <c r="AD225" i="12"/>
  <c r="AC225" i="12"/>
  <c r="AD221" i="12"/>
  <c r="AC221" i="12"/>
  <c r="AD220" i="12"/>
  <c r="AD213" i="12" s="1"/>
  <c r="AC218" i="12"/>
  <c r="AC217" i="12"/>
  <c r="AD212" i="12"/>
  <c r="AC211" i="12"/>
  <c r="AC210" i="12"/>
  <c r="AC207" i="12"/>
  <c r="AC209" i="12" s="1"/>
  <c r="AD203" i="12"/>
  <c r="AD198" i="12" s="1"/>
  <c r="AC200" i="12"/>
  <c r="AC203" i="12" s="1"/>
  <c r="AD196" i="12"/>
  <c r="AC196" i="12"/>
  <c r="AD193" i="12"/>
  <c r="AC193" i="12"/>
  <c r="AD190" i="12"/>
  <c r="AD182" i="12" s="1"/>
  <c r="AC190" i="12"/>
  <c r="AC182" i="12" s="1"/>
  <c r="AD181" i="12"/>
  <c r="AC181" i="12"/>
  <c r="AD178" i="12"/>
  <c r="AC178" i="12"/>
  <c r="AD168" i="12"/>
  <c r="AD163" i="12" s="1"/>
  <c r="AC168" i="12"/>
  <c r="AC163" i="12" s="1"/>
  <c r="AD162" i="12"/>
  <c r="AC162" i="12"/>
  <c r="AD159" i="12"/>
  <c r="AC159" i="12"/>
  <c r="AD156" i="12"/>
  <c r="AD151" i="12" s="1"/>
  <c r="AD150" i="12" s="1"/>
  <c r="AC156" i="12"/>
  <c r="AC151" i="12" s="1"/>
  <c r="AD149" i="12"/>
  <c r="AD140" i="12" s="1"/>
  <c r="AC149" i="12"/>
  <c r="AC140" i="12" s="1"/>
  <c r="AD139" i="12"/>
  <c r="AD134" i="12" s="1"/>
  <c r="AC139" i="12"/>
  <c r="AC134" i="12" s="1"/>
  <c r="AD133" i="12"/>
  <c r="AD123" i="12" s="1"/>
  <c r="AC133" i="12"/>
  <c r="AC123" i="12" s="1"/>
  <c r="AD122" i="12"/>
  <c r="AD118" i="12" s="1"/>
  <c r="AC122" i="12"/>
  <c r="AC118" i="12" s="1"/>
  <c r="AD117" i="12"/>
  <c r="AD111" i="12" s="1"/>
  <c r="AC117" i="12"/>
  <c r="AC111" i="12" s="1"/>
  <c r="AD110" i="12"/>
  <c r="AD106" i="12" s="1"/>
  <c r="AC110" i="12"/>
  <c r="AC106" i="12" s="1"/>
  <c r="AD105" i="12"/>
  <c r="AD100" i="12" s="1"/>
  <c r="AC105" i="12"/>
  <c r="AC100" i="12" s="1"/>
  <c r="AD99" i="12"/>
  <c r="AD93" i="12" s="1"/>
  <c r="AC99" i="12"/>
  <c r="AC93" i="12" s="1"/>
  <c r="AD92" i="12"/>
  <c r="AC92" i="12"/>
  <c r="AD88" i="12"/>
  <c r="AC88" i="12"/>
  <c r="AD85" i="12"/>
  <c r="AD79" i="12" s="1"/>
  <c r="AC85" i="12"/>
  <c r="AC79" i="12" s="1"/>
  <c r="AD77" i="12"/>
  <c r="AD61" i="12" s="1"/>
  <c r="AC73" i="12"/>
  <c r="AC72" i="12"/>
  <c r="AC70" i="12"/>
  <c r="AC65" i="12"/>
  <c r="AC64" i="12"/>
  <c r="AC62" i="12"/>
  <c r="AD60" i="12"/>
  <c r="AC60" i="12"/>
  <c r="AD56" i="12"/>
  <c r="AC52" i="12"/>
  <c r="AC51" i="12"/>
  <c r="AC56" i="12" s="1"/>
  <c r="AD50" i="12"/>
  <c r="AC49" i="12"/>
  <c r="AC46" i="12"/>
  <c r="AD44" i="12"/>
  <c r="AD40" i="12" s="1"/>
  <c r="AC42" i="12"/>
  <c r="AC44" i="12" s="1"/>
  <c r="AC40" i="12" s="1"/>
  <c r="AD39" i="12"/>
  <c r="AC39" i="12"/>
  <c r="AD37" i="12"/>
  <c r="AC37" i="12"/>
  <c r="AD29" i="12"/>
  <c r="AC29" i="12"/>
  <c r="AD25" i="12"/>
  <c r="AD20" i="12" s="1"/>
  <c r="AC25" i="12"/>
  <c r="AC20" i="12" s="1"/>
  <c r="AC23" i="12"/>
  <c r="AD19" i="12"/>
  <c r="AD16" i="12" s="1"/>
  <c r="AC19" i="12"/>
  <c r="AC16" i="12" s="1"/>
  <c r="AD15" i="12"/>
  <c r="AC14" i="12"/>
  <c r="AC13" i="12"/>
  <c r="AC12" i="12"/>
  <c r="AD11" i="12"/>
  <c r="AC9" i="12"/>
  <c r="AC8" i="12"/>
  <c r="AC7" i="12"/>
  <c r="Z198" i="12"/>
  <c r="Z197" i="12" s="1"/>
  <c r="Z99" i="12"/>
  <c r="AA61" i="12"/>
  <c r="Z61" i="12"/>
  <c r="AA45" i="12"/>
  <c r="Z45" i="12"/>
  <c r="AA40" i="12"/>
  <c r="Z40" i="12"/>
  <c r="AA20" i="12"/>
  <c r="Z20" i="12"/>
  <c r="AA16" i="12"/>
  <c r="Z16" i="12"/>
  <c r="K207" i="12"/>
  <c r="K52" i="12"/>
  <c r="BA243" i="1"/>
  <c r="AZ243" i="1"/>
  <c r="AZ238" i="1" s="1"/>
  <c r="AY243" i="1"/>
  <c r="AX243" i="1"/>
  <c r="AX238" i="1" s="1"/>
  <c r="AW243" i="1"/>
  <c r="AV243" i="1"/>
  <c r="AV238" i="1" s="1"/>
  <c r="BA238" i="1"/>
  <c r="AY238" i="1"/>
  <c r="AW238" i="1"/>
  <c r="BA237" i="1"/>
  <c r="AZ237" i="1"/>
  <c r="AZ232" i="1" s="1"/>
  <c r="AY237" i="1"/>
  <c r="AX237" i="1"/>
  <c r="AX232" i="1" s="1"/>
  <c r="AW237" i="1"/>
  <c r="AW232" i="1" s="1"/>
  <c r="AV237" i="1"/>
  <c r="AV232" i="1" s="1"/>
  <c r="AU237" i="1"/>
  <c r="BA232" i="1"/>
  <c r="AY232" i="1"/>
  <c r="AU232" i="1"/>
  <c r="BA231" i="1"/>
  <c r="AZ231" i="1"/>
  <c r="AZ226" i="1" s="1"/>
  <c r="AY231" i="1"/>
  <c r="AX231" i="1"/>
  <c r="AX226" i="1" s="1"/>
  <c r="AW231" i="1"/>
  <c r="AV231" i="1"/>
  <c r="AV226" i="1" s="1"/>
  <c r="BA226" i="1"/>
  <c r="AY226" i="1"/>
  <c r="AW226" i="1"/>
  <c r="BA225" i="1"/>
  <c r="AZ225" i="1"/>
  <c r="AZ221" i="1" s="1"/>
  <c r="AY225" i="1"/>
  <c r="AX225" i="1"/>
  <c r="AX221" i="1" s="1"/>
  <c r="AW225" i="1"/>
  <c r="AV225" i="1"/>
  <c r="AV221" i="1" s="1"/>
  <c r="BA221" i="1"/>
  <c r="AY221" i="1"/>
  <c r="AW221" i="1"/>
  <c r="BA220" i="1"/>
  <c r="AZ220" i="1"/>
  <c r="AY220" i="1"/>
  <c r="AX220" i="1"/>
  <c r="AW220" i="1"/>
  <c r="AV220" i="1"/>
  <c r="BA213" i="1"/>
  <c r="AZ213" i="1"/>
  <c r="AY213" i="1"/>
  <c r="AX213" i="1"/>
  <c r="AW213" i="1"/>
  <c r="AV213" i="1"/>
  <c r="BA212" i="1"/>
  <c r="AZ212" i="1"/>
  <c r="AY212" i="1"/>
  <c r="AX212" i="1"/>
  <c r="AW212" i="1"/>
  <c r="AV212" i="1"/>
  <c r="AU212" i="1"/>
  <c r="BA203" i="1"/>
  <c r="BA198" i="1" s="1"/>
  <c r="BA197" i="1" s="1"/>
  <c r="AZ203" i="1"/>
  <c r="AY203" i="1"/>
  <c r="AY198" i="1" s="1"/>
  <c r="AY197" i="1" s="1"/>
  <c r="AX203" i="1"/>
  <c r="AW203" i="1"/>
  <c r="AV203" i="1"/>
  <c r="AZ198" i="1"/>
  <c r="AX198" i="1"/>
  <c r="AV198" i="1"/>
  <c r="BA196" i="1"/>
  <c r="AZ196" i="1"/>
  <c r="AY196" i="1"/>
  <c r="AX196" i="1"/>
  <c r="AW196" i="1"/>
  <c r="AV196" i="1"/>
  <c r="AU196" i="1"/>
  <c r="BA193" i="1"/>
  <c r="BA182" i="1" s="1"/>
  <c r="AZ193" i="1"/>
  <c r="AY193" i="1"/>
  <c r="AY182" i="1" s="1"/>
  <c r="AX193" i="1"/>
  <c r="AW193" i="1"/>
  <c r="AW182" i="1" s="1"/>
  <c r="AV193" i="1"/>
  <c r="AU193" i="1"/>
  <c r="AU182" i="1" s="1"/>
  <c r="BA190" i="1"/>
  <c r="AZ190" i="1"/>
  <c r="AZ182" i="1" s="1"/>
  <c r="AY190" i="1"/>
  <c r="AX190" i="1"/>
  <c r="AW190" i="1"/>
  <c r="AV190" i="1"/>
  <c r="AV182" i="1" s="1"/>
  <c r="AU190" i="1"/>
  <c r="BA181" i="1"/>
  <c r="AZ181" i="1"/>
  <c r="AY181" i="1"/>
  <c r="AX181" i="1"/>
  <c r="AW181" i="1"/>
  <c r="AV181" i="1"/>
  <c r="AU181" i="1"/>
  <c r="BA178" i="1"/>
  <c r="AZ178" i="1"/>
  <c r="AY178" i="1"/>
  <c r="AX178" i="1"/>
  <c r="AW178" i="1"/>
  <c r="AV178" i="1"/>
  <c r="AU178" i="1"/>
  <c r="BA168" i="1"/>
  <c r="AZ168" i="1"/>
  <c r="AY168" i="1"/>
  <c r="AY163" i="1" s="1"/>
  <c r="AX168" i="1"/>
  <c r="AW168" i="1"/>
  <c r="AV168" i="1"/>
  <c r="AU168" i="1"/>
  <c r="BA162" i="1"/>
  <c r="AZ162" i="1"/>
  <c r="AY162" i="1"/>
  <c r="AY151" i="1" s="1"/>
  <c r="AX162" i="1"/>
  <c r="AW162" i="1"/>
  <c r="AV162" i="1"/>
  <c r="AU162" i="1"/>
  <c r="BA159" i="1"/>
  <c r="AY159" i="1"/>
  <c r="AX159" i="1"/>
  <c r="AW159" i="1"/>
  <c r="AV159" i="1"/>
  <c r="AZ159" i="1"/>
  <c r="Q49" i="18" s="1"/>
  <c r="AU159" i="1"/>
  <c r="BA156" i="1"/>
  <c r="BA151" i="1" s="1"/>
  <c r="AZ156" i="1"/>
  <c r="AY156" i="1"/>
  <c r="AX156" i="1"/>
  <c r="AX151" i="1" s="1"/>
  <c r="AW156" i="1"/>
  <c r="AW151" i="1" s="1"/>
  <c r="AV156" i="1"/>
  <c r="AV151" i="1" s="1"/>
  <c r="AU156" i="1"/>
  <c r="BA149" i="1"/>
  <c r="BA140" i="1" s="1"/>
  <c r="AZ149" i="1"/>
  <c r="AY149" i="1"/>
  <c r="AY140" i="1" s="1"/>
  <c r="AX149" i="1"/>
  <c r="AW149" i="1"/>
  <c r="AW140" i="1" s="1"/>
  <c r="AV149" i="1"/>
  <c r="AU149" i="1"/>
  <c r="AU140" i="1" s="1"/>
  <c r="AZ140" i="1"/>
  <c r="AX140" i="1"/>
  <c r="AV140" i="1"/>
  <c r="BA139" i="1"/>
  <c r="BA134" i="1" s="1"/>
  <c r="AZ139" i="1"/>
  <c r="AY139" i="1"/>
  <c r="AY134" i="1" s="1"/>
  <c r="AX139" i="1"/>
  <c r="AW139" i="1"/>
  <c r="AW134" i="1" s="1"/>
  <c r="AV139" i="1"/>
  <c r="AU139" i="1"/>
  <c r="AU134" i="1" s="1"/>
  <c r="AZ134" i="1"/>
  <c r="AX134" i="1"/>
  <c r="AV134" i="1"/>
  <c r="BA133" i="1"/>
  <c r="BA123" i="1" s="1"/>
  <c r="AZ133" i="1"/>
  <c r="AY133" i="1"/>
  <c r="AY123" i="1" s="1"/>
  <c r="AX133" i="1"/>
  <c r="AW133" i="1"/>
  <c r="AW123" i="1" s="1"/>
  <c r="AV133" i="1"/>
  <c r="AU133" i="1"/>
  <c r="AU123" i="1" s="1"/>
  <c r="AZ123" i="1"/>
  <c r="AX123" i="1"/>
  <c r="AV123" i="1"/>
  <c r="BA122" i="1"/>
  <c r="BA118" i="1" s="1"/>
  <c r="AZ122" i="1"/>
  <c r="AY122" i="1"/>
  <c r="AY118" i="1" s="1"/>
  <c r="AX122" i="1"/>
  <c r="AW122" i="1"/>
  <c r="AW118" i="1" s="1"/>
  <c r="AV122" i="1"/>
  <c r="AU122" i="1"/>
  <c r="AU118" i="1" s="1"/>
  <c r="AZ118" i="1"/>
  <c r="AX118" i="1"/>
  <c r="AV118" i="1"/>
  <c r="BA117" i="1"/>
  <c r="BA111" i="1" s="1"/>
  <c r="AZ117" i="1"/>
  <c r="AY117" i="1"/>
  <c r="AY111" i="1" s="1"/>
  <c r="AX117" i="1"/>
  <c r="AW117" i="1"/>
  <c r="AW111" i="1" s="1"/>
  <c r="AV117" i="1"/>
  <c r="AU117" i="1"/>
  <c r="AU111" i="1" s="1"/>
  <c r="AZ111" i="1"/>
  <c r="AX111" i="1"/>
  <c r="AV111" i="1"/>
  <c r="BA110" i="1"/>
  <c r="BA106" i="1" s="1"/>
  <c r="AZ110" i="1"/>
  <c r="AY110" i="1"/>
  <c r="AY106" i="1" s="1"/>
  <c r="AX110" i="1"/>
  <c r="AW110" i="1"/>
  <c r="AW106" i="1" s="1"/>
  <c r="AV110" i="1"/>
  <c r="AU110" i="1"/>
  <c r="AU106" i="1" s="1"/>
  <c r="AZ106" i="1"/>
  <c r="AX106" i="1"/>
  <c r="AV106" i="1"/>
  <c r="BA105" i="1"/>
  <c r="BA100" i="1" s="1"/>
  <c r="AZ105" i="1"/>
  <c r="AZ100" i="1" s="1"/>
  <c r="AY105" i="1"/>
  <c r="AY100" i="1" s="1"/>
  <c r="AX105" i="1"/>
  <c r="AX100" i="1" s="1"/>
  <c r="AW105" i="1"/>
  <c r="AW100" i="1" s="1"/>
  <c r="AV105" i="1"/>
  <c r="AV100" i="1" s="1"/>
  <c r="AU105" i="1"/>
  <c r="AU100" i="1" s="1"/>
  <c r="BA93" i="1"/>
  <c r="AY93" i="1"/>
  <c r="AW93" i="1"/>
  <c r="AU93" i="1"/>
  <c r="AZ93" i="1"/>
  <c r="AX93" i="1"/>
  <c r="AV93" i="1"/>
  <c r="BA92" i="1"/>
  <c r="AZ92" i="1"/>
  <c r="AY92" i="1"/>
  <c r="AX92" i="1"/>
  <c r="AW92" i="1"/>
  <c r="AV92" i="1"/>
  <c r="AU92" i="1"/>
  <c r="BA88" i="1"/>
  <c r="AZ88" i="1"/>
  <c r="AY88" i="1"/>
  <c r="AX88" i="1"/>
  <c r="AX79" i="1" s="1"/>
  <c r="AX78" i="1" s="1"/>
  <c r="AW88" i="1"/>
  <c r="AV88" i="1"/>
  <c r="AV79" i="1" s="1"/>
  <c r="AV78" i="1" s="1"/>
  <c r="AU88" i="1"/>
  <c r="BA85" i="1"/>
  <c r="BA79" i="1" s="1"/>
  <c r="BA78" i="1" s="1"/>
  <c r="AZ85" i="1"/>
  <c r="AY85" i="1"/>
  <c r="AX85" i="1"/>
  <c r="AW85" i="1"/>
  <c r="AW79" i="1" s="1"/>
  <c r="AW78" i="1" s="1"/>
  <c r="AV85" i="1"/>
  <c r="AU85" i="1"/>
  <c r="BA77" i="1"/>
  <c r="BA61" i="1" s="1"/>
  <c r="AZ77" i="1"/>
  <c r="Q24" i="18" s="1"/>
  <c r="Q23" i="18" s="1"/>
  <c r="AX77" i="1"/>
  <c r="AX61" i="1" s="1"/>
  <c r="AW77" i="1"/>
  <c r="AV77" i="1"/>
  <c r="M24" i="18" s="1"/>
  <c r="M23" i="18" s="1"/>
  <c r="AZ61" i="1"/>
  <c r="AW61" i="1"/>
  <c r="BA60" i="1"/>
  <c r="R22" i="18" s="1"/>
  <c r="AZ60" i="1"/>
  <c r="AY60" i="1"/>
  <c r="P22" i="18" s="1"/>
  <c r="AW60" i="1"/>
  <c r="AV60" i="1"/>
  <c r="BA56" i="1"/>
  <c r="AZ56" i="1"/>
  <c r="Q21" i="18" s="1"/>
  <c r="Q19" i="18" s="1"/>
  <c r="AY56" i="1"/>
  <c r="AX56" i="1"/>
  <c r="O21" i="18" s="1"/>
  <c r="AW56" i="1"/>
  <c r="AV56" i="1"/>
  <c r="BA50" i="1"/>
  <c r="R20" i="18" s="1"/>
  <c r="AZ50" i="1"/>
  <c r="AY50" i="1"/>
  <c r="P20" i="18" s="1"/>
  <c r="AW50" i="1"/>
  <c r="N20" i="18" s="1"/>
  <c r="AV50" i="1"/>
  <c r="AU50" i="1"/>
  <c r="L20" i="18" s="1"/>
  <c r="BA44" i="1"/>
  <c r="BA40" i="1" s="1"/>
  <c r="AZ44" i="1"/>
  <c r="Q18" i="18" s="1"/>
  <c r="Q17" i="18" s="1"/>
  <c r="AY44" i="1"/>
  <c r="AY40" i="1" s="1"/>
  <c r="AX44" i="1"/>
  <c r="AW44" i="1"/>
  <c r="AW40" i="1" s="1"/>
  <c r="AV44" i="1"/>
  <c r="M18" i="18" s="1"/>
  <c r="M17" i="18" s="1"/>
  <c r="AZ40" i="1"/>
  <c r="AX40" i="1"/>
  <c r="AV40" i="1"/>
  <c r="BA39" i="1"/>
  <c r="R16" i="18" s="1"/>
  <c r="AZ39" i="1"/>
  <c r="AY39" i="1"/>
  <c r="P16" i="18" s="1"/>
  <c r="AX39" i="1"/>
  <c r="AX20" i="1" s="1"/>
  <c r="AW39" i="1"/>
  <c r="AV39" i="1"/>
  <c r="AU39" i="1"/>
  <c r="L16" i="18" s="1"/>
  <c r="BA37" i="1"/>
  <c r="R15" i="18" s="1"/>
  <c r="AZ37" i="1"/>
  <c r="AY37" i="1"/>
  <c r="AX37" i="1"/>
  <c r="AW37" i="1"/>
  <c r="N15" i="18" s="1"/>
  <c r="AV37" i="1"/>
  <c r="M15" i="18" s="1"/>
  <c r="BA29" i="1"/>
  <c r="R14" i="18" s="1"/>
  <c r="AZ29" i="1"/>
  <c r="AY29" i="1"/>
  <c r="P14" i="18" s="1"/>
  <c r="AX29" i="1"/>
  <c r="AW29" i="1"/>
  <c r="AV29" i="1"/>
  <c r="BA25" i="1"/>
  <c r="R13" i="18" s="1"/>
  <c r="AZ25" i="1"/>
  <c r="AZ20" i="1" s="1"/>
  <c r="AY25" i="1"/>
  <c r="AX25" i="1"/>
  <c r="AW25" i="1"/>
  <c r="AV25" i="1"/>
  <c r="AV20" i="1" s="1"/>
  <c r="BA19" i="1"/>
  <c r="BA16" i="1" s="1"/>
  <c r="AZ19" i="1"/>
  <c r="AZ16" i="1" s="1"/>
  <c r="AY19" i="1"/>
  <c r="AY16" i="1" s="1"/>
  <c r="AX19" i="1"/>
  <c r="AW19" i="1"/>
  <c r="AW16" i="1" s="1"/>
  <c r="AV19" i="1"/>
  <c r="M11" i="18" s="1"/>
  <c r="M10" i="18" s="1"/>
  <c r="AU19" i="1"/>
  <c r="AU16" i="1" s="1"/>
  <c r="AX16" i="1"/>
  <c r="AV16" i="1"/>
  <c r="BA15" i="1"/>
  <c r="AZ15" i="1"/>
  <c r="AY15" i="1"/>
  <c r="AW15" i="1"/>
  <c r="N9" i="18" s="1"/>
  <c r="AV15" i="1"/>
  <c r="BA11" i="1"/>
  <c r="AZ11" i="1"/>
  <c r="Q8" i="18" s="1"/>
  <c r="AY11" i="1"/>
  <c r="P8" i="18" s="1"/>
  <c r="AX11" i="1"/>
  <c r="AW11" i="1"/>
  <c r="AV11" i="1"/>
  <c r="AU11" i="1"/>
  <c r="L8" i="18" s="1"/>
  <c r="AL243" i="1"/>
  <c r="AL238" i="1" s="1"/>
  <c r="AK243" i="1"/>
  <c r="AJ243" i="1"/>
  <c r="AJ238" i="1" s="1"/>
  <c r="AK238" i="1"/>
  <c r="AL237" i="1"/>
  <c r="AL232" i="1" s="1"/>
  <c r="AK237" i="1"/>
  <c r="AJ237" i="1"/>
  <c r="AJ232" i="1" s="1"/>
  <c r="AK232" i="1"/>
  <c r="AL231" i="1"/>
  <c r="AL226" i="1" s="1"/>
  <c r="AK231" i="1"/>
  <c r="AJ231" i="1"/>
  <c r="AJ226" i="1" s="1"/>
  <c r="AK226" i="1"/>
  <c r="AL225" i="1"/>
  <c r="AL221" i="1" s="1"/>
  <c r="AK225" i="1"/>
  <c r="AJ225" i="1"/>
  <c r="AJ221" i="1" s="1"/>
  <c r="AK221" i="1"/>
  <c r="AL220" i="1"/>
  <c r="AL213" i="1" s="1"/>
  <c r="AK220" i="1"/>
  <c r="AJ220" i="1"/>
  <c r="AJ213" i="1" s="1"/>
  <c r="AK213" i="1"/>
  <c r="AL212" i="1"/>
  <c r="AK212" i="1"/>
  <c r="AJ212" i="1"/>
  <c r="AL203" i="1"/>
  <c r="AL198" i="1" s="1"/>
  <c r="AK203" i="1"/>
  <c r="AK198" i="1" s="1"/>
  <c r="AJ203" i="1"/>
  <c r="AJ198" i="1"/>
  <c r="AL196" i="1"/>
  <c r="AK196" i="1"/>
  <c r="AJ196" i="1"/>
  <c r="AL193" i="1"/>
  <c r="AK193" i="1"/>
  <c r="AJ193" i="1"/>
  <c r="AL190" i="1"/>
  <c r="AK190" i="1"/>
  <c r="AK182" i="1" s="1"/>
  <c r="AJ190" i="1"/>
  <c r="AJ182" i="1" s="1"/>
  <c r="AL181" i="1"/>
  <c r="AK181" i="1"/>
  <c r="AJ181" i="1"/>
  <c r="AL178" i="1"/>
  <c r="AK178" i="1"/>
  <c r="AJ178" i="1"/>
  <c r="AL168" i="1"/>
  <c r="AL163" i="1" s="1"/>
  <c r="AK168" i="1"/>
  <c r="AJ168" i="1"/>
  <c r="AK163" i="1"/>
  <c r="AL162" i="1"/>
  <c r="AK162" i="1"/>
  <c r="AJ162" i="1"/>
  <c r="AL159" i="1"/>
  <c r="AL151" i="1" s="1"/>
  <c r="AK159" i="1"/>
  <c r="AJ159" i="1"/>
  <c r="AL156" i="1"/>
  <c r="AK156" i="1"/>
  <c r="AK151" i="1" s="1"/>
  <c r="AJ152" i="1"/>
  <c r="AJ156" i="1" s="1"/>
  <c r="AJ151" i="1" s="1"/>
  <c r="AL149" i="1"/>
  <c r="AL140" i="1" s="1"/>
  <c r="AK149" i="1"/>
  <c r="AJ149" i="1"/>
  <c r="AJ140" i="1" s="1"/>
  <c r="AK140" i="1"/>
  <c r="AL139" i="1"/>
  <c r="AL134" i="1" s="1"/>
  <c r="AK139" i="1"/>
  <c r="AJ139" i="1"/>
  <c r="AJ134" i="1" s="1"/>
  <c r="AK134" i="1"/>
  <c r="AL133" i="1"/>
  <c r="AL123" i="1" s="1"/>
  <c r="AK133" i="1"/>
  <c r="AJ133" i="1"/>
  <c r="AJ123" i="1" s="1"/>
  <c r="AK123" i="1"/>
  <c r="AL122" i="1"/>
  <c r="AL118" i="1" s="1"/>
  <c r="AK122" i="1"/>
  <c r="AJ122" i="1"/>
  <c r="AJ118" i="1" s="1"/>
  <c r="AK118" i="1"/>
  <c r="AL117" i="1"/>
  <c r="AL111" i="1" s="1"/>
  <c r="AK117" i="1"/>
  <c r="AJ117" i="1"/>
  <c r="AJ111" i="1" s="1"/>
  <c r="AK111" i="1"/>
  <c r="AL110" i="1"/>
  <c r="AL106" i="1" s="1"/>
  <c r="AK110" i="1"/>
  <c r="AJ110" i="1"/>
  <c r="AJ106" i="1" s="1"/>
  <c r="AK106" i="1"/>
  <c r="AL105" i="1"/>
  <c r="AL100" i="1" s="1"/>
  <c r="AK105" i="1"/>
  <c r="AJ105" i="1"/>
  <c r="AJ100" i="1" s="1"/>
  <c r="AK100" i="1"/>
  <c r="AL93" i="1"/>
  <c r="AK93" i="1"/>
  <c r="AJ93" i="1"/>
  <c r="AL92" i="1"/>
  <c r="AK92" i="1"/>
  <c r="AJ92" i="1"/>
  <c r="AL88" i="1"/>
  <c r="AL79" i="1" s="1"/>
  <c r="AL78" i="1" s="1"/>
  <c r="AK88" i="1"/>
  <c r="AJ88" i="1"/>
  <c r="AL85" i="1"/>
  <c r="AK85" i="1"/>
  <c r="AK79" i="1" s="1"/>
  <c r="AK78" i="1" s="1"/>
  <c r="AJ85" i="1"/>
  <c r="AJ79" i="1" s="1"/>
  <c r="AL77" i="1"/>
  <c r="AL61" i="1" s="1"/>
  <c r="AK77" i="1"/>
  <c r="AK61" i="1" s="1"/>
  <c r="AJ77" i="1"/>
  <c r="AJ61" i="1" s="1"/>
  <c r="AL60" i="1"/>
  <c r="AK60" i="1"/>
  <c r="AJ60" i="1"/>
  <c r="AL56" i="1"/>
  <c r="AK56" i="1"/>
  <c r="AK45" i="1" s="1"/>
  <c r="AJ56" i="1"/>
  <c r="AL50" i="1"/>
  <c r="AK50" i="1"/>
  <c r="AJ50" i="1"/>
  <c r="AJ45" i="1" s="1"/>
  <c r="AL44" i="1"/>
  <c r="AL40" i="1" s="1"/>
  <c r="AK44" i="1"/>
  <c r="AJ44" i="1"/>
  <c r="AJ40" i="1" s="1"/>
  <c r="AK40" i="1"/>
  <c r="AL39" i="1"/>
  <c r="AK39" i="1"/>
  <c r="AJ39" i="1"/>
  <c r="AL37" i="1"/>
  <c r="AK37" i="1"/>
  <c r="AJ37" i="1"/>
  <c r="AL29" i="1"/>
  <c r="AL20" i="1" s="1"/>
  <c r="AK29" i="1"/>
  <c r="AJ29" i="1"/>
  <c r="AL25" i="1"/>
  <c r="AK25" i="1"/>
  <c r="AK20" i="1" s="1"/>
  <c r="AJ25" i="1"/>
  <c r="AJ20" i="1" s="1"/>
  <c r="AL19" i="1"/>
  <c r="AL16" i="1" s="1"/>
  <c r="AK19" i="1"/>
  <c r="AK16" i="1" s="1"/>
  <c r="AJ19" i="1"/>
  <c r="AJ16" i="1"/>
  <c r="AL15" i="1"/>
  <c r="AK15" i="1"/>
  <c r="AJ15" i="1"/>
  <c r="AL11" i="1"/>
  <c r="AK11" i="1"/>
  <c r="AJ11" i="1"/>
  <c r="AD243" i="1"/>
  <c r="AC243" i="1"/>
  <c r="AC238" i="1" s="1"/>
  <c r="AD238" i="1"/>
  <c r="AD237" i="1"/>
  <c r="AC237" i="1"/>
  <c r="AC232" i="1" s="1"/>
  <c r="AD232" i="1"/>
  <c r="AD231" i="1"/>
  <c r="AD226" i="1" s="1"/>
  <c r="AC228" i="1"/>
  <c r="AC231" i="1" s="1"/>
  <c r="AC226" i="1" s="1"/>
  <c r="AD225" i="1"/>
  <c r="AD221" i="1" s="1"/>
  <c r="AC225" i="1"/>
  <c r="AC221" i="1"/>
  <c r="AD220" i="1"/>
  <c r="AD213" i="1" s="1"/>
  <c r="AC218" i="1"/>
  <c r="AC217" i="1"/>
  <c r="AD212" i="1"/>
  <c r="AC212" i="1"/>
  <c r="AD203" i="1"/>
  <c r="AC200" i="1"/>
  <c r="AC203" i="1" s="1"/>
  <c r="AC198" i="1" s="1"/>
  <c r="AD196" i="1"/>
  <c r="AC196" i="1"/>
  <c r="AD193" i="1"/>
  <c r="AC193" i="1"/>
  <c r="AD190" i="1"/>
  <c r="AD182" i="1" s="1"/>
  <c r="AC190" i="1"/>
  <c r="AD181" i="1"/>
  <c r="AC181" i="1"/>
  <c r="AD178" i="1"/>
  <c r="AC175" i="1"/>
  <c r="AC173" i="1"/>
  <c r="AC171" i="1"/>
  <c r="AC170" i="1"/>
  <c r="AC169" i="1"/>
  <c r="AD168" i="1"/>
  <c r="AC168" i="1"/>
  <c r="AD163" i="1"/>
  <c r="AD162" i="1"/>
  <c r="AC162" i="1"/>
  <c r="AD159" i="1"/>
  <c r="AC159" i="1"/>
  <c r="AD156" i="1"/>
  <c r="AC156" i="1"/>
  <c r="AD149" i="1"/>
  <c r="AD140" i="1" s="1"/>
  <c r="AC149" i="1"/>
  <c r="AC140" i="1" s="1"/>
  <c r="AD139" i="1"/>
  <c r="AC135" i="1"/>
  <c r="AC139" i="1" s="1"/>
  <c r="AC134" i="1" s="1"/>
  <c r="AD134" i="1"/>
  <c r="AD133" i="1"/>
  <c r="AC133" i="1"/>
  <c r="AC123" i="1" s="1"/>
  <c r="AD123" i="1"/>
  <c r="AD122" i="1"/>
  <c r="AD118" i="1" s="1"/>
  <c r="AC122" i="1"/>
  <c r="AC118" i="1"/>
  <c r="AD117" i="1"/>
  <c r="AD111" i="1" s="1"/>
  <c r="AC117" i="1"/>
  <c r="AC111" i="1" s="1"/>
  <c r="AD110" i="1"/>
  <c r="AC110" i="1"/>
  <c r="AC106" i="1" s="1"/>
  <c r="AD106" i="1"/>
  <c r="AD105" i="1"/>
  <c r="AC105" i="1"/>
  <c r="AC100" i="1" s="1"/>
  <c r="AD100" i="1"/>
  <c r="AD93" i="1"/>
  <c r="AC93" i="1"/>
  <c r="AD92" i="1"/>
  <c r="AC92" i="1"/>
  <c r="AD88" i="1"/>
  <c r="AC88" i="1"/>
  <c r="AD85" i="1"/>
  <c r="AD79" i="1" s="1"/>
  <c r="AC85" i="1"/>
  <c r="AC79" i="1" s="1"/>
  <c r="AD77" i="1"/>
  <c r="AD61" i="1" s="1"/>
  <c r="AC75" i="1"/>
  <c r="AC73" i="1"/>
  <c r="AC72" i="1"/>
  <c r="AC67" i="1"/>
  <c r="AD60" i="1"/>
  <c r="AC60" i="1"/>
  <c r="AD56" i="1"/>
  <c r="AC52" i="1"/>
  <c r="AC56" i="1" s="1"/>
  <c r="AD50" i="1"/>
  <c r="AD45" i="1" s="1"/>
  <c r="AC50" i="1"/>
  <c r="AD44" i="1"/>
  <c r="AD40" i="1" s="1"/>
  <c r="AC44" i="1"/>
  <c r="AC40" i="1" s="1"/>
  <c r="AD39" i="1"/>
  <c r="AC39" i="1"/>
  <c r="AD37" i="1"/>
  <c r="AC37" i="1"/>
  <c r="AD29" i="1"/>
  <c r="AC29" i="1"/>
  <c r="AD25" i="1"/>
  <c r="AC23" i="1"/>
  <c r="AC21" i="1"/>
  <c r="AD19" i="1"/>
  <c r="AD16" i="1" s="1"/>
  <c r="AC19" i="1"/>
  <c r="AC16" i="1" s="1"/>
  <c r="AD15" i="1"/>
  <c r="AC15" i="1"/>
  <c r="AD11" i="1"/>
  <c r="AC11" i="1"/>
  <c r="Z198" i="1"/>
  <c r="Z197" i="1"/>
  <c r="AA61" i="1"/>
  <c r="Z61" i="1"/>
  <c r="AA45" i="1"/>
  <c r="Z45" i="1"/>
  <c r="AA40" i="1"/>
  <c r="Z40" i="1"/>
  <c r="AA20" i="1"/>
  <c r="Z20" i="1"/>
  <c r="AA16" i="1"/>
  <c r="Z16" i="1"/>
  <c r="K52" i="1"/>
  <c r="AM188" i="23"/>
  <c r="AN188" i="23" s="1"/>
  <c r="AB188" i="23"/>
  <c r="U188" i="23"/>
  <c r="T188" i="23"/>
  <c r="S188" i="23"/>
  <c r="R188" i="23"/>
  <c r="L188" i="23"/>
  <c r="M188" i="23" s="1"/>
  <c r="AM188" i="22"/>
  <c r="AB188" i="22"/>
  <c r="U188" i="22"/>
  <c r="T188" i="22"/>
  <c r="S188" i="22"/>
  <c r="R188" i="22"/>
  <c r="L188" i="22"/>
  <c r="M188" i="22" s="1"/>
  <c r="AM188" i="17"/>
  <c r="AN188" i="17" s="1"/>
  <c r="AB188" i="17"/>
  <c r="Y188" i="17"/>
  <c r="U188" i="17"/>
  <c r="T188" i="17"/>
  <c r="S188" i="17"/>
  <c r="R188" i="17"/>
  <c r="L188" i="17"/>
  <c r="M188" i="17" s="1"/>
  <c r="AM188" i="16"/>
  <c r="AN188" i="16" s="1"/>
  <c r="AB188" i="16"/>
  <c r="Y188" i="16"/>
  <c r="U188" i="16"/>
  <c r="T188" i="16"/>
  <c r="S188" i="16"/>
  <c r="R188" i="16"/>
  <c r="L188" i="16"/>
  <c r="M188" i="16" s="1"/>
  <c r="AM188" i="15"/>
  <c r="AN188" i="15" s="1"/>
  <c r="AB188" i="15"/>
  <c r="Y188" i="15"/>
  <c r="U188" i="15"/>
  <c r="T188" i="15"/>
  <c r="S188" i="15"/>
  <c r="R188" i="15"/>
  <c r="L188" i="15"/>
  <c r="M188" i="15" s="1"/>
  <c r="AM188" i="14"/>
  <c r="AN188" i="14" s="1"/>
  <c r="AB188" i="14"/>
  <c r="Y188" i="14"/>
  <c r="U188" i="14"/>
  <c r="T188" i="14"/>
  <c r="S188" i="14"/>
  <c r="R188" i="14"/>
  <c r="L188" i="14"/>
  <c r="M188" i="14" s="1"/>
  <c r="AM188" i="13"/>
  <c r="AN188" i="13" s="1"/>
  <c r="AB188" i="13"/>
  <c r="Y188" i="13"/>
  <c r="U188" i="13"/>
  <c r="T188" i="13"/>
  <c r="S188" i="13"/>
  <c r="R188" i="13"/>
  <c r="L188" i="13"/>
  <c r="M188" i="13" s="1"/>
  <c r="AM188" i="12"/>
  <c r="AN188" i="12" s="1"/>
  <c r="AB188" i="12"/>
  <c r="Y188" i="12"/>
  <c r="U188" i="12"/>
  <c r="T188" i="12"/>
  <c r="S188" i="12"/>
  <c r="R188" i="12"/>
  <c r="L188" i="12"/>
  <c r="M188" i="12" s="1"/>
  <c r="AM188" i="1"/>
  <c r="AN188" i="1" s="1"/>
  <c r="AB188" i="1"/>
  <c r="Y188" i="1"/>
  <c r="U188" i="1"/>
  <c r="T188" i="1"/>
  <c r="S188" i="1"/>
  <c r="R188" i="1"/>
  <c r="L188" i="1"/>
  <c r="M188" i="1" s="1"/>
  <c r="AM184" i="23"/>
  <c r="AN184" i="23" s="1"/>
  <c r="AB184" i="23"/>
  <c r="U184" i="23"/>
  <c r="T184" i="23"/>
  <c r="S184" i="23"/>
  <c r="R184" i="23"/>
  <c r="L184" i="23"/>
  <c r="M184" i="23" s="1"/>
  <c r="AM184" i="22"/>
  <c r="AN184" i="22" s="1"/>
  <c r="AB184" i="22"/>
  <c r="U184" i="22"/>
  <c r="T184" i="22"/>
  <c r="S184" i="22"/>
  <c r="R184" i="22"/>
  <c r="L184" i="22"/>
  <c r="M184" i="22" s="1"/>
  <c r="AM184" i="17"/>
  <c r="AN184" i="17" s="1"/>
  <c r="AB184" i="17"/>
  <c r="Y184" i="17"/>
  <c r="U184" i="17"/>
  <c r="T184" i="17"/>
  <c r="S184" i="17"/>
  <c r="R184" i="17"/>
  <c r="L184" i="17"/>
  <c r="M184" i="17" s="1"/>
  <c r="AM184" i="16"/>
  <c r="AN184" i="16" s="1"/>
  <c r="AB184" i="16"/>
  <c r="Y184" i="16"/>
  <c r="U184" i="16"/>
  <c r="T184" i="16"/>
  <c r="S184" i="16"/>
  <c r="R184" i="16"/>
  <c r="L184" i="16"/>
  <c r="M184" i="16" s="1"/>
  <c r="AM184" i="15"/>
  <c r="AN184" i="15" s="1"/>
  <c r="AB184" i="15"/>
  <c r="Y184" i="15"/>
  <c r="U184" i="15"/>
  <c r="T184" i="15"/>
  <c r="S184" i="15"/>
  <c r="R184" i="15"/>
  <c r="M184" i="15"/>
  <c r="AM184" i="14"/>
  <c r="AN184" i="14" s="1"/>
  <c r="AB184" i="14"/>
  <c r="Y184" i="14"/>
  <c r="U184" i="14"/>
  <c r="T184" i="14"/>
  <c r="S184" i="14"/>
  <c r="R184" i="14"/>
  <c r="M184" i="14"/>
  <c r="AM184" i="13"/>
  <c r="AN184" i="13" s="1"/>
  <c r="AB184" i="13"/>
  <c r="Y184" i="13"/>
  <c r="U184" i="13"/>
  <c r="T184" i="13"/>
  <c r="S184" i="13"/>
  <c r="R184" i="13"/>
  <c r="M184" i="13"/>
  <c r="AM184" i="12"/>
  <c r="AB184" i="12"/>
  <c r="Y184" i="12"/>
  <c r="U184" i="12"/>
  <c r="T184" i="12"/>
  <c r="S184" i="12"/>
  <c r="R184" i="12"/>
  <c r="M184" i="12"/>
  <c r="AM184" i="1"/>
  <c r="AB184" i="1"/>
  <c r="Y184" i="1"/>
  <c r="U184" i="1"/>
  <c r="T184" i="1"/>
  <c r="S184" i="1"/>
  <c r="R184" i="1"/>
  <c r="M184" i="1"/>
  <c r="AM83" i="23"/>
  <c r="AN83" i="23" s="1"/>
  <c r="AB83" i="23"/>
  <c r="U83" i="23"/>
  <c r="T83" i="23"/>
  <c r="S83" i="23"/>
  <c r="R83" i="23"/>
  <c r="L83" i="23"/>
  <c r="M83" i="23" s="1"/>
  <c r="AM83" i="22"/>
  <c r="AN83" i="22" s="1"/>
  <c r="AB83" i="22"/>
  <c r="U83" i="22"/>
  <c r="T83" i="22"/>
  <c r="S83" i="22"/>
  <c r="R83" i="22"/>
  <c r="L83" i="22"/>
  <c r="M83" i="22" s="1"/>
  <c r="AM83" i="17"/>
  <c r="AN83" i="17" s="1"/>
  <c r="AB83" i="17"/>
  <c r="Y83" i="17"/>
  <c r="U83" i="17"/>
  <c r="T83" i="17"/>
  <c r="S83" i="17"/>
  <c r="R83" i="17"/>
  <c r="L83" i="17"/>
  <c r="M83" i="17" s="1"/>
  <c r="AM83" i="16"/>
  <c r="AN83" i="16" s="1"/>
  <c r="AB83" i="16"/>
  <c r="Y83" i="16"/>
  <c r="U83" i="16"/>
  <c r="T83" i="16"/>
  <c r="S83" i="16"/>
  <c r="R83" i="16"/>
  <c r="L83" i="16"/>
  <c r="AM83" i="15"/>
  <c r="AN83" i="15" s="1"/>
  <c r="AB83" i="15"/>
  <c r="Y83" i="15"/>
  <c r="U83" i="15"/>
  <c r="T83" i="15"/>
  <c r="S83" i="15"/>
  <c r="R83" i="15"/>
  <c r="L83" i="15"/>
  <c r="M83" i="15" s="1"/>
  <c r="AM83" i="14"/>
  <c r="AN83" i="14" s="1"/>
  <c r="AE83" i="14"/>
  <c r="AB83" i="14"/>
  <c r="Y83" i="14"/>
  <c r="U83" i="14"/>
  <c r="T83" i="14"/>
  <c r="S83" i="14"/>
  <c r="R83" i="14"/>
  <c r="L83" i="14"/>
  <c r="M83" i="14" s="1"/>
  <c r="AM83" i="13"/>
  <c r="AB83" i="13"/>
  <c r="Y83" i="13"/>
  <c r="U83" i="13"/>
  <c r="T83" i="13"/>
  <c r="S83" i="13"/>
  <c r="R83" i="13"/>
  <c r="L83" i="13"/>
  <c r="M83" i="13" s="1"/>
  <c r="AM83" i="12"/>
  <c r="AN83" i="12" s="1"/>
  <c r="AB83" i="12"/>
  <c r="AE85" i="12" s="1"/>
  <c r="Y83" i="12"/>
  <c r="U83" i="12"/>
  <c r="T83" i="12"/>
  <c r="S83" i="12"/>
  <c r="R83" i="12"/>
  <c r="L83" i="12"/>
  <c r="AM83" i="1"/>
  <c r="AN83" i="1" s="1"/>
  <c r="AB83" i="1"/>
  <c r="Y83" i="1"/>
  <c r="U83" i="1"/>
  <c r="T83" i="1"/>
  <c r="S83" i="1"/>
  <c r="R83" i="1"/>
  <c r="L83" i="1"/>
  <c r="BA289" i="23"/>
  <c r="BA284" i="23" s="1"/>
  <c r="AZ289" i="23"/>
  <c r="AZ284" i="23" s="1"/>
  <c r="AY289" i="23"/>
  <c r="AY284" i="23" s="1"/>
  <c r="AX289" i="23"/>
  <c r="AX284" i="23" s="1"/>
  <c r="AW289" i="23"/>
  <c r="AW284" i="23" s="1"/>
  <c r="AV289" i="23"/>
  <c r="AV284" i="23" s="1"/>
  <c r="BA283" i="23"/>
  <c r="BA277" i="23" s="1"/>
  <c r="AZ283" i="23"/>
  <c r="AZ277" i="23" s="1"/>
  <c r="AY283" i="23"/>
  <c r="AY277" i="23" s="1"/>
  <c r="AX283" i="23"/>
  <c r="AX277" i="23" s="1"/>
  <c r="AW283" i="23"/>
  <c r="AW277" i="23" s="1"/>
  <c r="AV283" i="23"/>
  <c r="AV277" i="23" s="1"/>
  <c r="BA276" i="23"/>
  <c r="AZ276" i="23"/>
  <c r="AY276" i="23"/>
  <c r="AX276" i="23"/>
  <c r="AW276" i="23"/>
  <c r="AV276" i="23"/>
  <c r="BA273" i="23"/>
  <c r="BA269" i="23" s="1"/>
  <c r="AZ273" i="23"/>
  <c r="AZ269" i="23" s="1"/>
  <c r="AY273" i="23"/>
  <c r="AX273" i="23"/>
  <c r="AW273" i="23"/>
  <c r="AW269" i="23" s="1"/>
  <c r="AV273" i="23"/>
  <c r="AV269" i="23" s="1"/>
  <c r="BA268" i="23"/>
  <c r="AZ268" i="23"/>
  <c r="AY268" i="23"/>
  <c r="AX268" i="23"/>
  <c r="AW268" i="23"/>
  <c r="AV268" i="23"/>
  <c r="BA263" i="23"/>
  <c r="BA259" i="23" s="1"/>
  <c r="AZ263" i="23"/>
  <c r="AZ259" i="23" s="1"/>
  <c r="AY263" i="23"/>
  <c r="AX263" i="23"/>
  <c r="AW263" i="23"/>
  <c r="AW259" i="23" s="1"/>
  <c r="AV263" i="23"/>
  <c r="AV259" i="23" s="1"/>
  <c r="BA258" i="23"/>
  <c r="AZ258" i="23"/>
  <c r="AY258" i="23"/>
  <c r="AX258" i="23"/>
  <c r="AW258" i="23"/>
  <c r="AV258" i="23"/>
  <c r="BA254" i="23"/>
  <c r="AZ254" i="23"/>
  <c r="AY254" i="23"/>
  <c r="AX254" i="23"/>
  <c r="AV254" i="23"/>
  <c r="BA250" i="23"/>
  <c r="AZ250" i="23"/>
  <c r="AY250" i="23"/>
  <c r="AX250" i="23"/>
  <c r="AW250" i="23"/>
  <c r="AV250" i="23"/>
  <c r="AD289" i="23"/>
  <c r="AD284" i="23" s="1"/>
  <c r="AC289" i="23"/>
  <c r="AC284" i="23" s="1"/>
  <c r="AD283" i="23"/>
  <c r="AD277" i="23" s="1"/>
  <c r="AC283" i="23"/>
  <c r="AC277" i="23" s="1"/>
  <c r="AD276" i="23"/>
  <c r="AC276" i="23"/>
  <c r="AD273" i="23"/>
  <c r="AD269" i="23" s="1"/>
  <c r="AC273" i="23"/>
  <c r="AD267" i="23"/>
  <c r="AD268" i="23"/>
  <c r="AC268" i="23"/>
  <c r="AD261" i="23"/>
  <c r="AD263" i="23" s="1"/>
  <c r="AC263" i="23"/>
  <c r="AD255" i="23"/>
  <c r="AD258" i="23" s="1"/>
  <c r="AD257" i="23"/>
  <c r="AC258" i="23"/>
  <c r="AD254" i="23"/>
  <c r="AC252" i="23"/>
  <c r="AC254" i="23" s="1"/>
  <c r="AC253" i="23"/>
  <c r="AD246" i="23"/>
  <c r="AD250" i="23" s="1"/>
  <c r="AC248" i="23"/>
  <c r="AC250" i="23" s="1"/>
  <c r="BA289" i="22"/>
  <c r="BA284" i="22" s="1"/>
  <c r="AZ289" i="22"/>
  <c r="AZ284" i="22" s="1"/>
  <c r="AY289" i="22"/>
  <c r="AY284" i="22" s="1"/>
  <c r="AX289" i="22"/>
  <c r="AX284" i="22" s="1"/>
  <c r="AW289" i="22"/>
  <c r="AW284" i="22" s="1"/>
  <c r="AV289" i="22"/>
  <c r="AV284" i="22" s="1"/>
  <c r="BA283" i="22"/>
  <c r="BA277" i="22" s="1"/>
  <c r="AZ283" i="22"/>
  <c r="AZ277" i="22" s="1"/>
  <c r="AY283" i="22"/>
  <c r="AY277" i="22" s="1"/>
  <c r="AX283" i="22"/>
  <c r="AX277" i="22" s="1"/>
  <c r="AW283" i="22"/>
  <c r="AW277" i="22" s="1"/>
  <c r="AV283" i="22"/>
  <c r="AV277" i="22" s="1"/>
  <c r="BA276" i="22"/>
  <c r="AZ276" i="22"/>
  <c r="AY276" i="22"/>
  <c r="AX276" i="22"/>
  <c r="AW276" i="22"/>
  <c r="AV276" i="22"/>
  <c r="BA273" i="22"/>
  <c r="AZ273" i="22"/>
  <c r="AZ269" i="22" s="1"/>
  <c r="AY273" i="22"/>
  <c r="AX273" i="22"/>
  <c r="AW273" i="22"/>
  <c r="AV273" i="22"/>
  <c r="AV269" i="22" s="1"/>
  <c r="BA268" i="22"/>
  <c r="AZ268" i="22"/>
  <c r="AY268" i="22"/>
  <c r="AX268" i="22"/>
  <c r="AW268" i="22"/>
  <c r="AV268" i="22"/>
  <c r="BA263" i="22"/>
  <c r="AZ263" i="22"/>
  <c r="AZ259" i="22" s="1"/>
  <c r="AY263" i="22"/>
  <c r="AX263" i="22"/>
  <c r="AW263" i="22"/>
  <c r="AV263" i="22"/>
  <c r="AV259" i="22" s="1"/>
  <c r="BA258" i="22"/>
  <c r="AZ258" i="22"/>
  <c r="AY258" i="22"/>
  <c r="AX258" i="22"/>
  <c r="AW258" i="22"/>
  <c r="AV258" i="22"/>
  <c r="BA254" i="22"/>
  <c r="AZ254" i="22"/>
  <c r="AY254" i="22"/>
  <c r="AX254" i="22"/>
  <c r="AV254" i="22"/>
  <c r="BA250" i="22"/>
  <c r="AZ250" i="22"/>
  <c r="AY250" i="22"/>
  <c r="AX250" i="22"/>
  <c r="AW250" i="22"/>
  <c r="AV250" i="22"/>
  <c r="AD289" i="22"/>
  <c r="AD284" i="22" s="1"/>
  <c r="AC289" i="22"/>
  <c r="AC284" i="22" s="1"/>
  <c r="AD283" i="22"/>
  <c r="AD277" i="22" s="1"/>
  <c r="AC283" i="22"/>
  <c r="AC277" i="22" s="1"/>
  <c r="AD276" i="22"/>
  <c r="AC276" i="22"/>
  <c r="AD273" i="22"/>
  <c r="AD269" i="22" s="1"/>
  <c r="AC273" i="22"/>
  <c r="AD267" i="22"/>
  <c r="AD268" i="22"/>
  <c r="AC268" i="22"/>
  <c r="AD261" i="22"/>
  <c r="AD263" i="22" s="1"/>
  <c r="AC263" i="22"/>
  <c r="AD255" i="22"/>
  <c r="AD258" i="22" s="1"/>
  <c r="AD257" i="22"/>
  <c r="AC258" i="22"/>
  <c r="AD254" i="22"/>
  <c r="AC252" i="22"/>
  <c r="AC254" i="22" s="1"/>
  <c r="AC253" i="22"/>
  <c r="AD246" i="22"/>
  <c r="AD250" i="22" s="1"/>
  <c r="AC248" i="22"/>
  <c r="AC250" i="22"/>
  <c r="DE84" i="18"/>
  <c r="DA84" i="18"/>
  <c r="CZ84" i="18"/>
  <c r="DE78" i="18"/>
  <c r="DA78" i="18"/>
  <c r="DD76" i="18"/>
  <c r="DC76" i="18"/>
  <c r="CZ76" i="18"/>
  <c r="BA289" i="17"/>
  <c r="BA284" i="17" s="1"/>
  <c r="AZ289" i="17"/>
  <c r="AZ284" i="17" s="1"/>
  <c r="AY289" i="17"/>
  <c r="AY284" i="17" s="1"/>
  <c r="AX289" i="17"/>
  <c r="AX284" i="17" s="1"/>
  <c r="AW289" i="17"/>
  <c r="AW284" i="17" s="1"/>
  <c r="AV289" i="17"/>
  <c r="AV284" i="17" s="1"/>
  <c r="BA283" i="17"/>
  <c r="BA277" i="17" s="1"/>
  <c r="AZ283" i="17"/>
  <c r="AZ277" i="17" s="1"/>
  <c r="AY283" i="17"/>
  <c r="AY277" i="17" s="1"/>
  <c r="AX283" i="17"/>
  <c r="AX277" i="17" s="1"/>
  <c r="AW283" i="17"/>
  <c r="AW277" i="17" s="1"/>
  <c r="AV283" i="17"/>
  <c r="AV277" i="17" s="1"/>
  <c r="BA276" i="17"/>
  <c r="AZ276" i="17"/>
  <c r="AY276" i="17"/>
  <c r="AX276" i="17"/>
  <c r="AW276" i="17"/>
  <c r="AV276" i="17"/>
  <c r="BA273" i="17"/>
  <c r="AZ273" i="17"/>
  <c r="AZ269" i="17" s="1"/>
  <c r="AY273" i="17"/>
  <c r="AY269" i="17" s="1"/>
  <c r="AX273" i="17"/>
  <c r="AW273" i="17"/>
  <c r="AV273" i="17"/>
  <c r="AV269" i="17" s="1"/>
  <c r="BA268" i="17"/>
  <c r="AZ268" i="17"/>
  <c r="AY268" i="17"/>
  <c r="AX268" i="17"/>
  <c r="AW268" i="17"/>
  <c r="AV268" i="17"/>
  <c r="BA263" i="17"/>
  <c r="AZ263" i="17"/>
  <c r="AZ259" i="17" s="1"/>
  <c r="AY263" i="17"/>
  <c r="AY259" i="17" s="1"/>
  <c r="AX263" i="17"/>
  <c r="AW263" i="17"/>
  <c r="AV263" i="17"/>
  <c r="AV259" i="17" s="1"/>
  <c r="BA258" i="17"/>
  <c r="AZ258" i="17"/>
  <c r="AY258" i="17"/>
  <c r="AX258" i="17"/>
  <c r="AW258" i="17"/>
  <c r="AV258" i="17"/>
  <c r="BA254" i="17"/>
  <c r="AZ254" i="17"/>
  <c r="AY254" i="17"/>
  <c r="AX254" i="17"/>
  <c r="AV254" i="17"/>
  <c r="BA250" i="17"/>
  <c r="AZ250" i="17"/>
  <c r="AY250" i="17"/>
  <c r="AX250" i="17"/>
  <c r="AW250" i="17"/>
  <c r="AV250" i="17"/>
  <c r="AD289" i="17"/>
  <c r="AD284" i="17" s="1"/>
  <c r="AC289" i="17"/>
  <c r="AC284" i="17" s="1"/>
  <c r="AD283" i="17"/>
  <c r="AD277" i="17" s="1"/>
  <c r="AC283" i="17"/>
  <c r="AC277" i="17" s="1"/>
  <c r="AD276" i="17"/>
  <c r="AC276" i="17"/>
  <c r="AD273" i="17"/>
  <c r="AD269" i="17" s="1"/>
  <c r="AC271" i="17"/>
  <c r="AC273" i="17" s="1"/>
  <c r="AC269" i="17" s="1"/>
  <c r="AD267" i="17"/>
  <c r="AD268" i="17" s="1"/>
  <c r="AC268" i="17"/>
  <c r="AD261" i="17"/>
  <c r="AD263" i="17" s="1"/>
  <c r="AC263" i="17"/>
  <c r="AD255" i="17"/>
  <c r="AD257" i="17"/>
  <c r="AC258" i="17"/>
  <c r="AD254" i="17"/>
  <c r="AC252" i="17"/>
  <c r="AC253" i="17"/>
  <c r="AC254" i="17" s="1"/>
  <c r="AD246" i="17"/>
  <c r="AD250" i="17" s="1"/>
  <c r="AC248" i="17"/>
  <c r="AC250" i="17" s="1"/>
  <c r="BA289" i="16"/>
  <c r="BA284" i="16" s="1"/>
  <c r="AZ289" i="16"/>
  <c r="AZ284" i="16" s="1"/>
  <c r="AY289" i="16"/>
  <c r="AY284" i="16" s="1"/>
  <c r="AX289" i="16"/>
  <c r="AX284" i="16" s="1"/>
  <c r="AW289" i="16"/>
  <c r="AW284" i="16" s="1"/>
  <c r="AV289" i="16"/>
  <c r="AV284" i="16" s="1"/>
  <c r="BA283" i="16"/>
  <c r="BA277" i="16" s="1"/>
  <c r="AZ283" i="16"/>
  <c r="AZ277" i="16" s="1"/>
  <c r="AY283" i="16"/>
  <c r="AY277" i="16" s="1"/>
  <c r="AX283" i="16"/>
  <c r="AX277" i="16" s="1"/>
  <c r="AW283" i="16"/>
  <c r="AW277" i="16" s="1"/>
  <c r="AV283" i="16"/>
  <c r="AV277" i="16" s="1"/>
  <c r="BA276" i="16"/>
  <c r="AZ276" i="16"/>
  <c r="AY276" i="16"/>
  <c r="AX276" i="16"/>
  <c r="AW276" i="16"/>
  <c r="AV276" i="16"/>
  <c r="BA273" i="16"/>
  <c r="AZ273" i="16"/>
  <c r="AZ269" i="16" s="1"/>
  <c r="AY273" i="16"/>
  <c r="AX273" i="16"/>
  <c r="AX269" i="16" s="1"/>
  <c r="AW273" i="16"/>
  <c r="AV273" i="16"/>
  <c r="AV269" i="16" s="1"/>
  <c r="BA268" i="16"/>
  <c r="AZ268" i="16"/>
  <c r="AY268" i="16"/>
  <c r="AX268" i="16"/>
  <c r="AW268" i="16"/>
  <c r="AV268" i="16"/>
  <c r="BA263" i="16"/>
  <c r="AZ263" i="16"/>
  <c r="AZ259" i="16" s="1"/>
  <c r="AY263" i="16"/>
  <c r="AX263" i="16"/>
  <c r="AX259" i="16" s="1"/>
  <c r="AW263" i="16"/>
  <c r="AV263" i="16"/>
  <c r="AV259" i="16" s="1"/>
  <c r="BA258" i="16"/>
  <c r="AZ258" i="16"/>
  <c r="AY258" i="16"/>
  <c r="AX258" i="16"/>
  <c r="AW258" i="16"/>
  <c r="AV258" i="16"/>
  <c r="BA254" i="16"/>
  <c r="AZ254" i="16"/>
  <c r="AY254" i="16"/>
  <c r="AX254" i="16"/>
  <c r="AV254" i="16"/>
  <c r="BA250" i="16"/>
  <c r="AZ250" i="16"/>
  <c r="AY250" i="16"/>
  <c r="AX250" i="16"/>
  <c r="AW250" i="16"/>
  <c r="AV250" i="16"/>
  <c r="AL289" i="16"/>
  <c r="AL284" i="16" s="1"/>
  <c r="AK289" i="16"/>
  <c r="AK284" i="16" s="1"/>
  <c r="AJ289" i="16"/>
  <c r="AJ284" i="16" s="1"/>
  <c r="AL283" i="16"/>
  <c r="AL277" i="16" s="1"/>
  <c r="AK283" i="16"/>
  <c r="AK277" i="16" s="1"/>
  <c r="AJ283" i="16"/>
  <c r="AJ277" i="16" s="1"/>
  <c r="AL276" i="16"/>
  <c r="AK276" i="16"/>
  <c r="AJ276" i="16"/>
  <c r="AL273" i="16"/>
  <c r="AL269" i="16" s="1"/>
  <c r="AK273" i="16"/>
  <c r="AJ273" i="16"/>
  <c r="AJ269" i="16" s="1"/>
  <c r="AL268" i="16"/>
  <c r="AK268" i="16"/>
  <c r="AJ268" i="16"/>
  <c r="AL263" i="16"/>
  <c r="AL259" i="16" s="1"/>
  <c r="AK263" i="16"/>
  <c r="AJ263" i="16"/>
  <c r="AJ259" i="16" s="1"/>
  <c r="AL258" i="16"/>
  <c r="AK258" i="16"/>
  <c r="AJ258" i="16"/>
  <c r="AL254" i="16"/>
  <c r="AK254" i="16"/>
  <c r="AJ254" i="16"/>
  <c r="AL250" i="16"/>
  <c r="AK250" i="16"/>
  <c r="AJ250" i="16"/>
  <c r="AD289" i="16"/>
  <c r="AD284" i="16" s="1"/>
  <c r="AC289" i="16"/>
  <c r="AC284" i="16" s="1"/>
  <c r="AD283" i="16"/>
  <c r="AD277" i="16" s="1"/>
  <c r="AC283" i="16"/>
  <c r="AC277" i="16" s="1"/>
  <c r="AD276" i="16"/>
  <c r="AC276" i="16"/>
  <c r="AD273" i="16"/>
  <c r="AC270" i="16"/>
  <c r="AC273" i="16"/>
  <c r="AC269" i="16" s="1"/>
  <c r="AD268" i="16"/>
  <c r="AC268" i="16"/>
  <c r="AD261" i="16"/>
  <c r="AD263" i="16"/>
  <c r="AC263" i="16"/>
  <c r="AD255" i="16"/>
  <c r="AD258" i="16" s="1"/>
  <c r="AC258" i="16"/>
  <c r="AD254" i="16"/>
  <c r="AC252" i="16"/>
  <c r="AC253" i="16"/>
  <c r="AC254" i="16" s="1"/>
  <c r="AD250" i="16"/>
  <c r="AC248" i="16"/>
  <c r="AC250" i="16" s="1"/>
  <c r="BA289" i="15"/>
  <c r="BA284" i="15" s="1"/>
  <c r="AZ289" i="15"/>
  <c r="AZ284" i="15" s="1"/>
  <c r="AY289" i="15"/>
  <c r="AY284" i="15" s="1"/>
  <c r="AX289" i="15"/>
  <c r="AX284" i="15" s="1"/>
  <c r="AW289" i="15"/>
  <c r="AW284" i="15" s="1"/>
  <c r="AV289" i="15"/>
  <c r="AV284" i="15" s="1"/>
  <c r="BA283" i="15"/>
  <c r="BA277" i="15" s="1"/>
  <c r="AZ283" i="15"/>
  <c r="AZ277" i="15" s="1"/>
  <c r="AY283" i="15"/>
  <c r="AY277" i="15" s="1"/>
  <c r="AX283" i="15"/>
  <c r="AX277" i="15" s="1"/>
  <c r="AW283" i="15"/>
  <c r="AW277" i="15" s="1"/>
  <c r="AV283" i="15"/>
  <c r="AV277" i="15" s="1"/>
  <c r="BA276" i="15"/>
  <c r="AZ276" i="15"/>
  <c r="AY276" i="15"/>
  <c r="AX276" i="15"/>
  <c r="AW276" i="15"/>
  <c r="AV276" i="15"/>
  <c r="BA273" i="15"/>
  <c r="AZ273" i="15"/>
  <c r="AZ269" i="15" s="1"/>
  <c r="AY273" i="15"/>
  <c r="AY269" i="15" s="1"/>
  <c r="AX273" i="15"/>
  <c r="AX269" i="15" s="1"/>
  <c r="AW273" i="15"/>
  <c r="AV273" i="15"/>
  <c r="AV269" i="15" s="1"/>
  <c r="BA268" i="15"/>
  <c r="AZ268" i="15"/>
  <c r="AY268" i="15"/>
  <c r="AX268" i="15"/>
  <c r="AW268" i="15"/>
  <c r="AV268" i="15"/>
  <c r="BA263" i="15"/>
  <c r="AZ263" i="15"/>
  <c r="AZ259" i="15" s="1"/>
  <c r="AY263" i="15"/>
  <c r="AY259" i="15" s="1"/>
  <c r="AX263" i="15"/>
  <c r="AX259" i="15" s="1"/>
  <c r="AW263" i="15"/>
  <c r="AV263" i="15"/>
  <c r="AV259" i="15" s="1"/>
  <c r="AU263" i="15"/>
  <c r="BA258" i="15"/>
  <c r="AZ258" i="15"/>
  <c r="AY258" i="15"/>
  <c r="AX258" i="15"/>
  <c r="AW258" i="15"/>
  <c r="AV258" i="15"/>
  <c r="BA254" i="15"/>
  <c r="AZ254" i="15"/>
  <c r="AY254" i="15"/>
  <c r="AX254" i="15"/>
  <c r="AV254" i="15"/>
  <c r="BA250" i="15"/>
  <c r="AZ250" i="15"/>
  <c r="AY250" i="15"/>
  <c r="AX250" i="15"/>
  <c r="AW250" i="15"/>
  <c r="AV250" i="15"/>
  <c r="AL289" i="15"/>
  <c r="AL284" i="15" s="1"/>
  <c r="AK289" i="15"/>
  <c r="AK284" i="15" s="1"/>
  <c r="AJ289" i="15"/>
  <c r="AJ284" i="15" s="1"/>
  <c r="AL283" i="15"/>
  <c r="AL277" i="15" s="1"/>
  <c r="AK283" i="15"/>
  <c r="AK277" i="15" s="1"/>
  <c r="AJ283" i="15"/>
  <c r="AJ277" i="15" s="1"/>
  <c r="AL276" i="15"/>
  <c r="AK276" i="15"/>
  <c r="AJ276" i="15"/>
  <c r="AL273" i="15"/>
  <c r="AK273" i="15"/>
  <c r="AK269" i="15" s="1"/>
  <c r="AJ273" i="15"/>
  <c r="AL268" i="15"/>
  <c r="AK268" i="15"/>
  <c r="AJ268" i="15"/>
  <c r="AL263" i="15"/>
  <c r="AK263" i="15"/>
  <c r="AK259" i="15" s="1"/>
  <c r="AJ263" i="15"/>
  <c r="AL258" i="15"/>
  <c r="AK258" i="15"/>
  <c r="AJ258" i="15"/>
  <c r="AL254" i="15"/>
  <c r="AK254" i="15"/>
  <c r="AJ254" i="15"/>
  <c r="AL250" i="15"/>
  <c r="AK250" i="15"/>
  <c r="AJ250" i="15"/>
  <c r="AD289" i="15"/>
  <c r="AD284" i="15" s="1"/>
  <c r="AC289" i="15"/>
  <c r="AC284" i="15" s="1"/>
  <c r="AD283" i="15"/>
  <c r="AD277" i="15" s="1"/>
  <c r="AC283" i="15"/>
  <c r="AC277" i="15" s="1"/>
  <c r="AD276" i="15"/>
  <c r="AC275" i="15"/>
  <c r="AC276" i="15" s="1"/>
  <c r="AD273" i="15"/>
  <c r="AD269" i="15" s="1"/>
  <c r="AC273" i="15"/>
  <c r="AD268" i="15"/>
  <c r="AC268" i="15"/>
  <c r="AD261" i="15"/>
  <c r="AD263" i="15" s="1"/>
  <c r="AC263" i="15"/>
  <c r="AC259" i="15" s="1"/>
  <c r="AD258" i="15"/>
  <c r="AC258" i="15"/>
  <c r="AD254" i="15"/>
  <c r="AC252" i="15"/>
  <c r="AC254" i="15" s="1"/>
  <c r="AC253" i="15"/>
  <c r="AD250" i="15"/>
  <c r="AC248" i="15"/>
  <c r="AC250" i="15" s="1"/>
  <c r="BA289" i="14"/>
  <c r="BA284" i="14" s="1"/>
  <c r="AZ289" i="14"/>
  <c r="AZ284" i="14" s="1"/>
  <c r="AY289" i="14"/>
  <c r="AY284" i="14" s="1"/>
  <c r="AX289" i="14"/>
  <c r="AX284" i="14" s="1"/>
  <c r="AW289" i="14"/>
  <c r="AW284" i="14" s="1"/>
  <c r="AV289" i="14"/>
  <c r="AV284" i="14" s="1"/>
  <c r="BA283" i="14"/>
  <c r="BA277" i="14" s="1"/>
  <c r="AZ283" i="14"/>
  <c r="AZ277" i="14" s="1"/>
  <c r="AY283" i="14"/>
  <c r="AY277" i="14" s="1"/>
  <c r="AX283" i="14"/>
  <c r="AX277" i="14" s="1"/>
  <c r="AW283" i="14"/>
  <c r="AW277" i="14" s="1"/>
  <c r="AV283" i="14"/>
  <c r="AV277" i="14" s="1"/>
  <c r="BA276" i="14"/>
  <c r="AZ276" i="14"/>
  <c r="AY276" i="14"/>
  <c r="AX276" i="14"/>
  <c r="AW276" i="14"/>
  <c r="AV276" i="14"/>
  <c r="BA273" i="14"/>
  <c r="BA269" i="14" s="1"/>
  <c r="AZ273" i="14"/>
  <c r="AZ269" i="14" s="1"/>
  <c r="AY273" i="14"/>
  <c r="AY269" i="14" s="1"/>
  <c r="AX273" i="14"/>
  <c r="AW273" i="14"/>
  <c r="AW269" i="14" s="1"/>
  <c r="AV273" i="14"/>
  <c r="AV269" i="14" s="1"/>
  <c r="BA268" i="14"/>
  <c r="AZ268" i="14"/>
  <c r="AY268" i="14"/>
  <c r="AX268" i="14"/>
  <c r="AW268" i="14"/>
  <c r="AV268" i="14"/>
  <c r="BA263" i="14"/>
  <c r="BA259" i="14" s="1"/>
  <c r="AZ263" i="14"/>
  <c r="AZ259" i="14" s="1"/>
  <c r="AY263" i="14"/>
  <c r="AY259" i="14" s="1"/>
  <c r="AX263" i="14"/>
  <c r="AW263" i="14"/>
  <c r="AW259" i="14" s="1"/>
  <c r="AV263" i="14"/>
  <c r="AV259" i="14" s="1"/>
  <c r="BA258" i="14"/>
  <c r="AZ258" i="14"/>
  <c r="AY258" i="14"/>
  <c r="AX258" i="14"/>
  <c r="AW258" i="14"/>
  <c r="AV258" i="14"/>
  <c r="AU258" i="14"/>
  <c r="BA254" i="14"/>
  <c r="AZ254" i="14"/>
  <c r="AY254" i="14"/>
  <c r="AX254" i="14"/>
  <c r="AV254" i="14"/>
  <c r="BA250" i="14"/>
  <c r="AZ250" i="14"/>
  <c r="AY250" i="14"/>
  <c r="AX250" i="14"/>
  <c r="AW250" i="14"/>
  <c r="AV250" i="14"/>
  <c r="AL289" i="14"/>
  <c r="AL284" i="14" s="1"/>
  <c r="AK289" i="14"/>
  <c r="AK284" i="14" s="1"/>
  <c r="AJ289" i="14"/>
  <c r="AJ284" i="14" s="1"/>
  <c r="AL283" i="14"/>
  <c r="AL277" i="14" s="1"/>
  <c r="AK283" i="14"/>
  <c r="AK277" i="14" s="1"/>
  <c r="AJ283" i="14"/>
  <c r="AJ277" i="14" s="1"/>
  <c r="AL276" i="14"/>
  <c r="AK276" i="14"/>
  <c r="AJ276" i="14"/>
  <c r="AL273" i="14"/>
  <c r="AL269" i="14" s="1"/>
  <c r="AK273" i="14"/>
  <c r="AK269" i="14" s="1"/>
  <c r="AJ273" i="14"/>
  <c r="AJ269" i="14" s="1"/>
  <c r="AL268" i="14"/>
  <c r="AK264" i="14"/>
  <c r="AK268" i="14" s="1"/>
  <c r="AJ268" i="14"/>
  <c r="AL263" i="14"/>
  <c r="AL259" i="14" s="1"/>
  <c r="AK263" i="14"/>
  <c r="AJ263" i="14"/>
  <c r="AJ259" i="14" s="1"/>
  <c r="AL258" i="14"/>
  <c r="AK258" i="14"/>
  <c r="AJ258" i="14"/>
  <c r="AL254" i="14"/>
  <c r="AK254" i="14"/>
  <c r="AJ254" i="14"/>
  <c r="AL250" i="14"/>
  <c r="AK250" i="14"/>
  <c r="AJ250" i="14"/>
  <c r="AD289" i="14"/>
  <c r="AD284" i="14" s="1"/>
  <c r="AC289" i="14"/>
  <c r="AC284" i="14" s="1"/>
  <c r="AD283" i="14"/>
  <c r="AD277" i="14" s="1"/>
  <c r="AC283" i="14"/>
  <c r="AC277" i="14" s="1"/>
  <c r="AD276" i="14"/>
  <c r="AC275" i="14"/>
  <c r="AC276" i="14" s="1"/>
  <c r="AD273" i="14"/>
  <c r="AD269" i="14" s="1"/>
  <c r="AC273" i="14"/>
  <c r="AD268" i="14"/>
  <c r="AC268" i="14"/>
  <c r="AD261" i="14"/>
  <c r="AD263" i="14" s="1"/>
  <c r="AC263" i="14"/>
  <c r="AD258" i="14"/>
  <c r="AC258" i="14"/>
  <c r="AD254" i="14"/>
  <c r="AC254" i="14"/>
  <c r="AD250" i="14"/>
  <c r="AC250" i="14"/>
  <c r="BA283" i="13"/>
  <c r="BA277" i="13" s="1"/>
  <c r="AZ283" i="13"/>
  <c r="AZ277" i="13" s="1"/>
  <c r="AY283" i="13"/>
  <c r="AY277" i="13" s="1"/>
  <c r="AX283" i="13"/>
  <c r="AX277" i="13" s="1"/>
  <c r="AW283" i="13"/>
  <c r="AW277" i="13" s="1"/>
  <c r="AV283" i="13"/>
  <c r="AV277" i="13" s="1"/>
  <c r="BA276" i="13"/>
  <c r="AZ276" i="13"/>
  <c r="AY276" i="13"/>
  <c r="AX276" i="13"/>
  <c r="AW276" i="13"/>
  <c r="AV276" i="13"/>
  <c r="BA273" i="13"/>
  <c r="AZ273" i="13"/>
  <c r="AZ269" i="13" s="1"/>
  <c r="AY273" i="13"/>
  <c r="AY269" i="13" s="1"/>
  <c r="AX273" i="13"/>
  <c r="AX269" i="13" s="1"/>
  <c r="AW273" i="13"/>
  <c r="AV273" i="13"/>
  <c r="AV269" i="13" s="1"/>
  <c r="BA268" i="13"/>
  <c r="AZ268" i="13"/>
  <c r="AY268" i="13"/>
  <c r="AX268" i="13"/>
  <c r="AW268" i="13"/>
  <c r="AV268" i="13"/>
  <c r="BA263" i="13"/>
  <c r="AZ263" i="13"/>
  <c r="AZ259" i="13" s="1"/>
  <c r="AY263" i="13"/>
  <c r="AY259" i="13" s="1"/>
  <c r="AX263" i="13"/>
  <c r="AX259" i="13" s="1"/>
  <c r="AW263" i="13"/>
  <c r="AV263" i="13"/>
  <c r="AV259" i="13" s="1"/>
  <c r="BA258" i="13"/>
  <c r="AZ258" i="13"/>
  <c r="AY258" i="13"/>
  <c r="AX258" i="13"/>
  <c r="AW258" i="13"/>
  <c r="AV258" i="13"/>
  <c r="AU258" i="13"/>
  <c r="BA254" i="13"/>
  <c r="AY254" i="13"/>
  <c r="AX254" i="13"/>
  <c r="AW254" i="13"/>
  <c r="AV254" i="13"/>
  <c r="BA250" i="13"/>
  <c r="AZ250" i="13"/>
  <c r="AY250" i="13"/>
  <c r="AX250" i="13"/>
  <c r="AW250" i="13"/>
  <c r="AV250" i="13"/>
  <c r="AD289" i="13"/>
  <c r="AD284" i="13" s="1"/>
  <c r="AC289" i="13"/>
  <c r="AC284" i="13" s="1"/>
  <c r="AC288" i="13"/>
  <c r="AD283" i="13"/>
  <c r="AD277" i="13" s="1"/>
  <c r="AC283" i="13"/>
  <c r="AC277" i="13" s="1"/>
  <c r="AD276" i="13"/>
  <c r="AC275" i="13"/>
  <c r="AC276" i="13" s="1"/>
  <c r="AD273" i="13"/>
  <c r="AD269" i="13" s="1"/>
  <c r="AC273" i="13"/>
  <c r="AD268" i="13"/>
  <c r="AC268" i="13"/>
  <c r="AD263" i="13"/>
  <c r="AC263" i="13"/>
  <c r="AC259" i="13" s="1"/>
  <c r="AD258" i="13"/>
  <c r="AC258" i="13"/>
  <c r="AD254" i="13"/>
  <c r="AC251" i="13"/>
  <c r="AC254" i="13" s="1"/>
  <c r="AD250" i="13"/>
  <c r="AC250" i="13"/>
  <c r="L246" i="13"/>
  <c r="M246" i="13" s="1"/>
  <c r="R246" i="13"/>
  <c r="S246" i="13"/>
  <c r="T246" i="13"/>
  <c r="U246" i="13"/>
  <c r="Y246" i="13"/>
  <c r="AB246" i="13"/>
  <c r="AM246" i="13"/>
  <c r="AN246" i="13" s="1"/>
  <c r="L247" i="13"/>
  <c r="M247" i="13" s="1"/>
  <c r="AQ247" i="13" s="1"/>
  <c r="R247" i="13"/>
  <c r="S247" i="13"/>
  <c r="T247" i="13"/>
  <c r="U247" i="13"/>
  <c r="Y247" i="13"/>
  <c r="AB247" i="13"/>
  <c r="AM247" i="13"/>
  <c r="AN247" i="13" s="1"/>
  <c r="AS247" i="13" s="1"/>
  <c r="L248" i="13"/>
  <c r="M248" i="13" s="1"/>
  <c r="AQ248" i="13" s="1"/>
  <c r="R248" i="13"/>
  <c r="S248" i="13"/>
  <c r="T248" i="13"/>
  <c r="U248" i="13"/>
  <c r="Y248" i="13"/>
  <c r="AB248" i="13"/>
  <c r="AM248" i="13"/>
  <c r="AN248" i="13" s="1"/>
  <c r="AS248" i="13" s="1"/>
  <c r="L249" i="13"/>
  <c r="M249" i="13" s="1"/>
  <c r="AQ249" i="13" s="1"/>
  <c r="R249" i="13"/>
  <c r="S249" i="13"/>
  <c r="T249" i="13"/>
  <c r="U249" i="13"/>
  <c r="Y249" i="13"/>
  <c r="AB249" i="13"/>
  <c r="AM249" i="13"/>
  <c r="AN249" i="13" s="1"/>
  <c r="AS249" i="13" s="1"/>
  <c r="L250" i="13"/>
  <c r="AJ250" i="13"/>
  <c r="AK250" i="13"/>
  <c r="AL250" i="13"/>
  <c r="L251" i="13"/>
  <c r="M251" i="13" s="1"/>
  <c r="R251" i="13"/>
  <c r="S251" i="13"/>
  <c r="T251" i="13"/>
  <c r="U251" i="13"/>
  <c r="Y251" i="13"/>
  <c r="AB251" i="13"/>
  <c r="AM251" i="13"/>
  <c r="AN251" i="13" s="1"/>
  <c r="AS251" i="13" s="1"/>
  <c r="L252" i="13"/>
  <c r="M252" i="13" s="1"/>
  <c r="AQ252" i="13" s="1"/>
  <c r="R252" i="13"/>
  <c r="S252" i="13"/>
  <c r="T252" i="13"/>
  <c r="U252" i="13"/>
  <c r="Y252" i="13"/>
  <c r="AB252" i="13"/>
  <c r="AM252" i="13"/>
  <c r="AN252" i="13" s="1"/>
  <c r="L253" i="13"/>
  <c r="M253" i="13" s="1"/>
  <c r="AQ253" i="13" s="1"/>
  <c r="R253" i="13"/>
  <c r="S253" i="13"/>
  <c r="S254" i="13" s="1"/>
  <c r="T253" i="13"/>
  <c r="T254" i="13" s="1"/>
  <c r="U253" i="13"/>
  <c r="U254" i="13" s="1"/>
  <c r="Y253" i="13"/>
  <c r="AB253" i="13"/>
  <c r="AM253" i="13"/>
  <c r="AN253" i="13" s="1"/>
  <c r="AS253" i="13" s="1"/>
  <c r="R254" i="13"/>
  <c r="Y254" i="13"/>
  <c r="AJ254" i="13"/>
  <c r="AK254" i="13"/>
  <c r="AL254" i="13"/>
  <c r="L255" i="13"/>
  <c r="M255" i="13" s="1"/>
  <c r="R255" i="13"/>
  <c r="S255" i="13"/>
  <c r="T255" i="13"/>
  <c r="U255" i="13"/>
  <c r="Y255" i="13"/>
  <c r="AB255" i="13"/>
  <c r="AM255" i="13"/>
  <c r="AN255" i="13" s="1"/>
  <c r="L256" i="13"/>
  <c r="M256" i="13" s="1"/>
  <c r="AQ256" i="13" s="1"/>
  <c r="R256" i="13"/>
  <c r="S256" i="13"/>
  <c r="T256" i="13"/>
  <c r="U256" i="13"/>
  <c r="Y256" i="13"/>
  <c r="AB256" i="13"/>
  <c r="AM256" i="13"/>
  <c r="AN256" i="13" s="1"/>
  <c r="AS256" i="13" s="1"/>
  <c r="L257" i="13"/>
  <c r="M257" i="13" s="1"/>
  <c r="AQ257" i="13" s="1"/>
  <c r="R257" i="13"/>
  <c r="S257" i="13"/>
  <c r="S258" i="13" s="1"/>
  <c r="T257" i="13"/>
  <c r="U257" i="13"/>
  <c r="Y257" i="13"/>
  <c r="AB257" i="13"/>
  <c r="AB258" i="13" s="1"/>
  <c r="AM257" i="13"/>
  <c r="AN257" i="13" s="1"/>
  <c r="AS257" i="13" s="1"/>
  <c r="AJ258" i="13"/>
  <c r="AK258" i="13"/>
  <c r="AL258" i="13"/>
  <c r="L260" i="13"/>
  <c r="M260" i="13" s="1"/>
  <c r="AQ260" i="13" s="1"/>
  <c r="AU260" i="13" s="1"/>
  <c r="AB260" i="13"/>
  <c r="Y260" i="13"/>
  <c r="U260" i="13"/>
  <c r="T260" i="13"/>
  <c r="S260" i="13"/>
  <c r="R260" i="13"/>
  <c r="R263" i="13" s="1"/>
  <c r="AM260" i="13"/>
  <c r="AN260" i="13" s="1"/>
  <c r="L261" i="13"/>
  <c r="M261" i="13" s="1"/>
  <c r="AQ261" i="13" s="1"/>
  <c r="AU261" i="13" s="1"/>
  <c r="AB261" i="13"/>
  <c r="Y261" i="13"/>
  <c r="U261" i="13"/>
  <c r="T261" i="13"/>
  <c r="S261" i="13"/>
  <c r="R261" i="13"/>
  <c r="AM261" i="13"/>
  <c r="L262" i="13"/>
  <c r="M262" i="13" s="1"/>
  <c r="AQ262" i="13" s="1"/>
  <c r="AB262" i="13"/>
  <c r="Y262" i="13"/>
  <c r="U262" i="13"/>
  <c r="T262" i="13"/>
  <c r="T263" i="13" s="1"/>
  <c r="S262" i="13"/>
  <c r="R262" i="13"/>
  <c r="AM262" i="13"/>
  <c r="AS262" i="13" s="1"/>
  <c r="L264" i="13"/>
  <c r="M264" i="13" s="1"/>
  <c r="AB264" i="13"/>
  <c r="Y264" i="13"/>
  <c r="U264" i="13"/>
  <c r="T264" i="13"/>
  <c r="S264" i="13"/>
  <c r="R264" i="13"/>
  <c r="AM264" i="13"/>
  <c r="L265" i="13"/>
  <c r="M265" i="13" s="1"/>
  <c r="AQ265" i="13" s="1"/>
  <c r="AB265" i="13"/>
  <c r="Y265" i="13"/>
  <c r="U265" i="13"/>
  <c r="T265" i="13"/>
  <c r="S265" i="13"/>
  <c r="R265" i="13"/>
  <c r="AM265" i="13"/>
  <c r="AN265" i="13" s="1"/>
  <c r="L266" i="13"/>
  <c r="M266" i="13" s="1"/>
  <c r="AQ266" i="13" s="1"/>
  <c r="AB266" i="13"/>
  <c r="Y266" i="13"/>
  <c r="U266" i="13"/>
  <c r="T266" i="13"/>
  <c r="S266" i="13"/>
  <c r="R266" i="13"/>
  <c r="AM266" i="13"/>
  <c r="AN266" i="13" s="1"/>
  <c r="AS266" i="13" s="1"/>
  <c r="L267" i="13"/>
  <c r="M267" i="13" s="1"/>
  <c r="AQ267" i="13" s="1"/>
  <c r="AB267" i="13"/>
  <c r="Y267" i="13"/>
  <c r="U267" i="13"/>
  <c r="T267" i="13"/>
  <c r="S267" i="13"/>
  <c r="R267" i="13"/>
  <c r="AM267" i="13"/>
  <c r="AN267" i="13" s="1"/>
  <c r="AS267" i="13" s="1"/>
  <c r="L263" i="13"/>
  <c r="Y263" i="13"/>
  <c r="AJ263" i="13"/>
  <c r="AK263" i="13"/>
  <c r="AL263" i="13"/>
  <c r="S268" i="13"/>
  <c r="AB268" i="13"/>
  <c r="AJ268" i="13"/>
  <c r="AK268" i="13"/>
  <c r="AL268" i="13"/>
  <c r="AM268" i="13"/>
  <c r="L270" i="13"/>
  <c r="M270" i="13" s="1"/>
  <c r="AB270" i="13"/>
  <c r="Y270" i="13"/>
  <c r="Y273" i="13" s="1"/>
  <c r="U270" i="13"/>
  <c r="T270" i="13"/>
  <c r="S270" i="13"/>
  <c r="R270" i="13"/>
  <c r="R273" i="13" s="1"/>
  <c r="AM270" i="13"/>
  <c r="AN270" i="13" s="1"/>
  <c r="L271" i="13"/>
  <c r="M271" i="13" s="1"/>
  <c r="AQ271" i="13" s="1"/>
  <c r="AB271" i="13"/>
  <c r="Y271" i="13"/>
  <c r="U271" i="13"/>
  <c r="T271" i="13"/>
  <c r="S271" i="13"/>
  <c r="R271" i="13"/>
  <c r="AM271" i="13"/>
  <c r="AN271" i="13" s="1"/>
  <c r="AS271" i="13" s="1"/>
  <c r="L272" i="13"/>
  <c r="M272" i="13" s="1"/>
  <c r="AQ272" i="13" s="1"/>
  <c r="AB272" i="13"/>
  <c r="Y272" i="13"/>
  <c r="U272" i="13"/>
  <c r="T272" i="13"/>
  <c r="S272" i="13"/>
  <c r="R272" i="13"/>
  <c r="AM272" i="13"/>
  <c r="AN272" i="13" s="1"/>
  <c r="AS272" i="13" s="1"/>
  <c r="L274" i="13"/>
  <c r="M274" i="13" s="1"/>
  <c r="AB274" i="13"/>
  <c r="Y274" i="13"/>
  <c r="U274" i="13"/>
  <c r="T274" i="13"/>
  <c r="S274" i="13"/>
  <c r="R274" i="13"/>
  <c r="AM274" i="13"/>
  <c r="AN274" i="13" s="1"/>
  <c r="L275" i="13"/>
  <c r="M275" i="13" s="1"/>
  <c r="AQ275" i="13" s="1"/>
  <c r="AB275" i="13"/>
  <c r="Y275" i="13"/>
  <c r="U275" i="13"/>
  <c r="U276" i="13" s="1"/>
  <c r="T275" i="13"/>
  <c r="S275" i="13"/>
  <c r="R275" i="13"/>
  <c r="AM275" i="13"/>
  <c r="AN275" i="13" s="1"/>
  <c r="AS275" i="13" s="1"/>
  <c r="AJ273" i="13"/>
  <c r="AK273" i="13"/>
  <c r="AL273" i="13"/>
  <c r="AL269" i="13" s="1"/>
  <c r="S276" i="13"/>
  <c r="AB276" i="13"/>
  <c r="AJ276" i="13"/>
  <c r="AK276" i="13"/>
  <c r="AL276" i="13"/>
  <c r="L278" i="13"/>
  <c r="M278" i="13" s="1"/>
  <c r="AB278" i="13"/>
  <c r="Y278" i="13"/>
  <c r="U278" i="13"/>
  <c r="T278" i="13"/>
  <c r="S278" i="13"/>
  <c r="R278" i="13"/>
  <c r="AM278" i="13"/>
  <c r="AN278" i="13" s="1"/>
  <c r="L279" i="13"/>
  <c r="M279" i="13" s="1"/>
  <c r="AQ279" i="13" s="1"/>
  <c r="AB279" i="13"/>
  <c r="Y279" i="13"/>
  <c r="U279" i="13"/>
  <c r="T279" i="13"/>
  <c r="S279" i="13"/>
  <c r="R279" i="13"/>
  <c r="AM279" i="13"/>
  <c r="AN279" i="13" s="1"/>
  <c r="AS279" i="13" s="1"/>
  <c r="L280" i="13"/>
  <c r="M280" i="13" s="1"/>
  <c r="AQ280" i="13" s="1"/>
  <c r="AB280" i="13"/>
  <c r="Y280" i="13"/>
  <c r="U280" i="13"/>
  <c r="T280" i="13"/>
  <c r="S280" i="13"/>
  <c r="R280" i="13"/>
  <c r="AM280" i="13"/>
  <c r="AN280" i="13" s="1"/>
  <c r="AS280" i="13" s="1"/>
  <c r="L281" i="13"/>
  <c r="M281" i="13" s="1"/>
  <c r="AQ281" i="13" s="1"/>
  <c r="AB281" i="13"/>
  <c r="Y281" i="13"/>
  <c r="U281" i="13"/>
  <c r="T281" i="13"/>
  <c r="S281" i="13"/>
  <c r="R281" i="13"/>
  <c r="AM281" i="13"/>
  <c r="AN281" i="13" s="1"/>
  <c r="AS281" i="13" s="1"/>
  <c r="L282" i="13"/>
  <c r="M282" i="13" s="1"/>
  <c r="AQ282" i="13" s="1"/>
  <c r="AB282" i="13"/>
  <c r="Y282" i="13"/>
  <c r="U282" i="13"/>
  <c r="T282" i="13"/>
  <c r="S282" i="13"/>
  <c r="R282" i="13"/>
  <c r="AM282" i="13"/>
  <c r="AN282" i="13" s="1"/>
  <c r="AS282" i="13" s="1"/>
  <c r="AJ283" i="13"/>
  <c r="AJ277" i="13" s="1"/>
  <c r="AK283" i="13"/>
  <c r="AK277" i="13" s="1"/>
  <c r="AL283" i="13"/>
  <c r="AL277" i="13" s="1"/>
  <c r="L285" i="13"/>
  <c r="M285" i="13" s="1"/>
  <c r="AB285" i="13"/>
  <c r="Y285" i="13"/>
  <c r="U285" i="13"/>
  <c r="T285" i="13"/>
  <c r="S285" i="13"/>
  <c r="R285" i="13"/>
  <c r="AM285" i="13"/>
  <c r="AN285" i="13" s="1"/>
  <c r="L286" i="13"/>
  <c r="M286" i="13" s="1"/>
  <c r="AQ286" i="13" s="1"/>
  <c r="AB286" i="13"/>
  <c r="Y286" i="13"/>
  <c r="U286" i="13"/>
  <c r="T286" i="13"/>
  <c r="S286" i="13"/>
  <c r="R286" i="13"/>
  <c r="AM286" i="13"/>
  <c r="AN286" i="13" s="1"/>
  <c r="AS286" i="13" s="1"/>
  <c r="L287" i="13"/>
  <c r="M287" i="13" s="1"/>
  <c r="AQ287" i="13" s="1"/>
  <c r="AB287" i="13"/>
  <c r="Y287" i="13"/>
  <c r="U287" i="13"/>
  <c r="T287" i="13"/>
  <c r="S287" i="13"/>
  <c r="R287" i="13"/>
  <c r="AM287" i="13"/>
  <c r="AN287" i="13" s="1"/>
  <c r="AS287" i="13" s="1"/>
  <c r="L288" i="13"/>
  <c r="M288" i="13" s="1"/>
  <c r="AQ288" i="13" s="1"/>
  <c r="AB288" i="13"/>
  <c r="Y288" i="13"/>
  <c r="U288" i="13"/>
  <c r="U289" i="13" s="1"/>
  <c r="U284" i="13" s="1"/>
  <c r="T288" i="13"/>
  <c r="S288" i="13"/>
  <c r="R288" i="13"/>
  <c r="AM288" i="13"/>
  <c r="AN288" i="13" s="1"/>
  <c r="AS288" i="13" s="1"/>
  <c r="AJ289" i="13"/>
  <c r="AJ284" i="13" s="1"/>
  <c r="AK289" i="13"/>
  <c r="AK284" i="13" s="1"/>
  <c r="AL289" i="13"/>
  <c r="AL284" i="13" s="1"/>
  <c r="AV289" i="13"/>
  <c r="AV284" i="13" s="1"/>
  <c r="AW289" i="13"/>
  <c r="AW284" i="13" s="1"/>
  <c r="AX289" i="13"/>
  <c r="AX284" i="13" s="1"/>
  <c r="AY289" i="13"/>
  <c r="AY284" i="13" s="1"/>
  <c r="BA289" i="13"/>
  <c r="BA284" i="13" s="1"/>
  <c r="L285" i="23"/>
  <c r="M285" i="23" s="1"/>
  <c r="AQ285" i="23" s="1"/>
  <c r="U285" i="23"/>
  <c r="T285" i="23"/>
  <c r="S285" i="23"/>
  <c r="R285" i="23"/>
  <c r="L286" i="23"/>
  <c r="M286" i="23" s="1"/>
  <c r="AQ286" i="23" s="1"/>
  <c r="U286" i="23"/>
  <c r="T286" i="23"/>
  <c r="S286" i="23"/>
  <c r="R286" i="23"/>
  <c r="L287" i="23"/>
  <c r="M287" i="23" s="1"/>
  <c r="AQ287" i="23" s="1"/>
  <c r="U287" i="23"/>
  <c r="T287" i="23"/>
  <c r="S287" i="23"/>
  <c r="R287" i="23"/>
  <c r="L288" i="23"/>
  <c r="M288" i="23" s="1"/>
  <c r="AQ288" i="23" s="1"/>
  <c r="U288" i="23"/>
  <c r="T288" i="23"/>
  <c r="S288" i="23"/>
  <c r="R288" i="23"/>
  <c r="L278" i="23"/>
  <c r="M278" i="23" s="1"/>
  <c r="AQ278" i="23" s="1"/>
  <c r="U278" i="23"/>
  <c r="T278" i="23"/>
  <c r="S278" i="23"/>
  <c r="R278" i="23"/>
  <c r="L279" i="23"/>
  <c r="M279" i="23" s="1"/>
  <c r="AQ279" i="23" s="1"/>
  <c r="U279" i="23"/>
  <c r="T279" i="23"/>
  <c r="S279" i="23"/>
  <c r="R279" i="23"/>
  <c r="L280" i="23"/>
  <c r="M280" i="23" s="1"/>
  <c r="AQ280" i="23" s="1"/>
  <c r="U280" i="23"/>
  <c r="T280" i="23"/>
  <c r="S280" i="23"/>
  <c r="R280" i="23"/>
  <c r="L281" i="23"/>
  <c r="M281" i="23" s="1"/>
  <c r="AQ281" i="23" s="1"/>
  <c r="U281" i="23"/>
  <c r="T281" i="23"/>
  <c r="S281" i="23"/>
  <c r="R281" i="23"/>
  <c r="L282" i="23"/>
  <c r="M282" i="23" s="1"/>
  <c r="AQ282" i="23" s="1"/>
  <c r="U282" i="23"/>
  <c r="T282" i="23"/>
  <c r="S282" i="23"/>
  <c r="R282" i="23"/>
  <c r="L274" i="23"/>
  <c r="M274" i="23" s="1"/>
  <c r="AQ274" i="23" s="1"/>
  <c r="U274" i="23"/>
  <c r="T274" i="23"/>
  <c r="S274" i="23"/>
  <c r="R274" i="23"/>
  <c r="L275" i="23"/>
  <c r="M275" i="23" s="1"/>
  <c r="AQ275" i="23" s="1"/>
  <c r="U275" i="23"/>
  <c r="T275" i="23"/>
  <c r="S275" i="23"/>
  <c r="R275" i="23"/>
  <c r="L270" i="23"/>
  <c r="M270" i="23" s="1"/>
  <c r="AQ270" i="23" s="1"/>
  <c r="U270" i="23"/>
  <c r="T270" i="23"/>
  <c r="S270" i="23"/>
  <c r="R270" i="23"/>
  <c r="L271" i="23"/>
  <c r="M271" i="23" s="1"/>
  <c r="U271" i="23"/>
  <c r="T271" i="23"/>
  <c r="S271" i="23"/>
  <c r="R271" i="23"/>
  <c r="L272" i="23"/>
  <c r="M272" i="23" s="1"/>
  <c r="AQ272" i="23" s="1"/>
  <c r="U272" i="23"/>
  <c r="T272" i="23"/>
  <c r="S272" i="23"/>
  <c r="R272" i="23"/>
  <c r="L264" i="23"/>
  <c r="M264" i="23" s="1"/>
  <c r="U264" i="23"/>
  <c r="T264" i="23"/>
  <c r="S264" i="23"/>
  <c r="R264" i="23"/>
  <c r="L265" i="23"/>
  <c r="M265" i="23" s="1"/>
  <c r="AQ265" i="23" s="1"/>
  <c r="U265" i="23"/>
  <c r="T265" i="23"/>
  <c r="S265" i="23"/>
  <c r="R265" i="23"/>
  <c r="L266" i="23"/>
  <c r="M266" i="23" s="1"/>
  <c r="AQ266" i="23" s="1"/>
  <c r="U266" i="23"/>
  <c r="T266" i="23"/>
  <c r="S266" i="23"/>
  <c r="R266" i="23"/>
  <c r="L267" i="23"/>
  <c r="M267" i="23" s="1"/>
  <c r="AQ267" i="23" s="1"/>
  <c r="U267" i="23"/>
  <c r="T267" i="23"/>
  <c r="S267" i="23"/>
  <c r="R267" i="23"/>
  <c r="L260" i="23"/>
  <c r="M260" i="23" s="1"/>
  <c r="AQ260" i="23" s="1"/>
  <c r="U260" i="23"/>
  <c r="T260" i="23"/>
  <c r="S260" i="23"/>
  <c r="R260" i="23"/>
  <c r="L261" i="23"/>
  <c r="M261" i="23" s="1"/>
  <c r="AQ261" i="23" s="1"/>
  <c r="U261" i="23"/>
  <c r="T261" i="23"/>
  <c r="S261" i="23"/>
  <c r="R261" i="23"/>
  <c r="L262" i="23"/>
  <c r="M262" i="23" s="1"/>
  <c r="AQ262" i="23" s="1"/>
  <c r="U262" i="23"/>
  <c r="T262" i="23"/>
  <c r="S262" i="23"/>
  <c r="R262" i="23"/>
  <c r="L255" i="23"/>
  <c r="M255" i="23" s="1"/>
  <c r="AQ255" i="23" s="1"/>
  <c r="U255" i="23"/>
  <c r="T255" i="23"/>
  <c r="S255" i="23"/>
  <c r="R255" i="23"/>
  <c r="L256" i="23"/>
  <c r="M256" i="23" s="1"/>
  <c r="U256" i="23"/>
  <c r="T256" i="23"/>
  <c r="S256" i="23"/>
  <c r="R256" i="23"/>
  <c r="L257" i="23"/>
  <c r="M257" i="23" s="1"/>
  <c r="AQ257" i="23" s="1"/>
  <c r="U257" i="23"/>
  <c r="T257" i="23"/>
  <c r="S257" i="23"/>
  <c r="R257" i="23"/>
  <c r="L251" i="23"/>
  <c r="M251" i="23" s="1"/>
  <c r="U251" i="23"/>
  <c r="T251" i="23"/>
  <c r="S251" i="23"/>
  <c r="R251" i="23"/>
  <c r="L252" i="23"/>
  <c r="M252" i="23" s="1"/>
  <c r="AQ252" i="23" s="1"/>
  <c r="U252" i="23"/>
  <c r="T252" i="23"/>
  <c r="S252" i="23"/>
  <c r="R252" i="23"/>
  <c r="L253" i="23"/>
  <c r="M253" i="23" s="1"/>
  <c r="AQ253" i="23" s="1"/>
  <c r="U253" i="23"/>
  <c r="T253" i="23"/>
  <c r="S253" i="23"/>
  <c r="R253" i="23"/>
  <c r="L246" i="23"/>
  <c r="M246" i="23" s="1"/>
  <c r="AQ246" i="23" s="1"/>
  <c r="U246" i="23"/>
  <c r="T246" i="23"/>
  <c r="S246" i="23"/>
  <c r="R246" i="23"/>
  <c r="L247" i="23"/>
  <c r="M247" i="23" s="1"/>
  <c r="AQ247" i="23" s="1"/>
  <c r="U247" i="23"/>
  <c r="T247" i="23"/>
  <c r="S247" i="23"/>
  <c r="R247" i="23"/>
  <c r="L248" i="23"/>
  <c r="M248" i="23" s="1"/>
  <c r="U248" i="23"/>
  <c r="T248" i="23"/>
  <c r="S248" i="23"/>
  <c r="R248" i="23"/>
  <c r="L249" i="23"/>
  <c r="M249" i="23" s="1"/>
  <c r="AQ249" i="23" s="1"/>
  <c r="U249" i="23"/>
  <c r="T249" i="23"/>
  <c r="S249" i="23"/>
  <c r="R249" i="23"/>
  <c r="L285" i="22"/>
  <c r="M285" i="22" s="1"/>
  <c r="U285" i="22"/>
  <c r="T285" i="22"/>
  <c r="S285" i="22"/>
  <c r="R285" i="22"/>
  <c r="L286" i="22"/>
  <c r="M286" i="22" s="1"/>
  <c r="AQ286" i="22" s="1"/>
  <c r="U286" i="22"/>
  <c r="T286" i="22"/>
  <c r="S286" i="22"/>
  <c r="R286" i="22"/>
  <c r="L287" i="22"/>
  <c r="M287" i="22" s="1"/>
  <c r="AQ287" i="22" s="1"/>
  <c r="U287" i="22"/>
  <c r="T287" i="22"/>
  <c r="S287" i="22"/>
  <c r="R287" i="22"/>
  <c r="L288" i="22"/>
  <c r="M288" i="22" s="1"/>
  <c r="AQ288" i="22" s="1"/>
  <c r="U288" i="22"/>
  <c r="T288" i="22"/>
  <c r="S288" i="22"/>
  <c r="R288" i="22"/>
  <c r="L278" i="22"/>
  <c r="M278" i="22" s="1"/>
  <c r="U278" i="22"/>
  <c r="T278" i="22"/>
  <c r="S278" i="22"/>
  <c r="R278" i="22"/>
  <c r="L279" i="22"/>
  <c r="M279" i="22" s="1"/>
  <c r="AQ279" i="22" s="1"/>
  <c r="U279" i="22"/>
  <c r="T279" i="22"/>
  <c r="S279" i="22"/>
  <c r="R279" i="22"/>
  <c r="L280" i="22"/>
  <c r="M280" i="22" s="1"/>
  <c r="AQ280" i="22" s="1"/>
  <c r="U280" i="22"/>
  <c r="T280" i="22"/>
  <c r="S280" i="22"/>
  <c r="R280" i="22"/>
  <c r="L281" i="22"/>
  <c r="M281" i="22" s="1"/>
  <c r="AQ281" i="22" s="1"/>
  <c r="U281" i="22"/>
  <c r="T281" i="22"/>
  <c r="S281" i="22"/>
  <c r="R281" i="22"/>
  <c r="L282" i="22"/>
  <c r="M282" i="22" s="1"/>
  <c r="AQ282" i="22" s="1"/>
  <c r="U282" i="22"/>
  <c r="T282" i="22"/>
  <c r="S282" i="22"/>
  <c r="R282" i="22"/>
  <c r="L274" i="22"/>
  <c r="M274" i="22" s="1"/>
  <c r="AQ274" i="22" s="1"/>
  <c r="U274" i="22"/>
  <c r="T274" i="22"/>
  <c r="S274" i="22"/>
  <c r="R274" i="22"/>
  <c r="L275" i="22"/>
  <c r="M275" i="22" s="1"/>
  <c r="AQ275" i="22" s="1"/>
  <c r="U275" i="22"/>
  <c r="T275" i="22"/>
  <c r="S275" i="22"/>
  <c r="R275" i="22"/>
  <c r="L270" i="22"/>
  <c r="M270" i="22" s="1"/>
  <c r="AQ270" i="22" s="1"/>
  <c r="U270" i="22"/>
  <c r="T270" i="22"/>
  <c r="S270" i="22"/>
  <c r="R270" i="22"/>
  <c r="L271" i="22"/>
  <c r="M271" i="22" s="1"/>
  <c r="AQ271" i="22" s="1"/>
  <c r="U271" i="22"/>
  <c r="T271" i="22"/>
  <c r="S271" i="22"/>
  <c r="R271" i="22"/>
  <c r="L272" i="22"/>
  <c r="M272" i="22" s="1"/>
  <c r="AQ272" i="22" s="1"/>
  <c r="U272" i="22"/>
  <c r="T272" i="22"/>
  <c r="S272" i="22"/>
  <c r="R272" i="22"/>
  <c r="L264" i="22"/>
  <c r="M264" i="22" s="1"/>
  <c r="AQ264" i="22" s="1"/>
  <c r="U264" i="22"/>
  <c r="T264" i="22"/>
  <c r="S264" i="22"/>
  <c r="R264" i="22"/>
  <c r="L265" i="22"/>
  <c r="M265" i="22" s="1"/>
  <c r="AQ265" i="22" s="1"/>
  <c r="U265" i="22"/>
  <c r="T265" i="22"/>
  <c r="S265" i="22"/>
  <c r="R265" i="22"/>
  <c r="L266" i="22"/>
  <c r="M266" i="22" s="1"/>
  <c r="AQ266" i="22" s="1"/>
  <c r="U266" i="22"/>
  <c r="T266" i="22"/>
  <c r="S266" i="22"/>
  <c r="R266" i="22"/>
  <c r="L267" i="22"/>
  <c r="M267" i="22" s="1"/>
  <c r="AQ267" i="22" s="1"/>
  <c r="U267" i="22"/>
  <c r="T267" i="22"/>
  <c r="S267" i="22"/>
  <c r="R267" i="22"/>
  <c r="L260" i="22"/>
  <c r="M260" i="22" s="1"/>
  <c r="AQ260" i="22" s="1"/>
  <c r="U260" i="22"/>
  <c r="T260" i="22"/>
  <c r="S260" i="22"/>
  <c r="R260" i="22"/>
  <c r="L261" i="22"/>
  <c r="M261" i="22" s="1"/>
  <c r="AQ261" i="22" s="1"/>
  <c r="U261" i="22"/>
  <c r="T261" i="22"/>
  <c r="S261" i="22"/>
  <c r="R261" i="22"/>
  <c r="L262" i="22"/>
  <c r="M262" i="22" s="1"/>
  <c r="AQ262" i="22" s="1"/>
  <c r="U262" i="22"/>
  <c r="T262" i="22"/>
  <c r="S262" i="22"/>
  <c r="R262" i="22"/>
  <c r="L255" i="22"/>
  <c r="M255" i="22" s="1"/>
  <c r="U255" i="22"/>
  <c r="T255" i="22"/>
  <c r="S255" i="22"/>
  <c r="R255" i="22"/>
  <c r="L256" i="22"/>
  <c r="M256" i="22" s="1"/>
  <c r="AQ256" i="22" s="1"/>
  <c r="U256" i="22"/>
  <c r="T256" i="22"/>
  <c r="S256" i="22"/>
  <c r="R256" i="22"/>
  <c r="L257" i="22"/>
  <c r="M257" i="22" s="1"/>
  <c r="AQ257" i="22" s="1"/>
  <c r="U257" i="22"/>
  <c r="T257" i="22"/>
  <c r="S257" i="22"/>
  <c r="R257" i="22"/>
  <c r="L251" i="22"/>
  <c r="M251" i="22" s="1"/>
  <c r="AQ251" i="22" s="1"/>
  <c r="U251" i="22"/>
  <c r="T251" i="22"/>
  <c r="S251" i="22"/>
  <c r="R251" i="22"/>
  <c r="L252" i="22"/>
  <c r="M252" i="22" s="1"/>
  <c r="AQ252" i="22" s="1"/>
  <c r="U252" i="22"/>
  <c r="T252" i="22"/>
  <c r="S252" i="22"/>
  <c r="R252" i="22"/>
  <c r="L253" i="22"/>
  <c r="M253" i="22" s="1"/>
  <c r="U253" i="22"/>
  <c r="T253" i="22"/>
  <c r="S253" i="22"/>
  <c r="R253" i="22"/>
  <c r="L246" i="22"/>
  <c r="M246" i="22" s="1"/>
  <c r="AQ246" i="22" s="1"/>
  <c r="U246" i="22"/>
  <c r="T246" i="22"/>
  <c r="S246" i="22"/>
  <c r="R246" i="22"/>
  <c r="L247" i="22"/>
  <c r="M247" i="22" s="1"/>
  <c r="AQ247" i="22" s="1"/>
  <c r="U247" i="22"/>
  <c r="T247" i="22"/>
  <c r="S247" i="22"/>
  <c r="R247" i="22"/>
  <c r="L248" i="22"/>
  <c r="M248" i="22" s="1"/>
  <c r="AQ248" i="22" s="1"/>
  <c r="U248" i="22"/>
  <c r="T248" i="22"/>
  <c r="S248" i="22"/>
  <c r="R248" i="22"/>
  <c r="L249" i="22"/>
  <c r="M249" i="22" s="1"/>
  <c r="AQ249" i="22" s="1"/>
  <c r="U249" i="22"/>
  <c r="T249" i="22"/>
  <c r="S249" i="22"/>
  <c r="R249" i="22"/>
  <c r="CU78" i="18"/>
  <c r="CU76" i="18"/>
  <c r="L285" i="17"/>
  <c r="M285" i="17" s="1"/>
  <c r="AQ285" i="17" s="1"/>
  <c r="U285" i="17"/>
  <c r="T285" i="17"/>
  <c r="S285" i="17"/>
  <c r="R285" i="17"/>
  <c r="AB285" i="17"/>
  <c r="L286" i="17"/>
  <c r="M286" i="17" s="1"/>
  <c r="AQ286" i="17" s="1"/>
  <c r="U286" i="17"/>
  <c r="T286" i="17"/>
  <c r="S286" i="17"/>
  <c r="R286" i="17"/>
  <c r="AB286" i="17"/>
  <c r="L287" i="17"/>
  <c r="M287" i="17" s="1"/>
  <c r="AQ287" i="17" s="1"/>
  <c r="U287" i="17"/>
  <c r="T287" i="17"/>
  <c r="S287" i="17"/>
  <c r="R287" i="17"/>
  <c r="AB287" i="17"/>
  <c r="L288" i="17"/>
  <c r="M288" i="17" s="1"/>
  <c r="U288" i="17"/>
  <c r="T288" i="17"/>
  <c r="S288" i="17"/>
  <c r="R288" i="17"/>
  <c r="AB288" i="17"/>
  <c r="L278" i="17"/>
  <c r="M278" i="17" s="1"/>
  <c r="AQ278" i="17" s="1"/>
  <c r="U278" i="17"/>
  <c r="T278" i="17"/>
  <c r="S278" i="17"/>
  <c r="R278" i="17"/>
  <c r="AB278" i="17"/>
  <c r="L279" i="17"/>
  <c r="M279" i="17" s="1"/>
  <c r="AQ279" i="17" s="1"/>
  <c r="U279" i="17"/>
  <c r="T279" i="17"/>
  <c r="S279" i="17"/>
  <c r="R279" i="17"/>
  <c r="AB279" i="17"/>
  <c r="L280" i="17"/>
  <c r="M280" i="17" s="1"/>
  <c r="AQ280" i="17" s="1"/>
  <c r="U280" i="17"/>
  <c r="T280" i="17"/>
  <c r="S280" i="17"/>
  <c r="R280" i="17"/>
  <c r="AB280" i="17"/>
  <c r="L281" i="17"/>
  <c r="M281" i="17" s="1"/>
  <c r="AQ281" i="17" s="1"/>
  <c r="U281" i="17"/>
  <c r="T281" i="17"/>
  <c r="S281" i="17"/>
  <c r="R281" i="17"/>
  <c r="AB281" i="17"/>
  <c r="L282" i="17"/>
  <c r="M282" i="17" s="1"/>
  <c r="AQ282" i="17" s="1"/>
  <c r="U282" i="17"/>
  <c r="T282" i="17"/>
  <c r="S282" i="17"/>
  <c r="R282" i="17"/>
  <c r="AB282" i="17"/>
  <c r="L274" i="17"/>
  <c r="M274" i="17" s="1"/>
  <c r="U274" i="17"/>
  <c r="T274" i="17"/>
  <c r="S274" i="17"/>
  <c r="R274" i="17"/>
  <c r="AB274" i="17"/>
  <c r="L275" i="17"/>
  <c r="M275" i="17" s="1"/>
  <c r="AQ275" i="17" s="1"/>
  <c r="U275" i="17"/>
  <c r="T275" i="17"/>
  <c r="S275" i="17"/>
  <c r="R275" i="17"/>
  <c r="AB275" i="17"/>
  <c r="L270" i="17"/>
  <c r="M270" i="17" s="1"/>
  <c r="AQ270" i="17" s="1"/>
  <c r="U270" i="17"/>
  <c r="T270" i="17"/>
  <c r="S270" i="17"/>
  <c r="R270" i="17"/>
  <c r="AB270" i="17"/>
  <c r="L271" i="17"/>
  <c r="M271" i="17" s="1"/>
  <c r="AQ271" i="17" s="1"/>
  <c r="U271" i="17"/>
  <c r="T271" i="17"/>
  <c r="S271" i="17"/>
  <c r="R271" i="17"/>
  <c r="AB271" i="17"/>
  <c r="L272" i="17"/>
  <c r="M272" i="17" s="1"/>
  <c r="AQ272" i="17" s="1"/>
  <c r="U272" i="17"/>
  <c r="T272" i="17"/>
  <c r="S272" i="17"/>
  <c r="R272" i="17"/>
  <c r="AB272" i="17"/>
  <c r="L264" i="17"/>
  <c r="M264" i="17" s="1"/>
  <c r="AQ264" i="17" s="1"/>
  <c r="U264" i="17"/>
  <c r="T264" i="17"/>
  <c r="S264" i="17"/>
  <c r="R264" i="17"/>
  <c r="AB264" i="17"/>
  <c r="L265" i="17"/>
  <c r="M265" i="17" s="1"/>
  <c r="AQ265" i="17" s="1"/>
  <c r="U265" i="17"/>
  <c r="T265" i="17"/>
  <c r="S265" i="17"/>
  <c r="R265" i="17"/>
  <c r="AB265" i="17"/>
  <c r="L266" i="17"/>
  <c r="M266" i="17" s="1"/>
  <c r="AQ266" i="17" s="1"/>
  <c r="U266" i="17"/>
  <c r="T266" i="17"/>
  <c r="S266" i="17"/>
  <c r="R266" i="17"/>
  <c r="AB266" i="17"/>
  <c r="L267" i="17"/>
  <c r="M267" i="17" s="1"/>
  <c r="U267" i="17"/>
  <c r="T267" i="17"/>
  <c r="S267" i="17"/>
  <c r="R267" i="17"/>
  <c r="AB267" i="17"/>
  <c r="L260" i="17"/>
  <c r="M260" i="17" s="1"/>
  <c r="AQ260" i="17" s="1"/>
  <c r="U260" i="17"/>
  <c r="T260" i="17"/>
  <c r="S260" i="17"/>
  <c r="R260" i="17"/>
  <c r="AB260" i="17"/>
  <c r="L261" i="17"/>
  <c r="M261" i="17" s="1"/>
  <c r="AQ261" i="17" s="1"/>
  <c r="U261" i="17"/>
  <c r="T261" i="17"/>
  <c r="S261" i="17"/>
  <c r="R261" i="17"/>
  <c r="AB261" i="17"/>
  <c r="L262" i="17"/>
  <c r="M262" i="17" s="1"/>
  <c r="AQ262" i="17" s="1"/>
  <c r="U262" i="17"/>
  <c r="T262" i="17"/>
  <c r="S262" i="17"/>
  <c r="R262" i="17"/>
  <c r="AB262" i="17"/>
  <c r="L255" i="17"/>
  <c r="M255" i="17" s="1"/>
  <c r="AQ255" i="17" s="1"/>
  <c r="U255" i="17"/>
  <c r="T255" i="17"/>
  <c r="S255" i="17"/>
  <c r="R255" i="17"/>
  <c r="AB255" i="17"/>
  <c r="L256" i="17"/>
  <c r="M256" i="17" s="1"/>
  <c r="AQ256" i="17" s="1"/>
  <c r="U256" i="17"/>
  <c r="T256" i="17"/>
  <c r="S256" i="17"/>
  <c r="R256" i="17"/>
  <c r="AB256" i="17"/>
  <c r="L257" i="17"/>
  <c r="M257" i="17" s="1"/>
  <c r="AQ257" i="17" s="1"/>
  <c r="U257" i="17"/>
  <c r="T257" i="17"/>
  <c r="S257" i="17"/>
  <c r="R257" i="17"/>
  <c r="AB257" i="17"/>
  <c r="L251" i="17"/>
  <c r="M251" i="17" s="1"/>
  <c r="AQ251" i="17" s="1"/>
  <c r="U251" i="17"/>
  <c r="T251" i="17"/>
  <c r="S251" i="17"/>
  <c r="R251" i="17"/>
  <c r="AB251" i="17"/>
  <c r="L252" i="17"/>
  <c r="M252" i="17" s="1"/>
  <c r="U252" i="17"/>
  <c r="T252" i="17"/>
  <c r="S252" i="17"/>
  <c r="R252" i="17"/>
  <c r="AB252" i="17"/>
  <c r="L253" i="17"/>
  <c r="M253" i="17" s="1"/>
  <c r="AQ253" i="17" s="1"/>
  <c r="U253" i="17"/>
  <c r="T253" i="17"/>
  <c r="S253" i="17"/>
  <c r="R253" i="17"/>
  <c r="AB253" i="17"/>
  <c r="L246" i="17"/>
  <c r="M246" i="17" s="1"/>
  <c r="AQ246" i="17" s="1"/>
  <c r="U246" i="17"/>
  <c r="T246" i="17"/>
  <c r="S246" i="17"/>
  <c r="R246" i="17"/>
  <c r="AB246" i="17"/>
  <c r="L247" i="17"/>
  <c r="M247" i="17" s="1"/>
  <c r="AQ247" i="17" s="1"/>
  <c r="U247" i="17"/>
  <c r="T247" i="17"/>
  <c r="S247" i="17"/>
  <c r="R247" i="17"/>
  <c r="AB247" i="17"/>
  <c r="L248" i="17"/>
  <c r="M248" i="17" s="1"/>
  <c r="U248" i="17"/>
  <c r="T248" i="17"/>
  <c r="S248" i="17"/>
  <c r="R248" i="17"/>
  <c r="AB248" i="17"/>
  <c r="L249" i="17"/>
  <c r="M249" i="17" s="1"/>
  <c r="AQ249" i="17" s="1"/>
  <c r="U249" i="17"/>
  <c r="T249" i="17"/>
  <c r="S249" i="17"/>
  <c r="R249" i="17"/>
  <c r="AB249" i="17"/>
  <c r="L285" i="16"/>
  <c r="M285" i="16" s="1"/>
  <c r="AQ285" i="16" s="1"/>
  <c r="U285" i="16"/>
  <c r="T285" i="16"/>
  <c r="S285" i="16"/>
  <c r="R285" i="16"/>
  <c r="AB285" i="16"/>
  <c r="AM285" i="16"/>
  <c r="AN285" i="16" s="1"/>
  <c r="AS285" i="16" s="1"/>
  <c r="L286" i="16"/>
  <c r="M286" i="16" s="1"/>
  <c r="AQ286" i="16" s="1"/>
  <c r="U286" i="16"/>
  <c r="T286" i="16"/>
  <c r="S286" i="16"/>
  <c r="R286" i="16"/>
  <c r="AB286" i="16"/>
  <c r="AM286" i="16"/>
  <c r="AN286" i="16" s="1"/>
  <c r="AS286" i="16" s="1"/>
  <c r="L287" i="16"/>
  <c r="M287" i="16" s="1"/>
  <c r="AQ287" i="16" s="1"/>
  <c r="U287" i="16"/>
  <c r="T287" i="16"/>
  <c r="S287" i="16"/>
  <c r="R287" i="16"/>
  <c r="AB287" i="16"/>
  <c r="AM287" i="16"/>
  <c r="AN287" i="16" s="1"/>
  <c r="AS287" i="16" s="1"/>
  <c r="L288" i="16"/>
  <c r="M288" i="16" s="1"/>
  <c r="AQ288" i="16" s="1"/>
  <c r="U288" i="16"/>
  <c r="T288" i="16"/>
  <c r="S288" i="16"/>
  <c r="R288" i="16"/>
  <c r="AB288" i="16"/>
  <c r="AM288" i="16"/>
  <c r="AN288" i="16" s="1"/>
  <c r="AS288" i="16" s="1"/>
  <c r="L278" i="16"/>
  <c r="M278" i="16" s="1"/>
  <c r="AQ278" i="16" s="1"/>
  <c r="U278" i="16"/>
  <c r="T278" i="16"/>
  <c r="S278" i="16"/>
  <c r="R278" i="16"/>
  <c r="AB278" i="16"/>
  <c r="AM278" i="16"/>
  <c r="AN278" i="16" s="1"/>
  <c r="AS278" i="16" s="1"/>
  <c r="L279" i="16"/>
  <c r="M279" i="16" s="1"/>
  <c r="AQ279" i="16" s="1"/>
  <c r="U279" i="16"/>
  <c r="T279" i="16"/>
  <c r="S279" i="16"/>
  <c r="R279" i="16"/>
  <c r="AB279" i="16"/>
  <c r="AM279" i="16"/>
  <c r="AN279" i="16" s="1"/>
  <c r="AS279" i="16" s="1"/>
  <c r="L280" i="16"/>
  <c r="M280" i="16" s="1"/>
  <c r="AQ280" i="16" s="1"/>
  <c r="U280" i="16"/>
  <c r="T280" i="16"/>
  <c r="S280" i="16"/>
  <c r="R280" i="16"/>
  <c r="AB280" i="16"/>
  <c r="AM280" i="16"/>
  <c r="AN280" i="16" s="1"/>
  <c r="AS280" i="16" s="1"/>
  <c r="L281" i="16"/>
  <c r="M281" i="16" s="1"/>
  <c r="AQ281" i="16" s="1"/>
  <c r="U281" i="16"/>
  <c r="T281" i="16"/>
  <c r="S281" i="16"/>
  <c r="R281" i="16"/>
  <c r="AB281" i="16"/>
  <c r="AM281" i="16"/>
  <c r="AN281" i="16" s="1"/>
  <c r="AS281" i="16" s="1"/>
  <c r="L282" i="16"/>
  <c r="M282" i="16" s="1"/>
  <c r="AQ282" i="16" s="1"/>
  <c r="U282" i="16"/>
  <c r="T282" i="16"/>
  <c r="S282" i="16"/>
  <c r="R282" i="16"/>
  <c r="AB282" i="16"/>
  <c r="AM282" i="16"/>
  <c r="AN282" i="16" s="1"/>
  <c r="AS282" i="16" s="1"/>
  <c r="L274" i="16"/>
  <c r="M274" i="16" s="1"/>
  <c r="AQ274" i="16" s="1"/>
  <c r="U274" i="16"/>
  <c r="T274" i="16"/>
  <c r="S274" i="16"/>
  <c r="R274" i="16"/>
  <c r="AB274" i="16"/>
  <c r="AM274" i="16"/>
  <c r="AN274" i="16" s="1"/>
  <c r="AS274" i="16" s="1"/>
  <c r="L275" i="16"/>
  <c r="M275" i="16" s="1"/>
  <c r="AQ275" i="16" s="1"/>
  <c r="U275" i="16"/>
  <c r="T275" i="16"/>
  <c r="S275" i="16"/>
  <c r="R275" i="16"/>
  <c r="AB275" i="16"/>
  <c r="AM275" i="16"/>
  <c r="AN275" i="16" s="1"/>
  <c r="AS275" i="16" s="1"/>
  <c r="L270" i="16"/>
  <c r="M270" i="16" s="1"/>
  <c r="AQ270" i="16" s="1"/>
  <c r="U270" i="16"/>
  <c r="T270" i="16"/>
  <c r="S270" i="16"/>
  <c r="R270" i="16"/>
  <c r="AB270" i="16"/>
  <c r="AM270" i="16"/>
  <c r="AN270" i="16" s="1"/>
  <c r="AS270" i="16" s="1"/>
  <c r="L271" i="16"/>
  <c r="M271" i="16" s="1"/>
  <c r="AQ271" i="16" s="1"/>
  <c r="U271" i="16"/>
  <c r="T271" i="16"/>
  <c r="S271" i="16"/>
  <c r="R271" i="16"/>
  <c r="AB271" i="16"/>
  <c r="AM271" i="16"/>
  <c r="AN271" i="16" s="1"/>
  <c r="AS271" i="16" s="1"/>
  <c r="L272" i="16"/>
  <c r="M272" i="16" s="1"/>
  <c r="AQ272" i="16" s="1"/>
  <c r="U272" i="16"/>
  <c r="T272" i="16"/>
  <c r="S272" i="16"/>
  <c r="R272" i="16"/>
  <c r="AB272" i="16"/>
  <c r="AM272" i="16"/>
  <c r="AN272" i="16" s="1"/>
  <c r="AS272" i="16" s="1"/>
  <c r="L264" i="16"/>
  <c r="M264" i="16" s="1"/>
  <c r="AQ264" i="16" s="1"/>
  <c r="U264" i="16"/>
  <c r="T264" i="16"/>
  <c r="S264" i="16"/>
  <c r="R264" i="16"/>
  <c r="AB264" i="16"/>
  <c r="AM264" i="16"/>
  <c r="AN264" i="16" s="1"/>
  <c r="L265" i="16"/>
  <c r="M265" i="16" s="1"/>
  <c r="AQ265" i="16" s="1"/>
  <c r="U265" i="16"/>
  <c r="T265" i="16"/>
  <c r="S265" i="16"/>
  <c r="R265" i="16"/>
  <c r="AB265" i="16"/>
  <c r="AM265" i="16"/>
  <c r="AN265" i="16" s="1"/>
  <c r="AS265" i="16" s="1"/>
  <c r="L266" i="16"/>
  <c r="M266" i="16" s="1"/>
  <c r="AQ266" i="16" s="1"/>
  <c r="U266" i="16"/>
  <c r="T266" i="16"/>
  <c r="S266" i="16"/>
  <c r="R266" i="16"/>
  <c r="AB266" i="16"/>
  <c r="AM266" i="16"/>
  <c r="AN266" i="16" s="1"/>
  <c r="AS266" i="16" s="1"/>
  <c r="L267" i="16"/>
  <c r="M267" i="16" s="1"/>
  <c r="AQ267" i="16" s="1"/>
  <c r="U267" i="16"/>
  <c r="T267" i="16"/>
  <c r="S267" i="16"/>
  <c r="R267" i="16"/>
  <c r="AB267" i="16"/>
  <c r="AM267" i="16"/>
  <c r="AS267" i="16" s="1"/>
  <c r="L260" i="16"/>
  <c r="M260" i="16" s="1"/>
  <c r="AQ260" i="16" s="1"/>
  <c r="U260" i="16"/>
  <c r="T260" i="16"/>
  <c r="S260" i="16"/>
  <c r="R260" i="16"/>
  <c r="AB260" i="16"/>
  <c r="AM260" i="16"/>
  <c r="AN260" i="16" s="1"/>
  <c r="L261" i="16"/>
  <c r="M261" i="16" s="1"/>
  <c r="AQ261" i="16" s="1"/>
  <c r="U261" i="16"/>
  <c r="T261" i="16"/>
  <c r="S261" i="16"/>
  <c r="R261" i="16"/>
  <c r="AB261" i="16"/>
  <c r="AM261" i="16"/>
  <c r="AN261" i="16" s="1"/>
  <c r="AS261" i="16" s="1"/>
  <c r="L262" i="16"/>
  <c r="M262" i="16" s="1"/>
  <c r="AQ262" i="16" s="1"/>
  <c r="U262" i="16"/>
  <c r="T262" i="16"/>
  <c r="S262" i="16"/>
  <c r="R262" i="16"/>
  <c r="AB262" i="16"/>
  <c r="AM262" i="16"/>
  <c r="AN262" i="16" s="1"/>
  <c r="AS262" i="16" s="1"/>
  <c r="L255" i="16"/>
  <c r="M255" i="16" s="1"/>
  <c r="AQ255" i="16" s="1"/>
  <c r="U255" i="16"/>
  <c r="T255" i="16"/>
  <c r="S255" i="16"/>
  <c r="R255" i="16"/>
  <c r="AB255" i="16"/>
  <c r="AM255" i="16"/>
  <c r="AN255" i="16" s="1"/>
  <c r="AS255" i="16" s="1"/>
  <c r="L256" i="16"/>
  <c r="M256" i="16" s="1"/>
  <c r="AQ256" i="16" s="1"/>
  <c r="U256" i="16"/>
  <c r="T256" i="16"/>
  <c r="S256" i="16"/>
  <c r="R256" i="16"/>
  <c r="AB256" i="16"/>
  <c r="AM256" i="16"/>
  <c r="AN256" i="16" s="1"/>
  <c r="AS256" i="16" s="1"/>
  <c r="L257" i="16"/>
  <c r="M257" i="16" s="1"/>
  <c r="AQ257" i="16" s="1"/>
  <c r="U257" i="16"/>
  <c r="T257" i="16"/>
  <c r="S257" i="16"/>
  <c r="R257" i="16"/>
  <c r="AB257" i="16"/>
  <c r="AM257" i="16"/>
  <c r="AS257" i="16" s="1"/>
  <c r="L251" i="16"/>
  <c r="M251" i="16" s="1"/>
  <c r="AQ251" i="16" s="1"/>
  <c r="U251" i="16"/>
  <c r="T251" i="16"/>
  <c r="S251" i="16"/>
  <c r="R251" i="16"/>
  <c r="AB251" i="16"/>
  <c r="AM251" i="16"/>
  <c r="AN251" i="16" s="1"/>
  <c r="AS251" i="16" s="1"/>
  <c r="L252" i="16"/>
  <c r="M252" i="16" s="1"/>
  <c r="AQ252" i="16" s="1"/>
  <c r="U252" i="16"/>
  <c r="T252" i="16"/>
  <c r="S252" i="16"/>
  <c r="R252" i="16"/>
  <c r="AB252" i="16"/>
  <c r="AM252" i="16"/>
  <c r="AN252" i="16" s="1"/>
  <c r="L253" i="16"/>
  <c r="M253" i="16" s="1"/>
  <c r="AQ253" i="16" s="1"/>
  <c r="U253" i="16"/>
  <c r="T253" i="16"/>
  <c r="S253" i="16"/>
  <c r="R253" i="16"/>
  <c r="AB253" i="16"/>
  <c r="AM253" i="16"/>
  <c r="AN253" i="16" s="1"/>
  <c r="AS253" i="16" s="1"/>
  <c r="L246" i="16"/>
  <c r="M246" i="16" s="1"/>
  <c r="AQ246" i="16" s="1"/>
  <c r="U246" i="16"/>
  <c r="T246" i="16"/>
  <c r="S246" i="16"/>
  <c r="R246" i="16"/>
  <c r="AB246" i="16"/>
  <c r="AM246" i="16"/>
  <c r="AS246" i="16" s="1"/>
  <c r="L247" i="16"/>
  <c r="M247" i="16" s="1"/>
  <c r="AQ247" i="16" s="1"/>
  <c r="U247" i="16"/>
  <c r="T247" i="16"/>
  <c r="S247" i="16"/>
  <c r="R247" i="16"/>
  <c r="AB247" i="16"/>
  <c r="AM247" i="16"/>
  <c r="AN247" i="16" s="1"/>
  <c r="L248" i="16"/>
  <c r="M248" i="16" s="1"/>
  <c r="AQ248" i="16" s="1"/>
  <c r="U248" i="16"/>
  <c r="T248" i="16"/>
  <c r="S248" i="16"/>
  <c r="R248" i="16"/>
  <c r="AB248" i="16"/>
  <c r="AM248" i="16"/>
  <c r="AN248" i="16" s="1"/>
  <c r="AS248" i="16" s="1"/>
  <c r="L249" i="16"/>
  <c r="M249" i="16" s="1"/>
  <c r="AQ249" i="16" s="1"/>
  <c r="U249" i="16"/>
  <c r="T249" i="16"/>
  <c r="S249" i="16"/>
  <c r="R249" i="16"/>
  <c r="AB249" i="16"/>
  <c r="AM249" i="16"/>
  <c r="AN249" i="16" s="1"/>
  <c r="AS249" i="16" s="1"/>
  <c r="L285" i="15"/>
  <c r="M285" i="15" s="1"/>
  <c r="AQ285" i="15" s="1"/>
  <c r="U285" i="15"/>
  <c r="T285" i="15"/>
  <c r="S285" i="15"/>
  <c r="R285" i="15"/>
  <c r="AB285" i="15"/>
  <c r="AM285" i="15"/>
  <c r="AN285" i="15" s="1"/>
  <c r="AS285" i="15" s="1"/>
  <c r="L286" i="15"/>
  <c r="M286" i="15" s="1"/>
  <c r="AQ286" i="15" s="1"/>
  <c r="U286" i="15"/>
  <c r="T286" i="15"/>
  <c r="S286" i="15"/>
  <c r="R286" i="15"/>
  <c r="AB286" i="15"/>
  <c r="AM286" i="15"/>
  <c r="AN286" i="15" s="1"/>
  <c r="AS286" i="15" s="1"/>
  <c r="L287" i="15"/>
  <c r="M287" i="15" s="1"/>
  <c r="U287" i="15"/>
  <c r="T287" i="15"/>
  <c r="S287" i="15"/>
  <c r="R287" i="15"/>
  <c r="AB287" i="15"/>
  <c r="AM287" i="15"/>
  <c r="AN287" i="15" s="1"/>
  <c r="AS287" i="15" s="1"/>
  <c r="L288" i="15"/>
  <c r="M288" i="15" s="1"/>
  <c r="AQ288" i="15" s="1"/>
  <c r="U288" i="15"/>
  <c r="T288" i="15"/>
  <c r="S288" i="15"/>
  <c r="R288" i="15"/>
  <c r="AB288" i="15"/>
  <c r="AM288" i="15"/>
  <c r="AN288" i="15" s="1"/>
  <c r="AS288" i="15" s="1"/>
  <c r="L278" i="15"/>
  <c r="M278" i="15" s="1"/>
  <c r="U278" i="15"/>
  <c r="T278" i="15"/>
  <c r="S278" i="15"/>
  <c r="R278" i="15"/>
  <c r="AB278" i="15"/>
  <c r="AM278" i="15"/>
  <c r="AN278" i="15" s="1"/>
  <c r="AS278" i="15" s="1"/>
  <c r="L279" i="15"/>
  <c r="M279" i="15" s="1"/>
  <c r="AQ279" i="15" s="1"/>
  <c r="U279" i="15"/>
  <c r="T279" i="15"/>
  <c r="S279" i="15"/>
  <c r="R279" i="15"/>
  <c r="AB279" i="15"/>
  <c r="AM279" i="15"/>
  <c r="AN279" i="15" s="1"/>
  <c r="AS279" i="15" s="1"/>
  <c r="L280" i="15"/>
  <c r="M280" i="15" s="1"/>
  <c r="AQ280" i="15" s="1"/>
  <c r="U280" i="15"/>
  <c r="T280" i="15"/>
  <c r="S280" i="15"/>
  <c r="R280" i="15"/>
  <c r="AB280" i="15"/>
  <c r="AM280" i="15"/>
  <c r="AN280" i="15" s="1"/>
  <c r="AS280" i="15" s="1"/>
  <c r="L281" i="15"/>
  <c r="M281" i="15" s="1"/>
  <c r="AQ281" i="15" s="1"/>
  <c r="U281" i="15"/>
  <c r="T281" i="15"/>
  <c r="S281" i="15"/>
  <c r="R281" i="15"/>
  <c r="AB281" i="15"/>
  <c r="AM281" i="15"/>
  <c r="AN281" i="15" s="1"/>
  <c r="AS281" i="15" s="1"/>
  <c r="L282" i="15"/>
  <c r="M282" i="15" s="1"/>
  <c r="AQ282" i="15" s="1"/>
  <c r="U282" i="15"/>
  <c r="T282" i="15"/>
  <c r="S282" i="15"/>
  <c r="R282" i="15"/>
  <c r="AB282" i="15"/>
  <c r="AM282" i="15"/>
  <c r="AN282" i="15" s="1"/>
  <c r="AS282" i="15" s="1"/>
  <c r="L274" i="15"/>
  <c r="M274" i="15" s="1"/>
  <c r="AQ274" i="15" s="1"/>
  <c r="U274" i="15"/>
  <c r="T274" i="15"/>
  <c r="S274" i="15"/>
  <c r="R274" i="15"/>
  <c r="AB274" i="15"/>
  <c r="AM274" i="15"/>
  <c r="AN274" i="15" s="1"/>
  <c r="AS274" i="15" s="1"/>
  <c r="L275" i="15"/>
  <c r="M275" i="15" s="1"/>
  <c r="AQ275" i="15" s="1"/>
  <c r="U275" i="15"/>
  <c r="T275" i="15"/>
  <c r="S275" i="15"/>
  <c r="R275" i="15"/>
  <c r="AB275" i="15"/>
  <c r="AM275" i="15"/>
  <c r="AN275" i="15" s="1"/>
  <c r="AS275" i="15" s="1"/>
  <c r="L270" i="15"/>
  <c r="M270" i="15" s="1"/>
  <c r="AQ270" i="15" s="1"/>
  <c r="U270" i="15"/>
  <c r="T270" i="15"/>
  <c r="S270" i="15"/>
  <c r="R270" i="15"/>
  <c r="AB270" i="15"/>
  <c r="AM270" i="15"/>
  <c r="AN270" i="15" s="1"/>
  <c r="AS270" i="15" s="1"/>
  <c r="L271" i="15"/>
  <c r="M271" i="15" s="1"/>
  <c r="AQ271" i="15" s="1"/>
  <c r="U271" i="15"/>
  <c r="T271" i="15"/>
  <c r="S271" i="15"/>
  <c r="R271" i="15"/>
  <c r="AB271" i="15"/>
  <c r="AM271" i="15"/>
  <c r="AN271" i="15" s="1"/>
  <c r="AS271" i="15" s="1"/>
  <c r="L272" i="15"/>
  <c r="M272" i="15" s="1"/>
  <c r="AQ272" i="15" s="1"/>
  <c r="U272" i="15"/>
  <c r="T272" i="15"/>
  <c r="S272" i="15"/>
  <c r="R272" i="15"/>
  <c r="AB272" i="15"/>
  <c r="AM272" i="15"/>
  <c r="AN272" i="15" s="1"/>
  <c r="AS272" i="15" s="1"/>
  <c r="L264" i="15"/>
  <c r="M264" i="15" s="1"/>
  <c r="AQ264" i="15" s="1"/>
  <c r="U264" i="15"/>
  <c r="T264" i="15"/>
  <c r="S264" i="15"/>
  <c r="R264" i="15"/>
  <c r="AB264" i="15"/>
  <c r="AM264" i="15"/>
  <c r="AN264" i="15" s="1"/>
  <c r="AS264" i="15" s="1"/>
  <c r="L265" i="15"/>
  <c r="M265" i="15" s="1"/>
  <c r="AQ265" i="15" s="1"/>
  <c r="U265" i="15"/>
  <c r="T265" i="15"/>
  <c r="S265" i="15"/>
  <c r="R265" i="15"/>
  <c r="AB265" i="15"/>
  <c r="AM265" i="15"/>
  <c r="AN265" i="15" s="1"/>
  <c r="AS265" i="15" s="1"/>
  <c r="L266" i="15"/>
  <c r="M266" i="15" s="1"/>
  <c r="U266" i="15"/>
  <c r="T266" i="15"/>
  <c r="S266" i="15"/>
  <c r="R266" i="15"/>
  <c r="AB266" i="15"/>
  <c r="AM266" i="15"/>
  <c r="AN266" i="15" s="1"/>
  <c r="AS266" i="15" s="1"/>
  <c r="L267" i="15"/>
  <c r="M267" i="15" s="1"/>
  <c r="AQ267" i="15" s="1"/>
  <c r="U267" i="15"/>
  <c r="T267" i="15"/>
  <c r="S267" i="15"/>
  <c r="R267" i="15"/>
  <c r="AB267" i="15"/>
  <c r="AM267" i="15"/>
  <c r="AS267" i="15" s="1"/>
  <c r="L260" i="15"/>
  <c r="M260" i="15" s="1"/>
  <c r="AQ260" i="15" s="1"/>
  <c r="U260" i="15"/>
  <c r="T260" i="15"/>
  <c r="S260" i="15"/>
  <c r="R260" i="15"/>
  <c r="AB260" i="15"/>
  <c r="AM260" i="15"/>
  <c r="AN260" i="15" s="1"/>
  <c r="AS260" i="15" s="1"/>
  <c r="L261" i="15"/>
  <c r="M261" i="15" s="1"/>
  <c r="U261" i="15"/>
  <c r="T261" i="15"/>
  <c r="S261" i="15"/>
  <c r="R261" i="15"/>
  <c r="AB261" i="15"/>
  <c r="AM261" i="15"/>
  <c r="AN261" i="15" s="1"/>
  <c r="AS261" i="15" s="1"/>
  <c r="L262" i="15"/>
  <c r="M262" i="15" s="1"/>
  <c r="AQ262" i="15" s="1"/>
  <c r="U262" i="15"/>
  <c r="T262" i="15"/>
  <c r="S262" i="15"/>
  <c r="R262" i="15"/>
  <c r="AB262" i="15"/>
  <c r="AM262" i="15"/>
  <c r="AN262" i="15" s="1"/>
  <c r="AS262" i="15" s="1"/>
  <c r="L255" i="15"/>
  <c r="M255" i="15" s="1"/>
  <c r="U255" i="15"/>
  <c r="T255" i="15"/>
  <c r="S255" i="15"/>
  <c r="R255" i="15"/>
  <c r="AB255" i="15"/>
  <c r="AM255" i="15"/>
  <c r="AS255" i="15" s="1"/>
  <c r="L256" i="15"/>
  <c r="M256" i="15" s="1"/>
  <c r="U256" i="15"/>
  <c r="T256" i="15"/>
  <c r="S256" i="15"/>
  <c r="R256" i="15"/>
  <c r="AB256" i="15"/>
  <c r="AM256" i="15"/>
  <c r="AN256" i="15" s="1"/>
  <c r="L257" i="15"/>
  <c r="M257" i="15" s="1"/>
  <c r="U257" i="15"/>
  <c r="T257" i="15"/>
  <c r="S257" i="15"/>
  <c r="R257" i="15"/>
  <c r="AB257" i="15"/>
  <c r="AM257" i="15"/>
  <c r="AS257" i="15" s="1"/>
  <c r="L251" i="15"/>
  <c r="M251" i="15" s="1"/>
  <c r="U251" i="15"/>
  <c r="T251" i="15"/>
  <c r="S251" i="15"/>
  <c r="R251" i="15"/>
  <c r="AB251" i="15"/>
  <c r="AM251" i="15"/>
  <c r="AN251" i="15" s="1"/>
  <c r="L252" i="15"/>
  <c r="M252" i="15" s="1"/>
  <c r="U252" i="15"/>
  <c r="T252" i="15"/>
  <c r="S252" i="15"/>
  <c r="R252" i="15"/>
  <c r="AB252" i="15"/>
  <c r="AM252" i="15"/>
  <c r="AN252" i="15" s="1"/>
  <c r="L253" i="15"/>
  <c r="M253" i="15" s="1"/>
  <c r="AQ253" i="15" s="1"/>
  <c r="U253" i="15"/>
  <c r="T253" i="15"/>
  <c r="S253" i="15"/>
  <c r="R253" i="15"/>
  <c r="AB253" i="15"/>
  <c r="AM253" i="15"/>
  <c r="AN253" i="15" s="1"/>
  <c r="L246" i="15"/>
  <c r="M246" i="15" s="1"/>
  <c r="U246" i="15"/>
  <c r="T246" i="15"/>
  <c r="S246" i="15"/>
  <c r="R246" i="15"/>
  <c r="AB246" i="15"/>
  <c r="AM246" i="15"/>
  <c r="AS246" i="15" s="1"/>
  <c r="L247" i="15"/>
  <c r="M247" i="15" s="1"/>
  <c r="AQ247" i="15" s="1"/>
  <c r="AU247" i="15" s="1"/>
  <c r="U247" i="15"/>
  <c r="T247" i="15"/>
  <c r="S247" i="15"/>
  <c r="R247" i="15"/>
  <c r="AB247" i="15"/>
  <c r="AM247" i="15"/>
  <c r="AN247" i="15" s="1"/>
  <c r="L248" i="15"/>
  <c r="M248" i="15" s="1"/>
  <c r="U248" i="15"/>
  <c r="T248" i="15"/>
  <c r="S248" i="15"/>
  <c r="R248" i="15"/>
  <c r="AB248" i="15"/>
  <c r="AM248" i="15"/>
  <c r="AN248" i="15" s="1"/>
  <c r="L249" i="15"/>
  <c r="M249" i="15" s="1"/>
  <c r="AQ249" i="15" s="1"/>
  <c r="U249" i="15"/>
  <c r="T249" i="15"/>
  <c r="S249" i="15"/>
  <c r="R249" i="15"/>
  <c r="AB249" i="15"/>
  <c r="AM249" i="15"/>
  <c r="AN249" i="15" s="1"/>
  <c r="L285" i="14"/>
  <c r="M285" i="14" s="1"/>
  <c r="AQ285" i="14" s="1"/>
  <c r="U285" i="14"/>
  <c r="T285" i="14"/>
  <c r="S285" i="14"/>
  <c r="R285" i="14"/>
  <c r="AB285" i="14"/>
  <c r="AM285" i="14"/>
  <c r="AN285" i="14" s="1"/>
  <c r="L286" i="14"/>
  <c r="M286" i="14" s="1"/>
  <c r="U286" i="14"/>
  <c r="T286" i="14"/>
  <c r="S286" i="14"/>
  <c r="R286" i="14"/>
  <c r="AB286" i="14"/>
  <c r="AM286" i="14"/>
  <c r="AN286" i="14" s="1"/>
  <c r="L287" i="14"/>
  <c r="M287" i="14" s="1"/>
  <c r="AQ287" i="14" s="1"/>
  <c r="U287" i="14"/>
  <c r="T287" i="14"/>
  <c r="S287" i="14"/>
  <c r="R287" i="14"/>
  <c r="AB287" i="14"/>
  <c r="AM287" i="14"/>
  <c r="AN287" i="14" s="1"/>
  <c r="L288" i="14"/>
  <c r="M288" i="14" s="1"/>
  <c r="AQ288" i="14" s="1"/>
  <c r="U288" i="14"/>
  <c r="T288" i="14"/>
  <c r="S288" i="14"/>
  <c r="R288" i="14"/>
  <c r="AB288" i="14"/>
  <c r="AM288" i="14"/>
  <c r="AN288" i="14" s="1"/>
  <c r="L278" i="14"/>
  <c r="M278" i="14" s="1"/>
  <c r="AQ278" i="14" s="1"/>
  <c r="U278" i="14"/>
  <c r="T278" i="14"/>
  <c r="S278" i="14"/>
  <c r="R278" i="14"/>
  <c r="AB278" i="14"/>
  <c r="AM278" i="14"/>
  <c r="AN278" i="14" s="1"/>
  <c r="L279" i="14"/>
  <c r="M279" i="14" s="1"/>
  <c r="AQ279" i="14" s="1"/>
  <c r="U279" i="14"/>
  <c r="T279" i="14"/>
  <c r="S279" i="14"/>
  <c r="R279" i="14"/>
  <c r="AB279" i="14"/>
  <c r="AM279" i="14"/>
  <c r="AN279" i="14" s="1"/>
  <c r="L280" i="14"/>
  <c r="M280" i="14" s="1"/>
  <c r="U280" i="14"/>
  <c r="T280" i="14"/>
  <c r="S280" i="14"/>
  <c r="R280" i="14"/>
  <c r="AB280" i="14"/>
  <c r="AM280" i="14"/>
  <c r="AN280" i="14" s="1"/>
  <c r="L281" i="14"/>
  <c r="M281" i="14" s="1"/>
  <c r="AQ281" i="14" s="1"/>
  <c r="U281" i="14"/>
  <c r="T281" i="14"/>
  <c r="S281" i="14"/>
  <c r="R281" i="14"/>
  <c r="AB281" i="14"/>
  <c r="AM281" i="14"/>
  <c r="AN281" i="14" s="1"/>
  <c r="L282" i="14"/>
  <c r="M282" i="14" s="1"/>
  <c r="AQ282" i="14" s="1"/>
  <c r="U282" i="14"/>
  <c r="T282" i="14"/>
  <c r="S282" i="14"/>
  <c r="R282" i="14"/>
  <c r="AB282" i="14"/>
  <c r="AM282" i="14"/>
  <c r="AN282" i="14" s="1"/>
  <c r="L274" i="14"/>
  <c r="M274" i="14" s="1"/>
  <c r="AQ274" i="14" s="1"/>
  <c r="U274" i="14"/>
  <c r="T274" i="14"/>
  <c r="S274" i="14"/>
  <c r="R274" i="14"/>
  <c r="AB274" i="14"/>
  <c r="AM274" i="14"/>
  <c r="AN274" i="14" s="1"/>
  <c r="L275" i="14"/>
  <c r="M275" i="14" s="1"/>
  <c r="AQ275" i="14" s="1"/>
  <c r="U275" i="14"/>
  <c r="T275" i="14"/>
  <c r="S275" i="14"/>
  <c r="R275" i="14"/>
  <c r="AB275" i="14"/>
  <c r="AM275" i="14"/>
  <c r="AN275" i="14" s="1"/>
  <c r="L270" i="14"/>
  <c r="M270" i="14" s="1"/>
  <c r="U270" i="14"/>
  <c r="T270" i="14"/>
  <c r="S270" i="14"/>
  <c r="R270" i="14"/>
  <c r="AB270" i="14"/>
  <c r="AM270" i="14"/>
  <c r="AN270" i="14" s="1"/>
  <c r="L271" i="14"/>
  <c r="M271" i="14" s="1"/>
  <c r="U271" i="14"/>
  <c r="T271" i="14"/>
  <c r="S271" i="14"/>
  <c r="R271" i="14"/>
  <c r="AB271" i="14"/>
  <c r="AM271" i="14"/>
  <c r="AN271" i="14" s="1"/>
  <c r="AS271" i="14" s="1"/>
  <c r="L272" i="14"/>
  <c r="M272" i="14" s="1"/>
  <c r="U272" i="14"/>
  <c r="T272" i="14"/>
  <c r="S272" i="14"/>
  <c r="R272" i="14"/>
  <c r="AB272" i="14"/>
  <c r="AM272" i="14"/>
  <c r="AN272" i="14" s="1"/>
  <c r="AS272" i="14" s="1"/>
  <c r="L264" i="14"/>
  <c r="M264" i="14" s="1"/>
  <c r="AQ264" i="14" s="1"/>
  <c r="U264" i="14"/>
  <c r="T264" i="14"/>
  <c r="S264" i="14"/>
  <c r="R264" i="14"/>
  <c r="AB264" i="14"/>
  <c r="L265" i="14"/>
  <c r="M265" i="14" s="1"/>
  <c r="U265" i="14"/>
  <c r="T265" i="14"/>
  <c r="S265" i="14"/>
  <c r="R265" i="14"/>
  <c r="AB265" i="14"/>
  <c r="AM265" i="14"/>
  <c r="AN265" i="14" s="1"/>
  <c r="AS265" i="14" s="1"/>
  <c r="L266" i="14"/>
  <c r="M266" i="14" s="1"/>
  <c r="U266" i="14"/>
  <c r="T266" i="14"/>
  <c r="S266" i="14"/>
  <c r="R266" i="14"/>
  <c r="AB266" i="14"/>
  <c r="AM266" i="14"/>
  <c r="AN266" i="14" s="1"/>
  <c r="L267" i="14"/>
  <c r="M267" i="14" s="1"/>
  <c r="AQ267" i="14" s="1"/>
  <c r="U267" i="14"/>
  <c r="T267" i="14"/>
  <c r="S267" i="14"/>
  <c r="R267" i="14"/>
  <c r="AB267" i="14"/>
  <c r="AM267" i="14"/>
  <c r="AN267" i="14" s="1"/>
  <c r="L260" i="14"/>
  <c r="M260" i="14" s="1"/>
  <c r="U260" i="14"/>
  <c r="T260" i="14"/>
  <c r="S260" i="14"/>
  <c r="R260" i="14"/>
  <c r="AB260" i="14"/>
  <c r="AM260" i="14"/>
  <c r="AN260" i="14" s="1"/>
  <c r="L261" i="14"/>
  <c r="M261" i="14" s="1"/>
  <c r="U261" i="14"/>
  <c r="T261" i="14"/>
  <c r="S261" i="14"/>
  <c r="R261" i="14"/>
  <c r="AB261" i="14"/>
  <c r="AM261" i="14"/>
  <c r="AN261" i="14" s="1"/>
  <c r="AS261" i="14" s="1"/>
  <c r="L262" i="14"/>
  <c r="U262" i="14"/>
  <c r="T262" i="14"/>
  <c r="S262" i="14"/>
  <c r="R262" i="14"/>
  <c r="AB262" i="14"/>
  <c r="AM262" i="14"/>
  <c r="AN262" i="14" s="1"/>
  <c r="L255" i="14"/>
  <c r="M255" i="14" s="1"/>
  <c r="U255" i="14"/>
  <c r="T255" i="14"/>
  <c r="S255" i="14"/>
  <c r="R255" i="14"/>
  <c r="AB255" i="14"/>
  <c r="AM255" i="14"/>
  <c r="AN255" i="14" s="1"/>
  <c r="L256" i="14"/>
  <c r="M256" i="14" s="1"/>
  <c r="AQ256" i="14" s="1"/>
  <c r="U256" i="14"/>
  <c r="T256" i="14"/>
  <c r="S256" i="14"/>
  <c r="R256" i="14"/>
  <c r="AB256" i="14"/>
  <c r="AM256" i="14"/>
  <c r="AN256" i="14" s="1"/>
  <c r="L257" i="14"/>
  <c r="M257" i="14" s="1"/>
  <c r="AQ257" i="14" s="1"/>
  <c r="U257" i="14"/>
  <c r="T257" i="14"/>
  <c r="S257" i="14"/>
  <c r="R257" i="14"/>
  <c r="AB257" i="14"/>
  <c r="AM257" i="14"/>
  <c r="AN257" i="14" s="1"/>
  <c r="L251" i="14"/>
  <c r="M251" i="14" s="1"/>
  <c r="U251" i="14"/>
  <c r="T251" i="14"/>
  <c r="S251" i="14"/>
  <c r="R251" i="14"/>
  <c r="AB251" i="14"/>
  <c r="AM251" i="14"/>
  <c r="AN251" i="14" s="1"/>
  <c r="L252" i="14"/>
  <c r="M252" i="14" s="1"/>
  <c r="U252" i="14"/>
  <c r="T252" i="14"/>
  <c r="S252" i="14"/>
  <c r="R252" i="14"/>
  <c r="AB252" i="14"/>
  <c r="AM252" i="14"/>
  <c r="AN252" i="14" s="1"/>
  <c r="AS252" i="14" s="1"/>
  <c r="L253" i="14"/>
  <c r="M253" i="14" s="1"/>
  <c r="U253" i="14"/>
  <c r="T253" i="14"/>
  <c r="S253" i="14"/>
  <c r="R253" i="14"/>
  <c r="AB253" i="14"/>
  <c r="AM253" i="14"/>
  <c r="AN253" i="14" s="1"/>
  <c r="AS253" i="14" s="1"/>
  <c r="L246" i="14"/>
  <c r="M246" i="14" s="1"/>
  <c r="U246" i="14"/>
  <c r="T246" i="14"/>
  <c r="S246" i="14"/>
  <c r="R246" i="14"/>
  <c r="AB246" i="14"/>
  <c r="AM246" i="14"/>
  <c r="AN246" i="14" s="1"/>
  <c r="L247" i="14"/>
  <c r="M247" i="14" s="1"/>
  <c r="AQ247" i="14" s="1"/>
  <c r="U247" i="14"/>
  <c r="T247" i="14"/>
  <c r="S247" i="14"/>
  <c r="R247" i="14"/>
  <c r="AB247" i="14"/>
  <c r="AM247" i="14"/>
  <c r="AN247" i="14" s="1"/>
  <c r="L248" i="14"/>
  <c r="M248" i="14" s="1"/>
  <c r="AQ248" i="14" s="1"/>
  <c r="U248" i="14"/>
  <c r="T248" i="14"/>
  <c r="S248" i="14"/>
  <c r="R248" i="14"/>
  <c r="AB248" i="14"/>
  <c r="AM248" i="14"/>
  <c r="AN248" i="14" s="1"/>
  <c r="L249" i="14"/>
  <c r="M249" i="14" s="1"/>
  <c r="AQ249" i="14" s="1"/>
  <c r="U249" i="14"/>
  <c r="T249" i="14"/>
  <c r="S249" i="14"/>
  <c r="R249" i="14"/>
  <c r="AB249" i="14"/>
  <c r="AM249" i="14"/>
  <c r="AN249" i="14" s="1"/>
  <c r="L285" i="12"/>
  <c r="M285" i="12" s="1"/>
  <c r="AQ285" i="12" s="1"/>
  <c r="U285" i="12"/>
  <c r="T285" i="12"/>
  <c r="S285" i="12"/>
  <c r="R285" i="12"/>
  <c r="L286" i="12"/>
  <c r="M286" i="12" s="1"/>
  <c r="AQ286" i="12" s="1"/>
  <c r="AB274" i="12"/>
  <c r="L275" i="12"/>
  <c r="M275" i="12" s="1"/>
  <c r="AQ275" i="12" s="1"/>
  <c r="T275" i="12"/>
  <c r="S275" i="12"/>
  <c r="R275" i="12"/>
  <c r="AB275" i="12"/>
  <c r="L266" i="12"/>
  <c r="M266" i="12" s="1"/>
  <c r="AQ266" i="12" s="1"/>
  <c r="L260" i="12"/>
  <c r="M260" i="12" s="1"/>
  <c r="AQ260" i="12" s="1"/>
  <c r="B6" i="18"/>
  <c r="L7" i="1"/>
  <c r="M7" i="1" s="1"/>
  <c r="L8" i="1"/>
  <c r="M8" i="1" s="1"/>
  <c r="AQ8" i="1" s="1"/>
  <c r="L9" i="1"/>
  <c r="M9" i="1" s="1"/>
  <c r="AQ9" i="1" s="1"/>
  <c r="L10" i="1"/>
  <c r="M10" i="1" s="1"/>
  <c r="AQ10" i="1" s="1"/>
  <c r="L12" i="1"/>
  <c r="M12" i="1" s="1"/>
  <c r="L13" i="1"/>
  <c r="M13" i="1" s="1"/>
  <c r="AQ13" i="1" s="1"/>
  <c r="AU13" i="1" s="1"/>
  <c r="AU15" i="1" s="1"/>
  <c r="L14" i="1"/>
  <c r="M14" i="1" s="1"/>
  <c r="AQ14" i="1" s="1"/>
  <c r="L17" i="1"/>
  <c r="M17" i="1"/>
  <c r="AQ17" i="1" s="1"/>
  <c r="L18" i="1"/>
  <c r="M18" i="1" s="1"/>
  <c r="AQ18" i="1" s="1"/>
  <c r="L21" i="1"/>
  <c r="M21" i="1" s="1"/>
  <c r="AQ21" i="1" s="1"/>
  <c r="L22" i="1"/>
  <c r="M22" i="1" s="1"/>
  <c r="L23" i="1"/>
  <c r="M23" i="1" s="1"/>
  <c r="AQ23" i="1" s="1"/>
  <c r="L24" i="1"/>
  <c r="M24" i="1" s="1"/>
  <c r="AQ24" i="1" s="1"/>
  <c r="L26" i="1"/>
  <c r="M26" i="1" s="1"/>
  <c r="AQ26" i="1" s="1"/>
  <c r="L27" i="1"/>
  <c r="M27" i="1" s="1"/>
  <c r="L28" i="1"/>
  <c r="M28" i="1" s="1"/>
  <c r="AQ28" i="1" s="1"/>
  <c r="L30" i="1"/>
  <c r="M30" i="1" s="1"/>
  <c r="AQ30" i="1" s="1"/>
  <c r="L31" i="1"/>
  <c r="M31" i="1" s="1"/>
  <c r="AQ31" i="1" s="1"/>
  <c r="L32" i="1"/>
  <c r="M32" i="1" s="1"/>
  <c r="L33" i="1"/>
  <c r="M33" i="1" s="1"/>
  <c r="AQ33" i="1" s="1"/>
  <c r="L34" i="1"/>
  <c r="M34" i="1" s="1"/>
  <c r="AQ34" i="1" s="1"/>
  <c r="L35" i="1"/>
  <c r="M35" i="1" s="1"/>
  <c r="AQ35" i="1" s="1"/>
  <c r="L36" i="1"/>
  <c r="M36" i="1" s="1"/>
  <c r="AQ36" i="1" s="1"/>
  <c r="L38" i="1"/>
  <c r="M38" i="1" s="1"/>
  <c r="AQ38" i="1" s="1"/>
  <c r="L41" i="1"/>
  <c r="M41" i="1" s="1"/>
  <c r="AQ41" i="1" s="1"/>
  <c r="AU41" i="1" s="1"/>
  <c r="AU44" i="1" s="1"/>
  <c r="L42" i="1"/>
  <c r="M42" i="1" s="1"/>
  <c r="L43" i="1"/>
  <c r="M43" i="1" s="1"/>
  <c r="AQ43" i="1" s="1"/>
  <c r="L46" i="1"/>
  <c r="M46" i="1" s="1"/>
  <c r="AQ46" i="1" s="1"/>
  <c r="L47" i="1"/>
  <c r="M47" i="1" s="1"/>
  <c r="L48" i="1"/>
  <c r="M48" i="1" s="1"/>
  <c r="AQ48" i="1" s="1"/>
  <c r="L49" i="1"/>
  <c r="M49" i="1" s="1"/>
  <c r="AQ49" i="1" s="1"/>
  <c r="L51" i="1"/>
  <c r="M51" i="1" s="1"/>
  <c r="AQ51" i="1" s="1"/>
  <c r="L52" i="1"/>
  <c r="M52" i="1" s="1"/>
  <c r="L53" i="1"/>
  <c r="M53" i="1" s="1"/>
  <c r="AQ53" i="1" s="1"/>
  <c r="AU53" i="1" s="1"/>
  <c r="L54" i="1"/>
  <c r="M54" i="1" s="1"/>
  <c r="AQ54" i="1" s="1"/>
  <c r="AU54" i="1" s="1"/>
  <c r="L55" i="1"/>
  <c r="M55" i="1" s="1"/>
  <c r="AQ55" i="1" s="1"/>
  <c r="AU55" i="1" s="1"/>
  <c r="L57" i="1"/>
  <c r="M57" i="1" s="1"/>
  <c r="AQ57" i="1" s="1"/>
  <c r="AU57" i="1" s="1"/>
  <c r="AU60" i="1" s="1"/>
  <c r="L58" i="1"/>
  <c r="M58" i="1" s="1"/>
  <c r="AQ58" i="1" s="1"/>
  <c r="L59" i="1"/>
  <c r="M59" i="1" s="1"/>
  <c r="L62" i="1"/>
  <c r="M62" i="1" s="1"/>
  <c r="AQ62" i="1" s="1"/>
  <c r="L63" i="1"/>
  <c r="M63" i="1" s="1"/>
  <c r="AQ63" i="1" s="1"/>
  <c r="L64" i="1"/>
  <c r="M64" i="1" s="1"/>
  <c r="L65" i="1"/>
  <c r="M65" i="1" s="1"/>
  <c r="AQ65" i="1" s="1"/>
  <c r="L66" i="1"/>
  <c r="M66" i="1" s="1"/>
  <c r="AQ66" i="1" s="1"/>
  <c r="L67" i="1"/>
  <c r="M67" i="1" s="1"/>
  <c r="AQ67" i="1" s="1"/>
  <c r="L68" i="1"/>
  <c r="M68" i="1" s="1"/>
  <c r="AQ68" i="1" s="1"/>
  <c r="L69" i="1"/>
  <c r="M69" i="1" s="1"/>
  <c r="AQ69" i="1" s="1"/>
  <c r="L70" i="1"/>
  <c r="M70" i="1" s="1"/>
  <c r="AQ70" i="1" s="1"/>
  <c r="L71" i="1"/>
  <c r="M71" i="1" s="1"/>
  <c r="AQ71" i="1" s="1"/>
  <c r="L72" i="1"/>
  <c r="M72" i="1" s="1"/>
  <c r="AQ72" i="1" s="1"/>
  <c r="AU72" i="1" s="1"/>
  <c r="L73" i="1"/>
  <c r="M73" i="1" s="1"/>
  <c r="AQ73" i="1" s="1"/>
  <c r="AU73" i="1" s="1"/>
  <c r="L74" i="1"/>
  <c r="M74" i="1" s="1"/>
  <c r="AQ74" i="1" s="1"/>
  <c r="L75" i="1"/>
  <c r="M75" i="1" s="1"/>
  <c r="AQ75" i="1" s="1"/>
  <c r="L76" i="1"/>
  <c r="M76" i="1" s="1"/>
  <c r="AQ76" i="1" s="1"/>
  <c r="AU76" i="1" s="1"/>
  <c r="AB7" i="1"/>
  <c r="Y7" i="1"/>
  <c r="U7" i="1"/>
  <c r="T7" i="1"/>
  <c r="S7" i="1"/>
  <c r="R7" i="1"/>
  <c r="AB8" i="1"/>
  <c r="Y8" i="1"/>
  <c r="U8" i="1"/>
  <c r="T8" i="1"/>
  <c r="S8" i="1"/>
  <c r="R8" i="1"/>
  <c r="AB9" i="1"/>
  <c r="Y9" i="1"/>
  <c r="U9" i="1"/>
  <c r="T9" i="1"/>
  <c r="S9" i="1"/>
  <c r="R9" i="1"/>
  <c r="AB10" i="1"/>
  <c r="Y10" i="1"/>
  <c r="U10" i="1"/>
  <c r="T10" i="1"/>
  <c r="S10" i="1"/>
  <c r="R10" i="1"/>
  <c r="AB12" i="1"/>
  <c r="Y12" i="1"/>
  <c r="U12" i="1"/>
  <c r="T12" i="1"/>
  <c r="S12" i="1"/>
  <c r="R12" i="1"/>
  <c r="AB13" i="1"/>
  <c r="Y13" i="1"/>
  <c r="U13" i="1"/>
  <c r="T13" i="1"/>
  <c r="S13" i="1"/>
  <c r="R13" i="1"/>
  <c r="AB14" i="1"/>
  <c r="Y14" i="1"/>
  <c r="U14" i="1"/>
  <c r="T14" i="1"/>
  <c r="S14" i="1"/>
  <c r="R14" i="1"/>
  <c r="AB17" i="1"/>
  <c r="Y17" i="1"/>
  <c r="U17" i="1"/>
  <c r="T17" i="1"/>
  <c r="S17" i="1"/>
  <c r="R17" i="1"/>
  <c r="AB18" i="1"/>
  <c r="Y18" i="1"/>
  <c r="U18" i="1"/>
  <c r="T18" i="1"/>
  <c r="S18" i="1"/>
  <c r="R18" i="1"/>
  <c r="AB21" i="1"/>
  <c r="Y21" i="1"/>
  <c r="U21" i="1"/>
  <c r="T21" i="1"/>
  <c r="S21" i="1"/>
  <c r="R21" i="1"/>
  <c r="AB22" i="1"/>
  <c r="Y22" i="1"/>
  <c r="U22" i="1"/>
  <c r="T22" i="1"/>
  <c r="S22" i="1"/>
  <c r="R22" i="1"/>
  <c r="AB23" i="1"/>
  <c r="Y23" i="1"/>
  <c r="U23" i="1"/>
  <c r="T23" i="1"/>
  <c r="S23" i="1"/>
  <c r="R23" i="1"/>
  <c r="AB24" i="1"/>
  <c r="Y24" i="1"/>
  <c r="U24" i="1"/>
  <c r="T24" i="1"/>
  <c r="S24" i="1"/>
  <c r="R24" i="1"/>
  <c r="AB26" i="1"/>
  <c r="Y26" i="1"/>
  <c r="U26" i="1"/>
  <c r="T26" i="1"/>
  <c r="S26" i="1"/>
  <c r="R26" i="1"/>
  <c r="AB27" i="1"/>
  <c r="Y27" i="1"/>
  <c r="U27" i="1"/>
  <c r="T27" i="1"/>
  <c r="S27" i="1"/>
  <c r="R27" i="1"/>
  <c r="AB28" i="1"/>
  <c r="Y28" i="1"/>
  <c r="U28" i="1"/>
  <c r="T28" i="1"/>
  <c r="S28" i="1"/>
  <c r="R28" i="1"/>
  <c r="AB30" i="1"/>
  <c r="Y30" i="1"/>
  <c r="U30" i="1"/>
  <c r="T30" i="1"/>
  <c r="S30" i="1"/>
  <c r="R30" i="1"/>
  <c r="AB31" i="1"/>
  <c r="Y31" i="1"/>
  <c r="U31" i="1"/>
  <c r="T31" i="1"/>
  <c r="S31" i="1"/>
  <c r="R31" i="1"/>
  <c r="AB32" i="1"/>
  <c r="Y32" i="1"/>
  <c r="U32" i="1"/>
  <c r="T32" i="1"/>
  <c r="S32" i="1"/>
  <c r="R32" i="1"/>
  <c r="AB33" i="1"/>
  <c r="Y33" i="1"/>
  <c r="U33" i="1"/>
  <c r="T33" i="1"/>
  <c r="S33" i="1"/>
  <c r="R33" i="1"/>
  <c r="AB34" i="1"/>
  <c r="Y34" i="1"/>
  <c r="U34" i="1"/>
  <c r="T34" i="1"/>
  <c r="S34" i="1"/>
  <c r="R34" i="1"/>
  <c r="AB35" i="1"/>
  <c r="Y35" i="1"/>
  <c r="U35" i="1"/>
  <c r="T35" i="1"/>
  <c r="S35" i="1"/>
  <c r="R35" i="1"/>
  <c r="AB36" i="1"/>
  <c r="Y36" i="1"/>
  <c r="U36" i="1"/>
  <c r="T36" i="1"/>
  <c r="S36" i="1"/>
  <c r="R36" i="1"/>
  <c r="AB38" i="1"/>
  <c r="Y38" i="1"/>
  <c r="U38" i="1"/>
  <c r="T38" i="1"/>
  <c r="S38" i="1"/>
  <c r="R38" i="1"/>
  <c r="AB41" i="1"/>
  <c r="Y41" i="1"/>
  <c r="U41" i="1"/>
  <c r="T41" i="1"/>
  <c r="S41" i="1"/>
  <c r="R41" i="1"/>
  <c r="AB42" i="1"/>
  <c r="Y42" i="1"/>
  <c r="U42" i="1"/>
  <c r="T42" i="1"/>
  <c r="S42" i="1"/>
  <c r="R42" i="1"/>
  <c r="AB43" i="1"/>
  <c r="Y43" i="1"/>
  <c r="U43" i="1"/>
  <c r="T43" i="1"/>
  <c r="S43" i="1"/>
  <c r="R43" i="1"/>
  <c r="AB46" i="1"/>
  <c r="Y46" i="1"/>
  <c r="U46" i="1"/>
  <c r="T46" i="1"/>
  <c r="S46" i="1"/>
  <c r="R46" i="1"/>
  <c r="AB47" i="1"/>
  <c r="Y47" i="1"/>
  <c r="U47" i="1"/>
  <c r="T47" i="1"/>
  <c r="S47" i="1"/>
  <c r="R47" i="1"/>
  <c r="AB48" i="1"/>
  <c r="Y48" i="1"/>
  <c r="U48" i="1"/>
  <c r="T48" i="1"/>
  <c r="S48" i="1"/>
  <c r="R48" i="1"/>
  <c r="AB49" i="1"/>
  <c r="Y49" i="1"/>
  <c r="U49" i="1"/>
  <c r="T49" i="1"/>
  <c r="S49" i="1"/>
  <c r="R49" i="1"/>
  <c r="AB51" i="1"/>
  <c r="Y51" i="1"/>
  <c r="U51" i="1"/>
  <c r="T51" i="1"/>
  <c r="S51" i="1"/>
  <c r="R51" i="1"/>
  <c r="AB52" i="1"/>
  <c r="Y52" i="1"/>
  <c r="U52" i="1"/>
  <c r="T52" i="1"/>
  <c r="S52" i="1"/>
  <c r="R52" i="1"/>
  <c r="AB53" i="1"/>
  <c r="Y53" i="1"/>
  <c r="U53" i="1"/>
  <c r="T53" i="1"/>
  <c r="S53" i="1"/>
  <c r="R53" i="1"/>
  <c r="AB54" i="1"/>
  <c r="Y54" i="1"/>
  <c r="U54" i="1"/>
  <c r="T54" i="1"/>
  <c r="S54" i="1"/>
  <c r="R54" i="1"/>
  <c r="AB55" i="1"/>
  <c r="Y55" i="1"/>
  <c r="U55" i="1"/>
  <c r="T55" i="1"/>
  <c r="S55" i="1"/>
  <c r="R55" i="1"/>
  <c r="AB57" i="1"/>
  <c r="Y57" i="1"/>
  <c r="U57" i="1"/>
  <c r="T57" i="1"/>
  <c r="S57" i="1"/>
  <c r="R57" i="1"/>
  <c r="AB58" i="1"/>
  <c r="Y58" i="1"/>
  <c r="U58" i="1"/>
  <c r="T58" i="1"/>
  <c r="S58" i="1"/>
  <c r="R58" i="1"/>
  <c r="AB59" i="1"/>
  <c r="Y59" i="1"/>
  <c r="U59" i="1"/>
  <c r="T59" i="1"/>
  <c r="S59" i="1"/>
  <c r="R59" i="1"/>
  <c r="AB62" i="1"/>
  <c r="Y62" i="1"/>
  <c r="U62" i="1"/>
  <c r="T62" i="1"/>
  <c r="S62" i="1"/>
  <c r="R62" i="1"/>
  <c r="AB63" i="1"/>
  <c r="Y63" i="1"/>
  <c r="U63" i="1"/>
  <c r="T63" i="1"/>
  <c r="S63" i="1"/>
  <c r="R63" i="1"/>
  <c r="AB64" i="1"/>
  <c r="Y64" i="1"/>
  <c r="U64" i="1"/>
  <c r="T64" i="1"/>
  <c r="S64" i="1"/>
  <c r="R64" i="1"/>
  <c r="AB65" i="1"/>
  <c r="Y65" i="1"/>
  <c r="U65" i="1"/>
  <c r="T65" i="1"/>
  <c r="S65" i="1"/>
  <c r="R65" i="1"/>
  <c r="AB66" i="1"/>
  <c r="Y66" i="1"/>
  <c r="U66" i="1"/>
  <c r="T66" i="1"/>
  <c r="S66" i="1"/>
  <c r="R66" i="1"/>
  <c r="AB67" i="1"/>
  <c r="Y67" i="1"/>
  <c r="U67" i="1"/>
  <c r="T67" i="1"/>
  <c r="S67" i="1"/>
  <c r="R67" i="1"/>
  <c r="AB68" i="1"/>
  <c r="Y68" i="1"/>
  <c r="U68" i="1"/>
  <c r="T68" i="1"/>
  <c r="S68" i="1"/>
  <c r="R68" i="1"/>
  <c r="AB70" i="1"/>
  <c r="Y70" i="1"/>
  <c r="U70" i="1"/>
  <c r="T70" i="1"/>
  <c r="S70" i="1"/>
  <c r="R70" i="1"/>
  <c r="AB71" i="1"/>
  <c r="Y71" i="1"/>
  <c r="U71" i="1"/>
  <c r="T71" i="1"/>
  <c r="S71" i="1"/>
  <c r="R71" i="1"/>
  <c r="AB72" i="1"/>
  <c r="Y72" i="1"/>
  <c r="U72" i="1"/>
  <c r="T72" i="1"/>
  <c r="S72" i="1"/>
  <c r="R72" i="1"/>
  <c r="AB73" i="1"/>
  <c r="Y73" i="1"/>
  <c r="U73" i="1"/>
  <c r="T73" i="1"/>
  <c r="S73" i="1"/>
  <c r="R73" i="1"/>
  <c r="AB74" i="1"/>
  <c r="Y74" i="1"/>
  <c r="U74" i="1"/>
  <c r="T74" i="1"/>
  <c r="S74" i="1"/>
  <c r="R74" i="1"/>
  <c r="AB75" i="1"/>
  <c r="Y75" i="1"/>
  <c r="U75" i="1"/>
  <c r="T75" i="1"/>
  <c r="S75" i="1"/>
  <c r="R75" i="1"/>
  <c r="AB76" i="1"/>
  <c r="Y76" i="1"/>
  <c r="U76" i="1"/>
  <c r="T76" i="1"/>
  <c r="S76" i="1"/>
  <c r="R76" i="1"/>
  <c r="AM7" i="1"/>
  <c r="AN7" i="1" s="1"/>
  <c r="AS7" i="1" s="1"/>
  <c r="AM8" i="1"/>
  <c r="AN8" i="1" s="1"/>
  <c r="AS8" i="1" s="1"/>
  <c r="AM9" i="1"/>
  <c r="AN9" i="1" s="1"/>
  <c r="AS9" i="1" s="1"/>
  <c r="AM10" i="1"/>
  <c r="AN10" i="1" s="1"/>
  <c r="AM12" i="1"/>
  <c r="AN12" i="1" s="1"/>
  <c r="AS12" i="1" s="1"/>
  <c r="AM13" i="1"/>
  <c r="AN13" i="1" s="1"/>
  <c r="AS13" i="1" s="1"/>
  <c r="AM14" i="1"/>
  <c r="AN14" i="1" s="1"/>
  <c r="AS14" i="1" s="1"/>
  <c r="AM17" i="1"/>
  <c r="AN17" i="1" s="1"/>
  <c r="AS17" i="1" s="1"/>
  <c r="AM18" i="1"/>
  <c r="AN18" i="1" s="1"/>
  <c r="AS18" i="1" s="1"/>
  <c r="AM21" i="1"/>
  <c r="AN21" i="1" s="1"/>
  <c r="AS21" i="1" s="1"/>
  <c r="AM22" i="1"/>
  <c r="AN22" i="1" s="1"/>
  <c r="AS22" i="1" s="1"/>
  <c r="AM23" i="1"/>
  <c r="AN23" i="1" s="1"/>
  <c r="AM24" i="1"/>
  <c r="AN24" i="1" s="1"/>
  <c r="AS24" i="1" s="1"/>
  <c r="AM26" i="1"/>
  <c r="AN26" i="1" s="1"/>
  <c r="AS26" i="1" s="1"/>
  <c r="AM27" i="1"/>
  <c r="AN27" i="1" s="1"/>
  <c r="AS27" i="1" s="1"/>
  <c r="AM28" i="1"/>
  <c r="AN28" i="1" s="1"/>
  <c r="AM30" i="1"/>
  <c r="AN30" i="1" s="1"/>
  <c r="AS30" i="1" s="1"/>
  <c r="AM31" i="1"/>
  <c r="AN31" i="1"/>
  <c r="AS31" i="1" s="1"/>
  <c r="AM32" i="1"/>
  <c r="AN32" i="1" s="1"/>
  <c r="AS32" i="1" s="1"/>
  <c r="AM33" i="1"/>
  <c r="AN33" i="1" s="1"/>
  <c r="AM34" i="1"/>
  <c r="AN34" i="1" s="1"/>
  <c r="AS34" i="1" s="1"/>
  <c r="AM35" i="1"/>
  <c r="AN35" i="1" s="1"/>
  <c r="AS35" i="1" s="1"/>
  <c r="AM36" i="1"/>
  <c r="AN36" i="1" s="1"/>
  <c r="AS36" i="1" s="1"/>
  <c r="AM38" i="1"/>
  <c r="AN38" i="1" s="1"/>
  <c r="AM41" i="1"/>
  <c r="AN41" i="1" s="1"/>
  <c r="AS41" i="1" s="1"/>
  <c r="AM42" i="1"/>
  <c r="AN42" i="1" s="1"/>
  <c r="AS42" i="1" s="1"/>
  <c r="AM43" i="1"/>
  <c r="AN43" i="1" s="1"/>
  <c r="AS43" i="1" s="1"/>
  <c r="AM46" i="1"/>
  <c r="AN46" i="1" s="1"/>
  <c r="AS46" i="1" s="1"/>
  <c r="AM47" i="1"/>
  <c r="AN47" i="1" s="1"/>
  <c r="AM48" i="1"/>
  <c r="AN48" i="1" s="1"/>
  <c r="AS48" i="1" s="1"/>
  <c r="AM49" i="1"/>
  <c r="AN49" i="1" s="1"/>
  <c r="AS49" i="1" s="1"/>
  <c r="AM51" i="1"/>
  <c r="AN51" i="1" s="1"/>
  <c r="AS51" i="1" s="1"/>
  <c r="AM52" i="1"/>
  <c r="AN52" i="1" s="1"/>
  <c r="AM53" i="1"/>
  <c r="AN53" i="1" s="1"/>
  <c r="AS53" i="1" s="1"/>
  <c r="AM54" i="1"/>
  <c r="AN54" i="1"/>
  <c r="AS54" i="1" s="1"/>
  <c r="AM55" i="1"/>
  <c r="AN55" i="1" s="1"/>
  <c r="AS55" i="1" s="1"/>
  <c r="AM57" i="1"/>
  <c r="AN57" i="1" s="1"/>
  <c r="AM58" i="1"/>
  <c r="AN58" i="1" s="1"/>
  <c r="AS58" i="1" s="1"/>
  <c r="AM59" i="1"/>
  <c r="AN59" i="1" s="1"/>
  <c r="AS59" i="1" s="1"/>
  <c r="AM62" i="1"/>
  <c r="AN62" i="1" s="1"/>
  <c r="AS62" i="1" s="1"/>
  <c r="AM63" i="1"/>
  <c r="AN63" i="1" s="1"/>
  <c r="AS63" i="1" s="1"/>
  <c r="AM64" i="1"/>
  <c r="AN64" i="1" s="1"/>
  <c r="AS64" i="1" s="1"/>
  <c r="AM65" i="1"/>
  <c r="AN65" i="1" s="1"/>
  <c r="AS65" i="1" s="1"/>
  <c r="AM66" i="1"/>
  <c r="AN66" i="1" s="1"/>
  <c r="AS66" i="1" s="1"/>
  <c r="AM67" i="1"/>
  <c r="AN67" i="1" s="1"/>
  <c r="AM68" i="1"/>
  <c r="AN68" i="1" s="1"/>
  <c r="AS68" i="1" s="1"/>
  <c r="AM69" i="1"/>
  <c r="AN69" i="1" s="1"/>
  <c r="AS69" i="1" s="1"/>
  <c r="AM70" i="1"/>
  <c r="AN70" i="1" s="1"/>
  <c r="AS70" i="1" s="1"/>
  <c r="AM71" i="1"/>
  <c r="AN71" i="1" s="1"/>
  <c r="AS71" i="1" s="1"/>
  <c r="AM72" i="1"/>
  <c r="AN72" i="1" s="1"/>
  <c r="AS72" i="1" s="1"/>
  <c r="AM73" i="1"/>
  <c r="AN73" i="1" s="1"/>
  <c r="AS73" i="1" s="1"/>
  <c r="AM74" i="1"/>
  <c r="AN74" i="1" s="1"/>
  <c r="AS74" i="1" s="1"/>
  <c r="AM75" i="1"/>
  <c r="AN75" i="1" s="1"/>
  <c r="AS75" i="1" s="1"/>
  <c r="AM76" i="1"/>
  <c r="AN76" i="1" s="1"/>
  <c r="AS76" i="1" s="1"/>
  <c r="L11" i="18"/>
  <c r="L10" i="18" s="1"/>
  <c r="M8" i="18"/>
  <c r="M9" i="18"/>
  <c r="M13" i="18"/>
  <c r="M14" i="18"/>
  <c r="M16" i="18"/>
  <c r="M20" i="18"/>
  <c r="M22" i="18"/>
  <c r="N8" i="18"/>
  <c r="N14" i="18"/>
  <c r="N16" i="18"/>
  <c r="N18" i="18"/>
  <c r="N17" i="18" s="1"/>
  <c r="N21" i="18"/>
  <c r="N22" i="18"/>
  <c r="N24" i="18"/>
  <c r="N23" i="18" s="1"/>
  <c r="O8" i="18"/>
  <c r="O11" i="18"/>
  <c r="O10" i="18" s="1"/>
  <c r="O13" i="18"/>
  <c r="O14" i="18"/>
  <c r="O15" i="18"/>
  <c r="O18" i="18"/>
  <c r="O17" i="18" s="1"/>
  <c r="O24" i="18"/>
  <c r="O23" i="18" s="1"/>
  <c r="P9" i="18"/>
  <c r="P13" i="18"/>
  <c r="P15" i="18"/>
  <c r="P18" i="18"/>
  <c r="P17" i="18" s="1"/>
  <c r="P21" i="18"/>
  <c r="Q9" i="18"/>
  <c r="Q11" i="18"/>
  <c r="Q10" i="18" s="1"/>
  <c r="Q13" i="18"/>
  <c r="Q14" i="18"/>
  <c r="Q15" i="18"/>
  <c r="Q16" i="18"/>
  <c r="Q20" i="18"/>
  <c r="Q22" i="18"/>
  <c r="R8" i="18"/>
  <c r="R9" i="18"/>
  <c r="R18" i="18"/>
  <c r="R17" i="18" s="1"/>
  <c r="R21" i="18"/>
  <c r="L7" i="12"/>
  <c r="M7" i="12" s="1"/>
  <c r="AQ7" i="12" s="1"/>
  <c r="L8" i="12"/>
  <c r="M8" i="12" s="1"/>
  <c r="AQ8" i="12" s="1"/>
  <c r="AU8" i="12" s="1"/>
  <c r="L9" i="12"/>
  <c r="M9" i="12" s="1"/>
  <c r="AQ9" i="12" s="1"/>
  <c r="AU9" i="12" s="1"/>
  <c r="L10" i="12"/>
  <c r="M10" i="12" s="1"/>
  <c r="L12" i="12"/>
  <c r="M12" i="12" s="1"/>
  <c r="AQ12" i="12" s="1"/>
  <c r="L13" i="12"/>
  <c r="M13" i="12" s="1"/>
  <c r="L14" i="12"/>
  <c r="M14" i="12" s="1"/>
  <c r="AQ14" i="12" s="1"/>
  <c r="AU14" i="12" s="1"/>
  <c r="L17" i="12"/>
  <c r="M17" i="12" s="1"/>
  <c r="AQ17" i="12" s="1"/>
  <c r="L18" i="12"/>
  <c r="M18" i="12" s="1"/>
  <c r="L21" i="12"/>
  <c r="M21" i="12" s="1"/>
  <c r="AQ21" i="12" s="1"/>
  <c r="L22" i="12"/>
  <c r="M22" i="12" s="1"/>
  <c r="AQ22" i="12" s="1"/>
  <c r="L23" i="12"/>
  <c r="L24" i="12"/>
  <c r="L26" i="12"/>
  <c r="M26" i="12" s="1"/>
  <c r="AQ26" i="12" s="1"/>
  <c r="L27" i="12"/>
  <c r="M27" i="12" s="1"/>
  <c r="AQ27" i="12" s="1"/>
  <c r="L28" i="12"/>
  <c r="M28" i="12" s="1"/>
  <c r="L30" i="12"/>
  <c r="M30" i="12" s="1"/>
  <c r="AQ30" i="12" s="1"/>
  <c r="L31" i="12"/>
  <c r="M31" i="12" s="1"/>
  <c r="AQ31" i="12" s="1"/>
  <c r="L32" i="12"/>
  <c r="M32" i="12" s="1"/>
  <c r="AQ32" i="12" s="1"/>
  <c r="L33" i="12"/>
  <c r="M33" i="12" s="1"/>
  <c r="L34" i="12"/>
  <c r="M34" i="12" s="1"/>
  <c r="AQ34" i="12" s="1"/>
  <c r="L35" i="12"/>
  <c r="M35" i="12" s="1"/>
  <c r="AQ35" i="12" s="1"/>
  <c r="L36" i="12"/>
  <c r="M36" i="12" s="1"/>
  <c r="AQ36" i="12" s="1"/>
  <c r="L38" i="12"/>
  <c r="M38" i="12" s="1"/>
  <c r="L41" i="12"/>
  <c r="M41" i="12" s="1"/>
  <c r="L42" i="12"/>
  <c r="M42" i="12" s="1"/>
  <c r="AQ42" i="12" s="1"/>
  <c r="AU42" i="12" s="1"/>
  <c r="L43" i="12"/>
  <c r="M43" i="12" s="1"/>
  <c r="AQ43" i="12" s="1"/>
  <c r="L46" i="12"/>
  <c r="M46" i="12" s="1"/>
  <c r="AQ46" i="12" s="1"/>
  <c r="L47" i="12"/>
  <c r="M47" i="12" s="1"/>
  <c r="AQ47" i="12" s="1"/>
  <c r="L48" i="12"/>
  <c r="M48" i="12" s="1"/>
  <c r="L49" i="12"/>
  <c r="M49" i="12" s="1"/>
  <c r="AQ49" i="12" s="1"/>
  <c r="L51" i="12"/>
  <c r="M51" i="12" s="1"/>
  <c r="AQ51" i="12" s="1"/>
  <c r="L52" i="12"/>
  <c r="M52" i="12" s="1"/>
  <c r="AQ52" i="12" s="1"/>
  <c r="L53" i="12"/>
  <c r="M53" i="12" s="1"/>
  <c r="L54" i="12"/>
  <c r="M54" i="12" s="1"/>
  <c r="AQ54" i="12" s="1"/>
  <c r="AU54" i="12" s="1"/>
  <c r="L55" i="12"/>
  <c r="M55" i="12" s="1"/>
  <c r="AQ55" i="12" s="1"/>
  <c r="AU55" i="12" s="1"/>
  <c r="L57" i="12"/>
  <c r="M57" i="12" s="1"/>
  <c r="AQ57" i="12" s="1"/>
  <c r="L58" i="12"/>
  <c r="M58" i="12" s="1"/>
  <c r="L59" i="12"/>
  <c r="M59" i="12" s="1"/>
  <c r="AQ59" i="12" s="1"/>
  <c r="L62" i="12"/>
  <c r="M62" i="12" s="1"/>
  <c r="AQ62" i="12" s="1"/>
  <c r="L63" i="12"/>
  <c r="M63" i="12" s="1"/>
  <c r="L64" i="12"/>
  <c r="M64" i="12" s="1"/>
  <c r="AQ64" i="12" s="1"/>
  <c r="L65" i="12"/>
  <c r="M65" i="12" s="1"/>
  <c r="AQ65" i="12" s="1"/>
  <c r="L66" i="12"/>
  <c r="M66" i="12" s="1"/>
  <c r="AQ66" i="12" s="1"/>
  <c r="L67" i="12"/>
  <c r="L68" i="12"/>
  <c r="M68" i="12" s="1"/>
  <c r="AQ68" i="12" s="1"/>
  <c r="L69" i="12"/>
  <c r="M69" i="12" s="1"/>
  <c r="AQ69" i="12" s="1"/>
  <c r="L70" i="12"/>
  <c r="M70" i="12" s="1"/>
  <c r="AQ70" i="12" s="1"/>
  <c r="AU70" i="12" s="1"/>
  <c r="L71" i="12"/>
  <c r="M71" i="12" s="1"/>
  <c r="AQ71" i="12" s="1"/>
  <c r="L72" i="12"/>
  <c r="M72" i="12" s="1"/>
  <c r="AQ72" i="12" s="1"/>
  <c r="AU72" i="12" s="1"/>
  <c r="L73" i="12"/>
  <c r="M73" i="12" s="1"/>
  <c r="AQ73" i="12" s="1"/>
  <c r="AU73" i="12" s="1"/>
  <c r="L74" i="12"/>
  <c r="M74" i="12" s="1"/>
  <c r="L75" i="12"/>
  <c r="M75" i="12" s="1"/>
  <c r="AQ75" i="12" s="1"/>
  <c r="L76" i="12"/>
  <c r="M76" i="12" s="1"/>
  <c r="AB7" i="12"/>
  <c r="Y7" i="12"/>
  <c r="U7" i="12"/>
  <c r="T7" i="12"/>
  <c r="S7" i="12"/>
  <c r="R7" i="12"/>
  <c r="AB8" i="12"/>
  <c r="Y8" i="12"/>
  <c r="U8" i="12"/>
  <c r="T8" i="12"/>
  <c r="S8" i="12"/>
  <c r="R8" i="12"/>
  <c r="AB9" i="12"/>
  <c r="Y9" i="12"/>
  <c r="U9" i="12"/>
  <c r="T9" i="12"/>
  <c r="S9" i="12"/>
  <c r="R9" i="12"/>
  <c r="AB10" i="12"/>
  <c r="Y10" i="12"/>
  <c r="U10" i="12"/>
  <c r="T10" i="12"/>
  <c r="S10" i="12"/>
  <c r="R10" i="12"/>
  <c r="AB12" i="12"/>
  <c r="Y12" i="12"/>
  <c r="U12" i="12"/>
  <c r="T12" i="12"/>
  <c r="S12" i="12"/>
  <c r="R12" i="12"/>
  <c r="AB13" i="12"/>
  <c r="Y13" i="12"/>
  <c r="U13" i="12"/>
  <c r="T13" i="12"/>
  <c r="S13" i="12"/>
  <c r="R13" i="12"/>
  <c r="AB14" i="12"/>
  <c r="Y14" i="12"/>
  <c r="U14" i="12"/>
  <c r="T14" i="12"/>
  <c r="S14" i="12"/>
  <c r="R14" i="12"/>
  <c r="AB17" i="12"/>
  <c r="Y17" i="12"/>
  <c r="U17" i="12"/>
  <c r="T17" i="12"/>
  <c r="S17" i="12"/>
  <c r="R17" i="12"/>
  <c r="AB18" i="12"/>
  <c r="Y18" i="12"/>
  <c r="U18" i="12"/>
  <c r="T18" i="12"/>
  <c r="S18" i="12"/>
  <c r="R18" i="12"/>
  <c r="AB21" i="12"/>
  <c r="Y21" i="12"/>
  <c r="U21" i="12"/>
  <c r="T21" i="12"/>
  <c r="S21" i="12"/>
  <c r="R21" i="12"/>
  <c r="AB22" i="12"/>
  <c r="Y22" i="12"/>
  <c r="U22" i="12"/>
  <c r="T22" i="12"/>
  <c r="S22" i="12"/>
  <c r="R22" i="12"/>
  <c r="AB23" i="12"/>
  <c r="Y23" i="12"/>
  <c r="U23" i="12"/>
  <c r="T23" i="12"/>
  <c r="S23" i="12"/>
  <c r="R23" i="12"/>
  <c r="AB24" i="12"/>
  <c r="Y24" i="12"/>
  <c r="U24" i="12"/>
  <c r="T24" i="12"/>
  <c r="S24" i="12"/>
  <c r="R24" i="12"/>
  <c r="AB26" i="12"/>
  <c r="Y26" i="12"/>
  <c r="U26" i="12"/>
  <c r="T26" i="12"/>
  <c r="S26" i="12"/>
  <c r="R26" i="12"/>
  <c r="AB27" i="12"/>
  <c r="Y27" i="12"/>
  <c r="U27" i="12"/>
  <c r="T27" i="12"/>
  <c r="S27" i="12"/>
  <c r="R27" i="12"/>
  <c r="AB28" i="12"/>
  <c r="Y28" i="12"/>
  <c r="U28" i="12"/>
  <c r="T28" i="12"/>
  <c r="S28" i="12"/>
  <c r="R28" i="12"/>
  <c r="AB30" i="12"/>
  <c r="Y30" i="12"/>
  <c r="U30" i="12"/>
  <c r="T30" i="12"/>
  <c r="S30" i="12"/>
  <c r="R30" i="12"/>
  <c r="AB31" i="12"/>
  <c r="Y31" i="12"/>
  <c r="U31" i="12"/>
  <c r="T31" i="12"/>
  <c r="S31" i="12"/>
  <c r="R31" i="12"/>
  <c r="AB32" i="12"/>
  <c r="Y32" i="12"/>
  <c r="U32" i="12"/>
  <c r="T32" i="12"/>
  <c r="S32" i="12"/>
  <c r="R32" i="12"/>
  <c r="AB33" i="12"/>
  <c r="Y33" i="12"/>
  <c r="U33" i="12"/>
  <c r="T33" i="12"/>
  <c r="S33" i="12"/>
  <c r="R33" i="12"/>
  <c r="AB34" i="12"/>
  <c r="Y34" i="12"/>
  <c r="U34" i="12"/>
  <c r="T34" i="12"/>
  <c r="S34" i="12"/>
  <c r="R34" i="12"/>
  <c r="AB35" i="12"/>
  <c r="Y35" i="12"/>
  <c r="U35" i="12"/>
  <c r="T35" i="12"/>
  <c r="S35" i="12"/>
  <c r="R35" i="12"/>
  <c r="AB36" i="12"/>
  <c r="Y36" i="12"/>
  <c r="U36" i="12"/>
  <c r="T36" i="12"/>
  <c r="S36" i="12"/>
  <c r="R36" i="12"/>
  <c r="AB38" i="12"/>
  <c r="Y38" i="12"/>
  <c r="U38" i="12"/>
  <c r="T38" i="12"/>
  <c r="S38" i="12"/>
  <c r="R38" i="12"/>
  <c r="AB41" i="12"/>
  <c r="Y41" i="12"/>
  <c r="U41" i="12"/>
  <c r="T41" i="12"/>
  <c r="S41" i="12"/>
  <c r="R41" i="12"/>
  <c r="AB42" i="12"/>
  <c r="Y42" i="12"/>
  <c r="U42" i="12"/>
  <c r="T42" i="12"/>
  <c r="S42" i="12"/>
  <c r="R42" i="12"/>
  <c r="AB43" i="12"/>
  <c r="Y43" i="12"/>
  <c r="U43" i="12"/>
  <c r="T43" i="12"/>
  <c r="S43" i="12"/>
  <c r="R43" i="12"/>
  <c r="AB46" i="12"/>
  <c r="Y46" i="12"/>
  <c r="U46" i="12"/>
  <c r="T46" i="12"/>
  <c r="S46" i="12"/>
  <c r="R46" i="12"/>
  <c r="AB47" i="12"/>
  <c r="Y47" i="12"/>
  <c r="U47" i="12"/>
  <c r="T47" i="12"/>
  <c r="S47" i="12"/>
  <c r="R47" i="12"/>
  <c r="AB48" i="12"/>
  <c r="Y48" i="12"/>
  <c r="U48" i="12"/>
  <c r="T48" i="12"/>
  <c r="S48" i="12"/>
  <c r="R48" i="12"/>
  <c r="AB49" i="12"/>
  <c r="Y49" i="12"/>
  <c r="U49" i="12"/>
  <c r="T49" i="12"/>
  <c r="S49" i="12"/>
  <c r="R49" i="12"/>
  <c r="AB51" i="12"/>
  <c r="Y51" i="12"/>
  <c r="U51" i="12"/>
  <c r="T51" i="12"/>
  <c r="S51" i="12"/>
  <c r="R51" i="12"/>
  <c r="AB52" i="12"/>
  <c r="Y52" i="12"/>
  <c r="U52" i="12"/>
  <c r="T52" i="12"/>
  <c r="S52" i="12"/>
  <c r="R52" i="12"/>
  <c r="AB53" i="12"/>
  <c r="Y53" i="12"/>
  <c r="U53" i="12"/>
  <c r="T53" i="12"/>
  <c r="S53" i="12"/>
  <c r="R53" i="12"/>
  <c r="AB54" i="12"/>
  <c r="Y54" i="12"/>
  <c r="U54" i="12"/>
  <c r="T54" i="12"/>
  <c r="S54" i="12"/>
  <c r="R54" i="12"/>
  <c r="AB55" i="12"/>
  <c r="Y55" i="12"/>
  <c r="U55" i="12"/>
  <c r="T55" i="12"/>
  <c r="S55" i="12"/>
  <c r="R55" i="12"/>
  <c r="AB57" i="12"/>
  <c r="Y57" i="12"/>
  <c r="U57" i="12"/>
  <c r="T57" i="12"/>
  <c r="S57" i="12"/>
  <c r="R57" i="12"/>
  <c r="AB58" i="12"/>
  <c r="Y58" i="12"/>
  <c r="U58" i="12"/>
  <c r="T58" i="12"/>
  <c r="S58" i="12"/>
  <c r="R58" i="12"/>
  <c r="AB59" i="12"/>
  <c r="Y59" i="12"/>
  <c r="U59" i="12"/>
  <c r="T59" i="12"/>
  <c r="S59" i="12"/>
  <c r="R59" i="12"/>
  <c r="AB62" i="12"/>
  <c r="Y62" i="12"/>
  <c r="U62" i="12"/>
  <c r="T62" i="12"/>
  <c r="S62" i="12"/>
  <c r="R62" i="12"/>
  <c r="AB63" i="12"/>
  <c r="Y63" i="12"/>
  <c r="U63" i="12"/>
  <c r="T63" i="12"/>
  <c r="S63" i="12"/>
  <c r="R63" i="12"/>
  <c r="AB64" i="12"/>
  <c r="Y64" i="12"/>
  <c r="U64" i="12"/>
  <c r="T64" i="12"/>
  <c r="S64" i="12"/>
  <c r="R64" i="12"/>
  <c r="AB65" i="12"/>
  <c r="Y65" i="12"/>
  <c r="U65" i="12"/>
  <c r="T65" i="12"/>
  <c r="S65" i="12"/>
  <c r="R65" i="12"/>
  <c r="AB66" i="12"/>
  <c r="Y66" i="12"/>
  <c r="U66" i="12"/>
  <c r="T66" i="12"/>
  <c r="S66" i="12"/>
  <c r="R66" i="12"/>
  <c r="AB67" i="12"/>
  <c r="Y67" i="12"/>
  <c r="U67" i="12"/>
  <c r="T67" i="12"/>
  <c r="S67" i="12"/>
  <c r="R67" i="12"/>
  <c r="AB68" i="12"/>
  <c r="Y68" i="12"/>
  <c r="U68" i="12"/>
  <c r="T68" i="12"/>
  <c r="S68" i="12"/>
  <c r="R68" i="12"/>
  <c r="AB69" i="12"/>
  <c r="Y69" i="12"/>
  <c r="U69" i="12"/>
  <c r="T69" i="12"/>
  <c r="S69" i="12"/>
  <c r="R69" i="12"/>
  <c r="AB70" i="12"/>
  <c r="Y70" i="12"/>
  <c r="U70" i="12"/>
  <c r="T70" i="12"/>
  <c r="S70" i="12"/>
  <c r="R70" i="12"/>
  <c r="AB71" i="12"/>
  <c r="Y71" i="12"/>
  <c r="U71" i="12"/>
  <c r="T71" i="12"/>
  <c r="S71" i="12"/>
  <c r="R71" i="12"/>
  <c r="AB72" i="12"/>
  <c r="Y72" i="12"/>
  <c r="U72" i="12"/>
  <c r="T72" i="12"/>
  <c r="S72" i="12"/>
  <c r="R72" i="12"/>
  <c r="AB73" i="12"/>
  <c r="Y73" i="12"/>
  <c r="U73" i="12"/>
  <c r="T73" i="12"/>
  <c r="S73" i="12"/>
  <c r="R73" i="12"/>
  <c r="AB74" i="12"/>
  <c r="Y74" i="12"/>
  <c r="U74" i="12"/>
  <c r="T74" i="12"/>
  <c r="S74" i="12"/>
  <c r="R74" i="12"/>
  <c r="AB75" i="12"/>
  <c r="Y75" i="12"/>
  <c r="U75" i="12"/>
  <c r="T75" i="12"/>
  <c r="S75" i="12"/>
  <c r="R75" i="12"/>
  <c r="AB76" i="12"/>
  <c r="Y76" i="12"/>
  <c r="U76" i="12"/>
  <c r="T76" i="12"/>
  <c r="S76" i="12"/>
  <c r="R76" i="12"/>
  <c r="AM7" i="12"/>
  <c r="AN7" i="12" s="1"/>
  <c r="AS7" i="12" s="1"/>
  <c r="AM8" i="12"/>
  <c r="AN8" i="12" s="1"/>
  <c r="AS8" i="12" s="1"/>
  <c r="AM9" i="12"/>
  <c r="AN9" i="12" s="1"/>
  <c r="AM10" i="12"/>
  <c r="AN10" i="12" s="1"/>
  <c r="AS10" i="12" s="1"/>
  <c r="AM12" i="12"/>
  <c r="AN12" i="12" s="1"/>
  <c r="AS12" i="12" s="1"/>
  <c r="AM13" i="12"/>
  <c r="AN13" i="12" s="1"/>
  <c r="AS13" i="12" s="1"/>
  <c r="AM14" i="12"/>
  <c r="AN14" i="12" s="1"/>
  <c r="AM17" i="12"/>
  <c r="AN17" i="12" s="1"/>
  <c r="AM18" i="12"/>
  <c r="AN18" i="12" s="1"/>
  <c r="AS18" i="12" s="1"/>
  <c r="AM21" i="12"/>
  <c r="AN21" i="12" s="1"/>
  <c r="AS21" i="12" s="1"/>
  <c r="AM22" i="12"/>
  <c r="AN22" i="12" s="1"/>
  <c r="AM23" i="12"/>
  <c r="AN23" i="12" s="1"/>
  <c r="AS23" i="12" s="1"/>
  <c r="AM24" i="12"/>
  <c r="AN24" i="12" s="1"/>
  <c r="AS24" i="12" s="1"/>
  <c r="AM26" i="12"/>
  <c r="AN26" i="12" s="1"/>
  <c r="AS26" i="12" s="1"/>
  <c r="AM27" i="12"/>
  <c r="AN27" i="12" s="1"/>
  <c r="AM28" i="12"/>
  <c r="AN28" i="12" s="1"/>
  <c r="AS28" i="12" s="1"/>
  <c r="AM30" i="12"/>
  <c r="AN30" i="12" s="1"/>
  <c r="AS30" i="12" s="1"/>
  <c r="AM31" i="12"/>
  <c r="AN31" i="12" s="1"/>
  <c r="AS31" i="12" s="1"/>
  <c r="AM32" i="12"/>
  <c r="AN32" i="12" s="1"/>
  <c r="AM33" i="12"/>
  <c r="AN33" i="12" s="1"/>
  <c r="AS33" i="12" s="1"/>
  <c r="AM34" i="12"/>
  <c r="AN34" i="12" s="1"/>
  <c r="AS34" i="12" s="1"/>
  <c r="AM35" i="12"/>
  <c r="AN35" i="12" s="1"/>
  <c r="AS35" i="12" s="1"/>
  <c r="AM36" i="12"/>
  <c r="AN36" i="12" s="1"/>
  <c r="AS36" i="12" s="1"/>
  <c r="AM38" i="12"/>
  <c r="AN38" i="12" s="1"/>
  <c r="AS38" i="12" s="1"/>
  <c r="AS39" i="12" s="1"/>
  <c r="W16" i="18" s="1"/>
  <c r="AM41" i="12"/>
  <c r="AN41" i="12" s="1"/>
  <c r="AS41" i="12" s="1"/>
  <c r="AM42" i="12"/>
  <c r="AN42" i="12" s="1"/>
  <c r="AM43" i="12"/>
  <c r="AN43" i="12" s="1"/>
  <c r="AS43" i="12" s="1"/>
  <c r="AM46" i="12"/>
  <c r="AN46" i="12" s="1"/>
  <c r="AS46" i="12" s="1"/>
  <c r="AM47" i="12"/>
  <c r="AN47" i="12" s="1"/>
  <c r="AM48" i="12"/>
  <c r="AN48" i="12" s="1"/>
  <c r="AS48" i="12" s="1"/>
  <c r="AM49" i="12"/>
  <c r="AN49" i="12" s="1"/>
  <c r="AS49" i="12" s="1"/>
  <c r="AM51" i="12"/>
  <c r="AN51" i="12" s="1"/>
  <c r="AS51" i="12" s="1"/>
  <c r="AM52" i="12"/>
  <c r="AN52" i="12" s="1"/>
  <c r="AM53" i="12"/>
  <c r="AN53" i="12" s="1"/>
  <c r="AS53" i="12" s="1"/>
  <c r="AM54" i="12"/>
  <c r="AN54" i="12" s="1"/>
  <c r="AS54" i="12" s="1"/>
  <c r="AM55" i="12"/>
  <c r="AN55" i="12" s="1"/>
  <c r="AS55" i="12" s="1"/>
  <c r="AM57" i="12"/>
  <c r="AN57" i="12" s="1"/>
  <c r="AM58" i="12"/>
  <c r="AN58" i="12" s="1"/>
  <c r="AS58" i="12" s="1"/>
  <c r="AM59" i="12"/>
  <c r="AN59" i="12" s="1"/>
  <c r="AS59" i="12" s="1"/>
  <c r="AM62" i="12"/>
  <c r="AN62" i="12" s="1"/>
  <c r="AS62" i="12" s="1"/>
  <c r="AM63" i="12"/>
  <c r="AN63" i="12" s="1"/>
  <c r="AS63" i="12" s="1"/>
  <c r="AM64" i="12"/>
  <c r="AN64" i="12" s="1"/>
  <c r="AM65" i="12"/>
  <c r="AN65" i="12" s="1"/>
  <c r="AS65" i="12" s="1"/>
  <c r="AM66" i="12"/>
  <c r="AN66" i="12" s="1"/>
  <c r="AS66" i="12" s="1"/>
  <c r="AM67" i="12"/>
  <c r="AN67" i="12" s="1"/>
  <c r="AS67" i="12" s="1"/>
  <c r="AM68" i="12"/>
  <c r="AN68" i="12" s="1"/>
  <c r="AS68" i="12" s="1"/>
  <c r="AM69" i="12"/>
  <c r="AN69" i="12" s="1"/>
  <c r="AS69" i="12" s="1"/>
  <c r="AM70" i="12"/>
  <c r="AN70" i="12" s="1"/>
  <c r="AS70" i="12" s="1"/>
  <c r="AM71" i="12"/>
  <c r="AN71" i="12" s="1"/>
  <c r="AS71" i="12" s="1"/>
  <c r="AM72" i="12"/>
  <c r="AN72" i="12" s="1"/>
  <c r="AS72" i="12" s="1"/>
  <c r="AM73" i="12"/>
  <c r="AN73" i="12" s="1"/>
  <c r="AS73" i="12" s="1"/>
  <c r="AM74" i="12"/>
  <c r="AN74" i="12" s="1"/>
  <c r="AS74" i="12" s="1"/>
  <c r="AM75" i="12"/>
  <c r="AS75" i="12" s="1"/>
  <c r="AM76" i="12"/>
  <c r="AN76" i="12" s="1"/>
  <c r="AS76" i="12" s="1"/>
  <c r="Y11" i="18"/>
  <c r="Y10" i="18" s="1"/>
  <c r="Y22" i="18"/>
  <c r="Z9" i="18"/>
  <c r="Z11" i="18"/>
  <c r="Z10" i="18" s="1"/>
  <c r="Z13" i="18"/>
  <c r="Z14" i="18"/>
  <c r="Z15" i="18"/>
  <c r="Z16" i="18"/>
  <c r="Z18" i="18"/>
  <c r="Z17" i="18" s="1"/>
  <c r="Z21" i="18"/>
  <c r="Z24" i="18"/>
  <c r="Z23" i="18" s="1"/>
  <c r="AA9" i="18"/>
  <c r="AA13" i="18"/>
  <c r="AA15" i="18"/>
  <c r="AA18" i="18"/>
  <c r="AA17" i="18" s="1"/>
  <c r="AA20" i="18"/>
  <c r="AA21" i="18"/>
  <c r="AA22" i="18"/>
  <c r="AA24" i="18"/>
  <c r="AA23" i="18" s="1"/>
  <c r="AB11" i="18"/>
  <c r="AB10" i="18" s="1"/>
  <c r="AB13" i="18"/>
  <c r="AB14" i="18"/>
  <c r="AB15" i="18"/>
  <c r="AB16" i="18"/>
  <c r="AB18" i="18"/>
  <c r="AB17" i="18" s="1"/>
  <c r="AB21" i="18"/>
  <c r="AB24" i="18"/>
  <c r="AB23" i="18" s="1"/>
  <c r="AC9" i="18"/>
  <c r="AC13" i="18"/>
  <c r="AC15" i="18"/>
  <c r="AC18" i="18"/>
  <c r="AC17" i="18" s="1"/>
  <c r="AC20" i="18"/>
  <c r="AC22" i="18"/>
  <c r="AD9" i="18"/>
  <c r="AD11" i="18"/>
  <c r="AD10" i="18" s="1"/>
  <c r="AD13" i="18"/>
  <c r="AD14" i="18"/>
  <c r="AD15" i="18"/>
  <c r="AD16" i="18"/>
  <c r="AD18" i="18"/>
  <c r="AD17" i="18" s="1"/>
  <c r="AD21" i="18"/>
  <c r="AD24" i="18"/>
  <c r="AD23" i="18" s="1"/>
  <c r="AE9" i="18"/>
  <c r="AE13" i="18"/>
  <c r="AE15" i="18"/>
  <c r="AE18" i="18"/>
  <c r="AE17" i="18" s="1"/>
  <c r="AE20" i="18"/>
  <c r="AE21" i="18"/>
  <c r="AE22" i="18"/>
  <c r="AE24" i="18"/>
  <c r="AE23" i="18" s="1"/>
  <c r="L7" i="13"/>
  <c r="M7" i="13" s="1"/>
  <c r="L8" i="13"/>
  <c r="M8" i="13" s="1"/>
  <c r="AQ8" i="13" s="1"/>
  <c r="AU8" i="13" s="1"/>
  <c r="L9" i="13"/>
  <c r="M9" i="13" s="1"/>
  <c r="L10" i="13"/>
  <c r="M10" i="13" s="1"/>
  <c r="AQ10" i="13" s="1"/>
  <c r="AU10" i="13" s="1"/>
  <c r="L12" i="13"/>
  <c r="M12" i="13" s="1"/>
  <c r="L13" i="13"/>
  <c r="M13" i="13" s="1"/>
  <c r="AQ13" i="13" s="1"/>
  <c r="AU13" i="13" s="1"/>
  <c r="L14" i="13"/>
  <c r="M14" i="13" s="1"/>
  <c r="L17" i="13"/>
  <c r="M17" i="13" s="1"/>
  <c r="L18" i="13"/>
  <c r="M18" i="13" s="1"/>
  <c r="AQ18" i="13" s="1"/>
  <c r="L21" i="13"/>
  <c r="M21" i="13" s="1"/>
  <c r="AQ21" i="13" s="1"/>
  <c r="L22" i="13"/>
  <c r="M22" i="13" s="1"/>
  <c r="L23" i="13"/>
  <c r="M23" i="13" s="1"/>
  <c r="AQ23" i="13" s="1"/>
  <c r="L24" i="13"/>
  <c r="M24" i="13" s="1"/>
  <c r="L26" i="13"/>
  <c r="M26" i="13" s="1"/>
  <c r="AQ26" i="13" s="1"/>
  <c r="L27" i="13"/>
  <c r="M27" i="13" s="1"/>
  <c r="L28" i="13"/>
  <c r="M28" i="13" s="1"/>
  <c r="L30" i="13"/>
  <c r="M30" i="13" s="1"/>
  <c r="L31" i="13"/>
  <c r="M31" i="13" s="1"/>
  <c r="L32" i="13"/>
  <c r="M32" i="13" s="1"/>
  <c r="L33" i="13"/>
  <c r="M33" i="13" s="1"/>
  <c r="AQ33" i="13" s="1"/>
  <c r="L34" i="13"/>
  <c r="M34" i="13" s="1"/>
  <c r="L35" i="13"/>
  <c r="M35" i="13" s="1"/>
  <c r="AQ35" i="13" s="1"/>
  <c r="L36" i="13"/>
  <c r="M36" i="13" s="1"/>
  <c r="L38" i="13"/>
  <c r="M38" i="13" s="1"/>
  <c r="L41" i="13"/>
  <c r="M41" i="13" s="1"/>
  <c r="AQ41" i="13" s="1"/>
  <c r="AU41" i="13" s="1"/>
  <c r="L42" i="13"/>
  <c r="M42" i="13" s="1"/>
  <c r="L43" i="13"/>
  <c r="M43" i="13" s="1"/>
  <c r="L46" i="13"/>
  <c r="M46" i="13" s="1"/>
  <c r="L47" i="13"/>
  <c r="M47" i="13" s="1"/>
  <c r="L48" i="13"/>
  <c r="M48" i="13" s="1"/>
  <c r="AQ48" i="13" s="1"/>
  <c r="L49" i="13"/>
  <c r="M49" i="13" s="1"/>
  <c r="L51" i="13"/>
  <c r="M51" i="13" s="1"/>
  <c r="AQ51" i="13" s="1"/>
  <c r="AU51" i="13" s="1"/>
  <c r="L52" i="13"/>
  <c r="M52" i="13" s="1"/>
  <c r="L53" i="13"/>
  <c r="M53" i="13" s="1"/>
  <c r="AQ53" i="13" s="1"/>
  <c r="AU53" i="13" s="1"/>
  <c r="L54" i="13"/>
  <c r="M54" i="13" s="1"/>
  <c r="L55" i="13"/>
  <c r="M55" i="13" s="1"/>
  <c r="AQ55" i="13" s="1"/>
  <c r="AU55" i="13" s="1"/>
  <c r="L57" i="13"/>
  <c r="M57" i="13" s="1"/>
  <c r="L58" i="13"/>
  <c r="M58" i="13" s="1"/>
  <c r="L59" i="13"/>
  <c r="M59" i="13" s="1"/>
  <c r="L62" i="13"/>
  <c r="M62" i="13" s="1"/>
  <c r="L63" i="13"/>
  <c r="M63" i="13" s="1"/>
  <c r="AQ63" i="13" s="1"/>
  <c r="L64" i="13"/>
  <c r="M64" i="13" s="1"/>
  <c r="L65" i="13"/>
  <c r="M65" i="13" s="1"/>
  <c r="AQ65" i="13" s="1"/>
  <c r="L66" i="13"/>
  <c r="M66" i="13" s="1"/>
  <c r="L67" i="13"/>
  <c r="M67" i="13" s="1"/>
  <c r="AQ67" i="13" s="1"/>
  <c r="L68" i="13"/>
  <c r="M68" i="13" s="1"/>
  <c r="L69" i="13"/>
  <c r="M69" i="13" s="1"/>
  <c r="AQ69" i="13" s="1"/>
  <c r="L70" i="13"/>
  <c r="M70" i="13" s="1"/>
  <c r="L71" i="13"/>
  <c r="M71" i="13" s="1"/>
  <c r="AQ71" i="13" s="1"/>
  <c r="AU71" i="13" s="1"/>
  <c r="L72" i="13"/>
  <c r="M72" i="13" s="1"/>
  <c r="L73" i="13"/>
  <c r="M73" i="13" s="1"/>
  <c r="AQ73" i="13" s="1"/>
  <c r="AU73" i="13" s="1"/>
  <c r="L74" i="13"/>
  <c r="M74" i="13" s="1"/>
  <c r="L75" i="13"/>
  <c r="M75" i="13" s="1"/>
  <c r="AQ75" i="13" s="1"/>
  <c r="L76" i="13"/>
  <c r="M76" i="13" s="1"/>
  <c r="AB7" i="13"/>
  <c r="Y7" i="13"/>
  <c r="U7" i="13"/>
  <c r="T7" i="13"/>
  <c r="S7" i="13"/>
  <c r="R7" i="13"/>
  <c r="AB8" i="13"/>
  <c r="Y8" i="13"/>
  <c r="U8" i="13"/>
  <c r="T8" i="13"/>
  <c r="S8" i="13"/>
  <c r="R8" i="13"/>
  <c r="AB9" i="13"/>
  <c r="Y9" i="13"/>
  <c r="U9" i="13"/>
  <c r="T9" i="13"/>
  <c r="S9" i="13"/>
  <c r="R9" i="13"/>
  <c r="AB10" i="13"/>
  <c r="Y10" i="13"/>
  <c r="U10" i="13"/>
  <c r="T10" i="13"/>
  <c r="S10" i="13"/>
  <c r="R10" i="13"/>
  <c r="AB12" i="13"/>
  <c r="Y12" i="13"/>
  <c r="U12" i="13"/>
  <c r="T12" i="13"/>
  <c r="S12" i="13"/>
  <c r="R12" i="13"/>
  <c r="AB13" i="13"/>
  <c r="Y13" i="13"/>
  <c r="U13" i="13"/>
  <c r="T13" i="13"/>
  <c r="S13" i="13"/>
  <c r="R13" i="13"/>
  <c r="AB14" i="13"/>
  <c r="Y14" i="13"/>
  <c r="U14" i="13"/>
  <c r="T14" i="13"/>
  <c r="S14" i="13"/>
  <c r="R14" i="13"/>
  <c r="AB17" i="13"/>
  <c r="Y17" i="13"/>
  <c r="U17" i="13"/>
  <c r="T17" i="13"/>
  <c r="S17" i="13"/>
  <c r="R17" i="13"/>
  <c r="AB18" i="13"/>
  <c r="Y18" i="13"/>
  <c r="U18" i="13"/>
  <c r="T18" i="13"/>
  <c r="S18" i="13"/>
  <c r="R18" i="13"/>
  <c r="AB21" i="13"/>
  <c r="Y21" i="13"/>
  <c r="U21" i="13"/>
  <c r="T21" i="13"/>
  <c r="S21" i="13"/>
  <c r="R21" i="13"/>
  <c r="AB22" i="13"/>
  <c r="Y22" i="13"/>
  <c r="U22" i="13"/>
  <c r="T22" i="13"/>
  <c r="S22" i="13"/>
  <c r="R22" i="13"/>
  <c r="AB23" i="13"/>
  <c r="Y23" i="13"/>
  <c r="U23" i="13"/>
  <c r="T23" i="13"/>
  <c r="S23" i="13"/>
  <c r="R23" i="13"/>
  <c r="AB24" i="13"/>
  <c r="Y24" i="13"/>
  <c r="U24" i="13"/>
  <c r="T24" i="13"/>
  <c r="S24" i="13"/>
  <c r="R24" i="13"/>
  <c r="AB26" i="13"/>
  <c r="Y26" i="13"/>
  <c r="U26" i="13"/>
  <c r="T26" i="13"/>
  <c r="S26" i="13"/>
  <c r="R26" i="13"/>
  <c r="AB27" i="13"/>
  <c r="Y27" i="13"/>
  <c r="U27" i="13"/>
  <c r="T27" i="13"/>
  <c r="S27" i="13"/>
  <c r="R27" i="13"/>
  <c r="AB28" i="13"/>
  <c r="Y28" i="13"/>
  <c r="U28" i="13"/>
  <c r="T28" i="13"/>
  <c r="S28" i="13"/>
  <c r="R28" i="13"/>
  <c r="AB30" i="13"/>
  <c r="Y30" i="13"/>
  <c r="U30" i="13"/>
  <c r="T30" i="13"/>
  <c r="S30" i="13"/>
  <c r="R30" i="13"/>
  <c r="AB31" i="13"/>
  <c r="Y31" i="13"/>
  <c r="U31" i="13"/>
  <c r="T31" i="13"/>
  <c r="S31" i="13"/>
  <c r="R31" i="13"/>
  <c r="AB32" i="13"/>
  <c r="Y32" i="13"/>
  <c r="U32" i="13"/>
  <c r="T32" i="13"/>
  <c r="S32" i="13"/>
  <c r="R32" i="13"/>
  <c r="AB33" i="13"/>
  <c r="Y33" i="13"/>
  <c r="U33" i="13"/>
  <c r="T33" i="13"/>
  <c r="S33" i="13"/>
  <c r="R33" i="13"/>
  <c r="AB34" i="13"/>
  <c r="Y34" i="13"/>
  <c r="U34" i="13"/>
  <c r="T34" i="13"/>
  <c r="S34" i="13"/>
  <c r="R34" i="13"/>
  <c r="AB35" i="13"/>
  <c r="Y35" i="13"/>
  <c r="U35" i="13"/>
  <c r="T35" i="13"/>
  <c r="S35" i="13"/>
  <c r="R35" i="13"/>
  <c r="AB36" i="13"/>
  <c r="Y36" i="13"/>
  <c r="U36" i="13"/>
  <c r="T36" i="13"/>
  <c r="S36" i="13"/>
  <c r="R36" i="13"/>
  <c r="AB38" i="13"/>
  <c r="Y38" i="13"/>
  <c r="U38" i="13"/>
  <c r="T38" i="13"/>
  <c r="S38" i="13"/>
  <c r="R38" i="13"/>
  <c r="AB41" i="13"/>
  <c r="Y41" i="13"/>
  <c r="U41" i="13"/>
  <c r="T41" i="13"/>
  <c r="S41" i="13"/>
  <c r="R41" i="13"/>
  <c r="AB42" i="13"/>
  <c r="Y42" i="13"/>
  <c r="U42" i="13"/>
  <c r="T42" i="13"/>
  <c r="S42" i="13"/>
  <c r="R42" i="13"/>
  <c r="AB43" i="13"/>
  <c r="Y43" i="13"/>
  <c r="U43" i="13"/>
  <c r="T43" i="13"/>
  <c r="S43" i="13"/>
  <c r="R43" i="13"/>
  <c r="AB46" i="13"/>
  <c r="Y46" i="13"/>
  <c r="U46" i="13"/>
  <c r="T46" i="13"/>
  <c r="S46" i="13"/>
  <c r="R46" i="13"/>
  <c r="AB47" i="13"/>
  <c r="Y47" i="13"/>
  <c r="U47" i="13"/>
  <c r="T47" i="13"/>
  <c r="S47" i="13"/>
  <c r="R47" i="13"/>
  <c r="AB48" i="13"/>
  <c r="Y48" i="13"/>
  <c r="U48" i="13"/>
  <c r="T48" i="13"/>
  <c r="S48" i="13"/>
  <c r="R48" i="13"/>
  <c r="AB49" i="13"/>
  <c r="Y49" i="13"/>
  <c r="U49" i="13"/>
  <c r="T49" i="13"/>
  <c r="S49" i="13"/>
  <c r="R49" i="13"/>
  <c r="AB51" i="13"/>
  <c r="Y51" i="13"/>
  <c r="U51" i="13"/>
  <c r="T51" i="13"/>
  <c r="S51" i="13"/>
  <c r="R51" i="13"/>
  <c r="AB52" i="13"/>
  <c r="Y52" i="13"/>
  <c r="U52" i="13"/>
  <c r="T52" i="13"/>
  <c r="S52" i="13"/>
  <c r="R52" i="13"/>
  <c r="AB53" i="13"/>
  <c r="Y53" i="13"/>
  <c r="U53" i="13"/>
  <c r="T53" i="13"/>
  <c r="S53" i="13"/>
  <c r="R53" i="13"/>
  <c r="AB54" i="13"/>
  <c r="Y54" i="13"/>
  <c r="U54" i="13"/>
  <c r="T54" i="13"/>
  <c r="S54" i="13"/>
  <c r="R54" i="13"/>
  <c r="AB55" i="13"/>
  <c r="Y55" i="13"/>
  <c r="U55" i="13"/>
  <c r="T55" i="13"/>
  <c r="S55" i="13"/>
  <c r="R55" i="13"/>
  <c r="AB57" i="13"/>
  <c r="Y57" i="13"/>
  <c r="U57" i="13"/>
  <c r="T57" i="13"/>
  <c r="S57" i="13"/>
  <c r="R57" i="13"/>
  <c r="AB58" i="13"/>
  <c r="Y58" i="13"/>
  <c r="U58" i="13"/>
  <c r="T58" i="13"/>
  <c r="S58" i="13"/>
  <c r="R58" i="13"/>
  <c r="AB59" i="13"/>
  <c r="Y59" i="13"/>
  <c r="U59" i="13"/>
  <c r="T59" i="13"/>
  <c r="S59" i="13"/>
  <c r="R59" i="13"/>
  <c r="AB62" i="13"/>
  <c r="Y62" i="13"/>
  <c r="U62" i="13"/>
  <c r="T62" i="13"/>
  <c r="S62" i="13"/>
  <c r="R62" i="13"/>
  <c r="AB63" i="13"/>
  <c r="Y63" i="13"/>
  <c r="U63" i="13"/>
  <c r="T63" i="13"/>
  <c r="S63" i="13"/>
  <c r="R63" i="13"/>
  <c r="AB64" i="13"/>
  <c r="Y64" i="13"/>
  <c r="U64" i="13"/>
  <c r="T64" i="13"/>
  <c r="S64" i="13"/>
  <c r="R64" i="13"/>
  <c r="AB65" i="13"/>
  <c r="Y65" i="13"/>
  <c r="U65" i="13"/>
  <c r="T65" i="13"/>
  <c r="S65" i="13"/>
  <c r="R65" i="13"/>
  <c r="AB66" i="13"/>
  <c r="Y66" i="13"/>
  <c r="U66" i="13"/>
  <c r="T66" i="13"/>
  <c r="S66" i="13"/>
  <c r="R66" i="13"/>
  <c r="AB67" i="13"/>
  <c r="Y67" i="13"/>
  <c r="U67" i="13"/>
  <c r="T67" i="13"/>
  <c r="S67" i="13"/>
  <c r="R67" i="13"/>
  <c r="AB68" i="13"/>
  <c r="Y68" i="13"/>
  <c r="U68" i="13"/>
  <c r="T68" i="13"/>
  <c r="S68" i="13"/>
  <c r="R68" i="13"/>
  <c r="AB70" i="13"/>
  <c r="Y70" i="13"/>
  <c r="U70" i="13"/>
  <c r="T70" i="13"/>
  <c r="S70" i="13"/>
  <c r="R70" i="13"/>
  <c r="AB71" i="13"/>
  <c r="Y71" i="13"/>
  <c r="U71" i="13"/>
  <c r="T71" i="13"/>
  <c r="S71" i="13"/>
  <c r="R71" i="13"/>
  <c r="AB72" i="13"/>
  <c r="Y72" i="13"/>
  <c r="U72" i="13"/>
  <c r="T72" i="13"/>
  <c r="S72" i="13"/>
  <c r="R72" i="13"/>
  <c r="AB73" i="13"/>
  <c r="Y73" i="13"/>
  <c r="U73" i="13"/>
  <c r="T73" i="13"/>
  <c r="S73" i="13"/>
  <c r="R73" i="13"/>
  <c r="AB74" i="13"/>
  <c r="Y74" i="13"/>
  <c r="U74" i="13"/>
  <c r="T74" i="13"/>
  <c r="S74" i="13"/>
  <c r="R74" i="13"/>
  <c r="AB75" i="13"/>
  <c r="Y75" i="13"/>
  <c r="U75" i="13"/>
  <c r="T75" i="13"/>
  <c r="S75" i="13"/>
  <c r="R75" i="13"/>
  <c r="AB76" i="13"/>
  <c r="Y76" i="13"/>
  <c r="U76" i="13"/>
  <c r="T76" i="13"/>
  <c r="S76" i="13"/>
  <c r="R76" i="13"/>
  <c r="AM7" i="13"/>
  <c r="AN7" i="13" s="1"/>
  <c r="AS7" i="13" s="1"/>
  <c r="AM8" i="13"/>
  <c r="AN8" i="13" s="1"/>
  <c r="AS8" i="13" s="1"/>
  <c r="AM9" i="13"/>
  <c r="AN9" i="13" s="1"/>
  <c r="AS9" i="13" s="1"/>
  <c r="AM10" i="13"/>
  <c r="AN10" i="13" s="1"/>
  <c r="AS10" i="13" s="1"/>
  <c r="AM12" i="13"/>
  <c r="AN12" i="13" s="1"/>
  <c r="AS12" i="13" s="1"/>
  <c r="AM13" i="13"/>
  <c r="AN13" i="13" s="1"/>
  <c r="AS13" i="13" s="1"/>
  <c r="AM14" i="13"/>
  <c r="AN14" i="13" s="1"/>
  <c r="AS14" i="13" s="1"/>
  <c r="AM17" i="13"/>
  <c r="AN17" i="13" s="1"/>
  <c r="AS17" i="13" s="1"/>
  <c r="AM18" i="13"/>
  <c r="AN18" i="13" s="1"/>
  <c r="AS18" i="13" s="1"/>
  <c r="AM21" i="13"/>
  <c r="AN21" i="13" s="1"/>
  <c r="AS21" i="13" s="1"/>
  <c r="AM22" i="13"/>
  <c r="AN22" i="13" s="1"/>
  <c r="AS22" i="13" s="1"/>
  <c r="AM23" i="13"/>
  <c r="AN23" i="13" s="1"/>
  <c r="AM24" i="13"/>
  <c r="AN24" i="13" s="1"/>
  <c r="AS24" i="13" s="1"/>
  <c r="AM26" i="13"/>
  <c r="AN26" i="13" s="1"/>
  <c r="AS26" i="13" s="1"/>
  <c r="AM27" i="13"/>
  <c r="AN27" i="13" s="1"/>
  <c r="AS27" i="13" s="1"/>
  <c r="AM28" i="13"/>
  <c r="AN28" i="13" s="1"/>
  <c r="AM30" i="13"/>
  <c r="AN30" i="13" s="1"/>
  <c r="AS30" i="13" s="1"/>
  <c r="AM31" i="13"/>
  <c r="AN31" i="13" s="1"/>
  <c r="AS31" i="13" s="1"/>
  <c r="AM32" i="13"/>
  <c r="AN32" i="13" s="1"/>
  <c r="AS32" i="13" s="1"/>
  <c r="AM33" i="13"/>
  <c r="AN33" i="13" s="1"/>
  <c r="AM34" i="13"/>
  <c r="AN34" i="13" s="1"/>
  <c r="AS34" i="13" s="1"/>
  <c r="AM35" i="13"/>
  <c r="AN35" i="13" s="1"/>
  <c r="AS35" i="13" s="1"/>
  <c r="AM36" i="13"/>
  <c r="AN36" i="13" s="1"/>
  <c r="AS36" i="13" s="1"/>
  <c r="AM38" i="13"/>
  <c r="AN38" i="13" s="1"/>
  <c r="AM41" i="13"/>
  <c r="AN41" i="13" s="1"/>
  <c r="AM42" i="13"/>
  <c r="AN42" i="13" s="1"/>
  <c r="AS42" i="13" s="1"/>
  <c r="AM43" i="13"/>
  <c r="AN43" i="13" s="1"/>
  <c r="AS43" i="13" s="1"/>
  <c r="AM46" i="13"/>
  <c r="AN46" i="13" s="1"/>
  <c r="AS46" i="13" s="1"/>
  <c r="AM47" i="13"/>
  <c r="AN47" i="13" s="1"/>
  <c r="AS47" i="13" s="1"/>
  <c r="AM48" i="13"/>
  <c r="AN48" i="13" s="1"/>
  <c r="AM49" i="13"/>
  <c r="AN49" i="13" s="1"/>
  <c r="AS49" i="13" s="1"/>
  <c r="AM51" i="13"/>
  <c r="AN51" i="13" s="1"/>
  <c r="AS51" i="13" s="1"/>
  <c r="AM52" i="13"/>
  <c r="AN52" i="13" s="1"/>
  <c r="AS52" i="13" s="1"/>
  <c r="AM53" i="13"/>
  <c r="AN53" i="13" s="1"/>
  <c r="AM54" i="13"/>
  <c r="AN54" i="13" s="1"/>
  <c r="AS54" i="13" s="1"/>
  <c r="AM55" i="13"/>
  <c r="AN55" i="13" s="1"/>
  <c r="AS55" i="13" s="1"/>
  <c r="AM57" i="13"/>
  <c r="AN57" i="13" s="1"/>
  <c r="AS57" i="13" s="1"/>
  <c r="AM58" i="13"/>
  <c r="AN58" i="13" s="1"/>
  <c r="AS58" i="13" s="1"/>
  <c r="AM59" i="13"/>
  <c r="AN59" i="13" s="1"/>
  <c r="AS59" i="13" s="1"/>
  <c r="AM62" i="13"/>
  <c r="AN62" i="13" s="1"/>
  <c r="AS62" i="13" s="1"/>
  <c r="AM63" i="13"/>
  <c r="AN63" i="13" s="1"/>
  <c r="AS63" i="13" s="1"/>
  <c r="AM64" i="13"/>
  <c r="AN64" i="13" s="1"/>
  <c r="AS64" i="13" s="1"/>
  <c r="AM65" i="13"/>
  <c r="AN65" i="13" s="1"/>
  <c r="AS65" i="13" s="1"/>
  <c r="AM66" i="13"/>
  <c r="AN66" i="13" s="1"/>
  <c r="AS66" i="13" s="1"/>
  <c r="AM67" i="13"/>
  <c r="AN67" i="13" s="1"/>
  <c r="AM68" i="13"/>
  <c r="AN68" i="13" s="1"/>
  <c r="AS68" i="13" s="1"/>
  <c r="AM69" i="13"/>
  <c r="AN69" i="13" s="1"/>
  <c r="AS69" i="13" s="1"/>
  <c r="AM70" i="13"/>
  <c r="AN70" i="13" s="1"/>
  <c r="AS70" i="13" s="1"/>
  <c r="AM71" i="13"/>
  <c r="AN71" i="13" s="1"/>
  <c r="AS71" i="13" s="1"/>
  <c r="AM72" i="13"/>
  <c r="AN72" i="13" s="1"/>
  <c r="AS72" i="13" s="1"/>
  <c r="AM73" i="13"/>
  <c r="AN73" i="13" s="1"/>
  <c r="AS73" i="13" s="1"/>
  <c r="AM74" i="13"/>
  <c r="AN74" i="13" s="1"/>
  <c r="AS74" i="13" s="1"/>
  <c r="AM75" i="13"/>
  <c r="AS75" i="13" s="1"/>
  <c r="AM76" i="13"/>
  <c r="AN76" i="13" s="1"/>
  <c r="AS76" i="13" s="1"/>
  <c r="AL11" i="18"/>
  <c r="AL10" i="18" s="1"/>
  <c r="AL22" i="18"/>
  <c r="AM9" i="18"/>
  <c r="AM7" i="18"/>
  <c r="AM11" i="18"/>
  <c r="AM10" i="18"/>
  <c r="AM13" i="18"/>
  <c r="AM14" i="18"/>
  <c r="AM15" i="18"/>
  <c r="AM16" i="18"/>
  <c r="AM18" i="18"/>
  <c r="AM17" i="18" s="1"/>
  <c r="AM20" i="18"/>
  <c r="AM21" i="18"/>
  <c r="AM22" i="18"/>
  <c r="AM24" i="18"/>
  <c r="AM23" i="18" s="1"/>
  <c r="AN9" i="18"/>
  <c r="AN11" i="18"/>
  <c r="AN10" i="18" s="1"/>
  <c r="AN13" i="18"/>
  <c r="AN14" i="18"/>
  <c r="AN15" i="18"/>
  <c r="AN16" i="18"/>
  <c r="AN18" i="18"/>
  <c r="AN17" i="18" s="1"/>
  <c r="AN20" i="18"/>
  <c r="AN21" i="18"/>
  <c r="AN22" i="18"/>
  <c r="AN24" i="18"/>
  <c r="AN23" i="18" s="1"/>
  <c r="AO9" i="18"/>
  <c r="AO11" i="18"/>
  <c r="AO10" i="18" s="1"/>
  <c r="AO13" i="18"/>
  <c r="AO14" i="18"/>
  <c r="AO15" i="18"/>
  <c r="AO16" i="18"/>
  <c r="AO18" i="18"/>
  <c r="AO17" i="18" s="1"/>
  <c r="AO20" i="18"/>
  <c r="AO21" i="18"/>
  <c r="AO22" i="18"/>
  <c r="AO24" i="18"/>
  <c r="AO23" i="18" s="1"/>
  <c r="AP9" i="18"/>
  <c r="AP11" i="18"/>
  <c r="AP10" i="18" s="1"/>
  <c r="AP13" i="18"/>
  <c r="AP14" i="18"/>
  <c r="AP15" i="18"/>
  <c r="AP16" i="18"/>
  <c r="AP18" i="18"/>
  <c r="AP17" i="18" s="1"/>
  <c r="AP20" i="18"/>
  <c r="AP22" i="18"/>
  <c r="AQ9" i="18"/>
  <c r="AQ7" i="18" s="1"/>
  <c r="AQ11" i="18"/>
  <c r="AQ10" i="18" s="1"/>
  <c r="AQ13" i="18"/>
  <c r="AQ14" i="18"/>
  <c r="AQ15" i="18"/>
  <c r="AQ16" i="18"/>
  <c r="AQ20" i="18"/>
  <c r="AQ21" i="18"/>
  <c r="AQ22" i="18"/>
  <c r="AQ24" i="18"/>
  <c r="AQ23" i="18" s="1"/>
  <c r="AR9" i="18"/>
  <c r="AR11" i="18"/>
  <c r="AR10" i="18" s="1"/>
  <c r="AR13" i="18"/>
  <c r="AR14" i="18"/>
  <c r="AR15" i="18"/>
  <c r="AR16" i="18"/>
  <c r="AR18" i="18"/>
  <c r="AR17" i="18" s="1"/>
  <c r="AR20" i="18"/>
  <c r="AR21" i="18"/>
  <c r="AR22" i="18"/>
  <c r="AR24" i="18"/>
  <c r="AR23" i="18" s="1"/>
  <c r="L7" i="14"/>
  <c r="M7" i="14" s="1"/>
  <c r="AQ7" i="14" s="1"/>
  <c r="L8" i="14"/>
  <c r="M8" i="14" s="1"/>
  <c r="L9" i="14"/>
  <c r="M9" i="14" s="1"/>
  <c r="AQ9" i="14" s="1"/>
  <c r="AU9" i="14" s="1"/>
  <c r="L10" i="14"/>
  <c r="M10" i="14" s="1"/>
  <c r="AQ10" i="14" s="1"/>
  <c r="AU10" i="14" s="1"/>
  <c r="L12" i="14"/>
  <c r="M12" i="14" s="1"/>
  <c r="AQ12" i="14" s="1"/>
  <c r="AU12" i="14" s="1"/>
  <c r="L13" i="14"/>
  <c r="M13" i="14" s="1"/>
  <c r="AQ13" i="14" s="1"/>
  <c r="AU13" i="14" s="1"/>
  <c r="L14" i="14"/>
  <c r="M14" i="14" s="1"/>
  <c r="AQ14" i="14" s="1"/>
  <c r="AU14" i="14" s="1"/>
  <c r="L17" i="14"/>
  <c r="M17" i="14" s="1"/>
  <c r="AQ17" i="14" s="1"/>
  <c r="L18" i="14"/>
  <c r="M18" i="14" s="1"/>
  <c r="AQ18" i="14" s="1"/>
  <c r="L21" i="14"/>
  <c r="M21" i="14" s="1"/>
  <c r="AQ21" i="14" s="1"/>
  <c r="L22" i="14"/>
  <c r="M22" i="14" s="1"/>
  <c r="AQ22" i="14" s="1"/>
  <c r="L23" i="14"/>
  <c r="M23" i="14" s="1"/>
  <c r="L24" i="14"/>
  <c r="M24" i="14" s="1"/>
  <c r="AQ24" i="14" s="1"/>
  <c r="L26" i="14"/>
  <c r="M26" i="14" s="1"/>
  <c r="AQ26" i="14" s="1"/>
  <c r="L27" i="14"/>
  <c r="M27" i="14" s="1"/>
  <c r="AQ27" i="14" s="1"/>
  <c r="L28" i="14"/>
  <c r="M28" i="14" s="1"/>
  <c r="L30" i="14"/>
  <c r="M30" i="14" s="1"/>
  <c r="AQ30" i="14" s="1"/>
  <c r="L31" i="14"/>
  <c r="M31" i="14" s="1"/>
  <c r="AQ31" i="14" s="1"/>
  <c r="L32" i="14"/>
  <c r="M32" i="14" s="1"/>
  <c r="AQ32" i="14" s="1"/>
  <c r="L33" i="14"/>
  <c r="M33" i="14" s="1"/>
  <c r="L34" i="14"/>
  <c r="M34" i="14" s="1"/>
  <c r="AQ34" i="14" s="1"/>
  <c r="L35" i="14"/>
  <c r="M35" i="14" s="1"/>
  <c r="AQ35" i="14" s="1"/>
  <c r="L36" i="14"/>
  <c r="M36" i="14" s="1"/>
  <c r="AQ36" i="14" s="1"/>
  <c r="L38" i="14"/>
  <c r="M38" i="14"/>
  <c r="AQ38" i="14" s="1"/>
  <c r="AQ39" i="14" s="1"/>
  <c r="AU16" i="18" s="1"/>
  <c r="L41" i="14"/>
  <c r="M41" i="14"/>
  <c r="AQ41" i="14" s="1"/>
  <c r="AU41" i="14" s="1"/>
  <c r="L42" i="14"/>
  <c r="M42" i="14" s="1"/>
  <c r="AQ42" i="14" s="1"/>
  <c r="AU42" i="14" s="1"/>
  <c r="L43" i="14"/>
  <c r="M43" i="14" s="1"/>
  <c r="AQ43" i="14" s="1"/>
  <c r="L46" i="14"/>
  <c r="M46" i="14" s="1"/>
  <c r="AQ46" i="14" s="1"/>
  <c r="AU46" i="14" s="1"/>
  <c r="AU50" i="14" s="1"/>
  <c r="L47" i="14"/>
  <c r="M47" i="14" s="1"/>
  <c r="AQ47" i="14" s="1"/>
  <c r="L48" i="14"/>
  <c r="M48" i="14"/>
  <c r="AQ48" i="14" s="1"/>
  <c r="L49" i="14"/>
  <c r="M49" i="14" s="1"/>
  <c r="AQ49" i="14" s="1"/>
  <c r="L51" i="14"/>
  <c r="M51" i="14" s="1"/>
  <c r="AQ51" i="14" s="1"/>
  <c r="AU51" i="14" s="1"/>
  <c r="L52" i="14"/>
  <c r="M52" i="14" s="1"/>
  <c r="AQ52" i="14" s="1"/>
  <c r="L53" i="14"/>
  <c r="M53" i="14" s="1"/>
  <c r="L54" i="14"/>
  <c r="M54" i="14" s="1"/>
  <c r="AQ54" i="14" s="1"/>
  <c r="AU54" i="14" s="1"/>
  <c r="L55" i="14"/>
  <c r="M55" i="14" s="1"/>
  <c r="AQ55" i="14" s="1"/>
  <c r="AU55" i="14" s="1"/>
  <c r="L57" i="14"/>
  <c r="M57" i="14" s="1"/>
  <c r="AQ57" i="14" s="1"/>
  <c r="L58" i="14"/>
  <c r="M58" i="14" s="1"/>
  <c r="L59" i="14"/>
  <c r="M59" i="14" s="1"/>
  <c r="AQ59" i="14" s="1"/>
  <c r="L62" i="14"/>
  <c r="M62" i="14" s="1"/>
  <c r="AQ62" i="14" s="1"/>
  <c r="AU62" i="14" s="1"/>
  <c r="L63" i="14"/>
  <c r="M63" i="14" s="1"/>
  <c r="AQ63" i="14" s="1"/>
  <c r="L64" i="14"/>
  <c r="M64" i="14" s="1"/>
  <c r="AQ64" i="14" s="1"/>
  <c r="L65" i="14"/>
  <c r="M65" i="14" s="1"/>
  <c r="AQ65" i="14" s="1"/>
  <c r="L66" i="14"/>
  <c r="M66" i="14" s="1"/>
  <c r="AQ66" i="14" s="1"/>
  <c r="AU66" i="14" s="1"/>
  <c r="L67" i="14"/>
  <c r="M67" i="14" s="1"/>
  <c r="L68" i="14"/>
  <c r="M68" i="14" s="1"/>
  <c r="AQ68" i="14" s="1"/>
  <c r="L69" i="14"/>
  <c r="M69" i="14" s="1"/>
  <c r="AQ69" i="14" s="1"/>
  <c r="L70" i="14"/>
  <c r="M70" i="14" s="1"/>
  <c r="AQ70" i="14" s="1"/>
  <c r="AU70" i="14" s="1"/>
  <c r="L71" i="14"/>
  <c r="M71" i="14"/>
  <c r="AQ71" i="14" s="1"/>
  <c r="AU71" i="14" s="1"/>
  <c r="L72" i="14"/>
  <c r="M72" i="14" s="1"/>
  <c r="AQ72" i="14" s="1"/>
  <c r="AU72" i="14" s="1"/>
  <c r="L73" i="14"/>
  <c r="M73" i="14" s="1"/>
  <c r="AQ73" i="14" s="1"/>
  <c r="AU73" i="14" s="1"/>
  <c r="L74" i="14"/>
  <c r="M74" i="14" s="1"/>
  <c r="AQ74" i="14" s="1"/>
  <c r="L75" i="14"/>
  <c r="M75" i="14" s="1"/>
  <c r="AQ75" i="14" s="1"/>
  <c r="L76" i="14"/>
  <c r="M76" i="14" s="1"/>
  <c r="AQ76" i="14" s="1"/>
  <c r="AU76" i="14" s="1"/>
  <c r="AB7" i="14"/>
  <c r="Y7" i="14"/>
  <c r="U7" i="14"/>
  <c r="T7" i="14"/>
  <c r="S7" i="14"/>
  <c r="R7" i="14"/>
  <c r="AB8" i="14"/>
  <c r="Y8" i="14"/>
  <c r="U8" i="14"/>
  <c r="T8" i="14"/>
  <c r="S8" i="14"/>
  <c r="R8" i="14"/>
  <c r="AB9" i="14"/>
  <c r="Y9" i="14"/>
  <c r="U9" i="14"/>
  <c r="T9" i="14"/>
  <c r="S9" i="14"/>
  <c r="R9" i="14"/>
  <c r="AB10" i="14"/>
  <c r="Y10" i="14"/>
  <c r="U10" i="14"/>
  <c r="T10" i="14"/>
  <c r="S10" i="14"/>
  <c r="R10" i="14"/>
  <c r="AB12" i="14"/>
  <c r="Y12" i="14"/>
  <c r="U12" i="14"/>
  <c r="T12" i="14"/>
  <c r="S12" i="14"/>
  <c r="R12" i="14"/>
  <c r="AB13" i="14"/>
  <c r="Y13" i="14"/>
  <c r="U13" i="14"/>
  <c r="T13" i="14"/>
  <c r="S13" i="14"/>
  <c r="R13" i="14"/>
  <c r="AB14" i="14"/>
  <c r="Y14" i="14"/>
  <c r="U14" i="14"/>
  <c r="T14" i="14"/>
  <c r="S14" i="14"/>
  <c r="R14" i="14"/>
  <c r="AB17" i="14"/>
  <c r="Y17" i="14"/>
  <c r="U17" i="14"/>
  <c r="T17" i="14"/>
  <c r="S17" i="14"/>
  <c r="R17" i="14"/>
  <c r="AB18" i="14"/>
  <c r="Y18" i="14"/>
  <c r="U18" i="14"/>
  <c r="T18" i="14"/>
  <c r="S18" i="14"/>
  <c r="R18" i="14"/>
  <c r="AB21" i="14"/>
  <c r="Y21" i="14"/>
  <c r="U21" i="14"/>
  <c r="T21" i="14"/>
  <c r="S21" i="14"/>
  <c r="R21" i="14"/>
  <c r="AB22" i="14"/>
  <c r="Y22" i="14"/>
  <c r="U22" i="14"/>
  <c r="T22" i="14"/>
  <c r="S22" i="14"/>
  <c r="R22" i="14"/>
  <c r="AB23" i="14"/>
  <c r="Y23" i="14"/>
  <c r="U23" i="14"/>
  <c r="T23" i="14"/>
  <c r="S23" i="14"/>
  <c r="R23" i="14"/>
  <c r="AB24" i="14"/>
  <c r="Y24" i="14"/>
  <c r="U24" i="14"/>
  <c r="T24" i="14"/>
  <c r="S24" i="14"/>
  <c r="R24" i="14"/>
  <c r="AB26" i="14"/>
  <c r="Y26" i="14"/>
  <c r="U26" i="14"/>
  <c r="T26" i="14"/>
  <c r="S26" i="14"/>
  <c r="R26" i="14"/>
  <c r="AB27" i="14"/>
  <c r="Y27" i="14"/>
  <c r="U27" i="14"/>
  <c r="T27" i="14"/>
  <c r="S27" i="14"/>
  <c r="R27" i="14"/>
  <c r="AB28" i="14"/>
  <c r="Y28" i="14"/>
  <c r="U28" i="14"/>
  <c r="T28" i="14"/>
  <c r="S28" i="14"/>
  <c r="R28" i="14"/>
  <c r="AB30" i="14"/>
  <c r="Y30" i="14"/>
  <c r="U30" i="14"/>
  <c r="T30" i="14"/>
  <c r="S30" i="14"/>
  <c r="R30" i="14"/>
  <c r="AB31" i="14"/>
  <c r="Y31" i="14"/>
  <c r="U31" i="14"/>
  <c r="T31" i="14"/>
  <c r="S31" i="14"/>
  <c r="R31" i="14"/>
  <c r="AB32" i="14"/>
  <c r="Y32" i="14"/>
  <c r="U32" i="14"/>
  <c r="T32" i="14"/>
  <c r="S32" i="14"/>
  <c r="R32" i="14"/>
  <c r="AB33" i="14"/>
  <c r="Y33" i="14"/>
  <c r="U33" i="14"/>
  <c r="T33" i="14"/>
  <c r="S33" i="14"/>
  <c r="R33" i="14"/>
  <c r="AB34" i="14"/>
  <c r="Y34" i="14"/>
  <c r="U34" i="14"/>
  <c r="T34" i="14"/>
  <c r="S34" i="14"/>
  <c r="R34" i="14"/>
  <c r="AB35" i="14"/>
  <c r="Y35" i="14"/>
  <c r="U35" i="14"/>
  <c r="T35" i="14"/>
  <c r="S35" i="14"/>
  <c r="R35" i="14"/>
  <c r="AB36" i="14"/>
  <c r="Y36" i="14"/>
  <c r="U36" i="14"/>
  <c r="T36" i="14"/>
  <c r="S36" i="14"/>
  <c r="R36" i="14"/>
  <c r="AB38" i="14"/>
  <c r="Y38" i="14"/>
  <c r="U38" i="14"/>
  <c r="T38" i="14"/>
  <c r="S38" i="14"/>
  <c r="R38" i="14"/>
  <c r="AB41" i="14"/>
  <c r="Y41" i="14"/>
  <c r="U41" i="14"/>
  <c r="T41" i="14"/>
  <c r="S41" i="14"/>
  <c r="R41" i="14"/>
  <c r="AB42" i="14"/>
  <c r="Y42" i="14"/>
  <c r="U42" i="14"/>
  <c r="T42" i="14"/>
  <c r="S42" i="14"/>
  <c r="R42" i="14"/>
  <c r="AB43" i="14"/>
  <c r="Y43" i="14"/>
  <c r="U43" i="14"/>
  <c r="T43" i="14"/>
  <c r="S43" i="14"/>
  <c r="R43" i="14"/>
  <c r="AB46" i="14"/>
  <c r="Y46" i="14"/>
  <c r="U46" i="14"/>
  <c r="T46" i="14"/>
  <c r="S46" i="14"/>
  <c r="R46" i="14"/>
  <c r="AB47" i="14"/>
  <c r="Y47" i="14"/>
  <c r="U47" i="14"/>
  <c r="T47" i="14"/>
  <c r="S47" i="14"/>
  <c r="R47" i="14"/>
  <c r="AB48" i="14"/>
  <c r="Y48" i="14"/>
  <c r="U48" i="14"/>
  <c r="T48" i="14"/>
  <c r="S48" i="14"/>
  <c r="R48" i="14"/>
  <c r="AB49" i="14"/>
  <c r="Y49" i="14"/>
  <c r="U49" i="14"/>
  <c r="T49" i="14"/>
  <c r="S49" i="14"/>
  <c r="R49" i="14"/>
  <c r="AB51" i="14"/>
  <c r="Y51" i="14"/>
  <c r="U51" i="14"/>
  <c r="T51" i="14"/>
  <c r="S51" i="14"/>
  <c r="R51" i="14"/>
  <c r="AB52" i="14"/>
  <c r="Y52" i="14"/>
  <c r="U52" i="14"/>
  <c r="T52" i="14"/>
  <c r="S52" i="14"/>
  <c r="R52" i="14"/>
  <c r="AB53" i="14"/>
  <c r="Y53" i="14"/>
  <c r="U53" i="14"/>
  <c r="T53" i="14"/>
  <c r="S53" i="14"/>
  <c r="R53" i="14"/>
  <c r="AB54" i="14"/>
  <c r="Y54" i="14"/>
  <c r="U54" i="14"/>
  <c r="T54" i="14"/>
  <c r="S54" i="14"/>
  <c r="R54" i="14"/>
  <c r="AB55" i="14"/>
  <c r="Y55" i="14"/>
  <c r="U55" i="14"/>
  <c r="T55" i="14"/>
  <c r="S55" i="14"/>
  <c r="R55" i="14"/>
  <c r="AB57" i="14"/>
  <c r="Y57" i="14"/>
  <c r="U57" i="14"/>
  <c r="T57" i="14"/>
  <c r="S57" i="14"/>
  <c r="R57" i="14"/>
  <c r="AB58" i="14"/>
  <c r="Y58" i="14"/>
  <c r="U58" i="14"/>
  <c r="T58" i="14"/>
  <c r="S58" i="14"/>
  <c r="R58" i="14"/>
  <c r="AB59" i="14"/>
  <c r="Y59" i="14"/>
  <c r="U59" i="14"/>
  <c r="T59" i="14"/>
  <c r="S59" i="14"/>
  <c r="R59" i="14"/>
  <c r="AB62" i="14"/>
  <c r="Y62" i="14"/>
  <c r="U62" i="14"/>
  <c r="T62" i="14"/>
  <c r="S62" i="14"/>
  <c r="R62" i="14"/>
  <c r="AB63" i="14"/>
  <c r="Y63" i="14"/>
  <c r="U63" i="14"/>
  <c r="T63" i="14"/>
  <c r="S63" i="14"/>
  <c r="R63" i="14"/>
  <c r="AB64" i="14"/>
  <c r="Y64" i="14"/>
  <c r="U64" i="14"/>
  <c r="T64" i="14"/>
  <c r="S64" i="14"/>
  <c r="R64" i="14"/>
  <c r="AB65" i="14"/>
  <c r="Y65" i="14"/>
  <c r="U65" i="14"/>
  <c r="T65" i="14"/>
  <c r="S65" i="14"/>
  <c r="R65" i="14"/>
  <c r="AB66" i="14"/>
  <c r="Y66" i="14"/>
  <c r="U66" i="14"/>
  <c r="T66" i="14"/>
  <c r="S66" i="14"/>
  <c r="R66" i="14"/>
  <c r="AB67" i="14"/>
  <c r="Y67" i="14"/>
  <c r="U67" i="14"/>
  <c r="T67" i="14"/>
  <c r="S67" i="14"/>
  <c r="R67" i="14"/>
  <c r="AB68" i="14"/>
  <c r="Y68" i="14"/>
  <c r="U68" i="14"/>
  <c r="T68" i="14"/>
  <c r="S68" i="14"/>
  <c r="R68" i="14"/>
  <c r="AB70" i="14"/>
  <c r="Y70" i="14"/>
  <c r="U70" i="14"/>
  <c r="T70" i="14"/>
  <c r="S70" i="14"/>
  <c r="R70" i="14"/>
  <c r="AB71" i="14"/>
  <c r="Y71" i="14"/>
  <c r="U71" i="14"/>
  <c r="T71" i="14"/>
  <c r="S71" i="14"/>
  <c r="R71" i="14"/>
  <c r="AB72" i="14"/>
  <c r="Y72" i="14"/>
  <c r="U72" i="14"/>
  <c r="T72" i="14"/>
  <c r="S72" i="14"/>
  <c r="R72" i="14"/>
  <c r="AB73" i="14"/>
  <c r="Y73" i="14"/>
  <c r="U73" i="14"/>
  <c r="T73" i="14"/>
  <c r="S73" i="14"/>
  <c r="R73" i="14"/>
  <c r="AB74" i="14"/>
  <c r="Y74" i="14"/>
  <c r="U74" i="14"/>
  <c r="T74" i="14"/>
  <c r="S74" i="14"/>
  <c r="R74" i="14"/>
  <c r="AB75" i="14"/>
  <c r="Y75" i="14"/>
  <c r="U75" i="14"/>
  <c r="T75" i="14"/>
  <c r="S75" i="14"/>
  <c r="R75" i="14"/>
  <c r="AB76" i="14"/>
  <c r="Y76" i="14"/>
  <c r="U76" i="14"/>
  <c r="T76" i="14"/>
  <c r="S76" i="14"/>
  <c r="R76" i="14"/>
  <c r="AM7" i="14"/>
  <c r="AN7" i="14" s="1"/>
  <c r="AS7" i="14" s="1"/>
  <c r="AM8" i="14"/>
  <c r="AN8" i="14" s="1"/>
  <c r="AS8" i="14" s="1"/>
  <c r="AM9" i="14"/>
  <c r="AN9" i="14" s="1"/>
  <c r="AM10" i="14"/>
  <c r="AN10" i="14" s="1"/>
  <c r="AS10" i="14" s="1"/>
  <c r="AM12" i="14"/>
  <c r="AN12" i="14" s="1"/>
  <c r="AS12" i="14" s="1"/>
  <c r="AM13" i="14"/>
  <c r="AN13" i="14" s="1"/>
  <c r="AS13" i="14" s="1"/>
  <c r="AM14" i="14"/>
  <c r="AN14" i="14" s="1"/>
  <c r="AM17" i="14"/>
  <c r="AN17" i="14" s="1"/>
  <c r="AM18" i="14"/>
  <c r="AN18" i="14" s="1"/>
  <c r="AS18" i="14" s="1"/>
  <c r="AM21" i="14"/>
  <c r="AN21" i="14" s="1"/>
  <c r="AS21" i="14" s="1"/>
  <c r="AM22" i="14"/>
  <c r="AN22" i="14" s="1"/>
  <c r="AM23" i="14"/>
  <c r="AN23" i="14" s="1"/>
  <c r="AS23" i="14" s="1"/>
  <c r="AM24" i="14"/>
  <c r="AN24" i="14" s="1"/>
  <c r="AS24" i="14" s="1"/>
  <c r="AM26" i="14"/>
  <c r="AN26" i="14" s="1"/>
  <c r="AS26" i="14" s="1"/>
  <c r="AM27" i="14"/>
  <c r="AN27" i="14" s="1"/>
  <c r="AS27" i="14" s="1"/>
  <c r="AM28" i="14"/>
  <c r="AN28" i="14" s="1"/>
  <c r="AS28" i="14" s="1"/>
  <c r="AM30" i="14"/>
  <c r="AN30" i="14" s="1"/>
  <c r="AS30" i="14" s="1"/>
  <c r="AM31" i="14"/>
  <c r="AN31" i="14" s="1"/>
  <c r="AS31" i="14" s="1"/>
  <c r="AM32" i="14"/>
  <c r="AN32" i="14" s="1"/>
  <c r="AM33" i="14"/>
  <c r="AN33" i="14" s="1"/>
  <c r="AS33" i="14" s="1"/>
  <c r="AM34" i="14"/>
  <c r="AN34" i="14" s="1"/>
  <c r="AS34" i="14" s="1"/>
  <c r="AM35" i="14"/>
  <c r="AN35" i="14" s="1"/>
  <c r="AS35" i="14" s="1"/>
  <c r="AM36" i="14"/>
  <c r="AN36" i="14" s="1"/>
  <c r="AS36" i="14" s="1"/>
  <c r="AM38" i="14"/>
  <c r="AN38" i="14" s="1"/>
  <c r="AS38" i="14" s="1"/>
  <c r="AM41" i="14"/>
  <c r="AN41" i="14" s="1"/>
  <c r="AS41" i="14" s="1"/>
  <c r="AM42" i="14"/>
  <c r="AN42" i="14" s="1"/>
  <c r="AM43" i="14"/>
  <c r="AN43" i="14" s="1"/>
  <c r="AS43" i="14" s="1"/>
  <c r="AM46" i="14"/>
  <c r="AN46" i="14" s="1"/>
  <c r="AS46" i="14" s="1"/>
  <c r="AM47" i="14"/>
  <c r="AN47" i="14" s="1"/>
  <c r="AM48" i="14"/>
  <c r="AN48" i="14" s="1"/>
  <c r="AS48" i="14" s="1"/>
  <c r="AM49" i="14"/>
  <c r="AN49" i="14" s="1"/>
  <c r="AS49" i="14" s="1"/>
  <c r="AM51" i="14"/>
  <c r="AN51" i="14" s="1"/>
  <c r="AS51" i="14" s="1"/>
  <c r="AM52" i="14"/>
  <c r="AN52" i="14" s="1"/>
  <c r="AM53" i="14"/>
  <c r="AN53" i="14" s="1"/>
  <c r="AS53" i="14" s="1"/>
  <c r="AM54" i="14"/>
  <c r="AN54" i="14" s="1"/>
  <c r="AS54" i="14" s="1"/>
  <c r="AM55" i="14"/>
  <c r="AN55" i="14" s="1"/>
  <c r="AS55" i="14" s="1"/>
  <c r="AM57" i="14"/>
  <c r="AN57" i="14" s="1"/>
  <c r="AM58" i="14"/>
  <c r="AN58" i="14" s="1"/>
  <c r="AS58" i="14" s="1"/>
  <c r="AM59" i="14"/>
  <c r="AN59" i="14" s="1"/>
  <c r="AS59" i="14" s="1"/>
  <c r="AM62" i="14"/>
  <c r="AN62" i="14" s="1"/>
  <c r="AS62" i="14" s="1"/>
  <c r="AM63" i="14"/>
  <c r="AN63" i="14" s="1"/>
  <c r="AS63" i="14" s="1"/>
  <c r="AM64" i="14"/>
  <c r="AN64" i="14" s="1"/>
  <c r="AS64" i="14" s="1"/>
  <c r="AM65" i="14"/>
  <c r="AN65" i="14" s="1"/>
  <c r="AS65" i="14" s="1"/>
  <c r="AM66" i="14"/>
  <c r="AN66" i="14" s="1"/>
  <c r="AS66" i="14" s="1"/>
  <c r="AM67" i="14"/>
  <c r="AN67" i="14" s="1"/>
  <c r="AS67" i="14" s="1"/>
  <c r="AM68" i="14"/>
  <c r="AN68" i="14" s="1"/>
  <c r="AM69" i="14"/>
  <c r="AN69" i="14" s="1"/>
  <c r="AS69" i="14" s="1"/>
  <c r="AM70" i="14"/>
  <c r="AN70" i="14" s="1"/>
  <c r="AS70" i="14" s="1"/>
  <c r="AM71" i="14"/>
  <c r="AN71" i="14" s="1"/>
  <c r="AS71" i="14" s="1"/>
  <c r="AM72" i="14"/>
  <c r="AN72" i="14" s="1"/>
  <c r="AS72" i="14" s="1"/>
  <c r="AM73" i="14"/>
  <c r="AN73" i="14" s="1"/>
  <c r="AS73" i="14" s="1"/>
  <c r="AM74" i="14"/>
  <c r="AN74" i="14" s="1"/>
  <c r="AS74" i="14" s="1"/>
  <c r="AM75" i="14"/>
  <c r="AN75" i="14" s="1"/>
  <c r="AS75" i="14" s="1"/>
  <c r="AM76" i="14"/>
  <c r="AN76" i="14" s="1"/>
  <c r="AS76" i="14" s="1"/>
  <c r="AY11" i="18"/>
  <c r="AY10" i="18" s="1"/>
  <c r="AY22" i="18"/>
  <c r="AZ9" i="18"/>
  <c r="AZ11" i="18"/>
  <c r="AZ10" i="18" s="1"/>
  <c r="AZ13" i="18"/>
  <c r="AZ14" i="18"/>
  <c r="AZ15" i="18"/>
  <c r="AZ16" i="18"/>
  <c r="AZ18" i="18"/>
  <c r="AZ17" i="18" s="1"/>
  <c r="AZ20" i="18"/>
  <c r="AZ21" i="18"/>
  <c r="AZ22" i="18"/>
  <c r="AZ24" i="18"/>
  <c r="AZ23" i="18" s="1"/>
  <c r="BA9" i="18"/>
  <c r="BA11" i="18"/>
  <c r="BA10" i="18" s="1"/>
  <c r="BA13" i="18"/>
  <c r="BA14" i="18"/>
  <c r="BA15" i="18"/>
  <c r="BA16" i="18"/>
  <c r="BA18" i="18"/>
  <c r="BA17" i="18" s="1"/>
  <c r="BA20" i="18"/>
  <c r="BA21" i="18"/>
  <c r="BA22" i="18"/>
  <c r="BA24" i="18"/>
  <c r="BA23" i="18" s="1"/>
  <c r="BB9" i="18"/>
  <c r="BB11" i="18"/>
  <c r="BB10" i="18" s="1"/>
  <c r="BB13" i="18"/>
  <c r="BB14" i="18"/>
  <c r="BB15" i="18"/>
  <c r="BB16" i="18"/>
  <c r="BB18" i="18"/>
  <c r="BB17" i="18" s="1"/>
  <c r="BB20" i="18"/>
  <c r="BB21" i="18"/>
  <c r="BB22" i="18"/>
  <c r="BB24" i="18"/>
  <c r="BB23" i="18" s="1"/>
  <c r="BC9" i="18"/>
  <c r="BC11" i="18"/>
  <c r="BC10" i="18" s="1"/>
  <c r="BC13" i="18"/>
  <c r="BC14" i="18"/>
  <c r="BC15" i="18"/>
  <c r="BC16" i="18"/>
  <c r="BC18" i="18"/>
  <c r="BC17" i="18" s="1"/>
  <c r="BC20" i="18"/>
  <c r="BC22" i="18"/>
  <c r="BD9" i="18"/>
  <c r="BD11" i="18"/>
  <c r="BD10" i="18" s="1"/>
  <c r="BD13" i="18"/>
  <c r="BD14" i="18"/>
  <c r="BD15" i="18"/>
  <c r="BD16" i="18"/>
  <c r="BD20" i="18"/>
  <c r="BD21" i="18"/>
  <c r="BD22" i="18"/>
  <c r="BD24" i="18"/>
  <c r="BD23" i="18" s="1"/>
  <c r="BE9" i="18"/>
  <c r="BE11" i="18"/>
  <c r="BE10" i="18" s="1"/>
  <c r="BE13" i="18"/>
  <c r="BE14" i="18"/>
  <c r="BE15" i="18"/>
  <c r="BE16" i="18"/>
  <c r="BE18" i="18"/>
  <c r="BE17" i="18" s="1"/>
  <c r="BE20" i="18"/>
  <c r="BE21" i="18"/>
  <c r="BE22" i="18"/>
  <c r="BE24" i="18"/>
  <c r="BE23" i="18" s="1"/>
  <c r="L7" i="15"/>
  <c r="M7" i="15" s="1"/>
  <c r="AQ7" i="15" s="1"/>
  <c r="AU7" i="15" s="1"/>
  <c r="L8" i="15"/>
  <c r="M8" i="15" s="1"/>
  <c r="AQ8" i="15" s="1"/>
  <c r="AU8" i="15" s="1"/>
  <c r="L9" i="15"/>
  <c r="M9" i="15" s="1"/>
  <c r="L10" i="15"/>
  <c r="M10" i="15" s="1"/>
  <c r="AQ10" i="15" s="1"/>
  <c r="AU10" i="15" s="1"/>
  <c r="L12" i="15"/>
  <c r="M12" i="15" s="1"/>
  <c r="AQ12" i="15" s="1"/>
  <c r="AU12" i="15" s="1"/>
  <c r="L13" i="15"/>
  <c r="M13" i="15" s="1"/>
  <c r="AQ13" i="15" s="1"/>
  <c r="AU13" i="15" s="1"/>
  <c r="L14" i="15"/>
  <c r="M14" i="15" s="1"/>
  <c r="AQ14" i="15" s="1"/>
  <c r="AU14" i="15" s="1"/>
  <c r="L17" i="15"/>
  <c r="M17" i="15" s="1"/>
  <c r="AQ17" i="15" s="1"/>
  <c r="L18" i="15"/>
  <c r="M18" i="15" s="1"/>
  <c r="AQ18" i="15" s="1"/>
  <c r="AU18" i="15" s="1"/>
  <c r="AU19" i="15" s="1"/>
  <c r="L21" i="15"/>
  <c r="M21" i="15" s="1"/>
  <c r="AQ21" i="15" s="1"/>
  <c r="L22" i="15"/>
  <c r="M22" i="15" s="1"/>
  <c r="AQ22" i="15" s="1"/>
  <c r="L23" i="15"/>
  <c r="M23" i="15" s="1"/>
  <c r="AQ23" i="15" s="1"/>
  <c r="L24" i="15"/>
  <c r="M24" i="15" s="1"/>
  <c r="L26" i="15"/>
  <c r="M26" i="15" s="1"/>
  <c r="AQ26" i="15" s="1"/>
  <c r="L27" i="15"/>
  <c r="M27" i="15" s="1"/>
  <c r="L28" i="15"/>
  <c r="M28" i="15" s="1"/>
  <c r="AQ28" i="15" s="1"/>
  <c r="L30" i="15"/>
  <c r="M30" i="15" s="1"/>
  <c r="AQ30" i="15" s="1"/>
  <c r="L31" i="15"/>
  <c r="M31" i="15" s="1"/>
  <c r="AQ31" i="15" s="1"/>
  <c r="L32" i="15"/>
  <c r="M32" i="15" s="1"/>
  <c r="AQ32" i="15" s="1"/>
  <c r="L33" i="15"/>
  <c r="M33" i="15" s="1"/>
  <c r="L34" i="15"/>
  <c r="M34" i="15" s="1"/>
  <c r="AQ34" i="15" s="1"/>
  <c r="L35" i="15"/>
  <c r="M35" i="15" s="1"/>
  <c r="AQ35" i="15" s="1"/>
  <c r="L36" i="15"/>
  <c r="M36" i="15" s="1"/>
  <c r="AQ36" i="15" s="1"/>
  <c r="L38" i="15"/>
  <c r="M38" i="15" s="1"/>
  <c r="L41" i="15"/>
  <c r="M41" i="15" s="1"/>
  <c r="AQ41" i="15" s="1"/>
  <c r="AU41" i="15" s="1"/>
  <c r="L42" i="15"/>
  <c r="M42" i="15" s="1"/>
  <c r="AQ42" i="15" s="1"/>
  <c r="AU42" i="15" s="1"/>
  <c r="L43" i="15"/>
  <c r="M43" i="15" s="1"/>
  <c r="L46" i="15"/>
  <c r="M46" i="15" s="1"/>
  <c r="L47" i="15"/>
  <c r="M47" i="15" s="1"/>
  <c r="AQ47" i="15" s="1"/>
  <c r="L48" i="15"/>
  <c r="M48" i="15" s="1"/>
  <c r="AQ48" i="15" s="1"/>
  <c r="L49" i="15"/>
  <c r="M49" i="15" s="1"/>
  <c r="AQ49" i="15" s="1"/>
  <c r="L51" i="15"/>
  <c r="M51" i="15" s="1"/>
  <c r="L52" i="15"/>
  <c r="M52" i="15" s="1"/>
  <c r="AQ52" i="15" s="1"/>
  <c r="L53" i="15"/>
  <c r="M53" i="15" s="1"/>
  <c r="AQ53" i="15" s="1"/>
  <c r="AU53" i="15" s="1"/>
  <c r="L54" i="15"/>
  <c r="M54" i="15" s="1"/>
  <c r="AQ54" i="15" s="1"/>
  <c r="AU54" i="15" s="1"/>
  <c r="L55" i="15"/>
  <c r="M55" i="15" s="1"/>
  <c r="AQ55" i="15" s="1"/>
  <c r="AU55" i="15" s="1"/>
  <c r="L57" i="15"/>
  <c r="M57" i="15" s="1"/>
  <c r="AQ57" i="15" s="1"/>
  <c r="L58" i="15"/>
  <c r="M58" i="15" s="1"/>
  <c r="L59" i="15"/>
  <c r="M59" i="15" s="1"/>
  <c r="AQ59" i="15" s="1"/>
  <c r="L62" i="15"/>
  <c r="M62" i="15" s="1"/>
  <c r="AQ62" i="15" s="1"/>
  <c r="AU62" i="15" s="1"/>
  <c r="L63" i="15"/>
  <c r="M63" i="15" s="1"/>
  <c r="AQ63" i="15" s="1"/>
  <c r="L64" i="15"/>
  <c r="M64" i="15" s="1"/>
  <c r="AQ64" i="15" s="1"/>
  <c r="L65" i="15"/>
  <c r="M65" i="15" s="1"/>
  <c r="L66" i="15"/>
  <c r="M66" i="15" s="1"/>
  <c r="AQ66" i="15" s="1"/>
  <c r="L67" i="15"/>
  <c r="M67" i="15" s="1"/>
  <c r="AQ67" i="15" s="1"/>
  <c r="L68" i="15"/>
  <c r="M68" i="15" s="1"/>
  <c r="AQ68" i="15" s="1"/>
  <c r="AV68" i="15" s="1"/>
  <c r="AV77" i="15" s="1"/>
  <c r="L69" i="15"/>
  <c r="M69" i="15" s="1"/>
  <c r="AQ69" i="15" s="1"/>
  <c r="L70" i="15"/>
  <c r="M70" i="15" s="1"/>
  <c r="AQ70" i="15" s="1"/>
  <c r="AU70" i="15" s="1"/>
  <c r="L71" i="15"/>
  <c r="M71" i="15" s="1"/>
  <c r="AQ71" i="15" s="1"/>
  <c r="AU71" i="15" s="1"/>
  <c r="L72" i="15"/>
  <c r="M72" i="15" s="1"/>
  <c r="AQ72" i="15" s="1"/>
  <c r="AU72" i="15" s="1"/>
  <c r="L73" i="15"/>
  <c r="M73" i="15" s="1"/>
  <c r="AQ73" i="15" s="1"/>
  <c r="AU73" i="15" s="1"/>
  <c r="L74" i="15"/>
  <c r="M74" i="15" s="1"/>
  <c r="AQ74" i="15" s="1"/>
  <c r="L75" i="15"/>
  <c r="M75" i="15" s="1"/>
  <c r="AQ75" i="15" s="1"/>
  <c r="L76" i="15"/>
  <c r="M76" i="15" s="1"/>
  <c r="AQ76" i="15" s="1"/>
  <c r="AU76" i="15" s="1"/>
  <c r="AB7" i="15"/>
  <c r="Y7" i="15"/>
  <c r="U7" i="15"/>
  <c r="T7" i="15"/>
  <c r="S7" i="15"/>
  <c r="R7" i="15"/>
  <c r="AB8" i="15"/>
  <c r="Y8" i="15"/>
  <c r="U8" i="15"/>
  <c r="T8" i="15"/>
  <c r="AE8" i="15" s="1"/>
  <c r="AF8" i="15" s="1"/>
  <c r="AR8" i="15" s="1"/>
  <c r="S8" i="15"/>
  <c r="R8" i="15"/>
  <c r="AB9" i="15"/>
  <c r="Y9" i="15"/>
  <c r="U9" i="15"/>
  <c r="T9" i="15"/>
  <c r="S9" i="15"/>
  <c r="R9" i="15"/>
  <c r="AB10" i="15"/>
  <c r="Y10" i="15"/>
  <c r="U10" i="15"/>
  <c r="T10" i="15"/>
  <c r="S10" i="15"/>
  <c r="R10" i="15"/>
  <c r="AB12" i="15"/>
  <c r="Y12" i="15"/>
  <c r="U12" i="15"/>
  <c r="T12" i="15"/>
  <c r="S12" i="15"/>
  <c r="R12" i="15"/>
  <c r="AB13" i="15"/>
  <c r="Y13" i="15"/>
  <c r="U13" i="15"/>
  <c r="T13" i="15"/>
  <c r="S13" i="15"/>
  <c r="R13" i="15"/>
  <c r="AB14" i="15"/>
  <c r="Y14" i="15"/>
  <c r="U14" i="15"/>
  <c r="T14" i="15"/>
  <c r="S14" i="15"/>
  <c r="R14" i="15"/>
  <c r="AB17" i="15"/>
  <c r="Y17" i="15"/>
  <c r="U17" i="15"/>
  <c r="T17" i="15"/>
  <c r="S17" i="15"/>
  <c r="R17" i="15"/>
  <c r="AB18" i="15"/>
  <c r="Y18" i="15"/>
  <c r="U18" i="15"/>
  <c r="T18" i="15"/>
  <c r="S18" i="15"/>
  <c r="R18" i="15"/>
  <c r="AB21" i="15"/>
  <c r="Y21" i="15"/>
  <c r="U21" i="15"/>
  <c r="T21" i="15"/>
  <c r="S21" i="15"/>
  <c r="R21" i="15"/>
  <c r="AB22" i="15"/>
  <c r="Y22" i="15"/>
  <c r="U22" i="15"/>
  <c r="T22" i="15"/>
  <c r="S22" i="15"/>
  <c r="R22" i="15"/>
  <c r="AB23" i="15"/>
  <c r="Y23" i="15"/>
  <c r="U23" i="15"/>
  <c r="T23" i="15"/>
  <c r="S23" i="15"/>
  <c r="R23" i="15"/>
  <c r="AB24" i="15"/>
  <c r="Y24" i="15"/>
  <c r="U24" i="15"/>
  <c r="T24" i="15"/>
  <c r="S24" i="15"/>
  <c r="R24" i="15"/>
  <c r="AB26" i="15"/>
  <c r="Y26" i="15"/>
  <c r="U26" i="15"/>
  <c r="T26" i="15"/>
  <c r="S26" i="15"/>
  <c r="R26" i="15"/>
  <c r="AB27" i="15"/>
  <c r="Y27" i="15"/>
  <c r="U27" i="15"/>
  <c r="T27" i="15"/>
  <c r="S27" i="15"/>
  <c r="R27" i="15"/>
  <c r="AB28" i="15"/>
  <c r="Y28" i="15"/>
  <c r="U28" i="15"/>
  <c r="T28" i="15"/>
  <c r="S28" i="15"/>
  <c r="R28" i="15"/>
  <c r="AB30" i="15"/>
  <c r="Y30" i="15"/>
  <c r="U30" i="15"/>
  <c r="T30" i="15"/>
  <c r="S30" i="15"/>
  <c r="R30" i="15"/>
  <c r="AB31" i="15"/>
  <c r="Y31" i="15"/>
  <c r="U31" i="15"/>
  <c r="T31" i="15"/>
  <c r="S31" i="15"/>
  <c r="R31" i="15"/>
  <c r="AB32" i="15"/>
  <c r="Y32" i="15"/>
  <c r="U32" i="15"/>
  <c r="T32" i="15"/>
  <c r="S32" i="15"/>
  <c r="R32" i="15"/>
  <c r="AB33" i="15"/>
  <c r="Y33" i="15"/>
  <c r="U33" i="15"/>
  <c r="T33" i="15"/>
  <c r="S33" i="15"/>
  <c r="R33" i="15"/>
  <c r="AB34" i="15"/>
  <c r="Y34" i="15"/>
  <c r="U34" i="15"/>
  <c r="T34" i="15"/>
  <c r="S34" i="15"/>
  <c r="R34" i="15"/>
  <c r="AB35" i="15"/>
  <c r="Y35" i="15"/>
  <c r="U35" i="15"/>
  <c r="T35" i="15"/>
  <c r="S35" i="15"/>
  <c r="R35" i="15"/>
  <c r="AB36" i="15"/>
  <c r="Y36" i="15"/>
  <c r="U36" i="15"/>
  <c r="T36" i="15"/>
  <c r="S36" i="15"/>
  <c r="R36" i="15"/>
  <c r="AB38" i="15"/>
  <c r="Y38" i="15"/>
  <c r="U38" i="15"/>
  <c r="T38" i="15"/>
  <c r="S38" i="15"/>
  <c r="R38" i="15"/>
  <c r="AB41" i="15"/>
  <c r="Y41" i="15"/>
  <c r="U41" i="15"/>
  <c r="T41" i="15"/>
  <c r="S41" i="15"/>
  <c r="R41" i="15"/>
  <c r="AB42" i="15"/>
  <c r="Y42" i="15"/>
  <c r="U42" i="15"/>
  <c r="T42" i="15"/>
  <c r="S42" i="15"/>
  <c r="R42" i="15"/>
  <c r="AB43" i="15"/>
  <c r="Y43" i="15"/>
  <c r="U43" i="15"/>
  <c r="T43" i="15"/>
  <c r="S43" i="15"/>
  <c r="R43" i="15"/>
  <c r="AB46" i="15"/>
  <c r="Y46" i="15"/>
  <c r="U46" i="15"/>
  <c r="T46" i="15"/>
  <c r="S46" i="15"/>
  <c r="R46" i="15"/>
  <c r="AB47" i="15"/>
  <c r="Y47" i="15"/>
  <c r="U47" i="15"/>
  <c r="T47" i="15"/>
  <c r="S47" i="15"/>
  <c r="R47" i="15"/>
  <c r="AB48" i="15"/>
  <c r="Y48" i="15"/>
  <c r="U48" i="15"/>
  <c r="T48" i="15"/>
  <c r="S48" i="15"/>
  <c r="R48" i="15"/>
  <c r="AB49" i="15"/>
  <c r="Y49" i="15"/>
  <c r="U49" i="15"/>
  <c r="T49" i="15"/>
  <c r="S49" i="15"/>
  <c r="R49" i="15"/>
  <c r="AB51" i="15"/>
  <c r="Y51" i="15"/>
  <c r="U51" i="15"/>
  <c r="T51" i="15"/>
  <c r="S51" i="15"/>
  <c r="R51" i="15"/>
  <c r="AB52" i="15"/>
  <c r="Y52" i="15"/>
  <c r="U52" i="15"/>
  <c r="T52" i="15"/>
  <c r="S52" i="15"/>
  <c r="R52" i="15"/>
  <c r="AB53" i="15"/>
  <c r="Y53" i="15"/>
  <c r="U53" i="15"/>
  <c r="T53" i="15"/>
  <c r="S53" i="15"/>
  <c r="R53" i="15"/>
  <c r="AB54" i="15"/>
  <c r="Y54" i="15"/>
  <c r="U54" i="15"/>
  <c r="T54" i="15"/>
  <c r="S54" i="15"/>
  <c r="R54" i="15"/>
  <c r="AB55" i="15"/>
  <c r="Y55" i="15"/>
  <c r="U55" i="15"/>
  <c r="T55" i="15"/>
  <c r="S55" i="15"/>
  <c r="R55" i="15"/>
  <c r="AB57" i="15"/>
  <c r="Y57" i="15"/>
  <c r="U57" i="15"/>
  <c r="T57" i="15"/>
  <c r="S57" i="15"/>
  <c r="R57" i="15"/>
  <c r="AB58" i="15"/>
  <c r="Y58" i="15"/>
  <c r="U58" i="15"/>
  <c r="T58" i="15"/>
  <c r="S58" i="15"/>
  <c r="R58" i="15"/>
  <c r="AB59" i="15"/>
  <c r="Y59" i="15"/>
  <c r="U59" i="15"/>
  <c r="T59" i="15"/>
  <c r="S59" i="15"/>
  <c r="R59" i="15"/>
  <c r="AB62" i="15"/>
  <c r="Y62" i="15"/>
  <c r="U62" i="15"/>
  <c r="T62" i="15"/>
  <c r="S62" i="15"/>
  <c r="R62" i="15"/>
  <c r="AB63" i="15"/>
  <c r="Y63" i="15"/>
  <c r="U63" i="15"/>
  <c r="T63" i="15"/>
  <c r="S63" i="15"/>
  <c r="R63" i="15"/>
  <c r="AB64" i="15"/>
  <c r="Y64" i="15"/>
  <c r="U64" i="15"/>
  <c r="T64" i="15"/>
  <c r="S64" i="15"/>
  <c r="R64" i="15"/>
  <c r="AB65" i="15"/>
  <c r="Y65" i="15"/>
  <c r="U65" i="15"/>
  <c r="T65" i="15"/>
  <c r="S65" i="15"/>
  <c r="R65" i="15"/>
  <c r="AB66" i="15"/>
  <c r="Y66" i="15"/>
  <c r="U66" i="15"/>
  <c r="T66" i="15"/>
  <c r="S66" i="15"/>
  <c r="R66" i="15"/>
  <c r="AB67" i="15"/>
  <c r="Y67" i="15"/>
  <c r="U67" i="15"/>
  <c r="T67" i="15"/>
  <c r="S67" i="15"/>
  <c r="R67" i="15"/>
  <c r="AB68" i="15"/>
  <c r="Y68" i="15"/>
  <c r="U68" i="15"/>
  <c r="T68" i="15"/>
  <c r="S68" i="15"/>
  <c r="R68" i="15"/>
  <c r="AB70" i="15"/>
  <c r="Y70" i="15"/>
  <c r="U70" i="15"/>
  <c r="T70" i="15"/>
  <c r="S70" i="15"/>
  <c r="R70" i="15"/>
  <c r="AB71" i="15"/>
  <c r="Y71" i="15"/>
  <c r="U71" i="15"/>
  <c r="T71" i="15"/>
  <c r="S71" i="15"/>
  <c r="R71" i="15"/>
  <c r="AB72" i="15"/>
  <c r="Y72" i="15"/>
  <c r="U72" i="15"/>
  <c r="T72" i="15"/>
  <c r="S72" i="15"/>
  <c r="R72" i="15"/>
  <c r="AB73" i="15"/>
  <c r="Y73" i="15"/>
  <c r="U73" i="15"/>
  <c r="T73" i="15"/>
  <c r="S73" i="15"/>
  <c r="R73" i="15"/>
  <c r="AB74" i="15"/>
  <c r="Y74" i="15"/>
  <c r="U74" i="15"/>
  <c r="T74" i="15"/>
  <c r="S74" i="15"/>
  <c r="R74" i="15"/>
  <c r="AB75" i="15"/>
  <c r="Y75" i="15"/>
  <c r="U75" i="15"/>
  <c r="T75" i="15"/>
  <c r="S75" i="15"/>
  <c r="R75" i="15"/>
  <c r="AB76" i="15"/>
  <c r="Y76" i="15"/>
  <c r="U76" i="15"/>
  <c r="T76" i="15"/>
  <c r="S76" i="15"/>
  <c r="R76" i="15"/>
  <c r="AM7" i="15"/>
  <c r="AN7" i="15" s="1"/>
  <c r="AS7" i="15" s="1"/>
  <c r="AM8" i="15"/>
  <c r="AN8" i="15" s="1"/>
  <c r="AM9" i="15"/>
  <c r="AN9" i="15" s="1"/>
  <c r="AS9" i="15" s="1"/>
  <c r="AM10" i="15"/>
  <c r="AN10" i="15" s="1"/>
  <c r="AS10" i="15" s="1"/>
  <c r="AM12" i="15"/>
  <c r="AN12" i="15" s="1"/>
  <c r="AS12" i="15" s="1"/>
  <c r="AM13" i="15"/>
  <c r="AN13" i="15" s="1"/>
  <c r="AM14" i="15"/>
  <c r="AN14" i="15" s="1"/>
  <c r="AS14" i="15" s="1"/>
  <c r="AM17" i="15"/>
  <c r="AN17" i="15" s="1"/>
  <c r="AS17" i="15" s="1"/>
  <c r="AM18" i="15"/>
  <c r="AN18" i="15" s="1"/>
  <c r="AM21" i="15"/>
  <c r="AN21" i="15" s="1"/>
  <c r="AM22" i="15"/>
  <c r="AN22" i="15" s="1"/>
  <c r="AS22" i="15" s="1"/>
  <c r="AM23" i="15"/>
  <c r="AN23" i="15" s="1"/>
  <c r="AS23" i="15" s="1"/>
  <c r="AM24" i="15"/>
  <c r="AN24" i="15" s="1"/>
  <c r="AS24" i="15" s="1"/>
  <c r="AM26" i="15"/>
  <c r="AN26" i="15" s="1"/>
  <c r="AM27" i="15"/>
  <c r="AN27" i="15" s="1"/>
  <c r="AS27" i="15" s="1"/>
  <c r="AM28" i="15"/>
  <c r="AN28" i="15" s="1"/>
  <c r="AS28" i="15" s="1"/>
  <c r="AM30" i="15"/>
  <c r="AN30" i="15" s="1"/>
  <c r="AS30" i="15" s="1"/>
  <c r="AM31" i="15"/>
  <c r="AN31" i="15" s="1"/>
  <c r="AM32" i="15"/>
  <c r="AN32" i="15" s="1"/>
  <c r="AS32" i="15" s="1"/>
  <c r="AM33" i="15"/>
  <c r="AN33" i="15" s="1"/>
  <c r="AS33" i="15" s="1"/>
  <c r="AM34" i="15"/>
  <c r="AN34" i="15" s="1"/>
  <c r="AS34" i="15" s="1"/>
  <c r="AM35" i="15"/>
  <c r="AN35" i="15" s="1"/>
  <c r="AS35" i="15" s="1"/>
  <c r="AM36" i="15"/>
  <c r="AN36" i="15" s="1"/>
  <c r="AS36" i="15" s="1"/>
  <c r="AM38" i="15"/>
  <c r="AN38" i="15" s="1"/>
  <c r="AS38" i="15" s="1"/>
  <c r="AM41" i="15"/>
  <c r="AN41" i="15" s="1"/>
  <c r="AS41" i="15" s="1"/>
  <c r="AM42" i="15"/>
  <c r="AN42" i="15" s="1"/>
  <c r="AS42" i="15" s="1"/>
  <c r="AM43" i="15"/>
  <c r="AN43" i="15" s="1"/>
  <c r="AM46" i="15"/>
  <c r="AN46" i="15" s="1"/>
  <c r="AM47" i="15"/>
  <c r="AN47" i="15" s="1"/>
  <c r="AS47" i="15" s="1"/>
  <c r="AM48" i="15"/>
  <c r="AN48" i="15" s="1"/>
  <c r="AS48" i="15" s="1"/>
  <c r="AM49" i="15"/>
  <c r="AN49" i="15" s="1"/>
  <c r="AS49" i="15" s="1"/>
  <c r="AM51" i="15"/>
  <c r="AN51" i="15" s="1"/>
  <c r="AM52" i="15"/>
  <c r="AN52" i="15" s="1"/>
  <c r="AS52" i="15" s="1"/>
  <c r="AM53" i="15"/>
  <c r="AN53" i="15" s="1"/>
  <c r="AS53" i="15" s="1"/>
  <c r="AM54" i="15"/>
  <c r="AN54" i="15" s="1"/>
  <c r="AS54" i="15" s="1"/>
  <c r="AM55" i="15"/>
  <c r="AN55" i="15" s="1"/>
  <c r="AS55" i="15" s="1"/>
  <c r="AM57" i="15"/>
  <c r="AN57" i="15" s="1"/>
  <c r="AS57" i="15" s="1"/>
  <c r="AM58" i="15"/>
  <c r="AN58" i="15" s="1"/>
  <c r="AM59" i="15"/>
  <c r="AN59" i="15" s="1"/>
  <c r="AS59" i="15" s="1"/>
  <c r="AM62" i="15"/>
  <c r="AN62" i="15" s="1"/>
  <c r="AS62" i="15" s="1"/>
  <c r="AM63" i="15"/>
  <c r="AN63" i="15" s="1"/>
  <c r="AS63" i="15" s="1"/>
  <c r="AM64" i="15"/>
  <c r="AN64" i="15" s="1"/>
  <c r="AS64" i="15" s="1"/>
  <c r="AM65" i="15"/>
  <c r="AN65" i="15" s="1"/>
  <c r="AM66" i="15"/>
  <c r="AN66" i="15" s="1"/>
  <c r="AS66" i="15" s="1"/>
  <c r="AM67" i="15"/>
  <c r="AN67" i="15" s="1"/>
  <c r="AS67" i="15" s="1"/>
  <c r="AM68" i="15"/>
  <c r="AN68" i="15" s="1"/>
  <c r="AS68" i="15" s="1"/>
  <c r="AM69" i="15"/>
  <c r="AN69" i="15" s="1"/>
  <c r="AS69" i="15" s="1"/>
  <c r="AM70" i="15"/>
  <c r="AN70" i="15" s="1"/>
  <c r="AS70" i="15" s="1"/>
  <c r="AM71" i="15"/>
  <c r="AN71" i="15" s="1"/>
  <c r="AS71" i="15" s="1"/>
  <c r="AM72" i="15"/>
  <c r="AN72" i="15" s="1"/>
  <c r="AS72" i="15" s="1"/>
  <c r="AM73" i="15"/>
  <c r="AN73" i="15" s="1"/>
  <c r="AS73" i="15" s="1"/>
  <c r="AM74" i="15"/>
  <c r="AN74" i="15" s="1"/>
  <c r="AS74" i="15" s="1"/>
  <c r="AM75" i="15"/>
  <c r="AN75" i="15" s="1"/>
  <c r="AS75" i="15" s="1"/>
  <c r="AM76" i="15"/>
  <c r="AN76" i="15" s="1"/>
  <c r="AS76" i="15" s="1"/>
  <c r="BL22" i="18"/>
  <c r="BM8" i="18"/>
  <c r="BM9" i="18"/>
  <c r="BM11" i="18"/>
  <c r="BM10" i="18" s="1"/>
  <c r="BM13" i="18"/>
  <c r="BM14" i="18"/>
  <c r="BM15" i="18"/>
  <c r="BM16" i="18"/>
  <c r="BM18" i="18"/>
  <c r="BM17" i="18" s="1"/>
  <c r="BM20" i="18"/>
  <c r="BM21" i="18"/>
  <c r="BM22" i="18"/>
  <c r="BN8" i="18"/>
  <c r="BN9" i="18"/>
  <c r="BN11" i="18"/>
  <c r="BN10" i="18" s="1"/>
  <c r="BN13" i="18"/>
  <c r="BN14" i="18"/>
  <c r="BN15" i="18"/>
  <c r="BN16" i="18"/>
  <c r="BN18" i="18"/>
  <c r="BN17" i="18" s="1"/>
  <c r="BN20" i="18"/>
  <c r="BN21" i="18"/>
  <c r="BN22" i="18"/>
  <c r="BN24" i="18"/>
  <c r="BN23" i="18" s="1"/>
  <c r="BO8" i="18"/>
  <c r="BO9" i="18"/>
  <c r="BO11" i="18"/>
  <c r="BO10" i="18" s="1"/>
  <c r="BO13" i="18"/>
  <c r="BO14" i="18"/>
  <c r="BO15" i="18"/>
  <c r="BO16" i="18"/>
  <c r="BO18" i="18"/>
  <c r="BO17" i="18" s="1"/>
  <c r="BO20" i="18"/>
  <c r="BO21" i="18"/>
  <c r="BO22" i="18"/>
  <c r="BO24" i="18"/>
  <c r="BO23" i="18" s="1"/>
  <c r="BP8" i="18"/>
  <c r="BP9" i="18"/>
  <c r="BP11" i="18"/>
  <c r="BP10" i="18" s="1"/>
  <c r="BP13" i="18"/>
  <c r="BP14" i="18"/>
  <c r="BP15" i="18"/>
  <c r="BP16" i="18"/>
  <c r="BP18" i="18"/>
  <c r="BP17" i="18" s="1"/>
  <c r="BP20" i="18"/>
  <c r="BP22" i="18"/>
  <c r="BQ8" i="18"/>
  <c r="BQ9" i="18"/>
  <c r="BQ11" i="18"/>
  <c r="BQ10" i="18" s="1"/>
  <c r="BQ13" i="18"/>
  <c r="BQ14" i="18"/>
  <c r="BQ15" i="18"/>
  <c r="BQ16" i="18"/>
  <c r="BQ20" i="18"/>
  <c r="BQ21" i="18"/>
  <c r="BQ22" i="18"/>
  <c r="BQ24" i="18"/>
  <c r="BQ23" i="18" s="1"/>
  <c r="BR8" i="18"/>
  <c r="BR9" i="18"/>
  <c r="BR11" i="18"/>
  <c r="BR10" i="18" s="1"/>
  <c r="BR13" i="18"/>
  <c r="BR14" i="18"/>
  <c r="BR15" i="18"/>
  <c r="BR16" i="18"/>
  <c r="BR18" i="18"/>
  <c r="BR17" i="18" s="1"/>
  <c r="BR20" i="18"/>
  <c r="BR21" i="18"/>
  <c r="BR22" i="18"/>
  <c r="BR24" i="18"/>
  <c r="BR23" i="18" s="1"/>
  <c r="L7" i="16"/>
  <c r="M7" i="16" s="1"/>
  <c r="L8" i="16"/>
  <c r="M8" i="16" s="1"/>
  <c r="AQ8" i="16" s="1"/>
  <c r="AU8" i="16" s="1"/>
  <c r="L9" i="16"/>
  <c r="M9" i="16" s="1"/>
  <c r="AQ9" i="16" s="1"/>
  <c r="AU9" i="16" s="1"/>
  <c r="L10" i="16"/>
  <c r="M10" i="16" s="1"/>
  <c r="AQ10" i="16" s="1"/>
  <c r="AU10" i="16" s="1"/>
  <c r="L12" i="16"/>
  <c r="M12" i="16" s="1"/>
  <c r="L13" i="16"/>
  <c r="M13" i="16" s="1"/>
  <c r="AQ13" i="16" s="1"/>
  <c r="AU13" i="16" s="1"/>
  <c r="L14" i="16"/>
  <c r="M14" i="16" s="1"/>
  <c r="AQ14" i="16" s="1"/>
  <c r="AU14" i="16" s="1"/>
  <c r="L17" i="16"/>
  <c r="M17" i="16" s="1"/>
  <c r="L18" i="16"/>
  <c r="M18" i="16" s="1"/>
  <c r="AQ18" i="16" s="1"/>
  <c r="AU18" i="16" s="1"/>
  <c r="AU19" i="16" s="1"/>
  <c r="AU16" i="16" s="1"/>
  <c r="L21" i="16"/>
  <c r="M21" i="16" s="1"/>
  <c r="AQ21" i="16" s="1"/>
  <c r="L22" i="16"/>
  <c r="M22" i="16" s="1"/>
  <c r="L23" i="16"/>
  <c r="M23" i="16" s="1"/>
  <c r="AQ23" i="16" s="1"/>
  <c r="L24" i="16"/>
  <c r="M24" i="16" s="1"/>
  <c r="AQ24" i="16" s="1"/>
  <c r="L26" i="16"/>
  <c r="M26" i="16" s="1"/>
  <c r="AQ26" i="16" s="1"/>
  <c r="L27" i="16"/>
  <c r="M27" i="16" s="1"/>
  <c r="L28" i="16"/>
  <c r="M28" i="16" s="1"/>
  <c r="AQ28" i="16" s="1"/>
  <c r="L30" i="16"/>
  <c r="M30" i="16" s="1"/>
  <c r="AQ30" i="16" s="1"/>
  <c r="L31" i="16"/>
  <c r="M31" i="16" s="1"/>
  <c r="AQ31" i="16" s="1"/>
  <c r="L32" i="16"/>
  <c r="M32" i="16" s="1"/>
  <c r="L33" i="16"/>
  <c r="M33" i="16" s="1"/>
  <c r="AQ33" i="16" s="1"/>
  <c r="L34" i="16"/>
  <c r="M34" i="16" s="1"/>
  <c r="AQ34" i="16" s="1"/>
  <c r="L35" i="16"/>
  <c r="M35" i="16" s="1"/>
  <c r="AQ35" i="16" s="1"/>
  <c r="L36" i="16"/>
  <c r="M36" i="16" s="1"/>
  <c r="AQ36" i="16" s="1"/>
  <c r="L38" i="16"/>
  <c r="M38" i="16" s="1"/>
  <c r="AQ38" i="16" s="1"/>
  <c r="AQ39" i="16" s="1"/>
  <c r="BU16" i="18" s="1"/>
  <c r="L41" i="16"/>
  <c r="M41" i="16" s="1"/>
  <c r="AQ41" i="16" s="1"/>
  <c r="AU41" i="16" s="1"/>
  <c r="L42" i="16"/>
  <c r="M42" i="16" s="1"/>
  <c r="L43" i="16"/>
  <c r="M43" i="16" s="1"/>
  <c r="AQ43" i="16" s="1"/>
  <c r="L46" i="16"/>
  <c r="M46" i="16" s="1"/>
  <c r="AQ46" i="16" s="1"/>
  <c r="AU46" i="16" s="1"/>
  <c r="AU50" i="16" s="1"/>
  <c r="L47" i="16"/>
  <c r="M47" i="16" s="1"/>
  <c r="L48" i="16"/>
  <c r="M48" i="16" s="1"/>
  <c r="AQ48" i="16" s="1"/>
  <c r="L49" i="16"/>
  <c r="M49" i="16" s="1"/>
  <c r="AQ49" i="16" s="1"/>
  <c r="L51" i="16"/>
  <c r="M51" i="16" s="1"/>
  <c r="AQ51" i="16" s="1"/>
  <c r="AU51" i="16" s="1"/>
  <c r="L52" i="16"/>
  <c r="M52" i="16" s="1"/>
  <c r="L53" i="16"/>
  <c r="M53" i="16" s="1"/>
  <c r="AQ53" i="16" s="1"/>
  <c r="AU53" i="16" s="1"/>
  <c r="L54" i="16"/>
  <c r="M54" i="16" s="1"/>
  <c r="AQ54" i="16" s="1"/>
  <c r="AU54" i="16" s="1"/>
  <c r="L55" i="16"/>
  <c r="M55" i="16" s="1"/>
  <c r="AQ55" i="16" s="1"/>
  <c r="AU55" i="16" s="1"/>
  <c r="L57" i="16"/>
  <c r="M57" i="16" s="1"/>
  <c r="L58" i="16"/>
  <c r="M58" i="16" s="1"/>
  <c r="AQ58" i="16" s="1"/>
  <c r="L59" i="16"/>
  <c r="M59" i="16" s="1"/>
  <c r="AQ59" i="16" s="1"/>
  <c r="L62" i="16"/>
  <c r="M62" i="16" s="1"/>
  <c r="AQ62" i="16" s="1"/>
  <c r="AU62" i="16" s="1"/>
  <c r="L63" i="16"/>
  <c r="M63" i="16" s="1"/>
  <c r="AQ63" i="16" s="1"/>
  <c r="L64" i="16"/>
  <c r="M64" i="16" s="1"/>
  <c r="L65" i="16"/>
  <c r="M65" i="16" s="1"/>
  <c r="AQ65" i="16" s="1"/>
  <c r="L66" i="16"/>
  <c r="M66" i="16" s="1"/>
  <c r="AQ66" i="16" s="1"/>
  <c r="L67" i="16"/>
  <c r="M67" i="16" s="1"/>
  <c r="AQ67" i="16" s="1"/>
  <c r="L68" i="16"/>
  <c r="M68" i="16" s="1"/>
  <c r="AQ68" i="16" s="1"/>
  <c r="AV68" i="16" s="1"/>
  <c r="AV77" i="16" s="1"/>
  <c r="AV61" i="16" s="1"/>
  <c r="L69" i="16"/>
  <c r="M69" i="16" s="1"/>
  <c r="AQ69" i="16" s="1"/>
  <c r="L70" i="16"/>
  <c r="M70" i="16" s="1"/>
  <c r="AQ70" i="16" s="1"/>
  <c r="AU70" i="16" s="1"/>
  <c r="L71" i="16"/>
  <c r="M71" i="16" s="1"/>
  <c r="AQ71" i="16" s="1"/>
  <c r="AU71" i="16" s="1"/>
  <c r="L72" i="16"/>
  <c r="M72" i="16" s="1"/>
  <c r="AQ72" i="16" s="1"/>
  <c r="AU72" i="16" s="1"/>
  <c r="L73" i="16"/>
  <c r="M73" i="16" s="1"/>
  <c r="AQ73" i="16" s="1"/>
  <c r="AU73" i="16" s="1"/>
  <c r="L74" i="16"/>
  <c r="M74" i="16" s="1"/>
  <c r="AQ74" i="16" s="1"/>
  <c r="L75" i="16"/>
  <c r="M75" i="16" s="1"/>
  <c r="AQ75" i="16" s="1"/>
  <c r="L76" i="16"/>
  <c r="M76" i="16" s="1"/>
  <c r="AQ76" i="16" s="1"/>
  <c r="AU76" i="16" s="1"/>
  <c r="AB7" i="16"/>
  <c r="Y7" i="16"/>
  <c r="U7" i="16"/>
  <c r="T7" i="16"/>
  <c r="S7" i="16"/>
  <c r="R7" i="16"/>
  <c r="AB8" i="16"/>
  <c r="Y8" i="16"/>
  <c r="U8" i="16"/>
  <c r="T8" i="16"/>
  <c r="S8" i="16"/>
  <c r="R8" i="16"/>
  <c r="AB9" i="16"/>
  <c r="Y9" i="16"/>
  <c r="U9" i="16"/>
  <c r="T9" i="16"/>
  <c r="S9" i="16"/>
  <c r="R9" i="16"/>
  <c r="AB10" i="16"/>
  <c r="Y10" i="16"/>
  <c r="U10" i="16"/>
  <c r="T10" i="16"/>
  <c r="S10" i="16"/>
  <c r="R10" i="16"/>
  <c r="AB12" i="16"/>
  <c r="Y12" i="16"/>
  <c r="U12" i="16"/>
  <c r="T12" i="16"/>
  <c r="S12" i="16"/>
  <c r="R12" i="16"/>
  <c r="AB13" i="16"/>
  <c r="Y13" i="16"/>
  <c r="U13" i="16"/>
  <c r="T13" i="16"/>
  <c r="S13" i="16"/>
  <c r="R13" i="16"/>
  <c r="AB14" i="16"/>
  <c r="Y14" i="16"/>
  <c r="U14" i="16"/>
  <c r="T14" i="16"/>
  <c r="S14" i="16"/>
  <c r="R14" i="16"/>
  <c r="AB17" i="16"/>
  <c r="Y17" i="16"/>
  <c r="U17" i="16"/>
  <c r="T17" i="16"/>
  <c r="S17" i="16"/>
  <c r="R17" i="16"/>
  <c r="AB18" i="16"/>
  <c r="Y18" i="16"/>
  <c r="U18" i="16"/>
  <c r="T18" i="16"/>
  <c r="S18" i="16"/>
  <c r="R18" i="16"/>
  <c r="AB21" i="16"/>
  <c r="Y21" i="16"/>
  <c r="U21" i="16"/>
  <c r="T21" i="16"/>
  <c r="S21" i="16"/>
  <c r="R21" i="16"/>
  <c r="AB22" i="16"/>
  <c r="Y22" i="16"/>
  <c r="U22" i="16"/>
  <c r="T22" i="16"/>
  <c r="S22" i="16"/>
  <c r="R22" i="16"/>
  <c r="AB23" i="16"/>
  <c r="Y23" i="16"/>
  <c r="U23" i="16"/>
  <c r="T23" i="16"/>
  <c r="S23" i="16"/>
  <c r="R23" i="16"/>
  <c r="AB24" i="16"/>
  <c r="Y24" i="16"/>
  <c r="U24" i="16"/>
  <c r="T24" i="16"/>
  <c r="S24" i="16"/>
  <c r="R24" i="16"/>
  <c r="AB26" i="16"/>
  <c r="Y26" i="16"/>
  <c r="U26" i="16"/>
  <c r="T26" i="16"/>
  <c r="S26" i="16"/>
  <c r="R26" i="16"/>
  <c r="AB27" i="16"/>
  <c r="Y27" i="16"/>
  <c r="U27" i="16"/>
  <c r="T27" i="16"/>
  <c r="S27" i="16"/>
  <c r="R27" i="16"/>
  <c r="AB28" i="16"/>
  <c r="Y28" i="16"/>
  <c r="U28" i="16"/>
  <c r="T28" i="16"/>
  <c r="S28" i="16"/>
  <c r="R28" i="16"/>
  <c r="AB30" i="16"/>
  <c r="Y30" i="16"/>
  <c r="U30" i="16"/>
  <c r="T30" i="16"/>
  <c r="S30" i="16"/>
  <c r="R30" i="16"/>
  <c r="AB31" i="16"/>
  <c r="Y31" i="16"/>
  <c r="U31" i="16"/>
  <c r="T31" i="16"/>
  <c r="S31" i="16"/>
  <c r="R31" i="16"/>
  <c r="AB32" i="16"/>
  <c r="Y32" i="16"/>
  <c r="U32" i="16"/>
  <c r="T32" i="16"/>
  <c r="S32" i="16"/>
  <c r="R32" i="16"/>
  <c r="AB33" i="16"/>
  <c r="Y33" i="16"/>
  <c r="U33" i="16"/>
  <c r="T33" i="16"/>
  <c r="S33" i="16"/>
  <c r="R33" i="16"/>
  <c r="AB34" i="16"/>
  <c r="Y34" i="16"/>
  <c r="U34" i="16"/>
  <c r="T34" i="16"/>
  <c r="S34" i="16"/>
  <c r="R34" i="16"/>
  <c r="AB35" i="16"/>
  <c r="Y35" i="16"/>
  <c r="U35" i="16"/>
  <c r="T35" i="16"/>
  <c r="S35" i="16"/>
  <c r="R35" i="16"/>
  <c r="AB36" i="16"/>
  <c r="Y36" i="16"/>
  <c r="U36" i="16"/>
  <c r="T36" i="16"/>
  <c r="S36" i="16"/>
  <c r="R36" i="16"/>
  <c r="AB38" i="16"/>
  <c r="Y38" i="16"/>
  <c r="U38" i="16"/>
  <c r="T38" i="16"/>
  <c r="S38" i="16"/>
  <c r="R38" i="16"/>
  <c r="AB41" i="16"/>
  <c r="Y41" i="16"/>
  <c r="U41" i="16"/>
  <c r="T41" i="16"/>
  <c r="S41" i="16"/>
  <c r="R41" i="16"/>
  <c r="AB42" i="16"/>
  <c r="Y42" i="16"/>
  <c r="U42" i="16"/>
  <c r="T42" i="16"/>
  <c r="S42" i="16"/>
  <c r="R42" i="16"/>
  <c r="AB43" i="16"/>
  <c r="Y43" i="16"/>
  <c r="U43" i="16"/>
  <c r="T43" i="16"/>
  <c r="S43" i="16"/>
  <c r="R43" i="16"/>
  <c r="AB46" i="16"/>
  <c r="Y46" i="16"/>
  <c r="U46" i="16"/>
  <c r="T46" i="16"/>
  <c r="S46" i="16"/>
  <c r="R46" i="16"/>
  <c r="AB47" i="16"/>
  <c r="Y47" i="16"/>
  <c r="U47" i="16"/>
  <c r="T47" i="16"/>
  <c r="S47" i="16"/>
  <c r="R47" i="16"/>
  <c r="AB48" i="16"/>
  <c r="Y48" i="16"/>
  <c r="U48" i="16"/>
  <c r="T48" i="16"/>
  <c r="S48" i="16"/>
  <c r="R48" i="16"/>
  <c r="AB49" i="16"/>
  <c r="Y49" i="16"/>
  <c r="U49" i="16"/>
  <c r="T49" i="16"/>
  <c r="S49" i="16"/>
  <c r="R49" i="16"/>
  <c r="AB51" i="16"/>
  <c r="Y51" i="16"/>
  <c r="U51" i="16"/>
  <c r="T51" i="16"/>
  <c r="S51" i="16"/>
  <c r="R51" i="16"/>
  <c r="AB52" i="16"/>
  <c r="Y52" i="16"/>
  <c r="U52" i="16"/>
  <c r="T52" i="16"/>
  <c r="S52" i="16"/>
  <c r="R52" i="16"/>
  <c r="AB53" i="16"/>
  <c r="Y53" i="16"/>
  <c r="U53" i="16"/>
  <c r="T53" i="16"/>
  <c r="S53" i="16"/>
  <c r="R53" i="16"/>
  <c r="AB54" i="16"/>
  <c r="Y54" i="16"/>
  <c r="U54" i="16"/>
  <c r="T54" i="16"/>
  <c r="S54" i="16"/>
  <c r="R54" i="16"/>
  <c r="AB55" i="16"/>
  <c r="Y55" i="16"/>
  <c r="U55" i="16"/>
  <c r="T55" i="16"/>
  <c r="S55" i="16"/>
  <c r="R55" i="16"/>
  <c r="AB57" i="16"/>
  <c r="Y57" i="16"/>
  <c r="U57" i="16"/>
  <c r="T57" i="16"/>
  <c r="S57" i="16"/>
  <c r="R57" i="16"/>
  <c r="AB58" i="16"/>
  <c r="Y58" i="16"/>
  <c r="U58" i="16"/>
  <c r="T58" i="16"/>
  <c r="S58" i="16"/>
  <c r="R58" i="16"/>
  <c r="AB59" i="16"/>
  <c r="Y59" i="16"/>
  <c r="U59" i="16"/>
  <c r="T59" i="16"/>
  <c r="S59" i="16"/>
  <c r="R59" i="16"/>
  <c r="AB62" i="16"/>
  <c r="Y62" i="16"/>
  <c r="U62" i="16"/>
  <c r="T62" i="16"/>
  <c r="S62" i="16"/>
  <c r="R62" i="16"/>
  <c r="AB63" i="16"/>
  <c r="Y63" i="16"/>
  <c r="U63" i="16"/>
  <c r="T63" i="16"/>
  <c r="S63" i="16"/>
  <c r="R63" i="16"/>
  <c r="AB64" i="16"/>
  <c r="Y64" i="16"/>
  <c r="U64" i="16"/>
  <c r="T64" i="16"/>
  <c r="S64" i="16"/>
  <c r="R64" i="16"/>
  <c r="AB65" i="16"/>
  <c r="Y65" i="16"/>
  <c r="U65" i="16"/>
  <c r="T65" i="16"/>
  <c r="S65" i="16"/>
  <c r="R65" i="16"/>
  <c r="AB66" i="16"/>
  <c r="Y66" i="16"/>
  <c r="U66" i="16"/>
  <c r="T66" i="16"/>
  <c r="S66" i="16"/>
  <c r="R66" i="16"/>
  <c r="AB67" i="16"/>
  <c r="Y67" i="16"/>
  <c r="U67" i="16"/>
  <c r="T67" i="16"/>
  <c r="S67" i="16"/>
  <c r="R67" i="16"/>
  <c r="AB68" i="16"/>
  <c r="Y68" i="16"/>
  <c r="U68" i="16"/>
  <c r="T68" i="16"/>
  <c r="S68" i="16"/>
  <c r="R68" i="16"/>
  <c r="AB70" i="16"/>
  <c r="Y70" i="16"/>
  <c r="U70" i="16"/>
  <c r="T70" i="16"/>
  <c r="S70" i="16"/>
  <c r="R70" i="16"/>
  <c r="AB71" i="16"/>
  <c r="Y71" i="16"/>
  <c r="U71" i="16"/>
  <c r="T71" i="16"/>
  <c r="S71" i="16"/>
  <c r="R71" i="16"/>
  <c r="AB72" i="16"/>
  <c r="Y72" i="16"/>
  <c r="U72" i="16"/>
  <c r="T72" i="16"/>
  <c r="S72" i="16"/>
  <c r="R72" i="16"/>
  <c r="AB73" i="16"/>
  <c r="Y73" i="16"/>
  <c r="U73" i="16"/>
  <c r="T73" i="16"/>
  <c r="S73" i="16"/>
  <c r="R73" i="16"/>
  <c r="AB74" i="16"/>
  <c r="Y74" i="16"/>
  <c r="U74" i="16"/>
  <c r="T74" i="16"/>
  <c r="S74" i="16"/>
  <c r="R74" i="16"/>
  <c r="AB75" i="16"/>
  <c r="Y75" i="16"/>
  <c r="U75" i="16"/>
  <c r="T75" i="16"/>
  <c r="S75" i="16"/>
  <c r="R75" i="16"/>
  <c r="AB76" i="16"/>
  <c r="Y76" i="16"/>
  <c r="U76" i="16"/>
  <c r="T76" i="16"/>
  <c r="S76" i="16"/>
  <c r="R76" i="16"/>
  <c r="AM7" i="16"/>
  <c r="AN7" i="16" s="1"/>
  <c r="AM8" i="16"/>
  <c r="AN8" i="16" s="1"/>
  <c r="AM9" i="16"/>
  <c r="AN9" i="16" s="1"/>
  <c r="AM10" i="16"/>
  <c r="AN10" i="16" s="1"/>
  <c r="AS10" i="16" s="1"/>
  <c r="AM12" i="16"/>
  <c r="AN12" i="16" s="1"/>
  <c r="AM13" i="16"/>
  <c r="AN13" i="16" s="1"/>
  <c r="AM14" i="16"/>
  <c r="AN14" i="16" s="1"/>
  <c r="AM17" i="16"/>
  <c r="AN17" i="16" s="1"/>
  <c r="AM18" i="16"/>
  <c r="AN18" i="16" s="1"/>
  <c r="AM21" i="16"/>
  <c r="AN21" i="16" s="1"/>
  <c r="AM22" i="16"/>
  <c r="AN22" i="16" s="1"/>
  <c r="AM23" i="16"/>
  <c r="AN23" i="16" s="1"/>
  <c r="AS23" i="16" s="1"/>
  <c r="AM24" i="16"/>
  <c r="AN24" i="16" s="1"/>
  <c r="AM26" i="16"/>
  <c r="AN26" i="16" s="1"/>
  <c r="AM27" i="16"/>
  <c r="AN27" i="16" s="1"/>
  <c r="AM28" i="16"/>
  <c r="AN28" i="16" s="1"/>
  <c r="AS28" i="16" s="1"/>
  <c r="AM30" i="16"/>
  <c r="AN30" i="16" s="1"/>
  <c r="AM31" i="16"/>
  <c r="AN31" i="16" s="1"/>
  <c r="AS31" i="16" s="1"/>
  <c r="AM32" i="16"/>
  <c r="AN32" i="16" s="1"/>
  <c r="AM33" i="16"/>
  <c r="AN33" i="16" s="1"/>
  <c r="AM34" i="16"/>
  <c r="AN34" i="16" s="1"/>
  <c r="AM35" i="16"/>
  <c r="AN35" i="16" s="1"/>
  <c r="AS35" i="16" s="1"/>
  <c r="AM36" i="16"/>
  <c r="AN36" i="16" s="1"/>
  <c r="AM38" i="16"/>
  <c r="AN38" i="16" s="1"/>
  <c r="AM41" i="16"/>
  <c r="AN41" i="16" s="1"/>
  <c r="AM42" i="16"/>
  <c r="AN42" i="16" s="1"/>
  <c r="AM43" i="16"/>
  <c r="AN43" i="16" s="1"/>
  <c r="AS43" i="16" s="1"/>
  <c r="AM46" i="16"/>
  <c r="AN46" i="16" s="1"/>
  <c r="AM47" i="16"/>
  <c r="AN47" i="16" s="1"/>
  <c r="AM48" i="16"/>
  <c r="AN48" i="16" s="1"/>
  <c r="AS48" i="16" s="1"/>
  <c r="AM49" i="16"/>
  <c r="AN49" i="16" s="1"/>
  <c r="AM51" i="16"/>
  <c r="AN51" i="16" s="1"/>
  <c r="AM52" i="16"/>
  <c r="AN52" i="16" s="1"/>
  <c r="AM53" i="16"/>
  <c r="AN53" i="16" s="1"/>
  <c r="AS53" i="16" s="1"/>
  <c r="AM54" i="16"/>
  <c r="AN54" i="16" s="1"/>
  <c r="AM55" i="16"/>
  <c r="AN55" i="16" s="1"/>
  <c r="AS55" i="16" s="1"/>
  <c r="AM57" i="16"/>
  <c r="AN57" i="16" s="1"/>
  <c r="AM58" i="16"/>
  <c r="AN58" i="16" s="1"/>
  <c r="AM59" i="16"/>
  <c r="AN59" i="16" s="1"/>
  <c r="AM62" i="16"/>
  <c r="AN62" i="16" s="1"/>
  <c r="AM63" i="16"/>
  <c r="AN63" i="16" s="1"/>
  <c r="AS63" i="16" s="1"/>
  <c r="AM64" i="16"/>
  <c r="AN64" i="16" s="1"/>
  <c r="AM65" i="16"/>
  <c r="AN65" i="16" s="1"/>
  <c r="AM66" i="16"/>
  <c r="AN66" i="16" s="1"/>
  <c r="AM67" i="16"/>
  <c r="AN67" i="16" s="1"/>
  <c r="AS67" i="16" s="1"/>
  <c r="AM68" i="16"/>
  <c r="AN68" i="16" s="1"/>
  <c r="AM69" i="16"/>
  <c r="AN69" i="16" s="1"/>
  <c r="AS69" i="16" s="1"/>
  <c r="AM70" i="16"/>
  <c r="AN70" i="16" s="1"/>
  <c r="AM71" i="16"/>
  <c r="AN71" i="16" s="1"/>
  <c r="AS71" i="16" s="1"/>
  <c r="AM72" i="16"/>
  <c r="AN72" i="16" s="1"/>
  <c r="AM73" i="16"/>
  <c r="AN73" i="16" s="1"/>
  <c r="AS73" i="16" s="1"/>
  <c r="AM74" i="16"/>
  <c r="AN74" i="16" s="1"/>
  <c r="AM75" i="16"/>
  <c r="AN75" i="16" s="1"/>
  <c r="AS75" i="16" s="1"/>
  <c r="AM76" i="16"/>
  <c r="AN76" i="16" s="1"/>
  <c r="BY22" i="18"/>
  <c r="BZ8" i="18"/>
  <c r="BZ9" i="18"/>
  <c r="BZ11" i="18"/>
  <c r="BZ10" i="18" s="1"/>
  <c r="BZ13" i="18"/>
  <c r="BZ14" i="18"/>
  <c r="BZ15" i="18"/>
  <c r="BZ16" i="18"/>
  <c r="BZ18" i="18"/>
  <c r="BZ17" i="18" s="1"/>
  <c r="BZ20" i="18"/>
  <c r="BZ21" i="18"/>
  <c r="BZ22" i="18"/>
  <c r="CA8" i="18"/>
  <c r="CA9" i="18"/>
  <c r="CA11" i="18"/>
  <c r="CA10" i="18" s="1"/>
  <c r="CA13" i="18"/>
  <c r="CA14" i="18"/>
  <c r="CA15" i="18"/>
  <c r="CA16" i="18"/>
  <c r="CA18" i="18"/>
  <c r="CA17" i="18" s="1"/>
  <c r="CA20" i="18"/>
  <c r="CA21" i="18"/>
  <c r="CA22" i="18"/>
  <c r="CA24" i="18"/>
  <c r="CA23" i="18" s="1"/>
  <c r="CB8" i="18"/>
  <c r="CB9" i="18"/>
  <c r="CB11" i="18"/>
  <c r="CB10" i="18" s="1"/>
  <c r="CB13" i="18"/>
  <c r="CB14" i="18"/>
  <c r="CB15" i="18"/>
  <c r="CB16" i="18"/>
  <c r="CB18" i="18"/>
  <c r="CB17" i="18" s="1"/>
  <c r="CB20" i="18"/>
  <c r="CB21" i="18"/>
  <c r="CB22" i="18"/>
  <c r="CB24" i="18"/>
  <c r="CB23" i="18" s="1"/>
  <c r="CC8" i="18"/>
  <c r="CC9" i="18"/>
  <c r="CC11" i="18"/>
  <c r="CC10" i="18" s="1"/>
  <c r="CC13" i="18"/>
  <c r="CC14" i="18"/>
  <c r="CC15" i="18"/>
  <c r="CC16" i="18"/>
  <c r="CC18" i="18"/>
  <c r="CC17" i="18" s="1"/>
  <c r="CC20" i="18"/>
  <c r="CC22" i="18"/>
  <c r="CD8" i="18"/>
  <c r="CD9" i="18"/>
  <c r="CD11" i="18"/>
  <c r="CD10" i="18" s="1"/>
  <c r="CD13" i="18"/>
  <c r="CD14" i="18"/>
  <c r="CD15" i="18"/>
  <c r="CD16" i="18"/>
  <c r="CD20" i="18"/>
  <c r="CD21" i="18"/>
  <c r="CD22" i="18"/>
  <c r="CD24" i="18"/>
  <c r="CE8" i="18"/>
  <c r="CE9" i="18"/>
  <c r="CE11" i="18"/>
  <c r="CE10" i="18" s="1"/>
  <c r="CE13" i="18"/>
  <c r="CE14" i="18"/>
  <c r="CE15" i="18"/>
  <c r="CE16" i="18"/>
  <c r="CE18" i="18"/>
  <c r="CE17" i="18" s="1"/>
  <c r="CE20" i="18"/>
  <c r="CE21" i="18"/>
  <c r="CE22" i="18"/>
  <c r="CE24" i="18"/>
  <c r="CE23" i="18" s="1"/>
  <c r="L7" i="17"/>
  <c r="M7" i="17" s="1"/>
  <c r="AQ7" i="17" s="1"/>
  <c r="AU7" i="17" s="1"/>
  <c r="L8" i="17"/>
  <c r="M8" i="17" s="1"/>
  <c r="AQ8" i="17" s="1"/>
  <c r="AU8" i="17" s="1"/>
  <c r="L9" i="17"/>
  <c r="M9" i="17" s="1"/>
  <c r="AQ9" i="17" s="1"/>
  <c r="AU9" i="17" s="1"/>
  <c r="L10" i="17"/>
  <c r="M10" i="17" s="1"/>
  <c r="AQ10" i="17" s="1"/>
  <c r="AU10" i="17" s="1"/>
  <c r="L12" i="17"/>
  <c r="M12" i="17" s="1"/>
  <c r="AQ12" i="17" s="1"/>
  <c r="AU12" i="17" s="1"/>
  <c r="L13" i="17"/>
  <c r="M13" i="17" s="1"/>
  <c r="AQ13" i="17" s="1"/>
  <c r="AU13" i="17" s="1"/>
  <c r="L14" i="17"/>
  <c r="M14" i="17" s="1"/>
  <c r="AQ14" i="17" s="1"/>
  <c r="AU14" i="17" s="1"/>
  <c r="L17" i="17"/>
  <c r="M17" i="17" s="1"/>
  <c r="AQ17" i="17" s="1"/>
  <c r="L18" i="17"/>
  <c r="M18" i="17" s="1"/>
  <c r="L21" i="17"/>
  <c r="M21" i="17" s="1"/>
  <c r="L22" i="17"/>
  <c r="M22" i="17" s="1"/>
  <c r="AQ22" i="17" s="1"/>
  <c r="L23" i="17"/>
  <c r="M23" i="17" s="1"/>
  <c r="AQ23" i="17" s="1"/>
  <c r="L24" i="17"/>
  <c r="M24" i="17" s="1"/>
  <c r="AQ24" i="17" s="1"/>
  <c r="L26" i="17"/>
  <c r="M26" i="17" s="1"/>
  <c r="L27" i="17"/>
  <c r="M27" i="17" s="1"/>
  <c r="AQ27" i="17" s="1"/>
  <c r="L28" i="17"/>
  <c r="M28" i="17" s="1"/>
  <c r="AQ28" i="17" s="1"/>
  <c r="L30" i="17"/>
  <c r="M30" i="17" s="1"/>
  <c r="AQ30" i="17" s="1"/>
  <c r="L31" i="17"/>
  <c r="M31" i="17" s="1"/>
  <c r="L32" i="17"/>
  <c r="M32" i="17" s="1"/>
  <c r="AQ32" i="17" s="1"/>
  <c r="L33" i="17"/>
  <c r="M33" i="17" s="1"/>
  <c r="AQ33" i="17" s="1"/>
  <c r="L34" i="17"/>
  <c r="M34" i="17" s="1"/>
  <c r="AQ34" i="17" s="1"/>
  <c r="L35" i="17"/>
  <c r="M35" i="17" s="1"/>
  <c r="AQ35" i="17" s="1"/>
  <c r="L36" i="17"/>
  <c r="M36" i="17" s="1"/>
  <c r="AQ36" i="17" s="1"/>
  <c r="L38" i="17"/>
  <c r="M38" i="17" s="1"/>
  <c r="L41" i="17"/>
  <c r="M41" i="17" s="1"/>
  <c r="AQ41" i="17" s="1"/>
  <c r="AU41" i="17" s="1"/>
  <c r="L42" i="17"/>
  <c r="M42" i="17" s="1"/>
  <c r="AQ42" i="17" s="1"/>
  <c r="AU42" i="17" s="1"/>
  <c r="L43" i="17"/>
  <c r="M43" i="17" s="1"/>
  <c r="L46" i="17"/>
  <c r="M46" i="17" s="1"/>
  <c r="L47" i="17"/>
  <c r="M47" i="17" s="1"/>
  <c r="AQ47" i="17" s="1"/>
  <c r="L48" i="17"/>
  <c r="M48" i="17" s="1"/>
  <c r="AQ48" i="17" s="1"/>
  <c r="L49" i="17"/>
  <c r="M49" i="17" s="1"/>
  <c r="AQ49" i="17" s="1"/>
  <c r="L51" i="17"/>
  <c r="M51" i="17" s="1"/>
  <c r="L52" i="17"/>
  <c r="M52" i="17" s="1"/>
  <c r="AQ52" i="17" s="1"/>
  <c r="L53" i="17"/>
  <c r="M53" i="17" s="1"/>
  <c r="AQ53" i="17" s="1"/>
  <c r="AU53" i="17" s="1"/>
  <c r="L54" i="17"/>
  <c r="M54" i="17" s="1"/>
  <c r="AQ54" i="17" s="1"/>
  <c r="AU54" i="17" s="1"/>
  <c r="L55" i="17"/>
  <c r="M55" i="17" s="1"/>
  <c r="AQ55" i="17" s="1"/>
  <c r="AU55" i="17" s="1"/>
  <c r="L57" i="17"/>
  <c r="M57" i="17" s="1"/>
  <c r="AQ57" i="17" s="1"/>
  <c r="L58" i="17"/>
  <c r="M58" i="17" s="1"/>
  <c r="L59" i="17"/>
  <c r="M59" i="17" s="1"/>
  <c r="AQ59" i="17" s="1"/>
  <c r="L62" i="17"/>
  <c r="M62" i="17" s="1"/>
  <c r="AQ62" i="17" s="1"/>
  <c r="AU62" i="17" s="1"/>
  <c r="L63" i="17"/>
  <c r="M63" i="17" s="1"/>
  <c r="AQ63" i="17" s="1"/>
  <c r="L64" i="17"/>
  <c r="M64" i="17" s="1"/>
  <c r="AQ64" i="17" s="1"/>
  <c r="L65" i="17"/>
  <c r="M65" i="17" s="1"/>
  <c r="L66" i="17"/>
  <c r="M66" i="17" s="1"/>
  <c r="AQ66" i="17" s="1"/>
  <c r="L67" i="17"/>
  <c r="M67" i="17" s="1"/>
  <c r="AQ67" i="17" s="1"/>
  <c r="L68" i="17"/>
  <c r="M68" i="17" s="1"/>
  <c r="AQ68" i="17" s="1"/>
  <c r="AV68" i="17" s="1"/>
  <c r="AV77" i="17" s="1"/>
  <c r="AV61" i="17" s="1"/>
  <c r="L69" i="17"/>
  <c r="M69" i="17" s="1"/>
  <c r="AQ69" i="17" s="1"/>
  <c r="L70" i="17"/>
  <c r="M70" i="17" s="1"/>
  <c r="AQ70" i="17" s="1"/>
  <c r="AU70" i="17" s="1"/>
  <c r="L71" i="17"/>
  <c r="M71" i="17" s="1"/>
  <c r="AQ71" i="17" s="1"/>
  <c r="AU71" i="17" s="1"/>
  <c r="L72" i="17"/>
  <c r="M72" i="17" s="1"/>
  <c r="AQ72" i="17" s="1"/>
  <c r="AU72" i="17" s="1"/>
  <c r="L73" i="17"/>
  <c r="M73" i="17" s="1"/>
  <c r="AQ73" i="17" s="1"/>
  <c r="AU73" i="17" s="1"/>
  <c r="L74" i="17"/>
  <c r="M74" i="17" s="1"/>
  <c r="AQ74" i="17" s="1"/>
  <c r="L75" i="17"/>
  <c r="M75" i="17" s="1"/>
  <c r="AQ75" i="17" s="1"/>
  <c r="L76" i="17"/>
  <c r="M76" i="17" s="1"/>
  <c r="AQ76" i="17" s="1"/>
  <c r="AU76" i="17" s="1"/>
  <c r="AB7" i="17"/>
  <c r="Y7" i="17"/>
  <c r="U7" i="17"/>
  <c r="T7" i="17"/>
  <c r="S7" i="17"/>
  <c r="R7" i="17"/>
  <c r="AB8" i="17"/>
  <c r="Y8" i="17"/>
  <c r="U8" i="17"/>
  <c r="T8" i="17"/>
  <c r="S8" i="17"/>
  <c r="R8" i="17"/>
  <c r="AB9" i="17"/>
  <c r="Y9" i="17"/>
  <c r="U9" i="17"/>
  <c r="T9" i="17"/>
  <c r="S9" i="17"/>
  <c r="R9" i="17"/>
  <c r="AB10" i="17"/>
  <c r="Y10" i="17"/>
  <c r="U10" i="17"/>
  <c r="T10" i="17"/>
  <c r="S10" i="17"/>
  <c r="R10" i="17"/>
  <c r="AB12" i="17"/>
  <c r="Y12" i="17"/>
  <c r="U12" i="17"/>
  <c r="T12" i="17"/>
  <c r="S12" i="17"/>
  <c r="R12" i="17"/>
  <c r="AB13" i="17"/>
  <c r="Y13" i="17"/>
  <c r="U13" i="17"/>
  <c r="T13" i="17"/>
  <c r="S13" i="17"/>
  <c r="R13" i="17"/>
  <c r="AB14" i="17"/>
  <c r="Y14" i="17"/>
  <c r="U14" i="17"/>
  <c r="T14" i="17"/>
  <c r="S14" i="17"/>
  <c r="R14" i="17"/>
  <c r="AB17" i="17"/>
  <c r="Y17" i="17"/>
  <c r="U17" i="17"/>
  <c r="T17" i="17"/>
  <c r="S17" i="17"/>
  <c r="R17" i="17"/>
  <c r="AB18" i="17"/>
  <c r="Y18" i="17"/>
  <c r="U18" i="17"/>
  <c r="T18" i="17"/>
  <c r="S18" i="17"/>
  <c r="R18" i="17"/>
  <c r="AB21" i="17"/>
  <c r="Y21" i="17"/>
  <c r="U21" i="17"/>
  <c r="T21" i="17"/>
  <c r="S21" i="17"/>
  <c r="R21" i="17"/>
  <c r="AB22" i="17"/>
  <c r="Y22" i="17"/>
  <c r="U22" i="17"/>
  <c r="T22" i="17"/>
  <c r="S22" i="17"/>
  <c r="R22" i="17"/>
  <c r="AB23" i="17"/>
  <c r="Y23" i="17"/>
  <c r="U23" i="17"/>
  <c r="T23" i="17"/>
  <c r="S23" i="17"/>
  <c r="R23" i="17"/>
  <c r="AB24" i="17"/>
  <c r="Y24" i="17"/>
  <c r="U24" i="17"/>
  <c r="T24" i="17"/>
  <c r="S24" i="17"/>
  <c r="R24" i="17"/>
  <c r="AB26" i="17"/>
  <c r="Y26" i="17"/>
  <c r="U26" i="17"/>
  <c r="T26" i="17"/>
  <c r="S26" i="17"/>
  <c r="R26" i="17"/>
  <c r="AB27" i="17"/>
  <c r="Y27" i="17"/>
  <c r="U27" i="17"/>
  <c r="T27" i="17"/>
  <c r="S27" i="17"/>
  <c r="R27" i="17"/>
  <c r="AB28" i="17"/>
  <c r="Y28" i="17"/>
  <c r="U28" i="17"/>
  <c r="T28" i="17"/>
  <c r="S28" i="17"/>
  <c r="R28" i="17"/>
  <c r="AB30" i="17"/>
  <c r="Y30" i="17"/>
  <c r="U30" i="17"/>
  <c r="T30" i="17"/>
  <c r="S30" i="17"/>
  <c r="R30" i="17"/>
  <c r="AB31" i="17"/>
  <c r="Y31" i="17"/>
  <c r="U31" i="17"/>
  <c r="T31" i="17"/>
  <c r="S31" i="17"/>
  <c r="R31" i="17"/>
  <c r="AB32" i="17"/>
  <c r="Y32" i="17"/>
  <c r="U32" i="17"/>
  <c r="T32" i="17"/>
  <c r="S32" i="17"/>
  <c r="R32" i="17"/>
  <c r="AB33" i="17"/>
  <c r="Y33" i="17"/>
  <c r="U33" i="17"/>
  <c r="T33" i="17"/>
  <c r="S33" i="17"/>
  <c r="R33" i="17"/>
  <c r="AB34" i="17"/>
  <c r="Y34" i="17"/>
  <c r="U34" i="17"/>
  <c r="T34" i="17"/>
  <c r="S34" i="17"/>
  <c r="R34" i="17"/>
  <c r="AB35" i="17"/>
  <c r="Y35" i="17"/>
  <c r="U35" i="17"/>
  <c r="T35" i="17"/>
  <c r="S35" i="17"/>
  <c r="R35" i="17"/>
  <c r="AB36" i="17"/>
  <c r="Y36" i="17"/>
  <c r="U36" i="17"/>
  <c r="T36" i="17"/>
  <c r="S36" i="17"/>
  <c r="R36" i="17"/>
  <c r="AB38" i="17"/>
  <c r="Y38" i="17"/>
  <c r="U38" i="17"/>
  <c r="T38" i="17"/>
  <c r="S38" i="17"/>
  <c r="R38" i="17"/>
  <c r="AB41" i="17"/>
  <c r="Y41" i="17"/>
  <c r="U41" i="17"/>
  <c r="T41" i="17"/>
  <c r="S41" i="17"/>
  <c r="R41" i="17"/>
  <c r="AB42" i="17"/>
  <c r="Y42" i="17"/>
  <c r="U42" i="17"/>
  <c r="T42" i="17"/>
  <c r="S42" i="17"/>
  <c r="R42" i="17"/>
  <c r="AB43" i="17"/>
  <c r="Y43" i="17"/>
  <c r="U43" i="17"/>
  <c r="T43" i="17"/>
  <c r="S43" i="17"/>
  <c r="R43" i="17"/>
  <c r="AB46" i="17"/>
  <c r="Y46" i="17"/>
  <c r="U46" i="17"/>
  <c r="T46" i="17"/>
  <c r="S46" i="17"/>
  <c r="R46" i="17"/>
  <c r="AB47" i="17"/>
  <c r="Y47" i="17"/>
  <c r="U47" i="17"/>
  <c r="T47" i="17"/>
  <c r="S47" i="17"/>
  <c r="R47" i="17"/>
  <c r="AB48" i="17"/>
  <c r="Y48" i="17"/>
  <c r="U48" i="17"/>
  <c r="T48" i="17"/>
  <c r="S48" i="17"/>
  <c r="R48" i="17"/>
  <c r="AB49" i="17"/>
  <c r="Y49" i="17"/>
  <c r="U49" i="17"/>
  <c r="T49" i="17"/>
  <c r="S49" i="17"/>
  <c r="R49" i="17"/>
  <c r="AB51" i="17"/>
  <c r="Y51" i="17"/>
  <c r="U51" i="17"/>
  <c r="T51" i="17"/>
  <c r="S51" i="17"/>
  <c r="R51" i="17"/>
  <c r="AB52" i="17"/>
  <c r="Y52" i="17"/>
  <c r="U52" i="17"/>
  <c r="T52" i="17"/>
  <c r="S52" i="17"/>
  <c r="R52" i="17"/>
  <c r="AB53" i="17"/>
  <c r="Y53" i="17"/>
  <c r="U53" i="17"/>
  <c r="T53" i="17"/>
  <c r="S53" i="17"/>
  <c r="R53" i="17"/>
  <c r="AB54" i="17"/>
  <c r="Y54" i="17"/>
  <c r="U54" i="17"/>
  <c r="T54" i="17"/>
  <c r="S54" i="17"/>
  <c r="R54" i="17"/>
  <c r="AB55" i="17"/>
  <c r="Y55" i="17"/>
  <c r="U55" i="17"/>
  <c r="T55" i="17"/>
  <c r="S55" i="17"/>
  <c r="R55" i="17"/>
  <c r="AB57" i="17"/>
  <c r="Y57" i="17"/>
  <c r="U57" i="17"/>
  <c r="T57" i="17"/>
  <c r="S57" i="17"/>
  <c r="R57" i="17"/>
  <c r="AB58" i="17"/>
  <c r="Y58" i="17"/>
  <c r="U58" i="17"/>
  <c r="T58" i="17"/>
  <c r="S58" i="17"/>
  <c r="R58" i="17"/>
  <c r="AB59" i="17"/>
  <c r="Y59" i="17"/>
  <c r="U59" i="17"/>
  <c r="T59" i="17"/>
  <c r="S59" i="17"/>
  <c r="R59" i="17"/>
  <c r="AB62" i="17"/>
  <c r="Y62" i="17"/>
  <c r="U62" i="17"/>
  <c r="T62" i="17"/>
  <c r="S62" i="17"/>
  <c r="R62" i="17"/>
  <c r="AB63" i="17"/>
  <c r="Y63" i="17"/>
  <c r="U63" i="17"/>
  <c r="T63" i="17"/>
  <c r="S63" i="17"/>
  <c r="R63" i="17"/>
  <c r="AB64" i="17"/>
  <c r="Y64" i="17"/>
  <c r="U64" i="17"/>
  <c r="T64" i="17"/>
  <c r="S64" i="17"/>
  <c r="R64" i="17"/>
  <c r="AB65" i="17"/>
  <c r="Y65" i="17"/>
  <c r="U65" i="17"/>
  <c r="T65" i="17"/>
  <c r="S65" i="17"/>
  <c r="R65" i="17"/>
  <c r="AB66" i="17"/>
  <c r="Y66" i="17"/>
  <c r="U66" i="17"/>
  <c r="T66" i="17"/>
  <c r="S66" i="17"/>
  <c r="R66" i="17"/>
  <c r="AB67" i="17"/>
  <c r="Y67" i="17"/>
  <c r="U67" i="17"/>
  <c r="T67" i="17"/>
  <c r="S67" i="17"/>
  <c r="R67" i="17"/>
  <c r="AB68" i="17"/>
  <c r="Y68" i="17"/>
  <c r="U68" i="17"/>
  <c r="T68" i="17"/>
  <c r="S68" i="17"/>
  <c r="R68" i="17"/>
  <c r="AB70" i="17"/>
  <c r="Y70" i="17"/>
  <c r="U70" i="17"/>
  <c r="T70" i="17"/>
  <c r="S70" i="17"/>
  <c r="R70" i="17"/>
  <c r="AB71" i="17"/>
  <c r="Y71" i="17"/>
  <c r="U71" i="17"/>
  <c r="T71" i="17"/>
  <c r="S71" i="17"/>
  <c r="R71" i="17"/>
  <c r="AB72" i="17"/>
  <c r="Y72" i="17"/>
  <c r="U72" i="17"/>
  <c r="T72" i="17"/>
  <c r="S72" i="17"/>
  <c r="R72" i="17"/>
  <c r="AB73" i="17"/>
  <c r="Y73" i="17"/>
  <c r="U73" i="17"/>
  <c r="T73" i="17"/>
  <c r="S73" i="17"/>
  <c r="R73" i="17"/>
  <c r="AB74" i="17"/>
  <c r="Y74" i="17"/>
  <c r="U74" i="17"/>
  <c r="T74" i="17"/>
  <c r="S74" i="17"/>
  <c r="R74" i="17"/>
  <c r="AB75" i="17"/>
  <c r="Y75" i="17"/>
  <c r="U75" i="17"/>
  <c r="T75" i="17"/>
  <c r="S75" i="17"/>
  <c r="R75" i="17"/>
  <c r="AB76" i="17"/>
  <c r="Y76" i="17"/>
  <c r="U76" i="17"/>
  <c r="T76" i="17"/>
  <c r="S76" i="17"/>
  <c r="R76" i="17"/>
  <c r="AM7" i="17"/>
  <c r="AN7" i="17" s="1"/>
  <c r="AS7" i="17" s="1"/>
  <c r="AM8" i="17"/>
  <c r="AN8" i="17" s="1"/>
  <c r="AS8" i="17" s="1"/>
  <c r="AM9" i="17"/>
  <c r="AN9" i="17" s="1"/>
  <c r="AM10" i="17"/>
  <c r="AN10" i="17" s="1"/>
  <c r="AS10" i="17" s="1"/>
  <c r="AM12" i="17"/>
  <c r="AN12" i="17" s="1"/>
  <c r="AS12" i="17" s="1"/>
  <c r="AM13" i="17"/>
  <c r="AN13" i="17" s="1"/>
  <c r="AS13" i="17" s="1"/>
  <c r="AM14" i="17"/>
  <c r="AN14" i="17" s="1"/>
  <c r="AM17" i="17"/>
  <c r="AN17" i="17" s="1"/>
  <c r="AM18" i="17"/>
  <c r="AN18" i="17" s="1"/>
  <c r="AS18" i="17" s="1"/>
  <c r="AM21" i="17"/>
  <c r="AN21" i="17" s="1"/>
  <c r="AS21" i="17" s="1"/>
  <c r="AM22" i="17"/>
  <c r="AN22" i="17" s="1"/>
  <c r="AM23" i="17"/>
  <c r="AN23" i="17" s="1"/>
  <c r="AS23" i="17" s="1"/>
  <c r="AM24" i="17"/>
  <c r="AN24" i="17" s="1"/>
  <c r="AS24" i="17" s="1"/>
  <c r="AM26" i="17"/>
  <c r="AN26" i="17" s="1"/>
  <c r="AS26" i="17" s="1"/>
  <c r="AM27" i="17"/>
  <c r="AN27" i="17" s="1"/>
  <c r="AM28" i="17"/>
  <c r="AN28" i="17" s="1"/>
  <c r="AS28" i="17" s="1"/>
  <c r="AM30" i="17"/>
  <c r="AN30" i="17" s="1"/>
  <c r="AS30" i="17" s="1"/>
  <c r="AM31" i="17"/>
  <c r="AN31" i="17" s="1"/>
  <c r="AS31" i="17" s="1"/>
  <c r="AM32" i="17"/>
  <c r="AN32" i="17" s="1"/>
  <c r="AM33" i="17"/>
  <c r="AN33" i="17" s="1"/>
  <c r="AS33" i="17" s="1"/>
  <c r="AM34" i="17"/>
  <c r="AN34" i="17" s="1"/>
  <c r="AS34" i="17" s="1"/>
  <c r="AM35" i="17"/>
  <c r="AN35" i="17" s="1"/>
  <c r="AS35" i="17" s="1"/>
  <c r="AM36" i="17"/>
  <c r="AN36" i="17" s="1"/>
  <c r="AS36" i="17" s="1"/>
  <c r="AM38" i="17"/>
  <c r="AN38" i="17" s="1"/>
  <c r="AS38" i="17" s="1"/>
  <c r="AS39" i="17" s="1"/>
  <c r="CJ16" i="18" s="1"/>
  <c r="AM41" i="17"/>
  <c r="AN41" i="17" s="1"/>
  <c r="AS41" i="17" s="1"/>
  <c r="AM42" i="17"/>
  <c r="AN42" i="17" s="1"/>
  <c r="AM43" i="17"/>
  <c r="AN43" i="17" s="1"/>
  <c r="AS43" i="17" s="1"/>
  <c r="AM46" i="17"/>
  <c r="AN46" i="17" s="1"/>
  <c r="AS46" i="17" s="1"/>
  <c r="AM47" i="17"/>
  <c r="AN47" i="17" s="1"/>
  <c r="AM48" i="17"/>
  <c r="AN48" i="17" s="1"/>
  <c r="AS48" i="17" s="1"/>
  <c r="AM49" i="17"/>
  <c r="AN49" i="17" s="1"/>
  <c r="AS49" i="17" s="1"/>
  <c r="AM51" i="17"/>
  <c r="AN51" i="17" s="1"/>
  <c r="AS51" i="17" s="1"/>
  <c r="AM52" i="17"/>
  <c r="AN52" i="17" s="1"/>
  <c r="AM53" i="17"/>
  <c r="AN53" i="17" s="1"/>
  <c r="AS53" i="17" s="1"/>
  <c r="AM54" i="17"/>
  <c r="AN54" i="17" s="1"/>
  <c r="AS54" i="17" s="1"/>
  <c r="AM55" i="17"/>
  <c r="AN55" i="17" s="1"/>
  <c r="AS55" i="17" s="1"/>
  <c r="AM57" i="17"/>
  <c r="AN57" i="17" s="1"/>
  <c r="AM58" i="17"/>
  <c r="AN58" i="17" s="1"/>
  <c r="AS58" i="17" s="1"/>
  <c r="AM59" i="17"/>
  <c r="AN59" i="17" s="1"/>
  <c r="AS59" i="17" s="1"/>
  <c r="AM62" i="17"/>
  <c r="AN62" i="17" s="1"/>
  <c r="AS62" i="17" s="1"/>
  <c r="AM63" i="17"/>
  <c r="AN63" i="17" s="1"/>
  <c r="AS63" i="17" s="1"/>
  <c r="AM64" i="17"/>
  <c r="AN64" i="17" s="1"/>
  <c r="AM65" i="17"/>
  <c r="AN65" i="17" s="1"/>
  <c r="AS65" i="17" s="1"/>
  <c r="AM66" i="17"/>
  <c r="AN66" i="17" s="1"/>
  <c r="AS66" i="17" s="1"/>
  <c r="AM67" i="17"/>
  <c r="AN67" i="17" s="1"/>
  <c r="AS67" i="17" s="1"/>
  <c r="AM68" i="17"/>
  <c r="AN68" i="17" s="1"/>
  <c r="AS68" i="17" s="1"/>
  <c r="AM69" i="17"/>
  <c r="AN69" i="17" s="1"/>
  <c r="AS69" i="17" s="1"/>
  <c r="AM70" i="17"/>
  <c r="AN70" i="17" s="1"/>
  <c r="AS70" i="17" s="1"/>
  <c r="AM71" i="17"/>
  <c r="AN71" i="17" s="1"/>
  <c r="AS71" i="17" s="1"/>
  <c r="AM72" i="17"/>
  <c r="AN72" i="17" s="1"/>
  <c r="AS72" i="17" s="1"/>
  <c r="AM73" i="17"/>
  <c r="AN73" i="17" s="1"/>
  <c r="AS73" i="17" s="1"/>
  <c r="AM74" i="17"/>
  <c r="AN74" i="17" s="1"/>
  <c r="AS74" i="17" s="1"/>
  <c r="AM75" i="17"/>
  <c r="AN75" i="17" s="1"/>
  <c r="AS75" i="17" s="1"/>
  <c r="AM76" i="17"/>
  <c r="AN76" i="17" s="1"/>
  <c r="AS76" i="17" s="1"/>
  <c r="CL22" i="18"/>
  <c r="CM8" i="18"/>
  <c r="CM9" i="18"/>
  <c r="CM11" i="18"/>
  <c r="CM13" i="18"/>
  <c r="CM14" i="18"/>
  <c r="CM15" i="18"/>
  <c r="CM16" i="18"/>
  <c r="CM18" i="18"/>
  <c r="CM17" i="18" s="1"/>
  <c r="CM20" i="18"/>
  <c r="CM21" i="18"/>
  <c r="CM22" i="18"/>
  <c r="CN8" i="18"/>
  <c r="CN9" i="18"/>
  <c r="CN11" i="18"/>
  <c r="CN10" i="18" s="1"/>
  <c r="CN13" i="18"/>
  <c r="CN14" i="18"/>
  <c r="CN15" i="18"/>
  <c r="CN16" i="18"/>
  <c r="CN18" i="18"/>
  <c r="CN20" i="18"/>
  <c r="CN21" i="18"/>
  <c r="CN22" i="18"/>
  <c r="CN24" i="18"/>
  <c r="CO8" i="18"/>
  <c r="CO9" i="18"/>
  <c r="CO11" i="18"/>
  <c r="CO10" i="18" s="1"/>
  <c r="CO13" i="18"/>
  <c r="CO14" i="18"/>
  <c r="CO15" i="18"/>
  <c r="CO16" i="18"/>
  <c r="CO18" i="18"/>
  <c r="CO17" i="18" s="1"/>
  <c r="CO20" i="18"/>
  <c r="CO21" i="18"/>
  <c r="CO22" i="18"/>
  <c r="CO24" i="18"/>
  <c r="CO23" i="18" s="1"/>
  <c r="CP8" i="18"/>
  <c r="CP9" i="18"/>
  <c r="CP11" i="18"/>
  <c r="CP10" i="18" s="1"/>
  <c r="CP13" i="18"/>
  <c r="CP14" i="18"/>
  <c r="CP15" i="18"/>
  <c r="CP16" i="18"/>
  <c r="CP18" i="18"/>
  <c r="CP17" i="18" s="1"/>
  <c r="CP20" i="18"/>
  <c r="CP22" i="18"/>
  <c r="CQ8" i="18"/>
  <c r="CQ9" i="18"/>
  <c r="CQ11" i="18"/>
  <c r="CQ10" i="18" s="1"/>
  <c r="CQ13" i="18"/>
  <c r="CQ14" i="18"/>
  <c r="CQ15" i="18"/>
  <c r="CQ16" i="18"/>
  <c r="CQ20" i="18"/>
  <c r="CQ21" i="18"/>
  <c r="CQ22" i="18"/>
  <c r="CQ24" i="18"/>
  <c r="CQ23" i="18" s="1"/>
  <c r="CR8" i="18"/>
  <c r="CR9" i="18"/>
  <c r="CR11" i="18"/>
  <c r="CR10" i="18" s="1"/>
  <c r="CR13" i="18"/>
  <c r="CR14" i="18"/>
  <c r="CR15" i="18"/>
  <c r="CR16" i="18"/>
  <c r="CR18" i="18"/>
  <c r="CR20" i="18"/>
  <c r="CR21" i="18"/>
  <c r="CR22" i="18"/>
  <c r="CR24" i="18"/>
  <c r="CW16" i="18"/>
  <c r="CY22" i="18"/>
  <c r="CZ9" i="18"/>
  <c r="CZ13" i="18"/>
  <c r="CZ15" i="18"/>
  <c r="CZ18" i="18"/>
  <c r="CZ17" i="18" s="1"/>
  <c r="CZ21" i="18"/>
  <c r="CZ22" i="18"/>
  <c r="DA9" i="18"/>
  <c r="DA11" i="18"/>
  <c r="DA10" i="18" s="1"/>
  <c r="DA13" i="18"/>
  <c r="DA14" i="18"/>
  <c r="DA16" i="18"/>
  <c r="DA18" i="18"/>
  <c r="DA17" i="18" s="1"/>
  <c r="DA21" i="18"/>
  <c r="DA22" i="18"/>
  <c r="DA24" i="18"/>
  <c r="DA23" i="18" s="1"/>
  <c r="DB8" i="18"/>
  <c r="DB11" i="18"/>
  <c r="DB10" i="18" s="1"/>
  <c r="DB14" i="18"/>
  <c r="DB16" i="18"/>
  <c r="DB20" i="18"/>
  <c r="DB22" i="18"/>
  <c r="DC8" i="18"/>
  <c r="DC11" i="18"/>
  <c r="DC10" i="18" s="1"/>
  <c r="DC13" i="18"/>
  <c r="DC15" i="18"/>
  <c r="DC16" i="18"/>
  <c r="DC18" i="18"/>
  <c r="DC17" i="18" s="1"/>
  <c r="DC20" i="18"/>
  <c r="DC22" i="18"/>
  <c r="DD8" i="18"/>
  <c r="DD9" i="18"/>
  <c r="DD13" i="18"/>
  <c r="DD14" i="18"/>
  <c r="DD15" i="18"/>
  <c r="DD21" i="18"/>
  <c r="DD22" i="18"/>
  <c r="DD24" i="18"/>
  <c r="DD23" i="18" s="1"/>
  <c r="DE9" i="18"/>
  <c r="DE11" i="18"/>
  <c r="DE10" i="18" s="1"/>
  <c r="DE14" i="18"/>
  <c r="DE15" i="18"/>
  <c r="DE16" i="18"/>
  <c r="DE18" i="18"/>
  <c r="DE17" i="18" s="1"/>
  <c r="DE21" i="18"/>
  <c r="DE24" i="18"/>
  <c r="DE23" i="18" s="1"/>
  <c r="L7" i="22"/>
  <c r="M7" i="22" s="1"/>
  <c r="AQ7" i="22" s="1"/>
  <c r="AU7" i="22" s="1"/>
  <c r="L8" i="22"/>
  <c r="M8" i="22"/>
  <c r="AQ8" i="22" s="1"/>
  <c r="AU8" i="22" s="1"/>
  <c r="L9" i="22"/>
  <c r="M9" i="22" s="1"/>
  <c r="AQ9" i="22" s="1"/>
  <c r="AU9" i="22" s="1"/>
  <c r="L10" i="22"/>
  <c r="M10" i="22" s="1"/>
  <c r="L12" i="22"/>
  <c r="M12" i="22" s="1"/>
  <c r="AQ12" i="22" s="1"/>
  <c r="AU12" i="22" s="1"/>
  <c r="L13" i="22"/>
  <c r="M13" i="22" s="1"/>
  <c r="AQ13" i="22" s="1"/>
  <c r="AU13" i="22" s="1"/>
  <c r="L14" i="22"/>
  <c r="M14" i="22" s="1"/>
  <c r="AQ14" i="22" s="1"/>
  <c r="AU14" i="22" s="1"/>
  <c r="L17" i="22"/>
  <c r="M17" i="22" s="1"/>
  <c r="AQ17" i="22" s="1"/>
  <c r="L18" i="22"/>
  <c r="M18" i="22" s="1"/>
  <c r="L21" i="22"/>
  <c r="M21" i="22" s="1"/>
  <c r="L22" i="22"/>
  <c r="M22" i="22" s="1"/>
  <c r="AQ22" i="22" s="1"/>
  <c r="L23" i="22"/>
  <c r="M23" i="22" s="1"/>
  <c r="AQ23" i="22" s="1"/>
  <c r="L24" i="22"/>
  <c r="M24" i="22" s="1"/>
  <c r="AQ24" i="22" s="1"/>
  <c r="L26" i="22"/>
  <c r="M26" i="22" s="1"/>
  <c r="AQ26" i="22" s="1"/>
  <c r="L27" i="22"/>
  <c r="M27" i="22" s="1"/>
  <c r="AQ27" i="22" s="1"/>
  <c r="L28" i="22"/>
  <c r="M28" i="22" s="1"/>
  <c r="L30" i="22"/>
  <c r="M30" i="22" s="1"/>
  <c r="AQ30" i="22" s="1"/>
  <c r="L31" i="22"/>
  <c r="M31" i="22" s="1"/>
  <c r="AQ31" i="22" s="1"/>
  <c r="L32" i="22"/>
  <c r="M32" i="22" s="1"/>
  <c r="AQ32" i="22" s="1"/>
  <c r="L33" i="22"/>
  <c r="M33" i="22" s="1"/>
  <c r="AQ33" i="22" s="1"/>
  <c r="L34" i="22"/>
  <c r="M34" i="22" s="1"/>
  <c r="AQ34" i="22" s="1"/>
  <c r="L35" i="22"/>
  <c r="M35" i="22" s="1"/>
  <c r="L36" i="22"/>
  <c r="M36" i="22" s="1"/>
  <c r="AQ36" i="22" s="1"/>
  <c r="L38" i="22"/>
  <c r="M38" i="22" s="1"/>
  <c r="L41" i="22"/>
  <c r="M41" i="22" s="1"/>
  <c r="AQ41" i="22" s="1"/>
  <c r="AU41" i="22" s="1"/>
  <c r="L42" i="22"/>
  <c r="M42" i="22" s="1"/>
  <c r="AQ42" i="22" s="1"/>
  <c r="AU42" i="22" s="1"/>
  <c r="L43" i="22"/>
  <c r="M43" i="22" s="1"/>
  <c r="L46" i="22"/>
  <c r="M46" i="22" s="1"/>
  <c r="L47" i="22"/>
  <c r="M47" i="22" s="1"/>
  <c r="AQ47" i="22" s="1"/>
  <c r="L48" i="22"/>
  <c r="M48" i="22" s="1"/>
  <c r="AQ48" i="22" s="1"/>
  <c r="L49" i="22"/>
  <c r="M49" i="22" s="1"/>
  <c r="AQ49" i="22" s="1"/>
  <c r="L51" i="22"/>
  <c r="M51" i="22" s="1"/>
  <c r="L53" i="22"/>
  <c r="M53" i="22" s="1"/>
  <c r="AQ53" i="22" s="1"/>
  <c r="AU53" i="22" s="1"/>
  <c r="L54" i="22"/>
  <c r="M54" i="22" s="1"/>
  <c r="AQ54" i="22" s="1"/>
  <c r="AU54" i="22" s="1"/>
  <c r="L55" i="22"/>
  <c r="M55" i="22" s="1"/>
  <c r="AQ55" i="22" s="1"/>
  <c r="AU55" i="22" s="1"/>
  <c r="L57" i="22"/>
  <c r="M57" i="22" s="1"/>
  <c r="AQ57" i="22" s="1"/>
  <c r="L58" i="22"/>
  <c r="M58" i="22" s="1"/>
  <c r="L59" i="22"/>
  <c r="M59" i="22" s="1"/>
  <c r="AQ59" i="22" s="1"/>
  <c r="L62" i="22"/>
  <c r="M62" i="22" s="1"/>
  <c r="AQ62" i="22" s="1"/>
  <c r="AU62" i="22" s="1"/>
  <c r="L63" i="22"/>
  <c r="M63" i="22" s="1"/>
  <c r="AQ63" i="22" s="1"/>
  <c r="L64" i="22"/>
  <c r="M64" i="22" s="1"/>
  <c r="AQ64" i="22" s="1"/>
  <c r="L65" i="22"/>
  <c r="M65" i="22" s="1"/>
  <c r="L66" i="22"/>
  <c r="M66" i="22" s="1"/>
  <c r="AQ66" i="22" s="1"/>
  <c r="L67" i="22"/>
  <c r="M67" i="22" s="1"/>
  <c r="AQ67" i="22" s="1"/>
  <c r="L68" i="22"/>
  <c r="M68" i="22" s="1"/>
  <c r="AQ68" i="22" s="1"/>
  <c r="AV68" i="22" s="1"/>
  <c r="AV77" i="22" s="1"/>
  <c r="AV61" i="22" s="1"/>
  <c r="L69" i="22"/>
  <c r="M69" i="22" s="1"/>
  <c r="AQ69" i="22" s="1"/>
  <c r="L70" i="22"/>
  <c r="M70" i="22" s="1"/>
  <c r="AQ70" i="22" s="1"/>
  <c r="AU70" i="22" s="1"/>
  <c r="L71" i="22"/>
  <c r="M71" i="22" s="1"/>
  <c r="AQ71" i="22" s="1"/>
  <c r="AU71" i="22" s="1"/>
  <c r="L72" i="22"/>
  <c r="M72" i="22" s="1"/>
  <c r="AQ72" i="22" s="1"/>
  <c r="AU72" i="22" s="1"/>
  <c r="L73" i="22"/>
  <c r="M73" i="22" s="1"/>
  <c r="AQ73" i="22" s="1"/>
  <c r="AU73" i="22" s="1"/>
  <c r="L74" i="22"/>
  <c r="M74" i="22" s="1"/>
  <c r="AQ74" i="22" s="1"/>
  <c r="L75" i="22"/>
  <c r="M75" i="22" s="1"/>
  <c r="AQ75" i="22" s="1"/>
  <c r="L76" i="22"/>
  <c r="M76" i="22" s="1"/>
  <c r="AQ76" i="22" s="1"/>
  <c r="AU76" i="22" s="1"/>
  <c r="AB7" i="22"/>
  <c r="U7" i="22"/>
  <c r="T7" i="22"/>
  <c r="S7" i="22"/>
  <c r="R7" i="22"/>
  <c r="AB8" i="22"/>
  <c r="U8" i="22"/>
  <c r="T8" i="22"/>
  <c r="S8" i="22"/>
  <c r="R8" i="22"/>
  <c r="AB9" i="22"/>
  <c r="U9" i="22"/>
  <c r="T9" i="22"/>
  <c r="S9" i="22"/>
  <c r="R9" i="22"/>
  <c r="AB10" i="22"/>
  <c r="U10" i="22"/>
  <c r="T10" i="22"/>
  <c r="S10" i="22"/>
  <c r="R10" i="22"/>
  <c r="AB12" i="22"/>
  <c r="U12" i="22"/>
  <c r="T12" i="22"/>
  <c r="S12" i="22"/>
  <c r="R12" i="22"/>
  <c r="AB13" i="22"/>
  <c r="U13" i="22"/>
  <c r="T13" i="22"/>
  <c r="S13" i="22"/>
  <c r="R13" i="22"/>
  <c r="AB14" i="22"/>
  <c r="U14" i="22"/>
  <c r="T14" i="22"/>
  <c r="S14" i="22"/>
  <c r="R14" i="22"/>
  <c r="AB17" i="22"/>
  <c r="U17" i="22"/>
  <c r="T17" i="22"/>
  <c r="S17" i="22"/>
  <c r="R17" i="22"/>
  <c r="AB18" i="22"/>
  <c r="U18" i="22"/>
  <c r="T18" i="22"/>
  <c r="S18" i="22"/>
  <c r="R18" i="22"/>
  <c r="AB21" i="22"/>
  <c r="U21" i="22"/>
  <c r="T21" i="22"/>
  <c r="S21" i="22"/>
  <c r="R21" i="22"/>
  <c r="AB22" i="22"/>
  <c r="U22" i="22"/>
  <c r="T22" i="22"/>
  <c r="S22" i="22"/>
  <c r="R22" i="22"/>
  <c r="AB23" i="22"/>
  <c r="U23" i="22"/>
  <c r="T23" i="22"/>
  <c r="S23" i="22"/>
  <c r="R23" i="22"/>
  <c r="AB24" i="22"/>
  <c r="U24" i="22"/>
  <c r="T24" i="22"/>
  <c r="S24" i="22"/>
  <c r="R24" i="22"/>
  <c r="AB26" i="22"/>
  <c r="U26" i="22"/>
  <c r="T26" i="22"/>
  <c r="S26" i="22"/>
  <c r="R26" i="22"/>
  <c r="AB27" i="22"/>
  <c r="U27" i="22"/>
  <c r="T27" i="22"/>
  <c r="S27" i="22"/>
  <c r="R27" i="22"/>
  <c r="AB28" i="22"/>
  <c r="U28" i="22"/>
  <c r="T28" i="22"/>
  <c r="S28" i="22"/>
  <c r="R28" i="22"/>
  <c r="AB30" i="22"/>
  <c r="U30" i="22"/>
  <c r="T30" i="22"/>
  <c r="S30" i="22"/>
  <c r="R30" i="22"/>
  <c r="AB31" i="22"/>
  <c r="U31" i="22"/>
  <c r="T31" i="22"/>
  <c r="S31" i="22"/>
  <c r="R31" i="22"/>
  <c r="AB32" i="22"/>
  <c r="U32" i="22"/>
  <c r="T32" i="22"/>
  <c r="S32" i="22"/>
  <c r="R32" i="22"/>
  <c r="AB33" i="22"/>
  <c r="U33" i="22"/>
  <c r="T33" i="22"/>
  <c r="S33" i="22"/>
  <c r="R33" i="22"/>
  <c r="AB34" i="22"/>
  <c r="U34" i="22"/>
  <c r="T34" i="22"/>
  <c r="S34" i="22"/>
  <c r="R34" i="22"/>
  <c r="AB35" i="22"/>
  <c r="U35" i="22"/>
  <c r="T35" i="22"/>
  <c r="S35" i="22"/>
  <c r="R35" i="22"/>
  <c r="AB36" i="22"/>
  <c r="U36" i="22"/>
  <c r="T36" i="22"/>
  <c r="S36" i="22"/>
  <c r="R36" i="22"/>
  <c r="AB38" i="22"/>
  <c r="U38" i="22"/>
  <c r="T38" i="22"/>
  <c r="S38" i="22"/>
  <c r="S39" i="22" s="1"/>
  <c r="R38" i="22"/>
  <c r="AB41" i="22"/>
  <c r="U41" i="22"/>
  <c r="T41" i="22"/>
  <c r="S41" i="22"/>
  <c r="R41" i="22"/>
  <c r="AB42" i="22"/>
  <c r="U42" i="22"/>
  <c r="T42" i="22"/>
  <c r="S42" i="22"/>
  <c r="R42" i="22"/>
  <c r="AB43" i="22"/>
  <c r="U43" i="22"/>
  <c r="T43" i="22"/>
  <c r="S43" i="22"/>
  <c r="R43" i="22"/>
  <c r="AB46" i="22"/>
  <c r="U46" i="22"/>
  <c r="T46" i="22"/>
  <c r="S46" i="22"/>
  <c r="R46" i="22"/>
  <c r="AB47" i="22"/>
  <c r="U47" i="22"/>
  <c r="T47" i="22"/>
  <c r="S47" i="22"/>
  <c r="R47" i="22"/>
  <c r="AB48" i="22"/>
  <c r="U48" i="22"/>
  <c r="T48" i="22"/>
  <c r="S48" i="22"/>
  <c r="R48" i="22"/>
  <c r="AB49" i="22"/>
  <c r="U49" i="22"/>
  <c r="T49" i="22"/>
  <c r="S49" i="22"/>
  <c r="R49" i="22"/>
  <c r="AB51" i="22"/>
  <c r="U51" i="22"/>
  <c r="T51" i="22"/>
  <c r="S51" i="22"/>
  <c r="R51" i="22"/>
  <c r="AB52" i="22"/>
  <c r="U52" i="22"/>
  <c r="T52" i="22"/>
  <c r="S52" i="22"/>
  <c r="R52" i="22"/>
  <c r="AB53" i="22"/>
  <c r="U53" i="22"/>
  <c r="T53" i="22"/>
  <c r="S53" i="22"/>
  <c r="R53" i="22"/>
  <c r="AB54" i="22"/>
  <c r="U54" i="22"/>
  <c r="T54" i="22"/>
  <c r="S54" i="22"/>
  <c r="R54" i="22"/>
  <c r="AB55" i="22"/>
  <c r="U55" i="22"/>
  <c r="T55" i="22"/>
  <c r="S55" i="22"/>
  <c r="R55" i="22"/>
  <c r="AB57" i="22"/>
  <c r="U57" i="22"/>
  <c r="T57" i="22"/>
  <c r="S57" i="22"/>
  <c r="R57" i="22"/>
  <c r="AB58" i="22"/>
  <c r="U58" i="22"/>
  <c r="T58" i="22"/>
  <c r="S58" i="22"/>
  <c r="R58" i="22"/>
  <c r="AB59" i="22"/>
  <c r="U59" i="22"/>
  <c r="T59" i="22"/>
  <c r="S59" i="22"/>
  <c r="R59" i="22"/>
  <c r="AB62" i="22"/>
  <c r="U62" i="22"/>
  <c r="T62" i="22"/>
  <c r="S62" i="22"/>
  <c r="R62" i="22"/>
  <c r="AB63" i="22"/>
  <c r="U63" i="22"/>
  <c r="T63" i="22"/>
  <c r="S63" i="22"/>
  <c r="R63" i="22"/>
  <c r="AB64" i="22"/>
  <c r="U64" i="22"/>
  <c r="T64" i="22"/>
  <c r="S64" i="22"/>
  <c r="R64" i="22"/>
  <c r="AB65" i="22"/>
  <c r="U65" i="22"/>
  <c r="T65" i="22"/>
  <c r="S65" i="22"/>
  <c r="R65" i="22"/>
  <c r="AB66" i="22"/>
  <c r="U66" i="22"/>
  <c r="T66" i="22"/>
  <c r="S66" i="22"/>
  <c r="R66" i="22"/>
  <c r="AB67" i="22"/>
  <c r="U67" i="22"/>
  <c r="T67" i="22"/>
  <c r="S67" i="22"/>
  <c r="R67" i="22"/>
  <c r="AB68" i="22"/>
  <c r="U68" i="22"/>
  <c r="T68" i="22"/>
  <c r="S68" i="22"/>
  <c r="R68" i="22"/>
  <c r="AB70" i="22"/>
  <c r="U70" i="22"/>
  <c r="T70" i="22"/>
  <c r="S70" i="22"/>
  <c r="R70" i="22"/>
  <c r="AB71" i="22"/>
  <c r="U71" i="22"/>
  <c r="T71" i="22"/>
  <c r="S71" i="22"/>
  <c r="R71" i="22"/>
  <c r="AB72" i="22"/>
  <c r="U72" i="22"/>
  <c r="T72" i="22"/>
  <c r="S72" i="22"/>
  <c r="R72" i="22"/>
  <c r="AB73" i="22"/>
  <c r="U73" i="22"/>
  <c r="T73" i="22"/>
  <c r="S73" i="22"/>
  <c r="R73" i="22"/>
  <c r="AB74" i="22"/>
  <c r="U74" i="22"/>
  <c r="T74" i="22"/>
  <c r="S74" i="22"/>
  <c r="R74" i="22"/>
  <c r="AB75" i="22"/>
  <c r="U75" i="22"/>
  <c r="T75" i="22"/>
  <c r="S75" i="22"/>
  <c r="R75" i="22"/>
  <c r="AB76" i="22"/>
  <c r="U76" i="22"/>
  <c r="T76" i="22"/>
  <c r="S76" i="22"/>
  <c r="R76" i="22"/>
  <c r="AM7" i="22"/>
  <c r="AN7" i="22" s="1"/>
  <c r="AM8" i="22"/>
  <c r="AN8" i="22" s="1"/>
  <c r="AS8" i="22" s="1"/>
  <c r="AM9" i="22"/>
  <c r="AN9" i="22" s="1"/>
  <c r="AS9" i="22" s="1"/>
  <c r="AM10" i="22"/>
  <c r="AN10" i="22" s="1"/>
  <c r="AS10" i="22" s="1"/>
  <c r="AM12" i="22"/>
  <c r="AN12" i="22" s="1"/>
  <c r="AM13" i="22"/>
  <c r="AN13" i="22" s="1"/>
  <c r="AS13" i="22" s="1"/>
  <c r="AM14" i="22"/>
  <c r="AN14" i="22" s="1"/>
  <c r="AS14" i="22" s="1"/>
  <c r="AM17" i="22"/>
  <c r="AN17" i="22" s="1"/>
  <c r="AM18" i="22"/>
  <c r="AN18" i="22" s="1"/>
  <c r="AS18" i="22" s="1"/>
  <c r="AM21" i="22"/>
  <c r="AN21" i="22" s="1"/>
  <c r="AS21" i="22" s="1"/>
  <c r="AM22" i="22"/>
  <c r="AN22" i="22" s="1"/>
  <c r="AS22" i="22" s="1"/>
  <c r="AM23" i="22"/>
  <c r="AN23" i="22" s="1"/>
  <c r="AS23" i="22" s="1"/>
  <c r="AM24" i="22"/>
  <c r="AN24" i="22" s="1"/>
  <c r="AM26" i="22"/>
  <c r="AN26" i="22" s="1"/>
  <c r="AS26" i="22" s="1"/>
  <c r="AM27" i="22"/>
  <c r="AN27" i="22" s="1"/>
  <c r="AM28" i="22"/>
  <c r="AN28" i="22" s="1"/>
  <c r="AS28" i="22" s="1"/>
  <c r="AM30" i="22"/>
  <c r="AN30" i="22" s="1"/>
  <c r="AM31" i="22"/>
  <c r="AN31" i="22" s="1"/>
  <c r="AS31" i="22" s="1"/>
  <c r="AM32" i="22"/>
  <c r="AN32" i="22" s="1"/>
  <c r="AS32" i="22" s="1"/>
  <c r="AM33" i="22"/>
  <c r="AN33" i="22" s="1"/>
  <c r="AS33" i="22" s="1"/>
  <c r="AM34" i="22"/>
  <c r="AN34" i="22" s="1"/>
  <c r="AS34" i="22" s="1"/>
  <c r="AM35" i="22"/>
  <c r="AN35" i="22" s="1"/>
  <c r="AS35" i="22" s="1"/>
  <c r="AM36" i="22"/>
  <c r="AN36" i="22" s="1"/>
  <c r="AS36" i="22" s="1"/>
  <c r="AM38" i="22"/>
  <c r="AN38" i="22" s="1"/>
  <c r="AS38" i="22" s="1"/>
  <c r="AS39" i="22" s="1"/>
  <c r="DJ16" i="18" s="1"/>
  <c r="AM41" i="22"/>
  <c r="AN41" i="22" s="1"/>
  <c r="AS41" i="22" s="1"/>
  <c r="AM42" i="22"/>
  <c r="AN42" i="22" s="1"/>
  <c r="AM43" i="22"/>
  <c r="AN43" i="22" s="1"/>
  <c r="AS43" i="22" s="1"/>
  <c r="AM46" i="22"/>
  <c r="AN46" i="22" s="1"/>
  <c r="AS46" i="22" s="1"/>
  <c r="AM47" i="22"/>
  <c r="AN47" i="22" s="1"/>
  <c r="AS47" i="22" s="1"/>
  <c r="AM48" i="22"/>
  <c r="AN48" i="22" s="1"/>
  <c r="AS48" i="22" s="1"/>
  <c r="AM49" i="22"/>
  <c r="AN49" i="22" s="1"/>
  <c r="AM51" i="22"/>
  <c r="AN51" i="22" s="1"/>
  <c r="AS51" i="22" s="1"/>
  <c r="AM52" i="22"/>
  <c r="AN52" i="22" s="1"/>
  <c r="AS52" i="22" s="1"/>
  <c r="AM53" i="22"/>
  <c r="AN53" i="22" s="1"/>
  <c r="AS53" i="22" s="1"/>
  <c r="AM54" i="22"/>
  <c r="AN54" i="22" s="1"/>
  <c r="AM55" i="22"/>
  <c r="AN55" i="22" s="1"/>
  <c r="AS55" i="22" s="1"/>
  <c r="AM57" i="22"/>
  <c r="AN57" i="22" s="1"/>
  <c r="AS57" i="22" s="1"/>
  <c r="AM58" i="22"/>
  <c r="AN58" i="22" s="1"/>
  <c r="AS58" i="22" s="1"/>
  <c r="AM59" i="22"/>
  <c r="AN59" i="22" s="1"/>
  <c r="AM62" i="22"/>
  <c r="AN62" i="22" s="1"/>
  <c r="AM63" i="22"/>
  <c r="AN63" i="22" s="1"/>
  <c r="AS63" i="22" s="1"/>
  <c r="AM64" i="22"/>
  <c r="AN64" i="22" s="1"/>
  <c r="AS64" i="22" s="1"/>
  <c r="AM65" i="22"/>
  <c r="AN65" i="22" s="1"/>
  <c r="AS65" i="22" s="1"/>
  <c r="AM66" i="22"/>
  <c r="AN66" i="22" s="1"/>
  <c r="AS66" i="22" s="1"/>
  <c r="AM67" i="22"/>
  <c r="AN67" i="22" s="1"/>
  <c r="AS67" i="22" s="1"/>
  <c r="AM68" i="22"/>
  <c r="AN68" i="22" s="1"/>
  <c r="AS68" i="22" s="1"/>
  <c r="AM69" i="22"/>
  <c r="AN69" i="22" s="1"/>
  <c r="AS69" i="22" s="1"/>
  <c r="AM70" i="22"/>
  <c r="AN70" i="22" s="1"/>
  <c r="AS70" i="22" s="1"/>
  <c r="AM71" i="22"/>
  <c r="AN71" i="22" s="1"/>
  <c r="AS71" i="22" s="1"/>
  <c r="AM72" i="22"/>
  <c r="AN72" i="22" s="1"/>
  <c r="AS72" i="22" s="1"/>
  <c r="AM73" i="22"/>
  <c r="AN73" i="22" s="1"/>
  <c r="AS73" i="22" s="1"/>
  <c r="AM74" i="22"/>
  <c r="AN74" i="22" s="1"/>
  <c r="AS74" i="22" s="1"/>
  <c r="AM75" i="22"/>
  <c r="AN75" i="22" s="1"/>
  <c r="AS75" i="22" s="1"/>
  <c r="AM76" i="22"/>
  <c r="AN76" i="22" s="1"/>
  <c r="AS76" i="22" s="1"/>
  <c r="DL22" i="18"/>
  <c r="DM8" i="18"/>
  <c r="DM9" i="18"/>
  <c r="DM11" i="18"/>
  <c r="DM10" i="18" s="1"/>
  <c r="DM13" i="18"/>
  <c r="DM14" i="18"/>
  <c r="DM15" i="18"/>
  <c r="DM16" i="18"/>
  <c r="DM18" i="18"/>
  <c r="DM17" i="18" s="1"/>
  <c r="DM20" i="18"/>
  <c r="DM21" i="18"/>
  <c r="DM22" i="18"/>
  <c r="DN8" i="18"/>
  <c r="DN9" i="18"/>
  <c r="DN11" i="18"/>
  <c r="DN10" i="18" s="1"/>
  <c r="DN13" i="18"/>
  <c r="DN14" i="18"/>
  <c r="DN15" i="18"/>
  <c r="DN16" i="18"/>
  <c r="DN18" i="18"/>
  <c r="DN17" i="18" s="1"/>
  <c r="DN20" i="18"/>
  <c r="DN21" i="18"/>
  <c r="DN22" i="18"/>
  <c r="DN24" i="18"/>
  <c r="DN23" i="18" s="1"/>
  <c r="DO8" i="18"/>
  <c r="DO9" i="18"/>
  <c r="DO11" i="18"/>
  <c r="DO10" i="18" s="1"/>
  <c r="DO13" i="18"/>
  <c r="DO14" i="18"/>
  <c r="DO15" i="18"/>
  <c r="DO16" i="18"/>
  <c r="DO18" i="18"/>
  <c r="DO17" i="18" s="1"/>
  <c r="DO20" i="18"/>
  <c r="DO21" i="18"/>
  <c r="DO22" i="18"/>
  <c r="DO24" i="18"/>
  <c r="DO23" i="18" s="1"/>
  <c r="DP8" i="18"/>
  <c r="DP9" i="18"/>
  <c r="DP11" i="18"/>
  <c r="DP10" i="18" s="1"/>
  <c r="DP13" i="18"/>
  <c r="DP14" i="18"/>
  <c r="DP15" i="18"/>
  <c r="DP16" i="18"/>
  <c r="DP18" i="18"/>
  <c r="DP17" i="18" s="1"/>
  <c r="DP20" i="18"/>
  <c r="DP22" i="18"/>
  <c r="DQ8" i="18"/>
  <c r="DQ9" i="18"/>
  <c r="DQ11" i="18"/>
  <c r="DQ10" i="18" s="1"/>
  <c r="DQ13" i="18"/>
  <c r="DQ14" i="18"/>
  <c r="DQ15" i="18"/>
  <c r="DQ16" i="18"/>
  <c r="DQ20" i="18"/>
  <c r="DQ21" i="18"/>
  <c r="DQ22" i="18"/>
  <c r="DQ24" i="18"/>
  <c r="DQ23" i="18" s="1"/>
  <c r="DR8" i="18"/>
  <c r="DR9" i="18"/>
  <c r="DR11" i="18"/>
  <c r="DR10" i="18" s="1"/>
  <c r="DR13" i="18"/>
  <c r="DR14" i="18"/>
  <c r="DR15" i="18"/>
  <c r="DR16" i="18"/>
  <c r="DR18" i="18"/>
  <c r="DR17" i="18" s="1"/>
  <c r="DR20" i="18"/>
  <c r="DR21" i="18"/>
  <c r="DR22" i="18"/>
  <c r="DR24" i="18"/>
  <c r="DR23" i="18" s="1"/>
  <c r="L7" i="23"/>
  <c r="M7" i="23" s="1"/>
  <c r="AQ7" i="23" s="1"/>
  <c r="AU7" i="23" s="1"/>
  <c r="L8" i="23"/>
  <c r="M8" i="23" s="1"/>
  <c r="AQ8" i="23" s="1"/>
  <c r="AU8" i="23" s="1"/>
  <c r="L9" i="23"/>
  <c r="M9" i="23" s="1"/>
  <c r="L10" i="23"/>
  <c r="M10" i="23" s="1"/>
  <c r="AQ10" i="23" s="1"/>
  <c r="AU10" i="23" s="1"/>
  <c r="L12" i="23"/>
  <c r="M12" i="23" s="1"/>
  <c r="L13" i="23"/>
  <c r="M13" i="23" s="1"/>
  <c r="AQ13" i="23" s="1"/>
  <c r="AU13" i="23" s="1"/>
  <c r="L14" i="23"/>
  <c r="M14" i="23" s="1"/>
  <c r="AQ14" i="23" s="1"/>
  <c r="AU14" i="23" s="1"/>
  <c r="L17" i="23"/>
  <c r="M17" i="23" s="1"/>
  <c r="AQ17" i="23" s="1"/>
  <c r="L18" i="23"/>
  <c r="M18" i="23" s="1"/>
  <c r="L21" i="23"/>
  <c r="M21" i="23" s="1"/>
  <c r="L22" i="23"/>
  <c r="M22" i="23" s="1"/>
  <c r="AQ22" i="23" s="1"/>
  <c r="L23" i="23"/>
  <c r="M23" i="23" s="1"/>
  <c r="AQ23" i="23" s="1"/>
  <c r="L24" i="23"/>
  <c r="M24" i="23" s="1"/>
  <c r="AQ24" i="23" s="1"/>
  <c r="L26" i="23"/>
  <c r="M26" i="23" s="1"/>
  <c r="L27" i="23"/>
  <c r="M27" i="23" s="1"/>
  <c r="AQ27" i="23" s="1"/>
  <c r="L28" i="23"/>
  <c r="M28" i="23" s="1"/>
  <c r="AQ28" i="23" s="1"/>
  <c r="L30" i="23"/>
  <c r="M30" i="23" s="1"/>
  <c r="AQ30" i="23" s="1"/>
  <c r="L31" i="23"/>
  <c r="M31" i="23" s="1"/>
  <c r="L32" i="23"/>
  <c r="M32" i="23" s="1"/>
  <c r="AQ32" i="23" s="1"/>
  <c r="L33" i="23"/>
  <c r="M33" i="23" s="1"/>
  <c r="AQ33" i="23" s="1"/>
  <c r="L34" i="23"/>
  <c r="M34" i="23" s="1"/>
  <c r="AQ34" i="23" s="1"/>
  <c r="L35" i="23"/>
  <c r="M35" i="23" s="1"/>
  <c r="AQ35" i="23" s="1"/>
  <c r="L36" i="23"/>
  <c r="M36" i="23" s="1"/>
  <c r="AQ36" i="23" s="1"/>
  <c r="L38" i="23"/>
  <c r="M38" i="23" s="1"/>
  <c r="L41" i="23"/>
  <c r="M41" i="23" s="1"/>
  <c r="AQ41" i="23" s="1"/>
  <c r="AU41" i="23" s="1"/>
  <c r="L42" i="23"/>
  <c r="M42" i="23" s="1"/>
  <c r="AQ42" i="23" s="1"/>
  <c r="AU42" i="23" s="1"/>
  <c r="L43" i="23"/>
  <c r="M43" i="23" s="1"/>
  <c r="L46" i="23"/>
  <c r="M46" i="23" s="1"/>
  <c r="L47" i="23"/>
  <c r="M47" i="23" s="1"/>
  <c r="AQ47" i="23" s="1"/>
  <c r="L48" i="23"/>
  <c r="M48" i="23" s="1"/>
  <c r="AQ48" i="23" s="1"/>
  <c r="L49" i="23"/>
  <c r="M49" i="23" s="1"/>
  <c r="AQ49" i="23" s="1"/>
  <c r="L51" i="23"/>
  <c r="M51" i="23" s="1"/>
  <c r="L52" i="23"/>
  <c r="M52" i="23" s="1"/>
  <c r="AQ52" i="23" s="1"/>
  <c r="L53" i="23"/>
  <c r="M53" i="23" s="1"/>
  <c r="AQ53" i="23" s="1"/>
  <c r="AU53" i="23" s="1"/>
  <c r="L54" i="23"/>
  <c r="M54" i="23" s="1"/>
  <c r="AQ54" i="23" s="1"/>
  <c r="AU54" i="23" s="1"/>
  <c r="L55" i="23"/>
  <c r="M55" i="23" s="1"/>
  <c r="AQ55" i="23" s="1"/>
  <c r="AU55" i="23" s="1"/>
  <c r="L57" i="23"/>
  <c r="M57" i="23" s="1"/>
  <c r="AQ57" i="23" s="1"/>
  <c r="L58" i="23"/>
  <c r="M58" i="23" s="1"/>
  <c r="AQ58" i="23" s="1"/>
  <c r="L59" i="23"/>
  <c r="M59" i="23" s="1"/>
  <c r="AQ59" i="23" s="1"/>
  <c r="L62" i="23"/>
  <c r="M62" i="23" s="1"/>
  <c r="AQ62" i="23" s="1"/>
  <c r="AU62" i="23" s="1"/>
  <c r="L63" i="23"/>
  <c r="M63" i="23" s="1"/>
  <c r="AQ63" i="23" s="1"/>
  <c r="L64" i="23"/>
  <c r="M64" i="23" s="1"/>
  <c r="AQ64" i="23" s="1"/>
  <c r="L65" i="23"/>
  <c r="M65" i="23" s="1"/>
  <c r="L66" i="23"/>
  <c r="M66" i="23" s="1"/>
  <c r="AQ66" i="23" s="1"/>
  <c r="L67" i="23"/>
  <c r="M67" i="23" s="1"/>
  <c r="AQ67" i="23" s="1"/>
  <c r="L68" i="23"/>
  <c r="M68" i="23" s="1"/>
  <c r="AQ68" i="23" s="1"/>
  <c r="AV68" i="23" s="1"/>
  <c r="AV77" i="23" s="1"/>
  <c r="L69" i="23"/>
  <c r="M69" i="23" s="1"/>
  <c r="AQ69" i="23" s="1"/>
  <c r="L70" i="23"/>
  <c r="M70" i="23" s="1"/>
  <c r="AQ70" i="23" s="1"/>
  <c r="AU70" i="23" s="1"/>
  <c r="L71" i="23"/>
  <c r="M71" i="23" s="1"/>
  <c r="AQ71" i="23" s="1"/>
  <c r="AU71" i="23" s="1"/>
  <c r="L72" i="23"/>
  <c r="M72" i="23" s="1"/>
  <c r="AQ72" i="23" s="1"/>
  <c r="AU72" i="23" s="1"/>
  <c r="L73" i="23"/>
  <c r="M73" i="23" s="1"/>
  <c r="AQ73" i="23" s="1"/>
  <c r="AU73" i="23" s="1"/>
  <c r="L74" i="23"/>
  <c r="M74" i="23" s="1"/>
  <c r="AQ74" i="23" s="1"/>
  <c r="L75" i="23"/>
  <c r="M75" i="23" s="1"/>
  <c r="AQ75" i="23" s="1"/>
  <c r="L76" i="23"/>
  <c r="M76" i="23" s="1"/>
  <c r="AQ76" i="23" s="1"/>
  <c r="AU76" i="23" s="1"/>
  <c r="AB7" i="23"/>
  <c r="U7" i="23"/>
  <c r="T7" i="23"/>
  <c r="S7" i="23"/>
  <c r="R7" i="23"/>
  <c r="AB8" i="23"/>
  <c r="U8" i="23"/>
  <c r="T8" i="23"/>
  <c r="S8" i="23"/>
  <c r="R8" i="23"/>
  <c r="AB9" i="23"/>
  <c r="U9" i="23"/>
  <c r="T9" i="23"/>
  <c r="S9" i="23"/>
  <c r="R9" i="23"/>
  <c r="AB10" i="23"/>
  <c r="U10" i="23"/>
  <c r="T10" i="23"/>
  <c r="S10" i="23"/>
  <c r="R10" i="23"/>
  <c r="AB12" i="23"/>
  <c r="U12" i="23"/>
  <c r="T12" i="23"/>
  <c r="S12" i="23"/>
  <c r="R12" i="23"/>
  <c r="AB13" i="23"/>
  <c r="U13" i="23"/>
  <c r="T13" i="23"/>
  <c r="S13" i="23"/>
  <c r="R13" i="23"/>
  <c r="AB14" i="23"/>
  <c r="U14" i="23"/>
  <c r="T14" i="23"/>
  <c r="S14" i="23"/>
  <c r="R14" i="23"/>
  <c r="AB17" i="23"/>
  <c r="U17" i="23"/>
  <c r="T17" i="23"/>
  <c r="S17" i="23"/>
  <c r="R17" i="23"/>
  <c r="AB18" i="23"/>
  <c r="U18" i="23"/>
  <c r="T18" i="23"/>
  <c r="S18" i="23"/>
  <c r="R18" i="23"/>
  <c r="AB21" i="23"/>
  <c r="U21" i="23"/>
  <c r="T21" i="23"/>
  <c r="S21" i="23"/>
  <c r="R21" i="23"/>
  <c r="AB22" i="23"/>
  <c r="U22" i="23"/>
  <c r="T22" i="23"/>
  <c r="S22" i="23"/>
  <c r="R22" i="23"/>
  <c r="AB23" i="23"/>
  <c r="U23" i="23"/>
  <c r="T23" i="23"/>
  <c r="S23" i="23"/>
  <c r="R23" i="23"/>
  <c r="AB24" i="23"/>
  <c r="U24" i="23"/>
  <c r="T24" i="23"/>
  <c r="S24" i="23"/>
  <c r="R24" i="23"/>
  <c r="AB26" i="23"/>
  <c r="U26" i="23"/>
  <c r="T26" i="23"/>
  <c r="S26" i="23"/>
  <c r="R26" i="23"/>
  <c r="AB27" i="23"/>
  <c r="U27" i="23"/>
  <c r="T27" i="23"/>
  <c r="S27" i="23"/>
  <c r="R27" i="23"/>
  <c r="AB28" i="23"/>
  <c r="U28" i="23"/>
  <c r="T28" i="23"/>
  <c r="S28" i="23"/>
  <c r="R28" i="23"/>
  <c r="AB30" i="23"/>
  <c r="U30" i="23"/>
  <c r="T30" i="23"/>
  <c r="S30" i="23"/>
  <c r="R30" i="23"/>
  <c r="AB31" i="23"/>
  <c r="U31" i="23"/>
  <c r="T31" i="23"/>
  <c r="S31" i="23"/>
  <c r="R31" i="23"/>
  <c r="AB32" i="23"/>
  <c r="U32" i="23"/>
  <c r="T32" i="23"/>
  <c r="S32" i="23"/>
  <c r="R32" i="23"/>
  <c r="AB33" i="23"/>
  <c r="U33" i="23"/>
  <c r="U37" i="23" s="1"/>
  <c r="T33" i="23"/>
  <c r="S33" i="23"/>
  <c r="R33" i="23"/>
  <c r="AB34" i="23"/>
  <c r="U34" i="23"/>
  <c r="T34" i="23"/>
  <c r="S34" i="23"/>
  <c r="R34" i="23"/>
  <c r="AB35" i="23"/>
  <c r="U35" i="23"/>
  <c r="T35" i="23"/>
  <c r="S35" i="23"/>
  <c r="R35" i="23"/>
  <c r="AB36" i="23"/>
  <c r="U36" i="23"/>
  <c r="T36" i="23"/>
  <c r="S36" i="23"/>
  <c r="R36" i="23"/>
  <c r="AB38" i="23"/>
  <c r="U38" i="23"/>
  <c r="T38" i="23"/>
  <c r="S38" i="23"/>
  <c r="R38" i="23"/>
  <c r="AB41" i="23"/>
  <c r="AB44" i="23" s="1"/>
  <c r="AB40" i="23" s="1"/>
  <c r="U41" i="23"/>
  <c r="T41" i="23"/>
  <c r="S41" i="23"/>
  <c r="R41" i="23"/>
  <c r="R44" i="23" s="1"/>
  <c r="R40" i="23" s="1"/>
  <c r="AB42" i="23"/>
  <c r="U42" i="23"/>
  <c r="T42" i="23"/>
  <c r="S42" i="23"/>
  <c r="S44" i="23" s="1"/>
  <c r="S40" i="23" s="1"/>
  <c r="R42" i="23"/>
  <c r="AB43" i="23"/>
  <c r="U43" i="23"/>
  <c r="T43" i="23"/>
  <c r="T44" i="23" s="1"/>
  <c r="T40" i="23" s="1"/>
  <c r="S43" i="23"/>
  <c r="R43" i="23"/>
  <c r="AB46" i="23"/>
  <c r="U46" i="23"/>
  <c r="T46" i="23"/>
  <c r="S46" i="23"/>
  <c r="R46" i="23"/>
  <c r="AB47" i="23"/>
  <c r="U47" i="23"/>
  <c r="T47" i="23"/>
  <c r="S47" i="23"/>
  <c r="R47" i="23"/>
  <c r="AB48" i="23"/>
  <c r="U48" i="23"/>
  <c r="T48" i="23"/>
  <c r="S48" i="23"/>
  <c r="R48" i="23"/>
  <c r="AB49" i="23"/>
  <c r="U49" i="23"/>
  <c r="T49" i="23"/>
  <c r="S49" i="23"/>
  <c r="R49" i="23"/>
  <c r="AB51" i="23"/>
  <c r="U51" i="23"/>
  <c r="T51" i="23"/>
  <c r="S51" i="23"/>
  <c r="R51" i="23"/>
  <c r="AB52" i="23"/>
  <c r="U52" i="23"/>
  <c r="T52" i="23"/>
  <c r="S52" i="23"/>
  <c r="R52" i="23"/>
  <c r="AB53" i="23"/>
  <c r="U53" i="23"/>
  <c r="T53" i="23"/>
  <c r="S53" i="23"/>
  <c r="R53" i="23"/>
  <c r="AB54" i="23"/>
  <c r="U54" i="23"/>
  <c r="T54" i="23"/>
  <c r="AE54" i="23" s="1"/>
  <c r="AF54" i="23" s="1"/>
  <c r="AR54" i="23" s="1"/>
  <c r="S54" i="23"/>
  <c r="R54" i="23"/>
  <c r="AB55" i="23"/>
  <c r="U55" i="23"/>
  <c r="T55" i="23"/>
  <c r="S55" i="23"/>
  <c r="R55" i="23"/>
  <c r="AB57" i="23"/>
  <c r="U57" i="23"/>
  <c r="T57" i="23"/>
  <c r="S57" i="23"/>
  <c r="R57" i="23"/>
  <c r="AB58" i="23"/>
  <c r="U58" i="23"/>
  <c r="T58" i="23"/>
  <c r="S58" i="23"/>
  <c r="R58" i="23"/>
  <c r="AB59" i="23"/>
  <c r="U59" i="23"/>
  <c r="T59" i="23"/>
  <c r="S59" i="23"/>
  <c r="R59" i="23"/>
  <c r="AB62" i="23"/>
  <c r="U62" i="23"/>
  <c r="T62" i="23"/>
  <c r="S62" i="23"/>
  <c r="R62" i="23"/>
  <c r="AB63" i="23"/>
  <c r="U63" i="23"/>
  <c r="T63" i="23"/>
  <c r="S63" i="23"/>
  <c r="R63" i="23"/>
  <c r="AB64" i="23"/>
  <c r="U64" i="23"/>
  <c r="T64" i="23"/>
  <c r="S64" i="23"/>
  <c r="R64" i="23"/>
  <c r="AB65" i="23"/>
  <c r="U65" i="23"/>
  <c r="T65" i="23"/>
  <c r="S65" i="23"/>
  <c r="R65" i="23"/>
  <c r="AB66" i="23"/>
  <c r="U66" i="23"/>
  <c r="T66" i="23"/>
  <c r="S66" i="23"/>
  <c r="R66" i="23"/>
  <c r="AB67" i="23"/>
  <c r="U67" i="23"/>
  <c r="T67" i="23"/>
  <c r="S67" i="23"/>
  <c r="R67" i="23"/>
  <c r="AB68" i="23"/>
  <c r="U68" i="23"/>
  <c r="T68" i="23"/>
  <c r="S68" i="23"/>
  <c r="R68" i="23"/>
  <c r="AB70" i="23"/>
  <c r="U70" i="23"/>
  <c r="T70" i="23"/>
  <c r="S70" i="23"/>
  <c r="R70" i="23"/>
  <c r="AB71" i="23"/>
  <c r="U71" i="23"/>
  <c r="T71" i="23"/>
  <c r="S71" i="23"/>
  <c r="R71" i="23"/>
  <c r="AB72" i="23"/>
  <c r="U72" i="23"/>
  <c r="T72" i="23"/>
  <c r="S72" i="23"/>
  <c r="R72" i="23"/>
  <c r="AB73" i="23"/>
  <c r="U73" i="23"/>
  <c r="T73" i="23"/>
  <c r="S73" i="23"/>
  <c r="R73" i="23"/>
  <c r="AB74" i="23"/>
  <c r="U74" i="23"/>
  <c r="T74" i="23"/>
  <c r="S74" i="23"/>
  <c r="R74" i="23"/>
  <c r="AB75" i="23"/>
  <c r="U75" i="23"/>
  <c r="T75" i="23"/>
  <c r="S75" i="23"/>
  <c r="R75" i="23"/>
  <c r="AB76" i="23"/>
  <c r="U76" i="23"/>
  <c r="T76" i="23"/>
  <c r="S76" i="23"/>
  <c r="R76" i="23"/>
  <c r="AM7" i="23"/>
  <c r="AN7" i="23" s="1"/>
  <c r="AS7" i="23" s="1"/>
  <c r="AM8" i="23"/>
  <c r="AN8" i="23" s="1"/>
  <c r="AS8" i="23" s="1"/>
  <c r="AM9" i="23"/>
  <c r="AN9" i="23" s="1"/>
  <c r="AS9" i="23" s="1"/>
  <c r="AM10" i="23"/>
  <c r="AN10" i="23" s="1"/>
  <c r="AS10" i="23" s="1"/>
  <c r="AM12" i="23"/>
  <c r="AN12" i="23" s="1"/>
  <c r="AS12" i="23" s="1"/>
  <c r="AM13" i="23"/>
  <c r="AN13" i="23" s="1"/>
  <c r="AS13" i="23" s="1"/>
  <c r="AM14" i="23"/>
  <c r="AN14" i="23" s="1"/>
  <c r="AM17" i="23"/>
  <c r="AN17" i="23" s="1"/>
  <c r="AS17" i="23" s="1"/>
  <c r="AM18" i="23"/>
  <c r="AN18" i="23" s="1"/>
  <c r="AS18" i="23" s="1"/>
  <c r="AM21" i="23"/>
  <c r="AN21" i="23" s="1"/>
  <c r="AS21" i="23" s="1"/>
  <c r="AM22" i="23"/>
  <c r="AN22" i="23" s="1"/>
  <c r="AS22" i="23" s="1"/>
  <c r="AM23" i="23"/>
  <c r="AN23" i="23" s="1"/>
  <c r="AS23" i="23" s="1"/>
  <c r="AM24" i="23"/>
  <c r="AN24" i="23" s="1"/>
  <c r="AM26" i="23"/>
  <c r="AN26" i="23" s="1"/>
  <c r="AS26" i="23" s="1"/>
  <c r="AM27" i="23"/>
  <c r="AN27" i="23" s="1"/>
  <c r="AM28" i="23"/>
  <c r="AN28" i="23" s="1"/>
  <c r="AS28" i="23" s="1"/>
  <c r="AM30" i="23"/>
  <c r="AN30" i="23" s="1"/>
  <c r="AM31" i="23"/>
  <c r="AN31" i="23" s="1"/>
  <c r="AS31" i="23" s="1"/>
  <c r="AM32" i="23"/>
  <c r="AN32" i="23" s="1"/>
  <c r="AS32" i="23" s="1"/>
  <c r="AM33" i="23"/>
  <c r="AN33" i="23" s="1"/>
  <c r="AS33" i="23" s="1"/>
  <c r="AM34" i="23"/>
  <c r="AN34" i="23" s="1"/>
  <c r="AS34" i="23" s="1"/>
  <c r="AM35" i="23"/>
  <c r="AN35" i="23" s="1"/>
  <c r="AS35" i="23" s="1"/>
  <c r="AM36" i="23"/>
  <c r="AN36" i="23" s="1"/>
  <c r="AS36" i="23" s="1"/>
  <c r="AM38" i="23"/>
  <c r="AN38" i="23" s="1"/>
  <c r="AS38" i="23" s="1"/>
  <c r="AS39" i="23" s="1"/>
  <c r="DW16" i="18" s="1"/>
  <c r="AM41" i="23"/>
  <c r="AN41" i="23" s="1"/>
  <c r="AS41" i="23" s="1"/>
  <c r="AM42" i="23"/>
  <c r="AN42" i="23" s="1"/>
  <c r="AM43" i="23"/>
  <c r="AN43" i="23" s="1"/>
  <c r="AS43" i="23" s="1"/>
  <c r="AM46" i="23"/>
  <c r="AN46" i="23" s="1"/>
  <c r="AS46" i="23" s="1"/>
  <c r="AM47" i="23"/>
  <c r="AN47" i="23" s="1"/>
  <c r="AM48" i="23"/>
  <c r="AN48" i="23" s="1"/>
  <c r="AS48" i="23" s="1"/>
  <c r="AM49" i="23"/>
  <c r="AN49" i="23" s="1"/>
  <c r="AS49" i="23" s="1"/>
  <c r="AM51" i="23"/>
  <c r="AN51" i="23" s="1"/>
  <c r="AS51" i="23" s="1"/>
  <c r="AM52" i="23"/>
  <c r="AN52" i="23" s="1"/>
  <c r="AS52" i="23" s="1"/>
  <c r="AM53" i="23"/>
  <c r="AN53" i="23" s="1"/>
  <c r="AS53" i="23" s="1"/>
  <c r="AM54" i="23"/>
  <c r="AN54" i="23" s="1"/>
  <c r="AM55" i="23"/>
  <c r="AN55" i="23" s="1"/>
  <c r="AS55" i="23" s="1"/>
  <c r="AM57" i="23"/>
  <c r="AN57" i="23" s="1"/>
  <c r="AM58" i="23"/>
  <c r="AN58" i="23" s="1"/>
  <c r="AS58" i="23" s="1"/>
  <c r="AM59" i="23"/>
  <c r="AN59" i="23" s="1"/>
  <c r="AS59" i="23" s="1"/>
  <c r="AM62" i="23"/>
  <c r="AN62" i="23" s="1"/>
  <c r="AS62" i="23" s="1"/>
  <c r="AM63" i="23"/>
  <c r="AN63" i="23" s="1"/>
  <c r="AS63" i="23" s="1"/>
  <c r="AM64" i="23"/>
  <c r="AN64" i="23" s="1"/>
  <c r="AS64" i="23" s="1"/>
  <c r="AM65" i="23"/>
  <c r="AN65" i="23" s="1"/>
  <c r="AS65" i="23" s="1"/>
  <c r="AM66" i="23"/>
  <c r="AN66" i="23" s="1"/>
  <c r="AS66" i="23" s="1"/>
  <c r="AM67" i="23"/>
  <c r="AN67" i="23" s="1"/>
  <c r="AS67" i="23" s="1"/>
  <c r="AM68" i="23"/>
  <c r="AN68" i="23" s="1"/>
  <c r="AM69" i="23"/>
  <c r="AN69" i="23" s="1"/>
  <c r="AS69" i="23" s="1"/>
  <c r="AM70" i="23"/>
  <c r="AN70" i="23" s="1"/>
  <c r="AS70" i="23" s="1"/>
  <c r="AM71" i="23"/>
  <c r="AN71" i="23" s="1"/>
  <c r="AS71" i="23" s="1"/>
  <c r="AM72" i="23"/>
  <c r="AN72" i="23" s="1"/>
  <c r="AS72" i="23" s="1"/>
  <c r="AM73" i="23"/>
  <c r="AN73" i="23" s="1"/>
  <c r="AS73" i="23" s="1"/>
  <c r="AM74" i="23"/>
  <c r="AN74" i="23" s="1"/>
  <c r="AS74" i="23" s="1"/>
  <c r="AM75" i="23"/>
  <c r="AN75" i="23" s="1"/>
  <c r="AS75" i="23" s="1"/>
  <c r="AM76" i="23"/>
  <c r="AN76" i="23" s="1"/>
  <c r="AS76" i="23" s="1"/>
  <c r="DY22" i="18"/>
  <c r="DZ8" i="18"/>
  <c r="DZ9" i="18"/>
  <c r="DZ11" i="18"/>
  <c r="DZ10" i="18" s="1"/>
  <c r="DZ13" i="18"/>
  <c r="DZ14" i="18"/>
  <c r="DZ15" i="18"/>
  <c r="DZ16" i="18"/>
  <c r="DZ18" i="18"/>
  <c r="DZ17" i="18" s="1"/>
  <c r="DZ20" i="18"/>
  <c r="DZ21" i="18"/>
  <c r="DZ22" i="18"/>
  <c r="EA8" i="18"/>
  <c r="EA9" i="18"/>
  <c r="EA11" i="18"/>
  <c r="EA10" i="18" s="1"/>
  <c r="EA13" i="18"/>
  <c r="EA14" i="18"/>
  <c r="EA15" i="18"/>
  <c r="EA16" i="18"/>
  <c r="EA18" i="18"/>
  <c r="EA17" i="18" s="1"/>
  <c r="EA20" i="18"/>
  <c r="EA21" i="18"/>
  <c r="EA22" i="18"/>
  <c r="EA24" i="18"/>
  <c r="EA23" i="18" s="1"/>
  <c r="EB8" i="18"/>
  <c r="EB9" i="18"/>
  <c r="EB11" i="18"/>
  <c r="EB10" i="18" s="1"/>
  <c r="EB13" i="18"/>
  <c r="EB14" i="18"/>
  <c r="EB15" i="18"/>
  <c r="EB16" i="18"/>
  <c r="EB18" i="18"/>
  <c r="EB17" i="18" s="1"/>
  <c r="EB20" i="18"/>
  <c r="EB21" i="18"/>
  <c r="EB22" i="18"/>
  <c r="EB24" i="18"/>
  <c r="EB23" i="18" s="1"/>
  <c r="EC8" i="18"/>
  <c r="EC9" i="18"/>
  <c r="EC11" i="18"/>
  <c r="EC10" i="18" s="1"/>
  <c r="EC13" i="18"/>
  <c r="EC14" i="18"/>
  <c r="EC15" i="18"/>
  <c r="EC16" i="18"/>
  <c r="EC18" i="18"/>
  <c r="EC17" i="18" s="1"/>
  <c r="EC20" i="18"/>
  <c r="EC22" i="18"/>
  <c r="ED8" i="18"/>
  <c r="ED9" i="18"/>
  <c r="ED11" i="18"/>
  <c r="ED10" i="18" s="1"/>
  <c r="ED13" i="18"/>
  <c r="ED14" i="18"/>
  <c r="ED15" i="18"/>
  <c r="ED16" i="18"/>
  <c r="ED20" i="18"/>
  <c r="ED21" i="18"/>
  <c r="ED22" i="18"/>
  <c r="ED24" i="18"/>
  <c r="ED23" i="18" s="1"/>
  <c r="EE8" i="18"/>
  <c r="EE9" i="18"/>
  <c r="EE11" i="18"/>
  <c r="EE10" i="18" s="1"/>
  <c r="EE13" i="18"/>
  <c r="EE14" i="18"/>
  <c r="EE15" i="18"/>
  <c r="EE16" i="18"/>
  <c r="EE18" i="18"/>
  <c r="EE17" i="18" s="1"/>
  <c r="EE20" i="18"/>
  <c r="EE21" i="18"/>
  <c r="EE22" i="18"/>
  <c r="EE24" i="18"/>
  <c r="EE23" i="18" s="1"/>
  <c r="C7" i="18"/>
  <c r="E8" i="18"/>
  <c r="F8" i="18"/>
  <c r="G8" i="18"/>
  <c r="E9" i="18"/>
  <c r="F9" i="18"/>
  <c r="G9" i="18"/>
  <c r="C10" i="18"/>
  <c r="E11" i="18"/>
  <c r="F11" i="18"/>
  <c r="G11" i="18"/>
  <c r="C12" i="18"/>
  <c r="E13" i="18"/>
  <c r="F13" i="18"/>
  <c r="G13" i="18"/>
  <c r="E14" i="18"/>
  <c r="F14" i="18"/>
  <c r="G14" i="18"/>
  <c r="E15" i="18"/>
  <c r="F15" i="18"/>
  <c r="G15" i="18"/>
  <c r="E16" i="18"/>
  <c r="F16" i="18"/>
  <c r="G16" i="18"/>
  <c r="C17" i="18"/>
  <c r="E18" i="18"/>
  <c r="F18" i="18"/>
  <c r="G18" i="18"/>
  <c r="C19" i="18"/>
  <c r="E20" i="18"/>
  <c r="F20" i="18"/>
  <c r="G20" i="18"/>
  <c r="E21" i="18"/>
  <c r="F21" i="18"/>
  <c r="G21" i="18"/>
  <c r="E22" i="18"/>
  <c r="F22" i="18"/>
  <c r="G22" i="18"/>
  <c r="C23" i="18"/>
  <c r="E24" i="18"/>
  <c r="F24" i="18"/>
  <c r="G24" i="18"/>
  <c r="B25" i="18"/>
  <c r="L80" i="1"/>
  <c r="L81" i="1"/>
  <c r="M81" i="1" s="1"/>
  <c r="AQ81" i="1" s="1"/>
  <c r="L82" i="1"/>
  <c r="M82" i="1" s="1"/>
  <c r="AQ82" i="1" s="1"/>
  <c r="L84" i="1"/>
  <c r="M84" i="1" s="1"/>
  <c r="AQ84" i="1" s="1"/>
  <c r="L86" i="1"/>
  <c r="L87" i="1"/>
  <c r="M87" i="1" s="1"/>
  <c r="L89" i="1"/>
  <c r="L90" i="1"/>
  <c r="M90" i="1" s="1"/>
  <c r="L91" i="1"/>
  <c r="M91" i="1" s="1"/>
  <c r="AQ91" i="1" s="1"/>
  <c r="L94" i="1"/>
  <c r="L95" i="1"/>
  <c r="M95" i="1" s="1"/>
  <c r="L96" i="1"/>
  <c r="M96" i="1" s="1"/>
  <c r="AQ96" i="1" s="1"/>
  <c r="L97" i="1"/>
  <c r="M97" i="1" s="1"/>
  <c r="AQ97" i="1" s="1"/>
  <c r="L98" i="1"/>
  <c r="M98" i="1" s="1"/>
  <c r="AQ98" i="1" s="1"/>
  <c r="L101" i="1"/>
  <c r="L102" i="1"/>
  <c r="M102" i="1" s="1"/>
  <c r="AQ102" i="1" s="1"/>
  <c r="L103" i="1"/>
  <c r="M103" i="1" s="1"/>
  <c r="AQ103" i="1" s="1"/>
  <c r="L104" i="1"/>
  <c r="M104" i="1" s="1"/>
  <c r="L107" i="1"/>
  <c r="L108" i="1"/>
  <c r="M108" i="1" s="1"/>
  <c r="AQ108" i="1" s="1"/>
  <c r="L109" i="1"/>
  <c r="M109" i="1" s="1"/>
  <c r="AQ109" i="1" s="1"/>
  <c r="L112" i="1"/>
  <c r="L113" i="1"/>
  <c r="M113" i="1" s="1"/>
  <c r="AQ113" i="1" s="1"/>
  <c r="L114" i="1"/>
  <c r="M114" i="1" s="1"/>
  <c r="L115" i="1"/>
  <c r="M115" i="1" s="1"/>
  <c r="AQ115" i="1" s="1"/>
  <c r="L116" i="1"/>
  <c r="M116" i="1" s="1"/>
  <c r="AQ116" i="1" s="1"/>
  <c r="L119" i="1"/>
  <c r="L120" i="1"/>
  <c r="M120" i="1" s="1"/>
  <c r="AQ120" i="1" s="1"/>
  <c r="L121" i="1"/>
  <c r="M121" i="1" s="1"/>
  <c r="L124" i="1"/>
  <c r="M124" i="1" s="1"/>
  <c r="AQ124" i="1" s="1"/>
  <c r="L125" i="1"/>
  <c r="M125" i="1" s="1"/>
  <c r="AQ125" i="1" s="1"/>
  <c r="L126" i="1"/>
  <c r="M126" i="1" s="1"/>
  <c r="AQ126" i="1" s="1"/>
  <c r="L127" i="1"/>
  <c r="M127" i="1" s="1"/>
  <c r="AQ127" i="1" s="1"/>
  <c r="L128" i="1"/>
  <c r="M128" i="1" s="1"/>
  <c r="AQ128" i="1" s="1"/>
  <c r="L129" i="1"/>
  <c r="M129" i="1" s="1"/>
  <c r="AQ129" i="1" s="1"/>
  <c r="L130" i="1"/>
  <c r="M130" i="1" s="1"/>
  <c r="L131" i="1"/>
  <c r="M131" i="1" s="1"/>
  <c r="AQ131" i="1" s="1"/>
  <c r="L132" i="1"/>
  <c r="M132" i="1" s="1"/>
  <c r="AQ132" i="1" s="1"/>
  <c r="L135" i="1"/>
  <c r="M135" i="1" s="1"/>
  <c r="AQ135" i="1" s="1"/>
  <c r="L136" i="1"/>
  <c r="M136" i="1" s="1"/>
  <c r="AQ136" i="1" s="1"/>
  <c r="L137" i="1"/>
  <c r="M137" i="1" s="1"/>
  <c r="L138" i="1"/>
  <c r="M138" i="1" s="1"/>
  <c r="AQ138" i="1" s="1"/>
  <c r="L141" i="1"/>
  <c r="L142" i="1"/>
  <c r="M142" i="1" s="1"/>
  <c r="L143" i="1"/>
  <c r="M143" i="1" s="1"/>
  <c r="AQ143" i="1" s="1"/>
  <c r="L144" i="1"/>
  <c r="M144" i="1" s="1"/>
  <c r="AQ144" i="1" s="1"/>
  <c r="L145" i="1"/>
  <c r="M145" i="1" s="1"/>
  <c r="AQ145" i="1" s="1"/>
  <c r="L146" i="1"/>
  <c r="M146" i="1" s="1"/>
  <c r="AQ146" i="1" s="1"/>
  <c r="L147" i="1"/>
  <c r="M147" i="1" s="1"/>
  <c r="AQ147" i="1" s="1"/>
  <c r="L148" i="1"/>
  <c r="M148" i="1" s="1"/>
  <c r="AQ148" i="1" s="1"/>
  <c r="AB80" i="1"/>
  <c r="Y80" i="1"/>
  <c r="U80" i="1"/>
  <c r="T80" i="1"/>
  <c r="S80" i="1"/>
  <c r="R80" i="1"/>
  <c r="AB81" i="1"/>
  <c r="Y81" i="1"/>
  <c r="U81" i="1"/>
  <c r="T81" i="1"/>
  <c r="S81" i="1"/>
  <c r="R81" i="1"/>
  <c r="AB82" i="1"/>
  <c r="Y82" i="1"/>
  <c r="U82" i="1"/>
  <c r="T82" i="1"/>
  <c r="AF82" i="1" s="1"/>
  <c r="AR82" i="1" s="1"/>
  <c r="S82" i="1"/>
  <c r="R82" i="1"/>
  <c r="AB84" i="1"/>
  <c r="Y84" i="1"/>
  <c r="U84" i="1"/>
  <c r="T84" i="1"/>
  <c r="S84" i="1"/>
  <c r="R84" i="1"/>
  <c r="AB86" i="1"/>
  <c r="Y86" i="1"/>
  <c r="U86" i="1"/>
  <c r="T86" i="1"/>
  <c r="S86" i="1"/>
  <c r="R86" i="1"/>
  <c r="AB87" i="1"/>
  <c r="Y87" i="1"/>
  <c r="U87" i="1"/>
  <c r="T87" i="1"/>
  <c r="S87" i="1"/>
  <c r="R87" i="1"/>
  <c r="AB89" i="1"/>
  <c r="Y89" i="1"/>
  <c r="U89" i="1"/>
  <c r="T89" i="1"/>
  <c r="S89" i="1"/>
  <c r="R89" i="1"/>
  <c r="AB90" i="1"/>
  <c r="Y90" i="1"/>
  <c r="U90" i="1"/>
  <c r="T90" i="1"/>
  <c r="S90" i="1"/>
  <c r="R90" i="1"/>
  <c r="AB91" i="1"/>
  <c r="Y91" i="1"/>
  <c r="U91" i="1"/>
  <c r="T91" i="1"/>
  <c r="S91" i="1"/>
  <c r="R91" i="1"/>
  <c r="AB94" i="1"/>
  <c r="Y94" i="1"/>
  <c r="U94" i="1"/>
  <c r="T94" i="1"/>
  <c r="S94" i="1"/>
  <c r="R94" i="1"/>
  <c r="AB95" i="1"/>
  <c r="Y95" i="1"/>
  <c r="U95" i="1"/>
  <c r="T95" i="1"/>
  <c r="S95" i="1"/>
  <c r="R95" i="1"/>
  <c r="AB96" i="1"/>
  <c r="Y96" i="1"/>
  <c r="U96" i="1"/>
  <c r="T96" i="1"/>
  <c r="S96" i="1"/>
  <c r="R96" i="1"/>
  <c r="AB97" i="1"/>
  <c r="Y97" i="1"/>
  <c r="U97" i="1"/>
  <c r="T97" i="1"/>
  <c r="S97" i="1"/>
  <c r="R97" i="1"/>
  <c r="AB98" i="1"/>
  <c r="Y98" i="1"/>
  <c r="U98" i="1"/>
  <c r="T98" i="1"/>
  <c r="S98" i="1"/>
  <c r="R98" i="1"/>
  <c r="AB101" i="1"/>
  <c r="Y101" i="1"/>
  <c r="U101" i="1"/>
  <c r="T101" i="1"/>
  <c r="S101" i="1"/>
  <c r="R101" i="1"/>
  <c r="AB102" i="1"/>
  <c r="Y102" i="1"/>
  <c r="U102" i="1"/>
  <c r="T102" i="1"/>
  <c r="S102" i="1"/>
  <c r="R102" i="1"/>
  <c r="AB103" i="1"/>
  <c r="Y103" i="1"/>
  <c r="U103" i="1"/>
  <c r="T103" i="1"/>
  <c r="S103" i="1"/>
  <c r="R103" i="1"/>
  <c r="AB104" i="1"/>
  <c r="Y104" i="1"/>
  <c r="U104" i="1"/>
  <c r="T104" i="1"/>
  <c r="S104" i="1"/>
  <c r="R104" i="1"/>
  <c r="AB107" i="1"/>
  <c r="Y107" i="1"/>
  <c r="U107" i="1"/>
  <c r="T107" i="1"/>
  <c r="S107" i="1"/>
  <c r="R107" i="1"/>
  <c r="AB108" i="1"/>
  <c r="Y108" i="1"/>
  <c r="U108" i="1"/>
  <c r="T108" i="1"/>
  <c r="S108" i="1"/>
  <c r="R108" i="1"/>
  <c r="AB109" i="1"/>
  <c r="Y109" i="1"/>
  <c r="U109" i="1"/>
  <c r="T109" i="1"/>
  <c r="S109" i="1"/>
  <c r="R109" i="1"/>
  <c r="AB112" i="1"/>
  <c r="Y112" i="1"/>
  <c r="U112" i="1"/>
  <c r="T112" i="1"/>
  <c r="S112" i="1"/>
  <c r="R112" i="1"/>
  <c r="AB113" i="1"/>
  <c r="Y113" i="1"/>
  <c r="U113" i="1"/>
  <c r="T113" i="1"/>
  <c r="S113" i="1"/>
  <c r="R113" i="1"/>
  <c r="AB114" i="1"/>
  <c r="Y114" i="1"/>
  <c r="U114" i="1"/>
  <c r="T114" i="1"/>
  <c r="S114" i="1"/>
  <c r="R114" i="1"/>
  <c r="AB115" i="1"/>
  <c r="Y115" i="1"/>
  <c r="U115" i="1"/>
  <c r="T115" i="1"/>
  <c r="S115" i="1"/>
  <c r="R115" i="1"/>
  <c r="AB116" i="1"/>
  <c r="Y116" i="1"/>
  <c r="U116" i="1"/>
  <c r="T116" i="1"/>
  <c r="S116" i="1"/>
  <c r="R116" i="1"/>
  <c r="AB119" i="1"/>
  <c r="Y119" i="1"/>
  <c r="U119" i="1"/>
  <c r="T119" i="1"/>
  <c r="S119" i="1"/>
  <c r="R119" i="1"/>
  <c r="AB120" i="1"/>
  <c r="Y120" i="1"/>
  <c r="U120" i="1"/>
  <c r="T120" i="1"/>
  <c r="S120" i="1"/>
  <c r="R120" i="1"/>
  <c r="AB121" i="1"/>
  <c r="Y121" i="1"/>
  <c r="U121" i="1"/>
  <c r="T121" i="1"/>
  <c r="S121" i="1"/>
  <c r="R121" i="1"/>
  <c r="AB124" i="1"/>
  <c r="Y124" i="1"/>
  <c r="U124" i="1"/>
  <c r="T124" i="1"/>
  <c r="S124" i="1"/>
  <c r="R124" i="1"/>
  <c r="AB125" i="1"/>
  <c r="Y125" i="1"/>
  <c r="U125" i="1"/>
  <c r="T125" i="1"/>
  <c r="S125" i="1"/>
  <c r="R125" i="1"/>
  <c r="AB126" i="1"/>
  <c r="Y126" i="1"/>
  <c r="U126" i="1"/>
  <c r="T126" i="1"/>
  <c r="S126" i="1"/>
  <c r="R126" i="1"/>
  <c r="AB127" i="1"/>
  <c r="Y127" i="1"/>
  <c r="U127" i="1"/>
  <c r="T127" i="1"/>
  <c r="S127" i="1"/>
  <c r="R127" i="1"/>
  <c r="AB128" i="1"/>
  <c r="Y128" i="1"/>
  <c r="U128" i="1"/>
  <c r="T128" i="1"/>
  <c r="S128" i="1"/>
  <c r="R128" i="1"/>
  <c r="AB129" i="1"/>
  <c r="Y129" i="1"/>
  <c r="U129" i="1"/>
  <c r="T129" i="1"/>
  <c r="S129" i="1"/>
  <c r="R129" i="1"/>
  <c r="AB130" i="1"/>
  <c r="Y130" i="1"/>
  <c r="U130" i="1"/>
  <c r="T130" i="1"/>
  <c r="S130" i="1"/>
  <c r="R130" i="1"/>
  <c r="AB131" i="1"/>
  <c r="Y131" i="1"/>
  <c r="U131" i="1"/>
  <c r="T131" i="1"/>
  <c r="S131" i="1"/>
  <c r="R131" i="1"/>
  <c r="AB132" i="1"/>
  <c r="Y132" i="1"/>
  <c r="U132" i="1"/>
  <c r="T132" i="1"/>
  <c r="S132" i="1"/>
  <c r="R132" i="1"/>
  <c r="AB135" i="1"/>
  <c r="Y135" i="1"/>
  <c r="U135" i="1"/>
  <c r="T135" i="1"/>
  <c r="S135" i="1"/>
  <c r="R135" i="1"/>
  <c r="AB136" i="1"/>
  <c r="Y136" i="1"/>
  <c r="U136" i="1"/>
  <c r="T136" i="1"/>
  <c r="S136" i="1"/>
  <c r="R136" i="1"/>
  <c r="AB137" i="1"/>
  <c r="Y137" i="1"/>
  <c r="U137" i="1"/>
  <c r="T137" i="1"/>
  <c r="S137" i="1"/>
  <c r="R137" i="1"/>
  <c r="AB138" i="1"/>
  <c r="Y138" i="1"/>
  <c r="U138" i="1"/>
  <c r="T138" i="1"/>
  <c r="S138" i="1"/>
  <c r="R138" i="1"/>
  <c r="AB141" i="1"/>
  <c r="Y141" i="1"/>
  <c r="U141" i="1"/>
  <c r="T141" i="1"/>
  <c r="S141" i="1"/>
  <c r="R141" i="1"/>
  <c r="AB142" i="1"/>
  <c r="Y142" i="1"/>
  <c r="U142" i="1"/>
  <c r="T142" i="1"/>
  <c r="S142" i="1"/>
  <c r="R142" i="1"/>
  <c r="AB143" i="1"/>
  <c r="Y143" i="1"/>
  <c r="U143" i="1"/>
  <c r="T143" i="1"/>
  <c r="S143" i="1"/>
  <c r="R143" i="1"/>
  <c r="AB144" i="1"/>
  <c r="Y144" i="1"/>
  <c r="U144" i="1"/>
  <c r="T144" i="1"/>
  <c r="S144" i="1"/>
  <c r="R144" i="1"/>
  <c r="AB145" i="1"/>
  <c r="Y145" i="1"/>
  <c r="U145" i="1"/>
  <c r="T145" i="1"/>
  <c r="S145" i="1"/>
  <c r="R145" i="1"/>
  <c r="AB146" i="1"/>
  <c r="Y146" i="1"/>
  <c r="U146" i="1"/>
  <c r="T146" i="1"/>
  <c r="S146" i="1"/>
  <c r="R146" i="1"/>
  <c r="AB147" i="1"/>
  <c r="Y147" i="1"/>
  <c r="U147" i="1"/>
  <c r="T147" i="1"/>
  <c r="S147" i="1"/>
  <c r="R147" i="1"/>
  <c r="AB148" i="1"/>
  <c r="Y148" i="1"/>
  <c r="U148" i="1"/>
  <c r="T148" i="1"/>
  <c r="S148" i="1"/>
  <c r="R148" i="1"/>
  <c r="AM80" i="1"/>
  <c r="AN80" i="1" s="1"/>
  <c r="AS80" i="1" s="1"/>
  <c r="AM81" i="1"/>
  <c r="AN81" i="1" s="1"/>
  <c r="AS81" i="1" s="1"/>
  <c r="AM82" i="1"/>
  <c r="AN82" i="1" s="1"/>
  <c r="AS82" i="1" s="1"/>
  <c r="AM84" i="1"/>
  <c r="AN84" i="1" s="1"/>
  <c r="AS84" i="1" s="1"/>
  <c r="AM86" i="1"/>
  <c r="AN86" i="1" s="1"/>
  <c r="AS86" i="1" s="1"/>
  <c r="AM87" i="1"/>
  <c r="AN87" i="1"/>
  <c r="AS87" i="1" s="1"/>
  <c r="AM89" i="1"/>
  <c r="AN89" i="1" s="1"/>
  <c r="AS89" i="1" s="1"/>
  <c r="AM90" i="1"/>
  <c r="AN90" i="1" s="1"/>
  <c r="AS90" i="1" s="1"/>
  <c r="AM91" i="1"/>
  <c r="AN91" i="1" s="1"/>
  <c r="AS91" i="1" s="1"/>
  <c r="AM94" i="1"/>
  <c r="AM95" i="1"/>
  <c r="AN95" i="1" s="1"/>
  <c r="AS95" i="1" s="1"/>
  <c r="AM96" i="1"/>
  <c r="AN96" i="1" s="1"/>
  <c r="AS96" i="1" s="1"/>
  <c r="AM97" i="1"/>
  <c r="AN97" i="1" s="1"/>
  <c r="AS97" i="1" s="1"/>
  <c r="AM98" i="1"/>
  <c r="AN98" i="1" s="1"/>
  <c r="AS98" i="1" s="1"/>
  <c r="AM101" i="1"/>
  <c r="AN101" i="1" s="1"/>
  <c r="AS101" i="1" s="1"/>
  <c r="AM102" i="1"/>
  <c r="AN102" i="1" s="1"/>
  <c r="AS102" i="1" s="1"/>
  <c r="AM103" i="1"/>
  <c r="AN103" i="1" s="1"/>
  <c r="AS103" i="1" s="1"/>
  <c r="AM104" i="1"/>
  <c r="AN104" i="1" s="1"/>
  <c r="AS104" i="1" s="1"/>
  <c r="AM107" i="1"/>
  <c r="AN107" i="1" s="1"/>
  <c r="AS107" i="1" s="1"/>
  <c r="AM108" i="1"/>
  <c r="AN108" i="1" s="1"/>
  <c r="AS108" i="1" s="1"/>
  <c r="AM109" i="1"/>
  <c r="AN109" i="1" s="1"/>
  <c r="AS109" i="1" s="1"/>
  <c r="AM112" i="1"/>
  <c r="AN112" i="1" s="1"/>
  <c r="AS112" i="1" s="1"/>
  <c r="AM113" i="1"/>
  <c r="AN113" i="1" s="1"/>
  <c r="AS113" i="1" s="1"/>
  <c r="AM114" i="1"/>
  <c r="AN114" i="1" s="1"/>
  <c r="AS114" i="1" s="1"/>
  <c r="AM115" i="1"/>
  <c r="AN115" i="1" s="1"/>
  <c r="AS115" i="1" s="1"/>
  <c r="AM116" i="1"/>
  <c r="AN116" i="1" s="1"/>
  <c r="AS116" i="1" s="1"/>
  <c r="AM119" i="1"/>
  <c r="AN119" i="1" s="1"/>
  <c r="AS119" i="1" s="1"/>
  <c r="AM120" i="1"/>
  <c r="AN120" i="1" s="1"/>
  <c r="AS120" i="1" s="1"/>
  <c r="AM121" i="1"/>
  <c r="AN121" i="1" s="1"/>
  <c r="AS121" i="1" s="1"/>
  <c r="AM124" i="1"/>
  <c r="AN124" i="1" s="1"/>
  <c r="AS124" i="1" s="1"/>
  <c r="AM125" i="1"/>
  <c r="AN125" i="1" s="1"/>
  <c r="AS125" i="1" s="1"/>
  <c r="AM126" i="1"/>
  <c r="AN126" i="1" s="1"/>
  <c r="AS126" i="1" s="1"/>
  <c r="AM127" i="1"/>
  <c r="AN127" i="1" s="1"/>
  <c r="AS127" i="1" s="1"/>
  <c r="AM128" i="1"/>
  <c r="AN128" i="1" s="1"/>
  <c r="AS128" i="1" s="1"/>
  <c r="AM129" i="1"/>
  <c r="AN129" i="1" s="1"/>
  <c r="AS129" i="1" s="1"/>
  <c r="AM130" i="1"/>
  <c r="AN130" i="1" s="1"/>
  <c r="AM131" i="1"/>
  <c r="AN131" i="1" s="1"/>
  <c r="AS131" i="1" s="1"/>
  <c r="AM132" i="1"/>
  <c r="AN132" i="1" s="1"/>
  <c r="AS132" i="1" s="1"/>
  <c r="AM135" i="1"/>
  <c r="AN135" i="1" s="1"/>
  <c r="AS135" i="1" s="1"/>
  <c r="AM136" i="1"/>
  <c r="AN136" i="1" s="1"/>
  <c r="AS136" i="1" s="1"/>
  <c r="AM137" i="1"/>
  <c r="AN137" i="1" s="1"/>
  <c r="AM138" i="1"/>
  <c r="AN138" i="1" s="1"/>
  <c r="AS138" i="1" s="1"/>
  <c r="AM141" i="1"/>
  <c r="AN141" i="1" s="1"/>
  <c r="AS141" i="1" s="1"/>
  <c r="AM142" i="1"/>
  <c r="AN142" i="1" s="1"/>
  <c r="AS142" i="1" s="1"/>
  <c r="AM143" i="1"/>
  <c r="AN143" i="1" s="1"/>
  <c r="AS143" i="1" s="1"/>
  <c r="AM144" i="1"/>
  <c r="AN144" i="1" s="1"/>
  <c r="AS144" i="1" s="1"/>
  <c r="AM145" i="1"/>
  <c r="AN145" i="1" s="1"/>
  <c r="AS145" i="1" s="1"/>
  <c r="AM146" i="1"/>
  <c r="AN146" i="1" s="1"/>
  <c r="AS146" i="1" s="1"/>
  <c r="AM147" i="1"/>
  <c r="AN147" i="1" s="1"/>
  <c r="AS147" i="1" s="1"/>
  <c r="AM148" i="1"/>
  <c r="AN148" i="1" s="1"/>
  <c r="AS148" i="1" s="1"/>
  <c r="L28" i="18"/>
  <c r="L29" i="18"/>
  <c r="L31" i="18"/>
  <c r="L33" i="18"/>
  <c r="L32" i="18" s="1"/>
  <c r="L35" i="18"/>
  <c r="L34" i="18" s="1"/>
  <c r="L37" i="18"/>
  <c r="L36" i="18" s="1"/>
  <c r="L39" i="18"/>
  <c r="L38" i="18" s="1"/>
  <c r="L41" i="18"/>
  <c r="L40" i="18" s="1"/>
  <c r="L43" i="18"/>
  <c r="L42" i="18" s="1"/>
  <c r="L45" i="18"/>
  <c r="L44" i="18" s="1"/>
  <c r="M28" i="18"/>
  <c r="M29" i="18"/>
  <c r="M31" i="18"/>
  <c r="M30" i="18" s="1"/>
  <c r="M33" i="18"/>
  <c r="M32" i="18" s="1"/>
  <c r="M35" i="18"/>
  <c r="M34" i="18" s="1"/>
  <c r="M37" i="18"/>
  <c r="M36" i="18" s="1"/>
  <c r="M39" i="18"/>
  <c r="M38" i="18" s="1"/>
  <c r="M41" i="18"/>
  <c r="M40" i="18" s="1"/>
  <c r="M43" i="18"/>
  <c r="M42" i="18" s="1"/>
  <c r="M45" i="18"/>
  <c r="M44" i="18" s="1"/>
  <c r="N28" i="18"/>
  <c r="N29" i="18"/>
  <c r="N31" i="18"/>
  <c r="N30" i="18" s="1"/>
  <c r="N33" i="18"/>
  <c r="N32" i="18" s="1"/>
  <c r="N35" i="18"/>
  <c r="N34" i="18" s="1"/>
  <c r="N37" i="18"/>
  <c r="N36" i="18" s="1"/>
  <c r="N39" i="18"/>
  <c r="N38" i="18" s="1"/>
  <c r="N41" i="18"/>
  <c r="N40" i="18" s="1"/>
  <c r="N43" i="18"/>
  <c r="N42" i="18" s="1"/>
  <c r="N45" i="18"/>
  <c r="N44" i="18" s="1"/>
  <c r="O28" i="18"/>
  <c r="O29" i="18"/>
  <c r="O31" i="18"/>
  <c r="O30" i="18" s="1"/>
  <c r="O33" i="18"/>
  <c r="O32" i="18" s="1"/>
  <c r="O35" i="18"/>
  <c r="O34" i="18" s="1"/>
  <c r="O37" i="18"/>
  <c r="O39" i="18"/>
  <c r="O38" i="18" s="1"/>
  <c r="O41" i="18"/>
  <c r="O40" i="18" s="1"/>
  <c r="O43" i="18"/>
  <c r="O42" i="18" s="1"/>
  <c r="O45" i="18"/>
  <c r="O44" i="18" s="1"/>
  <c r="P28" i="18"/>
  <c r="P29" i="18"/>
  <c r="P31" i="18"/>
  <c r="P30" i="18" s="1"/>
  <c r="P33" i="18"/>
  <c r="P32" i="18" s="1"/>
  <c r="P35" i="18"/>
  <c r="P34" i="18" s="1"/>
  <c r="P37" i="18"/>
  <c r="P36" i="18" s="1"/>
  <c r="P39" i="18"/>
  <c r="P38" i="18" s="1"/>
  <c r="P41" i="18"/>
  <c r="P40" i="18" s="1"/>
  <c r="P43" i="18"/>
  <c r="P42" i="18" s="1"/>
  <c r="P45" i="18"/>
  <c r="P44" i="18" s="1"/>
  <c r="Q28" i="18"/>
  <c r="Q29" i="18"/>
  <c r="Q31" i="18"/>
  <c r="Q30" i="18" s="1"/>
  <c r="Q33" i="18"/>
  <c r="Q32" i="18" s="1"/>
  <c r="Q35" i="18"/>
  <c r="Q34" i="18" s="1"/>
  <c r="Q37" i="18"/>
  <c r="Q39" i="18"/>
  <c r="Q38" i="18" s="1"/>
  <c r="Q41" i="18"/>
  <c r="Q40" i="18" s="1"/>
  <c r="Q43" i="18"/>
  <c r="Q42" i="18" s="1"/>
  <c r="Q45" i="18"/>
  <c r="Q44" i="18" s="1"/>
  <c r="R28" i="18"/>
  <c r="R29" i="18"/>
  <c r="R31" i="18"/>
  <c r="R30" i="18" s="1"/>
  <c r="R33" i="18"/>
  <c r="R32" i="18" s="1"/>
  <c r="R35" i="18"/>
  <c r="R34" i="18" s="1"/>
  <c r="R37" i="18"/>
  <c r="R36" i="18" s="1"/>
  <c r="R39" i="18"/>
  <c r="R38" i="18" s="1"/>
  <c r="R41" i="18"/>
  <c r="R40" i="18" s="1"/>
  <c r="R43" i="18"/>
  <c r="R42" i="18" s="1"/>
  <c r="R45" i="18"/>
  <c r="R44" i="18" s="1"/>
  <c r="L80" i="12"/>
  <c r="M80" i="12" s="1"/>
  <c r="AQ80" i="12" s="1"/>
  <c r="L81" i="12"/>
  <c r="M81" i="12" s="1"/>
  <c r="AQ81" i="12" s="1"/>
  <c r="L82" i="12"/>
  <c r="M82" i="12" s="1"/>
  <c r="AQ82" i="12" s="1"/>
  <c r="L84" i="12"/>
  <c r="M84" i="12" s="1"/>
  <c r="AQ84" i="12" s="1"/>
  <c r="L86" i="12"/>
  <c r="M86" i="12" s="1"/>
  <c r="L87" i="12"/>
  <c r="M87" i="12" s="1"/>
  <c r="AQ87" i="12" s="1"/>
  <c r="L89" i="12"/>
  <c r="M89" i="12" s="1"/>
  <c r="AQ89" i="12" s="1"/>
  <c r="L90" i="12"/>
  <c r="M90" i="12" s="1"/>
  <c r="AQ90" i="12" s="1"/>
  <c r="L91" i="12"/>
  <c r="M91" i="12" s="1"/>
  <c r="L94" i="12"/>
  <c r="M94" i="12" s="1"/>
  <c r="L95" i="12"/>
  <c r="M95" i="12" s="1"/>
  <c r="AQ95" i="12" s="1"/>
  <c r="L96" i="12"/>
  <c r="M96" i="12" s="1"/>
  <c r="AQ96" i="12" s="1"/>
  <c r="L97" i="12"/>
  <c r="M97" i="12" s="1"/>
  <c r="AQ97" i="12" s="1"/>
  <c r="L98" i="12"/>
  <c r="M98" i="12" s="1"/>
  <c r="AQ98" i="12" s="1"/>
  <c r="L101" i="12"/>
  <c r="M101" i="12" s="1"/>
  <c r="L102" i="12"/>
  <c r="M102" i="12" s="1"/>
  <c r="AQ102" i="12" s="1"/>
  <c r="L103" i="12"/>
  <c r="M103" i="12" s="1"/>
  <c r="AQ103" i="12" s="1"/>
  <c r="L104" i="12"/>
  <c r="M104" i="12" s="1"/>
  <c r="AQ104" i="12" s="1"/>
  <c r="L107" i="12"/>
  <c r="M107" i="12" s="1"/>
  <c r="AQ107" i="12" s="1"/>
  <c r="L108" i="12"/>
  <c r="M108" i="12" s="1"/>
  <c r="AQ108" i="12" s="1"/>
  <c r="L109" i="12"/>
  <c r="M109" i="12" s="1"/>
  <c r="AQ109" i="12" s="1"/>
  <c r="L112" i="12"/>
  <c r="M112" i="12" s="1"/>
  <c r="AQ112" i="12" s="1"/>
  <c r="L113" i="12"/>
  <c r="M113" i="12" s="1"/>
  <c r="AQ113" i="12" s="1"/>
  <c r="L114" i="12"/>
  <c r="M114" i="12" s="1"/>
  <c r="AQ114" i="12" s="1"/>
  <c r="L115" i="12"/>
  <c r="M115" i="12" s="1"/>
  <c r="L116" i="12"/>
  <c r="M116" i="12" s="1"/>
  <c r="AQ116" i="12" s="1"/>
  <c r="L119" i="12"/>
  <c r="M119" i="12" s="1"/>
  <c r="AQ119" i="12" s="1"/>
  <c r="L120" i="12"/>
  <c r="M120" i="12" s="1"/>
  <c r="L121" i="12"/>
  <c r="M121" i="12" s="1"/>
  <c r="AQ121" i="12" s="1"/>
  <c r="L124" i="12"/>
  <c r="M124" i="12" s="1"/>
  <c r="AQ124" i="12" s="1"/>
  <c r="L125" i="12"/>
  <c r="M125" i="12" s="1"/>
  <c r="L126" i="12"/>
  <c r="M126" i="12" s="1"/>
  <c r="AQ126" i="12" s="1"/>
  <c r="L127" i="12"/>
  <c r="M127" i="12" s="1"/>
  <c r="AQ127" i="12" s="1"/>
  <c r="L128" i="12"/>
  <c r="M128" i="12" s="1"/>
  <c r="AQ128" i="12" s="1"/>
  <c r="L129" i="12"/>
  <c r="M129" i="12" s="1"/>
  <c r="AQ129" i="12" s="1"/>
  <c r="L130" i="12"/>
  <c r="M130" i="12" s="1"/>
  <c r="AQ130" i="12" s="1"/>
  <c r="L131" i="12"/>
  <c r="M131" i="12" s="1"/>
  <c r="AQ131" i="12" s="1"/>
  <c r="L132" i="12"/>
  <c r="M132" i="12" s="1"/>
  <c r="AQ132" i="12" s="1"/>
  <c r="L135" i="12"/>
  <c r="M135" i="12" s="1"/>
  <c r="AQ135" i="12" s="1"/>
  <c r="L136" i="12"/>
  <c r="M136" i="12" s="1"/>
  <c r="AQ136" i="12" s="1"/>
  <c r="L137" i="12"/>
  <c r="M137" i="12" s="1"/>
  <c r="AQ137" i="12" s="1"/>
  <c r="L138" i="12"/>
  <c r="M138" i="12" s="1"/>
  <c r="L141" i="12"/>
  <c r="M141" i="12" s="1"/>
  <c r="L142" i="12"/>
  <c r="M142" i="12" s="1"/>
  <c r="AQ142" i="12" s="1"/>
  <c r="L143" i="12"/>
  <c r="M143" i="12"/>
  <c r="AQ143" i="12" s="1"/>
  <c r="L144" i="12"/>
  <c r="M144" i="12" s="1"/>
  <c r="L145" i="12"/>
  <c r="M145" i="12"/>
  <c r="AQ145" i="12" s="1"/>
  <c r="L146" i="12"/>
  <c r="M146" i="12" s="1"/>
  <c r="AQ146" i="12" s="1"/>
  <c r="L147" i="12"/>
  <c r="M147" i="12" s="1"/>
  <c r="AQ147" i="12" s="1"/>
  <c r="L148" i="12"/>
  <c r="M148" i="12" s="1"/>
  <c r="AQ148" i="12" s="1"/>
  <c r="AB80" i="12"/>
  <c r="Y80" i="12"/>
  <c r="U80" i="12"/>
  <c r="T80" i="12"/>
  <c r="S80" i="12"/>
  <c r="R80" i="12"/>
  <c r="AB81" i="12"/>
  <c r="Y81" i="12"/>
  <c r="U81" i="12"/>
  <c r="T81" i="12"/>
  <c r="S81" i="12"/>
  <c r="R81" i="12"/>
  <c r="AB82" i="12"/>
  <c r="Y82" i="12"/>
  <c r="U82" i="12"/>
  <c r="T82" i="12"/>
  <c r="S82" i="12"/>
  <c r="R82" i="12"/>
  <c r="AB84" i="12"/>
  <c r="Y84" i="12"/>
  <c r="U84" i="12"/>
  <c r="T84" i="12"/>
  <c r="S84" i="12"/>
  <c r="R84" i="12"/>
  <c r="AB86" i="12"/>
  <c r="Y86" i="12"/>
  <c r="U86" i="12"/>
  <c r="T86" i="12"/>
  <c r="S86" i="12"/>
  <c r="R86" i="12"/>
  <c r="AB87" i="12"/>
  <c r="Y87" i="12"/>
  <c r="U87" i="12"/>
  <c r="T87" i="12"/>
  <c r="S87" i="12"/>
  <c r="R87" i="12"/>
  <c r="AB89" i="12"/>
  <c r="Y89" i="12"/>
  <c r="U89" i="12"/>
  <c r="T89" i="12"/>
  <c r="S89" i="12"/>
  <c r="R89" i="12"/>
  <c r="AB90" i="12"/>
  <c r="Y90" i="12"/>
  <c r="U90" i="12"/>
  <c r="T90" i="12"/>
  <c r="S90" i="12"/>
  <c r="R90" i="12"/>
  <c r="AB91" i="12"/>
  <c r="Y91" i="12"/>
  <c r="U91" i="12"/>
  <c r="T91" i="12"/>
  <c r="S91" i="12"/>
  <c r="R91" i="12"/>
  <c r="AB94" i="12"/>
  <c r="Y94" i="12"/>
  <c r="U94" i="12"/>
  <c r="T94" i="12"/>
  <c r="S94" i="12"/>
  <c r="R94" i="12"/>
  <c r="AB95" i="12"/>
  <c r="Y95" i="12"/>
  <c r="U95" i="12"/>
  <c r="T95" i="12"/>
  <c r="S95" i="12"/>
  <c r="R95" i="12"/>
  <c r="AB96" i="12"/>
  <c r="Y96" i="12"/>
  <c r="U96" i="12"/>
  <c r="T96" i="12"/>
  <c r="S96" i="12"/>
  <c r="R96" i="12"/>
  <c r="AB97" i="12"/>
  <c r="Y97" i="12"/>
  <c r="U97" i="12"/>
  <c r="T97" i="12"/>
  <c r="S97" i="12"/>
  <c r="R97" i="12"/>
  <c r="AB98" i="12"/>
  <c r="Y98" i="12"/>
  <c r="U98" i="12"/>
  <c r="T98" i="12"/>
  <c r="S98" i="12"/>
  <c r="R98" i="12"/>
  <c r="AB101" i="12"/>
  <c r="Y101" i="12"/>
  <c r="U101" i="12"/>
  <c r="T101" i="12"/>
  <c r="S101" i="12"/>
  <c r="R101" i="12"/>
  <c r="AB102" i="12"/>
  <c r="Y102" i="12"/>
  <c r="U102" i="12"/>
  <c r="T102" i="12"/>
  <c r="S102" i="12"/>
  <c r="R102" i="12"/>
  <c r="AB103" i="12"/>
  <c r="Y103" i="12"/>
  <c r="U103" i="12"/>
  <c r="T103" i="12"/>
  <c r="S103" i="12"/>
  <c r="R103" i="12"/>
  <c r="AB104" i="12"/>
  <c r="Y104" i="12"/>
  <c r="U104" i="12"/>
  <c r="T104" i="12"/>
  <c r="S104" i="12"/>
  <c r="R104" i="12"/>
  <c r="AB107" i="12"/>
  <c r="Y107" i="12"/>
  <c r="U107" i="12"/>
  <c r="T107" i="12"/>
  <c r="S107" i="12"/>
  <c r="R107" i="12"/>
  <c r="AB108" i="12"/>
  <c r="Y108" i="12"/>
  <c r="U108" i="12"/>
  <c r="T108" i="12"/>
  <c r="S108" i="12"/>
  <c r="R108" i="12"/>
  <c r="AB109" i="12"/>
  <c r="Y109" i="12"/>
  <c r="U109" i="12"/>
  <c r="T109" i="12"/>
  <c r="S109" i="12"/>
  <c r="R109" i="12"/>
  <c r="AB112" i="12"/>
  <c r="Y112" i="12"/>
  <c r="U112" i="12"/>
  <c r="T112" i="12"/>
  <c r="S112" i="12"/>
  <c r="R112" i="12"/>
  <c r="AB113" i="12"/>
  <c r="Y113" i="12"/>
  <c r="U113" i="12"/>
  <c r="T113" i="12"/>
  <c r="S113" i="12"/>
  <c r="R113" i="12"/>
  <c r="AB114" i="12"/>
  <c r="Y114" i="12"/>
  <c r="U114" i="12"/>
  <c r="T114" i="12"/>
  <c r="S114" i="12"/>
  <c r="R114" i="12"/>
  <c r="AB115" i="12"/>
  <c r="Y115" i="12"/>
  <c r="U115" i="12"/>
  <c r="T115" i="12"/>
  <c r="S115" i="12"/>
  <c r="R115" i="12"/>
  <c r="AB116" i="12"/>
  <c r="Y116" i="12"/>
  <c r="U116" i="12"/>
  <c r="T116" i="12"/>
  <c r="S116" i="12"/>
  <c r="R116" i="12"/>
  <c r="AB119" i="12"/>
  <c r="Y119" i="12"/>
  <c r="U119" i="12"/>
  <c r="T119" i="12"/>
  <c r="S119" i="12"/>
  <c r="R119" i="12"/>
  <c r="AB120" i="12"/>
  <c r="Y120" i="12"/>
  <c r="U120" i="12"/>
  <c r="T120" i="12"/>
  <c r="S120" i="12"/>
  <c r="R120" i="12"/>
  <c r="AB121" i="12"/>
  <c r="Y121" i="12"/>
  <c r="U121" i="12"/>
  <c r="T121" i="12"/>
  <c r="S121" i="12"/>
  <c r="R121" i="12"/>
  <c r="AB124" i="12"/>
  <c r="Y124" i="12"/>
  <c r="U124" i="12"/>
  <c r="T124" i="12"/>
  <c r="S124" i="12"/>
  <c r="R124" i="12"/>
  <c r="AB125" i="12"/>
  <c r="Y125" i="12"/>
  <c r="U125" i="12"/>
  <c r="T125" i="12"/>
  <c r="S125" i="12"/>
  <c r="R125" i="12"/>
  <c r="AB126" i="12"/>
  <c r="Y126" i="12"/>
  <c r="U126" i="12"/>
  <c r="T126" i="12"/>
  <c r="S126" i="12"/>
  <c r="R126" i="12"/>
  <c r="AB127" i="12"/>
  <c r="Y127" i="12"/>
  <c r="U127" i="12"/>
  <c r="T127" i="12"/>
  <c r="S127" i="12"/>
  <c r="R127" i="12"/>
  <c r="AB128" i="12"/>
  <c r="Y128" i="12"/>
  <c r="U128" i="12"/>
  <c r="T128" i="12"/>
  <c r="S128" i="12"/>
  <c r="R128" i="12"/>
  <c r="AB129" i="12"/>
  <c r="Y129" i="12"/>
  <c r="U129" i="12"/>
  <c r="T129" i="12"/>
  <c r="S129" i="12"/>
  <c r="R129" i="12"/>
  <c r="AB130" i="12"/>
  <c r="Y130" i="12"/>
  <c r="U130" i="12"/>
  <c r="T130" i="12"/>
  <c r="S130" i="12"/>
  <c r="R130" i="12"/>
  <c r="AB131" i="12"/>
  <c r="Y131" i="12"/>
  <c r="U131" i="12"/>
  <c r="T131" i="12"/>
  <c r="S131" i="12"/>
  <c r="R131" i="12"/>
  <c r="AB132" i="12"/>
  <c r="Y132" i="12"/>
  <c r="U132" i="12"/>
  <c r="T132" i="12"/>
  <c r="S132" i="12"/>
  <c r="R132" i="12"/>
  <c r="AB135" i="12"/>
  <c r="Y135" i="12"/>
  <c r="U135" i="12"/>
  <c r="T135" i="12"/>
  <c r="S135" i="12"/>
  <c r="R135" i="12"/>
  <c r="AB136" i="12"/>
  <c r="Y136" i="12"/>
  <c r="U136" i="12"/>
  <c r="T136" i="12"/>
  <c r="S136" i="12"/>
  <c r="R136" i="12"/>
  <c r="AB137" i="12"/>
  <c r="Y137" i="12"/>
  <c r="U137" i="12"/>
  <c r="T137" i="12"/>
  <c r="S137" i="12"/>
  <c r="R137" i="12"/>
  <c r="AB138" i="12"/>
  <c r="Y138" i="12"/>
  <c r="U138" i="12"/>
  <c r="T138" i="12"/>
  <c r="S138" i="12"/>
  <c r="R138" i="12"/>
  <c r="AB141" i="12"/>
  <c r="Y141" i="12"/>
  <c r="U141" i="12"/>
  <c r="T141" i="12"/>
  <c r="S141" i="12"/>
  <c r="R141" i="12"/>
  <c r="AB142" i="12"/>
  <c r="Y142" i="12"/>
  <c r="U142" i="12"/>
  <c r="T142" i="12"/>
  <c r="S142" i="12"/>
  <c r="R142" i="12"/>
  <c r="AB143" i="12"/>
  <c r="Y143" i="12"/>
  <c r="U143" i="12"/>
  <c r="T143" i="12"/>
  <c r="S143" i="12"/>
  <c r="R143" i="12"/>
  <c r="AB144" i="12"/>
  <c r="Y144" i="12"/>
  <c r="U144" i="12"/>
  <c r="T144" i="12"/>
  <c r="S144" i="12"/>
  <c r="R144" i="12"/>
  <c r="AB145" i="12"/>
  <c r="Y145" i="12"/>
  <c r="U145" i="12"/>
  <c r="T145" i="12"/>
  <c r="S145" i="12"/>
  <c r="R145" i="12"/>
  <c r="AB146" i="12"/>
  <c r="Y146" i="12"/>
  <c r="U146" i="12"/>
  <c r="T146" i="12"/>
  <c r="S146" i="12"/>
  <c r="R146" i="12"/>
  <c r="AB147" i="12"/>
  <c r="Y147" i="12"/>
  <c r="U147" i="12"/>
  <c r="T147" i="12"/>
  <c r="S147" i="12"/>
  <c r="R147" i="12"/>
  <c r="AB148" i="12"/>
  <c r="Y148" i="12"/>
  <c r="U148" i="12"/>
  <c r="T148" i="12"/>
  <c r="S148" i="12"/>
  <c r="R148" i="12"/>
  <c r="AM80" i="12"/>
  <c r="AN80" i="12" s="1"/>
  <c r="AS80" i="12" s="1"/>
  <c r="AM81" i="12"/>
  <c r="AN81" i="12" s="1"/>
  <c r="AS81" i="12" s="1"/>
  <c r="AM82" i="12"/>
  <c r="AN82" i="12" s="1"/>
  <c r="AS82" i="12" s="1"/>
  <c r="AM84" i="12"/>
  <c r="AN84" i="12" s="1"/>
  <c r="AM86" i="12"/>
  <c r="AN86" i="12" s="1"/>
  <c r="AS86" i="12" s="1"/>
  <c r="AM87" i="12"/>
  <c r="AN87" i="12" s="1"/>
  <c r="AM89" i="12"/>
  <c r="AN89" i="12" s="1"/>
  <c r="AS89" i="12" s="1"/>
  <c r="AM90" i="12"/>
  <c r="AN90" i="12" s="1"/>
  <c r="AM91" i="12"/>
  <c r="AN91" i="12" s="1"/>
  <c r="AS91" i="12" s="1"/>
  <c r="AM94" i="12"/>
  <c r="AN94" i="12" s="1"/>
  <c r="AS94" i="12" s="1"/>
  <c r="AM95" i="12"/>
  <c r="AN95" i="12" s="1"/>
  <c r="AM96" i="12"/>
  <c r="AN96" i="12" s="1"/>
  <c r="AS96" i="12" s="1"/>
  <c r="AM97" i="12"/>
  <c r="AN97" i="12" s="1"/>
  <c r="AS97" i="12" s="1"/>
  <c r="AM98" i="12"/>
  <c r="AN98" i="12" s="1"/>
  <c r="AS98" i="12" s="1"/>
  <c r="AM101" i="12"/>
  <c r="AN101" i="12" s="1"/>
  <c r="AS101" i="12" s="1"/>
  <c r="AM102" i="12"/>
  <c r="AN102" i="12" s="1"/>
  <c r="AS102" i="12" s="1"/>
  <c r="AM103" i="12"/>
  <c r="AN103" i="12" s="1"/>
  <c r="AS103" i="12" s="1"/>
  <c r="AM104" i="12"/>
  <c r="AN104" i="12" s="1"/>
  <c r="AM107" i="12"/>
  <c r="AN107" i="12" s="1"/>
  <c r="AM108" i="12"/>
  <c r="AN108" i="12" s="1"/>
  <c r="AS108" i="12" s="1"/>
  <c r="AM109" i="12"/>
  <c r="AN109" i="12" s="1"/>
  <c r="AS109" i="12" s="1"/>
  <c r="AM112" i="12"/>
  <c r="AN112" i="12" s="1"/>
  <c r="AS112" i="12" s="1"/>
  <c r="AM113" i="12"/>
  <c r="AN113" i="12" s="1"/>
  <c r="AS113" i="12" s="1"/>
  <c r="AM114" i="12"/>
  <c r="AN114" i="12" s="1"/>
  <c r="AM115" i="12"/>
  <c r="AN115" i="12" s="1"/>
  <c r="AS115" i="12" s="1"/>
  <c r="AM116" i="12"/>
  <c r="AN116" i="12" s="1"/>
  <c r="AS116" i="12" s="1"/>
  <c r="AM119" i="12"/>
  <c r="AN119" i="12" s="1"/>
  <c r="AS119" i="12" s="1"/>
  <c r="AM120" i="12"/>
  <c r="AN120" i="12" s="1"/>
  <c r="AS120" i="12" s="1"/>
  <c r="AM121" i="12"/>
  <c r="AN121" i="12" s="1"/>
  <c r="AM124" i="12"/>
  <c r="AN124" i="12" s="1"/>
  <c r="AM125" i="12"/>
  <c r="AN125" i="12" s="1"/>
  <c r="AS125" i="12" s="1"/>
  <c r="AM126" i="12"/>
  <c r="AN126" i="12" s="1"/>
  <c r="AS126" i="12" s="1"/>
  <c r="AM127" i="12"/>
  <c r="AN127" i="12" s="1"/>
  <c r="AS127" i="12" s="1"/>
  <c r="AM128" i="12"/>
  <c r="AN128" i="12" s="1"/>
  <c r="AS128" i="12" s="1"/>
  <c r="AM129" i="12"/>
  <c r="AN129" i="12" s="1"/>
  <c r="AS129" i="12" s="1"/>
  <c r="AM130" i="12"/>
  <c r="AN130" i="12" s="1"/>
  <c r="AS130" i="12" s="1"/>
  <c r="AM131" i="12"/>
  <c r="AN131" i="12" s="1"/>
  <c r="AS131" i="12" s="1"/>
  <c r="AM132" i="12"/>
  <c r="AN132" i="12" s="1"/>
  <c r="AS132" i="12" s="1"/>
  <c r="AM135" i="12"/>
  <c r="AN135" i="12" s="1"/>
  <c r="AM136" i="12"/>
  <c r="AN136" i="12" s="1"/>
  <c r="AS136" i="12" s="1"/>
  <c r="AM137" i="12"/>
  <c r="AN137" i="12" s="1"/>
  <c r="AS137" i="12" s="1"/>
  <c r="AM138" i="12"/>
  <c r="AN138" i="12" s="1"/>
  <c r="AS138" i="12" s="1"/>
  <c r="AM141" i="12"/>
  <c r="AN141" i="12" s="1"/>
  <c r="AS141" i="12" s="1"/>
  <c r="AM142" i="12"/>
  <c r="AN142" i="12" s="1"/>
  <c r="AS142" i="12" s="1"/>
  <c r="AM143" i="12"/>
  <c r="AN143" i="12" s="1"/>
  <c r="AS143" i="12" s="1"/>
  <c r="AM144" i="12"/>
  <c r="AN144" i="12" s="1"/>
  <c r="AM145" i="12"/>
  <c r="AN145" i="12" s="1"/>
  <c r="AS145" i="12" s="1"/>
  <c r="AM146" i="12"/>
  <c r="AN146" i="12" s="1"/>
  <c r="AS146" i="12" s="1"/>
  <c r="AM147" i="12"/>
  <c r="AN147" i="12" s="1"/>
  <c r="AS147" i="12" s="1"/>
  <c r="AM148" i="12"/>
  <c r="AN148" i="12" s="1"/>
  <c r="AS148" i="12" s="1"/>
  <c r="Y29" i="18"/>
  <c r="Y31" i="18"/>
  <c r="Y30" i="18" s="1"/>
  <c r="Y33" i="18"/>
  <c r="Y32" i="18" s="1"/>
  <c r="Y35" i="18"/>
  <c r="Y34" i="18" s="1"/>
  <c r="Y37" i="18"/>
  <c r="Y39" i="18"/>
  <c r="Y38" i="18" s="1"/>
  <c r="Y41" i="18"/>
  <c r="Y40" i="18" s="1"/>
  <c r="Y43" i="18"/>
  <c r="Y42" i="18" s="1"/>
  <c r="Y45" i="18"/>
  <c r="Y44" i="18" s="1"/>
  <c r="Z28" i="18"/>
  <c r="Z29" i="18"/>
  <c r="Z33" i="18"/>
  <c r="Z32" i="18" s="1"/>
  <c r="Z37" i="18"/>
  <c r="Z36" i="18" s="1"/>
  <c r="Z39" i="18"/>
  <c r="Z38" i="18" s="1"/>
  <c r="Z41" i="18"/>
  <c r="Z40" i="18" s="1"/>
  <c r="Z43" i="18"/>
  <c r="Z42" i="18" s="1"/>
  <c r="Z45" i="18"/>
  <c r="Z44" i="18" s="1"/>
  <c r="AA29" i="18"/>
  <c r="AA31" i="18"/>
  <c r="AA30" i="18" s="1"/>
  <c r="AA33" i="18"/>
  <c r="AA32" i="18" s="1"/>
  <c r="AA35" i="18"/>
  <c r="AA34" i="18" s="1"/>
  <c r="AA37" i="18"/>
  <c r="AA36" i="18" s="1"/>
  <c r="AA39" i="18"/>
  <c r="AA38" i="18" s="1"/>
  <c r="AA41" i="18"/>
  <c r="AA40" i="18" s="1"/>
  <c r="AA43" i="18"/>
  <c r="AA42" i="18" s="1"/>
  <c r="AA45" i="18"/>
  <c r="AA44" i="18" s="1"/>
  <c r="AB28" i="18"/>
  <c r="AB29" i="18"/>
  <c r="AB33" i="18"/>
  <c r="AB32" i="18" s="1"/>
  <c r="AB37" i="18"/>
  <c r="AB36" i="18" s="1"/>
  <c r="AB39" i="18"/>
  <c r="AB38" i="18" s="1"/>
  <c r="AB41" i="18"/>
  <c r="AB40" i="18" s="1"/>
  <c r="AB43" i="18"/>
  <c r="AB42" i="18" s="1"/>
  <c r="AB45" i="18"/>
  <c r="AB44" i="18" s="1"/>
  <c r="AC29" i="18"/>
  <c r="AC31" i="18"/>
  <c r="AC30" i="18" s="1"/>
  <c r="AC33" i="18"/>
  <c r="AC32" i="18" s="1"/>
  <c r="AC35" i="18"/>
  <c r="AC34" i="18" s="1"/>
  <c r="AC37" i="18"/>
  <c r="AC36" i="18" s="1"/>
  <c r="AC39" i="18"/>
  <c r="AC38" i="18" s="1"/>
  <c r="AC41" i="18"/>
  <c r="AC40" i="18" s="1"/>
  <c r="AC43" i="18"/>
  <c r="AC42" i="18" s="1"/>
  <c r="AC45" i="18"/>
  <c r="AC44" i="18" s="1"/>
  <c r="AD28" i="18"/>
  <c r="AD29" i="18"/>
  <c r="AD33" i="18"/>
  <c r="AD32" i="18" s="1"/>
  <c r="AD37" i="18"/>
  <c r="AD36" i="18" s="1"/>
  <c r="AD39" i="18"/>
  <c r="AD38" i="18" s="1"/>
  <c r="AD41" i="18"/>
  <c r="AD40" i="18" s="1"/>
  <c r="AD43" i="18"/>
  <c r="AD42" i="18" s="1"/>
  <c r="AD45" i="18"/>
  <c r="AD44" i="18" s="1"/>
  <c r="AE29" i="18"/>
  <c r="AE31" i="18"/>
  <c r="AE30" i="18" s="1"/>
  <c r="AE33" i="18"/>
  <c r="AE32" i="18" s="1"/>
  <c r="AE35" i="18"/>
  <c r="AE34" i="18" s="1"/>
  <c r="AE37" i="18"/>
  <c r="AE36" i="18" s="1"/>
  <c r="AE39" i="18"/>
  <c r="AE38" i="18" s="1"/>
  <c r="AE41" i="18"/>
  <c r="AE40" i="18" s="1"/>
  <c r="AE43" i="18"/>
  <c r="AE42" i="18" s="1"/>
  <c r="AE45" i="18"/>
  <c r="AE44" i="18" s="1"/>
  <c r="L80" i="13"/>
  <c r="M80" i="13" s="1"/>
  <c r="AQ80" i="13" s="1"/>
  <c r="L81" i="13"/>
  <c r="M81" i="13" s="1"/>
  <c r="L82" i="13"/>
  <c r="M82" i="13" s="1"/>
  <c r="AQ82" i="13" s="1"/>
  <c r="L84" i="13"/>
  <c r="M84" i="13" s="1"/>
  <c r="L86" i="13"/>
  <c r="M86" i="13" s="1"/>
  <c r="AQ86" i="13" s="1"/>
  <c r="L87" i="13"/>
  <c r="M87" i="13" s="1"/>
  <c r="L89" i="13"/>
  <c r="M89" i="13" s="1"/>
  <c r="L90" i="13"/>
  <c r="M90" i="13" s="1"/>
  <c r="L91" i="13"/>
  <c r="M91" i="13" s="1"/>
  <c r="AQ91" i="13" s="1"/>
  <c r="L94" i="13"/>
  <c r="M94" i="13" s="1"/>
  <c r="AQ94" i="13" s="1"/>
  <c r="L95" i="13"/>
  <c r="M95" i="13" s="1"/>
  <c r="L96" i="13"/>
  <c r="M96" i="13" s="1"/>
  <c r="L97" i="13"/>
  <c r="M97" i="13" s="1"/>
  <c r="L98" i="13"/>
  <c r="M98" i="13" s="1"/>
  <c r="AQ98" i="13" s="1"/>
  <c r="L101" i="13"/>
  <c r="M101" i="13" s="1"/>
  <c r="AQ101" i="13" s="1"/>
  <c r="L102" i="13"/>
  <c r="M102" i="13" s="1"/>
  <c r="L103" i="13"/>
  <c r="M103" i="13" s="1"/>
  <c r="L104" i="13"/>
  <c r="M104" i="13" s="1"/>
  <c r="L107" i="13"/>
  <c r="M107" i="13" s="1"/>
  <c r="L108" i="13"/>
  <c r="M108" i="13" s="1"/>
  <c r="AQ108" i="13" s="1"/>
  <c r="L109" i="13"/>
  <c r="M109" i="13" s="1"/>
  <c r="L112" i="13"/>
  <c r="M112" i="13" s="1"/>
  <c r="L113" i="13"/>
  <c r="M113" i="13" s="1"/>
  <c r="AQ113" i="13" s="1"/>
  <c r="L114" i="13"/>
  <c r="M114" i="13" s="1"/>
  <c r="L115" i="13"/>
  <c r="M115" i="13" s="1"/>
  <c r="AQ115" i="13" s="1"/>
  <c r="L116" i="13"/>
  <c r="M116" i="13" s="1"/>
  <c r="L119" i="13"/>
  <c r="M119" i="13" s="1"/>
  <c r="L120" i="13"/>
  <c r="M120" i="13" s="1"/>
  <c r="L121" i="13"/>
  <c r="M121" i="13" s="1"/>
  <c r="L124" i="13"/>
  <c r="M124" i="13" s="1"/>
  <c r="L125" i="13"/>
  <c r="M125" i="13" s="1"/>
  <c r="AQ125" i="13" s="1"/>
  <c r="L126" i="13"/>
  <c r="M126" i="13" s="1"/>
  <c r="L127" i="13"/>
  <c r="M127" i="13" s="1"/>
  <c r="AQ127" i="13" s="1"/>
  <c r="L128" i="13"/>
  <c r="M128" i="13" s="1"/>
  <c r="L129" i="13"/>
  <c r="M129" i="13" s="1"/>
  <c r="AQ129" i="13" s="1"/>
  <c r="L130" i="13"/>
  <c r="M130" i="13" s="1"/>
  <c r="L131" i="13"/>
  <c r="M131" i="13" s="1"/>
  <c r="L132" i="13"/>
  <c r="M132" i="13" s="1"/>
  <c r="L135" i="13"/>
  <c r="M135" i="13" s="1"/>
  <c r="L136" i="13"/>
  <c r="M136" i="13" s="1"/>
  <c r="AQ136" i="13" s="1"/>
  <c r="L137" i="13"/>
  <c r="M137" i="13" s="1"/>
  <c r="L138" i="13"/>
  <c r="M138" i="13" s="1"/>
  <c r="AQ138" i="13" s="1"/>
  <c r="L141" i="13"/>
  <c r="M141" i="13" s="1"/>
  <c r="AQ141" i="13" s="1"/>
  <c r="L142" i="13"/>
  <c r="M142" i="13" s="1"/>
  <c r="L143" i="13"/>
  <c r="M143" i="13" s="1"/>
  <c r="AQ143" i="13" s="1"/>
  <c r="L144" i="13"/>
  <c r="M144" i="13" s="1"/>
  <c r="L145" i="13"/>
  <c r="M145" i="13" s="1"/>
  <c r="AQ145" i="13" s="1"/>
  <c r="L146" i="13"/>
  <c r="M146" i="13" s="1"/>
  <c r="L147" i="13"/>
  <c r="M147" i="13" s="1"/>
  <c r="AQ147" i="13" s="1"/>
  <c r="L148" i="13"/>
  <c r="M148" i="13" s="1"/>
  <c r="AE80" i="13"/>
  <c r="AB80" i="13"/>
  <c r="Y80" i="13"/>
  <c r="U80" i="13"/>
  <c r="T80" i="13"/>
  <c r="S80" i="13"/>
  <c r="R80" i="13"/>
  <c r="AE81" i="13"/>
  <c r="AB81" i="13"/>
  <c r="Y81" i="13"/>
  <c r="U81" i="13"/>
  <c r="T81" i="13"/>
  <c r="S81" i="13"/>
  <c r="R81" i="13"/>
  <c r="AE82" i="13"/>
  <c r="AB82" i="13"/>
  <c r="Y82" i="13"/>
  <c r="U82" i="13"/>
  <c r="T82" i="13"/>
  <c r="S82" i="13"/>
  <c r="R82" i="13"/>
  <c r="AE84" i="13"/>
  <c r="AB84" i="13"/>
  <c r="Y84" i="13"/>
  <c r="U84" i="13"/>
  <c r="T84" i="13"/>
  <c r="S84" i="13"/>
  <c r="R84" i="13"/>
  <c r="AB86" i="13"/>
  <c r="Y86" i="13"/>
  <c r="U86" i="13"/>
  <c r="T86" i="13"/>
  <c r="S86" i="13"/>
  <c r="R86" i="13"/>
  <c r="AB87" i="13"/>
  <c r="Y87" i="13"/>
  <c r="U87" i="13"/>
  <c r="T87" i="13"/>
  <c r="S87" i="13"/>
  <c r="R87" i="13"/>
  <c r="AB89" i="13"/>
  <c r="Y89" i="13"/>
  <c r="U89" i="13"/>
  <c r="T89" i="13"/>
  <c r="S89" i="13"/>
  <c r="R89" i="13"/>
  <c r="AB90" i="13"/>
  <c r="Y90" i="13"/>
  <c r="U90" i="13"/>
  <c r="T90" i="13"/>
  <c r="S90" i="13"/>
  <c r="R90" i="13"/>
  <c r="AB91" i="13"/>
  <c r="Y91" i="13"/>
  <c r="U91" i="13"/>
  <c r="T91" i="13"/>
  <c r="S91" i="13"/>
  <c r="R91" i="13"/>
  <c r="AB94" i="13"/>
  <c r="Y94" i="13"/>
  <c r="U94" i="13"/>
  <c r="T94" i="13"/>
  <c r="S94" i="13"/>
  <c r="R94" i="13"/>
  <c r="AB95" i="13"/>
  <c r="Y95" i="13"/>
  <c r="U95" i="13"/>
  <c r="T95" i="13"/>
  <c r="S95" i="13"/>
  <c r="R95" i="13"/>
  <c r="AB96" i="13"/>
  <c r="Y96" i="13"/>
  <c r="U96" i="13"/>
  <c r="T96" i="13"/>
  <c r="S96" i="13"/>
  <c r="R96" i="13"/>
  <c r="AB97" i="13"/>
  <c r="Y97" i="13"/>
  <c r="U97" i="13"/>
  <c r="T97" i="13"/>
  <c r="S97" i="13"/>
  <c r="R97" i="13"/>
  <c r="AB98" i="13"/>
  <c r="Y98" i="13"/>
  <c r="U98" i="13"/>
  <c r="T98" i="13"/>
  <c r="S98" i="13"/>
  <c r="R98" i="13"/>
  <c r="AB101" i="13"/>
  <c r="Y101" i="13"/>
  <c r="U101" i="13"/>
  <c r="T101" i="13"/>
  <c r="S101" i="13"/>
  <c r="R101" i="13"/>
  <c r="AB102" i="13"/>
  <c r="Y102" i="13"/>
  <c r="U102" i="13"/>
  <c r="T102" i="13"/>
  <c r="S102" i="13"/>
  <c r="R102" i="13"/>
  <c r="AB103" i="13"/>
  <c r="Y103" i="13"/>
  <c r="U103" i="13"/>
  <c r="T103" i="13"/>
  <c r="S103" i="13"/>
  <c r="R103" i="13"/>
  <c r="AB104" i="13"/>
  <c r="Y104" i="13"/>
  <c r="U104" i="13"/>
  <c r="T104" i="13"/>
  <c r="S104" i="13"/>
  <c r="R104" i="13"/>
  <c r="AB107" i="13"/>
  <c r="Y107" i="13"/>
  <c r="U107" i="13"/>
  <c r="T107" i="13"/>
  <c r="S107" i="13"/>
  <c r="R107" i="13"/>
  <c r="AB108" i="13"/>
  <c r="Y108" i="13"/>
  <c r="U108" i="13"/>
  <c r="T108" i="13"/>
  <c r="S108" i="13"/>
  <c r="R108" i="13"/>
  <c r="AB109" i="13"/>
  <c r="Y109" i="13"/>
  <c r="U109" i="13"/>
  <c r="T109" i="13"/>
  <c r="S109" i="13"/>
  <c r="R109" i="13"/>
  <c r="AB112" i="13"/>
  <c r="Y112" i="13"/>
  <c r="U112" i="13"/>
  <c r="T112" i="13"/>
  <c r="S112" i="13"/>
  <c r="R112" i="13"/>
  <c r="AB113" i="13"/>
  <c r="Y113" i="13"/>
  <c r="U113" i="13"/>
  <c r="T113" i="13"/>
  <c r="S113" i="13"/>
  <c r="R113" i="13"/>
  <c r="AB114" i="13"/>
  <c r="Y114" i="13"/>
  <c r="U114" i="13"/>
  <c r="T114" i="13"/>
  <c r="S114" i="13"/>
  <c r="R114" i="13"/>
  <c r="AB115" i="13"/>
  <c r="Y115" i="13"/>
  <c r="U115" i="13"/>
  <c r="T115" i="13"/>
  <c r="S115" i="13"/>
  <c r="R115" i="13"/>
  <c r="AB116" i="13"/>
  <c r="Y116" i="13"/>
  <c r="U116" i="13"/>
  <c r="T116" i="13"/>
  <c r="S116" i="13"/>
  <c r="R116" i="13"/>
  <c r="AB119" i="13"/>
  <c r="Y119" i="13"/>
  <c r="U119" i="13"/>
  <c r="T119" i="13"/>
  <c r="S119" i="13"/>
  <c r="R119" i="13"/>
  <c r="AB120" i="13"/>
  <c r="Y120" i="13"/>
  <c r="U120" i="13"/>
  <c r="T120" i="13"/>
  <c r="S120" i="13"/>
  <c r="R120" i="13"/>
  <c r="AB121" i="13"/>
  <c r="Y121" i="13"/>
  <c r="U121" i="13"/>
  <c r="T121" i="13"/>
  <c r="S121" i="13"/>
  <c r="R121" i="13"/>
  <c r="AB124" i="13"/>
  <c r="Y124" i="13"/>
  <c r="U124" i="13"/>
  <c r="T124" i="13"/>
  <c r="S124" i="13"/>
  <c r="R124" i="13"/>
  <c r="AB125" i="13"/>
  <c r="Y125" i="13"/>
  <c r="U125" i="13"/>
  <c r="T125" i="13"/>
  <c r="S125" i="13"/>
  <c r="R125" i="13"/>
  <c r="AB126" i="13"/>
  <c r="Y126" i="13"/>
  <c r="U126" i="13"/>
  <c r="T126" i="13"/>
  <c r="S126" i="13"/>
  <c r="R126" i="13"/>
  <c r="AB127" i="13"/>
  <c r="Y127" i="13"/>
  <c r="U127" i="13"/>
  <c r="T127" i="13"/>
  <c r="S127" i="13"/>
  <c r="R127" i="13"/>
  <c r="AB128" i="13"/>
  <c r="Y128" i="13"/>
  <c r="U128" i="13"/>
  <c r="T128" i="13"/>
  <c r="S128" i="13"/>
  <c r="R128" i="13"/>
  <c r="AB129" i="13"/>
  <c r="Y129" i="13"/>
  <c r="U129" i="13"/>
  <c r="T129" i="13"/>
  <c r="S129" i="13"/>
  <c r="R129" i="13"/>
  <c r="AB130" i="13"/>
  <c r="Y130" i="13"/>
  <c r="U130" i="13"/>
  <c r="T130" i="13"/>
  <c r="S130" i="13"/>
  <c r="R130" i="13"/>
  <c r="AB131" i="13"/>
  <c r="Y131" i="13"/>
  <c r="U131" i="13"/>
  <c r="T131" i="13"/>
  <c r="S131" i="13"/>
  <c r="R131" i="13"/>
  <c r="AB132" i="13"/>
  <c r="Y132" i="13"/>
  <c r="U132" i="13"/>
  <c r="T132" i="13"/>
  <c r="S132" i="13"/>
  <c r="R132" i="13"/>
  <c r="AB135" i="13"/>
  <c r="Y135" i="13"/>
  <c r="U135" i="13"/>
  <c r="T135" i="13"/>
  <c r="S135" i="13"/>
  <c r="R135" i="13"/>
  <c r="AB136" i="13"/>
  <c r="Y136" i="13"/>
  <c r="U136" i="13"/>
  <c r="T136" i="13"/>
  <c r="S136" i="13"/>
  <c r="R136" i="13"/>
  <c r="AB137" i="13"/>
  <c r="Y137" i="13"/>
  <c r="U137" i="13"/>
  <c r="T137" i="13"/>
  <c r="S137" i="13"/>
  <c r="R137" i="13"/>
  <c r="AB138" i="13"/>
  <c r="Y138" i="13"/>
  <c r="U138" i="13"/>
  <c r="T138" i="13"/>
  <c r="S138" i="13"/>
  <c r="R138" i="13"/>
  <c r="AB141" i="13"/>
  <c r="Y141" i="13"/>
  <c r="U141" i="13"/>
  <c r="T141" i="13"/>
  <c r="S141" i="13"/>
  <c r="R141" i="13"/>
  <c r="AB142" i="13"/>
  <c r="Y142" i="13"/>
  <c r="U142" i="13"/>
  <c r="T142" i="13"/>
  <c r="S142" i="13"/>
  <c r="R142" i="13"/>
  <c r="AB143" i="13"/>
  <c r="Y143" i="13"/>
  <c r="U143" i="13"/>
  <c r="T143" i="13"/>
  <c r="S143" i="13"/>
  <c r="R143" i="13"/>
  <c r="AB144" i="13"/>
  <c r="Y144" i="13"/>
  <c r="U144" i="13"/>
  <c r="T144" i="13"/>
  <c r="S144" i="13"/>
  <c r="R144" i="13"/>
  <c r="AB145" i="13"/>
  <c r="Y145" i="13"/>
  <c r="U145" i="13"/>
  <c r="T145" i="13"/>
  <c r="S145" i="13"/>
  <c r="R145" i="13"/>
  <c r="AB146" i="13"/>
  <c r="Y146" i="13"/>
  <c r="U146" i="13"/>
  <c r="T146" i="13"/>
  <c r="S146" i="13"/>
  <c r="R146" i="13"/>
  <c r="AB147" i="13"/>
  <c r="Y147" i="13"/>
  <c r="U147" i="13"/>
  <c r="T147" i="13"/>
  <c r="S147" i="13"/>
  <c r="R147" i="13"/>
  <c r="AB148" i="13"/>
  <c r="Y148" i="13"/>
  <c r="U148" i="13"/>
  <c r="T148" i="13"/>
  <c r="S148" i="13"/>
  <c r="R148" i="13"/>
  <c r="AM80" i="13"/>
  <c r="AN80" i="13" s="1"/>
  <c r="AS80" i="13" s="1"/>
  <c r="AM81" i="13"/>
  <c r="AN81" i="13" s="1"/>
  <c r="AM82" i="13"/>
  <c r="AN82" i="13" s="1"/>
  <c r="AS82" i="13" s="1"/>
  <c r="AM84" i="13"/>
  <c r="AN84" i="13" s="1"/>
  <c r="AM86" i="13"/>
  <c r="AN86" i="13" s="1"/>
  <c r="AS86" i="13" s="1"/>
  <c r="AM87" i="13"/>
  <c r="AN87" i="13" s="1"/>
  <c r="AM89" i="13"/>
  <c r="AN89" i="13" s="1"/>
  <c r="AS89" i="13" s="1"/>
  <c r="AM90" i="13"/>
  <c r="AN90" i="13" s="1"/>
  <c r="AM91" i="13"/>
  <c r="AN91" i="13" s="1"/>
  <c r="AM94" i="13"/>
  <c r="AN94" i="13" s="1"/>
  <c r="AM95" i="13"/>
  <c r="AN95" i="13" s="1"/>
  <c r="AM96" i="13"/>
  <c r="AN96" i="13" s="1"/>
  <c r="AS96" i="13" s="1"/>
  <c r="AM97" i="13"/>
  <c r="AN97" i="13" s="1"/>
  <c r="AM98" i="13"/>
  <c r="AN98" i="13" s="1"/>
  <c r="AS98" i="13" s="1"/>
  <c r="AM101" i="13"/>
  <c r="AN101" i="13" s="1"/>
  <c r="AM102" i="13"/>
  <c r="AN102" i="13" s="1"/>
  <c r="AM103" i="13"/>
  <c r="AN103" i="13" s="1"/>
  <c r="AS103" i="13" s="1"/>
  <c r="AM104" i="13"/>
  <c r="AN104" i="13" s="1"/>
  <c r="AM107" i="13"/>
  <c r="AN107" i="13" s="1"/>
  <c r="AM108" i="13"/>
  <c r="AN108" i="13" s="1"/>
  <c r="AM109" i="13"/>
  <c r="AN109" i="13" s="1"/>
  <c r="AM112" i="13"/>
  <c r="AN112" i="13" s="1"/>
  <c r="AM113" i="13"/>
  <c r="AN113" i="13" s="1"/>
  <c r="AS113" i="13" s="1"/>
  <c r="AM114" i="13"/>
  <c r="AN114" i="13" s="1"/>
  <c r="AM115" i="13"/>
  <c r="AN115" i="13" s="1"/>
  <c r="AS115" i="13" s="1"/>
  <c r="AM116" i="13"/>
  <c r="AN116" i="13" s="1"/>
  <c r="AS116" i="13" s="1"/>
  <c r="AM119" i="13"/>
  <c r="AN119" i="13" s="1"/>
  <c r="AS119" i="13" s="1"/>
  <c r="AM120" i="13"/>
  <c r="AN120" i="13" s="1"/>
  <c r="AS120" i="13" s="1"/>
  <c r="AM121" i="13"/>
  <c r="AN121" i="13"/>
  <c r="AS121" i="13" s="1"/>
  <c r="AM124" i="13"/>
  <c r="AN124" i="13" s="1"/>
  <c r="AS124" i="13" s="1"/>
  <c r="AM125" i="13"/>
  <c r="AN125" i="13" s="1"/>
  <c r="AS125" i="13" s="1"/>
  <c r="AM126" i="13"/>
  <c r="AN126" i="13" s="1"/>
  <c r="AS126" i="13" s="1"/>
  <c r="AM127" i="13"/>
  <c r="AN127" i="13" s="1"/>
  <c r="AS127" i="13" s="1"/>
  <c r="AM128" i="13"/>
  <c r="AN128" i="13" s="1"/>
  <c r="AM129" i="13"/>
  <c r="AN129" i="13" s="1"/>
  <c r="AS129" i="13" s="1"/>
  <c r="AM130" i="13"/>
  <c r="AN130" i="13" s="1"/>
  <c r="AS130" i="13" s="1"/>
  <c r="AM131" i="13"/>
  <c r="AN131" i="13" s="1"/>
  <c r="AS131" i="13" s="1"/>
  <c r="AM132" i="13"/>
  <c r="AN132" i="13" s="1"/>
  <c r="AS132" i="13" s="1"/>
  <c r="AM135" i="13"/>
  <c r="AN135" i="13" s="1"/>
  <c r="AM136" i="13"/>
  <c r="AN136" i="13" s="1"/>
  <c r="AS136" i="13" s="1"/>
  <c r="AM137" i="13"/>
  <c r="AN137" i="13" s="1"/>
  <c r="AS137" i="13" s="1"/>
  <c r="AM138" i="13"/>
  <c r="AN138" i="13" s="1"/>
  <c r="AS138" i="13" s="1"/>
  <c r="AM141" i="13"/>
  <c r="AN141" i="13" s="1"/>
  <c r="AS141" i="13" s="1"/>
  <c r="AM142" i="13"/>
  <c r="AN142" i="13" s="1"/>
  <c r="AS142" i="13" s="1"/>
  <c r="AM143" i="13"/>
  <c r="AN143" i="13" s="1"/>
  <c r="AS143" i="13" s="1"/>
  <c r="AM144" i="13"/>
  <c r="AN144" i="13" s="1"/>
  <c r="AM145" i="13"/>
  <c r="AN145" i="13" s="1"/>
  <c r="AS145" i="13" s="1"/>
  <c r="AM146" i="13"/>
  <c r="AN146" i="13" s="1"/>
  <c r="AS146" i="13" s="1"/>
  <c r="AM147" i="13"/>
  <c r="AN147" i="13" s="1"/>
  <c r="AS147" i="13" s="1"/>
  <c r="AM148" i="13"/>
  <c r="AN148" i="13" s="1"/>
  <c r="AS148" i="13" s="1"/>
  <c r="AL28" i="18"/>
  <c r="AL29" i="18"/>
  <c r="AL31" i="18"/>
  <c r="AL30" i="18" s="1"/>
  <c r="AL33" i="18"/>
  <c r="AL32" i="18" s="1"/>
  <c r="AL35" i="18"/>
  <c r="AL34" i="18" s="1"/>
  <c r="AL37" i="18"/>
  <c r="AL36" i="18" s="1"/>
  <c r="AL39" i="18"/>
  <c r="AL38" i="18" s="1"/>
  <c r="AL41" i="18"/>
  <c r="AL40" i="18" s="1"/>
  <c r="AL43" i="18"/>
  <c r="AL42" i="18" s="1"/>
  <c r="AL45" i="18"/>
  <c r="AL44" i="18" s="1"/>
  <c r="AM28" i="18"/>
  <c r="AM29" i="18"/>
  <c r="AM31" i="18"/>
  <c r="AM30" i="18" s="1"/>
  <c r="AM33" i="18"/>
  <c r="AM32" i="18" s="1"/>
  <c r="AM35" i="18"/>
  <c r="AM34" i="18" s="1"/>
  <c r="AM37" i="18"/>
  <c r="AM36" i="18" s="1"/>
  <c r="AM39" i="18"/>
  <c r="AM38" i="18" s="1"/>
  <c r="AM41" i="18"/>
  <c r="AM40" i="18" s="1"/>
  <c r="AM43" i="18"/>
  <c r="AM42" i="18" s="1"/>
  <c r="AM45" i="18"/>
  <c r="AM44" i="18" s="1"/>
  <c r="AN28" i="18"/>
  <c r="AN29" i="18"/>
  <c r="AN31" i="18"/>
  <c r="AN30" i="18" s="1"/>
  <c r="AN33" i="18"/>
  <c r="AN32" i="18" s="1"/>
  <c r="AN35" i="18"/>
  <c r="AN34" i="18" s="1"/>
  <c r="AN37" i="18"/>
  <c r="AN36" i="18" s="1"/>
  <c r="AN39" i="18"/>
  <c r="AN38" i="18" s="1"/>
  <c r="AN41" i="18"/>
  <c r="AN40" i="18" s="1"/>
  <c r="AN43" i="18"/>
  <c r="AN42" i="18" s="1"/>
  <c r="AN45" i="18"/>
  <c r="AN44" i="18" s="1"/>
  <c r="AO28" i="18"/>
  <c r="AO29" i="18"/>
  <c r="AO31" i="18"/>
  <c r="AO30" i="18" s="1"/>
  <c r="AO33" i="18"/>
  <c r="AO32" i="18" s="1"/>
  <c r="AO35" i="18"/>
  <c r="AO34" i="18" s="1"/>
  <c r="AO37" i="18"/>
  <c r="AO36" i="18" s="1"/>
  <c r="AO39" i="18"/>
  <c r="AO38" i="18" s="1"/>
  <c r="AO41" i="18"/>
  <c r="AO40" i="18" s="1"/>
  <c r="AO43" i="18"/>
  <c r="AO42" i="18" s="1"/>
  <c r="AO45" i="18"/>
  <c r="AO44" i="18" s="1"/>
  <c r="AP28" i="18"/>
  <c r="AP29" i="18"/>
  <c r="AP31" i="18"/>
  <c r="AP30" i="18" s="1"/>
  <c r="AP33" i="18"/>
  <c r="AP32" i="18" s="1"/>
  <c r="AP35" i="18"/>
  <c r="AP34" i="18" s="1"/>
  <c r="AP37" i="18"/>
  <c r="AP36" i="18" s="1"/>
  <c r="AP39" i="18"/>
  <c r="AP38" i="18" s="1"/>
  <c r="AP41" i="18"/>
  <c r="AP40" i="18" s="1"/>
  <c r="AP43" i="18"/>
  <c r="AP42" i="18" s="1"/>
  <c r="AP45" i="18"/>
  <c r="AP44" i="18" s="1"/>
  <c r="AQ28" i="18"/>
  <c r="AQ29" i="18"/>
  <c r="AQ31" i="18"/>
  <c r="AQ30" i="18" s="1"/>
  <c r="AQ33" i="18"/>
  <c r="AQ32" i="18" s="1"/>
  <c r="AQ35" i="18"/>
  <c r="AQ34" i="18" s="1"/>
  <c r="AQ37" i="18"/>
  <c r="AQ36" i="18" s="1"/>
  <c r="AQ39" i="18"/>
  <c r="AQ38" i="18" s="1"/>
  <c r="AQ41" i="18"/>
  <c r="AQ40" i="18" s="1"/>
  <c r="AQ43" i="18"/>
  <c r="AQ42" i="18" s="1"/>
  <c r="AQ45" i="18"/>
  <c r="AQ44" i="18" s="1"/>
  <c r="AR28" i="18"/>
  <c r="AR29" i="18"/>
  <c r="AR31" i="18"/>
  <c r="AR30" i="18" s="1"/>
  <c r="AR33" i="18"/>
  <c r="AR32" i="18" s="1"/>
  <c r="AR35" i="18"/>
  <c r="AR34" i="18" s="1"/>
  <c r="AR37" i="18"/>
  <c r="AR36" i="18" s="1"/>
  <c r="AR39" i="18"/>
  <c r="AR38" i="18" s="1"/>
  <c r="AR41" i="18"/>
  <c r="AR40" i="18" s="1"/>
  <c r="AR43" i="18"/>
  <c r="AR42" i="18" s="1"/>
  <c r="AR45" i="18"/>
  <c r="AR44" i="18" s="1"/>
  <c r="L80" i="14"/>
  <c r="M80" i="14" s="1"/>
  <c r="AQ80" i="14" s="1"/>
  <c r="L81" i="14"/>
  <c r="M81" i="14" s="1"/>
  <c r="AQ81" i="14" s="1"/>
  <c r="L82" i="14"/>
  <c r="M82" i="14" s="1"/>
  <c r="AQ82" i="14" s="1"/>
  <c r="L84" i="14"/>
  <c r="M84" i="14" s="1"/>
  <c r="AQ84" i="14" s="1"/>
  <c r="L86" i="14"/>
  <c r="M86" i="14" s="1"/>
  <c r="AQ86" i="14" s="1"/>
  <c r="L87" i="14"/>
  <c r="M87" i="14" s="1"/>
  <c r="L89" i="14"/>
  <c r="M89" i="14" s="1"/>
  <c r="AQ89" i="14" s="1"/>
  <c r="L90" i="14"/>
  <c r="M90" i="14" s="1"/>
  <c r="AQ90" i="14" s="1"/>
  <c r="L91" i="14"/>
  <c r="M91" i="14" s="1"/>
  <c r="AQ91" i="14" s="1"/>
  <c r="L94" i="14"/>
  <c r="M94" i="14" s="1"/>
  <c r="AQ94" i="14" s="1"/>
  <c r="L95" i="14"/>
  <c r="M95" i="14" s="1"/>
  <c r="L96" i="14"/>
  <c r="M96" i="14" s="1"/>
  <c r="AQ96" i="14" s="1"/>
  <c r="L97" i="14"/>
  <c r="M97" i="14" s="1"/>
  <c r="AQ97" i="14" s="1"/>
  <c r="L98" i="14"/>
  <c r="M98" i="14" s="1"/>
  <c r="AQ98" i="14" s="1"/>
  <c r="L101" i="14"/>
  <c r="M101" i="14" s="1"/>
  <c r="AQ101" i="14" s="1"/>
  <c r="L102" i="14"/>
  <c r="M102" i="14" s="1"/>
  <c r="AQ102" i="14" s="1"/>
  <c r="L103" i="14"/>
  <c r="M103" i="14" s="1"/>
  <c r="AQ103" i="14" s="1"/>
  <c r="L104" i="14"/>
  <c r="M104" i="14" s="1"/>
  <c r="L107" i="14"/>
  <c r="M107" i="14" s="1"/>
  <c r="L108" i="14"/>
  <c r="M108" i="14" s="1"/>
  <c r="AQ108" i="14" s="1"/>
  <c r="L109" i="14"/>
  <c r="M109" i="14" s="1"/>
  <c r="AQ109" i="14" s="1"/>
  <c r="L112" i="14"/>
  <c r="M112" i="14" s="1"/>
  <c r="AQ112" i="14" s="1"/>
  <c r="L113" i="14"/>
  <c r="M113" i="14" s="1"/>
  <c r="AQ113" i="14" s="1"/>
  <c r="L114" i="14"/>
  <c r="M114" i="14" s="1"/>
  <c r="L115" i="14"/>
  <c r="M115" i="14" s="1"/>
  <c r="AQ115" i="14" s="1"/>
  <c r="L116" i="14"/>
  <c r="M116" i="14" s="1"/>
  <c r="AQ116" i="14" s="1"/>
  <c r="L119" i="14"/>
  <c r="M119" i="14" s="1"/>
  <c r="AQ119" i="14" s="1"/>
  <c r="L120" i="14"/>
  <c r="M120" i="14" s="1"/>
  <c r="AQ120" i="14" s="1"/>
  <c r="L121" i="14"/>
  <c r="M121" i="14" s="1"/>
  <c r="L124" i="14"/>
  <c r="M124" i="14" s="1"/>
  <c r="L125" i="14"/>
  <c r="M125" i="14" s="1"/>
  <c r="AQ125" i="14" s="1"/>
  <c r="L126" i="14"/>
  <c r="M126" i="14" s="1"/>
  <c r="AQ126" i="14" s="1"/>
  <c r="L127" i="14"/>
  <c r="M127" i="14" s="1"/>
  <c r="AQ127" i="14" s="1"/>
  <c r="L128" i="14"/>
  <c r="M128" i="14" s="1"/>
  <c r="AQ128" i="14" s="1"/>
  <c r="L129" i="14"/>
  <c r="M129" i="14" s="1"/>
  <c r="AQ129" i="14" s="1"/>
  <c r="L130" i="14"/>
  <c r="M130" i="14" s="1"/>
  <c r="AQ130" i="14" s="1"/>
  <c r="L131" i="14"/>
  <c r="M131" i="14" s="1"/>
  <c r="AQ131" i="14" s="1"/>
  <c r="L132" i="14"/>
  <c r="M132" i="14" s="1"/>
  <c r="AQ132" i="14" s="1"/>
  <c r="L135" i="14"/>
  <c r="M135" i="14" s="1"/>
  <c r="L136" i="14"/>
  <c r="M136" i="14" s="1"/>
  <c r="AQ136" i="14" s="1"/>
  <c r="L137" i="14"/>
  <c r="M137" i="14" s="1"/>
  <c r="AQ137" i="14" s="1"/>
  <c r="L138" i="14"/>
  <c r="M138" i="14" s="1"/>
  <c r="AQ138" i="14" s="1"/>
  <c r="L141" i="14"/>
  <c r="M141" i="14" s="1"/>
  <c r="AQ141" i="14" s="1"/>
  <c r="L142" i="14"/>
  <c r="M142" i="14" s="1"/>
  <c r="AQ142" i="14" s="1"/>
  <c r="L143" i="14"/>
  <c r="M143" i="14" s="1"/>
  <c r="AQ143" i="14" s="1"/>
  <c r="L144" i="14"/>
  <c r="M144" i="14" s="1"/>
  <c r="L145" i="14"/>
  <c r="M145" i="14" s="1"/>
  <c r="AQ145" i="14" s="1"/>
  <c r="L146" i="14"/>
  <c r="M146" i="14" s="1"/>
  <c r="AQ146" i="14" s="1"/>
  <c r="L147" i="14"/>
  <c r="M147" i="14" s="1"/>
  <c r="AQ147" i="14" s="1"/>
  <c r="L148" i="14"/>
  <c r="M148" i="14" s="1"/>
  <c r="AQ148" i="14" s="1"/>
  <c r="AE80" i="14"/>
  <c r="AB80" i="14"/>
  <c r="Y80" i="14"/>
  <c r="U80" i="14"/>
  <c r="T80" i="14"/>
  <c r="S80" i="14"/>
  <c r="R80" i="14"/>
  <c r="AE81" i="14"/>
  <c r="AB81" i="14"/>
  <c r="Y81" i="14"/>
  <c r="U81" i="14"/>
  <c r="T81" i="14"/>
  <c r="S81" i="14"/>
  <c r="R81" i="14"/>
  <c r="AE82" i="14"/>
  <c r="AB82" i="14"/>
  <c r="Y82" i="14"/>
  <c r="U82" i="14"/>
  <c r="T82" i="14"/>
  <c r="S82" i="14"/>
  <c r="R82" i="14"/>
  <c r="AE84" i="14"/>
  <c r="AB84" i="14"/>
  <c r="Y84" i="14"/>
  <c r="U84" i="14"/>
  <c r="T84" i="14"/>
  <c r="S84" i="14"/>
  <c r="R84" i="14"/>
  <c r="AB86" i="14"/>
  <c r="Y86" i="14"/>
  <c r="U86" i="14"/>
  <c r="T86" i="14"/>
  <c r="S86" i="14"/>
  <c r="R86" i="14"/>
  <c r="AB87" i="14"/>
  <c r="Y87" i="14"/>
  <c r="U87" i="14"/>
  <c r="T87" i="14"/>
  <c r="S87" i="14"/>
  <c r="R87" i="14"/>
  <c r="AB89" i="14"/>
  <c r="Y89" i="14"/>
  <c r="U89" i="14"/>
  <c r="T89" i="14"/>
  <c r="S89" i="14"/>
  <c r="R89" i="14"/>
  <c r="AB90" i="14"/>
  <c r="Y90" i="14"/>
  <c r="U90" i="14"/>
  <c r="T90" i="14"/>
  <c r="S90" i="14"/>
  <c r="R90" i="14"/>
  <c r="AB91" i="14"/>
  <c r="Y91" i="14"/>
  <c r="U91" i="14"/>
  <c r="T91" i="14"/>
  <c r="S91" i="14"/>
  <c r="R91" i="14"/>
  <c r="AB94" i="14"/>
  <c r="Y94" i="14"/>
  <c r="U94" i="14"/>
  <c r="T94" i="14"/>
  <c r="S94" i="14"/>
  <c r="R94" i="14"/>
  <c r="AB95" i="14"/>
  <c r="Y95" i="14"/>
  <c r="U95" i="14"/>
  <c r="T95" i="14"/>
  <c r="S95" i="14"/>
  <c r="R95" i="14"/>
  <c r="AB96" i="14"/>
  <c r="Y96" i="14"/>
  <c r="U96" i="14"/>
  <c r="T96" i="14"/>
  <c r="S96" i="14"/>
  <c r="R96" i="14"/>
  <c r="AB97" i="14"/>
  <c r="Y97" i="14"/>
  <c r="U97" i="14"/>
  <c r="T97" i="14"/>
  <c r="S97" i="14"/>
  <c r="R97" i="14"/>
  <c r="AB98" i="14"/>
  <c r="Y98" i="14"/>
  <c r="U98" i="14"/>
  <c r="T98" i="14"/>
  <c r="S98" i="14"/>
  <c r="R98" i="14"/>
  <c r="AB101" i="14"/>
  <c r="Y101" i="14"/>
  <c r="U101" i="14"/>
  <c r="T101" i="14"/>
  <c r="S101" i="14"/>
  <c r="R101" i="14"/>
  <c r="AB102" i="14"/>
  <c r="Y102" i="14"/>
  <c r="U102" i="14"/>
  <c r="T102" i="14"/>
  <c r="S102" i="14"/>
  <c r="R102" i="14"/>
  <c r="AB103" i="14"/>
  <c r="Y103" i="14"/>
  <c r="U103" i="14"/>
  <c r="T103" i="14"/>
  <c r="S103" i="14"/>
  <c r="R103" i="14"/>
  <c r="AB104" i="14"/>
  <c r="Y104" i="14"/>
  <c r="U104" i="14"/>
  <c r="T104" i="14"/>
  <c r="S104" i="14"/>
  <c r="R104" i="14"/>
  <c r="AB107" i="14"/>
  <c r="Y107" i="14"/>
  <c r="U107" i="14"/>
  <c r="T107" i="14"/>
  <c r="S107" i="14"/>
  <c r="R107" i="14"/>
  <c r="AB108" i="14"/>
  <c r="Y108" i="14"/>
  <c r="U108" i="14"/>
  <c r="T108" i="14"/>
  <c r="S108" i="14"/>
  <c r="R108" i="14"/>
  <c r="AB109" i="14"/>
  <c r="Y109" i="14"/>
  <c r="U109" i="14"/>
  <c r="T109" i="14"/>
  <c r="S109" i="14"/>
  <c r="R109" i="14"/>
  <c r="AB112" i="14"/>
  <c r="Y112" i="14"/>
  <c r="U112" i="14"/>
  <c r="T112" i="14"/>
  <c r="S112" i="14"/>
  <c r="R112" i="14"/>
  <c r="AB113" i="14"/>
  <c r="Y113" i="14"/>
  <c r="U113" i="14"/>
  <c r="T113" i="14"/>
  <c r="S113" i="14"/>
  <c r="R113" i="14"/>
  <c r="AB114" i="14"/>
  <c r="Y114" i="14"/>
  <c r="U114" i="14"/>
  <c r="T114" i="14"/>
  <c r="S114" i="14"/>
  <c r="R114" i="14"/>
  <c r="AB115" i="14"/>
  <c r="Y115" i="14"/>
  <c r="U115" i="14"/>
  <c r="T115" i="14"/>
  <c r="S115" i="14"/>
  <c r="R115" i="14"/>
  <c r="AB116" i="14"/>
  <c r="Y116" i="14"/>
  <c r="U116" i="14"/>
  <c r="T116" i="14"/>
  <c r="S116" i="14"/>
  <c r="R116" i="14"/>
  <c r="AB119" i="14"/>
  <c r="Y119" i="14"/>
  <c r="U119" i="14"/>
  <c r="T119" i="14"/>
  <c r="S119" i="14"/>
  <c r="R119" i="14"/>
  <c r="AB120" i="14"/>
  <c r="Y120" i="14"/>
  <c r="U120" i="14"/>
  <c r="T120" i="14"/>
  <c r="S120" i="14"/>
  <c r="R120" i="14"/>
  <c r="AB121" i="14"/>
  <c r="Y121" i="14"/>
  <c r="U121" i="14"/>
  <c r="T121" i="14"/>
  <c r="S121" i="14"/>
  <c r="R121" i="14"/>
  <c r="AB124" i="14"/>
  <c r="Y124" i="14"/>
  <c r="U124" i="14"/>
  <c r="T124" i="14"/>
  <c r="S124" i="14"/>
  <c r="R124" i="14"/>
  <c r="AB125" i="14"/>
  <c r="Y125" i="14"/>
  <c r="U125" i="14"/>
  <c r="T125" i="14"/>
  <c r="S125" i="14"/>
  <c r="R125" i="14"/>
  <c r="AB126" i="14"/>
  <c r="Y126" i="14"/>
  <c r="U126" i="14"/>
  <c r="T126" i="14"/>
  <c r="S126" i="14"/>
  <c r="R126" i="14"/>
  <c r="AB127" i="14"/>
  <c r="Y127" i="14"/>
  <c r="U127" i="14"/>
  <c r="T127" i="14"/>
  <c r="S127" i="14"/>
  <c r="R127" i="14"/>
  <c r="AB128" i="14"/>
  <c r="Y128" i="14"/>
  <c r="U128" i="14"/>
  <c r="T128" i="14"/>
  <c r="S128" i="14"/>
  <c r="R128" i="14"/>
  <c r="AB129" i="14"/>
  <c r="Y129" i="14"/>
  <c r="U129" i="14"/>
  <c r="T129" i="14"/>
  <c r="S129" i="14"/>
  <c r="R129" i="14"/>
  <c r="AB130" i="14"/>
  <c r="Y130" i="14"/>
  <c r="U130" i="14"/>
  <c r="T130" i="14"/>
  <c r="S130" i="14"/>
  <c r="R130" i="14"/>
  <c r="AB131" i="14"/>
  <c r="Y131" i="14"/>
  <c r="U131" i="14"/>
  <c r="T131" i="14"/>
  <c r="S131" i="14"/>
  <c r="R131" i="14"/>
  <c r="AB132" i="14"/>
  <c r="Y132" i="14"/>
  <c r="U132" i="14"/>
  <c r="T132" i="14"/>
  <c r="S132" i="14"/>
  <c r="R132" i="14"/>
  <c r="AB135" i="14"/>
  <c r="Y135" i="14"/>
  <c r="U135" i="14"/>
  <c r="T135" i="14"/>
  <c r="S135" i="14"/>
  <c r="R135" i="14"/>
  <c r="AB136" i="14"/>
  <c r="Y136" i="14"/>
  <c r="U136" i="14"/>
  <c r="T136" i="14"/>
  <c r="S136" i="14"/>
  <c r="R136" i="14"/>
  <c r="AB137" i="14"/>
  <c r="Y137" i="14"/>
  <c r="U137" i="14"/>
  <c r="T137" i="14"/>
  <c r="S137" i="14"/>
  <c r="R137" i="14"/>
  <c r="AB138" i="14"/>
  <c r="Y138" i="14"/>
  <c r="U138" i="14"/>
  <c r="T138" i="14"/>
  <c r="S138" i="14"/>
  <c r="R138" i="14"/>
  <c r="AB141" i="14"/>
  <c r="Y141" i="14"/>
  <c r="U141" i="14"/>
  <c r="T141" i="14"/>
  <c r="S141" i="14"/>
  <c r="R141" i="14"/>
  <c r="AB142" i="14"/>
  <c r="Y142" i="14"/>
  <c r="U142" i="14"/>
  <c r="T142" i="14"/>
  <c r="S142" i="14"/>
  <c r="R142" i="14"/>
  <c r="AB143" i="14"/>
  <c r="Y143" i="14"/>
  <c r="U143" i="14"/>
  <c r="T143" i="14"/>
  <c r="S143" i="14"/>
  <c r="R143" i="14"/>
  <c r="AB144" i="14"/>
  <c r="Y144" i="14"/>
  <c r="U144" i="14"/>
  <c r="T144" i="14"/>
  <c r="S144" i="14"/>
  <c r="R144" i="14"/>
  <c r="AB145" i="14"/>
  <c r="Y145" i="14"/>
  <c r="U145" i="14"/>
  <c r="T145" i="14"/>
  <c r="S145" i="14"/>
  <c r="R145" i="14"/>
  <c r="AB146" i="14"/>
  <c r="Y146" i="14"/>
  <c r="U146" i="14"/>
  <c r="T146" i="14"/>
  <c r="S146" i="14"/>
  <c r="R146" i="14"/>
  <c r="AB147" i="14"/>
  <c r="Y147" i="14"/>
  <c r="U147" i="14"/>
  <c r="T147" i="14"/>
  <c r="S147" i="14"/>
  <c r="R147" i="14"/>
  <c r="AB148" i="14"/>
  <c r="Y148" i="14"/>
  <c r="U148" i="14"/>
  <c r="T148" i="14"/>
  <c r="S148" i="14"/>
  <c r="R148" i="14"/>
  <c r="AM80" i="14"/>
  <c r="AN80" i="14" s="1"/>
  <c r="AS80" i="14" s="1"/>
  <c r="AM81" i="14"/>
  <c r="AN81" i="14" s="1"/>
  <c r="AS81" i="14" s="1"/>
  <c r="AM82" i="14"/>
  <c r="AN82" i="14" s="1"/>
  <c r="AM84" i="14"/>
  <c r="AN84" i="14" s="1"/>
  <c r="AS84" i="14" s="1"/>
  <c r="AM86" i="14"/>
  <c r="AN86" i="14" s="1"/>
  <c r="AS86" i="14" s="1"/>
  <c r="AM87" i="14"/>
  <c r="AN87" i="14" s="1"/>
  <c r="AS87" i="14" s="1"/>
  <c r="AM89" i="14"/>
  <c r="AN89" i="14" s="1"/>
  <c r="AM90" i="14"/>
  <c r="AN90" i="14" s="1"/>
  <c r="AS90" i="14" s="1"/>
  <c r="AM91" i="14"/>
  <c r="AN91" i="14" s="1"/>
  <c r="AS91" i="14" s="1"/>
  <c r="AM94" i="14"/>
  <c r="AN94" i="14" s="1"/>
  <c r="AS94" i="14" s="1"/>
  <c r="AM95" i="14"/>
  <c r="AN95" i="14" s="1"/>
  <c r="AS95" i="14" s="1"/>
  <c r="AM96" i="14"/>
  <c r="AN96" i="14" s="1"/>
  <c r="AM97" i="14"/>
  <c r="AN97" i="14" s="1"/>
  <c r="AS97" i="14" s="1"/>
  <c r="AM98" i="14"/>
  <c r="AN98" i="14" s="1"/>
  <c r="AS98" i="14" s="1"/>
  <c r="AM101" i="14"/>
  <c r="AN101" i="14" s="1"/>
  <c r="AS101" i="14" s="1"/>
  <c r="AM102" i="14"/>
  <c r="AN102" i="14" s="1"/>
  <c r="AS102" i="14" s="1"/>
  <c r="AM103" i="14"/>
  <c r="AN103" i="14" s="1"/>
  <c r="AS103" i="14" s="1"/>
  <c r="AM104" i="14"/>
  <c r="AN104" i="14" s="1"/>
  <c r="AS104" i="14" s="1"/>
  <c r="AM107" i="14"/>
  <c r="AN107" i="14" s="1"/>
  <c r="AS107" i="14" s="1"/>
  <c r="AM108" i="14"/>
  <c r="AN108" i="14" s="1"/>
  <c r="AM109" i="14"/>
  <c r="AN109" i="14" s="1"/>
  <c r="AS109" i="14" s="1"/>
  <c r="AM112" i="14"/>
  <c r="AN112" i="14" s="1"/>
  <c r="AS112" i="14" s="1"/>
  <c r="AM113" i="14"/>
  <c r="AN113" i="14" s="1"/>
  <c r="AM114" i="14"/>
  <c r="AN114" i="14" s="1"/>
  <c r="AS114" i="14" s="1"/>
  <c r="AM115" i="14"/>
  <c r="AN115" i="14" s="1"/>
  <c r="AS115" i="14" s="1"/>
  <c r="AM116" i="14"/>
  <c r="AN116" i="14" s="1"/>
  <c r="AS116" i="14" s="1"/>
  <c r="AM119" i="14"/>
  <c r="AN119" i="14" s="1"/>
  <c r="AS119" i="14" s="1"/>
  <c r="AM120" i="14"/>
  <c r="AN120" i="14" s="1"/>
  <c r="AS120" i="14" s="1"/>
  <c r="AM121" i="14"/>
  <c r="AN121" i="14" s="1"/>
  <c r="AS121" i="14" s="1"/>
  <c r="AM124" i="14"/>
  <c r="AN124" i="14" s="1"/>
  <c r="AS124" i="14" s="1"/>
  <c r="AM125" i="14"/>
  <c r="AN125" i="14" s="1"/>
  <c r="AS125" i="14" s="1"/>
  <c r="AM126" i="14"/>
  <c r="AN126" i="14" s="1"/>
  <c r="AS126" i="14" s="1"/>
  <c r="AM127" i="14"/>
  <c r="AN127" i="14" s="1"/>
  <c r="AM128" i="14"/>
  <c r="AN128" i="14" s="1"/>
  <c r="AS128" i="14" s="1"/>
  <c r="AM129" i="14"/>
  <c r="AN129" i="14" s="1"/>
  <c r="AS129" i="14" s="1"/>
  <c r="AM130" i="14"/>
  <c r="AN130" i="14" s="1"/>
  <c r="AS130" i="14" s="1"/>
  <c r="AM131" i="14"/>
  <c r="AN131" i="14" s="1"/>
  <c r="AS131" i="14" s="1"/>
  <c r="AM132" i="14"/>
  <c r="AN132" i="14" s="1"/>
  <c r="AS132" i="14" s="1"/>
  <c r="AM135" i="14"/>
  <c r="AN135" i="14" s="1"/>
  <c r="AS135" i="14" s="1"/>
  <c r="AM136" i="14"/>
  <c r="AN136" i="14" s="1"/>
  <c r="AM137" i="14"/>
  <c r="AN137" i="14" s="1"/>
  <c r="AS137" i="14" s="1"/>
  <c r="AM138" i="14"/>
  <c r="AN138" i="14" s="1"/>
  <c r="AS138" i="14" s="1"/>
  <c r="AM141" i="14"/>
  <c r="AN141" i="14" s="1"/>
  <c r="AS141" i="14" s="1"/>
  <c r="AM142" i="14"/>
  <c r="AN142" i="14" s="1"/>
  <c r="AS142" i="14" s="1"/>
  <c r="AM143" i="14"/>
  <c r="AN143" i="14" s="1"/>
  <c r="AS143" i="14" s="1"/>
  <c r="AM144" i="14"/>
  <c r="AN144" i="14" s="1"/>
  <c r="AS144" i="14" s="1"/>
  <c r="AM145" i="14"/>
  <c r="AN145" i="14" s="1"/>
  <c r="AS145" i="14" s="1"/>
  <c r="AM146" i="14"/>
  <c r="AN146" i="14" s="1"/>
  <c r="AS146" i="14" s="1"/>
  <c r="AM147" i="14"/>
  <c r="AN147" i="14" s="1"/>
  <c r="AM148" i="14"/>
  <c r="AN148" i="14" s="1"/>
  <c r="AS148" i="14" s="1"/>
  <c r="AY28" i="18"/>
  <c r="AY29" i="18"/>
  <c r="AY31" i="18"/>
  <c r="AY30" i="18" s="1"/>
  <c r="AY33" i="18"/>
  <c r="AY35" i="18"/>
  <c r="AY34" i="18" s="1"/>
  <c r="AY37" i="18"/>
  <c r="AY36" i="18" s="1"/>
  <c r="AY39" i="18"/>
  <c r="AY38" i="18" s="1"/>
  <c r="AY41" i="18"/>
  <c r="AY43" i="18"/>
  <c r="AY42" i="18" s="1"/>
  <c r="AY45" i="18"/>
  <c r="AY44" i="18" s="1"/>
  <c r="AZ28" i="18"/>
  <c r="AZ29" i="18"/>
  <c r="AZ31" i="18"/>
  <c r="AZ30" i="18" s="1"/>
  <c r="AZ33" i="18"/>
  <c r="AZ32" i="18" s="1"/>
  <c r="AZ35" i="18"/>
  <c r="AZ34" i="18" s="1"/>
  <c r="AZ37" i="18"/>
  <c r="AZ36" i="18" s="1"/>
  <c r="AZ39" i="18"/>
  <c r="AZ38" i="18" s="1"/>
  <c r="AZ41" i="18"/>
  <c r="AZ40" i="18" s="1"/>
  <c r="AZ43" i="18"/>
  <c r="AZ42" i="18" s="1"/>
  <c r="AZ45" i="18"/>
  <c r="AZ44" i="18" s="1"/>
  <c r="BA28" i="18"/>
  <c r="BA29" i="18"/>
  <c r="BA31" i="18"/>
  <c r="BA30" i="18" s="1"/>
  <c r="BA33" i="18"/>
  <c r="BA35" i="18"/>
  <c r="BA34" i="18" s="1"/>
  <c r="BA37" i="18"/>
  <c r="BA36" i="18" s="1"/>
  <c r="BA39" i="18"/>
  <c r="BA38" i="18" s="1"/>
  <c r="BA41" i="18"/>
  <c r="BA43" i="18"/>
  <c r="BA42" i="18" s="1"/>
  <c r="BA45" i="18"/>
  <c r="BA44" i="18" s="1"/>
  <c r="BB28" i="18"/>
  <c r="BB29" i="18"/>
  <c r="BB31" i="18"/>
  <c r="BB30" i="18" s="1"/>
  <c r="BB33" i="18"/>
  <c r="BB32" i="18" s="1"/>
  <c r="BB35" i="18"/>
  <c r="BB34" i="18" s="1"/>
  <c r="BB37" i="18"/>
  <c r="BB36" i="18" s="1"/>
  <c r="BB39" i="18"/>
  <c r="BB38" i="18" s="1"/>
  <c r="BB41" i="18"/>
  <c r="BB40" i="18" s="1"/>
  <c r="BB43" i="18"/>
  <c r="BB42" i="18" s="1"/>
  <c r="BB45" i="18"/>
  <c r="BB44" i="18" s="1"/>
  <c r="BC28" i="18"/>
  <c r="BC29" i="18"/>
  <c r="BC31" i="18"/>
  <c r="BC30" i="18" s="1"/>
  <c r="BC33" i="18"/>
  <c r="BC32" i="18" s="1"/>
  <c r="BC35" i="18"/>
  <c r="BC37" i="18"/>
  <c r="BC36" i="18" s="1"/>
  <c r="BC39" i="18"/>
  <c r="BC41" i="18"/>
  <c r="BC40" i="18" s="1"/>
  <c r="BC43" i="18"/>
  <c r="BC45" i="18"/>
  <c r="BC44" i="18" s="1"/>
  <c r="BD28" i="18"/>
  <c r="BD29" i="18"/>
  <c r="BD31" i="18"/>
  <c r="BD30" i="18" s="1"/>
  <c r="BD33" i="18"/>
  <c r="BD32" i="18" s="1"/>
  <c r="BD35" i="18"/>
  <c r="BD34" i="18" s="1"/>
  <c r="BD37" i="18"/>
  <c r="BD36" i="18" s="1"/>
  <c r="BD39" i="18"/>
  <c r="BD38" i="18" s="1"/>
  <c r="BD41" i="18"/>
  <c r="BD40" i="18" s="1"/>
  <c r="BD43" i="18"/>
  <c r="BD42" i="18" s="1"/>
  <c r="BD45" i="18"/>
  <c r="BD44" i="18" s="1"/>
  <c r="BE28" i="18"/>
  <c r="BE29" i="18"/>
  <c r="BE31" i="18"/>
  <c r="BE30" i="18" s="1"/>
  <c r="BE33" i="18"/>
  <c r="BE35" i="18"/>
  <c r="BE34" i="18" s="1"/>
  <c r="BE37" i="18"/>
  <c r="BE36" i="18" s="1"/>
  <c r="BE39" i="18"/>
  <c r="BE38" i="18" s="1"/>
  <c r="BE41" i="18"/>
  <c r="BE43" i="18"/>
  <c r="BE42" i="18" s="1"/>
  <c r="BE45" i="18"/>
  <c r="BE44" i="18" s="1"/>
  <c r="L80" i="15"/>
  <c r="L81" i="15"/>
  <c r="M81" i="15" s="1"/>
  <c r="AQ81" i="15" s="1"/>
  <c r="L82" i="15"/>
  <c r="M82" i="15" s="1"/>
  <c r="AQ82" i="15" s="1"/>
  <c r="L84" i="15"/>
  <c r="M84" i="15" s="1"/>
  <c r="AQ84" i="15" s="1"/>
  <c r="L86" i="15"/>
  <c r="M86" i="15" s="1"/>
  <c r="AQ86" i="15" s="1"/>
  <c r="L87" i="15"/>
  <c r="M87" i="15" s="1"/>
  <c r="L89" i="15"/>
  <c r="M89" i="15" s="1"/>
  <c r="AQ89" i="15" s="1"/>
  <c r="L90" i="15"/>
  <c r="L91" i="15"/>
  <c r="M91" i="15" s="1"/>
  <c r="AQ91" i="15" s="1"/>
  <c r="L94" i="15"/>
  <c r="M94" i="15" s="1"/>
  <c r="AQ94" i="15" s="1"/>
  <c r="L95" i="15"/>
  <c r="M95" i="15" s="1"/>
  <c r="L96" i="15"/>
  <c r="M96" i="15" s="1"/>
  <c r="AQ96" i="15" s="1"/>
  <c r="L97" i="15"/>
  <c r="M97" i="15" s="1"/>
  <c r="AQ97" i="15" s="1"/>
  <c r="L98" i="15"/>
  <c r="M98" i="15" s="1"/>
  <c r="AQ98" i="15" s="1"/>
  <c r="L101" i="15"/>
  <c r="L102" i="15"/>
  <c r="M102" i="15" s="1"/>
  <c r="L103" i="15"/>
  <c r="M103" i="15" s="1"/>
  <c r="AQ103" i="15" s="1"/>
  <c r="L104" i="15"/>
  <c r="M104" i="15" s="1"/>
  <c r="AQ104" i="15" s="1"/>
  <c r="L107" i="15"/>
  <c r="M107" i="15" s="1"/>
  <c r="AQ107" i="15" s="1"/>
  <c r="L108" i="15"/>
  <c r="M108" i="15" s="1"/>
  <c r="L109" i="15"/>
  <c r="M109" i="15" s="1"/>
  <c r="AQ109" i="15" s="1"/>
  <c r="L112" i="15"/>
  <c r="M112" i="15" s="1"/>
  <c r="AQ112" i="15" s="1"/>
  <c r="L113" i="15"/>
  <c r="L114" i="15"/>
  <c r="M114" i="15" s="1"/>
  <c r="AQ114" i="15" s="1"/>
  <c r="L115" i="15"/>
  <c r="M115" i="15" s="1"/>
  <c r="L116" i="15"/>
  <c r="M116" i="15" s="1"/>
  <c r="AQ116" i="15" s="1"/>
  <c r="L119" i="15"/>
  <c r="M119" i="15" s="1"/>
  <c r="AQ119" i="15" s="1"/>
  <c r="L120" i="15"/>
  <c r="M120" i="15" s="1"/>
  <c r="L121" i="15"/>
  <c r="M121" i="15" s="1"/>
  <c r="AQ121" i="15" s="1"/>
  <c r="L124" i="15"/>
  <c r="M124" i="15" s="1"/>
  <c r="AQ124" i="15" s="1"/>
  <c r="L125" i="15"/>
  <c r="L126" i="15"/>
  <c r="M126" i="15" s="1"/>
  <c r="AQ126" i="15" s="1"/>
  <c r="L127" i="15"/>
  <c r="M127" i="15" s="1"/>
  <c r="AQ127" i="15" s="1"/>
  <c r="L128" i="15"/>
  <c r="M128" i="15" s="1"/>
  <c r="AQ128" i="15" s="1"/>
  <c r="L129" i="15"/>
  <c r="M129" i="15" s="1"/>
  <c r="AQ129" i="15" s="1"/>
  <c r="L130" i="15"/>
  <c r="M130" i="15" s="1"/>
  <c r="AQ130" i="15" s="1"/>
  <c r="L131" i="15"/>
  <c r="M131" i="15" s="1"/>
  <c r="AQ131" i="15" s="1"/>
  <c r="L132" i="15"/>
  <c r="M132" i="15" s="1"/>
  <c r="AQ132" i="15" s="1"/>
  <c r="L135" i="15"/>
  <c r="M135" i="15" s="1"/>
  <c r="AQ135" i="15" s="1"/>
  <c r="L136" i="15"/>
  <c r="M136" i="15" s="1"/>
  <c r="AQ136" i="15" s="1"/>
  <c r="L137" i="15"/>
  <c r="M137" i="15" s="1"/>
  <c r="AQ137" i="15" s="1"/>
  <c r="L138" i="15"/>
  <c r="M138" i="15" s="1"/>
  <c r="L141" i="15"/>
  <c r="L142" i="15"/>
  <c r="M142" i="15" s="1"/>
  <c r="AQ142" i="15" s="1"/>
  <c r="L143" i="15"/>
  <c r="M143" i="15" s="1"/>
  <c r="AQ143" i="15" s="1"/>
  <c r="L144" i="15"/>
  <c r="M144" i="15" s="1"/>
  <c r="AQ144" i="15" s="1"/>
  <c r="L145" i="15"/>
  <c r="M145" i="15" s="1"/>
  <c r="AQ145" i="15" s="1"/>
  <c r="L146" i="15"/>
  <c r="M146" i="15" s="1"/>
  <c r="AQ146" i="15" s="1"/>
  <c r="L147" i="15"/>
  <c r="M147" i="15" s="1"/>
  <c r="AQ147" i="15" s="1"/>
  <c r="L148" i="15"/>
  <c r="M148" i="15" s="1"/>
  <c r="AQ148" i="15" s="1"/>
  <c r="AE80" i="15"/>
  <c r="AB80" i="15"/>
  <c r="Y80" i="15"/>
  <c r="U80" i="15"/>
  <c r="T80" i="15"/>
  <c r="S80" i="15"/>
  <c r="R80" i="15"/>
  <c r="AE81" i="15"/>
  <c r="AB81" i="15"/>
  <c r="Y81" i="15"/>
  <c r="U81" i="15"/>
  <c r="T81" i="15"/>
  <c r="S81" i="15"/>
  <c r="R81" i="15"/>
  <c r="AE82" i="15"/>
  <c r="AB82" i="15"/>
  <c r="Y82" i="15"/>
  <c r="U82" i="15"/>
  <c r="T82" i="15"/>
  <c r="S82" i="15"/>
  <c r="R82" i="15"/>
  <c r="AE84" i="15"/>
  <c r="AB84" i="15"/>
  <c r="Y84" i="15"/>
  <c r="U84" i="15"/>
  <c r="T84" i="15"/>
  <c r="S84" i="15"/>
  <c r="R84" i="15"/>
  <c r="AB86" i="15"/>
  <c r="Y86" i="15"/>
  <c r="U86" i="15"/>
  <c r="T86" i="15"/>
  <c r="S86" i="15"/>
  <c r="R86" i="15"/>
  <c r="AB87" i="15"/>
  <c r="AB88" i="15" s="1"/>
  <c r="Y87" i="15"/>
  <c r="U87" i="15"/>
  <c r="T87" i="15"/>
  <c r="S87" i="15"/>
  <c r="R87" i="15"/>
  <c r="AB89" i="15"/>
  <c r="Y89" i="15"/>
  <c r="U89" i="15"/>
  <c r="T89" i="15"/>
  <c r="S89" i="15"/>
  <c r="R89" i="15"/>
  <c r="AB90" i="15"/>
  <c r="Y90" i="15"/>
  <c r="U90" i="15"/>
  <c r="T90" i="15"/>
  <c r="S90" i="15"/>
  <c r="S92" i="15" s="1"/>
  <c r="R90" i="15"/>
  <c r="AB91" i="15"/>
  <c r="Y91" i="15"/>
  <c r="U91" i="15"/>
  <c r="T91" i="15"/>
  <c r="S91" i="15"/>
  <c r="R91" i="15"/>
  <c r="AB94" i="15"/>
  <c r="Y94" i="15"/>
  <c r="U94" i="15"/>
  <c r="T94" i="15"/>
  <c r="S94" i="15"/>
  <c r="R94" i="15"/>
  <c r="AB95" i="15"/>
  <c r="Y95" i="15"/>
  <c r="U95" i="15"/>
  <c r="T95" i="15"/>
  <c r="S95" i="15"/>
  <c r="R95" i="15"/>
  <c r="AB96" i="15"/>
  <c r="Y96" i="15"/>
  <c r="U96" i="15"/>
  <c r="T96" i="15"/>
  <c r="S96" i="15"/>
  <c r="R96" i="15"/>
  <c r="AB97" i="15"/>
  <c r="Y97" i="15"/>
  <c r="U97" i="15"/>
  <c r="T97" i="15"/>
  <c r="S97" i="15"/>
  <c r="R97" i="15"/>
  <c r="AB98" i="15"/>
  <c r="Y98" i="15"/>
  <c r="U98" i="15"/>
  <c r="T98" i="15"/>
  <c r="S98" i="15"/>
  <c r="R98" i="15"/>
  <c r="AB101" i="15"/>
  <c r="Y101" i="15"/>
  <c r="U101" i="15"/>
  <c r="T101" i="15"/>
  <c r="S101" i="15"/>
  <c r="R101" i="15"/>
  <c r="AB102" i="15"/>
  <c r="Y102" i="15"/>
  <c r="U102" i="15"/>
  <c r="T102" i="15"/>
  <c r="S102" i="15"/>
  <c r="R102" i="15"/>
  <c r="AB103" i="15"/>
  <c r="Y103" i="15"/>
  <c r="U103" i="15"/>
  <c r="T103" i="15"/>
  <c r="S103" i="15"/>
  <c r="R103" i="15"/>
  <c r="AB104" i="15"/>
  <c r="Y104" i="15"/>
  <c r="U104" i="15"/>
  <c r="T104" i="15"/>
  <c r="S104" i="15"/>
  <c r="R104" i="15"/>
  <c r="AB107" i="15"/>
  <c r="Y107" i="15"/>
  <c r="U107" i="15"/>
  <c r="T107" i="15"/>
  <c r="S107" i="15"/>
  <c r="R107" i="15"/>
  <c r="AB108" i="15"/>
  <c r="Y108" i="15"/>
  <c r="U108" i="15"/>
  <c r="T108" i="15"/>
  <c r="S108" i="15"/>
  <c r="R108" i="15"/>
  <c r="AB109" i="15"/>
  <c r="Y109" i="15"/>
  <c r="U109" i="15"/>
  <c r="T109" i="15"/>
  <c r="S109" i="15"/>
  <c r="R109" i="15"/>
  <c r="AB112" i="15"/>
  <c r="Y112" i="15"/>
  <c r="U112" i="15"/>
  <c r="T112" i="15"/>
  <c r="S112" i="15"/>
  <c r="R112" i="15"/>
  <c r="AB113" i="15"/>
  <c r="Y113" i="15"/>
  <c r="U113" i="15"/>
  <c r="T113" i="15"/>
  <c r="S113" i="15"/>
  <c r="R113" i="15"/>
  <c r="AB114" i="15"/>
  <c r="Y114" i="15"/>
  <c r="U114" i="15"/>
  <c r="T114" i="15"/>
  <c r="S114" i="15"/>
  <c r="R114" i="15"/>
  <c r="AB115" i="15"/>
  <c r="Y115" i="15"/>
  <c r="U115" i="15"/>
  <c r="T115" i="15"/>
  <c r="S115" i="15"/>
  <c r="R115" i="15"/>
  <c r="AB116" i="15"/>
  <c r="Y116" i="15"/>
  <c r="U116" i="15"/>
  <c r="T116" i="15"/>
  <c r="S116" i="15"/>
  <c r="R116" i="15"/>
  <c r="AB119" i="15"/>
  <c r="Y119" i="15"/>
  <c r="U119" i="15"/>
  <c r="T119" i="15"/>
  <c r="S119" i="15"/>
  <c r="R119" i="15"/>
  <c r="AB120" i="15"/>
  <c r="Y120" i="15"/>
  <c r="U120" i="15"/>
  <c r="T120" i="15"/>
  <c r="S120" i="15"/>
  <c r="R120" i="15"/>
  <c r="AB121" i="15"/>
  <c r="Y121" i="15"/>
  <c r="U121" i="15"/>
  <c r="T121" i="15"/>
  <c r="S121" i="15"/>
  <c r="R121" i="15"/>
  <c r="AB124" i="15"/>
  <c r="Y124" i="15"/>
  <c r="U124" i="15"/>
  <c r="T124" i="15"/>
  <c r="S124" i="15"/>
  <c r="R124" i="15"/>
  <c r="AB125" i="15"/>
  <c r="Y125" i="15"/>
  <c r="U125" i="15"/>
  <c r="T125" i="15"/>
  <c r="S125" i="15"/>
  <c r="R125" i="15"/>
  <c r="AB126" i="15"/>
  <c r="Y126" i="15"/>
  <c r="U126" i="15"/>
  <c r="T126" i="15"/>
  <c r="S126" i="15"/>
  <c r="R126" i="15"/>
  <c r="AB127" i="15"/>
  <c r="Y127" i="15"/>
  <c r="U127" i="15"/>
  <c r="T127" i="15"/>
  <c r="S127" i="15"/>
  <c r="R127" i="15"/>
  <c r="AB128" i="15"/>
  <c r="Y128" i="15"/>
  <c r="U128" i="15"/>
  <c r="T128" i="15"/>
  <c r="S128" i="15"/>
  <c r="R128" i="15"/>
  <c r="AB129" i="15"/>
  <c r="Y129" i="15"/>
  <c r="U129" i="15"/>
  <c r="T129" i="15"/>
  <c r="S129" i="15"/>
  <c r="R129" i="15"/>
  <c r="AB130" i="15"/>
  <c r="Y130" i="15"/>
  <c r="U130" i="15"/>
  <c r="T130" i="15"/>
  <c r="S130" i="15"/>
  <c r="R130" i="15"/>
  <c r="AB131" i="15"/>
  <c r="Y131" i="15"/>
  <c r="U131" i="15"/>
  <c r="T131" i="15"/>
  <c r="S131" i="15"/>
  <c r="R131" i="15"/>
  <c r="AB132" i="15"/>
  <c r="Y132" i="15"/>
  <c r="U132" i="15"/>
  <c r="T132" i="15"/>
  <c r="S132" i="15"/>
  <c r="R132" i="15"/>
  <c r="AB135" i="15"/>
  <c r="Y135" i="15"/>
  <c r="U135" i="15"/>
  <c r="T135" i="15"/>
  <c r="S135" i="15"/>
  <c r="R135" i="15"/>
  <c r="AB136" i="15"/>
  <c r="Y136" i="15"/>
  <c r="U136" i="15"/>
  <c r="T136" i="15"/>
  <c r="S136" i="15"/>
  <c r="R136" i="15"/>
  <c r="AB137" i="15"/>
  <c r="Y137" i="15"/>
  <c r="U137" i="15"/>
  <c r="T137" i="15"/>
  <c r="S137" i="15"/>
  <c r="R137" i="15"/>
  <c r="AB138" i="15"/>
  <c r="Y138" i="15"/>
  <c r="U138" i="15"/>
  <c r="T138" i="15"/>
  <c r="S138" i="15"/>
  <c r="R138" i="15"/>
  <c r="AB141" i="15"/>
  <c r="Y141" i="15"/>
  <c r="U141" i="15"/>
  <c r="T141" i="15"/>
  <c r="S141" i="15"/>
  <c r="R141" i="15"/>
  <c r="AB142" i="15"/>
  <c r="Y142" i="15"/>
  <c r="U142" i="15"/>
  <c r="T142" i="15"/>
  <c r="S142" i="15"/>
  <c r="R142" i="15"/>
  <c r="AB143" i="15"/>
  <c r="Y143" i="15"/>
  <c r="U143" i="15"/>
  <c r="T143" i="15"/>
  <c r="S143" i="15"/>
  <c r="R143" i="15"/>
  <c r="AB144" i="15"/>
  <c r="Y144" i="15"/>
  <c r="U144" i="15"/>
  <c r="T144" i="15"/>
  <c r="S144" i="15"/>
  <c r="R144" i="15"/>
  <c r="AB145" i="15"/>
  <c r="Y145" i="15"/>
  <c r="U145" i="15"/>
  <c r="T145" i="15"/>
  <c r="S145" i="15"/>
  <c r="R145" i="15"/>
  <c r="AB146" i="15"/>
  <c r="Y146" i="15"/>
  <c r="U146" i="15"/>
  <c r="T146" i="15"/>
  <c r="S146" i="15"/>
  <c r="R146" i="15"/>
  <c r="AB147" i="15"/>
  <c r="Y147" i="15"/>
  <c r="U147" i="15"/>
  <c r="T147" i="15"/>
  <c r="S147" i="15"/>
  <c r="R147" i="15"/>
  <c r="AB148" i="15"/>
  <c r="Y148" i="15"/>
  <c r="U148" i="15"/>
  <c r="T148" i="15"/>
  <c r="S148" i="15"/>
  <c r="R148" i="15"/>
  <c r="AM80" i="15"/>
  <c r="AN80" i="15" s="1"/>
  <c r="AM81" i="15"/>
  <c r="AN81" i="15" s="1"/>
  <c r="AS81" i="15" s="1"/>
  <c r="AM82" i="15"/>
  <c r="AN82" i="15" s="1"/>
  <c r="AS82" i="15" s="1"/>
  <c r="AM84" i="15"/>
  <c r="AN84" i="15" s="1"/>
  <c r="AS84" i="15" s="1"/>
  <c r="AM86" i="15"/>
  <c r="AN86" i="15" s="1"/>
  <c r="AM87" i="15"/>
  <c r="AN87" i="15" s="1"/>
  <c r="AS87" i="15" s="1"/>
  <c r="AM89" i="15"/>
  <c r="AN89" i="15" s="1"/>
  <c r="AS89" i="15" s="1"/>
  <c r="AM90" i="15"/>
  <c r="AN90" i="15" s="1"/>
  <c r="AS90" i="15" s="1"/>
  <c r="AM91" i="15"/>
  <c r="AN91" i="15" s="1"/>
  <c r="AM94" i="15"/>
  <c r="AN94" i="15" s="1"/>
  <c r="AM95" i="15"/>
  <c r="AN95" i="15" s="1"/>
  <c r="AS95" i="15" s="1"/>
  <c r="AM96" i="15"/>
  <c r="AN96" i="15" s="1"/>
  <c r="AS96" i="15" s="1"/>
  <c r="AM97" i="15"/>
  <c r="AN97" i="15" s="1"/>
  <c r="AS97" i="15" s="1"/>
  <c r="AM98" i="15"/>
  <c r="AN98" i="15" s="1"/>
  <c r="AS98" i="15" s="1"/>
  <c r="AM101" i="15"/>
  <c r="AM102" i="15"/>
  <c r="AN102" i="15" s="1"/>
  <c r="AS102" i="15" s="1"/>
  <c r="AM103" i="15"/>
  <c r="AN103" i="15" s="1"/>
  <c r="AS103" i="15" s="1"/>
  <c r="AM104" i="15"/>
  <c r="AN104" i="15" s="1"/>
  <c r="AS104" i="15" s="1"/>
  <c r="AM107" i="15"/>
  <c r="AN107" i="15" s="1"/>
  <c r="AS107" i="15" s="1"/>
  <c r="AM108" i="15"/>
  <c r="AN108" i="15" s="1"/>
  <c r="AM109" i="15"/>
  <c r="AN109" i="15" s="1"/>
  <c r="AS109" i="15" s="1"/>
  <c r="AM112" i="15"/>
  <c r="AN112" i="15" s="1"/>
  <c r="AS112" i="15" s="1"/>
  <c r="AM113" i="15"/>
  <c r="AN113" i="15" s="1"/>
  <c r="AM114" i="15"/>
  <c r="AN114" i="15" s="1"/>
  <c r="AS114" i="15" s="1"/>
  <c r="AM115" i="15"/>
  <c r="AN115" i="15" s="1"/>
  <c r="AS115" i="15" s="1"/>
  <c r="AM116" i="15"/>
  <c r="AN116" i="15" s="1"/>
  <c r="AS116" i="15" s="1"/>
  <c r="AM119" i="15"/>
  <c r="AN119" i="15" s="1"/>
  <c r="AS119" i="15" s="1"/>
  <c r="AM120" i="15"/>
  <c r="AN120" i="15" s="1"/>
  <c r="AS120" i="15" s="1"/>
  <c r="AM121" i="15"/>
  <c r="AN121" i="15" s="1"/>
  <c r="AS121" i="15" s="1"/>
  <c r="AM124" i="15"/>
  <c r="AN124" i="15" s="1"/>
  <c r="AS124" i="15" s="1"/>
  <c r="AM125" i="15"/>
  <c r="AN125" i="15" s="1"/>
  <c r="AS125" i="15" s="1"/>
  <c r="AM126" i="15"/>
  <c r="AN126" i="15" s="1"/>
  <c r="AS126" i="15" s="1"/>
  <c r="AM127" i="15"/>
  <c r="AN127" i="15" s="1"/>
  <c r="AM128" i="15"/>
  <c r="AN128" i="15" s="1"/>
  <c r="AS128" i="15" s="1"/>
  <c r="AM129" i="15"/>
  <c r="AN129" i="15" s="1"/>
  <c r="AS129" i="15" s="1"/>
  <c r="AM130" i="15"/>
  <c r="AN130" i="15" s="1"/>
  <c r="AS130" i="15" s="1"/>
  <c r="AM131" i="15"/>
  <c r="AN131" i="15" s="1"/>
  <c r="AS131" i="15" s="1"/>
  <c r="AM132" i="15"/>
  <c r="AN132" i="15" s="1"/>
  <c r="AS132" i="15" s="1"/>
  <c r="AM135" i="15"/>
  <c r="AN135" i="15" s="1"/>
  <c r="AS135" i="15" s="1"/>
  <c r="AM136" i="15"/>
  <c r="AN136" i="15" s="1"/>
  <c r="AS136" i="15" s="1"/>
  <c r="AM137" i="15"/>
  <c r="AN137" i="15" s="1"/>
  <c r="AS137" i="15" s="1"/>
  <c r="AM138" i="15"/>
  <c r="AN138" i="15" s="1"/>
  <c r="AS138" i="15" s="1"/>
  <c r="AM141" i="15"/>
  <c r="AN141" i="15" s="1"/>
  <c r="AS141" i="15" s="1"/>
  <c r="AM142" i="15"/>
  <c r="AN142" i="15" s="1"/>
  <c r="AS142" i="15" s="1"/>
  <c r="AM143" i="15"/>
  <c r="AN143" i="15" s="1"/>
  <c r="AS143" i="15" s="1"/>
  <c r="AM144" i="15"/>
  <c r="AN144" i="15" s="1"/>
  <c r="AS144" i="15" s="1"/>
  <c r="AM145" i="15"/>
  <c r="AN145" i="15" s="1"/>
  <c r="AS145" i="15" s="1"/>
  <c r="AM146" i="15"/>
  <c r="AN146" i="15" s="1"/>
  <c r="AS146" i="15" s="1"/>
  <c r="AM147" i="15"/>
  <c r="AN147" i="15" s="1"/>
  <c r="AM148" i="15"/>
  <c r="AN148" i="15" s="1"/>
  <c r="AS148" i="15" s="1"/>
  <c r="BL28" i="18"/>
  <c r="BL29" i="18"/>
  <c r="BL31" i="18"/>
  <c r="BL30" i="18" s="1"/>
  <c r="BL33" i="18"/>
  <c r="BL35" i="18"/>
  <c r="BL34" i="18" s="1"/>
  <c r="BL37" i="18"/>
  <c r="BL36" i="18" s="1"/>
  <c r="BL39" i="18"/>
  <c r="BL38" i="18" s="1"/>
  <c r="BL41" i="18"/>
  <c r="BL40" i="18" s="1"/>
  <c r="BL43" i="18"/>
  <c r="BL42" i="18" s="1"/>
  <c r="BM28" i="18"/>
  <c r="BM29" i="18"/>
  <c r="BM31" i="18"/>
  <c r="BM30" i="18" s="1"/>
  <c r="BM33" i="18"/>
  <c r="BM32" i="18" s="1"/>
  <c r="BM35" i="18"/>
  <c r="BM34" i="18" s="1"/>
  <c r="BM37" i="18"/>
  <c r="BM36" i="18" s="1"/>
  <c r="BM39" i="18"/>
  <c r="BM38" i="18" s="1"/>
  <c r="BM41" i="18"/>
  <c r="BM40" i="18" s="1"/>
  <c r="BM43" i="18"/>
  <c r="BM42" i="18" s="1"/>
  <c r="BM45" i="18"/>
  <c r="BM44" i="18" s="1"/>
  <c r="BN28" i="18"/>
  <c r="BN29" i="18"/>
  <c r="BN31" i="18"/>
  <c r="BN30" i="18" s="1"/>
  <c r="BN33" i="18"/>
  <c r="BN32" i="18" s="1"/>
  <c r="BN35" i="18"/>
  <c r="BN34" i="18" s="1"/>
  <c r="BN37" i="18"/>
  <c r="BN36" i="18" s="1"/>
  <c r="BN39" i="18"/>
  <c r="BN38" i="18" s="1"/>
  <c r="BN41" i="18"/>
  <c r="BN40" i="18" s="1"/>
  <c r="BN43" i="18"/>
  <c r="BN42" i="18" s="1"/>
  <c r="BN45" i="18"/>
  <c r="BN44" i="18" s="1"/>
  <c r="BO28" i="18"/>
  <c r="BO29" i="18"/>
  <c r="BO31" i="18"/>
  <c r="BO30" i="18" s="1"/>
  <c r="BO33" i="18"/>
  <c r="BO32" i="18" s="1"/>
  <c r="BO35" i="18"/>
  <c r="BO34" i="18" s="1"/>
  <c r="BO37" i="18"/>
  <c r="BO36" i="18" s="1"/>
  <c r="BO39" i="18"/>
  <c r="BO38" i="18" s="1"/>
  <c r="BO41" i="18"/>
  <c r="BO40" i="18" s="1"/>
  <c r="BO43" i="18"/>
  <c r="BO42" i="18" s="1"/>
  <c r="BO45" i="18"/>
  <c r="BO44" i="18" s="1"/>
  <c r="BP28" i="18"/>
  <c r="BP29" i="18"/>
  <c r="BP31" i="18"/>
  <c r="BP30" i="18" s="1"/>
  <c r="BP33" i="18"/>
  <c r="BP32" i="18" s="1"/>
  <c r="BP35" i="18"/>
  <c r="BP34" i="18" s="1"/>
  <c r="BP37" i="18"/>
  <c r="BP36" i="18" s="1"/>
  <c r="BP39" i="18"/>
  <c r="BP38" i="18" s="1"/>
  <c r="BP41" i="18"/>
  <c r="BP40" i="18" s="1"/>
  <c r="BP43" i="18"/>
  <c r="BP42" i="18" s="1"/>
  <c r="BP45" i="18"/>
  <c r="BP44" i="18" s="1"/>
  <c r="BQ28" i="18"/>
  <c r="BQ29" i="18"/>
  <c r="BQ31" i="18"/>
  <c r="BQ30" i="18" s="1"/>
  <c r="BQ33" i="18"/>
  <c r="BQ32" i="18" s="1"/>
  <c r="BQ35" i="18"/>
  <c r="BQ34" i="18" s="1"/>
  <c r="BQ37" i="18"/>
  <c r="BQ36" i="18" s="1"/>
  <c r="BQ39" i="18"/>
  <c r="BQ38" i="18" s="1"/>
  <c r="BQ41" i="18"/>
  <c r="BQ40" i="18" s="1"/>
  <c r="BQ43" i="18"/>
  <c r="BQ42" i="18" s="1"/>
  <c r="BQ45" i="18"/>
  <c r="BQ44" i="18" s="1"/>
  <c r="BR28" i="18"/>
  <c r="BR29" i="18"/>
  <c r="BR31" i="18"/>
  <c r="BR30" i="18" s="1"/>
  <c r="BR33" i="18"/>
  <c r="BR32" i="18" s="1"/>
  <c r="BR35" i="18"/>
  <c r="BR34" i="18" s="1"/>
  <c r="BR37" i="18"/>
  <c r="BR36" i="18" s="1"/>
  <c r="BR39" i="18"/>
  <c r="BR38" i="18" s="1"/>
  <c r="BR41" i="18"/>
  <c r="BR40" i="18" s="1"/>
  <c r="BR43" i="18"/>
  <c r="BR42" i="18" s="1"/>
  <c r="BR45" i="18"/>
  <c r="BR44" i="18" s="1"/>
  <c r="L80" i="16"/>
  <c r="M80" i="16" s="1"/>
  <c r="AQ80" i="16" s="1"/>
  <c r="L81" i="16"/>
  <c r="M81" i="16" s="1"/>
  <c r="AQ81" i="16" s="1"/>
  <c r="L82" i="16"/>
  <c r="M82" i="16" s="1"/>
  <c r="AQ82" i="16" s="1"/>
  <c r="L84" i="16"/>
  <c r="M84" i="16" s="1"/>
  <c r="L86" i="16"/>
  <c r="M86" i="16" s="1"/>
  <c r="AQ86" i="16" s="1"/>
  <c r="L87" i="16"/>
  <c r="L89" i="16"/>
  <c r="M89" i="16" s="1"/>
  <c r="L90" i="16"/>
  <c r="M90" i="16" s="1"/>
  <c r="L91" i="16"/>
  <c r="M91" i="16" s="1"/>
  <c r="AQ91" i="16" s="1"/>
  <c r="L94" i="16"/>
  <c r="L95" i="16"/>
  <c r="M95" i="16" s="1"/>
  <c r="L96" i="16"/>
  <c r="M96" i="16" s="1"/>
  <c r="AQ96" i="16" s="1"/>
  <c r="L97" i="16"/>
  <c r="M97" i="16" s="1"/>
  <c r="L98" i="16"/>
  <c r="M98" i="16" s="1"/>
  <c r="AQ98" i="16" s="1"/>
  <c r="L101" i="16"/>
  <c r="M101" i="16" s="1"/>
  <c r="AQ101" i="16" s="1"/>
  <c r="L102" i="16"/>
  <c r="M102" i="16" s="1"/>
  <c r="L103" i="16"/>
  <c r="M103" i="16" s="1"/>
  <c r="L104" i="16"/>
  <c r="M104" i="16" s="1"/>
  <c r="L107" i="16"/>
  <c r="M107" i="16" s="1"/>
  <c r="L108" i="16"/>
  <c r="M108" i="16" s="1"/>
  <c r="L109" i="16"/>
  <c r="M109" i="16" s="1"/>
  <c r="L112" i="16"/>
  <c r="M112" i="16" s="1"/>
  <c r="L113" i="16"/>
  <c r="M113" i="16" s="1"/>
  <c r="AQ113" i="16" s="1"/>
  <c r="L114" i="16"/>
  <c r="M114" i="16" s="1"/>
  <c r="L115" i="16"/>
  <c r="M115" i="16" s="1"/>
  <c r="AQ115" i="16" s="1"/>
  <c r="L116" i="16"/>
  <c r="M116" i="16" s="1"/>
  <c r="L119" i="16"/>
  <c r="M119" i="16" s="1"/>
  <c r="L120" i="16"/>
  <c r="M120" i="16" s="1"/>
  <c r="L121" i="16"/>
  <c r="M121" i="16" s="1"/>
  <c r="L124" i="16"/>
  <c r="M124" i="16" s="1"/>
  <c r="L125" i="16"/>
  <c r="M125" i="16" s="1"/>
  <c r="AQ125" i="16" s="1"/>
  <c r="L126" i="16"/>
  <c r="M126" i="16" s="1"/>
  <c r="L127" i="16"/>
  <c r="M127" i="16" s="1"/>
  <c r="AQ127" i="16" s="1"/>
  <c r="L128" i="16"/>
  <c r="M128" i="16" s="1"/>
  <c r="L129" i="16"/>
  <c r="M129" i="16" s="1"/>
  <c r="AQ129" i="16" s="1"/>
  <c r="L130" i="16"/>
  <c r="M130" i="16" s="1"/>
  <c r="L131" i="16"/>
  <c r="M131" i="16" s="1"/>
  <c r="AQ131" i="16" s="1"/>
  <c r="L132" i="16"/>
  <c r="M132" i="16" s="1"/>
  <c r="L135" i="16"/>
  <c r="M135" i="16" s="1"/>
  <c r="L136" i="16"/>
  <c r="L137" i="16"/>
  <c r="M137" i="16" s="1"/>
  <c r="L138" i="16"/>
  <c r="M138" i="16" s="1"/>
  <c r="AQ138" i="16" s="1"/>
  <c r="L141" i="16"/>
  <c r="M141" i="16" s="1"/>
  <c r="L142" i="16"/>
  <c r="M142" i="16" s="1"/>
  <c r="L143" i="16"/>
  <c r="M143" i="16" s="1"/>
  <c r="AQ143" i="16" s="1"/>
  <c r="L144" i="16"/>
  <c r="M144" i="16" s="1"/>
  <c r="L145" i="16"/>
  <c r="M145" i="16" s="1"/>
  <c r="AQ145" i="16" s="1"/>
  <c r="L146" i="16"/>
  <c r="M146" i="16" s="1"/>
  <c r="L147" i="16"/>
  <c r="M147" i="16" s="1"/>
  <c r="AQ147" i="16" s="1"/>
  <c r="L148" i="16"/>
  <c r="M148" i="16" s="1"/>
  <c r="AB80" i="16"/>
  <c r="Y80" i="16"/>
  <c r="U80" i="16"/>
  <c r="T80" i="16"/>
  <c r="S80" i="16"/>
  <c r="R80" i="16"/>
  <c r="AB81" i="16"/>
  <c r="Y81" i="16"/>
  <c r="U81" i="16"/>
  <c r="T81" i="16"/>
  <c r="S81" i="16"/>
  <c r="R81" i="16"/>
  <c r="AB82" i="16"/>
  <c r="Y82" i="16"/>
  <c r="U82" i="16"/>
  <c r="T82" i="16"/>
  <c r="S82" i="16"/>
  <c r="R82" i="16"/>
  <c r="AB84" i="16"/>
  <c r="Y84" i="16"/>
  <c r="U84" i="16"/>
  <c r="T84" i="16"/>
  <c r="S84" i="16"/>
  <c r="R84" i="16"/>
  <c r="AB86" i="16"/>
  <c r="Y86" i="16"/>
  <c r="Y88" i="16" s="1"/>
  <c r="U86" i="16"/>
  <c r="T86" i="16"/>
  <c r="S86" i="16"/>
  <c r="R86" i="16"/>
  <c r="R88" i="16" s="1"/>
  <c r="AB87" i="16"/>
  <c r="Y87" i="16"/>
  <c r="U87" i="16"/>
  <c r="T87" i="16"/>
  <c r="T88" i="16" s="1"/>
  <c r="S87" i="16"/>
  <c r="R87" i="16"/>
  <c r="AB89" i="16"/>
  <c r="Y89" i="16"/>
  <c r="U89" i="16"/>
  <c r="T89" i="16"/>
  <c r="S89" i="16"/>
  <c r="R89" i="16"/>
  <c r="AB90" i="16"/>
  <c r="Y90" i="16"/>
  <c r="U90" i="16"/>
  <c r="T90" i="16"/>
  <c r="S90" i="16"/>
  <c r="R90" i="16"/>
  <c r="AB91" i="16"/>
  <c r="Y91" i="16"/>
  <c r="U91" i="16"/>
  <c r="T91" i="16"/>
  <c r="S91" i="16"/>
  <c r="R91" i="16"/>
  <c r="AB94" i="16"/>
  <c r="Y94" i="16"/>
  <c r="U94" i="16"/>
  <c r="T94" i="16"/>
  <c r="S94" i="16"/>
  <c r="R94" i="16"/>
  <c r="AB95" i="16"/>
  <c r="Y95" i="16"/>
  <c r="U95" i="16"/>
  <c r="T95" i="16"/>
  <c r="S95" i="16"/>
  <c r="R95" i="16"/>
  <c r="AB96" i="16"/>
  <c r="Y96" i="16"/>
  <c r="U96" i="16"/>
  <c r="T96" i="16"/>
  <c r="S96" i="16"/>
  <c r="R96" i="16"/>
  <c r="AB97" i="16"/>
  <c r="Y97" i="16"/>
  <c r="U97" i="16"/>
  <c r="T97" i="16"/>
  <c r="S97" i="16"/>
  <c r="R97" i="16"/>
  <c r="AB98" i="16"/>
  <c r="Y98" i="16"/>
  <c r="U98" i="16"/>
  <c r="T98" i="16"/>
  <c r="S98" i="16"/>
  <c r="R98" i="16"/>
  <c r="AB101" i="16"/>
  <c r="Y101" i="16"/>
  <c r="U101" i="16"/>
  <c r="T101" i="16"/>
  <c r="S101" i="16"/>
  <c r="R101" i="16"/>
  <c r="AB102" i="16"/>
  <c r="Y102" i="16"/>
  <c r="U102" i="16"/>
  <c r="T102" i="16"/>
  <c r="S102" i="16"/>
  <c r="R102" i="16"/>
  <c r="AB103" i="16"/>
  <c r="Y103" i="16"/>
  <c r="U103" i="16"/>
  <c r="T103" i="16"/>
  <c r="S103" i="16"/>
  <c r="R103" i="16"/>
  <c r="AB104" i="16"/>
  <c r="Y104" i="16"/>
  <c r="U104" i="16"/>
  <c r="T104" i="16"/>
  <c r="S104" i="16"/>
  <c r="R104" i="16"/>
  <c r="AB107" i="16"/>
  <c r="Y107" i="16"/>
  <c r="U107" i="16"/>
  <c r="T107" i="16"/>
  <c r="S107" i="16"/>
  <c r="R107" i="16"/>
  <c r="AB108" i="16"/>
  <c r="Y108" i="16"/>
  <c r="U108" i="16"/>
  <c r="T108" i="16"/>
  <c r="T110" i="16" s="1"/>
  <c r="T106" i="16" s="1"/>
  <c r="S108" i="16"/>
  <c r="R108" i="16"/>
  <c r="AB109" i="16"/>
  <c r="Y109" i="16"/>
  <c r="U109" i="16"/>
  <c r="T109" i="16"/>
  <c r="S109" i="16"/>
  <c r="R109" i="16"/>
  <c r="AB112" i="16"/>
  <c r="Y112" i="16"/>
  <c r="U112" i="16"/>
  <c r="T112" i="16"/>
  <c r="S112" i="16"/>
  <c r="R112" i="16"/>
  <c r="AB113" i="16"/>
  <c r="Y113" i="16"/>
  <c r="U113" i="16"/>
  <c r="T113" i="16"/>
  <c r="S113" i="16"/>
  <c r="R113" i="16"/>
  <c r="AB114" i="16"/>
  <c r="Y114" i="16"/>
  <c r="U114" i="16"/>
  <c r="T114" i="16"/>
  <c r="S114" i="16"/>
  <c r="R114" i="16"/>
  <c r="AB115" i="16"/>
  <c r="Y115" i="16"/>
  <c r="U115" i="16"/>
  <c r="T115" i="16"/>
  <c r="S115" i="16"/>
  <c r="R115" i="16"/>
  <c r="AB116" i="16"/>
  <c r="Y116" i="16"/>
  <c r="U116" i="16"/>
  <c r="T116" i="16"/>
  <c r="S116" i="16"/>
  <c r="R116" i="16"/>
  <c r="AB119" i="16"/>
  <c r="Y119" i="16"/>
  <c r="U119" i="16"/>
  <c r="T119" i="16"/>
  <c r="S119" i="16"/>
  <c r="R119" i="16"/>
  <c r="AB120" i="16"/>
  <c r="Y120" i="16"/>
  <c r="U120" i="16"/>
  <c r="T120" i="16"/>
  <c r="T122" i="16" s="1"/>
  <c r="T118" i="16" s="1"/>
  <c r="S120" i="16"/>
  <c r="R120" i="16"/>
  <c r="AB121" i="16"/>
  <c r="Y121" i="16"/>
  <c r="U121" i="16"/>
  <c r="T121" i="16"/>
  <c r="S121" i="16"/>
  <c r="R121" i="16"/>
  <c r="AB124" i="16"/>
  <c r="Y124" i="16"/>
  <c r="U124" i="16"/>
  <c r="T124" i="16"/>
  <c r="S124" i="16"/>
  <c r="R124" i="16"/>
  <c r="AB125" i="16"/>
  <c r="Y125" i="16"/>
  <c r="U125" i="16"/>
  <c r="T125" i="16"/>
  <c r="S125" i="16"/>
  <c r="R125" i="16"/>
  <c r="AB126" i="16"/>
  <c r="Y126" i="16"/>
  <c r="U126" i="16"/>
  <c r="T126" i="16"/>
  <c r="S126" i="16"/>
  <c r="R126" i="16"/>
  <c r="AB127" i="16"/>
  <c r="Y127" i="16"/>
  <c r="U127" i="16"/>
  <c r="T127" i="16"/>
  <c r="S127" i="16"/>
  <c r="R127" i="16"/>
  <c r="AB128" i="16"/>
  <c r="Y128" i="16"/>
  <c r="U128" i="16"/>
  <c r="T128" i="16"/>
  <c r="S128" i="16"/>
  <c r="R128" i="16"/>
  <c r="AB129" i="16"/>
  <c r="Y129" i="16"/>
  <c r="U129" i="16"/>
  <c r="T129" i="16"/>
  <c r="S129" i="16"/>
  <c r="R129" i="16"/>
  <c r="AB130" i="16"/>
  <c r="Y130" i="16"/>
  <c r="U130" i="16"/>
  <c r="T130" i="16"/>
  <c r="S130" i="16"/>
  <c r="R130" i="16"/>
  <c r="AB131" i="16"/>
  <c r="Y131" i="16"/>
  <c r="U131" i="16"/>
  <c r="T131" i="16"/>
  <c r="S131" i="16"/>
  <c r="R131" i="16"/>
  <c r="AB132" i="16"/>
  <c r="Y132" i="16"/>
  <c r="U132" i="16"/>
  <c r="T132" i="16"/>
  <c r="S132" i="16"/>
  <c r="R132" i="16"/>
  <c r="AB135" i="16"/>
  <c r="Y135" i="16"/>
  <c r="U135" i="16"/>
  <c r="T135" i="16"/>
  <c r="S135" i="16"/>
  <c r="R135" i="16"/>
  <c r="AB136" i="16"/>
  <c r="Y136" i="16"/>
  <c r="U136" i="16"/>
  <c r="T136" i="16"/>
  <c r="S136" i="16"/>
  <c r="R136" i="16"/>
  <c r="AB137" i="16"/>
  <c r="Y137" i="16"/>
  <c r="U137" i="16"/>
  <c r="T137" i="16"/>
  <c r="S137" i="16"/>
  <c r="R137" i="16"/>
  <c r="AB138" i="16"/>
  <c r="Y138" i="16"/>
  <c r="U138" i="16"/>
  <c r="T138" i="16"/>
  <c r="S138" i="16"/>
  <c r="R138" i="16"/>
  <c r="AB141" i="16"/>
  <c r="Y141" i="16"/>
  <c r="U141" i="16"/>
  <c r="T141" i="16"/>
  <c r="S141" i="16"/>
  <c r="R141" i="16"/>
  <c r="AB142" i="16"/>
  <c r="Y142" i="16"/>
  <c r="U142" i="16"/>
  <c r="T142" i="16"/>
  <c r="S142" i="16"/>
  <c r="R142" i="16"/>
  <c r="AB143" i="16"/>
  <c r="Y143" i="16"/>
  <c r="U143" i="16"/>
  <c r="T143" i="16"/>
  <c r="S143" i="16"/>
  <c r="R143" i="16"/>
  <c r="AB144" i="16"/>
  <c r="Y144" i="16"/>
  <c r="U144" i="16"/>
  <c r="T144" i="16"/>
  <c r="S144" i="16"/>
  <c r="R144" i="16"/>
  <c r="AB145" i="16"/>
  <c r="Y145" i="16"/>
  <c r="U145" i="16"/>
  <c r="T145" i="16"/>
  <c r="S145" i="16"/>
  <c r="R145" i="16"/>
  <c r="AB146" i="16"/>
  <c r="Y146" i="16"/>
  <c r="U146" i="16"/>
  <c r="T146" i="16"/>
  <c r="S146" i="16"/>
  <c r="R146" i="16"/>
  <c r="AB147" i="16"/>
  <c r="Y147" i="16"/>
  <c r="U147" i="16"/>
  <c r="T147" i="16"/>
  <c r="S147" i="16"/>
  <c r="R147" i="16"/>
  <c r="AB148" i="16"/>
  <c r="Y148" i="16"/>
  <c r="U148" i="16"/>
  <c r="T148" i="16"/>
  <c r="S148" i="16"/>
  <c r="R148" i="16"/>
  <c r="AM80" i="16"/>
  <c r="AN80" i="16" s="1"/>
  <c r="AS80" i="16" s="1"/>
  <c r="AM81" i="16"/>
  <c r="AN81" i="16" s="1"/>
  <c r="AS81" i="16" s="1"/>
  <c r="AM82" i="16"/>
  <c r="AN82" i="16" s="1"/>
  <c r="AS82" i="16" s="1"/>
  <c r="AM84" i="16"/>
  <c r="AN84" i="16" s="1"/>
  <c r="AM86" i="16"/>
  <c r="AN86" i="16" s="1"/>
  <c r="AS86" i="16" s="1"/>
  <c r="AM87" i="16"/>
  <c r="AM89" i="16"/>
  <c r="AN89" i="16" s="1"/>
  <c r="AS89" i="16" s="1"/>
  <c r="AM90" i="16"/>
  <c r="AN90" i="16" s="1"/>
  <c r="AM91" i="16"/>
  <c r="AN91" i="16" s="1"/>
  <c r="AS91" i="16" s="1"/>
  <c r="AM94" i="16"/>
  <c r="AM95" i="16"/>
  <c r="AN95" i="16" s="1"/>
  <c r="AM96" i="16"/>
  <c r="AN96" i="16" s="1"/>
  <c r="AS96" i="16" s="1"/>
  <c r="AM97" i="16"/>
  <c r="AN97" i="16" s="1"/>
  <c r="AS97" i="16" s="1"/>
  <c r="AM98" i="16"/>
  <c r="AN98" i="16" s="1"/>
  <c r="AS98" i="16" s="1"/>
  <c r="AM101" i="16"/>
  <c r="AN101" i="16" s="1"/>
  <c r="AS101" i="16" s="1"/>
  <c r="AM102" i="16"/>
  <c r="AN102" i="16" s="1"/>
  <c r="AS102" i="16" s="1"/>
  <c r="AM103" i="16"/>
  <c r="AN103" i="16" s="1"/>
  <c r="AS103" i="16" s="1"/>
  <c r="AM104" i="16"/>
  <c r="AN104" i="16" s="1"/>
  <c r="AM107" i="16"/>
  <c r="AN107" i="16" s="1"/>
  <c r="AM108" i="16"/>
  <c r="AN108" i="16" s="1"/>
  <c r="AS108" i="16" s="1"/>
  <c r="AM109" i="16"/>
  <c r="AN109" i="16" s="1"/>
  <c r="AS109" i="16" s="1"/>
  <c r="AM112" i="16"/>
  <c r="AN112" i="16" s="1"/>
  <c r="AS112" i="16" s="1"/>
  <c r="AM113" i="16"/>
  <c r="AN113" i="16" s="1"/>
  <c r="AS113" i="16" s="1"/>
  <c r="AM114" i="16"/>
  <c r="AN114" i="16" s="1"/>
  <c r="AM115" i="16"/>
  <c r="AN115" i="16" s="1"/>
  <c r="AS115" i="16" s="1"/>
  <c r="AM116" i="16"/>
  <c r="AN116" i="16" s="1"/>
  <c r="AS116" i="16" s="1"/>
  <c r="AM119" i="16"/>
  <c r="AN119" i="16" s="1"/>
  <c r="AS119" i="16" s="1"/>
  <c r="AM120" i="16"/>
  <c r="AN120" i="16" s="1"/>
  <c r="AS120" i="16" s="1"/>
  <c r="AM121" i="16"/>
  <c r="AN121" i="16" s="1"/>
  <c r="AM124" i="16"/>
  <c r="AN124" i="16" s="1"/>
  <c r="AS124" i="16" s="1"/>
  <c r="AM125" i="16"/>
  <c r="AN125" i="16" s="1"/>
  <c r="AS125" i="16" s="1"/>
  <c r="AM126" i="16"/>
  <c r="AN126" i="16" s="1"/>
  <c r="AS126" i="16" s="1"/>
  <c r="AM127" i="16"/>
  <c r="AN127" i="16" s="1"/>
  <c r="AS127" i="16" s="1"/>
  <c r="AM128" i="16"/>
  <c r="AN128" i="16" s="1"/>
  <c r="AS128" i="16" s="1"/>
  <c r="AM129" i="16"/>
  <c r="AN129" i="16" s="1"/>
  <c r="AS129" i="16" s="1"/>
  <c r="AM130" i="16"/>
  <c r="AN130" i="16" s="1"/>
  <c r="AS130" i="16" s="1"/>
  <c r="AM131" i="16"/>
  <c r="AN131" i="16" s="1"/>
  <c r="AM132" i="16"/>
  <c r="AN132" i="16" s="1"/>
  <c r="AS132" i="16" s="1"/>
  <c r="AM135" i="16"/>
  <c r="AN135" i="16" s="1"/>
  <c r="AS135" i="16" s="1"/>
  <c r="AM136" i="16"/>
  <c r="AN136" i="16" s="1"/>
  <c r="AM137" i="16"/>
  <c r="AN137" i="16" s="1"/>
  <c r="AS137" i="16" s="1"/>
  <c r="AM138" i="16"/>
  <c r="AM141" i="16"/>
  <c r="AN141" i="16" s="1"/>
  <c r="AS141" i="16" s="1"/>
  <c r="AM142" i="16"/>
  <c r="AN142" i="16" s="1"/>
  <c r="AS142" i="16" s="1"/>
  <c r="AM143" i="16"/>
  <c r="AN143" i="16" s="1"/>
  <c r="AM144" i="16"/>
  <c r="AN144" i="16" s="1"/>
  <c r="AS144" i="16" s="1"/>
  <c r="AM145" i="16"/>
  <c r="AN145" i="16" s="1"/>
  <c r="AS145" i="16" s="1"/>
  <c r="AM146" i="16"/>
  <c r="AN146" i="16" s="1"/>
  <c r="AS146" i="16" s="1"/>
  <c r="AM147" i="16"/>
  <c r="AN147" i="16"/>
  <c r="AS147" i="16" s="1"/>
  <c r="AM148" i="16"/>
  <c r="AN148" i="16" s="1"/>
  <c r="AS148" i="16" s="1"/>
  <c r="BY28" i="18"/>
  <c r="BY29" i="18"/>
  <c r="BY31" i="18"/>
  <c r="BY30" i="18" s="1"/>
  <c r="BY33" i="18"/>
  <c r="BY32" i="18" s="1"/>
  <c r="BY35" i="18"/>
  <c r="BY34" i="18" s="1"/>
  <c r="BY37" i="18"/>
  <c r="BY36" i="18" s="1"/>
  <c r="BY39" i="18"/>
  <c r="BY38" i="18" s="1"/>
  <c r="BY41" i="18"/>
  <c r="BY40" i="18" s="1"/>
  <c r="BY43" i="18"/>
  <c r="BY42" i="18" s="1"/>
  <c r="BZ28" i="18"/>
  <c r="BZ29" i="18"/>
  <c r="BZ31" i="18"/>
  <c r="BZ30" i="18" s="1"/>
  <c r="BZ33" i="18"/>
  <c r="BZ32" i="18" s="1"/>
  <c r="BZ35" i="18"/>
  <c r="BZ34" i="18" s="1"/>
  <c r="BZ37" i="18"/>
  <c r="BZ36" i="18" s="1"/>
  <c r="BZ39" i="18"/>
  <c r="BZ38" i="18" s="1"/>
  <c r="BZ41" i="18"/>
  <c r="BZ40" i="18" s="1"/>
  <c r="BZ43" i="18"/>
  <c r="BZ42" i="18" s="1"/>
  <c r="BZ45" i="18"/>
  <c r="BZ44" i="18" s="1"/>
  <c r="CA28" i="18"/>
  <c r="CA29" i="18"/>
  <c r="CA31" i="18"/>
  <c r="CA30" i="18" s="1"/>
  <c r="CA33" i="18"/>
  <c r="CA32" i="18" s="1"/>
  <c r="CA35" i="18"/>
  <c r="CA34" i="18" s="1"/>
  <c r="CA37" i="18"/>
  <c r="CA36" i="18" s="1"/>
  <c r="CA39" i="18"/>
  <c r="CA38" i="18" s="1"/>
  <c r="CA41" i="18"/>
  <c r="CA40" i="18" s="1"/>
  <c r="CA43" i="18"/>
  <c r="CA42" i="18" s="1"/>
  <c r="CA45" i="18"/>
  <c r="CA44" i="18" s="1"/>
  <c r="CB28" i="18"/>
  <c r="CB29" i="18"/>
  <c r="CB31" i="18"/>
  <c r="CB30" i="18" s="1"/>
  <c r="CB33" i="18"/>
  <c r="CB32" i="18" s="1"/>
  <c r="CB35" i="18"/>
  <c r="CB34" i="18" s="1"/>
  <c r="CB37" i="18"/>
  <c r="CB36" i="18" s="1"/>
  <c r="CB39" i="18"/>
  <c r="CB38" i="18" s="1"/>
  <c r="CB41" i="18"/>
  <c r="CB40" i="18" s="1"/>
  <c r="CB43" i="18"/>
  <c r="CB42" i="18" s="1"/>
  <c r="CB45" i="18"/>
  <c r="CB44" i="18" s="1"/>
  <c r="CC28" i="18"/>
  <c r="CC29" i="18"/>
  <c r="CC31" i="18"/>
  <c r="CC30" i="18" s="1"/>
  <c r="CC33" i="18"/>
  <c r="CC32" i="18" s="1"/>
  <c r="CC35" i="18"/>
  <c r="CC34" i="18" s="1"/>
  <c r="CC37" i="18"/>
  <c r="CC36" i="18" s="1"/>
  <c r="CC39" i="18"/>
  <c r="CC38" i="18" s="1"/>
  <c r="CC41" i="18"/>
  <c r="CC40" i="18" s="1"/>
  <c r="CC43" i="18"/>
  <c r="CC42" i="18" s="1"/>
  <c r="CC45" i="18"/>
  <c r="CC44" i="18" s="1"/>
  <c r="CD28" i="18"/>
  <c r="CD29" i="18"/>
  <c r="CD31" i="18"/>
  <c r="CD30" i="18" s="1"/>
  <c r="CD33" i="18"/>
  <c r="CD32" i="18" s="1"/>
  <c r="CD35" i="18"/>
  <c r="CD34" i="18" s="1"/>
  <c r="CD37" i="18"/>
  <c r="CD36" i="18" s="1"/>
  <c r="CD39" i="18"/>
  <c r="CD38" i="18" s="1"/>
  <c r="CD41" i="18"/>
  <c r="CD40" i="18" s="1"/>
  <c r="CD43" i="18"/>
  <c r="CD42" i="18" s="1"/>
  <c r="CD45" i="18"/>
  <c r="CD44" i="18" s="1"/>
  <c r="CE28" i="18"/>
  <c r="CE29" i="18"/>
  <c r="CE31" i="18"/>
  <c r="CE30" i="18" s="1"/>
  <c r="CE33" i="18"/>
  <c r="CE32" i="18" s="1"/>
  <c r="CE35" i="18"/>
  <c r="CE34" i="18" s="1"/>
  <c r="CE37" i="18"/>
  <c r="CE36" i="18" s="1"/>
  <c r="CE39" i="18"/>
  <c r="CE38" i="18" s="1"/>
  <c r="CE41" i="18"/>
  <c r="CE40" i="18" s="1"/>
  <c r="CE43" i="18"/>
  <c r="CE42" i="18" s="1"/>
  <c r="CE45" i="18"/>
  <c r="CE44" i="18"/>
  <c r="L80" i="17"/>
  <c r="M80" i="17" s="1"/>
  <c r="L81" i="17"/>
  <c r="M81" i="17" s="1"/>
  <c r="AQ81" i="17" s="1"/>
  <c r="L82" i="17"/>
  <c r="L84" i="17"/>
  <c r="M84" i="17" s="1"/>
  <c r="L86" i="17"/>
  <c r="M86" i="17" s="1"/>
  <c r="L87" i="17"/>
  <c r="M87" i="17" s="1"/>
  <c r="L89" i="17"/>
  <c r="L90" i="17"/>
  <c r="M90" i="17" s="1"/>
  <c r="L91" i="17"/>
  <c r="M91" i="17" s="1"/>
  <c r="AQ91" i="17" s="1"/>
  <c r="L94" i="17"/>
  <c r="M94" i="17" s="1"/>
  <c r="L95" i="17"/>
  <c r="L96" i="17"/>
  <c r="M96" i="17" s="1"/>
  <c r="L97" i="17"/>
  <c r="M97" i="17" s="1"/>
  <c r="AQ97" i="17" s="1"/>
  <c r="L98" i="17"/>
  <c r="M98" i="17" s="1"/>
  <c r="L101" i="17"/>
  <c r="L102" i="17"/>
  <c r="M102" i="17" s="1"/>
  <c r="L103" i="17"/>
  <c r="M103" i="17" s="1"/>
  <c r="L104" i="17"/>
  <c r="M104" i="17" s="1"/>
  <c r="AQ104" i="17" s="1"/>
  <c r="L107" i="17"/>
  <c r="M107" i="17" s="1"/>
  <c r="L108" i="17"/>
  <c r="M108" i="17" s="1"/>
  <c r="L109" i="17"/>
  <c r="M109" i="17" s="1"/>
  <c r="AQ109" i="17" s="1"/>
  <c r="L112" i="17"/>
  <c r="M112" i="17" s="1"/>
  <c r="L113" i="17"/>
  <c r="L114" i="17"/>
  <c r="M114" i="17" s="1"/>
  <c r="AQ114" i="17" s="1"/>
  <c r="L115" i="17"/>
  <c r="M115" i="17" s="1"/>
  <c r="L116" i="17"/>
  <c r="M116" i="17" s="1"/>
  <c r="AQ116" i="17" s="1"/>
  <c r="L119" i="17"/>
  <c r="L120" i="17"/>
  <c r="M120" i="17" s="1"/>
  <c r="L121" i="17"/>
  <c r="M121" i="17" s="1"/>
  <c r="AQ121" i="17" s="1"/>
  <c r="L124" i="17"/>
  <c r="M124" i="17" s="1"/>
  <c r="L125" i="17"/>
  <c r="L126" i="17"/>
  <c r="M126" i="17" s="1"/>
  <c r="AQ126" i="17" s="1"/>
  <c r="L127" i="17"/>
  <c r="M127" i="17" s="1"/>
  <c r="L128" i="17"/>
  <c r="M128" i="17" s="1"/>
  <c r="AQ128" i="17" s="1"/>
  <c r="L129" i="17"/>
  <c r="M129" i="17" s="1"/>
  <c r="L130" i="17"/>
  <c r="M130" i="17" s="1"/>
  <c r="AQ130" i="17" s="1"/>
  <c r="L131" i="17"/>
  <c r="M131" i="17" s="1"/>
  <c r="L132" i="17"/>
  <c r="M132" i="17" s="1"/>
  <c r="AQ132" i="17" s="1"/>
  <c r="L135" i="17"/>
  <c r="M135" i="17" s="1"/>
  <c r="L136" i="17"/>
  <c r="M136" i="17" s="1"/>
  <c r="L137" i="17"/>
  <c r="M137" i="17" s="1"/>
  <c r="AQ137" i="17" s="1"/>
  <c r="L138" i="17"/>
  <c r="M138" i="17" s="1"/>
  <c r="L141" i="17"/>
  <c r="L142" i="17"/>
  <c r="M142" i="17" s="1"/>
  <c r="AQ142" i="17" s="1"/>
  <c r="L143" i="17"/>
  <c r="M143" i="17" s="1"/>
  <c r="L144" i="17"/>
  <c r="M144" i="17" s="1"/>
  <c r="L145" i="17"/>
  <c r="M145" i="17" s="1"/>
  <c r="L146" i="17"/>
  <c r="M146" i="17" s="1"/>
  <c r="AQ146" i="17" s="1"/>
  <c r="L147" i="17"/>
  <c r="M147" i="17" s="1"/>
  <c r="L148" i="17"/>
  <c r="M148" i="17" s="1"/>
  <c r="AQ148" i="17" s="1"/>
  <c r="AE80" i="17"/>
  <c r="AB80" i="17"/>
  <c r="Y80" i="17"/>
  <c r="U80" i="17"/>
  <c r="T80" i="17"/>
  <c r="S80" i="17"/>
  <c r="R80" i="17"/>
  <c r="AE81" i="17"/>
  <c r="AB81" i="17"/>
  <c r="Y81" i="17"/>
  <c r="U81" i="17"/>
  <c r="T81" i="17"/>
  <c r="S81" i="17"/>
  <c r="R81" i="17"/>
  <c r="AE82" i="17"/>
  <c r="AB82" i="17"/>
  <c r="Y82" i="17"/>
  <c r="U82" i="17"/>
  <c r="T82" i="17"/>
  <c r="S82" i="17"/>
  <c r="R82" i="17"/>
  <c r="AB84" i="17"/>
  <c r="Y84" i="17"/>
  <c r="U84" i="17"/>
  <c r="T84" i="17"/>
  <c r="S84" i="17"/>
  <c r="R84" i="17"/>
  <c r="AB86" i="17"/>
  <c r="Y86" i="17"/>
  <c r="U86" i="17"/>
  <c r="T86" i="17"/>
  <c r="S86" i="17"/>
  <c r="R86" i="17"/>
  <c r="AB87" i="17"/>
  <c r="Y87" i="17"/>
  <c r="U87" i="17"/>
  <c r="T87" i="17"/>
  <c r="S87" i="17"/>
  <c r="R87" i="17"/>
  <c r="AB89" i="17"/>
  <c r="Y89" i="17"/>
  <c r="U89" i="17"/>
  <c r="T89" i="17"/>
  <c r="S89" i="17"/>
  <c r="R89" i="17"/>
  <c r="AB90" i="17"/>
  <c r="Y90" i="17"/>
  <c r="U90" i="17"/>
  <c r="T90" i="17"/>
  <c r="S90" i="17"/>
  <c r="R90" i="17"/>
  <c r="AB91" i="17"/>
  <c r="Y91" i="17"/>
  <c r="U91" i="17"/>
  <c r="T91" i="17"/>
  <c r="S91" i="17"/>
  <c r="R91" i="17"/>
  <c r="AB94" i="17"/>
  <c r="Y94" i="17"/>
  <c r="U94" i="17"/>
  <c r="T94" i="17"/>
  <c r="S94" i="17"/>
  <c r="R94" i="17"/>
  <c r="AB95" i="17"/>
  <c r="Y95" i="17"/>
  <c r="U95" i="17"/>
  <c r="T95" i="17"/>
  <c r="S95" i="17"/>
  <c r="R95" i="17"/>
  <c r="AB96" i="17"/>
  <c r="Y96" i="17"/>
  <c r="U96" i="17"/>
  <c r="T96" i="17"/>
  <c r="S96" i="17"/>
  <c r="R96" i="17"/>
  <c r="AB97" i="17"/>
  <c r="Y97" i="17"/>
  <c r="U97" i="17"/>
  <c r="T97" i="17"/>
  <c r="S97" i="17"/>
  <c r="R97" i="17"/>
  <c r="AB98" i="17"/>
  <c r="Y98" i="17"/>
  <c r="U98" i="17"/>
  <c r="T98" i="17"/>
  <c r="S98" i="17"/>
  <c r="R98" i="17"/>
  <c r="AB101" i="17"/>
  <c r="Y101" i="17"/>
  <c r="U101" i="17"/>
  <c r="T101" i="17"/>
  <c r="S101" i="17"/>
  <c r="R101" i="17"/>
  <c r="AB102" i="17"/>
  <c r="Y102" i="17"/>
  <c r="U102" i="17"/>
  <c r="T102" i="17"/>
  <c r="S102" i="17"/>
  <c r="R102" i="17"/>
  <c r="AB103" i="17"/>
  <c r="Y103" i="17"/>
  <c r="U103" i="17"/>
  <c r="T103" i="17"/>
  <c r="S103" i="17"/>
  <c r="R103" i="17"/>
  <c r="AB104" i="17"/>
  <c r="Y104" i="17"/>
  <c r="U104" i="17"/>
  <c r="T104" i="17"/>
  <c r="S104" i="17"/>
  <c r="R104" i="17"/>
  <c r="AB107" i="17"/>
  <c r="Y107" i="17"/>
  <c r="U107" i="17"/>
  <c r="T107" i="17"/>
  <c r="S107" i="17"/>
  <c r="R107" i="17"/>
  <c r="AB108" i="17"/>
  <c r="Y108" i="17"/>
  <c r="U108" i="17"/>
  <c r="T108" i="17"/>
  <c r="S108" i="17"/>
  <c r="R108" i="17"/>
  <c r="AB109" i="17"/>
  <c r="Y109" i="17"/>
  <c r="U109" i="17"/>
  <c r="T109" i="17"/>
  <c r="S109" i="17"/>
  <c r="R109" i="17"/>
  <c r="AB112" i="17"/>
  <c r="Y112" i="17"/>
  <c r="U112" i="17"/>
  <c r="T112" i="17"/>
  <c r="S112" i="17"/>
  <c r="R112" i="17"/>
  <c r="AB113" i="17"/>
  <c r="Y113" i="17"/>
  <c r="U113" i="17"/>
  <c r="T113" i="17"/>
  <c r="S113" i="17"/>
  <c r="R113" i="17"/>
  <c r="AB114" i="17"/>
  <c r="Y114" i="17"/>
  <c r="U114" i="17"/>
  <c r="T114" i="17"/>
  <c r="S114" i="17"/>
  <c r="R114" i="17"/>
  <c r="AB115" i="17"/>
  <c r="Y115" i="17"/>
  <c r="U115" i="17"/>
  <c r="T115" i="17"/>
  <c r="S115" i="17"/>
  <c r="R115" i="17"/>
  <c r="AB116" i="17"/>
  <c r="Y116" i="17"/>
  <c r="U116" i="17"/>
  <c r="T116" i="17"/>
  <c r="S116" i="17"/>
  <c r="R116" i="17"/>
  <c r="AB119" i="17"/>
  <c r="Y119" i="17"/>
  <c r="U119" i="17"/>
  <c r="T119" i="17"/>
  <c r="S119" i="17"/>
  <c r="R119" i="17"/>
  <c r="AB120" i="17"/>
  <c r="Y120" i="17"/>
  <c r="U120" i="17"/>
  <c r="T120" i="17"/>
  <c r="S120" i="17"/>
  <c r="R120" i="17"/>
  <c r="AB121" i="17"/>
  <c r="Y121" i="17"/>
  <c r="U121" i="17"/>
  <c r="T121" i="17"/>
  <c r="S121" i="17"/>
  <c r="R121" i="17"/>
  <c r="AB124" i="17"/>
  <c r="Y124" i="17"/>
  <c r="U124" i="17"/>
  <c r="T124" i="17"/>
  <c r="S124" i="17"/>
  <c r="R124" i="17"/>
  <c r="AB125" i="17"/>
  <c r="Y125" i="17"/>
  <c r="U125" i="17"/>
  <c r="T125" i="17"/>
  <c r="S125" i="17"/>
  <c r="R125" i="17"/>
  <c r="AB126" i="17"/>
  <c r="Y126" i="17"/>
  <c r="U126" i="17"/>
  <c r="T126" i="17"/>
  <c r="S126" i="17"/>
  <c r="R126" i="17"/>
  <c r="AB127" i="17"/>
  <c r="Y127" i="17"/>
  <c r="U127" i="17"/>
  <c r="T127" i="17"/>
  <c r="S127" i="17"/>
  <c r="R127" i="17"/>
  <c r="AB128" i="17"/>
  <c r="Y128" i="17"/>
  <c r="U128" i="17"/>
  <c r="T128" i="17"/>
  <c r="S128" i="17"/>
  <c r="R128" i="17"/>
  <c r="AB129" i="17"/>
  <c r="Y129" i="17"/>
  <c r="U129" i="17"/>
  <c r="T129" i="17"/>
  <c r="S129" i="17"/>
  <c r="R129" i="17"/>
  <c r="AB130" i="17"/>
  <c r="Y130" i="17"/>
  <c r="U130" i="17"/>
  <c r="T130" i="17"/>
  <c r="S130" i="17"/>
  <c r="R130" i="17"/>
  <c r="AB131" i="17"/>
  <c r="Y131" i="17"/>
  <c r="U131" i="17"/>
  <c r="T131" i="17"/>
  <c r="S131" i="17"/>
  <c r="R131" i="17"/>
  <c r="AB132" i="17"/>
  <c r="Y132" i="17"/>
  <c r="U132" i="17"/>
  <c r="T132" i="17"/>
  <c r="S132" i="17"/>
  <c r="R132" i="17"/>
  <c r="AB135" i="17"/>
  <c r="Y135" i="17"/>
  <c r="U135" i="17"/>
  <c r="T135" i="17"/>
  <c r="S135" i="17"/>
  <c r="R135" i="17"/>
  <c r="AB136" i="17"/>
  <c r="Y136" i="17"/>
  <c r="U136" i="17"/>
  <c r="T136" i="17"/>
  <c r="S136" i="17"/>
  <c r="R136" i="17"/>
  <c r="AB137" i="17"/>
  <c r="Y137" i="17"/>
  <c r="U137" i="17"/>
  <c r="T137" i="17"/>
  <c r="S137" i="17"/>
  <c r="R137" i="17"/>
  <c r="AB138" i="17"/>
  <c r="Y138" i="17"/>
  <c r="U138" i="17"/>
  <c r="T138" i="17"/>
  <c r="S138" i="17"/>
  <c r="R138" i="17"/>
  <c r="AB141" i="17"/>
  <c r="Y141" i="17"/>
  <c r="U141" i="17"/>
  <c r="T141" i="17"/>
  <c r="S141" i="17"/>
  <c r="R141" i="17"/>
  <c r="AB142" i="17"/>
  <c r="Y142" i="17"/>
  <c r="U142" i="17"/>
  <c r="T142" i="17"/>
  <c r="S142" i="17"/>
  <c r="R142" i="17"/>
  <c r="AB143" i="17"/>
  <c r="Y143" i="17"/>
  <c r="U143" i="17"/>
  <c r="T143" i="17"/>
  <c r="S143" i="17"/>
  <c r="R143" i="17"/>
  <c r="AB144" i="17"/>
  <c r="Y144" i="17"/>
  <c r="U144" i="17"/>
  <c r="T144" i="17"/>
  <c r="S144" i="17"/>
  <c r="R144" i="17"/>
  <c r="AB145" i="17"/>
  <c r="Y145" i="17"/>
  <c r="U145" i="17"/>
  <c r="T145" i="17"/>
  <c r="S145" i="17"/>
  <c r="R145" i="17"/>
  <c r="AB146" i="17"/>
  <c r="Y146" i="17"/>
  <c r="U146" i="17"/>
  <c r="T146" i="17"/>
  <c r="S146" i="17"/>
  <c r="R146" i="17"/>
  <c r="AB147" i="17"/>
  <c r="Y147" i="17"/>
  <c r="U147" i="17"/>
  <c r="T147" i="17"/>
  <c r="S147" i="17"/>
  <c r="R147" i="17"/>
  <c r="AB148" i="17"/>
  <c r="Y148" i="17"/>
  <c r="U148" i="17"/>
  <c r="T148" i="17"/>
  <c r="S148" i="17"/>
  <c r="R148" i="17"/>
  <c r="AM80" i="17"/>
  <c r="AM81" i="17"/>
  <c r="AN81" i="17" s="1"/>
  <c r="AM82" i="17"/>
  <c r="AN82" i="17" s="1"/>
  <c r="AS82" i="17" s="1"/>
  <c r="AM84" i="17"/>
  <c r="AN84" i="17" s="1"/>
  <c r="AM86" i="17"/>
  <c r="AN86" i="17" s="1"/>
  <c r="AM87" i="17"/>
  <c r="AN87" i="17" s="1"/>
  <c r="AM89" i="17"/>
  <c r="AN89" i="17" s="1"/>
  <c r="AM90" i="17"/>
  <c r="AN90" i="17" s="1"/>
  <c r="AM91" i="17"/>
  <c r="AM94" i="17"/>
  <c r="AN94" i="17" s="1"/>
  <c r="AS94" i="17" s="1"/>
  <c r="AM95" i="17"/>
  <c r="AN95" i="17" s="1"/>
  <c r="AM96" i="17"/>
  <c r="AN96" i="17" s="1"/>
  <c r="AM97" i="17"/>
  <c r="AM98" i="17"/>
  <c r="AN98" i="17" s="1"/>
  <c r="AS98" i="17" s="1"/>
  <c r="AM101" i="17"/>
  <c r="AN101" i="17" s="1"/>
  <c r="AS101" i="17" s="1"/>
  <c r="AM102" i="17"/>
  <c r="AN102" i="17" s="1"/>
  <c r="AM103" i="17"/>
  <c r="AM104" i="17"/>
  <c r="AN104" i="17" s="1"/>
  <c r="AM107" i="17"/>
  <c r="AN107" i="17" s="1"/>
  <c r="AM108" i="17"/>
  <c r="AN108" i="17" s="1"/>
  <c r="AM109" i="17"/>
  <c r="AN109" i="17" s="1"/>
  <c r="AM112" i="17"/>
  <c r="AN112" i="17" s="1"/>
  <c r="AM113" i="17"/>
  <c r="AN113" i="17" s="1"/>
  <c r="AM114" i="17"/>
  <c r="AN114" i="17" s="1"/>
  <c r="AM115" i="17"/>
  <c r="AM116" i="17"/>
  <c r="AN116" i="17" s="1"/>
  <c r="AM119" i="17"/>
  <c r="AN119" i="17" s="1"/>
  <c r="AM120" i="17"/>
  <c r="AM121" i="17"/>
  <c r="AN121" i="17" s="1"/>
  <c r="AM124" i="17"/>
  <c r="AN124" i="17" s="1"/>
  <c r="AM125" i="17"/>
  <c r="AN125" i="17" s="1"/>
  <c r="AS125" i="17" s="1"/>
  <c r="AM126" i="17"/>
  <c r="AM127" i="17"/>
  <c r="AN127" i="17" s="1"/>
  <c r="AM128" i="17"/>
  <c r="AN128" i="17" s="1"/>
  <c r="AM129" i="17"/>
  <c r="AN129" i="17" s="1"/>
  <c r="AS129" i="17" s="1"/>
  <c r="AM130" i="17"/>
  <c r="AN130" i="17" s="1"/>
  <c r="AM131" i="17"/>
  <c r="AN131" i="17" s="1"/>
  <c r="AS131" i="17" s="1"/>
  <c r="AM132" i="17"/>
  <c r="AN132" i="17" s="1"/>
  <c r="AM135" i="17"/>
  <c r="AN135" i="17" s="1"/>
  <c r="AM136" i="17"/>
  <c r="AN136" i="17" s="1"/>
  <c r="AM137" i="17"/>
  <c r="AN137" i="17" s="1"/>
  <c r="AM138" i="17"/>
  <c r="AN138" i="17" s="1"/>
  <c r="AS138" i="17" s="1"/>
  <c r="AM141" i="17"/>
  <c r="AN141" i="17" s="1"/>
  <c r="AM142" i="17"/>
  <c r="AM143" i="17"/>
  <c r="AN143" i="17" s="1"/>
  <c r="AS143" i="17" s="1"/>
  <c r="AM144" i="17"/>
  <c r="AN144" i="17" s="1"/>
  <c r="AM145" i="17"/>
  <c r="AN145" i="17" s="1"/>
  <c r="AS145" i="17" s="1"/>
  <c r="AM146" i="17"/>
  <c r="AN146" i="17" s="1"/>
  <c r="AM147" i="17"/>
  <c r="AN147" i="17" s="1"/>
  <c r="AS147" i="17" s="1"/>
  <c r="AM148" i="17"/>
  <c r="AN148" i="17" s="1"/>
  <c r="CL28" i="18"/>
  <c r="CL29" i="18"/>
  <c r="CL31" i="18"/>
  <c r="CL30" i="18" s="1"/>
  <c r="CL33" i="18"/>
  <c r="CL32" i="18" s="1"/>
  <c r="CL35" i="18"/>
  <c r="CL34" i="18" s="1"/>
  <c r="CL37" i="18"/>
  <c r="CL36" i="18" s="1"/>
  <c r="CL39" i="18"/>
  <c r="CL38" i="18" s="1"/>
  <c r="CL41" i="18"/>
  <c r="CL40" i="18" s="1"/>
  <c r="CL43" i="18"/>
  <c r="CL42" i="18" s="1"/>
  <c r="CM28" i="18"/>
  <c r="CM29" i="18"/>
  <c r="CM31" i="18"/>
  <c r="CM33" i="18"/>
  <c r="CM32" i="18" s="1"/>
  <c r="CM35" i="18"/>
  <c r="CM37" i="18"/>
  <c r="CM36" i="18" s="1"/>
  <c r="CM39" i="18"/>
  <c r="CM41" i="18"/>
  <c r="CM40" i="18" s="1"/>
  <c r="CM43" i="18"/>
  <c r="CM45" i="18"/>
  <c r="CM44" i="18" s="1"/>
  <c r="CN28" i="18"/>
  <c r="CN29" i="18"/>
  <c r="CN31" i="18"/>
  <c r="CN30" i="18" s="1"/>
  <c r="CN33" i="18"/>
  <c r="CN32" i="18" s="1"/>
  <c r="CN35" i="18"/>
  <c r="CN34" i="18" s="1"/>
  <c r="CN37" i="18"/>
  <c r="CN36" i="18" s="1"/>
  <c r="CN39" i="18"/>
  <c r="CN38" i="18" s="1"/>
  <c r="CN41" i="18"/>
  <c r="CN40" i="18" s="1"/>
  <c r="CN43" i="18"/>
  <c r="CN42" i="18" s="1"/>
  <c r="CN45" i="18"/>
  <c r="CN44" i="18" s="1"/>
  <c r="CO28" i="18"/>
  <c r="CO29" i="18"/>
  <c r="CO31" i="18"/>
  <c r="CO33" i="18"/>
  <c r="CO32" i="18" s="1"/>
  <c r="CO35" i="18"/>
  <c r="CO37" i="18"/>
  <c r="CO36" i="18" s="1"/>
  <c r="CO39" i="18"/>
  <c r="CO41" i="18"/>
  <c r="CO40" i="18" s="1"/>
  <c r="CO43" i="18"/>
  <c r="CO45" i="18"/>
  <c r="CO44" i="18" s="1"/>
  <c r="CP28" i="18"/>
  <c r="CP29" i="18"/>
  <c r="CP31" i="18"/>
  <c r="CP30" i="18" s="1"/>
  <c r="CP33" i="18"/>
  <c r="CP32" i="18" s="1"/>
  <c r="CP35" i="18"/>
  <c r="CP34" i="18" s="1"/>
  <c r="CP37" i="18"/>
  <c r="CP36" i="18" s="1"/>
  <c r="CP39" i="18"/>
  <c r="CP38" i="18" s="1"/>
  <c r="CP41" i="18"/>
  <c r="CP40" i="18" s="1"/>
  <c r="CP43" i="18"/>
  <c r="CP42" i="18" s="1"/>
  <c r="CP45" i="18"/>
  <c r="CP44" i="18" s="1"/>
  <c r="CQ28" i="18"/>
  <c r="CQ29" i="18"/>
  <c r="CQ31" i="18"/>
  <c r="CQ33" i="18"/>
  <c r="CQ32" i="18" s="1"/>
  <c r="CQ35" i="18"/>
  <c r="CQ37" i="18"/>
  <c r="CQ36" i="18" s="1"/>
  <c r="CQ39" i="18"/>
  <c r="CQ41" i="18"/>
  <c r="CQ40" i="18" s="1"/>
  <c r="CQ43" i="18"/>
  <c r="CQ45" i="18"/>
  <c r="CQ44" i="18" s="1"/>
  <c r="CR28" i="18"/>
  <c r="CR29" i="18"/>
  <c r="CR31" i="18"/>
  <c r="CR30" i="18" s="1"/>
  <c r="CR33" i="18"/>
  <c r="CR32" i="18" s="1"/>
  <c r="CR35" i="18"/>
  <c r="CR34" i="18" s="1"/>
  <c r="CR37" i="18"/>
  <c r="CR36" i="18" s="1"/>
  <c r="CR39" i="18"/>
  <c r="CR38" i="18" s="1"/>
  <c r="CR41" i="18"/>
  <c r="CR40" i="18" s="1"/>
  <c r="CR43" i="18"/>
  <c r="CR42" i="18" s="1"/>
  <c r="CR45" i="18"/>
  <c r="CR44" i="18" s="1"/>
  <c r="CY28" i="18"/>
  <c r="CY29" i="18"/>
  <c r="CY31" i="18"/>
  <c r="CY30" i="18" s="1"/>
  <c r="CY33" i="18"/>
  <c r="CY32" i="18" s="1"/>
  <c r="CY37" i="18"/>
  <c r="CY36" i="18" s="1"/>
  <c r="CY39" i="18"/>
  <c r="CY38" i="18" s="1"/>
  <c r="CY41" i="18"/>
  <c r="CY40" i="18" s="1"/>
  <c r="CZ33" i="18"/>
  <c r="CZ32" i="18" s="1"/>
  <c r="CZ35" i="18"/>
  <c r="CZ34" i="18" s="1"/>
  <c r="CZ37" i="18"/>
  <c r="CZ36" i="18" s="1"/>
  <c r="CZ41" i="18"/>
  <c r="CZ40" i="18" s="1"/>
  <c r="CZ43" i="18"/>
  <c r="CZ42" i="18" s="1"/>
  <c r="CZ45" i="18"/>
  <c r="CZ44" i="18" s="1"/>
  <c r="DA28" i="18"/>
  <c r="DA29" i="18"/>
  <c r="DA33" i="18"/>
  <c r="DA32" i="18" s="1"/>
  <c r="DA35" i="18"/>
  <c r="DA34" i="18" s="1"/>
  <c r="DA37" i="18"/>
  <c r="DA36" i="18" s="1"/>
  <c r="DA41" i="18"/>
  <c r="DA40" i="18" s="1"/>
  <c r="DA43" i="18"/>
  <c r="DA42" i="18" s="1"/>
  <c r="DA45" i="18"/>
  <c r="DA44" i="18" s="1"/>
  <c r="DB28" i="18"/>
  <c r="DB29" i="18"/>
  <c r="DB31" i="18"/>
  <c r="DB30" i="18" s="1"/>
  <c r="DB33" i="18"/>
  <c r="DB32" i="18" s="1"/>
  <c r="DB35" i="18"/>
  <c r="DB34" i="18" s="1"/>
  <c r="DB39" i="18"/>
  <c r="DB38" i="18" s="1"/>
  <c r="DB41" i="18"/>
  <c r="DB40" i="18" s="1"/>
  <c r="DB43" i="18"/>
  <c r="DB42" i="18" s="1"/>
  <c r="DC29" i="18"/>
  <c r="DC31" i="18"/>
  <c r="DC30" i="18" s="1"/>
  <c r="DC37" i="18"/>
  <c r="DC36" i="18" s="1"/>
  <c r="DC39" i="18"/>
  <c r="DC38" i="18" s="1"/>
  <c r="DC45" i="18"/>
  <c r="DC44" i="18" s="1"/>
  <c r="DD28" i="18"/>
  <c r="DD29" i="18"/>
  <c r="DD35" i="18"/>
  <c r="DD34" i="18" s="1"/>
  <c r="DD37" i="18"/>
  <c r="DD36" i="18" s="1"/>
  <c r="DD43" i="18"/>
  <c r="DD42" i="18" s="1"/>
  <c r="DD45" i="18"/>
  <c r="DD44" i="18" s="1"/>
  <c r="DE28" i="18"/>
  <c r="DE31" i="18"/>
  <c r="DE30" i="18" s="1"/>
  <c r="DE33" i="18"/>
  <c r="DE32" i="18" s="1"/>
  <c r="DE35" i="18"/>
  <c r="DE34" i="18" s="1"/>
  <c r="DE39" i="18"/>
  <c r="DE38" i="18" s="1"/>
  <c r="DE41" i="18"/>
  <c r="DE40" i="18" s="1"/>
  <c r="DE43" i="18"/>
  <c r="DE42" i="18" s="1"/>
  <c r="L80" i="22"/>
  <c r="M80" i="22" s="1"/>
  <c r="AQ80" i="22" s="1"/>
  <c r="L81" i="22"/>
  <c r="M81" i="22" s="1"/>
  <c r="AQ81" i="22" s="1"/>
  <c r="L82" i="22"/>
  <c r="M82" i="22" s="1"/>
  <c r="L84" i="22"/>
  <c r="M84" i="22" s="1"/>
  <c r="AQ84" i="22" s="1"/>
  <c r="L86" i="22"/>
  <c r="M86" i="22" s="1"/>
  <c r="L87" i="22"/>
  <c r="M87" i="22" s="1"/>
  <c r="AQ87" i="22" s="1"/>
  <c r="L89" i="22"/>
  <c r="M89" i="22" s="1"/>
  <c r="AQ89" i="22" s="1"/>
  <c r="L90" i="22"/>
  <c r="M90" i="22" s="1"/>
  <c r="AQ90" i="22" s="1"/>
  <c r="L91" i="22"/>
  <c r="M91" i="22" s="1"/>
  <c r="L94" i="22"/>
  <c r="M94" i="22" s="1"/>
  <c r="L95" i="22"/>
  <c r="M95" i="22" s="1"/>
  <c r="AQ95" i="22" s="1"/>
  <c r="L96" i="22"/>
  <c r="M96" i="22" s="1"/>
  <c r="AQ96" i="22" s="1"/>
  <c r="L97" i="22"/>
  <c r="M97" i="22" s="1"/>
  <c r="AQ97" i="22" s="1"/>
  <c r="L98" i="22"/>
  <c r="M98" i="22" s="1"/>
  <c r="AQ98" i="22" s="1"/>
  <c r="L101" i="22"/>
  <c r="M101" i="22" s="1"/>
  <c r="L102" i="22"/>
  <c r="L103" i="22"/>
  <c r="M103" i="22" s="1"/>
  <c r="AQ103" i="22" s="1"/>
  <c r="L104" i="22"/>
  <c r="M104" i="22" s="1"/>
  <c r="AQ104" i="22" s="1"/>
  <c r="L107" i="22"/>
  <c r="M107" i="22" s="1"/>
  <c r="AQ107" i="22" s="1"/>
  <c r="L108" i="22"/>
  <c r="M108" i="22" s="1"/>
  <c r="L109" i="22"/>
  <c r="M109" i="22" s="1"/>
  <c r="AQ109" i="22" s="1"/>
  <c r="L112" i="22"/>
  <c r="M112" i="22" s="1"/>
  <c r="AQ112" i="22" s="1"/>
  <c r="L113" i="22"/>
  <c r="M113" i="22" s="1"/>
  <c r="AQ113" i="22" s="1"/>
  <c r="L114" i="22"/>
  <c r="M114" i="22" s="1"/>
  <c r="AQ114" i="22" s="1"/>
  <c r="L115" i="22"/>
  <c r="M115" i="22" s="1"/>
  <c r="L116" i="22"/>
  <c r="M116" i="22" s="1"/>
  <c r="AQ116" i="22" s="1"/>
  <c r="L119" i="22"/>
  <c r="M119" i="22" s="1"/>
  <c r="AQ119" i="22" s="1"/>
  <c r="L120" i="22"/>
  <c r="M120" i="22" s="1"/>
  <c r="L121" i="22"/>
  <c r="M121" i="22" s="1"/>
  <c r="AQ121" i="22" s="1"/>
  <c r="L124" i="22"/>
  <c r="M124" i="22" s="1"/>
  <c r="AQ124" i="22" s="1"/>
  <c r="L125" i="22"/>
  <c r="M125" i="22" s="1"/>
  <c r="L126" i="22"/>
  <c r="L127" i="22"/>
  <c r="M127" i="22" s="1"/>
  <c r="AQ127" i="22" s="1"/>
  <c r="L128" i="22"/>
  <c r="M128" i="22" s="1"/>
  <c r="AQ128" i="22" s="1"/>
  <c r="L129" i="22"/>
  <c r="M129" i="22" s="1"/>
  <c r="AQ129" i="22" s="1"/>
  <c r="L130" i="22"/>
  <c r="M130" i="22" s="1"/>
  <c r="AQ130" i="22" s="1"/>
  <c r="L131" i="22"/>
  <c r="M131" i="22" s="1"/>
  <c r="AQ131" i="22" s="1"/>
  <c r="L132" i="22"/>
  <c r="M132" i="22" s="1"/>
  <c r="AQ132" i="22" s="1"/>
  <c r="L135" i="22"/>
  <c r="M135" i="22" s="1"/>
  <c r="AQ135" i="22" s="1"/>
  <c r="L136" i="22"/>
  <c r="M136" i="22" s="1"/>
  <c r="AQ136" i="22" s="1"/>
  <c r="L137" i="22"/>
  <c r="M137" i="22" s="1"/>
  <c r="AQ137" i="22" s="1"/>
  <c r="L138" i="22"/>
  <c r="M138" i="22" s="1"/>
  <c r="L141" i="22"/>
  <c r="M141" i="22" s="1"/>
  <c r="L142" i="22"/>
  <c r="L143" i="22"/>
  <c r="M143" i="22" s="1"/>
  <c r="AQ143" i="22" s="1"/>
  <c r="L144" i="22"/>
  <c r="M144" i="22" s="1"/>
  <c r="AQ144" i="22" s="1"/>
  <c r="L145" i="22"/>
  <c r="M145" i="22" s="1"/>
  <c r="AQ145" i="22" s="1"/>
  <c r="L146" i="22"/>
  <c r="M146" i="22" s="1"/>
  <c r="AQ146" i="22" s="1"/>
  <c r="L147" i="22"/>
  <c r="M147" i="22" s="1"/>
  <c r="AQ147" i="22" s="1"/>
  <c r="L148" i="22"/>
  <c r="M148" i="22" s="1"/>
  <c r="AQ148" i="22" s="1"/>
  <c r="AE80" i="22"/>
  <c r="AB80" i="22"/>
  <c r="U80" i="22"/>
  <c r="T80" i="22"/>
  <c r="S80" i="22"/>
  <c r="R80" i="22"/>
  <c r="AE81" i="22"/>
  <c r="AB81" i="22"/>
  <c r="U81" i="22"/>
  <c r="T81" i="22"/>
  <c r="S81" i="22"/>
  <c r="R81" i="22"/>
  <c r="AE82" i="22"/>
  <c r="AB82" i="22"/>
  <c r="U82" i="22"/>
  <c r="T82" i="22"/>
  <c r="S82" i="22"/>
  <c r="R82" i="22"/>
  <c r="AB84" i="22"/>
  <c r="U84" i="22"/>
  <c r="T84" i="22"/>
  <c r="S84" i="22"/>
  <c r="R84" i="22"/>
  <c r="AB86" i="22"/>
  <c r="U86" i="22"/>
  <c r="T86" i="22"/>
  <c r="S86" i="22"/>
  <c r="R86" i="22"/>
  <c r="AB87" i="22"/>
  <c r="U87" i="22"/>
  <c r="T87" i="22"/>
  <c r="S87" i="22"/>
  <c r="R87" i="22"/>
  <c r="AB89" i="22"/>
  <c r="U89" i="22"/>
  <c r="T89" i="22"/>
  <c r="S89" i="22"/>
  <c r="R89" i="22"/>
  <c r="AB90" i="22"/>
  <c r="U90" i="22"/>
  <c r="T90" i="22"/>
  <c r="S90" i="22"/>
  <c r="R90" i="22"/>
  <c r="AB91" i="22"/>
  <c r="U91" i="22"/>
  <c r="T91" i="22"/>
  <c r="S91" i="22"/>
  <c r="R91" i="22"/>
  <c r="AB94" i="22"/>
  <c r="U94" i="22"/>
  <c r="T94" i="22"/>
  <c r="S94" i="22"/>
  <c r="R94" i="22"/>
  <c r="AB95" i="22"/>
  <c r="U95" i="22"/>
  <c r="T95" i="22"/>
  <c r="S95" i="22"/>
  <c r="R95" i="22"/>
  <c r="AB96" i="22"/>
  <c r="U96" i="22"/>
  <c r="T96" i="22"/>
  <c r="S96" i="22"/>
  <c r="R96" i="22"/>
  <c r="AB97" i="22"/>
  <c r="U97" i="22"/>
  <c r="T97" i="22"/>
  <c r="S97" i="22"/>
  <c r="R97" i="22"/>
  <c r="AB98" i="22"/>
  <c r="U98" i="22"/>
  <c r="T98" i="22"/>
  <c r="S98" i="22"/>
  <c r="R98" i="22"/>
  <c r="AB101" i="22"/>
  <c r="U101" i="22"/>
  <c r="T101" i="22"/>
  <c r="S101" i="22"/>
  <c r="R101" i="22"/>
  <c r="AB102" i="22"/>
  <c r="U102" i="22"/>
  <c r="T102" i="22"/>
  <c r="S102" i="22"/>
  <c r="R102" i="22"/>
  <c r="AB103" i="22"/>
  <c r="U103" i="22"/>
  <c r="T103" i="22"/>
  <c r="S103" i="22"/>
  <c r="R103" i="22"/>
  <c r="AB104" i="22"/>
  <c r="U104" i="22"/>
  <c r="T104" i="22"/>
  <c r="S104" i="22"/>
  <c r="R104" i="22"/>
  <c r="AB107" i="22"/>
  <c r="U107" i="22"/>
  <c r="T107" i="22"/>
  <c r="S107" i="22"/>
  <c r="R107" i="22"/>
  <c r="AB108" i="22"/>
  <c r="U108" i="22"/>
  <c r="T108" i="22"/>
  <c r="S108" i="22"/>
  <c r="R108" i="22"/>
  <c r="AB109" i="22"/>
  <c r="U109" i="22"/>
  <c r="T109" i="22"/>
  <c r="T110" i="22" s="1"/>
  <c r="T106" i="22" s="1"/>
  <c r="S109" i="22"/>
  <c r="R109" i="22"/>
  <c r="AB112" i="22"/>
  <c r="U112" i="22"/>
  <c r="T112" i="22"/>
  <c r="S112" i="22"/>
  <c r="R112" i="22"/>
  <c r="AB113" i="22"/>
  <c r="U113" i="22"/>
  <c r="T113" i="22"/>
  <c r="S113" i="22"/>
  <c r="R113" i="22"/>
  <c r="AB114" i="22"/>
  <c r="U114" i="22"/>
  <c r="T114" i="22"/>
  <c r="S114" i="22"/>
  <c r="R114" i="22"/>
  <c r="AB115" i="22"/>
  <c r="U115" i="22"/>
  <c r="T115" i="22"/>
  <c r="S115" i="22"/>
  <c r="R115" i="22"/>
  <c r="AB116" i="22"/>
  <c r="U116" i="22"/>
  <c r="T116" i="22"/>
  <c r="S116" i="22"/>
  <c r="R116" i="22"/>
  <c r="AB119" i="22"/>
  <c r="U119" i="22"/>
  <c r="T119" i="22"/>
  <c r="S119" i="22"/>
  <c r="R119" i="22"/>
  <c r="R122" i="22" s="1"/>
  <c r="R118" i="22" s="1"/>
  <c r="AB120" i="22"/>
  <c r="U120" i="22"/>
  <c r="T120" i="22"/>
  <c r="S120" i="22"/>
  <c r="S122" i="22" s="1"/>
  <c r="S118" i="22" s="1"/>
  <c r="R120" i="22"/>
  <c r="AB121" i="22"/>
  <c r="U121" i="22"/>
  <c r="T121" i="22"/>
  <c r="T122" i="22" s="1"/>
  <c r="T118" i="22" s="1"/>
  <c r="S121" i="22"/>
  <c r="R121" i="22"/>
  <c r="AB124" i="22"/>
  <c r="U124" i="22"/>
  <c r="T124" i="22"/>
  <c r="S124" i="22"/>
  <c r="R124" i="22"/>
  <c r="AB125" i="22"/>
  <c r="U125" i="22"/>
  <c r="T125" i="22"/>
  <c r="S125" i="22"/>
  <c r="R125" i="22"/>
  <c r="AB126" i="22"/>
  <c r="U126" i="22"/>
  <c r="T126" i="22"/>
  <c r="S126" i="22"/>
  <c r="R126" i="22"/>
  <c r="AB127" i="22"/>
  <c r="U127" i="22"/>
  <c r="T127" i="22"/>
  <c r="S127" i="22"/>
  <c r="R127" i="22"/>
  <c r="AB128" i="22"/>
  <c r="U128" i="22"/>
  <c r="T128" i="22"/>
  <c r="S128" i="22"/>
  <c r="R128" i="22"/>
  <c r="AB129" i="22"/>
  <c r="U129" i="22"/>
  <c r="T129" i="22"/>
  <c r="S129" i="22"/>
  <c r="R129" i="22"/>
  <c r="AB130" i="22"/>
  <c r="U130" i="22"/>
  <c r="T130" i="22"/>
  <c r="S130" i="22"/>
  <c r="R130" i="22"/>
  <c r="AB131" i="22"/>
  <c r="U131" i="22"/>
  <c r="T131" i="22"/>
  <c r="S131" i="22"/>
  <c r="R131" i="22"/>
  <c r="AB132" i="22"/>
  <c r="U132" i="22"/>
  <c r="T132" i="22"/>
  <c r="S132" i="22"/>
  <c r="R132" i="22"/>
  <c r="AB135" i="22"/>
  <c r="AB139" i="22" s="1"/>
  <c r="AB134" i="22" s="1"/>
  <c r="U135" i="22"/>
  <c r="T135" i="22"/>
  <c r="S135" i="22"/>
  <c r="R135" i="22"/>
  <c r="AB136" i="22"/>
  <c r="U136" i="22"/>
  <c r="T136" i="22"/>
  <c r="S136" i="22"/>
  <c r="S139" i="22" s="1"/>
  <c r="S134" i="22" s="1"/>
  <c r="R136" i="22"/>
  <c r="AB137" i="22"/>
  <c r="U137" i="22"/>
  <c r="T137" i="22"/>
  <c r="T139" i="22" s="1"/>
  <c r="T134" i="22" s="1"/>
  <c r="S137" i="22"/>
  <c r="R137" i="22"/>
  <c r="AB138" i="22"/>
  <c r="U138" i="22"/>
  <c r="U139" i="22" s="1"/>
  <c r="U134" i="22" s="1"/>
  <c r="T138" i="22"/>
  <c r="S138" i="22"/>
  <c r="R138" i="22"/>
  <c r="AB141" i="22"/>
  <c r="U141" i="22"/>
  <c r="T141" i="22"/>
  <c r="S141" i="22"/>
  <c r="R141" i="22"/>
  <c r="AB142" i="22"/>
  <c r="U142" i="22"/>
  <c r="T142" i="22"/>
  <c r="S142" i="22"/>
  <c r="R142" i="22"/>
  <c r="AB143" i="22"/>
  <c r="U143" i="22"/>
  <c r="T143" i="22"/>
  <c r="S143" i="22"/>
  <c r="R143" i="22"/>
  <c r="AB144" i="22"/>
  <c r="U144" i="22"/>
  <c r="T144" i="22"/>
  <c r="S144" i="22"/>
  <c r="R144" i="22"/>
  <c r="AB145" i="22"/>
  <c r="U145" i="22"/>
  <c r="T145" i="22"/>
  <c r="S145" i="22"/>
  <c r="R145" i="22"/>
  <c r="AB146" i="22"/>
  <c r="U146" i="22"/>
  <c r="T146" i="22"/>
  <c r="S146" i="22"/>
  <c r="R146" i="22"/>
  <c r="AB147" i="22"/>
  <c r="U147" i="22"/>
  <c r="T147" i="22"/>
  <c r="S147" i="22"/>
  <c r="R147" i="22"/>
  <c r="AB148" i="22"/>
  <c r="U148" i="22"/>
  <c r="T148" i="22"/>
  <c r="S148" i="22"/>
  <c r="R148" i="22"/>
  <c r="AM80" i="22"/>
  <c r="AN80" i="22" s="1"/>
  <c r="AS80" i="22" s="1"/>
  <c r="AM81" i="22"/>
  <c r="AN81" i="22" s="1"/>
  <c r="AS81" i="22" s="1"/>
  <c r="AM82" i="22"/>
  <c r="AN82" i="22" s="1"/>
  <c r="AS82" i="22" s="1"/>
  <c r="AM84" i="22"/>
  <c r="AN84" i="22" s="1"/>
  <c r="AM86" i="22"/>
  <c r="AM87" i="22"/>
  <c r="AN87" i="22" s="1"/>
  <c r="AS87" i="22" s="1"/>
  <c r="AM89" i="22"/>
  <c r="AN89" i="22" s="1"/>
  <c r="AS89" i="22" s="1"/>
  <c r="AM90" i="22"/>
  <c r="AN90" i="22" s="1"/>
  <c r="AM91" i="22"/>
  <c r="AM94" i="22"/>
  <c r="AN94" i="22" s="1"/>
  <c r="AS94" i="22" s="1"/>
  <c r="AM95" i="22"/>
  <c r="AN95" i="22" s="1"/>
  <c r="AM96" i="22"/>
  <c r="AN96" i="22" s="1"/>
  <c r="AS96" i="22" s="1"/>
  <c r="AM97" i="22"/>
  <c r="AN97" i="22" s="1"/>
  <c r="AS97" i="22" s="1"/>
  <c r="AM98" i="22"/>
  <c r="AN98" i="22" s="1"/>
  <c r="AS98" i="22" s="1"/>
  <c r="AM101" i="22"/>
  <c r="AN101" i="22" s="1"/>
  <c r="AS101" i="22" s="1"/>
  <c r="AM102" i="22"/>
  <c r="AN102" i="22" s="1"/>
  <c r="AS102" i="22" s="1"/>
  <c r="AM103" i="22"/>
  <c r="AM104" i="22"/>
  <c r="AN104" i="22" s="1"/>
  <c r="AM107" i="22"/>
  <c r="AN107" i="22" s="1"/>
  <c r="AM108" i="22"/>
  <c r="AN108" i="22" s="1"/>
  <c r="AS108" i="22" s="1"/>
  <c r="AM109" i="22"/>
  <c r="AN109" i="22" s="1"/>
  <c r="AS109" i="22" s="1"/>
  <c r="AM112" i="22"/>
  <c r="AN112" i="22" s="1"/>
  <c r="AS112" i="22" s="1"/>
  <c r="AM113" i="22"/>
  <c r="AN113" i="22" s="1"/>
  <c r="AS113" i="22" s="1"/>
  <c r="AM114" i="22"/>
  <c r="AN114" i="22" s="1"/>
  <c r="AM115" i="22"/>
  <c r="AM116" i="22"/>
  <c r="AN116" i="22" s="1"/>
  <c r="AS116" i="22" s="1"/>
  <c r="AM119" i="22"/>
  <c r="AN119" i="22" s="1"/>
  <c r="AS119" i="22" s="1"/>
  <c r="AM120" i="22"/>
  <c r="AN120" i="22" s="1"/>
  <c r="AS120" i="22" s="1"/>
  <c r="AM121" i="22"/>
  <c r="AM124" i="22"/>
  <c r="AN124" i="22" s="1"/>
  <c r="AM125" i="22"/>
  <c r="AN125" i="22" s="1"/>
  <c r="AS125" i="22" s="1"/>
  <c r="AM126" i="22"/>
  <c r="AN126" i="22" s="1"/>
  <c r="AS126" i="22" s="1"/>
  <c r="AM127" i="22"/>
  <c r="AN127" i="22" s="1"/>
  <c r="AS127" i="22" s="1"/>
  <c r="AM128" i="22"/>
  <c r="AN128" i="22" s="1"/>
  <c r="AS128" i="22" s="1"/>
  <c r="AM129" i="22"/>
  <c r="AN129" i="22" s="1"/>
  <c r="AS129" i="22" s="1"/>
  <c r="AM130" i="22"/>
  <c r="AN130" i="22" s="1"/>
  <c r="AS130" i="22" s="1"/>
  <c r="AM131" i="22"/>
  <c r="AN131" i="22" s="1"/>
  <c r="AS131" i="22" s="1"/>
  <c r="AM132" i="22"/>
  <c r="AN132" i="22" s="1"/>
  <c r="AS132" i="22" s="1"/>
  <c r="AM135" i="22"/>
  <c r="AN135" i="22" s="1"/>
  <c r="AM136" i="22"/>
  <c r="AN136" i="22" s="1"/>
  <c r="AS136" i="22" s="1"/>
  <c r="AM137" i="22"/>
  <c r="AM138" i="22"/>
  <c r="AN138" i="22" s="1"/>
  <c r="AS138" i="22" s="1"/>
  <c r="AM141" i="22"/>
  <c r="AN141" i="22" s="1"/>
  <c r="AS141" i="22" s="1"/>
  <c r="AM142" i="22"/>
  <c r="AN142" i="22" s="1"/>
  <c r="AS142" i="22" s="1"/>
  <c r="AM143" i="22"/>
  <c r="AM144" i="22"/>
  <c r="AN144" i="22" s="1"/>
  <c r="AM145" i="22"/>
  <c r="AN145" i="22" s="1"/>
  <c r="AS145" i="22" s="1"/>
  <c r="AM146" i="22"/>
  <c r="AN146" i="22" s="1"/>
  <c r="AS146" i="22" s="1"/>
  <c r="AM147" i="22"/>
  <c r="AN147" i="22" s="1"/>
  <c r="AS147" i="22" s="1"/>
  <c r="AM148" i="22"/>
  <c r="AN148" i="22" s="1"/>
  <c r="AS148" i="22" s="1"/>
  <c r="DL28" i="18"/>
  <c r="DL29" i="18"/>
  <c r="DL31" i="18"/>
  <c r="DL30" i="18" s="1"/>
  <c r="DL33" i="18"/>
  <c r="DL32" i="18" s="1"/>
  <c r="DL35" i="18"/>
  <c r="DL34" i="18" s="1"/>
  <c r="DL37" i="18"/>
  <c r="DL36" i="18" s="1"/>
  <c r="DL39" i="18"/>
  <c r="DL38" i="18" s="1"/>
  <c r="DL41" i="18"/>
  <c r="DL40" i="18" s="1"/>
  <c r="DL43" i="18"/>
  <c r="DM28" i="18"/>
  <c r="DM29" i="18"/>
  <c r="DM31" i="18"/>
  <c r="DM30" i="18" s="1"/>
  <c r="DM33" i="18"/>
  <c r="DM32" i="18" s="1"/>
  <c r="DM35" i="18"/>
  <c r="DM34" i="18" s="1"/>
  <c r="DM37" i="18"/>
  <c r="DM36" i="18" s="1"/>
  <c r="DM39" i="18"/>
  <c r="DM38" i="18" s="1"/>
  <c r="DM41" i="18"/>
  <c r="DM40" i="18" s="1"/>
  <c r="DM43" i="18"/>
  <c r="DM42" i="18" s="1"/>
  <c r="DM45" i="18"/>
  <c r="DM44" i="18" s="1"/>
  <c r="DN28" i="18"/>
  <c r="DN29" i="18"/>
  <c r="DN31" i="18"/>
  <c r="DN30" i="18" s="1"/>
  <c r="DN33" i="18"/>
  <c r="DN32" i="18" s="1"/>
  <c r="DN35" i="18"/>
  <c r="DN34" i="18" s="1"/>
  <c r="DN37" i="18"/>
  <c r="DN36" i="18" s="1"/>
  <c r="DN39" i="18"/>
  <c r="DN38" i="18" s="1"/>
  <c r="DN41" i="18"/>
  <c r="DN40" i="18" s="1"/>
  <c r="DN43" i="18"/>
  <c r="DN42" i="18" s="1"/>
  <c r="DN45" i="18"/>
  <c r="DN44" i="18" s="1"/>
  <c r="DO28" i="18"/>
  <c r="DO29" i="18"/>
  <c r="DO31" i="18"/>
  <c r="DO30" i="18" s="1"/>
  <c r="DO33" i="18"/>
  <c r="DO32" i="18" s="1"/>
  <c r="DO35" i="18"/>
  <c r="DO34" i="18" s="1"/>
  <c r="DO37" i="18"/>
  <c r="DO36" i="18" s="1"/>
  <c r="DO39" i="18"/>
  <c r="DO38" i="18" s="1"/>
  <c r="DO41" i="18"/>
  <c r="DO40" i="18" s="1"/>
  <c r="DO43" i="18"/>
  <c r="DO42" i="18" s="1"/>
  <c r="DO45" i="18"/>
  <c r="DO44" i="18" s="1"/>
  <c r="DP28" i="18"/>
  <c r="DP29" i="18"/>
  <c r="DP31" i="18"/>
  <c r="DP30" i="18" s="1"/>
  <c r="DP33" i="18"/>
  <c r="DP32" i="18" s="1"/>
  <c r="DP35" i="18"/>
  <c r="DP34" i="18" s="1"/>
  <c r="DP37" i="18"/>
  <c r="DP36" i="18" s="1"/>
  <c r="DP39" i="18"/>
  <c r="DP38" i="18" s="1"/>
  <c r="DP41" i="18"/>
  <c r="DP40" i="18" s="1"/>
  <c r="DP43" i="18"/>
  <c r="DP42" i="18" s="1"/>
  <c r="DP45" i="18"/>
  <c r="DP44" i="18" s="1"/>
  <c r="DQ28" i="18"/>
  <c r="DQ29" i="18"/>
  <c r="DQ31" i="18"/>
  <c r="DQ30" i="18" s="1"/>
  <c r="DQ33" i="18"/>
  <c r="DQ32" i="18" s="1"/>
  <c r="DQ35" i="18"/>
  <c r="DQ34" i="18" s="1"/>
  <c r="DQ37" i="18"/>
  <c r="DQ36" i="18" s="1"/>
  <c r="DQ39" i="18"/>
  <c r="DQ38" i="18" s="1"/>
  <c r="DQ41" i="18"/>
  <c r="DQ40" i="18" s="1"/>
  <c r="DQ43" i="18"/>
  <c r="DQ42" i="18" s="1"/>
  <c r="DQ45" i="18"/>
  <c r="DQ44" i="18" s="1"/>
  <c r="DR28" i="18"/>
  <c r="DR29" i="18"/>
  <c r="DR31" i="18"/>
  <c r="DR30" i="18" s="1"/>
  <c r="DR33" i="18"/>
  <c r="DR32" i="18" s="1"/>
  <c r="DR35" i="18"/>
  <c r="DR34" i="18" s="1"/>
  <c r="DR37" i="18"/>
  <c r="DR36" i="18" s="1"/>
  <c r="DR39" i="18"/>
  <c r="DR38" i="18" s="1"/>
  <c r="DR41" i="18"/>
  <c r="DR40" i="18" s="1"/>
  <c r="DR43" i="18"/>
  <c r="DR42" i="18" s="1"/>
  <c r="DR45" i="18"/>
  <c r="DR44" i="18" s="1"/>
  <c r="L80" i="23"/>
  <c r="M80" i="23" s="1"/>
  <c r="AQ80" i="23" s="1"/>
  <c r="L81" i="23"/>
  <c r="M81" i="23" s="1"/>
  <c r="AQ81" i="23" s="1"/>
  <c r="L82" i="23"/>
  <c r="M82" i="23" s="1"/>
  <c r="AQ82" i="23" s="1"/>
  <c r="L84" i="23"/>
  <c r="M84" i="23" s="1"/>
  <c r="AQ84" i="23" s="1"/>
  <c r="L86" i="23"/>
  <c r="L87" i="23"/>
  <c r="M87" i="23" s="1"/>
  <c r="AQ87" i="23" s="1"/>
  <c r="L89" i="23"/>
  <c r="M89" i="23" s="1"/>
  <c r="AQ89" i="23" s="1"/>
  <c r="L90" i="23"/>
  <c r="L91" i="23"/>
  <c r="M91" i="23" s="1"/>
  <c r="AQ91" i="23" s="1"/>
  <c r="L94" i="23"/>
  <c r="M94" i="23" s="1"/>
  <c r="AQ94" i="23" s="1"/>
  <c r="L95" i="23"/>
  <c r="M95" i="23" s="1"/>
  <c r="AQ95" i="23" s="1"/>
  <c r="L96" i="23"/>
  <c r="L97" i="23"/>
  <c r="M97" i="23" s="1"/>
  <c r="L98" i="23"/>
  <c r="M98" i="23" s="1"/>
  <c r="AQ98" i="23" s="1"/>
  <c r="L101" i="23"/>
  <c r="M101" i="23" s="1"/>
  <c r="AQ101" i="23" s="1"/>
  <c r="L102" i="23"/>
  <c r="M102" i="23" s="1"/>
  <c r="L103" i="23"/>
  <c r="M103" i="23" s="1"/>
  <c r="AQ103" i="23" s="1"/>
  <c r="L104" i="23"/>
  <c r="M104" i="23" s="1"/>
  <c r="AQ104" i="23" s="1"/>
  <c r="L107" i="23"/>
  <c r="M107" i="23" s="1"/>
  <c r="AQ107" i="23" s="1"/>
  <c r="L108" i="23"/>
  <c r="L109" i="23"/>
  <c r="M109" i="23" s="1"/>
  <c r="L112" i="23"/>
  <c r="M112" i="23" s="1"/>
  <c r="AQ112" i="23" s="1"/>
  <c r="L113" i="23"/>
  <c r="M113" i="23" s="1"/>
  <c r="AQ113" i="23" s="1"/>
  <c r="L114" i="23"/>
  <c r="L115" i="23"/>
  <c r="M115" i="23" s="1"/>
  <c r="AQ115" i="23" s="1"/>
  <c r="L116" i="23"/>
  <c r="M116" i="23" s="1"/>
  <c r="L119" i="23"/>
  <c r="M119" i="23" s="1"/>
  <c r="L120" i="23"/>
  <c r="L121" i="23"/>
  <c r="M121" i="23" s="1"/>
  <c r="AQ121" i="23" s="1"/>
  <c r="L124" i="23"/>
  <c r="M124" i="23" s="1"/>
  <c r="AQ124" i="23" s="1"/>
  <c r="L125" i="23"/>
  <c r="M125" i="23" s="1"/>
  <c r="AQ125" i="23" s="1"/>
  <c r="L126" i="23"/>
  <c r="L127" i="23"/>
  <c r="M127" i="23" s="1"/>
  <c r="AQ127" i="23" s="1"/>
  <c r="L128" i="23"/>
  <c r="M128" i="23" s="1"/>
  <c r="AQ128" i="23" s="1"/>
  <c r="L129" i="23"/>
  <c r="M129" i="23" s="1"/>
  <c r="AQ129" i="23" s="1"/>
  <c r="L130" i="23"/>
  <c r="M130" i="23" s="1"/>
  <c r="AQ130" i="23" s="1"/>
  <c r="L131" i="23"/>
  <c r="M131" i="23" s="1"/>
  <c r="AQ131" i="23" s="1"/>
  <c r="L132" i="23"/>
  <c r="M132" i="23" s="1"/>
  <c r="AQ132" i="23" s="1"/>
  <c r="L135" i="23"/>
  <c r="M135" i="23" s="1"/>
  <c r="AQ135" i="23" s="1"/>
  <c r="L136" i="23"/>
  <c r="L137" i="23"/>
  <c r="M137" i="23" s="1"/>
  <c r="AQ137" i="23" s="1"/>
  <c r="L138" i="23"/>
  <c r="M138" i="23" s="1"/>
  <c r="AQ138" i="23" s="1"/>
  <c r="L141" i="23"/>
  <c r="M141" i="23" s="1"/>
  <c r="AQ141" i="23" s="1"/>
  <c r="L142" i="23"/>
  <c r="L143" i="23"/>
  <c r="M143" i="23" s="1"/>
  <c r="AQ143" i="23" s="1"/>
  <c r="L144" i="23"/>
  <c r="M144" i="23" s="1"/>
  <c r="L145" i="23"/>
  <c r="M145" i="23" s="1"/>
  <c r="AQ145" i="23" s="1"/>
  <c r="L146" i="23"/>
  <c r="M146" i="23" s="1"/>
  <c r="AQ146" i="23" s="1"/>
  <c r="L147" i="23"/>
  <c r="M147" i="23" s="1"/>
  <c r="AQ147" i="23" s="1"/>
  <c r="L148" i="23"/>
  <c r="M148" i="23" s="1"/>
  <c r="AQ148" i="23" s="1"/>
  <c r="AE80" i="23"/>
  <c r="AB80" i="23"/>
  <c r="U80" i="23"/>
  <c r="T80" i="23"/>
  <c r="S80" i="23"/>
  <c r="R80" i="23"/>
  <c r="AE81" i="23"/>
  <c r="AB81" i="23"/>
  <c r="U81" i="23"/>
  <c r="T81" i="23"/>
  <c r="S81" i="23"/>
  <c r="R81" i="23"/>
  <c r="AE82" i="23"/>
  <c r="AB82" i="23"/>
  <c r="U82" i="23"/>
  <c r="T82" i="23"/>
  <c r="S82" i="23"/>
  <c r="R82" i="23"/>
  <c r="AB84" i="23"/>
  <c r="U84" i="23"/>
  <c r="T84" i="23"/>
  <c r="S84" i="23"/>
  <c r="R84" i="23"/>
  <c r="AB86" i="23"/>
  <c r="U86" i="23"/>
  <c r="T86" i="23"/>
  <c r="S86" i="23"/>
  <c r="R86" i="23"/>
  <c r="AB87" i="23"/>
  <c r="U87" i="23"/>
  <c r="T87" i="23"/>
  <c r="S87" i="23"/>
  <c r="R87" i="23"/>
  <c r="AB89" i="23"/>
  <c r="U89" i="23"/>
  <c r="T89" i="23"/>
  <c r="S89" i="23"/>
  <c r="R89" i="23"/>
  <c r="AB90" i="23"/>
  <c r="U90" i="23"/>
  <c r="T90" i="23"/>
  <c r="S90" i="23"/>
  <c r="R90" i="23"/>
  <c r="AB91" i="23"/>
  <c r="U91" i="23"/>
  <c r="T91" i="23"/>
  <c r="S91" i="23"/>
  <c r="R91" i="23"/>
  <c r="AB94" i="23"/>
  <c r="U94" i="23"/>
  <c r="T94" i="23"/>
  <c r="S94" i="23"/>
  <c r="R94" i="23"/>
  <c r="AB95" i="23"/>
  <c r="U95" i="23"/>
  <c r="T95" i="23"/>
  <c r="S95" i="23"/>
  <c r="R95" i="23"/>
  <c r="AB96" i="23"/>
  <c r="U96" i="23"/>
  <c r="T96" i="23"/>
  <c r="S96" i="23"/>
  <c r="R96" i="23"/>
  <c r="AB97" i="23"/>
  <c r="U97" i="23"/>
  <c r="T97" i="23"/>
  <c r="S97" i="23"/>
  <c r="R97" i="23"/>
  <c r="AB98" i="23"/>
  <c r="U98" i="23"/>
  <c r="T98" i="23"/>
  <c r="S98" i="23"/>
  <c r="R98" i="23"/>
  <c r="AB101" i="23"/>
  <c r="U101" i="23"/>
  <c r="T101" i="23"/>
  <c r="S101" i="23"/>
  <c r="R101" i="23"/>
  <c r="AB102" i="23"/>
  <c r="U102" i="23"/>
  <c r="T102" i="23"/>
  <c r="S102" i="23"/>
  <c r="R102" i="23"/>
  <c r="AB103" i="23"/>
  <c r="U103" i="23"/>
  <c r="T103" i="23"/>
  <c r="S103" i="23"/>
  <c r="R103" i="23"/>
  <c r="AB104" i="23"/>
  <c r="U104" i="23"/>
  <c r="T104" i="23"/>
  <c r="S104" i="23"/>
  <c r="R104" i="23"/>
  <c r="AB107" i="23"/>
  <c r="U107" i="23"/>
  <c r="T107" i="23"/>
  <c r="S107" i="23"/>
  <c r="R107" i="23"/>
  <c r="AB108" i="23"/>
  <c r="U108" i="23"/>
  <c r="T108" i="23"/>
  <c r="S108" i="23"/>
  <c r="R108" i="23"/>
  <c r="AB109" i="23"/>
  <c r="U109" i="23"/>
  <c r="T109" i="23"/>
  <c r="S109" i="23"/>
  <c r="R109" i="23"/>
  <c r="AB112" i="23"/>
  <c r="U112" i="23"/>
  <c r="T112" i="23"/>
  <c r="S112" i="23"/>
  <c r="R112" i="23"/>
  <c r="AB113" i="23"/>
  <c r="U113" i="23"/>
  <c r="T113" i="23"/>
  <c r="S113" i="23"/>
  <c r="R113" i="23"/>
  <c r="AB114" i="23"/>
  <c r="U114" i="23"/>
  <c r="T114" i="23"/>
  <c r="S114" i="23"/>
  <c r="R114" i="23"/>
  <c r="AB115" i="23"/>
  <c r="U115" i="23"/>
  <c r="T115" i="23"/>
  <c r="S115" i="23"/>
  <c r="R115" i="23"/>
  <c r="AB116" i="23"/>
  <c r="U116" i="23"/>
  <c r="T116" i="23"/>
  <c r="S116" i="23"/>
  <c r="R116" i="23"/>
  <c r="AB119" i="23"/>
  <c r="U119" i="23"/>
  <c r="T119" i="23"/>
  <c r="S119" i="23"/>
  <c r="R119" i="23"/>
  <c r="AB120" i="23"/>
  <c r="U120" i="23"/>
  <c r="T120" i="23"/>
  <c r="S120" i="23"/>
  <c r="R120" i="23"/>
  <c r="AB121" i="23"/>
  <c r="U121" i="23"/>
  <c r="T121" i="23"/>
  <c r="S121" i="23"/>
  <c r="R121" i="23"/>
  <c r="AB124" i="23"/>
  <c r="U124" i="23"/>
  <c r="T124" i="23"/>
  <c r="S124" i="23"/>
  <c r="R124" i="23"/>
  <c r="AB125" i="23"/>
  <c r="U125" i="23"/>
  <c r="T125" i="23"/>
  <c r="S125" i="23"/>
  <c r="R125" i="23"/>
  <c r="AB126" i="23"/>
  <c r="U126" i="23"/>
  <c r="T126" i="23"/>
  <c r="S126" i="23"/>
  <c r="R126" i="23"/>
  <c r="AB127" i="23"/>
  <c r="U127" i="23"/>
  <c r="T127" i="23"/>
  <c r="S127" i="23"/>
  <c r="R127" i="23"/>
  <c r="AB128" i="23"/>
  <c r="U128" i="23"/>
  <c r="T128" i="23"/>
  <c r="S128" i="23"/>
  <c r="R128" i="23"/>
  <c r="AB129" i="23"/>
  <c r="U129" i="23"/>
  <c r="T129" i="23"/>
  <c r="S129" i="23"/>
  <c r="R129" i="23"/>
  <c r="AB130" i="23"/>
  <c r="U130" i="23"/>
  <c r="T130" i="23"/>
  <c r="S130" i="23"/>
  <c r="R130" i="23"/>
  <c r="AB131" i="23"/>
  <c r="U131" i="23"/>
  <c r="T131" i="23"/>
  <c r="S131" i="23"/>
  <c r="R131" i="23"/>
  <c r="AB132" i="23"/>
  <c r="U132" i="23"/>
  <c r="T132" i="23"/>
  <c r="S132" i="23"/>
  <c r="R132" i="23"/>
  <c r="AB135" i="23"/>
  <c r="U135" i="23"/>
  <c r="T135" i="23"/>
  <c r="S135" i="23"/>
  <c r="R135" i="23"/>
  <c r="AB136" i="23"/>
  <c r="U136" i="23"/>
  <c r="T136" i="23"/>
  <c r="S136" i="23"/>
  <c r="R136" i="23"/>
  <c r="AB137" i="23"/>
  <c r="U137" i="23"/>
  <c r="T137" i="23"/>
  <c r="S137" i="23"/>
  <c r="R137" i="23"/>
  <c r="AB138" i="23"/>
  <c r="U138" i="23"/>
  <c r="T138" i="23"/>
  <c r="S138" i="23"/>
  <c r="R138" i="23"/>
  <c r="AB141" i="23"/>
  <c r="U141" i="23"/>
  <c r="T141" i="23"/>
  <c r="S141" i="23"/>
  <c r="R141" i="23"/>
  <c r="AB142" i="23"/>
  <c r="U142" i="23"/>
  <c r="T142" i="23"/>
  <c r="S142" i="23"/>
  <c r="R142" i="23"/>
  <c r="AB143" i="23"/>
  <c r="U143" i="23"/>
  <c r="T143" i="23"/>
  <c r="S143" i="23"/>
  <c r="R143" i="23"/>
  <c r="AB144" i="23"/>
  <c r="U144" i="23"/>
  <c r="T144" i="23"/>
  <c r="S144" i="23"/>
  <c r="R144" i="23"/>
  <c r="AB145" i="23"/>
  <c r="U145" i="23"/>
  <c r="T145" i="23"/>
  <c r="S145" i="23"/>
  <c r="R145" i="23"/>
  <c r="AB146" i="23"/>
  <c r="U146" i="23"/>
  <c r="T146" i="23"/>
  <c r="S146" i="23"/>
  <c r="R146" i="23"/>
  <c r="AB147" i="23"/>
  <c r="U147" i="23"/>
  <c r="T147" i="23"/>
  <c r="S147" i="23"/>
  <c r="R147" i="23"/>
  <c r="AB148" i="23"/>
  <c r="U148" i="23"/>
  <c r="T148" i="23"/>
  <c r="S148" i="23"/>
  <c r="R148" i="23"/>
  <c r="AM80" i="23"/>
  <c r="AN80" i="23" s="1"/>
  <c r="AS80" i="23" s="1"/>
  <c r="AM81" i="23"/>
  <c r="AN81" i="23" s="1"/>
  <c r="AS81" i="23" s="1"/>
  <c r="AM82" i="23"/>
  <c r="AN82" i="23" s="1"/>
  <c r="AM84" i="23"/>
  <c r="AM86" i="23"/>
  <c r="AN86" i="23" s="1"/>
  <c r="AM87" i="23"/>
  <c r="AN87" i="23" s="1"/>
  <c r="AS87" i="23" s="1"/>
  <c r="AM89" i="23"/>
  <c r="AN89" i="23" s="1"/>
  <c r="AM90" i="23"/>
  <c r="AM91" i="23"/>
  <c r="AN91" i="23" s="1"/>
  <c r="AS91" i="23" s="1"/>
  <c r="AM94" i="23"/>
  <c r="AN94" i="23"/>
  <c r="AS94" i="23" s="1"/>
  <c r="AM95" i="23"/>
  <c r="AN95" i="23" s="1"/>
  <c r="AS95" i="23" s="1"/>
  <c r="AM96" i="23"/>
  <c r="AN96" i="23" s="1"/>
  <c r="AM97" i="23"/>
  <c r="AN97" i="23" s="1"/>
  <c r="AS97" i="23" s="1"/>
  <c r="AM98" i="23"/>
  <c r="AN98" i="23" s="1"/>
  <c r="AS98" i="23" s="1"/>
  <c r="AM101" i="23"/>
  <c r="AN101" i="23" s="1"/>
  <c r="AS101" i="23" s="1"/>
  <c r="AM102" i="23"/>
  <c r="AN102" i="23" s="1"/>
  <c r="AS102" i="23" s="1"/>
  <c r="AM103" i="23"/>
  <c r="AN103" i="23" s="1"/>
  <c r="AM104" i="23"/>
  <c r="AM107" i="23"/>
  <c r="AN107" i="23" s="1"/>
  <c r="AS107" i="23" s="1"/>
  <c r="AM108" i="23"/>
  <c r="AN108" i="23" s="1"/>
  <c r="AM109" i="23"/>
  <c r="AN109" i="23" s="1"/>
  <c r="AS109" i="23" s="1"/>
  <c r="AM112" i="23"/>
  <c r="AM113" i="23"/>
  <c r="AN113" i="23" s="1"/>
  <c r="AM114" i="23"/>
  <c r="AN114" i="23" s="1"/>
  <c r="AS114" i="23" s="1"/>
  <c r="AM115" i="23"/>
  <c r="AN115" i="23"/>
  <c r="AS115" i="23" s="1"/>
  <c r="AM116" i="23"/>
  <c r="AN116" i="23" s="1"/>
  <c r="AS116" i="23" s="1"/>
  <c r="AM119" i="23"/>
  <c r="AN119" i="23" s="1"/>
  <c r="AS119" i="23" s="1"/>
  <c r="AM120" i="23"/>
  <c r="AN120" i="23" s="1"/>
  <c r="AM121" i="23"/>
  <c r="AN121" i="23" s="1"/>
  <c r="AS121" i="23" s="1"/>
  <c r="AM124" i="23"/>
  <c r="AN124" i="23" s="1"/>
  <c r="AS124" i="23" s="1"/>
  <c r="AM125" i="23"/>
  <c r="AN125" i="23" s="1"/>
  <c r="AS125" i="23" s="1"/>
  <c r="AM126" i="23"/>
  <c r="AN126" i="23" s="1"/>
  <c r="AS126" i="23" s="1"/>
  <c r="AM127" i="23"/>
  <c r="AM128" i="23"/>
  <c r="AN128" i="23" s="1"/>
  <c r="AS128" i="23" s="1"/>
  <c r="AM129" i="23"/>
  <c r="AN129" i="23" s="1"/>
  <c r="AS129" i="23" s="1"/>
  <c r="AM130" i="23"/>
  <c r="AN130" i="23" s="1"/>
  <c r="AS130" i="23" s="1"/>
  <c r="AM131" i="23"/>
  <c r="AN131" i="23" s="1"/>
  <c r="AS131" i="23" s="1"/>
  <c r="AM132" i="23"/>
  <c r="AN132" i="23" s="1"/>
  <c r="AS132" i="23" s="1"/>
  <c r="AM135" i="23"/>
  <c r="AN135" i="23" s="1"/>
  <c r="AS135" i="23" s="1"/>
  <c r="AM136" i="23"/>
  <c r="AN136" i="23" s="1"/>
  <c r="AM137" i="23"/>
  <c r="AM138" i="23"/>
  <c r="AN138" i="23" s="1"/>
  <c r="AS138" i="23" s="1"/>
  <c r="AM141" i="23"/>
  <c r="AN141" i="23" s="1"/>
  <c r="AS141" i="23" s="1"/>
  <c r="AM142" i="23"/>
  <c r="AN142" i="23" s="1"/>
  <c r="AS142" i="23" s="1"/>
  <c r="AM143" i="23"/>
  <c r="AM144" i="23"/>
  <c r="AN144" i="23" s="1"/>
  <c r="AS144" i="23" s="1"/>
  <c r="AM145" i="23"/>
  <c r="AN145" i="23" s="1"/>
  <c r="AS145" i="23" s="1"/>
  <c r="AM146" i="23"/>
  <c r="AN146" i="23" s="1"/>
  <c r="AS146" i="23" s="1"/>
  <c r="AM147" i="23"/>
  <c r="AN147" i="23" s="1"/>
  <c r="AS147" i="23" s="1"/>
  <c r="AM148" i="23"/>
  <c r="AN148" i="23" s="1"/>
  <c r="AS148" i="23" s="1"/>
  <c r="DY28" i="18"/>
  <c r="DY29" i="18"/>
  <c r="DY31" i="18"/>
  <c r="DY30" i="18" s="1"/>
  <c r="DY33" i="18"/>
  <c r="DY32" i="18" s="1"/>
  <c r="DY35" i="18"/>
  <c r="DY34" i="18" s="1"/>
  <c r="DY37" i="18"/>
  <c r="DY36" i="18" s="1"/>
  <c r="DY39" i="18"/>
  <c r="DY38" i="18" s="1"/>
  <c r="DY41" i="18"/>
  <c r="DY40" i="18" s="1"/>
  <c r="DY43" i="18"/>
  <c r="DY42" i="18" s="1"/>
  <c r="DZ28" i="18"/>
  <c r="DZ29" i="18"/>
  <c r="DZ31" i="18"/>
  <c r="DZ30" i="18" s="1"/>
  <c r="DZ33" i="18"/>
  <c r="DZ32" i="18" s="1"/>
  <c r="DZ35" i="18"/>
  <c r="DZ34" i="18" s="1"/>
  <c r="DZ37" i="18"/>
  <c r="DZ36" i="18" s="1"/>
  <c r="DZ39" i="18"/>
  <c r="DZ38" i="18" s="1"/>
  <c r="DZ41" i="18"/>
  <c r="DZ40" i="18" s="1"/>
  <c r="DZ43" i="18"/>
  <c r="DZ42" i="18" s="1"/>
  <c r="DZ45" i="18"/>
  <c r="DZ44" i="18" s="1"/>
  <c r="EA28" i="18"/>
  <c r="EA29" i="18"/>
  <c r="EA31" i="18"/>
  <c r="EA30" i="18" s="1"/>
  <c r="EA33" i="18"/>
  <c r="EA32" i="18" s="1"/>
  <c r="EA35" i="18"/>
  <c r="EA34" i="18" s="1"/>
  <c r="EA37" i="18"/>
  <c r="EA36" i="18" s="1"/>
  <c r="EA39" i="18"/>
  <c r="EA38" i="18" s="1"/>
  <c r="EA41" i="18"/>
  <c r="EA40" i="18" s="1"/>
  <c r="EA43" i="18"/>
  <c r="EA42" i="18" s="1"/>
  <c r="EA45" i="18"/>
  <c r="EA44" i="18" s="1"/>
  <c r="EB28" i="18"/>
  <c r="EB29" i="18"/>
  <c r="EB31" i="18"/>
  <c r="EB30" i="18" s="1"/>
  <c r="EB33" i="18"/>
  <c r="EB32" i="18" s="1"/>
  <c r="EB35" i="18"/>
  <c r="EB34" i="18" s="1"/>
  <c r="EB37" i="18"/>
  <c r="EB36" i="18" s="1"/>
  <c r="EB39" i="18"/>
  <c r="EB38" i="18" s="1"/>
  <c r="EB41" i="18"/>
  <c r="EB40" i="18" s="1"/>
  <c r="EB43" i="18"/>
  <c r="EB42" i="18" s="1"/>
  <c r="EB45" i="18"/>
  <c r="EB44" i="18" s="1"/>
  <c r="EC28" i="18"/>
  <c r="EC29" i="18"/>
  <c r="EC31" i="18"/>
  <c r="EC30" i="18" s="1"/>
  <c r="EC33" i="18"/>
  <c r="EC32" i="18" s="1"/>
  <c r="EC35" i="18"/>
  <c r="EC34" i="18" s="1"/>
  <c r="EC37" i="18"/>
  <c r="EC36" i="18" s="1"/>
  <c r="EC39" i="18"/>
  <c r="EC38" i="18" s="1"/>
  <c r="EC41" i="18"/>
  <c r="EC40" i="18" s="1"/>
  <c r="EC43" i="18"/>
  <c r="EC42" i="18" s="1"/>
  <c r="EC45" i="18"/>
  <c r="EC44" i="18" s="1"/>
  <c r="ED28" i="18"/>
  <c r="ED29" i="18"/>
  <c r="ED31" i="18"/>
  <c r="ED30" i="18" s="1"/>
  <c r="ED33" i="18"/>
  <c r="ED32" i="18" s="1"/>
  <c r="ED35" i="18"/>
  <c r="ED34" i="18" s="1"/>
  <c r="ED37" i="18"/>
  <c r="ED36" i="18" s="1"/>
  <c r="ED39" i="18"/>
  <c r="ED38" i="18" s="1"/>
  <c r="ED41" i="18"/>
  <c r="ED40" i="18" s="1"/>
  <c r="ED43" i="18"/>
  <c r="ED42" i="18" s="1"/>
  <c r="ED45" i="18"/>
  <c r="ED44" i="18" s="1"/>
  <c r="EE28" i="18"/>
  <c r="EE29" i="18"/>
  <c r="EE31" i="18"/>
  <c r="EE30" i="18" s="1"/>
  <c r="EE33" i="18"/>
  <c r="EE32" i="18" s="1"/>
  <c r="EE35" i="18"/>
  <c r="EE34" i="18" s="1"/>
  <c r="EE37" i="18"/>
  <c r="EE36" i="18" s="1"/>
  <c r="EE39" i="18"/>
  <c r="EE38" i="18" s="1"/>
  <c r="EE41" i="18"/>
  <c r="EE40" i="18" s="1"/>
  <c r="EE43" i="18"/>
  <c r="EE42" i="18" s="1"/>
  <c r="EE45" i="18"/>
  <c r="EE44" i="18" s="1"/>
  <c r="C26" i="18"/>
  <c r="E27" i="18"/>
  <c r="F27" i="18"/>
  <c r="G27" i="18"/>
  <c r="E28" i="18"/>
  <c r="F28" i="18"/>
  <c r="G28" i="18"/>
  <c r="E29" i="18"/>
  <c r="F29" i="18"/>
  <c r="G29" i="18"/>
  <c r="E31" i="18"/>
  <c r="F31" i="18"/>
  <c r="G31" i="18"/>
  <c r="C32" i="18"/>
  <c r="E33" i="18"/>
  <c r="F33" i="18"/>
  <c r="G33" i="18"/>
  <c r="C34" i="18"/>
  <c r="E35" i="18"/>
  <c r="F35" i="18"/>
  <c r="G35" i="18"/>
  <c r="C36" i="18"/>
  <c r="E37" i="18"/>
  <c r="F37" i="18"/>
  <c r="G37" i="18"/>
  <c r="C38" i="18"/>
  <c r="E39" i="18"/>
  <c r="F39" i="18"/>
  <c r="G39" i="18"/>
  <c r="C40" i="18"/>
  <c r="E41" i="18"/>
  <c r="F41" i="18"/>
  <c r="G41" i="18"/>
  <c r="C42" i="18"/>
  <c r="E43" i="18"/>
  <c r="F43" i="18"/>
  <c r="G43" i="18"/>
  <c r="C44" i="18"/>
  <c r="E45" i="18"/>
  <c r="F45" i="18"/>
  <c r="G45" i="18"/>
  <c r="B46" i="18"/>
  <c r="L152" i="1"/>
  <c r="L153" i="1"/>
  <c r="M153" i="1" s="1"/>
  <c r="AQ153" i="1" s="1"/>
  <c r="L154" i="1"/>
  <c r="M154" i="1" s="1"/>
  <c r="AQ154" i="1" s="1"/>
  <c r="L155" i="1"/>
  <c r="M155" i="1" s="1"/>
  <c r="AQ155" i="1" s="1"/>
  <c r="L157" i="1"/>
  <c r="L158" i="1"/>
  <c r="M158" i="1" s="1"/>
  <c r="L160" i="1"/>
  <c r="L161" i="1"/>
  <c r="M161" i="1" s="1"/>
  <c r="AQ161" i="1" s="1"/>
  <c r="L164" i="1"/>
  <c r="L165" i="1"/>
  <c r="M165" i="1" s="1"/>
  <c r="AQ165" i="1" s="1"/>
  <c r="L166" i="1"/>
  <c r="M166" i="1" s="1"/>
  <c r="AQ166" i="1" s="1"/>
  <c r="L167" i="1"/>
  <c r="M167" i="1" s="1"/>
  <c r="L169" i="1"/>
  <c r="L170" i="1"/>
  <c r="M170" i="1" s="1"/>
  <c r="AQ170" i="1" s="1"/>
  <c r="L171" i="1"/>
  <c r="M171" i="1" s="1"/>
  <c r="AQ171" i="1" s="1"/>
  <c r="L172" i="1"/>
  <c r="M172" i="1" s="1"/>
  <c r="AQ172" i="1" s="1"/>
  <c r="L173" i="1"/>
  <c r="M173" i="1" s="1"/>
  <c r="AQ173" i="1" s="1"/>
  <c r="L174" i="1"/>
  <c r="M174" i="1" s="1"/>
  <c r="L175" i="1"/>
  <c r="M175" i="1" s="1"/>
  <c r="AQ175" i="1" s="1"/>
  <c r="L176" i="1"/>
  <c r="M176" i="1" s="1"/>
  <c r="AQ176" i="1" s="1"/>
  <c r="L177" i="1"/>
  <c r="M177" i="1" s="1"/>
  <c r="AQ177" i="1" s="1"/>
  <c r="L179" i="1"/>
  <c r="L180" i="1"/>
  <c r="M180" i="1" s="1"/>
  <c r="AQ180" i="1" s="1"/>
  <c r="L194" i="1"/>
  <c r="L195" i="1"/>
  <c r="M195" i="1" s="1"/>
  <c r="AQ195" i="1" s="1"/>
  <c r="AB152" i="1"/>
  <c r="Y152" i="1"/>
  <c r="U152" i="1"/>
  <c r="T152" i="1"/>
  <c r="S152" i="1"/>
  <c r="R152" i="1"/>
  <c r="AB153" i="1"/>
  <c r="Y153" i="1"/>
  <c r="U153" i="1"/>
  <c r="T153" i="1"/>
  <c r="S153" i="1"/>
  <c r="R153" i="1"/>
  <c r="AB154" i="1"/>
  <c r="Y154" i="1"/>
  <c r="U154" i="1"/>
  <c r="T154" i="1"/>
  <c r="S154" i="1"/>
  <c r="R154" i="1"/>
  <c r="AB155" i="1"/>
  <c r="Y155" i="1"/>
  <c r="U155" i="1"/>
  <c r="T155" i="1"/>
  <c r="S155" i="1"/>
  <c r="R155" i="1"/>
  <c r="AB157" i="1"/>
  <c r="Y157" i="1"/>
  <c r="U157" i="1"/>
  <c r="T157" i="1"/>
  <c r="S157" i="1"/>
  <c r="R157" i="1"/>
  <c r="AB158" i="1"/>
  <c r="Y158" i="1"/>
  <c r="U158" i="1"/>
  <c r="T158" i="1"/>
  <c r="S158" i="1"/>
  <c r="R158" i="1"/>
  <c r="AB160" i="1"/>
  <c r="Y160" i="1"/>
  <c r="U160" i="1"/>
  <c r="T160" i="1"/>
  <c r="S160" i="1"/>
  <c r="R160" i="1"/>
  <c r="AB161" i="1"/>
  <c r="Y161" i="1"/>
  <c r="U161" i="1"/>
  <c r="T161" i="1"/>
  <c r="S161" i="1"/>
  <c r="R161" i="1"/>
  <c r="AB164" i="1"/>
  <c r="Y164" i="1"/>
  <c r="U164" i="1"/>
  <c r="T164" i="1"/>
  <c r="S164" i="1"/>
  <c r="R164" i="1"/>
  <c r="AB165" i="1"/>
  <c r="Y165" i="1"/>
  <c r="U165" i="1"/>
  <c r="T165" i="1"/>
  <c r="S165" i="1"/>
  <c r="R165" i="1"/>
  <c r="AB166" i="1"/>
  <c r="Y166" i="1"/>
  <c r="U166" i="1"/>
  <c r="T166" i="1"/>
  <c r="S166" i="1"/>
  <c r="R166" i="1"/>
  <c r="AB167" i="1"/>
  <c r="Y167" i="1"/>
  <c r="U167" i="1"/>
  <c r="T167" i="1"/>
  <c r="S167" i="1"/>
  <c r="R167" i="1"/>
  <c r="AB169" i="1"/>
  <c r="Y169" i="1"/>
  <c r="U169" i="1"/>
  <c r="T169" i="1"/>
  <c r="S169" i="1"/>
  <c r="R169" i="1"/>
  <c r="AB170" i="1"/>
  <c r="Y170" i="1"/>
  <c r="U170" i="1"/>
  <c r="T170" i="1"/>
  <c r="S170" i="1"/>
  <c r="R170" i="1"/>
  <c r="AB171" i="1"/>
  <c r="Y171" i="1"/>
  <c r="U171" i="1"/>
  <c r="T171" i="1"/>
  <c r="S171" i="1"/>
  <c r="R171" i="1"/>
  <c r="AB172" i="1"/>
  <c r="Y172" i="1"/>
  <c r="U172" i="1"/>
  <c r="T172" i="1"/>
  <c r="S172" i="1"/>
  <c r="R172" i="1"/>
  <c r="AB173" i="1"/>
  <c r="Y173" i="1"/>
  <c r="U173" i="1"/>
  <c r="T173" i="1"/>
  <c r="S173" i="1"/>
  <c r="R173" i="1"/>
  <c r="AB174" i="1"/>
  <c r="Y174" i="1"/>
  <c r="U174" i="1"/>
  <c r="T174" i="1"/>
  <c r="S174" i="1"/>
  <c r="R174" i="1"/>
  <c r="AB175" i="1"/>
  <c r="Y175" i="1"/>
  <c r="U175" i="1"/>
  <c r="T175" i="1"/>
  <c r="S175" i="1"/>
  <c r="R175" i="1"/>
  <c r="AB176" i="1"/>
  <c r="Y176" i="1"/>
  <c r="U176" i="1"/>
  <c r="T176" i="1"/>
  <c r="S176" i="1"/>
  <c r="R176" i="1"/>
  <c r="AB177" i="1"/>
  <c r="Y177" i="1"/>
  <c r="U177" i="1"/>
  <c r="T177" i="1"/>
  <c r="S177" i="1"/>
  <c r="R177" i="1"/>
  <c r="AB179" i="1"/>
  <c r="Y179" i="1"/>
  <c r="U179" i="1"/>
  <c r="T179" i="1"/>
  <c r="S179" i="1"/>
  <c r="R179" i="1"/>
  <c r="AB180" i="1"/>
  <c r="Y180" i="1"/>
  <c r="U180" i="1"/>
  <c r="T180" i="1"/>
  <c r="S180" i="1"/>
  <c r="R180" i="1"/>
  <c r="AB194" i="1"/>
  <c r="Y194" i="1"/>
  <c r="U194" i="1"/>
  <c r="T194" i="1"/>
  <c r="S194" i="1"/>
  <c r="R194" i="1"/>
  <c r="AB195" i="1"/>
  <c r="Y195" i="1"/>
  <c r="U195" i="1"/>
  <c r="T195" i="1"/>
  <c r="S195" i="1"/>
  <c r="R195" i="1"/>
  <c r="AM152" i="1"/>
  <c r="AS152" i="1" s="1"/>
  <c r="AM153" i="1"/>
  <c r="AN153" i="1" s="1"/>
  <c r="AS153" i="1" s="1"/>
  <c r="AM154" i="1"/>
  <c r="AN154" i="1" s="1"/>
  <c r="AS154" i="1" s="1"/>
  <c r="AM155" i="1"/>
  <c r="AN155" i="1" s="1"/>
  <c r="AS155" i="1" s="1"/>
  <c r="AM157" i="1"/>
  <c r="AS157" i="1" s="1"/>
  <c r="AM158" i="1"/>
  <c r="AN158" i="1" s="1"/>
  <c r="AS158" i="1" s="1"/>
  <c r="AM160" i="1"/>
  <c r="AN160" i="1" s="1"/>
  <c r="AS160" i="1" s="1"/>
  <c r="AM161" i="1"/>
  <c r="AN161" i="1" s="1"/>
  <c r="AS161" i="1" s="1"/>
  <c r="AM164" i="1"/>
  <c r="AN164" i="1" s="1"/>
  <c r="AS164" i="1" s="1"/>
  <c r="AM165" i="1"/>
  <c r="AN165" i="1" s="1"/>
  <c r="AS165" i="1" s="1"/>
  <c r="AM166" i="1"/>
  <c r="AN166" i="1" s="1"/>
  <c r="AS166" i="1" s="1"/>
  <c r="AM167" i="1"/>
  <c r="AN167" i="1" s="1"/>
  <c r="AS167" i="1" s="1"/>
  <c r="AM169" i="1"/>
  <c r="AN169" i="1" s="1"/>
  <c r="AS169" i="1" s="1"/>
  <c r="AM170" i="1"/>
  <c r="AN170" i="1" s="1"/>
  <c r="AS170" i="1" s="1"/>
  <c r="AM171" i="1"/>
  <c r="AN171" i="1" s="1"/>
  <c r="AS171" i="1" s="1"/>
  <c r="AM172" i="1"/>
  <c r="AM173" i="1"/>
  <c r="AN173" i="1" s="1"/>
  <c r="AS173" i="1" s="1"/>
  <c r="AM174" i="1"/>
  <c r="AN174" i="1" s="1"/>
  <c r="AS174" i="1" s="1"/>
  <c r="AM175" i="1"/>
  <c r="AN175" i="1" s="1"/>
  <c r="AS175" i="1" s="1"/>
  <c r="AM176" i="1"/>
  <c r="AN176" i="1" s="1"/>
  <c r="AS176" i="1" s="1"/>
  <c r="AM177" i="1"/>
  <c r="AN177" i="1" s="1"/>
  <c r="AS177" i="1" s="1"/>
  <c r="AM179" i="1"/>
  <c r="AN179" i="1" s="1"/>
  <c r="AS179" i="1" s="1"/>
  <c r="AM180" i="1"/>
  <c r="AN180" i="1" s="1"/>
  <c r="AS180" i="1" s="1"/>
  <c r="AM194" i="1"/>
  <c r="AN194" i="1" s="1"/>
  <c r="AS194" i="1" s="1"/>
  <c r="AM195" i="1"/>
  <c r="AN195" i="1" s="1"/>
  <c r="AS195" i="1" s="1"/>
  <c r="L48" i="18"/>
  <c r="L50" i="18"/>
  <c r="L52" i="18"/>
  <c r="L58" i="18"/>
  <c r="M48" i="18"/>
  <c r="M49" i="18"/>
  <c r="M50" i="18"/>
  <c r="M52" i="18"/>
  <c r="M58" i="18"/>
  <c r="N48" i="18"/>
  <c r="N49" i="18"/>
  <c r="N50" i="18"/>
  <c r="N52" i="18"/>
  <c r="N58" i="18"/>
  <c r="O48" i="18"/>
  <c r="O49" i="18"/>
  <c r="O50" i="18"/>
  <c r="O52" i="18"/>
  <c r="O58" i="18"/>
  <c r="P48" i="18"/>
  <c r="P49" i="18"/>
  <c r="P50" i="18"/>
  <c r="P52" i="18"/>
  <c r="P58" i="18"/>
  <c r="Q48" i="18"/>
  <c r="Q50" i="18"/>
  <c r="Q52" i="18"/>
  <c r="Q58" i="18"/>
  <c r="R48" i="18"/>
  <c r="R49" i="18"/>
  <c r="R50" i="18"/>
  <c r="R52" i="18"/>
  <c r="R58" i="18"/>
  <c r="L152" i="12"/>
  <c r="M152" i="12" s="1"/>
  <c r="AQ152" i="12" s="1"/>
  <c r="L153" i="12"/>
  <c r="M153" i="12" s="1"/>
  <c r="AQ153" i="12" s="1"/>
  <c r="L154" i="12"/>
  <c r="M154" i="12" s="1"/>
  <c r="AQ154" i="12" s="1"/>
  <c r="L155" i="12"/>
  <c r="M155" i="12" s="1"/>
  <c r="L157" i="12"/>
  <c r="M157" i="12" s="1"/>
  <c r="AQ157" i="12" s="1"/>
  <c r="L158" i="12"/>
  <c r="M158" i="12" s="1"/>
  <c r="L160" i="12"/>
  <c r="M160" i="12" s="1"/>
  <c r="AQ160" i="12" s="1"/>
  <c r="AQ162" i="12" s="1"/>
  <c r="L161" i="12"/>
  <c r="M161" i="12" s="1"/>
  <c r="AQ161" i="12" s="1"/>
  <c r="L164" i="12"/>
  <c r="M164" i="12" s="1"/>
  <c r="AQ164" i="12" s="1"/>
  <c r="L165" i="12"/>
  <c r="M165" i="12" s="1"/>
  <c r="L166" i="12"/>
  <c r="M166" i="12" s="1"/>
  <c r="AQ166" i="12" s="1"/>
  <c r="L167" i="12"/>
  <c r="M167" i="12" s="1"/>
  <c r="AQ167" i="12" s="1"/>
  <c r="L169" i="12"/>
  <c r="M169" i="12" s="1"/>
  <c r="AQ169" i="12" s="1"/>
  <c r="L170" i="12"/>
  <c r="M170" i="12" s="1"/>
  <c r="L171" i="12"/>
  <c r="M171" i="12" s="1"/>
  <c r="AQ171" i="12" s="1"/>
  <c r="L172" i="12"/>
  <c r="M172" i="12" s="1"/>
  <c r="AQ172" i="12" s="1"/>
  <c r="L173" i="12"/>
  <c r="M173" i="12" s="1"/>
  <c r="AQ173" i="12" s="1"/>
  <c r="L174" i="12"/>
  <c r="M174" i="12" s="1"/>
  <c r="AQ174" i="12" s="1"/>
  <c r="L175" i="12"/>
  <c r="M175" i="12" s="1"/>
  <c r="AQ175" i="12" s="1"/>
  <c r="L176" i="12"/>
  <c r="M176" i="12" s="1"/>
  <c r="AQ176" i="12" s="1"/>
  <c r="L177" i="12"/>
  <c r="M177" i="12" s="1"/>
  <c r="AQ177" i="12" s="1"/>
  <c r="L179" i="12"/>
  <c r="M179" i="12" s="1"/>
  <c r="L180" i="12"/>
  <c r="M180" i="12" s="1"/>
  <c r="AQ180" i="12" s="1"/>
  <c r="L194" i="12"/>
  <c r="M194" i="12" s="1"/>
  <c r="AQ194" i="12" s="1"/>
  <c r="L195" i="12"/>
  <c r="M195" i="12" s="1"/>
  <c r="AB152" i="12"/>
  <c r="Y152" i="12"/>
  <c r="U152" i="12"/>
  <c r="T152" i="12"/>
  <c r="S152" i="12"/>
  <c r="R152" i="12"/>
  <c r="AB153" i="12"/>
  <c r="Y153" i="12"/>
  <c r="U153" i="12"/>
  <c r="T153" i="12"/>
  <c r="S153" i="12"/>
  <c r="R153" i="12"/>
  <c r="AB154" i="12"/>
  <c r="Y154" i="12"/>
  <c r="U154" i="12"/>
  <c r="T154" i="12"/>
  <c r="S154" i="12"/>
  <c r="R154" i="12"/>
  <c r="AB155" i="12"/>
  <c r="Y155" i="12"/>
  <c r="U155" i="12"/>
  <c r="T155" i="12"/>
  <c r="S155" i="12"/>
  <c r="R155" i="12"/>
  <c r="AB157" i="12"/>
  <c r="Y157" i="12"/>
  <c r="U157" i="12"/>
  <c r="T157" i="12"/>
  <c r="S157" i="12"/>
  <c r="R157" i="12"/>
  <c r="AB158" i="12"/>
  <c r="Y158" i="12"/>
  <c r="U158" i="12"/>
  <c r="T158" i="12"/>
  <c r="S158" i="12"/>
  <c r="R158" i="12"/>
  <c r="AB160" i="12"/>
  <c r="Y160" i="12"/>
  <c r="U160" i="12"/>
  <c r="T160" i="12"/>
  <c r="S160" i="12"/>
  <c r="R160" i="12"/>
  <c r="AB161" i="12"/>
  <c r="Y161" i="12"/>
  <c r="U161" i="12"/>
  <c r="T161" i="12"/>
  <c r="S161" i="12"/>
  <c r="R161" i="12"/>
  <c r="AB164" i="12"/>
  <c r="Y164" i="12"/>
  <c r="U164" i="12"/>
  <c r="T164" i="12"/>
  <c r="S164" i="12"/>
  <c r="R164" i="12"/>
  <c r="AB165" i="12"/>
  <c r="Y165" i="12"/>
  <c r="U165" i="12"/>
  <c r="T165" i="12"/>
  <c r="S165" i="12"/>
  <c r="R165" i="12"/>
  <c r="AB166" i="12"/>
  <c r="Y166" i="12"/>
  <c r="U166" i="12"/>
  <c r="T166" i="12"/>
  <c r="S166" i="12"/>
  <c r="R166" i="12"/>
  <c r="AB167" i="12"/>
  <c r="Y167" i="12"/>
  <c r="U167" i="12"/>
  <c r="T167" i="12"/>
  <c r="S167" i="12"/>
  <c r="R167" i="12"/>
  <c r="AB169" i="12"/>
  <c r="Y169" i="12"/>
  <c r="U169" i="12"/>
  <c r="T169" i="12"/>
  <c r="S169" i="12"/>
  <c r="R169" i="12"/>
  <c r="AB170" i="12"/>
  <c r="Y170" i="12"/>
  <c r="U170" i="12"/>
  <c r="T170" i="12"/>
  <c r="S170" i="12"/>
  <c r="R170" i="12"/>
  <c r="AB171" i="12"/>
  <c r="Y171" i="12"/>
  <c r="U171" i="12"/>
  <c r="T171" i="12"/>
  <c r="S171" i="12"/>
  <c r="R171" i="12"/>
  <c r="AB172" i="12"/>
  <c r="Y172" i="12"/>
  <c r="U172" i="12"/>
  <c r="T172" i="12"/>
  <c r="S172" i="12"/>
  <c r="R172" i="12"/>
  <c r="AB173" i="12"/>
  <c r="Y173" i="12"/>
  <c r="U173" i="12"/>
  <c r="T173" i="12"/>
  <c r="S173" i="12"/>
  <c r="R173" i="12"/>
  <c r="AB174" i="12"/>
  <c r="Y174" i="12"/>
  <c r="U174" i="12"/>
  <c r="T174" i="12"/>
  <c r="S174" i="12"/>
  <c r="R174" i="12"/>
  <c r="AB175" i="12"/>
  <c r="Y175" i="12"/>
  <c r="U175" i="12"/>
  <c r="T175" i="12"/>
  <c r="S175" i="12"/>
  <c r="R175" i="12"/>
  <c r="AB176" i="12"/>
  <c r="Y176" i="12"/>
  <c r="U176" i="12"/>
  <c r="T176" i="12"/>
  <c r="S176" i="12"/>
  <c r="R176" i="12"/>
  <c r="AB177" i="12"/>
  <c r="Y177" i="12"/>
  <c r="U177" i="12"/>
  <c r="T177" i="12"/>
  <c r="S177" i="12"/>
  <c r="R177" i="12"/>
  <c r="AB179" i="12"/>
  <c r="Y179" i="12"/>
  <c r="U179" i="12"/>
  <c r="T179" i="12"/>
  <c r="S179" i="12"/>
  <c r="R179" i="12"/>
  <c r="AB180" i="12"/>
  <c r="Y180" i="12"/>
  <c r="U180" i="12"/>
  <c r="T180" i="12"/>
  <c r="S180" i="12"/>
  <c r="R180" i="12"/>
  <c r="AB194" i="12"/>
  <c r="Y194" i="12"/>
  <c r="U194" i="12"/>
  <c r="T194" i="12"/>
  <c r="S194" i="12"/>
  <c r="R194" i="12"/>
  <c r="AB195" i="12"/>
  <c r="Y195" i="12"/>
  <c r="U195" i="12"/>
  <c r="T195" i="12"/>
  <c r="S195" i="12"/>
  <c r="R195" i="12"/>
  <c r="AM152" i="12"/>
  <c r="AN152" i="12" s="1"/>
  <c r="AS152" i="12" s="1"/>
  <c r="AM153" i="12"/>
  <c r="AN153" i="12" s="1"/>
  <c r="AS153" i="12" s="1"/>
  <c r="AM154" i="12"/>
  <c r="AN154" i="12" s="1"/>
  <c r="AS154" i="12" s="1"/>
  <c r="AM155" i="12"/>
  <c r="AN155" i="12" s="1"/>
  <c r="AS155" i="12" s="1"/>
  <c r="AM157" i="12"/>
  <c r="AS157" i="12" s="1"/>
  <c r="AM158" i="12"/>
  <c r="AN158" i="12" s="1"/>
  <c r="AS158" i="12" s="1"/>
  <c r="AM160" i="12"/>
  <c r="AN160" i="12" s="1"/>
  <c r="AS160" i="12" s="1"/>
  <c r="AM161" i="12"/>
  <c r="AN161" i="12" s="1"/>
  <c r="AS161" i="12" s="1"/>
  <c r="AM164" i="12"/>
  <c r="AN164" i="12" s="1"/>
  <c r="AS164" i="12" s="1"/>
  <c r="AM165" i="12"/>
  <c r="AN165" i="12" s="1"/>
  <c r="AS165" i="12" s="1"/>
  <c r="AM166" i="12"/>
  <c r="AN166" i="12" s="1"/>
  <c r="AS166" i="12" s="1"/>
  <c r="AM167" i="12"/>
  <c r="AN167" i="12" s="1"/>
  <c r="AM169" i="12"/>
  <c r="AN169" i="12" s="1"/>
  <c r="AS169" i="12" s="1"/>
  <c r="AM170" i="12"/>
  <c r="AN170" i="12" s="1"/>
  <c r="AS170" i="12" s="1"/>
  <c r="AM171" i="12"/>
  <c r="AN171" i="12" s="1"/>
  <c r="AS171" i="12" s="1"/>
  <c r="AM172" i="12"/>
  <c r="AN172" i="12" s="1"/>
  <c r="AS172" i="12" s="1"/>
  <c r="AM173" i="12"/>
  <c r="AN173" i="12" s="1"/>
  <c r="AS173" i="12" s="1"/>
  <c r="AM174" i="12"/>
  <c r="AN174" i="12" s="1"/>
  <c r="AS174" i="12" s="1"/>
  <c r="AM175" i="12"/>
  <c r="AN175" i="12" s="1"/>
  <c r="AS175" i="12" s="1"/>
  <c r="AM176" i="12"/>
  <c r="AN176" i="12" s="1"/>
  <c r="AM177" i="12"/>
  <c r="AN177" i="12" s="1"/>
  <c r="AS177" i="12" s="1"/>
  <c r="AM179" i="12"/>
  <c r="AN179" i="12" s="1"/>
  <c r="AS179" i="12" s="1"/>
  <c r="AM180" i="12"/>
  <c r="AN180" i="12" s="1"/>
  <c r="AS180" i="12" s="1"/>
  <c r="AM194" i="12"/>
  <c r="AN194" i="12" s="1"/>
  <c r="AS194" i="12" s="1"/>
  <c r="AM195" i="12"/>
  <c r="AN195" i="12" s="1"/>
  <c r="AS195" i="12" s="1"/>
  <c r="Y48" i="18"/>
  <c r="Y49" i="18"/>
  <c r="Y50" i="18"/>
  <c r="Y52" i="18"/>
  <c r="Y53" i="18"/>
  <c r="Y54" i="18"/>
  <c r="Y58" i="18"/>
  <c r="Z48" i="18"/>
  <c r="Z49" i="18"/>
  <c r="Z50" i="18"/>
  <c r="Z52" i="18"/>
  <c r="Z53" i="18"/>
  <c r="Z54" i="18"/>
  <c r="Z58" i="18"/>
  <c r="AA48" i="18"/>
  <c r="AA49" i="18"/>
  <c r="AA50" i="18"/>
  <c r="AA52" i="18"/>
  <c r="AA53" i="18"/>
  <c r="AA54" i="18"/>
  <c r="AA58" i="18"/>
  <c r="AB48" i="18"/>
  <c r="AB49" i="18"/>
  <c r="AB50" i="18"/>
  <c r="AB52" i="18"/>
  <c r="AB53" i="18"/>
  <c r="AB54" i="18"/>
  <c r="AB58" i="18"/>
  <c r="AC48" i="18"/>
  <c r="AC49" i="18"/>
  <c r="AC50" i="18"/>
  <c r="AC52" i="18"/>
  <c r="AC53" i="18"/>
  <c r="AC54" i="18"/>
  <c r="AC58" i="18"/>
  <c r="AD48" i="18"/>
  <c r="AD49" i="18"/>
  <c r="AD50" i="18"/>
  <c r="AD52" i="18"/>
  <c r="AD53" i="18"/>
  <c r="AD54" i="18"/>
  <c r="AD58" i="18"/>
  <c r="AE48" i="18"/>
  <c r="AE49" i="18"/>
  <c r="AE50" i="18"/>
  <c r="AE52" i="18"/>
  <c r="AE53" i="18"/>
  <c r="AE54" i="18"/>
  <c r="AE58" i="18"/>
  <c r="L152" i="13"/>
  <c r="M152" i="13" s="1"/>
  <c r="AQ152" i="13" s="1"/>
  <c r="L153" i="13"/>
  <c r="M153" i="13" s="1"/>
  <c r="AQ153" i="13" s="1"/>
  <c r="L154" i="13"/>
  <c r="M154" i="13" s="1"/>
  <c r="AQ154" i="13" s="1"/>
  <c r="L155" i="13"/>
  <c r="M155" i="13" s="1"/>
  <c r="L157" i="13"/>
  <c r="M157" i="13" s="1"/>
  <c r="AQ157" i="13" s="1"/>
  <c r="L158" i="13"/>
  <c r="M158" i="13" s="1"/>
  <c r="AQ158" i="13" s="1"/>
  <c r="L160" i="13"/>
  <c r="M160" i="13" s="1"/>
  <c r="AQ160" i="13" s="1"/>
  <c r="L161" i="13"/>
  <c r="M161" i="13" s="1"/>
  <c r="AQ161" i="13" s="1"/>
  <c r="L164" i="13"/>
  <c r="M164" i="13" s="1"/>
  <c r="AQ164" i="13" s="1"/>
  <c r="L165" i="13"/>
  <c r="M165" i="13" s="1"/>
  <c r="AQ165" i="13" s="1"/>
  <c r="L166" i="13"/>
  <c r="M166" i="13" s="1"/>
  <c r="AQ166" i="13" s="1"/>
  <c r="L167" i="13"/>
  <c r="M167" i="13" s="1"/>
  <c r="AQ167" i="13" s="1"/>
  <c r="L169" i="13"/>
  <c r="M169" i="13" s="1"/>
  <c r="AQ169" i="13" s="1"/>
  <c r="L170" i="13"/>
  <c r="M170" i="13" s="1"/>
  <c r="AQ170" i="13" s="1"/>
  <c r="L171" i="13"/>
  <c r="M171" i="13" s="1"/>
  <c r="AQ171" i="13" s="1"/>
  <c r="L172" i="13"/>
  <c r="M172" i="13" s="1"/>
  <c r="AQ172" i="13" s="1"/>
  <c r="L173" i="13"/>
  <c r="M173" i="13" s="1"/>
  <c r="L174" i="13"/>
  <c r="M174" i="13" s="1"/>
  <c r="AQ174" i="13" s="1"/>
  <c r="L175" i="13"/>
  <c r="M175" i="13" s="1"/>
  <c r="AQ175" i="13" s="1"/>
  <c r="L176" i="13"/>
  <c r="M176" i="13" s="1"/>
  <c r="AQ176" i="13" s="1"/>
  <c r="L177" i="13"/>
  <c r="M177" i="13" s="1"/>
  <c r="AQ177" i="13" s="1"/>
  <c r="L179" i="13"/>
  <c r="M179" i="13" s="1"/>
  <c r="AQ179" i="13" s="1"/>
  <c r="L180" i="13"/>
  <c r="M180" i="13" s="1"/>
  <c r="AQ180" i="13" s="1"/>
  <c r="L194" i="13"/>
  <c r="M194" i="13" s="1"/>
  <c r="AQ194" i="13" s="1"/>
  <c r="L195" i="13"/>
  <c r="M195" i="13" s="1"/>
  <c r="AQ195" i="13" s="1"/>
  <c r="AB152" i="13"/>
  <c r="Y152" i="13"/>
  <c r="U152" i="13"/>
  <c r="T152" i="13"/>
  <c r="S152" i="13"/>
  <c r="R152" i="13"/>
  <c r="AB153" i="13"/>
  <c r="Y153" i="13"/>
  <c r="U153" i="13"/>
  <c r="T153" i="13"/>
  <c r="S153" i="13"/>
  <c r="R153" i="13"/>
  <c r="AB154" i="13"/>
  <c r="Y154" i="13"/>
  <c r="U154" i="13"/>
  <c r="T154" i="13"/>
  <c r="S154" i="13"/>
  <c r="R154" i="13"/>
  <c r="AB155" i="13"/>
  <c r="Y155" i="13"/>
  <c r="U155" i="13"/>
  <c r="T155" i="13"/>
  <c r="S155" i="13"/>
  <c r="R155" i="13"/>
  <c r="AB157" i="13"/>
  <c r="Y157" i="13"/>
  <c r="U157" i="13"/>
  <c r="T157" i="13"/>
  <c r="S157" i="13"/>
  <c r="R157" i="13"/>
  <c r="AB158" i="13"/>
  <c r="Y158" i="13"/>
  <c r="U158" i="13"/>
  <c r="T158" i="13"/>
  <c r="S158" i="13"/>
  <c r="R158" i="13"/>
  <c r="AB160" i="13"/>
  <c r="Y160" i="13"/>
  <c r="U160" i="13"/>
  <c r="T160" i="13"/>
  <c r="S160" i="13"/>
  <c r="R160" i="13"/>
  <c r="AB161" i="13"/>
  <c r="Y161" i="13"/>
  <c r="U161" i="13"/>
  <c r="T161" i="13"/>
  <c r="S161" i="13"/>
  <c r="R161" i="13"/>
  <c r="AB164" i="13"/>
  <c r="Y164" i="13"/>
  <c r="U164" i="13"/>
  <c r="T164" i="13"/>
  <c r="S164" i="13"/>
  <c r="R164" i="13"/>
  <c r="AB165" i="13"/>
  <c r="Y165" i="13"/>
  <c r="U165" i="13"/>
  <c r="T165" i="13"/>
  <c r="S165" i="13"/>
  <c r="R165" i="13"/>
  <c r="AB166" i="13"/>
  <c r="Y166" i="13"/>
  <c r="U166" i="13"/>
  <c r="T166" i="13"/>
  <c r="S166" i="13"/>
  <c r="R166" i="13"/>
  <c r="AB167" i="13"/>
  <c r="Y167" i="13"/>
  <c r="U167" i="13"/>
  <c r="T167" i="13"/>
  <c r="S167" i="13"/>
  <c r="R167" i="13"/>
  <c r="AE169" i="13"/>
  <c r="AB169" i="13"/>
  <c r="Y169" i="13"/>
  <c r="U169" i="13"/>
  <c r="T169" i="13"/>
  <c r="S169" i="13"/>
  <c r="R169" i="13"/>
  <c r="AE170" i="13"/>
  <c r="AB170" i="13"/>
  <c r="Y170" i="13"/>
  <c r="U170" i="13"/>
  <c r="T170" i="13"/>
  <c r="S170" i="13"/>
  <c r="R170" i="13"/>
  <c r="AE171" i="13"/>
  <c r="AB171" i="13"/>
  <c r="Y171" i="13"/>
  <c r="U171" i="13"/>
  <c r="T171" i="13"/>
  <c r="S171" i="13"/>
  <c r="R171" i="13"/>
  <c r="AB172" i="13"/>
  <c r="Y172" i="13"/>
  <c r="U172" i="13"/>
  <c r="T172" i="13"/>
  <c r="S172" i="13"/>
  <c r="R172" i="13"/>
  <c r="AB173" i="13"/>
  <c r="Y173" i="13"/>
  <c r="U173" i="13"/>
  <c r="T173" i="13"/>
  <c r="S173" i="13"/>
  <c r="R173" i="13"/>
  <c r="AB174" i="13"/>
  <c r="Y174" i="13"/>
  <c r="U174" i="13"/>
  <c r="T174" i="13"/>
  <c r="S174" i="13"/>
  <c r="R174" i="13"/>
  <c r="AB175" i="13"/>
  <c r="Y175" i="13"/>
  <c r="U175" i="13"/>
  <c r="T175" i="13"/>
  <c r="S175" i="13"/>
  <c r="R175" i="13"/>
  <c r="AB176" i="13"/>
  <c r="Y176" i="13"/>
  <c r="U176" i="13"/>
  <c r="T176" i="13"/>
  <c r="S176" i="13"/>
  <c r="R176" i="13"/>
  <c r="AE177" i="13"/>
  <c r="AB177" i="13"/>
  <c r="Y177" i="13"/>
  <c r="U177" i="13"/>
  <c r="T177" i="13"/>
  <c r="S177" i="13"/>
  <c r="R177" i="13"/>
  <c r="AB179" i="13"/>
  <c r="Y179" i="13"/>
  <c r="U179" i="13"/>
  <c r="T179" i="13"/>
  <c r="S179" i="13"/>
  <c r="R179" i="13"/>
  <c r="AB180" i="13"/>
  <c r="Y180" i="13"/>
  <c r="U180" i="13"/>
  <c r="T180" i="13"/>
  <c r="S180" i="13"/>
  <c r="R180" i="13"/>
  <c r="AB194" i="13"/>
  <c r="Y194" i="13"/>
  <c r="U194" i="13"/>
  <c r="T194" i="13"/>
  <c r="S194" i="13"/>
  <c r="R194" i="13"/>
  <c r="AB195" i="13"/>
  <c r="Y195" i="13"/>
  <c r="U195" i="13"/>
  <c r="T195" i="13"/>
  <c r="S195" i="13"/>
  <c r="R195" i="13"/>
  <c r="AM152" i="13"/>
  <c r="AN152" i="13" s="1"/>
  <c r="AS152" i="13" s="1"/>
  <c r="AM153" i="13"/>
  <c r="AN153" i="13" s="1"/>
  <c r="AS153" i="13" s="1"/>
  <c r="AM154" i="13"/>
  <c r="AN154" i="13" s="1"/>
  <c r="AS154" i="13" s="1"/>
  <c r="AM155" i="13"/>
  <c r="AN155" i="13" s="1"/>
  <c r="AS155" i="13" s="1"/>
  <c r="AM157" i="13"/>
  <c r="AM158" i="13"/>
  <c r="AN158" i="13" s="1"/>
  <c r="AS158" i="13" s="1"/>
  <c r="AM160" i="13"/>
  <c r="AN160" i="13" s="1"/>
  <c r="AS160" i="13" s="1"/>
  <c r="AM161" i="13"/>
  <c r="AN161" i="13" s="1"/>
  <c r="AS161" i="13" s="1"/>
  <c r="AM164" i="13"/>
  <c r="AN164" i="13" s="1"/>
  <c r="AS164" i="13" s="1"/>
  <c r="AM165" i="13"/>
  <c r="AN165" i="13" s="1"/>
  <c r="AS165" i="13" s="1"/>
  <c r="AM166" i="13"/>
  <c r="AN166" i="13" s="1"/>
  <c r="AS166" i="13" s="1"/>
  <c r="AM167" i="13"/>
  <c r="AN167" i="13" s="1"/>
  <c r="AM169" i="13"/>
  <c r="AN169" i="13" s="1"/>
  <c r="AS169" i="13" s="1"/>
  <c r="AM170" i="13"/>
  <c r="AN170" i="13" s="1"/>
  <c r="AS170" i="13" s="1"/>
  <c r="AM171" i="13"/>
  <c r="AN171" i="13" s="1"/>
  <c r="AS171" i="13" s="1"/>
  <c r="AM172" i="13"/>
  <c r="AN172" i="13" s="1"/>
  <c r="AM173" i="13"/>
  <c r="AN173" i="13" s="1"/>
  <c r="AS173" i="13" s="1"/>
  <c r="AM174" i="13"/>
  <c r="AN174" i="13" s="1"/>
  <c r="AS174" i="13" s="1"/>
  <c r="AM175" i="13"/>
  <c r="AN175" i="13" s="1"/>
  <c r="AS175" i="13" s="1"/>
  <c r="AM176" i="13"/>
  <c r="AN176" i="13" s="1"/>
  <c r="AS176" i="13" s="1"/>
  <c r="AM177" i="13"/>
  <c r="AN177" i="13" s="1"/>
  <c r="AS177" i="13" s="1"/>
  <c r="AM179" i="13"/>
  <c r="AN179" i="13" s="1"/>
  <c r="AS179" i="13" s="1"/>
  <c r="AM180" i="13"/>
  <c r="AN180" i="13" s="1"/>
  <c r="AS180" i="13" s="1"/>
  <c r="AM194" i="13"/>
  <c r="AN194" i="13" s="1"/>
  <c r="AS194" i="13" s="1"/>
  <c r="AM195" i="13"/>
  <c r="AN195" i="13" s="1"/>
  <c r="AS195" i="13" s="1"/>
  <c r="AL48" i="18"/>
  <c r="AL49" i="18"/>
  <c r="AL50" i="18"/>
  <c r="AL52" i="18"/>
  <c r="AL53" i="18"/>
  <c r="AL54" i="18"/>
  <c r="AL58" i="18"/>
  <c r="AM48" i="18"/>
  <c r="AM49" i="18"/>
  <c r="AM50" i="18"/>
  <c r="AM52" i="18"/>
  <c r="AM53" i="18"/>
  <c r="AM54" i="18"/>
  <c r="AM58" i="18"/>
  <c r="AN48" i="18"/>
  <c r="AN49" i="18"/>
  <c r="AN50" i="18"/>
  <c r="AN52" i="18"/>
  <c r="AN53" i="18"/>
  <c r="AN54" i="18"/>
  <c r="AN58" i="18"/>
  <c r="AO48" i="18"/>
  <c r="AO49" i="18"/>
  <c r="AO50" i="18"/>
  <c r="AO52" i="18"/>
  <c r="AO53" i="18"/>
  <c r="AO54" i="18"/>
  <c r="AO58" i="18"/>
  <c r="AP48" i="18"/>
  <c r="AP49" i="18"/>
  <c r="AP50" i="18"/>
  <c r="AP52" i="18"/>
  <c r="AP53" i="18"/>
  <c r="AP54" i="18"/>
  <c r="AP58" i="18"/>
  <c r="AQ48" i="18"/>
  <c r="AQ49" i="18"/>
  <c r="AQ50" i="18"/>
  <c r="AQ52" i="18"/>
  <c r="AQ53" i="18"/>
  <c r="AQ54" i="18"/>
  <c r="AQ58" i="18"/>
  <c r="AR48" i="18"/>
  <c r="AR49" i="18"/>
  <c r="AR50" i="18"/>
  <c r="AR52" i="18"/>
  <c r="AR53" i="18"/>
  <c r="AR54" i="18"/>
  <c r="AR58" i="18"/>
  <c r="L152" i="14"/>
  <c r="M152" i="14" s="1"/>
  <c r="L153" i="14"/>
  <c r="M153" i="14" s="1"/>
  <c r="AQ153" i="14" s="1"/>
  <c r="L154" i="14"/>
  <c r="M154" i="14" s="1"/>
  <c r="AQ154" i="14" s="1"/>
  <c r="L155" i="14"/>
  <c r="M155" i="14" s="1"/>
  <c r="AQ155" i="14" s="1"/>
  <c r="L157" i="14"/>
  <c r="M157" i="14" s="1"/>
  <c r="L158" i="14"/>
  <c r="M158" i="14" s="1"/>
  <c r="AQ158" i="14" s="1"/>
  <c r="L160" i="14"/>
  <c r="M160" i="14" s="1"/>
  <c r="AQ160" i="14" s="1"/>
  <c r="L161" i="14"/>
  <c r="M161" i="14" s="1"/>
  <c r="AQ161" i="14" s="1"/>
  <c r="L164" i="14"/>
  <c r="M164" i="14" s="1"/>
  <c r="AQ164" i="14" s="1"/>
  <c r="L165" i="14"/>
  <c r="M165" i="14" s="1"/>
  <c r="AQ165" i="14" s="1"/>
  <c r="L166" i="14"/>
  <c r="M166" i="14" s="1"/>
  <c r="AQ166" i="14" s="1"/>
  <c r="L167" i="14"/>
  <c r="M167" i="14" s="1"/>
  <c r="L169" i="14"/>
  <c r="M169" i="14" s="1"/>
  <c r="AQ169" i="14" s="1"/>
  <c r="L170" i="14"/>
  <c r="M170" i="14" s="1"/>
  <c r="AQ170" i="14" s="1"/>
  <c r="L171" i="14"/>
  <c r="M171" i="14" s="1"/>
  <c r="AQ171" i="14" s="1"/>
  <c r="L172" i="14"/>
  <c r="M172" i="14" s="1"/>
  <c r="AQ172" i="14" s="1"/>
  <c r="L173" i="14"/>
  <c r="M173" i="14" s="1"/>
  <c r="AQ173" i="14" s="1"/>
  <c r="L174" i="14"/>
  <c r="M174" i="14" s="1"/>
  <c r="AQ174" i="14" s="1"/>
  <c r="L175" i="14"/>
  <c r="M175" i="14" s="1"/>
  <c r="AQ175" i="14" s="1"/>
  <c r="L176" i="14"/>
  <c r="M176" i="14" s="1"/>
  <c r="L177" i="14"/>
  <c r="M177" i="14" s="1"/>
  <c r="AQ177" i="14" s="1"/>
  <c r="L179" i="14"/>
  <c r="M179" i="14" s="1"/>
  <c r="AQ179" i="14" s="1"/>
  <c r="L180" i="14"/>
  <c r="M180" i="14" s="1"/>
  <c r="AQ180" i="14" s="1"/>
  <c r="L194" i="14"/>
  <c r="M194" i="14" s="1"/>
  <c r="AQ194" i="14" s="1"/>
  <c r="L195" i="14"/>
  <c r="M195" i="14" s="1"/>
  <c r="AQ195" i="14" s="1"/>
  <c r="AB152" i="14"/>
  <c r="Y152" i="14"/>
  <c r="U152" i="14"/>
  <c r="T152" i="14"/>
  <c r="S152" i="14"/>
  <c r="R152" i="14"/>
  <c r="AB153" i="14"/>
  <c r="Y153" i="14"/>
  <c r="U153" i="14"/>
  <c r="T153" i="14"/>
  <c r="S153" i="14"/>
  <c r="R153" i="14"/>
  <c r="AB154" i="14"/>
  <c r="Y154" i="14"/>
  <c r="U154" i="14"/>
  <c r="T154" i="14"/>
  <c r="S154" i="14"/>
  <c r="R154" i="14"/>
  <c r="AB155" i="14"/>
  <c r="Y155" i="14"/>
  <c r="U155" i="14"/>
  <c r="T155" i="14"/>
  <c r="S155" i="14"/>
  <c r="R155" i="14"/>
  <c r="AB157" i="14"/>
  <c r="Y157" i="14"/>
  <c r="U157" i="14"/>
  <c r="T157" i="14"/>
  <c r="S157" i="14"/>
  <c r="R157" i="14"/>
  <c r="AB158" i="14"/>
  <c r="Y158" i="14"/>
  <c r="U158" i="14"/>
  <c r="T158" i="14"/>
  <c r="S158" i="14"/>
  <c r="R158" i="14"/>
  <c r="AB160" i="14"/>
  <c r="Y160" i="14"/>
  <c r="U160" i="14"/>
  <c r="T160" i="14"/>
  <c r="S160" i="14"/>
  <c r="R160" i="14"/>
  <c r="AB161" i="14"/>
  <c r="Y161" i="14"/>
  <c r="U161" i="14"/>
  <c r="T161" i="14"/>
  <c r="S161" i="14"/>
  <c r="R161" i="14"/>
  <c r="AB164" i="14"/>
  <c r="Y164" i="14"/>
  <c r="U164" i="14"/>
  <c r="T164" i="14"/>
  <c r="S164" i="14"/>
  <c r="R164" i="14"/>
  <c r="AB165" i="14"/>
  <c r="Y165" i="14"/>
  <c r="U165" i="14"/>
  <c r="T165" i="14"/>
  <c r="S165" i="14"/>
  <c r="R165" i="14"/>
  <c r="AB166" i="14"/>
  <c r="Y166" i="14"/>
  <c r="U166" i="14"/>
  <c r="T166" i="14"/>
  <c r="S166" i="14"/>
  <c r="R166" i="14"/>
  <c r="AB167" i="14"/>
  <c r="Y167" i="14"/>
  <c r="U167" i="14"/>
  <c r="T167" i="14"/>
  <c r="S167" i="14"/>
  <c r="R167" i="14"/>
  <c r="AE169" i="14"/>
  <c r="AB169" i="14"/>
  <c r="Y169" i="14"/>
  <c r="U169" i="14"/>
  <c r="T169" i="14"/>
  <c r="S169" i="14"/>
  <c r="R169" i="14"/>
  <c r="AE170" i="14"/>
  <c r="AB170" i="14"/>
  <c r="Y170" i="14"/>
  <c r="U170" i="14"/>
  <c r="T170" i="14"/>
  <c r="S170" i="14"/>
  <c r="R170" i="14"/>
  <c r="AE171" i="14"/>
  <c r="AB171" i="14"/>
  <c r="Y171" i="14"/>
  <c r="U171" i="14"/>
  <c r="T171" i="14"/>
  <c r="S171" i="14"/>
  <c r="R171" i="14"/>
  <c r="AB172" i="14"/>
  <c r="Y172" i="14"/>
  <c r="U172" i="14"/>
  <c r="T172" i="14"/>
  <c r="S172" i="14"/>
  <c r="R172" i="14"/>
  <c r="AE173" i="14"/>
  <c r="AB173" i="14"/>
  <c r="Y173" i="14"/>
  <c r="U173" i="14"/>
  <c r="T173" i="14"/>
  <c r="S173" i="14"/>
  <c r="R173" i="14"/>
  <c r="AE174" i="14"/>
  <c r="AB174" i="14"/>
  <c r="Y174" i="14"/>
  <c r="U174" i="14"/>
  <c r="T174" i="14"/>
  <c r="S174" i="14"/>
  <c r="R174" i="14"/>
  <c r="AB175" i="14"/>
  <c r="Y175" i="14"/>
  <c r="U175" i="14"/>
  <c r="T175" i="14"/>
  <c r="S175" i="14"/>
  <c r="R175" i="14"/>
  <c r="AB176" i="14"/>
  <c r="Y176" i="14"/>
  <c r="U176" i="14"/>
  <c r="T176" i="14"/>
  <c r="S176" i="14"/>
  <c r="R176" i="14"/>
  <c r="AE177" i="14"/>
  <c r="AB177" i="14"/>
  <c r="Y177" i="14"/>
  <c r="U177" i="14"/>
  <c r="T177" i="14"/>
  <c r="S177" i="14"/>
  <c r="R177" i="14"/>
  <c r="AB179" i="14"/>
  <c r="Y179" i="14"/>
  <c r="U179" i="14"/>
  <c r="T179" i="14"/>
  <c r="S179" i="14"/>
  <c r="R179" i="14"/>
  <c r="AB180" i="14"/>
  <c r="Y180" i="14"/>
  <c r="U180" i="14"/>
  <c r="T180" i="14"/>
  <c r="S180" i="14"/>
  <c r="R180" i="14"/>
  <c r="AB194" i="14"/>
  <c r="Y194" i="14"/>
  <c r="U194" i="14"/>
  <c r="T194" i="14"/>
  <c r="S194" i="14"/>
  <c r="R194" i="14"/>
  <c r="AB195" i="14"/>
  <c r="Y195" i="14"/>
  <c r="U195" i="14"/>
  <c r="T195" i="14"/>
  <c r="S195" i="14"/>
  <c r="R195" i="14"/>
  <c r="AM152" i="14"/>
  <c r="AN152" i="14" s="1"/>
  <c r="AM153" i="14"/>
  <c r="AN153" i="14" s="1"/>
  <c r="AM154" i="14"/>
  <c r="AN154" i="14" s="1"/>
  <c r="AS154" i="14" s="1"/>
  <c r="AM155" i="14"/>
  <c r="AN155" i="14" s="1"/>
  <c r="AM157" i="14"/>
  <c r="AM158" i="14"/>
  <c r="AN158" i="14" s="1"/>
  <c r="AM160" i="14"/>
  <c r="AN160" i="14" s="1"/>
  <c r="AS160" i="14" s="1"/>
  <c r="AM161" i="14"/>
  <c r="AM164" i="14"/>
  <c r="AN164" i="14" s="1"/>
  <c r="AM165" i="14"/>
  <c r="AN165" i="14" s="1"/>
  <c r="AM166" i="14"/>
  <c r="AN166" i="14" s="1"/>
  <c r="AM167" i="14"/>
  <c r="AN167" i="14" s="1"/>
  <c r="AS167" i="14" s="1"/>
  <c r="AM169" i="14"/>
  <c r="AM170" i="14"/>
  <c r="AN170" i="14" s="1"/>
  <c r="AS170" i="14" s="1"/>
  <c r="AM171" i="14"/>
  <c r="AM172" i="14"/>
  <c r="AN172" i="14" s="1"/>
  <c r="AS172" i="14" s="1"/>
  <c r="AM173" i="14"/>
  <c r="AM174" i="14"/>
  <c r="AN174" i="14" s="1"/>
  <c r="AS174" i="14" s="1"/>
  <c r="AM175" i="14"/>
  <c r="AM176" i="14"/>
  <c r="AN176" i="14" s="1"/>
  <c r="AS176" i="14" s="1"/>
  <c r="AM177" i="14"/>
  <c r="AN177" i="14" s="1"/>
  <c r="AS177" i="14" s="1"/>
  <c r="AM179" i="14"/>
  <c r="AN179" i="14" s="1"/>
  <c r="AM180" i="14"/>
  <c r="AN180" i="14" s="1"/>
  <c r="AS180" i="14" s="1"/>
  <c r="AM194" i="14"/>
  <c r="AN194" i="14" s="1"/>
  <c r="AS194" i="14" s="1"/>
  <c r="AM195" i="14"/>
  <c r="AN195" i="14" s="1"/>
  <c r="AY48" i="18"/>
  <c r="AY49" i="18"/>
  <c r="AY50" i="18"/>
  <c r="AY52" i="18"/>
  <c r="AY53" i="18"/>
  <c r="AY54" i="18"/>
  <c r="AY58" i="18"/>
  <c r="AZ48" i="18"/>
  <c r="AZ49" i="18"/>
  <c r="AZ50" i="18"/>
  <c r="AZ52" i="18"/>
  <c r="AZ53" i="18"/>
  <c r="AZ54" i="18"/>
  <c r="AZ58" i="18"/>
  <c r="BA48" i="18"/>
  <c r="BA49" i="18"/>
  <c r="BA50" i="18"/>
  <c r="BA52" i="18"/>
  <c r="BA53" i="18"/>
  <c r="BA54" i="18"/>
  <c r="BA58" i="18"/>
  <c r="BB48" i="18"/>
  <c r="BB49" i="18"/>
  <c r="BB50" i="18"/>
  <c r="BB52" i="18"/>
  <c r="BB53" i="18"/>
  <c r="BB54" i="18"/>
  <c r="BB58" i="18"/>
  <c r="BC48" i="18"/>
  <c r="BC49" i="18"/>
  <c r="BC50" i="18"/>
  <c r="BC52" i="18"/>
  <c r="BC53" i="18"/>
  <c r="BC54" i="18"/>
  <c r="BC58" i="18"/>
  <c r="BD48" i="18"/>
  <c r="BD49" i="18"/>
  <c r="BD50" i="18"/>
  <c r="BD52" i="18"/>
  <c r="BD53" i="18"/>
  <c r="BD54" i="18"/>
  <c r="BD58" i="18"/>
  <c r="BE48" i="18"/>
  <c r="BE49" i="18"/>
  <c r="BE50" i="18"/>
  <c r="BE52" i="18"/>
  <c r="BE53" i="18"/>
  <c r="BE54" i="18"/>
  <c r="BE58" i="18"/>
  <c r="L152" i="15"/>
  <c r="M152" i="15" s="1"/>
  <c r="AQ152" i="15" s="1"/>
  <c r="L153" i="15"/>
  <c r="M153" i="15" s="1"/>
  <c r="L154" i="15"/>
  <c r="M154" i="15" s="1"/>
  <c r="AQ154" i="15" s="1"/>
  <c r="L155" i="15"/>
  <c r="M155" i="15" s="1"/>
  <c r="AQ155" i="15" s="1"/>
  <c r="L157" i="15"/>
  <c r="M157" i="15" s="1"/>
  <c r="AQ157" i="15" s="1"/>
  <c r="L158" i="15"/>
  <c r="M158" i="15" s="1"/>
  <c r="L160" i="15"/>
  <c r="M160" i="15" s="1"/>
  <c r="AQ160" i="15" s="1"/>
  <c r="L161" i="15"/>
  <c r="M161" i="15" s="1"/>
  <c r="AQ161" i="15" s="1"/>
  <c r="L164" i="15"/>
  <c r="M164" i="15" s="1"/>
  <c r="AQ164" i="15" s="1"/>
  <c r="L165" i="15"/>
  <c r="M165" i="15" s="1"/>
  <c r="AQ165" i="15" s="1"/>
  <c r="L166" i="15"/>
  <c r="M166" i="15" s="1"/>
  <c r="AQ166" i="15" s="1"/>
  <c r="L167" i="15"/>
  <c r="M167" i="15" s="1"/>
  <c r="AQ167" i="15" s="1"/>
  <c r="L169" i="15"/>
  <c r="M169" i="15" s="1"/>
  <c r="AQ169" i="15" s="1"/>
  <c r="L170" i="15"/>
  <c r="M170" i="15" s="1"/>
  <c r="AQ170" i="15" s="1"/>
  <c r="L171" i="15"/>
  <c r="M171" i="15" s="1"/>
  <c r="AQ171" i="15" s="1"/>
  <c r="L172" i="15"/>
  <c r="M172" i="15" s="1"/>
  <c r="AQ172" i="15" s="1"/>
  <c r="L173" i="15"/>
  <c r="M173" i="15" s="1"/>
  <c r="AQ173" i="15" s="1"/>
  <c r="L174" i="15"/>
  <c r="M174" i="15" s="1"/>
  <c r="AQ174" i="15" s="1"/>
  <c r="L175" i="15"/>
  <c r="M175" i="15" s="1"/>
  <c r="AQ175" i="15" s="1"/>
  <c r="L176" i="15"/>
  <c r="M176" i="15" s="1"/>
  <c r="AQ176" i="15" s="1"/>
  <c r="L177" i="15"/>
  <c r="M177" i="15" s="1"/>
  <c r="AQ177" i="15" s="1"/>
  <c r="L179" i="15"/>
  <c r="M179" i="15" s="1"/>
  <c r="L180" i="15"/>
  <c r="M180" i="15" s="1"/>
  <c r="AQ180" i="15" s="1"/>
  <c r="L194" i="15"/>
  <c r="M194" i="15" s="1"/>
  <c r="AQ194" i="15" s="1"/>
  <c r="L195" i="15"/>
  <c r="M195" i="15" s="1"/>
  <c r="AB152" i="15"/>
  <c r="Y152" i="15"/>
  <c r="U152" i="15"/>
  <c r="T152" i="15"/>
  <c r="S152" i="15"/>
  <c r="R152" i="15"/>
  <c r="AB153" i="15"/>
  <c r="Y153" i="15"/>
  <c r="U153" i="15"/>
  <c r="T153" i="15"/>
  <c r="S153" i="15"/>
  <c r="R153" i="15"/>
  <c r="AB154" i="15"/>
  <c r="Y154" i="15"/>
  <c r="U154" i="15"/>
  <c r="T154" i="15"/>
  <c r="S154" i="15"/>
  <c r="R154" i="15"/>
  <c r="AB155" i="15"/>
  <c r="Y155" i="15"/>
  <c r="U155" i="15"/>
  <c r="T155" i="15"/>
  <c r="S155" i="15"/>
  <c r="R155" i="15"/>
  <c r="AB157" i="15"/>
  <c r="Y157" i="15"/>
  <c r="U157" i="15"/>
  <c r="T157" i="15"/>
  <c r="S157" i="15"/>
  <c r="R157" i="15"/>
  <c r="AB158" i="15"/>
  <c r="Y158" i="15"/>
  <c r="U158" i="15"/>
  <c r="T158" i="15"/>
  <c r="S158" i="15"/>
  <c r="R158" i="15"/>
  <c r="AB160" i="15"/>
  <c r="Y160" i="15"/>
  <c r="U160" i="15"/>
  <c r="T160" i="15"/>
  <c r="S160" i="15"/>
  <c r="R160" i="15"/>
  <c r="AB161" i="15"/>
  <c r="Y161" i="15"/>
  <c r="U161" i="15"/>
  <c r="T161" i="15"/>
  <c r="S161" i="15"/>
  <c r="R161" i="15"/>
  <c r="AB164" i="15"/>
  <c r="Y164" i="15"/>
  <c r="U164" i="15"/>
  <c r="T164" i="15"/>
  <c r="S164" i="15"/>
  <c r="R164" i="15"/>
  <c r="AB165" i="15"/>
  <c r="Y165" i="15"/>
  <c r="U165" i="15"/>
  <c r="T165" i="15"/>
  <c r="S165" i="15"/>
  <c r="R165" i="15"/>
  <c r="AB166" i="15"/>
  <c r="Y166" i="15"/>
  <c r="U166" i="15"/>
  <c r="T166" i="15"/>
  <c r="S166" i="15"/>
  <c r="R166" i="15"/>
  <c r="AB167" i="15"/>
  <c r="Y167" i="15"/>
  <c r="U167" i="15"/>
  <c r="T167" i="15"/>
  <c r="S167" i="15"/>
  <c r="R167" i="15"/>
  <c r="AE169" i="15"/>
  <c r="AB169" i="15"/>
  <c r="Y169" i="15"/>
  <c r="U169" i="15"/>
  <c r="T169" i="15"/>
  <c r="S169" i="15"/>
  <c r="R169" i="15"/>
  <c r="AE170" i="15"/>
  <c r="AB170" i="15"/>
  <c r="Y170" i="15"/>
  <c r="U170" i="15"/>
  <c r="T170" i="15"/>
  <c r="S170" i="15"/>
  <c r="R170" i="15"/>
  <c r="AE171" i="15"/>
  <c r="AB171" i="15"/>
  <c r="Y171" i="15"/>
  <c r="U171" i="15"/>
  <c r="T171" i="15"/>
  <c r="S171" i="15"/>
  <c r="R171" i="15"/>
  <c r="AB172" i="15"/>
  <c r="Y172" i="15"/>
  <c r="U172" i="15"/>
  <c r="T172" i="15"/>
  <c r="S172" i="15"/>
  <c r="R172" i="15"/>
  <c r="AE173" i="15"/>
  <c r="AB173" i="15"/>
  <c r="Y173" i="15"/>
  <c r="U173" i="15"/>
  <c r="T173" i="15"/>
  <c r="S173" i="15"/>
  <c r="R173" i="15"/>
  <c r="AB174" i="15"/>
  <c r="Y174" i="15"/>
  <c r="U174" i="15"/>
  <c r="T174" i="15"/>
  <c r="S174" i="15"/>
  <c r="R174" i="15"/>
  <c r="AB175" i="15"/>
  <c r="Y175" i="15"/>
  <c r="U175" i="15"/>
  <c r="T175" i="15"/>
  <c r="S175" i="15"/>
  <c r="R175" i="15"/>
  <c r="AB176" i="15"/>
  <c r="Y176" i="15"/>
  <c r="U176" i="15"/>
  <c r="T176" i="15"/>
  <c r="S176" i="15"/>
  <c r="R176" i="15"/>
  <c r="AE177" i="15"/>
  <c r="AB177" i="15"/>
  <c r="Y177" i="15"/>
  <c r="U177" i="15"/>
  <c r="T177" i="15"/>
  <c r="S177" i="15"/>
  <c r="R177" i="15"/>
  <c r="AB179" i="15"/>
  <c r="Y179" i="15"/>
  <c r="U179" i="15"/>
  <c r="T179" i="15"/>
  <c r="S179" i="15"/>
  <c r="R179" i="15"/>
  <c r="AB180" i="15"/>
  <c r="Y180" i="15"/>
  <c r="U180" i="15"/>
  <c r="T180" i="15"/>
  <c r="S180" i="15"/>
  <c r="R180" i="15"/>
  <c r="AB194" i="15"/>
  <c r="Y194" i="15"/>
  <c r="U194" i="15"/>
  <c r="T194" i="15"/>
  <c r="S194" i="15"/>
  <c r="R194" i="15"/>
  <c r="AB195" i="15"/>
  <c r="Y195" i="15"/>
  <c r="U195" i="15"/>
  <c r="T195" i="15"/>
  <c r="S195" i="15"/>
  <c r="R195" i="15"/>
  <c r="AM152" i="15"/>
  <c r="AN152" i="15" s="1"/>
  <c r="AM153" i="15"/>
  <c r="AN153" i="15" s="1"/>
  <c r="AS153" i="15" s="1"/>
  <c r="AM154" i="15"/>
  <c r="AN154" i="15" s="1"/>
  <c r="AS154" i="15" s="1"/>
  <c r="AM155" i="15"/>
  <c r="AN155" i="15" s="1"/>
  <c r="AS155" i="15" s="1"/>
  <c r="AM157" i="15"/>
  <c r="AN157" i="15" s="1"/>
  <c r="AM158" i="15"/>
  <c r="AN158" i="15" s="1"/>
  <c r="AS158" i="15" s="1"/>
  <c r="AM160" i="15"/>
  <c r="AN160" i="15" s="1"/>
  <c r="AS160" i="15" s="1"/>
  <c r="AM161" i="15"/>
  <c r="AN161" i="15" s="1"/>
  <c r="AS161" i="15" s="1"/>
  <c r="AM164" i="15"/>
  <c r="AN164" i="15" s="1"/>
  <c r="AS164" i="15" s="1"/>
  <c r="AM165" i="15"/>
  <c r="AN165" i="15" s="1"/>
  <c r="AS165" i="15" s="1"/>
  <c r="AM166" i="15"/>
  <c r="AN166" i="15" s="1"/>
  <c r="AS166" i="15" s="1"/>
  <c r="AM167" i="15"/>
  <c r="AN167" i="15" s="1"/>
  <c r="AM169" i="15"/>
  <c r="AN169" i="15" s="1"/>
  <c r="AS169" i="15" s="1"/>
  <c r="AM170" i="15"/>
  <c r="AN170" i="15" s="1"/>
  <c r="AS170" i="15" s="1"/>
  <c r="AM171" i="15"/>
  <c r="AN171" i="15" s="1"/>
  <c r="AS171" i="15" s="1"/>
  <c r="AM172" i="15"/>
  <c r="AN172" i="15" s="1"/>
  <c r="AS172" i="15" s="1"/>
  <c r="AM173" i="15"/>
  <c r="AN173" i="15" s="1"/>
  <c r="AS173" i="15" s="1"/>
  <c r="AM174" i="15"/>
  <c r="AN174" i="15" s="1"/>
  <c r="AS174" i="15" s="1"/>
  <c r="AM175" i="15"/>
  <c r="AN175" i="15" s="1"/>
  <c r="AS175" i="15" s="1"/>
  <c r="AM176" i="15"/>
  <c r="AN176" i="15" s="1"/>
  <c r="AS176" i="15" s="1"/>
  <c r="AM177" i="15"/>
  <c r="AN177" i="15" s="1"/>
  <c r="AS177" i="15" s="1"/>
  <c r="AM179" i="15"/>
  <c r="AN179" i="15" s="1"/>
  <c r="AS179" i="15" s="1"/>
  <c r="AM180" i="15"/>
  <c r="AN180" i="15" s="1"/>
  <c r="AS180" i="15" s="1"/>
  <c r="AM194" i="15"/>
  <c r="AN194" i="15" s="1"/>
  <c r="AS194" i="15" s="1"/>
  <c r="AM195" i="15"/>
  <c r="AN195" i="15" s="1"/>
  <c r="AS195" i="15" s="1"/>
  <c r="BL48" i="18"/>
  <c r="BL49" i="18"/>
  <c r="BL50" i="18"/>
  <c r="BL52" i="18"/>
  <c r="BL53" i="18"/>
  <c r="BL54" i="18"/>
  <c r="BL58" i="18"/>
  <c r="BM48" i="18"/>
  <c r="BM49" i="18"/>
  <c r="BM50" i="18"/>
  <c r="BM52" i="18"/>
  <c r="BM53" i="18"/>
  <c r="BM54" i="18"/>
  <c r="BM58" i="18"/>
  <c r="BN48" i="18"/>
  <c r="BN49" i="18"/>
  <c r="BN50" i="18"/>
  <c r="BN52" i="18"/>
  <c r="BN53" i="18"/>
  <c r="BN54" i="18"/>
  <c r="BN58" i="18"/>
  <c r="BO48" i="18"/>
  <c r="BO49" i="18"/>
  <c r="BO50" i="18"/>
  <c r="BO52" i="18"/>
  <c r="BO53" i="18"/>
  <c r="BO54" i="18"/>
  <c r="BO58" i="18"/>
  <c r="BP48" i="18"/>
  <c r="BP49" i="18"/>
  <c r="BP50" i="18"/>
  <c r="BP52" i="18"/>
  <c r="BP53" i="18"/>
  <c r="BP54" i="18"/>
  <c r="BP58" i="18"/>
  <c r="BQ48" i="18"/>
  <c r="BQ49" i="18"/>
  <c r="BQ50" i="18"/>
  <c r="BQ52" i="18"/>
  <c r="BQ53" i="18"/>
  <c r="BQ54" i="18"/>
  <c r="BQ58" i="18"/>
  <c r="BR48" i="18"/>
  <c r="BR49" i="18"/>
  <c r="BR50" i="18"/>
  <c r="BR52" i="18"/>
  <c r="BR53" i="18"/>
  <c r="BR54" i="18"/>
  <c r="BR58" i="18"/>
  <c r="L152" i="16"/>
  <c r="M152" i="16" s="1"/>
  <c r="AQ152" i="16" s="1"/>
  <c r="L153" i="16"/>
  <c r="M153" i="16" s="1"/>
  <c r="L154" i="16"/>
  <c r="M154" i="16" s="1"/>
  <c r="AQ154" i="16" s="1"/>
  <c r="L155" i="16"/>
  <c r="M155" i="16" s="1"/>
  <c r="AQ155" i="16" s="1"/>
  <c r="L157" i="16"/>
  <c r="M157" i="16" s="1"/>
  <c r="AQ157" i="16" s="1"/>
  <c r="L158" i="16"/>
  <c r="L160" i="16"/>
  <c r="M160" i="16" s="1"/>
  <c r="AQ160" i="16" s="1"/>
  <c r="L161" i="16"/>
  <c r="M161" i="16" s="1"/>
  <c r="AQ161" i="16" s="1"/>
  <c r="L164" i="16"/>
  <c r="M164" i="16" s="1"/>
  <c r="AQ164" i="16" s="1"/>
  <c r="L165" i="16"/>
  <c r="M165" i="16" s="1"/>
  <c r="AQ165" i="16" s="1"/>
  <c r="L166" i="16"/>
  <c r="M166" i="16" s="1"/>
  <c r="AQ166" i="16" s="1"/>
  <c r="L167" i="16"/>
  <c r="M167" i="16" s="1"/>
  <c r="L169" i="16"/>
  <c r="M169" i="16" s="1"/>
  <c r="AQ169" i="16" s="1"/>
  <c r="L170" i="16"/>
  <c r="M170" i="16" s="1"/>
  <c r="AQ170" i="16" s="1"/>
  <c r="L171" i="16"/>
  <c r="M171" i="16" s="1"/>
  <c r="AQ171" i="16" s="1"/>
  <c r="L172" i="16"/>
  <c r="M172" i="16" s="1"/>
  <c r="AQ172" i="16" s="1"/>
  <c r="L173" i="16"/>
  <c r="M173" i="16" s="1"/>
  <c r="AQ173" i="16" s="1"/>
  <c r="L174" i="16"/>
  <c r="M174" i="16" s="1"/>
  <c r="AQ174" i="16" s="1"/>
  <c r="L175" i="16"/>
  <c r="M175" i="16" s="1"/>
  <c r="AQ175" i="16" s="1"/>
  <c r="L176" i="16"/>
  <c r="M176" i="16" s="1"/>
  <c r="L177" i="16"/>
  <c r="M177" i="16" s="1"/>
  <c r="AQ177" i="16" s="1"/>
  <c r="L179" i="16"/>
  <c r="L180" i="16"/>
  <c r="M180" i="16" s="1"/>
  <c r="AQ180" i="16" s="1"/>
  <c r="L194" i="16"/>
  <c r="M194" i="16" s="1"/>
  <c r="AQ194" i="16" s="1"/>
  <c r="L195" i="16"/>
  <c r="M195" i="16" s="1"/>
  <c r="AB152" i="16"/>
  <c r="Y152" i="16"/>
  <c r="U152" i="16"/>
  <c r="T152" i="16"/>
  <c r="S152" i="16"/>
  <c r="R152" i="16"/>
  <c r="AB153" i="16"/>
  <c r="Y153" i="16"/>
  <c r="U153" i="16"/>
  <c r="T153" i="16"/>
  <c r="S153" i="16"/>
  <c r="R153" i="16"/>
  <c r="AB154" i="16"/>
  <c r="Y154" i="16"/>
  <c r="U154" i="16"/>
  <c r="T154" i="16"/>
  <c r="S154" i="16"/>
  <c r="R154" i="16"/>
  <c r="AB155" i="16"/>
  <c r="Y155" i="16"/>
  <c r="U155" i="16"/>
  <c r="T155" i="16"/>
  <c r="S155" i="16"/>
  <c r="R155" i="16"/>
  <c r="AB157" i="16"/>
  <c r="Y157" i="16"/>
  <c r="U157" i="16"/>
  <c r="T157" i="16"/>
  <c r="S157" i="16"/>
  <c r="R157" i="16"/>
  <c r="AB158" i="16"/>
  <c r="Y158" i="16"/>
  <c r="U158" i="16"/>
  <c r="T158" i="16"/>
  <c r="S158" i="16"/>
  <c r="R158" i="16"/>
  <c r="AB160" i="16"/>
  <c r="Y160" i="16"/>
  <c r="U160" i="16"/>
  <c r="T160" i="16"/>
  <c r="S160" i="16"/>
  <c r="R160" i="16"/>
  <c r="AB161" i="16"/>
  <c r="Y161" i="16"/>
  <c r="U161" i="16"/>
  <c r="T161" i="16"/>
  <c r="S161" i="16"/>
  <c r="R161" i="16"/>
  <c r="AB164" i="16"/>
  <c r="Y164" i="16"/>
  <c r="U164" i="16"/>
  <c r="T164" i="16"/>
  <c r="S164" i="16"/>
  <c r="R164" i="16"/>
  <c r="AB165" i="16"/>
  <c r="Y165" i="16"/>
  <c r="U165" i="16"/>
  <c r="T165" i="16"/>
  <c r="S165" i="16"/>
  <c r="R165" i="16"/>
  <c r="AB166" i="16"/>
  <c r="Y166" i="16"/>
  <c r="U166" i="16"/>
  <c r="T166" i="16"/>
  <c r="S166" i="16"/>
  <c r="R166" i="16"/>
  <c r="AB167" i="16"/>
  <c r="Y167" i="16"/>
  <c r="U167" i="16"/>
  <c r="T167" i="16"/>
  <c r="S167" i="16"/>
  <c r="R167" i="16"/>
  <c r="AB169" i="16"/>
  <c r="Y169" i="16"/>
  <c r="U169" i="16"/>
  <c r="T169" i="16"/>
  <c r="S169" i="16"/>
  <c r="R169" i="16"/>
  <c r="AB170" i="16"/>
  <c r="Y170" i="16"/>
  <c r="U170" i="16"/>
  <c r="T170" i="16"/>
  <c r="S170" i="16"/>
  <c r="R170" i="16"/>
  <c r="AB171" i="16"/>
  <c r="Y171" i="16"/>
  <c r="U171" i="16"/>
  <c r="T171" i="16"/>
  <c r="S171" i="16"/>
  <c r="R171" i="16"/>
  <c r="AB172" i="16"/>
  <c r="Y172" i="16"/>
  <c r="U172" i="16"/>
  <c r="T172" i="16"/>
  <c r="S172" i="16"/>
  <c r="R172" i="16"/>
  <c r="AB173" i="16"/>
  <c r="Y173" i="16"/>
  <c r="U173" i="16"/>
  <c r="T173" i="16"/>
  <c r="S173" i="16"/>
  <c r="R173" i="16"/>
  <c r="AB174" i="16"/>
  <c r="Y174" i="16"/>
  <c r="U174" i="16"/>
  <c r="T174" i="16"/>
  <c r="S174" i="16"/>
  <c r="R174" i="16"/>
  <c r="AB175" i="16"/>
  <c r="Y175" i="16"/>
  <c r="U175" i="16"/>
  <c r="T175" i="16"/>
  <c r="S175" i="16"/>
  <c r="R175" i="16"/>
  <c r="AB176" i="16"/>
  <c r="Y176" i="16"/>
  <c r="U176" i="16"/>
  <c r="T176" i="16"/>
  <c r="S176" i="16"/>
  <c r="R176" i="16"/>
  <c r="AB177" i="16"/>
  <c r="Y177" i="16"/>
  <c r="U177" i="16"/>
  <c r="T177" i="16"/>
  <c r="S177" i="16"/>
  <c r="R177" i="16"/>
  <c r="AB179" i="16"/>
  <c r="Y179" i="16"/>
  <c r="U179" i="16"/>
  <c r="T179" i="16"/>
  <c r="S179" i="16"/>
  <c r="R179" i="16"/>
  <c r="AB180" i="16"/>
  <c r="Y180" i="16"/>
  <c r="U180" i="16"/>
  <c r="T180" i="16"/>
  <c r="S180" i="16"/>
  <c r="R180" i="16"/>
  <c r="AB194" i="16"/>
  <c r="Y194" i="16"/>
  <c r="U194" i="16"/>
  <c r="T194" i="16"/>
  <c r="S194" i="16"/>
  <c r="R194" i="16"/>
  <c r="AB195" i="16"/>
  <c r="Y195" i="16"/>
  <c r="U195" i="16"/>
  <c r="T195" i="16"/>
  <c r="S195" i="16"/>
  <c r="R195" i="16"/>
  <c r="AM152" i="16"/>
  <c r="AN152" i="16" s="1"/>
  <c r="AS152" i="16" s="1"/>
  <c r="AM153" i="16"/>
  <c r="AN153" i="16" s="1"/>
  <c r="AS153" i="16" s="1"/>
  <c r="AM154" i="16"/>
  <c r="AM155" i="16"/>
  <c r="AN155" i="16" s="1"/>
  <c r="AS155" i="16" s="1"/>
  <c r="AM157" i="16"/>
  <c r="AN157" i="16" s="1"/>
  <c r="AS157" i="16" s="1"/>
  <c r="AM158" i="16"/>
  <c r="AN158" i="16" s="1"/>
  <c r="AS158" i="16" s="1"/>
  <c r="AM160" i="16"/>
  <c r="AM161" i="16"/>
  <c r="AN161" i="16" s="1"/>
  <c r="AS161" i="16" s="1"/>
  <c r="AM164" i="16"/>
  <c r="AN164" i="16" s="1"/>
  <c r="AS164" i="16" s="1"/>
  <c r="AM165" i="16"/>
  <c r="AN165" i="16" s="1"/>
  <c r="AM166" i="16"/>
  <c r="AN166" i="16" s="1"/>
  <c r="AS166" i="16" s="1"/>
  <c r="AM167" i="16"/>
  <c r="AN167" i="16" s="1"/>
  <c r="AS167" i="16" s="1"/>
  <c r="AM169" i="16"/>
  <c r="AN169" i="16" s="1"/>
  <c r="AS169" i="16" s="1"/>
  <c r="AM170" i="16"/>
  <c r="AN170" i="16" s="1"/>
  <c r="AS170" i="16" s="1"/>
  <c r="AM171" i="16"/>
  <c r="AN171" i="16" s="1"/>
  <c r="AS171" i="16" s="1"/>
  <c r="AM172" i="16"/>
  <c r="AN172" i="16" s="1"/>
  <c r="AS172" i="16" s="1"/>
  <c r="AM173" i="16"/>
  <c r="AN173" i="16" s="1"/>
  <c r="AS173" i="16" s="1"/>
  <c r="AM174" i="16"/>
  <c r="AM175" i="16"/>
  <c r="AN175" i="16" s="1"/>
  <c r="AS175" i="16" s="1"/>
  <c r="AM176" i="16"/>
  <c r="AN176" i="16" s="1"/>
  <c r="AS176" i="16" s="1"/>
  <c r="AM177" i="16"/>
  <c r="AN177" i="16" s="1"/>
  <c r="AS177" i="16" s="1"/>
  <c r="AM179" i="16"/>
  <c r="AN179" i="16" s="1"/>
  <c r="AM180" i="16"/>
  <c r="AN180" i="16" s="1"/>
  <c r="AS180" i="16" s="1"/>
  <c r="AM194" i="16"/>
  <c r="AN194" i="16" s="1"/>
  <c r="AS194" i="16" s="1"/>
  <c r="AM195" i="16"/>
  <c r="AN195" i="16" s="1"/>
  <c r="BY48" i="18"/>
  <c r="BY49" i="18"/>
  <c r="BY50" i="18"/>
  <c r="BY52" i="18"/>
  <c r="BY51" i="18" s="1"/>
  <c r="BY53" i="18"/>
  <c r="BY54" i="18"/>
  <c r="BY58" i="18"/>
  <c r="BZ48" i="18"/>
  <c r="BZ49" i="18"/>
  <c r="BZ50" i="18"/>
  <c r="BZ52" i="18"/>
  <c r="BZ53" i="18"/>
  <c r="BZ54" i="18"/>
  <c r="BZ58" i="18"/>
  <c r="CA48" i="18"/>
  <c r="CA49" i="18"/>
  <c r="CA50" i="18"/>
  <c r="CA52" i="18"/>
  <c r="CA53" i="18"/>
  <c r="CA54" i="18"/>
  <c r="CA58" i="18"/>
  <c r="CB48" i="18"/>
  <c r="CB49" i="18"/>
  <c r="CB50" i="18"/>
  <c r="CB52" i="18"/>
  <c r="CB53" i="18"/>
  <c r="CB54" i="18"/>
  <c r="CB58" i="18"/>
  <c r="CC48" i="18"/>
  <c r="CC49" i="18"/>
  <c r="CC50" i="18"/>
  <c r="CC52" i="18"/>
  <c r="CC51" i="18" s="1"/>
  <c r="CC53" i="18"/>
  <c r="CC54" i="18"/>
  <c r="CC58" i="18"/>
  <c r="CD48" i="18"/>
  <c r="CD49" i="18"/>
  <c r="CD50" i="18"/>
  <c r="CD52" i="18"/>
  <c r="CD53" i="18"/>
  <c r="CD54" i="18"/>
  <c r="CD58" i="18"/>
  <c r="CE48" i="18"/>
  <c r="CE49" i="18"/>
  <c r="CE50" i="18"/>
  <c r="CE52" i="18"/>
  <c r="CE53" i="18"/>
  <c r="CE54" i="18"/>
  <c r="CE58" i="18"/>
  <c r="L152" i="17"/>
  <c r="L153" i="17"/>
  <c r="M153" i="17" s="1"/>
  <c r="L154" i="17"/>
  <c r="M154" i="17" s="1"/>
  <c r="AQ154" i="17" s="1"/>
  <c r="L155" i="17"/>
  <c r="M155" i="17" s="1"/>
  <c r="L157" i="17"/>
  <c r="L158" i="17"/>
  <c r="M158" i="17" s="1"/>
  <c r="L160" i="17"/>
  <c r="M160" i="17" s="1"/>
  <c r="L161" i="17"/>
  <c r="M161" i="17" s="1"/>
  <c r="L164" i="17"/>
  <c r="M164" i="17" s="1"/>
  <c r="L165" i="17"/>
  <c r="M165" i="17" s="1"/>
  <c r="L166" i="17"/>
  <c r="M166" i="17" s="1"/>
  <c r="L167" i="17"/>
  <c r="M167" i="17" s="1"/>
  <c r="AQ167" i="17" s="1"/>
  <c r="L169" i="17"/>
  <c r="L170" i="17"/>
  <c r="M170" i="17" s="1"/>
  <c r="AQ170" i="17" s="1"/>
  <c r="L171" i="17"/>
  <c r="M171" i="17" s="1"/>
  <c r="AQ171" i="17" s="1"/>
  <c r="L172" i="17"/>
  <c r="M172" i="17" s="1"/>
  <c r="AQ172" i="17" s="1"/>
  <c r="L173" i="17"/>
  <c r="M173" i="17" s="1"/>
  <c r="L174" i="17"/>
  <c r="M174" i="17" s="1"/>
  <c r="AQ174" i="17" s="1"/>
  <c r="L175" i="17"/>
  <c r="M175" i="17" s="1"/>
  <c r="L176" i="17"/>
  <c r="M176" i="17" s="1"/>
  <c r="AQ176" i="17" s="1"/>
  <c r="L177" i="17"/>
  <c r="M177" i="17" s="1"/>
  <c r="L179" i="17"/>
  <c r="M179" i="17" s="1"/>
  <c r="L180" i="17"/>
  <c r="M180" i="17" s="1"/>
  <c r="L194" i="17"/>
  <c r="M194" i="17" s="1"/>
  <c r="L195" i="17"/>
  <c r="AB152" i="17"/>
  <c r="Y152" i="17"/>
  <c r="U152" i="17"/>
  <c r="T152" i="17"/>
  <c r="S152" i="17"/>
  <c r="R152" i="17"/>
  <c r="AB153" i="17"/>
  <c r="Y153" i="17"/>
  <c r="U153" i="17"/>
  <c r="T153" i="17"/>
  <c r="S153" i="17"/>
  <c r="R153" i="17"/>
  <c r="AB154" i="17"/>
  <c r="Y154" i="17"/>
  <c r="U154" i="17"/>
  <c r="T154" i="17"/>
  <c r="S154" i="17"/>
  <c r="R154" i="17"/>
  <c r="AB155" i="17"/>
  <c r="Y155" i="17"/>
  <c r="U155" i="17"/>
  <c r="T155" i="17"/>
  <c r="S155" i="17"/>
  <c r="R155" i="17"/>
  <c r="AB157" i="17"/>
  <c r="Y157" i="17"/>
  <c r="U157" i="17"/>
  <c r="T157" i="17"/>
  <c r="S157" i="17"/>
  <c r="R157" i="17"/>
  <c r="AB158" i="17"/>
  <c r="Y158" i="17"/>
  <c r="U158" i="17"/>
  <c r="T158" i="17"/>
  <c r="S158" i="17"/>
  <c r="R158" i="17"/>
  <c r="AB160" i="17"/>
  <c r="Y160" i="17"/>
  <c r="U160" i="17"/>
  <c r="T160" i="17"/>
  <c r="S160" i="17"/>
  <c r="R160" i="17"/>
  <c r="AE161" i="17"/>
  <c r="AB161" i="17"/>
  <c r="Y161" i="17"/>
  <c r="U161" i="17"/>
  <c r="T161" i="17"/>
  <c r="T162" i="17" s="1"/>
  <c r="S161" i="17"/>
  <c r="R161" i="17"/>
  <c r="AB164" i="17"/>
  <c r="Y164" i="17"/>
  <c r="U164" i="17"/>
  <c r="T164" i="17"/>
  <c r="S164" i="17"/>
  <c r="R164" i="17"/>
  <c r="AB165" i="17"/>
  <c r="Y165" i="17"/>
  <c r="U165" i="17"/>
  <c r="T165" i="17"/>
  <c r="S165" i="17"/>
  <c r="R165" i="17"/>
  <c r="AB166" i="17"/>
  <c r="Y166" i="17"/>
  <c r="U166" i="17"/>
  <c r="T166" i="17"/>
  <c r="S166" i="17"/>
  <c r="R166" i="17"/>
  <c r="AE167" i="17"/>
  <c r="AB167" i="17"/>
  <c r="Y167" i="17"/>
  <c r="U167" i="17"/>
  <c r="T167" i="17"/>
  <c r="S167" i="17"/>
  <c r="R167" i="17"/>
  <c r="AE169" i="17"/>
  <c r="AB169" i="17"/>
  <c r="Y169" i="17"/>
  <c r="U169" i="17"/>
  <c r="T169" i="17"/>
  <c r="S169" i="17"/>
  <c r="R169" i="17"/>
  <c r="AE170" i="17"/>
  <c r="AB170" i="17"/>
  <c r="Y170" i="17"/>
  <c r="U170" i="17"/>
  <c r="T170" i="17"/>
  <c r="S170" i="17"/>
  <c r="R170" i="17"/>
  <c r="AE171" i="17"/>
  <c r="AB171" i="17"/>
  <c r="Y171" i="17"/>
  <c r="U171" i="17"/>
  <c r="T171" i="17"/>
  <c r="S171" i="17"/>
  <c r="R171" i="17"/>
  <c r="AB172" i="17"/>
  <c r="Y172" i="17"/>
  <c r="U172" i="17"/>
  <c r="T172" i="17"/>
  <c r="S172" i="17"/>
  <c r="R172" i="17"/>
  <c r="AE173" i="17"/>
  <c r="AB173" i="17"/>
  <c r="Y173" i="17"/>
  <c r="U173" i="17"/>
  <c r="T173" i="17"/>
  <c r="S173" i="17"/>
  <c r="R173" i="17"/>
  <c r="AB174" i="17"/>
  <c r="Y174" i="17"/>
  <c r="U174" i="17"/>
  <c r="T174" i="17"/>
  <c r="S174" i="17"/>
  <c r="R174" i="17"/>
  <c r="AB175" i="17"/>
  <c r="Y175" i="17"/>
  <c r="U175" i="17"/>
  <c r="T175" i="17"/>
  <c r="S175" i="17"/>
  <c r="R175" i="17"/>
  <c r="AB176" i="17"/>
  <c r="Y176" i="17"/>
  <c r="U176" i="17"/>
  <c r="T176" i="17"/>
  <c r="S176" i="17"/>
  <c r="R176" i="17"/>
  <c r="AE177" i="17"/>
  <c r="AB177" i="17"/>
  <c r="Y177" i="17"/>
  <c r="U177" i="17"/>
  <c r="T177" i="17"/>
  <c r="S177" i="17"/>
  <c r="R177" i="17"/>
  <c r="AB179" i="17"/>
  <c r="Y179" i="17"/>
  <c r="U179" i="17"/>
  <c r="T179" i="17"/>
  <c r="S179" i="17"/>
  <c r="R179" i="17"/>
  <c r="AB180" i="17"/>
  <c r="Y180" i="17"/>
  <c r="U180" i="17"/>
  <c r="T180" i="17"/>
  <c r="S180" i="17"/>
  <c r="R180" i="17"/>
  <c r="AB194" i="17"/>
  <c r="Y194" i="17"/>
  <c r="U194" i="17"/>
  <c r="T194" i="17"/>
  <c r="S194" i="17"/>
  <c r="R194" i="17"/>
  <c r="AB195" i="17"/>
  <c r="Y195" i="17"/>
  <c r="U195" i="17"/>
  <c r="T195" i="17"/>
  <c r="S195" i="17"/>
  <c r="R195" i="17"/>
  <c r="AM152" i="17"/>
  <c r="AN152" i="17" s="1"/>
  <c r="AS152" i="17" s="1"/>
  <c r="AM153" i="17"/>
  <c r="AN153" i="17" s="1"/>
  <c r="AS153" i="17" s="1"/>
  <c r="AM154" i="17"/>
  <c r="AN154" i="17" s="1"/>
  <c r="AS154" i="17" s="1"/>
  <c r="AM155" i="17"/>
  <c r="AM157" i="17"/>
  <c r="AN157" i="17" s="1"/>
  <c r="AS157" i="17" s="1"/>
  <c r="AM158" i="17"/>
  <c r="AN158" i="17" s="1"/>
  <c r="AS158" i="17" s="1"/>
  <c r="AM160" i="17"/>
  <c r="AN160" i="17" s="1"/>
  <c r="AS160" i="17" s="1"/>
  <c r="AM161" i="17"/>
  <c r="AN161" i="17" s="1"/>
  <c r="AM164" i="17"/>
  <c r="AN164" i="17" s="1"/>
  <c r="AS164" i="17" s="1"/>
  <c r="AM165" i="17"/>
  <c r="AN165" i="17" s="1"/>
  <c r="AM166" i="17"/>
  <c r="AM167" i="17"/>
  <c r="AN167" i="17" s="1"/>
  <c r="AS167" i="17" s="1"/>
  <c r="AM169" i="17"/>
  <c r="AN169" i="17" s="1"/>
  <c r="AS169" i="17" s="1"/>
  <c r="AM170" i="17"/>
  <c r="AN170" i="17" s="1"/>
  <c r="AS170" i="17" s="1"/>
  <c r="AM171" i="17"/>
  <c r="AM172" i="17"/>
  <c r="AN172" i="17" s="1"/>
  <c r="AS172" i="17" s="1"/>
  <c r="AM173" i="17"/>
  <c r="AN173" i="17" s="1"/>
  <c r="AS173" i="17" s="1"/>
  <c r="AM174" i="17"/>
  <c r="AN174" i="17" s="1"/>
  <c r="AS174" i="17" s="1"/>
  <c r="AM175" i="17"/>
  <c r="AN175" i="17" s="1"/>
  <c r="AS175" i="17" s="1"/>
  <c r="AM176" i="17"/>
  <c r="AN176" i="17" s="1"/>
  <c r="AS176" i="17" s="1"/>
  <c r="AM177" i="17"/>
  <c r="AN177" i="17" s="1"/>
  <c r="AS177" i="17" s="1"/>
  <c r="AM179" i="17"/>
  <c r="AN179" i="17" s="1"/>
  <c r="AM180" i="17"/>
  <c r="AM194" i="17"/>
  <c r="AN194" i="17" s="1"/>
  <c r="AS194" i="17" s="1"/>
  <c r="AM195" i="17"/>
  <c r="AN195" i="17" s="1"/>
  <c r="CL48" i="18"/>
  <c r="CL49" i="18"/>
  <c r="CL50" i="18"/>
  <c r="CL52" i="18"/>
  <c r="CL53" i="18"/>
  <c r="CL54" i="18"/>
  <c r="CL58" i="18"/>
  <c r="CM48" i="18"/>
  <c r="CM49" i="18"/>
  <c r="CM50" i="18"/>
  <c r="CM52" i="18"/>
  <c r="CM53" i="18"/>
  <c r="CM54" i="18"/>
  <c r="CM58" i="18"/>
  <c r="CN48" i="18"/>
  <c r="CN49" i="18"/>
  <c r="CN50" i="18"/>
  <c r="CN52" i="18"/>
  <c r="CN53" i="18"/>
  <c r="CN54" i="18"/>
  <c r="CN58" i="18"/>
  <c r="CO48" i="18"/>
  <c r="CO49" i="18"/>
  <c r="CO50" i="18"/>
  <c r="CO52" i="18"/>
  <c r="CO53" i="18"/>
  <c r="CO54" i="18"/>
  <c r="CO58" i="18"/>
  <c r="CP48" i="18"/>
  <c r="CP49" i="18"/>
  <c r="CP50" i="18"/>
  <c r="CP52" i="18"/>
  <c r="CP53" i="18"/>
  <c r="CP54" i="18"/>
  <c r="CP58" i="18"/>
  <c r="CQ48" i="18"/>
  <c r="CQ49" i="18"/>
  <c r="CQ50" i="18"/>
  <c r="CQ52" i="18"/>
  <c r="CQ53" i="18"/>
  <c r="CQ54" i="18"/>
  <c r="CQ58" i="18"/>
  <c r="CR48" i="18"/>
  <c r="CR49" i="18"/>
  <c r="CR50" i="18"/>
  <c r="CR52" i="18"/>
  <c r="CR53" i="18"/>
  <c r="CR54" i="18"/>
  <c r="CR58" i="18"/>
  <c r="CY50" i="18"/>
  <c r="CY52" i="18"/>
  <c r="CY53" i="18"/>
  <c r="CY58" i="18"/>
  <c r="CZ48" i="18"/>
  <c r="CZ52" i="18"/>
  <c r="CZ53" i="18"/>
  <c r="CZ54" i="18"/>
  <c r="CZ58" i="18"/>
  <c r="DA48" i="18"/>
  <c r="DA49" i="18"/>
  <c r="DA53" i="18"/>
  <c r="DA54" i="18"/>
  <c r="DA58" i="18"/>
  <c r="DB49" i="18"/>
  <c r="DB50" i="18"/>
  <c r="DB52" i="18"/>
  <c r="DB54" i="18"/>
  <c r="DB58" i="18"/>
  <c r="DC50" i="18"/>
  <c r="DC52" i="18"/>
  <c r="DC53" i="18"/>
  <c r="DC58" i="18"/>
  <c r="DD48" i="18"/>
  <c r="DD52" i="18"/>
  <c r="DD53" i="18"/>
  <c r="DD54" i="18"/>
  <c r="DD58" i="18"/>
  <c r="DE48" i="18"/>
  <c r="DE49" i="18"/>
  <c r="DE53" i="18"/>
  <c r="DE54" i="18"/>
  <c r="DE58" i="18"/>
  <c r="L152" i="22"/>
  <c r="M152" i="22" s="1"/>
  <c r="AQ152" i="22" s="1"/>
  <c r="L153" i="22"/>
  <c r="M153" i="22" s="1"/>
  <c r="L154" i="22"/>
  <c r="M154" i="22" s="1"/>
  <c r="AQ154" i="22" s="1"/>
  <c r="L155" i="22"/>
  <c r="M155" i="22" s="1"/>
  <c r="AQ155" i="22" s="1"/>
  <c r="L157" i="22"/>
  <c r="L158" i="22"/>
  <c r="M158" i="22" s="1"/>
  <c r="L160" i="22"/>
  <c r="M160" i="22" s="1"/>
  <c r="AQ160" i="22" s="1"/>
  <c r="L161" i="22"/>
  <c r="M161" i="22" s="1"/>
  <c r="AQ161" i="22" s="1"/>
  <c r="L164" i="22"/>
  <c r="M164" i="22" s="1"/>
  <c r="AQ164" i="22" s="1"/>
  <c r="L165" i="22"/>
  <c r="M165" i="22" s="1"/>
  <c r="AQ165" i="22" s="1"/>
  <c r="L166" i="22"/>
  <c r="M166" i="22" s="1"/>
  <c r="AQ166" i="22" s="1"/>
  <c r="L167" i="22"/>
  <c r="M167" i="22" s="1"/>
  <c r="L169" i="22"/>
  <c r="M169" i="22" s="1"/>
  <c r="AQ169" i="22" s="1"/>
  <c r="L170" i="22"/>
  <c r="M170" i="22" s="1"/>
  <c r="AQ170" i="22" s="1"/>
  <c r="L171" i="22"/>
  <c r="M171" i="22" s="1"/>
  <c r="AQ171" i="22" s="1"/>
  <c r="L172" i="22"/>
  <c r="M172" i="22" s="1"/>
  <c r="AQ172" i="22" s="1"/>
  <c r="L173" i="22"/>
  <c r="M173" i="22" s="1"/>
  <c r="AQ173" i="22" s="1"/>
  <c r="L174" i="22"/>
  <c r="M174" i="22" s="1"/>
  <c r="AQ174" i="22" s="1"/>
  <c r="L175" i="22"/>
  <c r="M175" i="22" s="1"/>
  <c r="AQ175" i="22" s="1"/>
  <c r="L176" i="22"/>
  <c r="M176" i="22" s="1"/>
  <c r="L177" i="22"/>
  <c r="M177" i="22" s="1"/>
  <c r="AQ177" i="22" s="1"/>
  <c r="L179" i="22"/>
  <c r="M179" i="22" s="1"/>
  <c r="AQ179" i="22" s="1"/>
  <c r="L180" i="22"/>
  <c r="M180" i="22" s="1"/>
  <c r="AQ180" i="22" s="1"/>
  <c r="L194" i="22"/>
  <c r="M194" i="22" s="1"/>
  <c r="AQ194" i="22" s="1"/>
  <c r="L195" i="22"/>
  <c r="M195" i="22" s="1"/>
  <c r="AQ195" i="22" s="1"/>
  <c r="AB152" i="22"/>
  <c r="U152" i="22"/>
  <c r="T152" i="22"/>
  <c r="S152" i="22"/>
  <c r="R152" i="22"/>
  <c r="AB153" i="22"/>
  <c r="U153" i="22"/>
  <c r="T153" i="22"/>
  <c r="S153" i="22"/>
  <c r="R153" i="22"/>
  <c r="AB154" i="22"/>
  <c r="U154" i="22"/>
  <c r="T154" i="22"/>
  <c r="S154" i="22"/>
  <c r="R154" i="22"/>
  <c r="AB155" i="22"/>
  <c r="U155" i="22"/>
  <c r="T155" i="22"/>
  <c r="S155" i="22"/>
  <c r="R155" i="22"/>
  <c r="AB157" i="22"/>
  <c r="U157" i="22"/>
  <c r="T157" i="22"/>
  <c r="S157" i="22"/>
  <c r="R157" i="22"/>
  <c r="AB158" i="22"/>
  <c r="U158" i="22"/>
  <c r="T158" i="22"/>
  <c r="T159" i="22" s="1"/>
  <c r="S158" i="22"/>
  <c r="R158" i="22"/>
  <c r="AB160" i="22"/>
  <c r="U160" i="22"/>
  <c r="U162" i="22" s="1"/>
  <c r="T160" i="22"/>
  <c r="S160" i="22"/>
  <c r="R160" i="22"/>
  <c r="AE161" i="22"/>
  <c r="AB161" i="22"/>
  <c r="U161" i="22"/>
  <c r="T161" i="22"/>
  <c r="S161" i="22"/>
  <c r="S162" i="22" s="1"/>
  <c r="R161" i="22"/>
  <c r="AB164" i="22"/>
  <c r="U164" i="22"/>
  <c r="T164" i="22"/>
  <c r="S164" i="22"/>
  <c r="R164" i="22"/>
  <c r="AB165" i="22"/>
  <c r="U165" i="22"/>
  <c r="T165" i="22"/>
  <c r="S165" i="22"/>
  <c r="R165" i="22"/>
  <c r="AB166" i="22"/>
  <c r="AB168" i="22" s="1"/>
  <c r="U166" i="22"/>
  <c r="T166" i="22"/>
  <c r="S166" i="22"/>
  <c r="R166" i="22"/>
  <c r="R168" i="22" s="1"/>
  <c r="AE167" i="22"/>
  <c r="AB167" i="22"/>
  <c r="U167" i="22"/>
  <c r="T167" i="22"/>
  <c r="S167" i="22"/>
  <c r="R167" i="22"/>
  <c r="AE169" i="22"/>
  <c r="AB169" i="22"/>
  <c r="U169" i="22"/>
  <c r="T169" i="22"/>
  <c r="S169" i="22"/>
  <c r="R169" i="22"/>
  <c r="AE170" i="22"/>
  <c r="AB170" i="22"/>
  <c r="U170" i="22"/>
  <c r="T170" i="22"/>
  <c r="S170" i="22"/>
  <c r="R170" i="22"/>
  <c r="AE171" i="22"/>
  <c r="AB171" i="22"/>
  <c r="U171" i="22"/>
  <c r="T171" i="22"/>
  <c r="S171" i="22"/>
  <c r="R171" i="22"/>
  <c r="AB172" i="22"/>
  <c r="U172" i="22"/>
  <c r="T172" i="22"/>
  <c r="S172" i="22"/>
  <c r="R172" i="22"/>
  <c r="AE173" i="22"/>
  <c r="AB173" i="22"/>
  <c r="U173" i="22"/>
  <c r="T173" i="22"/>
  <c r="S173" i="22"/>
  <c r="R173" i="22"/>
  <c r="AB174" i="22"/>
  <c r="U174" i="22"/>
  <c r="T174" i="22"/>
  <c r="S174" i="22"/>
  <c r="R174" i="22"/>
  <c r="AB175" i="22"/>
  <c r="U175" i="22"/>
  <c r="T175" i="22"/>
  <c r="S175" i="22"/>
  <c r="R175" i="22"/>
  <c r="AB176" i="22"/>
  <c r="U176" i="22"/>
  <c r="T176" i="22"/>
  <c r="S176" i="22"/>
  <c r="R176" i="22"/>
  <c r="AE177" i="22"/>
  <c r="AB177" i="22"/>
  <c r="U177" i="22"/>
  <c r="T177" i="22"/>
  <c r="S177" i="22"/>
  <c r="R177" i="22"/>
  <c r="AB179" i="22"/>
  <c r="U179" i="22"/>
  <c r="T179" i="22"/>
  <c r="S179" i="22"/>
  <c r="R179" i="22"/>
  <c r="AB180" i="22"/>
  <c r="U180" i="22"/>
  <c r="T180" i="22"/>
  <c r="S180" i="22"/>
  <c r="R180" i="22"/>
  <c r="AB194" i="22"/>
  <c r="U194" i="22"/>
  <c r="T194" i="22"/>
  <c r="S194" i="22"/>
  <c r="R194" i="22"/>
  <c r="AB195" i="22"/>
  <c r="U195" i="22"/>
  <c r="T195" i="22"/>
  <c r="S195" i="22"/>
  <c r="R195" i="22"/>
  <c r="AM152" i="22"/>
  <c r="AN152" i="22" s="1"/>
  <c r="AS152" i="22" s="1"/>
  <c r="AM153" i="22"/>
  <c r="AN153" i="22" s="1"/>
  <c r="AS153" i="22" s="1"/>
  <c r="AM154" i="22"/>
  <c r="AN154" i="22" s="1"/>
  <c r="AM155" i="22"/>
  <c r="AN155" i="22" s="1"/>
  <c r="AS155" i="22" s="1"/>
  <c r="AM157" i="22"/>
  <c r="AN157" i="22" s="1"/>
  <c r="AS157" i="22" s="1"/>
  <c r="AM158" i="22"/>
  <c r="AN158" i="22" s="1"/>
  <c r="AS158" i="22" s="1"/>
  <c r="AM160" i="22"/>
  <c r="AM161" i="22"/>
  <c r="AN161" i="22" s="1"/>
  <c r="AS161" i="22" s="1"/>
  <c r="AM164" i="22"/>
  <c r="AN164" i="22" s="1"/>
  <c r="AS164" i="22" s="1"/>
  <c r="AM165" i="22"/>
  <c r="AN165" i="22" s="1"/>
  <c r="AM166" i="22"/>
  <c r="AM167" i="22"/>
  <c r="AN167" i="22" s="1"/>
  <c r="AS167" i="22" s="1"/>
  <c r="AM169" i="22"/>
  <c r="AN169" i="22" s="1"/>
  <c r="AS169" i="22" s="1"/>
  <c r="AM170" i="22"/>
  <c r="AN170" i="22" s="1"/>
  <c r="AS170" i="22" s="1"/>
  <c r="AM171" i="22"/>
  <c r="AN171" i="22" s="1"/>
  <c r="AS171" i="22" s="1"/>
  <c r="AM172" i="22"/>
  <c r="AN172" i="22" s="1"/>
  <c r="AS172" i="22" s="1"/>
  <c r="AM173" i="22"/>
  <c r="AN173" i="22" s="1"/>
  <c r="AS173" i="22" s="1"/>
  <c r="AM174" i="22"/>
  <c r="AN174" i="22" s="1"/>
  <c r="AM175" i="22"/>
  <c r="AN175" i="22" s="1"/>
  <c r="AS175" i="22" s="1"/>
  <c r="AM176" i="22"/>
  <c r="AN176" i="22" s="1"/>
  <c r="AS176" i="22" s="1"/>
  <c r="AM177" i="22"/>
  <c r="AN177" i="22" s="1"/>
  <c r="AS177" i="22" s="1"/>
  <c r="AM179" i="22"/>
  <c r="AN179" i="22" s="1"/>
  <c r="AM180" i="22"/>
  <c r="AM194" i="22"/>
  <c r="AN194" i="22" s="1"/>
  <c r="AS194" i="22" s="1"/>
  <c r="AM195" i="22"/>
  <c r="AN195" i="22" s="1"/>
  <c r="DL48" i="18"/>
  <c r="DL49" i="18"/>
  <c r="DL50" i="18"/>
  <c r="DL52" i="18"/>
  <c r="DL53" i="18"/>
  <c r="DL54" i="18"/>
  <c r="DL58" i="18"/>
  <c r="DM48" i="18"/>
  <c r="DM49" i="18"/>
  <c r="DM50" i="18"/>
  <c r="DM52" i="18"/>
  <c r="DM53" i="18"/>
  <c r="DM54" i="18"/>
  <c r="DM58" i="18"/>
  <c r="DN48" i="18"/>
  <c r="DN49" i="18"/>
  <c r="DN50" i="18"/>
  <c r="DN52" i="18"/>
  <c r="DN53" i="18"/>
  <c r="DN54" i="18"/>
  <c r="DN58" i="18"/>
  <c r="DO48" i="18"/>
  <c r="DO49" i="18"/>
  <c r="DO50" i="18"/>
  <c r="DO52" i="18"/>
  <c r="DO53" i="18"/>
  <c r="DO54" i="18"/>
  <c r="DO58" i="18"/>
  <c r="DP48" i="18"/>
  <c r="DP49" i="18"/>
  <c r="DP50" i="18"/>
  <c r="DP52" i="18"/>
  <c r="DP53" i="18"/>
  <c r="DP54" i="18"/>
  <c r="DP58" i="18"/>
  <c r="DQ48" i="18"/>
  <c r="DQ49" i="18"/>
  <c r="DQ50" i="18"/>
  <c r="DQ52" i="18"/>
  <c r="DQ53" i="18"/>
  <c r="DQ54" i="18"/>
  <c r="DQ58" i="18"/>
  <c r="DR48" i="18"/>
  <c r="DR49" i="18"/>
  <c r="DR50" i="18"/>
  <c r="DR52" i="18"/>
  <c r="DR53" i="18"/>
  <c r="DR54" i="18"/>
  <c r="DR58" i="18"/>
  <c r="L152" i="23"/>
  <c r="M152" i="23" s="1"/>
  <c r="AQ152" i="23" s="1"/>
  <c r="L153" i="23"/>
  <c r="M153" i="23" s="1"/>
  <c r="AQ153" i="23" s="1"/>
  <c r="L154" i="23"/>
  <c r="L155" i="23"/>
  <c r="M155" i="23" s="1"/>
  <c r="L157" i="23"/>
  <c r="M157" i="23" s="1"/>
  <c r="AQ157" i="23" s="1"/>
  <c r="L158" i="23"/>
  <c r="M158" i="23" s="1"/>
  <c r="L160" i="23"/>
  <c r="L161" i="23"/>
  <c r="M161" i="23" s="1"/>
  <c r="AQ161" i="23" s="1"/>
  <c r="L164" i="23"/>
  <c r="M164" i="23" s="1"/>
  <c r="AQ164" i="23" s="1"/>
  <c r="L165" i="23"/>
  <c r="M165" i="23" s="1"/>
  <c r="AQ165" i="23" s="1"/>
  <c r="L166" i="23"/>
  <c r="L167" i="23"/>
  <c r="M167" i="23" s="1"/>
  <c r="AQ167" i="23" s="1"/>
  <c r="L169" i="23"/>
  <c r="M169" i="23" s="1"/>
  <c r="AQ169" i="23" s="1"/>
  <c r="L170" i="23"/>
  <c r="M170" i="23" s="1"/>
  <c r="AQ170" i="23" s="1"/>
  <c r="L171" i="23"/>
  <c r="L172" i="23"/>
  <c r="M172" i="23" s="1"/>
  <c r="L173" i="23"/>
  <c r="M173" i="23" s="1"/>
  <c r="AQ173" i="23" s="1"/>
  <c r="L174" i="23"/>
  <c r="M174" i="23" s="1"/>
  <c r="AQ174" i="23" s="1"/>
  <c r="L175" i="23"/>
  <c r="M175" i="23" s="1"/>
  <c r="AQ175" i="23" s="1"/>
  <c r="L176" i="23"/>
  <c r="M176" i="23" s="1"/>
  <c r="AQ176" i="23" s="1"/>
  <c r="L177" i="23"/>
  <c r="M177" i="23" s="1"/>
  <c r="AQ177" i="23" s="1"/>
  <c r="L179" i="23"/>
  <c r="M179" i="23" s="1"/>
  <c r="AQ179" i="23" s="1"/>
  <c r="L180" i="23"/>
  <c r="M180" i="23" s="1"/>
  <c r="L194" i="23"/>
  <c r="M194" i="23" s="1"/>
  <c r="AQ194" i="23" s="1"/>
  <c r="L195" i="23"/>
  <c r="M195" i="23" s="1"/>
  <c r="AQ195" i="23" s="1"/>
  <c r="AB152" i="23"/>
  <c r="U152" i="23"/>
  <c r="T152" i="23"/>
  <c r="S152" i="23"/>
  <c r="R152" i="23"/>
  <c r="AB153" i="23"/>
  <c r="U153" i="23"/>
  <c r="T153" i="23"/>
  <c r="S153" i="23"/>
  <c r="R153" i="23"/>
  <c r="AB154" i="23"/>
  <c r="U154" i="23"/>
  <c r="T154" i="23"/>
  <c r="S154" i="23"/>
  <c r="R154" i="23"/>
  <c r="AB155" i="23"/>
  <c r="U155" i="23"/>
  <c r="T155" i="23"/>
  <c r="S155" i="23"/>
  <c r="R155" i="23"/>
  <c r="AB157" i="23"/>
  <c r="U157" i="23"/>
  <c r="T157" i="23"/>
  <c r="S157" i="23"/>
  <c r="R157" i="23"/>
  <c r="AB158" i="23"/>
  <c r="U158" i="23"/>
  <c r="T158" i="23"/>
  <c r="S158" i="23"/>
  <c r="R158" i="23"/>
  <c r="AB160" i="23"/>
  <c r="U160" i="23"/>
  <c r="T160" i="23"/>
  <c r="S160" i="23"/>
  <c r="R160" i="23"/>
  <c r="AE161" i="23"/>
  <c r="AB161" i="23"/>
  <c r="U161" i="23"/>
  <c r="T161" i="23"/>
  <c r="S161" i="23"/>
  <c r="R161" i="23"/>
  <c r="AB164" i="23"/>
  <c r="U164" i="23"/>
  <c r="T164" i="23"/>
  <c r="S164" i="23"/>
  <c r="R164" i="23"/>
  <c r="AB165" i="23"/>
  <c r="U165" i="23"/>
  <c r="T165" i="23"/>
  <c r="S165" i="23"/>
  <c r="R165" i="23"/>
  <c r="AB166" i="23"/>
  <c r="U166" i="23"/>
  <c r="T166" i="23"/>
  <c r="S166" i="23"/>
  <c r="R166" i="23"/>
  <c r="AE167" i="23"/>
  <c r="AB167" i="23"/>
  <c r="U167" i="23"/>
  <c r="T167" i="23"/>
  <c r="S167" i="23"/>
  <c r="R167" i="23"/>
  <c r="AE169" i="23"/>
  <c r="AB169" i="23"/>
  <c r="U169" i="23"/>
  <c r="T169" i="23"/>
  <c r="S169" i="23"/>
  <c r="R169" i="23"/>
  <c r="AE170" i="23"/>
  <c r="AB170" i="23"/>
  <c r="U170" i="23"/>
  <c r="T170" i="23"/>
  <c r="S170" i="23"/>
  <c r="R170" i="23"/>
  <c r="AE171" i="23"/>
  <c r="AB171" i="23"/>
  <c r="U171" i="23"/>
  <c r="T171" i="23"/>
  <c r="S171" i="23"/>
  <c r="R171" i="23"/>
  <c r="AB172" i="23"/>
  <c r="U172" i="23"/>
  <c r="T172" i="23"/>
  <c r="S172" i="23"/>
  <c r="R172" i="23"/>
  <c r="AE173" i="23"/>
  <c r="AB173" i="23"/>
  <c r="U173" i="23"/>
  <c r="T173" i="23"/>
  <c r="S173" i="23"/>
  <c r="R173" i="23"/>
  <c r="AB174" i="23"/>
  <c r="U174" i="23"/>
  <c r="T174" i="23"/>
  <c r="S174" i="23"/>
  <c r="R174" i="23"/>
  <c r="AB175" i="23"/>
  <c r="U175" i="23"/>
  <c r="T175" i="23"/>
  <c r="S175" i="23"/>
  <c r="R175" i="23"/>
  <c r="AB176" i="23"/>
  <c r="U176" i="23"/>
  <c r="T176" i="23"/>
  <c r="S176" i="23"/>
  <c r="R176" i="23"/>
  <c r="AE177" i="23"/>
  <c r="AB177" i="23"/>
  <c r="U177" i="23"/>
  <c r="T177" i="23"/>
  <c r="S177" i="23"/>
  <c r="R177" i="23"/>
  <c r="AB179" i="23"/>
  <c r="U179" i="23"/>
  <c r="T179" i="23"/>
  <c r="S179" i="23"/>
  <c r="R179" i="23"/>
  <c r="AB180" i="23"/>
  <c r="U180" i="23"/>
  <c r="T180" i="23"/>
  <c r="S180" i="23"/>
  <c r="R180" i="23"/>
  <c r="AB194" i="23"/>
  <c r="AB196" i="23" s="1"/>
  <c r="U194" i="23"/>
  <c r="T194" i="23"/>
  <c r="S194" i="23"/>
  <c r="R194" i="23"/>
  <c r="R196" i="23" s="1"/>
  <c r="AB195" i="23"/>
  <c r="U195" i="23"/>
  <c r="T195" i="23"/>
  <c r="S195" i="23"/>
  <c r="R195" i="23"/>
  <c r="AM152" i="23"/>
  <c r="AN152" i="23" s="1"/>
  <c r="AS152" i="23" s="1"/>
  <c r="AM153" i="23"/>
  <c r="AN153" i="23" s="1"/>
  <c r="AS153" i="23" s="1"/>
  <c r="AM154" i="23"/>
  <c r="AM155" i="23"/>
  <c r="AN155" i="23" s="1"/>
  <c r="AS155" i="23" s="1"/>
  <c r="AM157" i="23"/>
  <c r="AN157" i="23" s="1"/>
  <c r="AS157" i="23" s="1"/>
  <c r="AM158" i="23"/>
  <c r="AN158" i="23" s="1"/>
  <c r="AS158" i="23" s="1"/>
  <c r="AM160" i="23"/>
  <c r="AN160" i="23" s="1"/>
  <c r="AM161" i="23"/>
  <c r="AN161" i="23" s="1"/>
  <c r="AS161" i="23" s="1"/>
  <c r="AM164" i="23"/>
  <c r="AN164" i="23" s="1"/>
  <c r="AS164" i="23" s="1"/>
  <c r="AM165" i="23"/>
  <c r="AN165" i="23" s="1"/>
  <c r="AM166" i="23"/>
  <c r="AM167" i="23"/>
  <c r="AN167" i="23" s="1"/>
  <c r="AS167" i="23" s="1"/>
  <c r="AM169" i="23"/>
  <c r="AN169" i="23" s="1"/>
  <c r="AS169" i="23" s="1"/>
  <c r="AM170" i="23"/>
  <c r="AN170" i="23" s="1"/>
  <c r="AM171" i="23"/>
  <c r="AM172" i="23"/>
  <c r="AN172" i="23" s="1"/>
  <c r="AS172" i="23" s="1"/>
  <c r="AM173" i="23"/>
  <c r="AN173" i="23" s="1"/>
  <c r="AS173" i="23" s="1"/>
  <c r="AM174" i="23"/>
  <c r="AN174" i="23" s="1"/>
  <c r="AS174" i="23" s="1"/>
  <c r="AM175" i="23"/>
  <c r="AN175" i="23" s="1"/>
  <c r="AS175" i="23" s="1"/>
  <c r="AM176" i="23"/>
  <c r="AN176" i="23" s="1"/>
  <c r="AS176" i="23" s="1"/>
  <c r="AM177" i="23"/>
  <c r="AN177" i="23" s="1"/>
  <c r="AS177" i="23" s="1"/>
  <c r="AM179" i="23"/>
  <c r="AN179" i="23" s="1"/>
  <c r="AM180" i="23"/>
  <c r="AM194" i="23"/>
  <c r="AN194" i="23" s="1"/>
  <c r="AS194" i="23" s="1"/>
  <c r="AM195" i="23"/>
  <c r="AN195" i="23" s="1"/>
  <c r="DY48" i="18"/>
  <c r="DY49" i="18"/>
  <c r="DY50" i="18"/>
  <c r="DY52" i="18"/>
  <c r="DY53" i="18"/>
  <c r="DY54" i="18"/>
  <c r="DY58" i="18"/>
  <c r="DZ48" i="18"/>
  <c r="DZ49" i="18"/>
  <c r="DZ50" i="18"/>
  <c r="DZ52" i="18"/>
  <c r="DZ53" i="18"/>
  <c r="DZ54" i="18"/>
  <c r="DZ58" i="18"/>
  <c r="EA48" i="18"/>
  <c r="EA49" i="18"/>
  <c r="EA50" i="18"/>
  <c r="EA52" i="18"/>
  <c r="EA53" i="18"/>
  <c r="EA54" i="18"/>
  <c r="EA58" i="18"/>
  <c r="EB48" i="18"/>
  <c r="EB49" i="18"/>
  <c r="EB50" i="18"/>
  <c r="EB52" i="18"/>
  <c r="EB53" i="18"/>
  <c r="EB54" i="18"/>
  <c r="EB58" i="18"/>
  <c r="EC48" i="18"/>
  <c r="EC49" i="18"/>
  <c r="EC50" i="18"/>
  <c r="EC52" i="18"/>
  <c r="EC53" i="18"/>
  <c r="EC54" i="18"/>
  <c r="EC58" i="18"/>
  <c r="ED48" i="18"/>
  <c r="ED49" i="18"/>
  <c r="ED50" i="18"/>
  <c r="ED52" i="18"/>
  <c r="ED53" i="18"/>
  <c r="ED54" i="18"/>
  <c r="ED58" i="18"/>
  <c r="EE48" i="18"/>
  <c r="EE49" i="18"/>
  <c r="EE50" i="18"/>
  <c r="EE52" i="18"/>
  <c r="EE53" i="18"/>
  <c r="EE54" i="18"/>
  <c r="EE58" i="18"/>
  <c r="C47" i="18"/>
  <c r="E48" i="18"/>
  <c r="F48" i="18"/>
  <c r="G48" i="18"/>
  <c r="E49" i="18"/>
  <c r="F49" i="18"/>
  <c r="G49" i="18"/>
  <c r="E50" i="18"/>
  <c r="F50" i="18"/>
  <c r="G50" i="18"/>
  <c r="C51" i="18"/>
  <c r="E52" i="18"/>
  <c r="F52" i="18"/>
  <c r="G52" i="18"/>
  <c r="E53" i="18"/>
  <c r="F53" i="18"/>
  <c r="G53" i="18"/>
  <c r="E54" i="18"/>
  <c r="F54" i="18"/>
  <c r="G54" i="18"/>
  <c r="C55" i="18"/>
  <c r="E56" i="18"/>
  <c r="F56" i="18"/>
  <c r="G56" i="18"/>
  <c r="L183" i="1"/>
  <c r="M183" i="1" s="1"/>
  <c r="AQ183" i="1" s="1"/>
  <c r="L185" i="1"/>
  <c r="M185" i="1" s="1"/>
  <c r="L186" i="1"/>
  <c r="M186" i="1" s="1"/>
  <c r="AQ186" i="1" s="1"/>
  <c r="L187" i="1"/>
  <c r="M187" i="1" s="1"/>
  <c r="AQ187" i="1" s="1"/>
  <c r="L189" i="1"/>
  <c r="M189" i="1" s="1"/>
  <c r="AQ189" i="1" s="1"/>
  <c r="AB183" i="1"/>
  <c r="Y183" i="1"/>
  <c r="U183" i="1"/>
  <c r="T183" i="1"/>
  <c r="S183" i="1"/>
  <c r="R183" i="1"/>
  <c r="AB185" i="1"/>
  <c r="Y185" i="1"/>
  <c r="U185" i="1"/>
  <c r="T185" i="1"/>
  <c r="S185" i="1"/>
  <c r="R185" i="1"/>
  <c r="AB186" i="1"/>
  <c r="Y186" i="1"/>
  <c r="U186" i="1"/>
  <c r="T186" i="1"/>
  <c r="S186" i="1"/>
  <c r="R186" i="1"/>
  <c r="AB187" i="1"/>
  <c r="Y187" i="1"/>
  <c r="U187" i="1"/>
  <c r="T187" i="1"/>
  <c r="S187" i="1"/>
  <c r="R187" i="1"/>
  <c r="AB189" i="1"/>
  <c r="Y189" i="1"/>
  <c r="U189" i="1"/>
  <c r="T189" i="1"/>
  <c r="S189" i="1"/>
  <c r="R189" i="1"/>
  <c r="AM183" i="1"/>
  <c r="AN183" i="1" s="1"/>
  <c r="AS183" i="1" s="1"/>
  <c r="AM185" i="1"/>
  <c r="AN185" i="1" s="1"/>
  <c r="AS185" i="1" s="1"/>
  <c r="AM186" i="1"/>
  <c r="AN186" i="1" s="1"/>
  <c r="AS186" i="1" s="1"/>
  <c r="AM187" i="1"/>
  <c r="AN187" i="1" s="1"/>
  <c r="AS187" i="1" s="1"/>
  <c r="AM189" i="1"/>
  <c r="AN189" i="1" s="1"/>
  <c r="AS189" i="1" s="1"/>
  <c r="L183" i="12"/>
  <c r="M183" i="12" s="1"/>
  <c r="L185" i="12"/>
  <c r="M185" i="12" s="1"/>
  <c r="AQ185" i="12" s="1"/>
  <c r="L186" i="12"/>
  <c r="M186" i="12" s="1"/>
  <c r="L187" i="12"/>
  <c r="M187" i="12" s="1"/>
  <c r="AQ187" i="12" s="1"/>
  <c r="L189" i="12"/>
  <c r="M189" i="12" s="1"/>
  <c r="AB183" i="12"/>
  <c r="Y183" i="12"/>
  <c r="U183" i="12"/>
  <c r="T183" i="12"/>
  <c r="S183" i="12"/>
  <c r="R183" i="12"/>
  <c r="AB185" i="12"/>
  <c r="Y185" i="12"/>
  <c r="U185" i="12"/>
  <c r="T185" i="12"/>
  <c r="S185" i="12"/>
  <c r="R185" i="12"/>
  <c r="AB186" i="12"/>
  <c r="Y186" i="12"/>
  <c r="U186" i="12"/>
  <c r="T186" i="12"/>
  <c r="S186" i="12"/>
  <c r="R186" i="12"/>
  <c r="AB187" i="12"/>
  <c r="Y187" i="12"/>
  <c r="U187" i="12"/>
  <c r="T187" i="12"/>
  <c r="S187" i="12"/>
  <c r="R187" i="12"/>
  <c r="AB189" i="12"/>
  <c r="Y189" i="12"/>
  <c r="U189" i="12"/>
  <c r="T189" i="12"/>
  <c r="S189" i="12"/>
  <c r="R189" i="12"/>
  <c r="AM183" i="12"/>
  <c r="AN183" i="12" s="1"/>
  <c r="AM185" i="12"/>
  <c r="AN185" i="12" s="1"/>
  <c r="AS185" i="12" s="1"/>
  <c r="AM186" i="12"/>
  <c r="AN186" i="12" s="1"/>
  <c r="AM187" i="12"/>
  <c r="AN187" i="12" s="1"/>
  <c r="AS187" i="12" s="1"/>
  <c r="AM189" i="12"/>
  <c r="AN189" i="12" s="1"/>
  <c r="L183" i="13"/>
  <c r="M183" i="13" s="1"/>
  <c r="AQ183" i="13" s="1"/>
  <c r="L185" i="13"/>
  <c r="M185" i="13" s="1"/>
  <c r="AQ185" i="13" s="1"/>
  <c r="L186" i="13"/>
  <c r="M186" i="13" s="1"/>
  <c r="AQ186" i="13" s="1"/>
  <c r="L187" i="13"/>
  <c r="M187" i="13" s="1"/>
  <c r="AQ187" i="13" s="1"/>
  <c r="L189" i="13"/>
  <c r="M189" i="13" s="1"/>
  <c r="AQ189" i="13" s="1"/>
  <c r="AB183" i="13"/>
  <c r="Y183" i="13"/>
  <c r="U183" i="13"/>
  <c r="T183" i="13"/>
  <c r="S183" i="13"/>
  <c r="R183" i="13"/>
  <c r="AB185" i="13"/>
  <c r="Y185" i="13"/>
  <c r="U185" i="13"/>
  <c r="T185" i="13"/>
  <c r="S185" i="13"/>
  <c r="R185" i="13"/>
  <c r="AB186" i="13"/>
  <c r="Y186" i="13"/>
  <c r="U186" i="13"/>
  <c r="T186" i="13"/>
  <c r="S186" i="13"/>
  <c r="R186" i="13"/>
  <c r="AB187" i="13"/>
  <c r="Y187" i="13"/>
  <c r="U187" i="13"/>
  <c r="T187" i="13"/>
  <c r="S187" i="13"/>
  <c r="R187" i="13"/>
  <c r="AB189" i="13"/>
  <c r="Y189" i="13"/>
  <c r="U189" i="13"/>
  <c r="T189" i="13"/>
  <c r="S189" i="13"/>
  <c r="R189" i="13"/>
  <c r="AM183" i="13"/>
  <c r="AN183" i="13" s="1"/>
  <c r="AS183" i="13" s="1"/>
  <c r="AM185" i="13"/>
  <c r="AN185" i="13" s="1"/>
  <c r="AM186" i="13"/>
  <c r="AN186" i="13" s="1"/>
  <c r="AS186" i="13" s="1"/>
  <c r="AM187" i="13"/>
  <c r="AN187" i="13" s="1"/>
  <c r="AS187" i="13" s="1"/>
  <c r="AM189" i="13"/>
  <c r="AN189" i="13" s="1"/>
  <c r="AS189" i="13" s="1"/>
  <c r="L183" i="14"/>
  <c r="M183" i="14" s="1"/>
  <c r="L185" i="14"/>
  <c r="M185" i="14" s="1"/>
  <c r="AQ185" i="14" s="1"/>
  <c r="L186" i="14"/>
  <c r="M186" i="14" s="1"/>
  <c r="AQ186" i="14" s="1"/>
  <c r="L187" i="14"/>
  <c r="M187" i="14" s="1"/>
  <c r="AQ187" i="14" s="1"/>
  <c r="L189" i="14"/>
  <c r="M189" i="14" s="1"/>
  <c r="AQ189" i="14" s="1"/>
  <c r="AB183" i="14"/>
  <c r="Y183" i="14"/>
  <c r="U183" i="14"/>
  <c r="T183" i="14"/>
  <c r="S183" i="14"/>
  <c r="R183" i="14"/>
  <c r="AB185" i="14"/>
  <c r="Y185" i="14"/>
  <c r="U185" i="14"/>
  <c r="T185" i="14"/>
  <c r="S185" i="14"/>
  <c r="R185" i="14"/>
  <c r="AB186" i="14"/>
  <c r="Y186" i="14"/>
  <c r="U186" i="14"/>
  <c r="T186" i="14"/>
  <c r="S186" i="14"/>
  <c r="R186" i="14"/>
  <c r="AB187" i="14"/>
  <c r="Y187" i="14"/>
  <c r="U187" i="14"/>
  <c r="T187" i="14"/>
  <c r="S187" i="14"/>
  <c r="R187" i="14"/>
  <c r="AB189" i="14"/>
  <c r="Y189" i="14"/>
  <c r="U189" i="14"/>
  <c r="T189" i="14"/>
  <c r="S189" i="14"/>
  <c r="R189" i="14"/>
  <c r="AM183" i="14"/>
  <c r="AN183" i="14" s="1"/>
  <c r="AM185" i="14"/>
  <c r="AN185" i="14" s="1"/>
  <c r="AS185" i="14" s="1"/>
  <c r="AM186" i="14"/>
  <c r="AN186" i="14" s="1"/>
  <c r="AS186" i="14" s="1"/>
  <c r="AM187" i="14"/>
  <c r="AN187" i="14" s="1"/>
  <c r="AS187" i="14" s="1"/>
  <c r="AM189" i="14"/>
  <c r="AN189" i="14" s="1"/>
  <c r="AS189" i="14" s="1"/>
  <c r="L183" i="15"/>
  <c r="M183" i="15" s="1"/>
  <c r="AQ183" i="15" s="1"/>
  <c r="L185" i="15"/>
  <c r="M185" i="15" s="1"/>
  <c r="AQ185" i="15" s="1"/>
  <c r="L186" i="15"/>
  <c r="M186" i="15" s="1"/>
  <c r="AQ186" i="15" s="1"/>
  <c r="L187" i="15"/>
  <c r="M187" i="15" s="1"/>
  <c r="AQ187" i="15" s="1"/>
  <c r="L189" i="15"/>
  <c r="M189" i="15" s="1"/>
  <c r="AQ189" i="15" s="1"/>
  <c r="AB183" i="15"/>
  <c r="Y183" i="15"/>
  <c r="U183" i="15"/>
  <c r="T183" i="15"/>
  <c r="S183" i="15"/>
  <c r="R183" i="15"/>
  <c r="AB185" i="15"/>
  <c r="Y185" i="15"/>
  <c r="U185" i="15"/>
  <c r="T185" i="15"/>
  <c r="S185" i="15"/>
  <c r="R185" i="15"/>
  <c r="AB186" i="15"/>
  <c r="Y186" i="15"/>
  <c r="U186" i="15"/>
  <c r="T186" i="15"/>
  <c r="S186" i="15"/>
  <c r="R186" i="15"/>
  <c r="AB187" i="15"/>
  <c r="Y187" i="15"/>
  <c r="U187" i="15"/>
  <c r="T187" i="15"/>
  <c r="S187" i="15"/>
  <c r="R187" i="15"/>
  <c r="AB189" i="15"/>
  <c r="Y189" i="15"/>
  <c r="U189" i="15"/>
  <c r="T189" i="15"/>
  <c r="S189" i="15"/>
  <c r="R189" i="15"/>
  <c r="AM183" i="15"/>
  <c r="AN183" i="15" s="1"/>
  <c r="AS183" i="15" s="1"/>
  <c r="AM185" i="15"/>
  <c r="AN185" i="15" s="1"/>
  <c r="AS185" i="15" s="1"/>
  <c r="AM186" i="15"/>
  <c r="AN186" i="15" s="1"/>
  <c r="AM187" i="15"/>
  <c r="AN187" i="15" s="1"/>
  <c r="AS187" i="15" s="1"/>
  <c r="AM189" i="15"/>
  <c r="AN189" i="15" s="1"/>
  <c r="AS189" i="15" s="1"/>
  <c r="L183" i="16"/>
  <c r="M183" i="16" s="1"/>
  <c r="AQ183" i="16" s="1"/>
  <c r="L185" i="16"/>
  <c r="M185" i="16" s="1"/>
  <c r="AQ185" i="16" s="1"/>
  <c r="L186" i="16"/>
  <c r="M186" i="16" s="1"/>
  <c r="AQ186" i="16" s="1"/>
  <c r="L187" i="16"/>
  <c r="M187" i="16" s="1"/>
  <c r="AQ187" i="16" s="1"/>
  <c r="L189" i="16"/>
  <c r="M189" i="16" s="1"/>
  <c r="AQ189" i="16" s="1"/>
  <c r="AB183" i="16"/>
  <c r="Y183" i="16"/>
  <c r="U183" i="16"/>
  <c r="T183" i="16"/>
  <c r="S183" i="16"/>
  <c r="R183" i="16"/>
  <c r="AB185" i="16"/>
  <c r="Y185" i="16"/>
  <c r="U185" i="16"/>
  <c r="T185" i="16"/>
  <c r="S185" i="16"/>
  <c r="R185" i="16"/>
  <c r="AB186" i="16"/>
  <c r="Y186" i="16"/>
  <c r="U186" i="16"/>
  <c r="T186" i="16"/>
  <c r="S186" i="16"/>
  <c r="R186" i="16"/>
  <c r="AB187" i="16"/>
  <c r="Y187" i="16"/>
  <c r="U187" i="16"/>
  <c r="T187" i="16"/>
  <c r="S187" i="16"/>
  <c r="R187" i="16"/>
  <c r="AB189" i="16"/>
  <c r="Y189" i="16"/>
  <c r="U189" i="16"/>
  <c r="T189" i="16"/>
  <c r="S189" i="16"/>
  <c r="R189" i="16"/>
  <c r="AM183" i="16"/>
  <c r="AN183" i="16" s="1"/>
  <c r="AS183" i="16" s="1"/>
  <c r="AM185" i="16"/>
  <c r="AM186" i="16"/>
  <c r="AN186" i="16" s="1"/>
  <c r="AM187" i="16"/>
  <c r="AN187" i="16" s="1"/>
  <c r="AS187" i="16" s="1"/>
  <c r="AM189" i="16"/>
  <c r="AN189" i="16" s="1"/>
  <c r="AS189" i="16" s="1"/>
  <c r="L183" i="17"/>
  <c r="L185" i="17"/>
  <c r="M185" i="17" s="1"/>
  <c r="L186" i="17"/>
  <c r="M186" i="17" s="1"/>
  <c r="AQ186" i="17" s="1"/>
  <c r="L187" i="17"/>
  <c r="M187" i="17" s="1"/>
  <c r="AQ187" i="17" s="1"/>
  <c r="L189" i="17"/>
  <c r="M189" i="17" s="1"/>
  <c r="AQ189" i="17" s="1"/>
  <c r="AB183" i="17"/>
  <c r="Y183" i="17"/>
  <c r="U183" i="17"/>
  <c r="T183" i="17"/>
  <c r="S183" i="17"/>
  <c r="R183" i="17"/>
  <c r="AB185" i="17"/>
  <c r="Y185" i="17"/>
  <c r="U185" i="17"/>
  <c r="T185" i="17"/>
  <c r="S185" i="17"/>
  <c r="R185" i="17"/>
  <c r="AB186" i="17"/>
  <c r="Y186" i="17"/>
  <c r="U186" i="17"/>
  <c r="T186" i="17"/>
  <c r="S186" i="17"/>
  <c r="R186" i="17"/>
  <c r="AB187" i="17"/>
  <c r="Y187" i="17"/>
  <c r="U187" i="17"/>
  <c r="T187" i="17"/>
  <c r="S187" i="17"/>
  <c r="R187" i="17"/>
  <c r="AB189" i="17"/>
  <c r="Y189" i="17"/>
  <c r="U189" i="17"/>
  <c r="T189" i="17"/>
  <c r="S189" i="17"/>
  <c r="R189" i="17"/>
  <c r="AM183" i="17"/>
  <c r="AN183" i="17" s="1"/>
  <c r="AS183" i="17" s="1"/>
  <c r="AM185" i="17"/>
  <c r="AN185" i="17" s="1"/>
  <c r="AS185" i="17" s="1"/>
  <c r="AM186" i="17"/>
  <c r="AN186" i="17" s="1"/>
  <c r="AS186" i="17" s="1"/>
  <c r="AM187" i="17"/>
  <c r="AN187" i="17" s="1"/>
  <c r="AM189" i="17"/>
  <c r="AN189" i="17" s="1"/>
  <c r="AS189" i="17" s="1"/>
  <c r="L183" i="22"/>
  <c r="M183" i="22" s="1"/>
  <c r="AQ183" i="22" s="1"/>
  <c r="L185" i="22"/>
  <c r="M185" i="22" s="1"/>
  <c r="AQ185" i="22" s="1"/>
  <c r="L186" i="22"/>
  <c r="M186" i="22" s="1"/>
  <c r="AQ186" i="22" s="1"/>
  <c r="L187" i="22"/>
  <c r="M187" i="22" s="1"/>
  <c r="L189" i="22"/>
  <c r="M189" i="22" s="1"/>
  <c r="AQ189" i="22" s="1"/>
  <c r="AB183" i="22"/>
  <c r="U183" i="22"/>
  <c r="T183" i="22"/>
  <c r="S183" i="22"/>
  <c r="R183" i="22"/>
  <c r="AB185" i="22"/>
  <c r="U185" i="22"/>
  <c r="T185" i="22"/>
  <c r="S185" i="22"/>
  <c r="R185" i="22"/>
  <c r="AB186" i="22"/>
  <c r="U186" i="22"/>
  <c r="T186" i="22"/>
  <c r="S186" i="22"/>
  <c r="R186" i="22"/>
  <c r="AB187" i="22"/>
  <c r="U187" i="22"/>
  <c r="T187" i="22"/>
  <c r="S187" i="22"/>
  <c r="R187" i="22"/>
  <c r="AB189" i="22"/>
  <c r="U189" i="22"/>
  <c r="T189" i="22"/>
  <c r="S189" i="22"/>
  <c r="R189" i="22"/>
  <c r="AM183" i="22"/>
  <c r="AN183" i="22" s="1"/>
  <c r="AS183" i="22" s="1"/>
  <c r="AM185" i="22"/>
  <c r="AM186" i="22"/>
  <c r="AN186" i="22" s="1"/>
  <c r="AS186" i="22" s="1"/>
  <c r="AM187" i="22"/>
  <c r="AN187" i="22" s="1"/>
  <c r="AS187" i="22" s="1"/>
  <c r="AM189" i="22"/>
  <c r="AN189" i="22" s="1"/>
  <c r="AS189" i="22" s="1"/>
  <c r="L183" i="23"/>
  <c r="L185" i="23"/>
  <c r="M185" i="23" s="1"/>
  <c r="AQ185" i="23" s="1"/>
  <c r="L186" i="23"/>
  <c r="M186" i="23" s="1"/>
  <c r="AQ186" i="23" s="1"/>
  <c r="L187" i="23"/>
  <c r="M187" i="23" s="1"/>
  <c r="AQ187" i="23" s="1"/>
  <c r="L189" i="23"/>
  <c r="M189" i="23" s="1"/>
  <c r="AQ189" i="23" s="1"/>
  <c r="AB183" i="23"/>
  <c r="U183" i="23"/>
  <c r="T183" i="23"/>
  <c r="S183" i="23"/>
  <c r="R183" i="23"/>
  <c r="AB185" i="23"/>
  <c r="U185" i="23"/>
  <c r="T185" i="23"/>
  <c r="S185" i="23"/>
  <c r="R185" i="23"/>
  <c r="AB186" i="23"/>
  <c r="U186" i="23"/>
  <c r="T186" i="23"/>
  <c r="S186" i="23"/>
  <c r="R186" i="23"/>
  <c r="AB187" i="23"/>
  <c r="U187" i="23"/>
  <c r="T187" i="23"/>
  <c r="S187" i="23"/>
  <c r="R187" i="23"/>
  <c r="AB189" i="23"/>
  <c r="U189" i="23"/>
  <c r="T189" i="23"/>
  <c r="S189" i="23"/>
  <c r="R189" i="23"/>
  <c r="AM183" i="23"/>
  <c r="AN183" i="23" s="1"/>
  <c r="AS183" i="23" s="1"/>
  <c r="AM185" i="23"/>
  <c r="AN185" i="23" s="1"/>
  <c r="AS185" i="23" s="1"/>
  <c r="AM186" i="23"/>
  <c r="AN186" i="23" s="1"/>
  <c r="AS186" i="23" s="1"/>
  <c r="AM187" i="23"/>
  <c r="AN187" i="23" s="1"/>
  <c r="AS187" i="23" s="1"/>
  <c r="AM189" i="23"/>
  <c r="AN189" i="23" s="1"/>
  <c r="AS189" i="23" s="1"/>
  <c r="E57" i="18"/>
  <c r="F57" i="18"/>
  <c r="G57" i="18"/>
  <c r="L191" i="1"/>
  <c r="L192" i="1"/>
  <c r="M192" i="1" s="1"/>
  <c r="AQ192" i="1" s="1"/>
  <c r="AB191" i="1"/>
  <c r="Y191" i="1"/>
  <c r="U191" i="1"/>
  <c r="T191" i="1"/>
  <c r="S191" i="1"/>
  <c r="R191" i="1"/>
  <c r="AB192" i="1"/>
  <c r="Y192" i="1"/>
  <c r="U192" i="1"/>
  <c r="T192" i="1"/>
  <c r="S192" i="1"/>
  <c r="R192" i="1"/>
  <c r="AM191" i="1"/>
  <c r="AN191" i="1" s="1"/>
  <c r="AM192" i="1"/>
  <c r="AN192" i="1" s="1"/>
  <c r="AS192" i="1" s="1"/>
  <c r="L191" i="12"/>
  <c r="M191" i="12" s="1"/>
  <c r="L192" i="12"/>
  <c r="M192" i="12" s="1"/>
  <c r="AB191" i="12"/>
  <c r="Y191" i="12"/>
  <c r="U191" i="12"/>
  <c r="T191" i="12"/>
  <c r="S191" i="12"/>
  <c r="R191" i="12"/>
  <c r="AB192" i="12"/>
  <c r="Y192" i="12"/>
  <c r="U192" i="12"/>
  <c r="T192" i="12"/>
  <c r="S192" i="12"/>
  <c r="R192" i="12"/>
  <c r="AM191" i="12"/>
  <c r="AN191" i="12" s="1"/>
  <c r="AM192" i="12"/>
  <c r="AN192" i="12" s="1"/>
  <c r="AS192" i="12" s="1"/>
  <c r="Y57" i="18"/>
  <c r="Z57" i="18"/>
  <c r="AA57" i="18"/>
  <c r="AB57" i="18"/>
  <c r="AC57" i="18"/>
  <c r="AD57" i="18"/>
  <c r="AE57" i="18"/>
  <c r="L191" i="13"/>
  <c r="M191" i="13" s="1"/>
  <c r="AQ191" i="13" s="1"/>
  <c r="L192" i="13"/>
  <c r="M192" i="13" s="1"/>
  <c r="AQ192" i="13" s="1"/>
  <c r="AB191" i="13"/>
  <c r="Y191" i="13"/>
  <c r="U191" i="13"/>
  <c r="T191" i="13"/>
  <c r="S191" i="13"/>
  <c r="R191" i="13"/>
  <c r="AB192" i="13"/>
  <c r="Y192" i="13"/>
  <c r="U192" i="13"/>
  <c r="T192" i="13"/>
  <c r="S192" i="13"/>
  <c r="R192" i="13"/>
  <c r="AM191" i="13"/>
  <c r="AN191" i="13" s="1"/>
  <c r="AS191" i="13" s="1"/>
  <c r="AM192" i="13"/>
  <c r="AN192" i="13" s="1"/>
  <c r="AS192" i="13" s="1"/>
  <c r="AL57" i="18"/>
  <c r="AM57" i="18"/>
  <c r="AN57" i="18"/>
  <c r="AO57" i="18"/>
  <c r="AP57" i="18"/>
  <c r="AQ57" i="18"/>
  <c r="AR57" i="18"/>
  <c r="L191" i="14"/>
  <c r="M191" i="14" s="1"/>
  <c r="L192" i="14"/>
  <c r="M192" i="14" s="1"/>
  <c r="AQ192" i="14" s="1"/>
  <c r="AB191" i="14"/>
  <c r="Y191" i="14"/>
  <c r="U191" i="14"/>
  <c r="T191" i="14"/>
  <c r="S191" i="14"/>
  <c r="R191" i="14"/>
  <c r="AB192" i="14"/>
  <c r="Y192" i="14"/>
  <c r="U192" i="14"/>
  <c r="T192" i="14"/>
  <c r="S192" i="14"/>
  <c r="R192" i="14"/>
  <c r="AM191" i="14"/>
  <c r="AN191" i="14" s="1"/>
  <c r="AM192" i="14"/>
  <c r="AN192" i="14" s="1"/>
  <c r="AS192" i="14" s="1"/>
  <c r="AY57" i="18"/>
  <c r="AZ57" i="18"/>
  <c r="BA57" i="18"/>
  <c r="BB57" i="18"/>
  <c r="BC57" i="18"/>
  <c r="BD57" i="18"/>
  <c r="BE57" i="18"/>
  <c r="L191" i="15"/>
  <c r="M191" i="15" s="1"/>
  <c r="AQ191" i="15" s="1"/>
  <c r="L192" i="15"/>
  <c r="M192" i="15"/>
  <c r="AQ192" i="15" s="1"/>
  <c r="AE191" i="15"/>
  <c r="AB191" i="15"/>
  <c r="Y191" i="15"/>
  <c r="U191" i="15"/>
  <c r="T191" i="15"/>
  <c r="S191" i="15"/>
  <c r="R191" i="15"/>
  <c r="AB192" i="15"/>
  <c r="Y192" i="15"/>
  <c r="U192" i="15"/>
  <c r="T192" i="15"/>
  <c r="S192" i="15"/>
  <c r="R192" i="15"/>
  <c r="AM191" i="15"/>
  <c r="AN191" i="15" s="1"/>
  <c r="AS191" i="15" s="1"/>
  <c r="AM192" i="15"/>
  <c r="AN192" i="15" s="1"/>
  <c r="AS192" i="15" s="1"/>
  <c r="BM57" i="18"/>
  <c r="BN57" i="18"/>
  <c r="BO57" i="18"/>
  <c r="BP57" i="18"/>
  <c r="BQ57" i="18"/>
  <c r="BR57" i="18"/>
  <c r="L191" i="16"/>
  <c r="M191" i="16" s="1"/>
  <c r="L192" i="16"/>
  <c r="M192" i="16" s="1"/>
  <c r="AQ192" i="16" s="1"/>
  <c r="AB191" i="16"/>
  <c r="AF191" i="16" s="1"/>
  <c r="AR191" i="16" s="1"/>
  <c r="Y191" i="16"/>
  <c r="U191" i="16"/>
  <c r="T191" i="16"/>
  <c r="S191" i="16"/>
  <c r="R191" i="16"/>
  <c r="AB192" i="16"/>
  <c r="Y192" i="16"/>
  <c r="U192" i="16"/>
  <c r="T192" i="16"/>
  <c r="S192" i="16"/>
  <c r="R192" i="16"/>
  <c r="AM191" i="16"/>
  <c r="AN191" i="16" s="1"/>
  <c r="AS191" i="16" s="1"/>
  <c r="AM192" i="16"/>
  <c r="AN192" i="16" s="1"/>
  <c r="BZ57" i="18"/>
  <c r="CA57" i="18"/>
  <c r="CB57" i="18"/>
  <c r="CC57" i="18"/>
  <c r="CD57" i="18"/>
  <c r="CE57" i="18"/>
  <c r="L191" i="17"/>
  <c r="M191" i="17" s="1"/>
  <c r="AQ191" i="17" s="1"/>
  <c r="L192" i="17"/>
  <c r="M192" i="17" s="1"/>
  <c r="AQ192" i="17" s="1"/>
  <c r="AE191" i="17"/>
  <c r="AB191" i="17"/>
  <c r="Y191" i="17"/>
  <c r="U191" i="17"/>
  <c r="T191" i="17"/>
  <c r="S191" i="17"/>
  <c r="R191" i="17"/>
  <c r="AB192" i="17"/>
  <c r="Y192" i="17"/>
  <c r="U192" i="17"/>
  <c r="T192" i="17"/>
  <c r="S192" i="17"/>
  <c r="R192" i="17"/>
  <c r="AM191" i="17"/>
  <c r="AN191" i="17" s="1"/>
  <c r="AS191" i="17" s="1"/>
  <c r="AM192" i="17"/>
  <c r="AN192" i="17" s="1"/>
  <c r="AS192" i="17" s="1"/>
  <c r="CM57" i="18"/>
  <c r="CN57" i="18"/>
  <c r="CO57" i="18"/>
  <c r="CP57" i="18"/>
  <c r="CQ57" i="18"/>
  <c r="CR57" i="18"/>
  <c r="CZ57" i="18"/>
  <c r="DB57" i="18"/>
  <c r="DC57" i="18"/>
  <c r="DD57" i="18"/>
  <c r="L191" i="22"/>
  <c r="M191" i="22" s="1"/>
  <c r="L192" i="22"/>
  <c r="AE191" i="22"/>
  <c r="AB191" i="22"/>
  <c r="U191" i="22"/>
  <c r="T191" i="22"/>
  <c r="T193" i="22" s="1"/>
  <c r="S191" i="22"/>
  <c r="R191" i="22"/>
  <c r="AB192" i="22"/>
  <c r="AE192" i="22" s="1"/>
  <c r="U192" i="22"/>
  <c r="T192" i="22"/>
  <c r="S192" i="22"/>
  <c r="R192" i="22"/>
  <c r="AM191" i="22"/>
  <c r="AN191" i="22" s="1"/>
  <c r="AS191" i="22" s="1"/>
  <c r="AM192" i="22"/>
  <c r="AN192" i="22" s="1"/>
  <c r="DM57" i="18"/>
  <c r="DN57" i="18"/>
  <c r="DO57" i="18"/>
  <c r="DP57" i="18"/>
  <c r="DQ57" i="18"/>
  <c r="DR57" i="18"/>
  <c r="L191" i="23"/>
  <c r="M191" i="23" s="1"/>
  <c r="AQ191" i="23" s="1"/>
  <c r="L192" i="23"/>
  <c r="M192" i="23" s="1"/>
  <c r="AQ192" i="23" s="1"/>
  <c r="AE191" i="23"/>
  <c r="AB191" i="23"/>
  <c r="U191" i="23"/>
  <c r="T191" i="23"/>
  <c r="S191" i="23"/>
  <c r="R191" i="23"/>
  <c r="AB192" i="23"/>
  <c r="U192" i="23"/>
  <c r="T192" i="23"/>
  <c r="S192" i="23"/>
  <c r="R192" i="23"/>
  <c r="AM191" i="23"/>
  <c r="AN191" i="23" s="1"/>
  <c r="AS191" i="23" s="1"/>
  <c r="AM192" i="23"/>
  <c r="AN192" i="23" s="1"/>
  <c r="AS192" i="23" s="1"/>
  <c r="DZ57" i="18"/>
  <c r="EA57" i="18"/>
  <c r="EB57" i="18"/>
  <c r="EC57" i="18"/>
  <c r="ED57" i="18"/>
  <c r="EE57" i="18"/>
  <c r="E58" i="18"/>
  <c r="F58" i="18"/>
  <c r="G58" i="18"/>
  <c r="B59" i="18"/>
  <c r="L199" i="1"/>
  <c r="L200" i="1"/>
  <c r="M200" i="1" s="1"/>
  <c r="AQ200" i="1" s="1"/>
  <c r="AU200" i="1" s="1"/>
  <c r="L201" i="1"/>
  <c r="M201" i="1" s="1"/>
  <c r="AQ201" i="1" s="1"/>
  <c r="L202" i="1"/>
  <c r="M202" i="1" s="1"/>
  <c r="AQ202" i="1" s="1"/>
  <c r="L204" i="1"/>
  <c r="L205" i="1"/>
  <c r="M205" i="1" s="1"/>
  <c r="AQ205" i="1" s="1"/>
  <c r="L206" i="1"/>
  <c r="M206" i="1" s="1"/>
  <c r="AQ206" i="1" s="1"/>
  <c r="L210" i="1"/>
  <c r="L211" i="1"/>
  <c r="M211" i="1" s="1"/>
  <c r="AQ211" i="1" s="1"/>
  <c r="L214" i="1"/>
  <c r="L215" i="1"/>
  <c r="M215" i="1" s="1"/>
  <c r="AQ215" i="1" s="1"/>
  <c r="L216" i="1"/>
  <c r="M216" i="1" s="1"/>
  <c r="AQ216" i="1" s="1"/>
  <c r="L217" i="1"/>
  <c r="M217" i="1" s="1"/>
  <c r="AQ217" i="1" s="1"/>
  <c r="L218" i="1"/>
  <c r="M218" i="1" s="1"/>
  <c r="AQ218" i="1" s="1"/>
  <c r="L219" i="1"/>
  <c r="M219" i="1" s="1"/>
  <c r="AQ219" i="1" s="1"/>
  <c r="L222" i="1"/>
  <c r="L223" i="1"/>
  <c r="M223" i="1" s="1"/>
  <c r="AQ223" i="1" s="1"/>
  <c r="L224" i="1"/>
  <c r="M224" i="1" s="1"/>
  <c r="AQ224" i="1" s="1"/>
  <c r="L227" i="1"/>
  <c r="L228" i="1"/>
  <c r="M228" i="1" s="1"/>
  <c r="AQ228" i="1" s="1"/>
  <c r="L229" i="1"/>
  <c r="M229" i="1" s="1"/>
  <c r="AQ229" i="1" s="1"/>
  <c r="L230" i="1"/>
  <c r="M230" i="1" s="1"/>
  <c r="AQ230" i="1" s="1"/>
  <c r="L233" i="1"/>
  <c r="L234" i="1"/>
  <c r="M234" i="1" s="1"/>
  <c r="AQ234" i="1" s="1"/>
  <c r="L235" i="1"/>
  <c r="M235" i="1" s="1"/>
  <c r="AQ235" i="1" s="1"/>
  <c r="L236" i="1"/>
  <c r="M236" i="1" s="1"/>
  <c r="AQ236" i="1" s="1"/>
  <c r="L239" i="1"/>
  <c r="L240" i="1"/>
  <c r="M240" i="1" s="1"/>
  <c r="AQ240" i="1" s="1"/>
  <c r="L241" i="1"/>
  <c r="M241" i="1" s="1"/>
  <c r="AQ241" i="1" s="1"/>
  <c r="L242" i="1"/>
  <c r="M242" i="1" s="1"/>
  <c r="AQ242" i="1" s="1"/>
  <c r="AB199" i="1"/>
  <c r="Y199" i="1"/>
  <c r="U199" i="1"/>
  <c r="T199" i="1"/>
  <c r="S199" i="1"/>
  <c r="R199" i="1"/>
  <c r="AB200" i="1"/>
  <c r="Y200" i="1"/>
  <c r="U200" i="1"/>
  <c r="T200" i="1"/>
  <c r="S200" i="1"/>
  <c r="R200" i="1"/>
  <c r="AB201" i="1"/>
  <c r="Y201" i="1"/>
  <c r="U201" i="1"/>
  <c r="T201" i="1"/>
  <c r="S201" i="1"/>
  <c r="R201" i="1"/>
  <c r="AB202" i="1"/>
  <c r="Y202" i="1"/>
  <c r="U202" i="1"/>
  <c r="T202" i="1"/>
  <c r="S202" i="1"/>
  <c r="R202" i="1"/>
  <c r="AB204" i="1"/>
  <c r="Y204" i="1"/>
  <c r="U204" i="1"/>
  <c r="T204" i="1"/>
  <c r="S204" i="1"/>
  <c r="R204" i="1"/>
  <c r="AB205" i="1"/>
  <c r="Y205" i="1"/>
  <c r="U205" i="1"/>
  <c r="T205" i="1"/>
  <c r="S205" i="1"/>
  <c r="R205" i="1"/>
  <c r="AB206" i="1"/>
  <c r="Y206" i="1"/>
  <c r="U206" i="1"/>
  <c r="T206" i="1"/>
  <c r="S206" i="1"/>
  <c r="R206" i="1"/>
  <c r="AB210" i="1"/>
  <c r="Y210" i="1"/>
  <c r="U210" i="1"/>
  <c r="T210" i="1"/>
  <c r="S210" i="1"/>
  <c r="R210" i="1"/>
  <c r="AB211" i="1"/>
  <c r="Y211" i="1"/>
  <c r="U211" i="1"/>
  <c r="T211" i="1"/>
  <c r="S211" i="1"/>
  <c r="R211" i="1"/>
  <c r="AB214" i="1"/>
  <c r="Y214" i="1"/>
  <c r="U214" i="1"/>
  <c r="T214" i="1"/>
  <c r="S214" i="1"/>
  <c r="R214" i="1"/>
  <c r="AB215" i="1"/>
  <c r="Y215" i="1"/>
  <c r="U215" i="1"/>
  <c r="T215" i="1"/>
  <c r="S215" i="1"/>
  <c r="R215" i="1"/>
  <c r="AB216" i="1"/>
  <c r="Y216" i="1"/>
  <c r="U216" i="1"/>
  <c r="T216" i="1"/>
  <c r="S216" i="1"/>
  <c r="R216" i="1"/>
  <c r="AB217" i="1"/>
  <c r="Y217" i="1"/>
  <c r="U217" i="1"/>
  <c r="T217" i="1"/>
  <c r="S217" i="1"/>
  <c r="R217" i="1"/>
  <c r="AB218" i="1"/>
  <c r="Y218" i="1"/>
  <c r="U218" i="1"/>
  <c r="T218" i="1"/>
  <c r="S218" i="1"/>
  <c r="R218" i="1"/>
  <c r="AB219" i="1"/>
  <c r="Y219" i="1"/>
  <c r="U219" i="1"/>
  <c r="T219" i="1"/>
  <c r="S219" i="1"/>
  <c r="R219" i="1"/>
  <c r="AB222" i="1"/>
  <c r="Y222" i="1"/>
  <c r="U222" i="1"/>
  <c r="T222" i="1"/>
  <c r="S222" i="1"/>
  <c r="R222" i="1"/>
  <c r="AB223" i="1"/>
  <c r="Y223" i="1"/>
  <c r="U223" i="1"/>
  <c r="T223" i="1"/>
  <c r="S223" i="1"/>
  <c r="R223" i="1"/>
  <c r="AB224" i="1"/>
  <c r="Y224" i="1"/>
  <c r="U224" i="1"/>
  <c r="T224" i="1"/>
  <c r="S224" i="1"/>
  <c r="R224" i="1"/>
  <c r="AB227" i="1"/>
  <c r="Y227" i="1"/>
  <c r="U227" i="1"/>
  <c r="T227" i="1"/>
  <c r="S227" i="1"/>
  <c r="R227" i="1"/>
  <c r="AB228" i="1"/>
  <c r="Y228" i="1"/>
  <c r="U228" i="1"/>
  <c r="T228" i="1"/>
  <c r="S228" i="1"/>
  <c r="R228" i="1"/>
  <c r="AB229" i="1"/>
  <c r="Y229" i="1"/>
  <c r="U229" i="1"/>
  <c r="T229" i="1"/>
  <c r="S229" i="1"/>
  <c r="R229" i="1"/>
  <c r="AB230" i="1"/>
  <c r="Y230" i="1"/>
  <c r="U230" i="1"/>
  <c r="T230" i="1"/>
  <c r="S230" i="1"/>
  <c r="R230" i="1"/>
  <c r="AB233" i="1"/>
  <c r="Y233" i="1"/>
  <c r="U233" i="1"/>
  <c r="T233" i="1"/>
  <c r="S233" i="1"/>
  <c r="R233" i="1"/>
  <c r="AB234" i="1"/>
  <c r="Y234" i="1"/>
  <c r="U234" i="1"/>
  <c r="T234" i="1"/>
  <c r="S234" i="1"/>
  <c r="R234" i="1"/>
  <c r="AB235" i="1"/>
  <c r="Y235" i="1"/>
  <c r="U235" i="1"/>
  <c r="T235" i="1"/>
  <c r="S235" i="1"/>
  <c r="R235" i="1"/>
  <c r="AB236" i="1"/>
  <c r="Y236" i="1"/>
  <c r="U236" i="1"/>
  <c r="T236" i="1"/>
  <c r="S236" i="1"/>
  <c r="R236" i="1"/>
  <c r="AB239" i="1"/>
  <c r="Y239" i="1"/>
  <c r="U239" i="1"/>
  <c r="T239" i="1"/>
  <c r="S239" i="1"/>
  <c r="R239" i="1"/>
  <c r="AB240" i="1"/>
  <c r="Y240" i="1"/>
  <c r="U240" i="1"/>
  <c r="T240" i="1"/>
  <c r="S240" i="1"/>
  <c r="R240" i="1"/>
  <c r="AB241" i="1"/>
  <c r="Y241" i="1"/>
  <c r="U241" i="1"/>
  <c r="T241" i="1"/>
  <c r="S241" i="1"/>
  <c r="R241" i="1"/>
  <c r="AB242" i="1"/>
  <c r="Y242" i="1"/>
  <c r="U242" i="1"/>
  <c r="T242" i="1"/>
  <c r="S242" i="1"/>
  <c r="R242" i="1"/>
  <c r="AM199" i="1"/>
  <c r="AN199" i="1" s="1"/>
  <c r="AS199" i="1" s="1"/>
  <c r="AM200" i="1"/>
  <c r="AN200" i="1" s="1"/>
  <c r="AS200" i="1" s="1"/>
  <c r="AM201" i="1"/>
  <c r="AN201" i="1" s="1"/>
  <c r="AS201" i="1" s="1"/>
  <c r="AM202" i="1"/>
  <c r="AS202" i="1" s="1"/>
  <c r="AM204" i="1"/>
  <c r="AM205" i="1"/>
  <c r="AN205" i="1" s="1"/>
  <c r="AS205" i="1" s="1"/>
  <c r="AM206" i="1"/>
  <c r="AN206" i="1" s="1"/>
  <c r="AS206" i="1" s="1"/>
  <c r="AM210" i="1"/>
  <c r="AN210" i="1" s="1"/>
  <c r="AM211" i="1"/>
  <c r="AN211" i="1" s="1"/>
  <c r="AS211" i="1" s="1"/>
  <c r="AM214" i="1"/>
  <c r="AN214" i="1" s="1"/>
  <c r="AS214" i="1" s="1"/>
  <c r="AM215" i="1"/>
  <c r="AN215" i="1" s="1"/>
  <c r="AM216" i="1"/>
  <c r="AN216" i="1" s="1"/>
  <c r="AS216" i="1" s="1"/>
  <c r="AM217" i="1"/>
  <c r="AN217" i="1" s="1"/>
  <c r="AS217" i="1" s="1"/>
  <c r="AM218" i="1"/>
  <c r="AN218" i="1" s="1"/>
  <c r="AS218" i="1" s="1"/>
  <c r="AM219" i="1"/>
  <c r="AN219" i="1" s="1"/>
  <c r="AS219" i="1" s="1"/>
  <c r="AM222" i="1"/>
  <c r="AN222" i="1" s="1"/>
  <c r="AM223" i="1"/>
  <c r="AN223" i="1" s="1"/>
  <c r="AS223" i="1" s="1"/>
  <c r="AM224" i="1"/>
  <c r="AN224" i="1" s="1"/>
  <c r="AS224" i="1" s="1"/>
  <c r="AM227" i="1"/>
  <c r="AN227" i="1" s="1"/>
  <c r="AS227" i="1" s="1"/>
  <c r="AM228" i="1"/>
  <c r="AN228" i="1" s="1"/>
  <c r="AS228" i="1" s="1"/>
  <c r="AM229" i="1"/>
  <c r="AN229" i="1" s="1"/>
  <c r="AS229" i="1" s="1"/>
  <c r="AM230" i="1"/>
  <c r="AN230" i="1" s="1"/>
  <c r="AS230" i="1" s="1"/>
  <c r="AM233" i="1"/>
  <c r="AN233" i="1" s="1"/>
  <c r="AS233" i="1" s="1"/>
  <c r="AM234" i="1"/>
  <c r="AN234" i="1" s="1"/>
  <c r="AM235" i="1"/>
  <c r="AN235" i="1" s="1"/>
  <c r="AS235" i="1" s="1"/>
  <c r="AM236" i="1"/>
  <c r="AN236" i="1" s="1"/>
  <c r="AS236" i="1" s="1"/>
  <c r="AM239" i="1"/>
  <c r="AN239" i="1" s="1"/>
  <c r="AS239" i="1" s="1"/>
  <c r="AM240" i="1"/>
  <c r="AN240" i="1" s="1"/>
  <c r="AS240" i="1" s="1"/>
  <c r="AM241" i="1"/>
  <c r="AN241" i="1" s="1"/>
  <c r="AS241" i="1" s="1"/>
  <c r="AM242" i="1"/>
  <c r="AN242" i="1" s="1"/>
  <c r="AS242" i="1" s="1"/>
  <c r="L63" i="18"/>
  <c r="L71" i="18"/>
  <c r="L70" i="18" s="1"/>
  <c r="M61" i="18"/>
  <c r="M62" i="18"/>
  <c r="M63" i="18"/>
  <c r="M65" i="18"/>
  <c r="M67" i="18"/>
  <c r="M66" i="18" s="1"/>
  <c r="M69" i="18"/>
  <c r="M68" i="18" s="1"/>
  <c r="M71" i="18"/>
  <c r="M70" i="18" s="1"/>
  <c r="M73" i="18"/>
  <c r="M72" i="18" s="1"/>
  <c r="N61" i="18"/>
  <c r="N63" i="18"/>
  <c r="N65" i="18"/>
  <c r="N64" i="18" s="1"/>
  <c r="N67" i="18"/>
  <c r="N69" i="18"/>
  <c r="N68" i="18" s="1"/>
  <c r="N71" i="18"/>
  <c r="N70" i="18" s="1"/>
  <c r="N73" i="18"/>
  <c r="N72" i="18" s="1"/>
  <c r="O61" i="18"/>
  <c r="O62" i="18"/>
  <c r="O63" i="18"/>
  <c r="O65" i="18"/>
  <c r="O64" i="18" s="1"/>
  <c r="O67" i="18"/>
  <c r="O69" i="18"/>
  <c r="O68" i="18" s="1"/>
  <c r="O71" i="18"/>
  <c r="O70" i="18" s="1"/>
  <c r="O73" i="18"/>
  <c r="O72" i="18" s="1"/>
  <c r="P61" i="18"/>
  <c r="P62" i="18"/>
  <c r="P63" i="18"/>
  <c r="P65" i="18"/>
  <c r="P64" i="18" s="1"/>
  <c r="P67" i="18"/>
  <c r="P66" i="18" s="1"/>
  <c r="P69" i="18"/>
  <c r="P68" i="18" s="1"/>
  <c r="P71" i="18"/>
  <c r="P70" i="18" s="1"/>
  <c r="P73" i="18"/>
  <c r="P72" i="18" s="1"/>
  <c r="Q61" i="18"/>
  <c r="Q62" i="18"/>
  <c r="Q63" i="18"/>
  <c r="Q65" i="18"/>
  <c r="Q64" i="18" s="1"/>
  <c r="Q67" i="18"/>
  <c r="Q66" i="18" s="1"/>
  <c r="Q69" i="18"/>
  <c r="Q68" i="18" s="1"/>
  <c r="Q71" i="18"/>
  <c r="Q70" i="18" s="1"/>
  <c r="Q73" i="18"/>
  <c r="Q72" i="18" s="1"/>
  <c r="R61" i="18"/>
  <c r="R62" i="18"/>
  <c r="R63" i="18"/>
  <c r="R65" i="18"/>
  <c r="R64" i="18" s="1"/>
  <c r="R67" i="18"/>
  <c r="R66" i="18" s="1"/>
  <c r="R69" i="18"/>
  <c r="R68" i="18" s="1"/>
  <c r="R71" i="18"/>
  <c r="R70" i="18" s="1"/>
  <c r="R73" i="18"/>
  <c r="R72" i="18" s="1"/>
  <c r="L199" i="12"/>
  <c r="M199" i="12" s="1"/>
  <c r="AQ199" i="12" s="1"/>
  <c r="L200" i="12"/>
  <c r="M200" i="12" s="1"/>
  <c r="L201" i="12"/>
  <c r="M201" i="12" s="1"/>
  <c r="L202" i="12"/>
  <c r="M202" i="12" s="1"/>
  <c r="L204" i="12"/>
  <c r="M204" i="12" s="1"/>
  <c r="AQ204" i="12" s="1"/>
  <c r="L205" i="12"/>
  <c r="M205" i="12" s="1"/>
  <c r="L206" i="12"/>
  <c r="M206" i="12" s="1"/>
  <c r="AQ206" i="12" s="1"/>
  <c r="L210" i="12"/>
  <c r="M210" i="12" s="1"/>
  <c r="L211" i="12"/>
  <c r="M211" i="12" s="1"/>
  <c r="L214" i="12"/>
  <c r="M214" i="12" s="1"/>
  <c r="AQ214" i="12" s="1"/>
  <c r="L215" i="12"/>
  <c r="M215" i="12" s="1"/>
  <c r="L216" i="12"/>
  <c r="M216" i="12" s="1"/>
  <c r="AQ216" i="12" s="1"/>
  <c r="L217" i="12"/>
  <c r="M217" i="12" s="1"/>
  <c r="L218" i="12"/>
  <c r="M218" i="12" s="1"/>
  <c r="L219" i="12"/>
  <c r="M219" i="12" s="1"/>
  <c r="L222" i="12"/>
  <c r="M222" i="12" s="1"/>
  <c r="L223" i="12"/>
  <c r="M223" i="12" s="1"/>
  <c r="AQ223" i="12" s="1"/>
  <c r="L224" i="12"/>
  <c r="M224" i="12" s="1"/>
  <c r="L227" i="12"/>
  <c r="M227" i="12" s="1"/>
  <c r="L228" i="12"/>
  <c r="M228" i="12" s="1"/>
  <c r="AQ228" i="12" s="1"/>
  <c r="L229" i="12"/>
  <c r="M229" i="12" s="1"/>
  <c r="L230" i="12"/>
  <c r="M230" i="12" s="1"/>
  <c r="L233" i="12"/>
  <c r="M233" i="12" s="1"/>
  <c r="L234" i="12"/>
  <c r="M234" i="12" s="1"/>
  <c r="AQ234" i="12"/>
  <c r="L235" i="12"/>
  <c r="M235" i="12" s="1"/>
  <c r="AQ235" i="12" s="1"/>
  <c r="L236" i="12"/>
  <c r="M236" i="12" s="1"/>
  <c r="AQ236" i="12"/>
  <c r="L239" i="12"/>
  <c r="M239" i="12" s="1"/>
  <c r="L240" i="12"/>
  <c r="M240" i="12" s="1"/>
  <c r="AQ240" i="12" s="1"/>
  <c r="L241" i="12"/>
  <c r="M241" i="12" s="1"/>
  <c r="L242" i="12"/>
  <c r="M242" i="12" s="1"/>
  <c r="AB199" i="12"/>
  <c r="Y199" i="12"/>
  <c r="U199" i="12"/>
  <c r="T199" i="12"/>
  <c r="S199" i="12"/>
  <c r="R199" i="12"/>
  <c r="AB200" i="12"/>
  <c r="Y200" i="12"/>
  <c r="U200" i="12"/>
  <c r="T200" i="12"/>
  <c r="S200" i="12"/>
  <c r="R200" i="12"/>
  <c r="AB201" i="12"/>
  <c r="Y201" i="12"/>
  <c r="U201" i="12"/>
  <c r="T201" i="12"/>
  <c r="S201" i="12"/>
  <c r="R201" i="12"/>
  <c r="AB202" i="12"/>
  <c r="Y202" i="12"/>
  <c r="U202" i="12"/>
  <c r="T202" i="12"/>
  <c r="S202" i="12"/>
  <c r="R202" i="12"/>
  <c r="AB204" i="12"/>
  <c r="Y204" i="12"/>
  <c r="U204" i="12"/>
  <c r="T204" i="12"/>
  <c r="S204" i="12"/>
  <c r="R204" i="12"/>
  <c r="AB205" i="12"/>
  <c r="Y205" i="12"/>
  <c r="U205" i="12"/>
  <c r="T205" i="12"/>
  <c r="S205" i="12"/>
  <c r="R205" i="12"/>
  <c r="AB206" i="12"/>
  <c r="Y206" i="12"/>
  <c r="U206" i="12"/>
  <c r="T206" i="12"/>
  <c r="S206" i="12"/>
  <c r="R206" i="12"/>
  <c r="AB210" i="12"/>
  <c r="Y210" i="12"/>
  <c r="U210" i="12"/>
  <c r="T210" i="12"/>
  <c r="S210" i="12"/>
  <c r="R210" i="12"/>
  <c r="AB211" i="12"/>
  <c r="Y211" i="12"/>
  <c r="U211" i="12"/>
  <c r="T211" i="12"/>
  <c r="S211" i="12"/>
  <c r="R211" i="12"/>
  <c r="AB214" i="12"/>
  <c r="Y214" i="12"/>
  <c r="U214" i="12"/>
  <c r="T214" i="12"/>
  <c r="S214" i="12"/>
  <c r="R214" i="12"/>
  <c r="AB215" i="12"/>
  <c r="Y215" i="12"/>
  <c r="U215" i="12"/>
  <c r="T215" i="12"/>
  <c r="S215" i="12"/>
  <c r="R215" i="12"/>
  <c r="AB216" i="12"/>
  <c r="Y216" i="12"/>
  <c r="U216" i="12"/>
  <c r="T216" i="12"/>
  <c r="S216" i="12"/>
  <c r="R216" i="12"/>
  <c r="AB217" i="12"/>
  <c r="Y217" i="12"/>
  <c r="U217" i="12"/>
  <c r="T217" i="12"/>
  <c r="S217" i="12"/>
  <c r="R217" i="12"/>
  <c r="AB218" i="12"/>
  <c r="Y218" i="12"/>
  <c r="U218" i="12"/>
  <c r="T218" i="12"/>
  <c r="S218" i="12"/>
  <c r="R218" i="12"/>
  <c r="AB219" i="12"/>
  <c r="Y219" i="12"/>
  <c r="U219" i="12"/>
  <c r="T219" i="12"/>
  <c r="S219" i="12"/>
  <c r="R219" i="12"/>
  <c r="AB222" i="12"/>
  <c r="Y222" i="12"/>
  <c r="U222" i="12"/>
  <c r="T222" i="12"/>
  <c r="S222" i="12"/>
  <c r="R222" i="12"/>
  <c r="AB223" i="12"/>
  <c r="Y223" i="12"/>
  <c r="U223" i="12"/>
  <c r="T223" i="12"/>
  <c r="S223" i="12"/>
  <c r="R223" i="12"/>
  <c r="AB224" i="12"/>
  <c r="Y224" i="12"/>
  <c r="U224" i="12"/>
  <c r="T224" i="12"/>
  <c r="S224" i="12"/>
  <c r="R224" i="12"/>
  <c r="AB227" i="12"/>
  <c r="Y227" i="12"/>
  <c r="U227" i="12"/>
  <c r="T227" i="12"/>
  <c r="S227" i="12"/>
  <c r="R227" i="12"/>
  <c r="AB228" i="12"/>
  <c r="Y228" i="12"/>
  <c r="U228" i="12"/>
  <c r="T228" i="12"/>
  <c r="S228" i="12"/>
  <c r="R228" i="12"/>
  <c r="AB229" i="12"/>
  <c r="Y229" i="12"/>
  <c r="U229" i="12"/>
  <c r="T229" i="12"/>
  <c r="S229" i="12"/>
  <c r="R229" i="12"/>
  <c r="AB230" i="12"/>
  <c r="Y230" i="12"/>
  <c r="U230" i="12"/>
  <c r="T230" i="12"/>
  <c r="S230" i="12"/>
  <c r="R230" i="12"/>
  <c r="AB233" i="12"/>
  <c r="Y233" i="12"/>
  <c r="U233" i="12"/>
  <c r="T233" i="12"/>
  <c r="S233" i="12"/>
  <c r="R233" i="12"/>
  <c r="AB234" i="12"/>
  <c r="Y234" i="12"/>
  <c r="U234" i="12"/>
  <c r="T234" i="12"/>
  <c r="S234" i="12"/>
  <c r="R234" i="12"/>
  <c r="AB235" i="12"/>
  <c r="Y235" i="12"/>
  <c r="U235" i="12"/>
  <c r="T235" i="12"/>
  <c r="S235" i="12"/>
  <c r="R235" i="12"/>
  <c r="AB236" i="12"/>
  <c r="Y236" i="12"/>
  <c r="U236" i="12"/>
  <c r="T236" i="12"/>
  <c r="S236" i="12"/>
  <c r="R236" i="12"/>
  <c r="AB239" i="12"/>
  <c r="Y239" i="12"/>
  <c r="U239" i="12"/>
  <c r="T239" i="12"/>
  <c r="S239" i="12"/>
  <c r="R239" i="12"/>
  <c r="AB240" i="12"/>
  <c r="Y240" i="12"/>
  <c r="U240" i="12"/>
  <c r="T240" i="12"/>
  <c r="S240" i="12"/>
  <c r="R240" i="12"/>
  <c r="AB241" i="12"/>
  <c r="Y241" i="12"/>
  <c r="U241" i="12"/>
  <c r="T241" i="12"/>
  <c r="S241" i="12"/>
  <c r="R241" i="12"/>
  <c r="AB242" i="12"/>
  <c r="Y242" i="12"/>
  <c r="U242" i="12"/>
  <c r="T242" i="12"/>
  <c r="S242" i="12"/>
  <c r="R242" i="12"/>
  <c r="AM199" i="12"/>
  <c r="AN199" i="12" s="1"/>
  <c r="AM200" i="12"/>
  <c r="AN200" i="12" s="1"/>
  <c r="AS200" i="12" s="1"/>
  <c r="AM201" i="12"/>
  <c r="AN201" i="12" s="1"/>
  <c r="AM202" i="12"/>
  <c r="AS202" i="12" s="1"/>
  <c r="AM204" i="12"/>
  <c r="AN204" i="12" s="1"/>
  <c r="AM205" i="12"/>
  <c r="AN205" i="12" s="1"/>
  <c r="AS205" i="12" s="1"/>
  <c r="AM206" i="12"/>
  <c r="AN206" i="12" s="1"/>
  <c r="AM210" i="12"/>
  <c r="AN210" i="12" s="1"/>
  <c r="AS210" i="12" s="1"/>
  <c r="AM211" i="12"/>
  <c r="AN211" i="12" s="1"/>
  <c r="AM214" i="12"/>
  <c r="AN214" i="12" s="1"/>
  <c r="AM215" i="12"/>
  <c r="AN215" i="12" s="1"/>
  <c r="AM216" i="12"/>
  <c r="AN216" i="12" s="1"/>
  <c r="AM217" i="12"/>
  <c r="AN217" i="12" s="1"/>
  <c r="AS217" i="12" s="1"/>
  <c r="AM218" i="12"/>
  <c r="AN218" i="12" s="1"/>
  <c r="AM219" i="12"/>
  <c r="AN219" i="12" s="1"/>
  <c r="AS219" i="12" s="1"/>
  <c r="AM222" i="12"/>
  <c r="AN222" i="12" s="1"/>
  <c r="AM223" i="12"/>
  <c r="AN223" i="12" s="1"/>
  <c r="AM224" i="12"/>
  <c r="AN224" i="12" s="1"/>
  <c r="AS224" i="12" s="1"/>
  <c r="AM227" i="12"/>
  <c r="AN227" i="12" s="1"/>
  <c r="AS227" i="12" s="1"/>
  <c r="AM228" i="12"/>
  <c r="AN228" i="12" s="1"/>
  <c r="AM229" i="12"/>
  <c r="AN229" i="12" s="1"/>
  <c r="AS229" i="12" s="1"/>
  <c r="AM230" i="12"/>
  <c r="AN230" i="12" s="1"/>
  <c r="AM233" i="12"/>
  <c r="AN233" i="12" s="1"/>
  <c r="AM234" i="12"/>
  <c r="AN234" i="12" s="1"/>
  <c r="AS234" i="12" s="1"/>
  <c r="AM235" i="12"/>
  <c r="AN235" i="12" s="1"/>
  <c r="AS235" i="12" s="1"/>
  <c r="AM236" i="12"/>
  <c r="AN236" i="12" s="1"/>
  <c r="AS236" i="12" s="1"/>
  <c r="AM239" i="12"/>
  <c r="AN239" i="12" s="1"/>
  <c r="AS239" i="12" s="1"/>
  <c r="AM240" i="12"/>
  <c r="AN240" i="12" s="1"/>
  <c r="AM241" i="12"/>
  <c r="AN241" i="12" s="1"/>
  <c r="AS241" i="12" s="1"/>
  <c r="AM242" i="12"/>
  <c r="AN242" i="12" s="1"/>
  <c r="AS242" i="12" s="1"/>
  <c r="Y71" i="18"/>
  <c r="Y70" i="18" s="1"/>
  <c r="Z61" i="18"/>
  <c r="Z62" i="18"/>
  <c r="Z63" i="18"/>
  <c r="Z65" i="18"/>
  <c r="Z64" i="18" s="1"/>
  <c r="Z67" i="18"/>
  <c r="Z66" i="18" s="1"/>
  <c r="Z69" i="18"/>
  <c r="Z68" i="18" s="1"/>
  <c r="Z71" i="18"/>
  <c r="Z70" i="18" s="1"/>
  <c r="Z73" i="18"/>
  <c r="Z72" i="18" s="1"/>
  <c r="AA61" i="18"/>
  <c r="AA63" i="18"/>
  <c r="AA65" i="18"/>
  <c r="AA64" i="18" s="1"/>
  <c r="AA67" i="18"/>
  <c r="AA66" i="18" s="1"/>
  <c r="AA69" i="18"/>
  <c r="AA68" i="18" s="1"/>
  <c r="AA71" i="18"/>
  <c r="AA70" i="18" s="1"/>
  <c r="AA73" i="18"/>
  <c r="AA72" i="18" s="1"/>
  <c r="AB61" i="18"/>
  <c r="AB62" i="18"/>
  <c r="AB63" i="18"/>
  <c r="AB65" i="18"/>
  <c r="AB64" i="18" s="1"/>
  <c r="AB67" i="18"/>
  <c r="AB66" i="18" s="1"/>
  <c r="AB69" i="18"/>
  <c r="AB68" i="18" s="1"/>
  <c r="AB71" i="18"/>
  <c r="AB70" i="18" s="1"/>
  <c r="AB73" i="18"/>
  <c r="AB72" i="18" s="1"/>
  <c r="AC61" i="18"/>
  <c r="AC62" i="18"/>
  <c r="AC63" i="18"/>
  <c r="AC65" i="18"/>
  <c r="AC64" i="18" s="1"/>
  <c r="AC67" i="18"/>
  <c r="AC66" i="18" s="1"/>
  <c r="AC69" i="18"/>
  <c r="AC68" i="18" s="1"/>
  <c r="AC71" i="18"/>
  <c r="AC70" i="18" s="1"/>
  <c r="AC73" i="18"/>
  <c r="AC72" i="18" s="1"/>
  <c r="AD61" i="18"/>
  <c r="AD62" i="18"/>
  <c r="AD63" i="18"/>
  <c r="AD65" i="18"/>
  <c r="AD64" i="18" s="1"/>
  <c r="AD67" i="18"/>
  <c r="AD66" i="18" s="1"/>
  <c r="AD69" i="18"/>
  <c r="AD68" i="18" s="1"/>
  <c r="AD71" i="18"/>
  <c r="AD70" i="18" s="1"/>
  <c r="AD73" i="18"/>
  <c r="AD72" i="18" s="1"/>
  <c r="AE61" i="18"/>
  <c r="AE62" i="18"/>
  <c r="AE63" i="18"/>
  <c r="AE65" i="18"/>
  <c r="AE64" i="18" s="1"/>
  <c r="AE67" i="18"/>
  <c r="AE66" i="18" s="1"/>
  <c r="AE69" i="18"/>
  <c r="AE68" i="18" s="1"/>
  <c r="AE71" i="18"/>
  <c r="AE70" i="18" s="1"/>
  <c r="AE73" i="18"/>
  <c r="AE72" i="18" s="1"/>
  <c r="L199" i="13"/>
  <c r="M199" i="13" s="1"/>
  <c r="AQ199" i="13" s="1"/>
  <c r="L200" i="13"/>
  <c r="M200" i="13" s="1"/>
  <c r="AQ200" i="13" s="1"/>
  <c r="AU200" i="13" s="1"/>
  <c r="L201" i="13"/>
  <c r="M201" i="13" s="1"/>
  <c r="AQ201" i="13" s="1"/>
  <c r="L202" i="13"/>
  <c r="M202" i="13" s="1"/>
  <c r="L204" i="13"/>
  <c r="M204" i="13" s="1"/>
  <c r="AQ204" i="13" s="1"/>
  <c r="L205" i="13"/>
  <c r="M205" i="13" s="1"/>
  <c r="AQ205" i="13" s="1"/>
  <c r="L206" i="13"/>
  <c r="M206" i="13" s="1"/>
  <c r="AQ206" i="13" s="1"/>
  <c r="L210" i="13"/>
  <c r="M210" i="13" s="1"/>
  <c r="AQ210" i="13" s="1"/>
  <c r="AU210" i="13" s="1"/>
  <c r="L211" i="13"/>
  <c r="M211" i="13" s="1"/>
  <c r="AQ211" i="13" s="1"/>
  <c r="AU211" i="13" s="1"/>
  <c r="L214" i="13"/>
  <c r="M214" i="13" s="1"/>
  <c r="AQ214" i="13" s="1"/>
  <c r="L215" i="13"/>
  <c r="M215" i="13" s="1"/>
  <c r="L216" i="13"/>
  <c r="M216" i="13" s="1"/>
  <c r="AQ216" i="13" s="1"/>
  <c r="L217" i="13"/>
  <c r="M217" i="13" s="1"/>
  <c r="AQ217" i="13" s="1"/>
  <c r="L218" i="13"/>
  <c r="M218" i="13" s="1"/>
  <c r="AQ218" i="13" s="1"/>
  <c r="L219" i="13"/>
  <c r="M219" i="13" s="1"/>
  <c r="AQ219" i="13" s="1"/>
  <c r="L222" i="13"/>
  <c r="M222" i="13" s="1"/>
  <c r="AQ222" i="13" s="1"/>
  <c r="L223" i="13"/>
  <c r="M223" i="13" s="1"/>
  <c r="AQ223" i="13" s="1"/>
  <c r="L224" i="13"/>
  <c r="M224" i="13" s="1"/>
  <c r="AQ224" i="13" s="1"/>
  <c r="L227" i="13"/>
  <c r="M227" i="13" s="1"/>
  <c r="AQ227" i="13" s="1"/>
  <c r="L228" i="13"/>
  <c r="M228" i="13" s="1"/>
  <c r="AQ228" i="13" s="1"/>
  <c r="L229" i="13"/>
  <c r="M229" i="13" s="1"/>
  <c r="AQ229" i="13" s="1"/>
  <c r="AU229" i="13" s="1"/>
  <c r="L230" i="13"/>
  <c r="M230" i="13" s="1"/>
  <c r="L233" i="13"/>
  <c r="M233" i="13" s="1"/>
  <c r="L234" i="13"/>
  <c r="M234" i="13" s="1"/>
  <c r="AQ234" i="13" s="1"/>
  <c r="L235" i="13"/>
  <c r="M235" i="13" s="1"/>
  <c r="AQ235" i="13" s="1"/>
  <c r="L236" i="13"/>
  <c r="M236" i="13" s="1"/>
  <c r="AQ236" i="13" s="1"/>
  <c r="L239" i="13"/>
  <c r="M239" i="13" s="1"/>
  <c r="AQ239" i="13" s="1"/>
  <c r="L240" i="13"/>
  <c r="M240" i="13" s="1"/>
  <c r="AQ240" i="13" s="1"/>
  <c r="L241" i="13"/>
  <c r="M241" i="13" s="1"/>
  <c r="AQ241" i="13" s="1"/>
  <c r="L242" i="13"/>
  <c r="M242" i="13" s="1"/>
  <c r="AQ242" i="13" s="1"/>
  <c r="AB199" i="13"/>
  <c r="Y199" i="13"/>
  <c r="U199" i="13"/>
  <c r="T199" i="13"/>
  <c r="S199" i="13"/>
  <c r="R199" i="13"/>
  <c r="AB200" i="13"/>
  <c r="Y200" i="13"/>
  <c r="U200" i="13"/>
  <c r="T200" i="13"/>
  <c r="S200" i="13"/>
  <c r="R200" i="13"/>
  <c r="AB201" i="13"/>
  <c r="Y201" i="13"/>
  <c r="U201" i="13"/>
  <c r="T201" i="13"/>
  <c r="S201" i="13"/>
  <c r="R201" i="13"/>
  <c r="AB202" i="13"/>
  <c r="Y202" i="13"/>
  <c r="U202" i="13"/>
  <c r="T202" i="13"/>
  <c r="S202" i="13"/>
  <c r="R202" i="13"/>
  <c r="AB204" i="13"/>
  <c r="Y204" i="13"/>
  <c r="U204" i="13"/>
  <c r="T204" i="13"/>
  <c r="S204" i="13"/>
  <c r="R204" i="13"/>
  <c r="AB205" i="13"/>
  <c r="Y205" i="13"/>
  <c r="U205" i="13"/>
  <c r="T205" i="13"/>
  <c r="S205" i="13"/>
  <c r="R205" i="13"/>
  <c r="AB206" i="13"/>
  <c r="Y206" i="13"/>
  <c r="U206" i="13"/>
  <c r="T206" i="13"/>
  <c r="S206" i="13"/>
  <c r="R206" i="13"/>
  <c r="AB210" i="13"/>
  <c r="Y210" i="13"/>
  <c r="U210" i="13"/>
  <c r="T210" i="13"/>
  <c r="S210" i="13"/>
  <c r="R210" i="13"/>
  <c r="AB211" i="13"/>
  <c r="Y211" i="13"/>
  <c r="U211" i="13"/>
  <c r="T211" i="13"/>
  <c r="S211" i="13"/>
  <c r="R211" i="13"/>
  <c r="AB214" i="13"/>
  <c r="Y214" i="13"/>
  <c r="U214" i="13"/>
  <c r="T214" i="13"/>
  <c r="S214" i="13"/>
  <c r="R214" i="13"/>
  <c r="AB215" i="13"/>
  <c r="Y215" i="13"/>
  <c r="U215" i="13"/>
  <c r="T215" i="13"/>
  <c r="S215" i="13"/>
  <c r="R215" i="13"/>
  <c r="AB216" i="13"/>
  <c r="Y216" i="13"/>
  <c r="U216" i="13"/>
  <c r="T216" i="13"/>
  <c r="S216" i="13"/>
  <c r="R216" i="13"/>
  <c r="AB217" i="13"/>
  <c r="Y217" i="13"/>
  <c r="U217" i="13"/>
  <c r="T217" i="13"/>
  <c r="S217" i="13"/>
  <c r="R217" i="13"/>
  <c r="AB218" i="13"/>
  <c r="Y218" i="13"/>
  <c r="U218" i="13"/>
  <c r="T218" i="13"/>
  <c r="S218" i="13"/>
  <c r="R218" i="13"/>
  <c r="AB219" i="13"/>
  <c r="Y219" i="13"/>
  <c r="U219" i="13"/>
  <c r="T219" i="13"/>
  <c r="S219" i="13"/>
  <c r="R219" i="13"/>
  <c r="AB222" i="13"/>
  <c r="Y222" i="13"/>
  <c r="U222" i="13"/>
  <c r="T222" i="13"/>
  <c r="S222" i="13"/>
  <c r="R222" i="13"/>
  <c r="AB223" i="13"/>
  <c r="Y223" i="13"/>
  <c r="U223" i="13"/>
  <c r="T223" i="13"/>
  <c r="S223" i="13"/>
  <c r="R223" i="13"/>
  <c r="AB224" i="13"/>
  <c r="Y224" i="13"/>
  <c r="U224" i="13"/>
  <c r="T224" i="13"/>
  <c r="S224" i="13"/>
  <c r="R224" i="13"/>
  <c r="AB227" i="13"/>
  <c r="Y227" i="13"/>
  <c r="U227" i="13"/>
  <c r="T227" i="13"/>
  <c r="S227" i="13"/>
  <c r="R227" i="13"/>
  <c r="AB228" i="13"/>
  <c r="Y228" i="13"/>
  <c r="U228" i="13"/>
  <c r="T228" i="13"/>
  <c r="S228" i="13"/>
  <c r="R228" i="13"/>
  <c r="AB229" i="13"/>
  <c r="Y229" i="13"/>
  <c r="U229" i="13"/>
  <c r="T229" i="13"/>
  <c r="S229" i="13"/>
  <c r="R229" i="13"/>
  <c r="AB230" i="13"/>
  <c r="Y230" i="13"/>
  <c r="U230" i="13"/>
  <c r="T230" i="13"/>
  <c r="S230" i="13"/>
  <c r="R230" i="13"/>
  <c r="AB233" i="13"/>
  <c r="Y233" i="13"/>
  <c r="U233" i="13"/>
  <c r="T233" i="13"/>
  <c r="S233" i="13"/>
  <c r="R233" i="13"/>
  <c r="AB234" i="13"/>
  <c r="Y234" i="13"/>
  <c r="U234" i="13"/>
  <c r="T234" i="13"/>
  <c r="S234" i="13"/>
  <c r="R234" i="13"/>
  <c r="AB235" i="13"/>
  <c r="Y235" i="13"/>
  <c r="U235" i="13"/>
  <c r="T235" i="13"/>
  <c r="S235" i="13"/>
  <c r="R235" i="13"/>
  <c r="AB236" i="13"/>
  <c r="Y236" i="13"/>
  <c r="U236" i="13"/>
  <c r="T236" i="13"/>
  <c r="S236" i="13"/>
  <c r="R236" i="13"/>
  <c r="AB239" i="13"/>
  <c r="Y239" i="13"/>
  <c r="U239" i="13"/>
  <c r="T239" i="13"/>
  <c r="S239" i="13"/>
  <c r="R239" i="13"/>
  <c r="AB240" i="13"/>
  <c r="Y240" i="13"/>
  <c r="U240" i="13"/>
  <c r="T240" i="13"/>
  <c r="S240" i="13"/>
  <c r="R240" i="13"/>
  <c r="AB241" i="13"/>
  <c r="Y241" i="13"/>
  <c r="U241" i="13"/>
  <c r="T241" i="13"/>
  <c r="S241" i="13"/>
  <c r="R241" i="13"/>
  <c r="AB242" i="13"/>
  <c r="Y242" i="13"/>
  <c r="U242" i="13"/>
  <c r="T242" i="13"/>
  <c r="S242" i="13"/>
  <c r="R242" i="13"/>
  <c r="AM199" i="13"/>
  <c r="AN199" i="13" s="1"/>
  <c r="AM200" i="13"/>
  <c r="AN200" i="13" s="1"/>
  <c r="AS200" i="13" s="1"/>
  <c r="AM201" i="13"/>
  <c r="AN201" i="13" s="1"/>
  <c r="AS201" i="13" s="1"/>
  <c r="AM202" i="13"/>
  <c r="AN202" i="13" s="1"/>
  <c r="AS202" i="13" s="1"/>
  <c r="AM204" i="13"/>
  <c r="AN204" i="13" s="1"/>
  <c r="AM205" i="13"/>
  <c r="AN205" i="13" s="1"/>
  <c r="AS205" i="13" s="1"/>
  <c r="AM206" i="13"/>
  <c r="AN206" i="13" s="1"/>
  <c r="AS206" i="13" s="1"/>
  <c r="AM210" i="13"/>
  <c r="AN210" i="13" s="1"/>
  <c r="AS210" i="13" s="1"/>
  <c r="AM211" i="13"/>
  <c r="AN211" i="13" s="1"/>
  <c r="AM214" i="13"/>
  <c r="AN214" i="13" s="1"/>
  <c r="AM215" i="13"/>
  <c r="AN215" i="13" s="1"/>
  <c r="AS215" i="13" s="1"/>
  <c r="AM216" i="13"/>
  <c r="AN216" i="13" s="1"/>
  <c r="AS216" i="13" s="1"/>
  <c r="AM217" i="13"/>
  <c r="AN217" i="13" s="1"/>
  <c r="AS217" i="13" s="1"/>
  <c r="AM218" i="13"/>
  <c r="AN218" i="13" s="1"/>
  <c r="AS218" i="13" s="1"/>
  <c r="AM219" i="13"/>
  <c r="AN219" i="13" s="1"/>
  <c r="AS219" i="13" s="1"/>
  <c r="AM222" i="13"/>
  <c r="AN222" i="13" s="1"/>
  <c r="AS222" i="13" s="1"/>
  <c r="AM223" i="13"/>
  <c r="AN223" i="13" s="1"/>
  <c r="AM224" i="13"/>
  <c r="AN224" i="13" s="1"/>
  <c r="AS224" i="13" s="1"/>
  <c r="AM227" i="13"/>
  <c r="AN227" i="13" s="1"/>
  <c r="AS227" i="13" s="1"/>
  <c r="AM228" i="13"/>
  <c r="AN228" i="13" s="1"/>
  <c r="AM229" i="13"/>
  <c r="AN229" i="13" s="1"/>
  <c r="AS229" i="13" s="1"/>
  <c r="AM230" i="13"/>
  <c r="AN230" i="13" s="1"/>
  <c r="AS230" i="13" s="1"/>
  <c r="AM233" i="13"/>
  <c r="AN233" i="13" s="1"/>
  <c r="AS233" i="13" s="1"/>
  <c r="AM234" i="13"/>
  <c r="AN234" i="13" s="1"/>
  <c r="AS234" i="13" s="1"/>
  <c r="AM235" i="13"/>
  <c r="AN235" i="13" s="1"/>
  <c r="AM236" i="13"/>
  <c r="AN236" i="13" s="1"/>
  <c r="AM239" i="13"/>
  <c r="AN239" i="13" s="1"/>
  <c r="AM240" i="13"/>
  <c r="AN240" i="13" s="1"/>
  <c r="AS240" i="13" s="1"/>
  <c r="AM241" i="13"/>
  <c r="AN241" i="13" s="1"/>
  <c r="AM242" i="13"/>
  <c r="AN242" i="13" s="1"/>
  <c r="AM61" i="18"/>
  <c r="AM62" i="18"/>
  <c r="AM63" i="18"/>
  <c r="AM65" i="18"/>
  <c r="AM64" i="18" s="1"/>
  <c r="AM67" i="18"/>
  <c r="AM66" i="18" s="1"/>
  <c r="AM69" i="18"/>
  <c r="AM68" i="18" s="1"/>
  <c r="AM71" i="18"/>
  <c r="AM70" i="18" s="1"/>
  <c r="AM73" i="18"/>
  <c r="AM72" i="18" s="1"/>
  <c r="AN61" i="18"/>
  <c r="AN62" i="18"/>
  <c r="AN63" i="18"/>
  <c r="AN65" i="18"/>
  <c r="AN64" i="18" s="1"/>
  <c r="AN67" i="18"/>
  <c r="AN66" i="18" s="1"/>
  <c r="AN69" i="18"/>
  <c r="AN68" i="18" s="1"/>
  <c r="AN71" i="18"/>
  <c r="AN70" i="18" s="1"/>
  <c r="AN73" i="18"/>
  <c r="AN72" i="18" s="1"/>
  <c r="AO61" i="18"/>
  <c r="AO62" i="18"/>
  <c r="AO63" i="18"/>
  <c r="AO65" i="18"/>
  <c r="AO64" i="18" s="1"/>
  <c r="AO67" i="18"/>
  <c r="AO66" i="18" s="1"/>
  <c r="AO69" i="18"/>
  <c r="AO68" i="18" s="1"/>
  <c r="AO71" i="18"/>
  <c r="AO70" i="18" s="1"/>
  <c r="AO73" i="18"/>
  <c r="AO72" i="18" s="1"/>
  <c r="AP61" i="18"/>
  <c r="AP62" i="18"/>
  <c r="AP63" i="18"/>
  <c r="AP65" i="18"/>
  <c r="AP64" i="18" s="1"/>
  <c r="AP67" i="18"/>
  <c r="AP66" i="18" s="1"/>
  <c r="AP69" i="18"/>
  <c r="AP68" i="18" s="1"/>
  <c r="AP71" i="18"/>
  <c r="AP70" i="18" s="1"/>
  <c r="AP73" i="18"/>
  <c r="AP72" i="18" s="1"/>
  <c r="AQ61" i="18"/>
  <c r="AQ62" i="18"/>
  <c r="AQ63" i="18"/>
  <c r="AQ65" i="18"/>
  <c r="AQ64" i="18" s="1"/>
  <c r="AQ67" i="18"/>
  <c r="AQ66" i="18" s="1"/>
  <c r="AQ69" i="18"/>
  <c r="AQ68" i="18" s="1"/>
  <c r="AQ71" i="18"/>
  <c r="AQ70" i="18" s="1"/>
  <c r="AQ73" i="18"/>
  <c r="AQ72" i="18" s="1"/>
  <c r="AR61" i="18"/>
  <c r="AR62" i="18"/>
  <c r="AR63" i="18"/>
  <c r="AR65" i="18"/>
  <c r="AR64" i="18" s="1"/>
  <c r="AR67" i="18"/>
  <c r="AR66" i="18" s="1"/>
  <c r="AR69" i="18"/>
  <c r="AR68" i="18" s="1"/>
  <c r="AR71" i="18"/>
  <c r="AR70" i="18" s="1"/>
  <c r="AR73" i="18"/>
  <c r="AR72" i="18" s="1"/>
  <c r="L199" i="14"/>
  <c r="M199" i="14" s="1"/>
  <c r="L200" i="14"/>
  <c r="M200" i="14" s="1"/>
  <c r="AQ200" i="14" s="1"/>
  <c r="AU200" i="14" s="1"/>
  <c r="L201" i="14"/>
  <c r="M201" i="14" s="1"/>
  <c r="AQ201" i="14" s="1"/>
  <c r="L202" i="14"/>
  <c r="M202" i="14" s="1"/>
  <c r="AQ202" i="14" s="1"/>
  <c r="L204" i="14"/>
  <c r="M204" i="14" s="1"/>
  <c r="L205" i="14"/>
  <c r="M205" i="14" s="1"/>
  <c r="AQ205" i="14" s="1"/>
  <c r="L206" i="14"/>
  <c r="M206" i="14" s="1"/>
  <c r="AQ206" i="14" s="1"/>
  <c r="L210" i="14"/>
  <c r="M210" i="14" s="1"/>
  <c r="L211" i="14"/>
  <c r="M211" i="14" s="1"/>
  <c r="AQ211" i="14" s="1"/>
  <c r="AU211" i="14" s="1"/>
  <c r="L214" i="14"/>
  <c r="M214" i="14" s="1"/>
  <c r="L215" i="14"/>
  <c r="M215" i="14" s="1"/>
  <c r="AQ215" i="14" s="1"/>
  <c r="L216" i="14"/>
  <c r="M216" i="14" s="1"/>
  <c r="AQ216" i="14" s="1"/>
  <c r="L217" i="14"/>
  <c r="M217" i="14" s="1"/>
  <c r="AQ217" i="14" s="1"/>
  <c r="L218" i="14"/>
  <c r="M218" i="14" s="1"/>
  <c r="AQ218" i="14" s="1"/>
  <c r="L219" i="14"/>
  <c r="M219" i="14" s="1"/>
  <c r="AQ219" i="14" s="1"/>
  <c r="L222" i="14"/>
  <c r="M222" i="14" s="1"/>
  <c r="L223" i="14"/>
  <c r="M223" i="14" s="1"/>
  <c r="AQ223" i="14" s="1"/>
  <c r="L224" i="14"/>
  <c r="M224" i="14" s="1"/>
  <c r="AQ224" i="14" s="1"/>
  <c r="L227" i="14"/>
  <c r="M227" i="14" s="1"/>
  <c r="L228" i="14"/>
  <c r="M228" i="14" s="1"/>
  <c r="AQ228" i="14" s="1"/>
  <c r="L229" i="14"/>
  <c r="M229" i="14" s="1"/>
  <c r="AQ229" i="14" s="1"/>
  <c r="AU229" i="14" s="1"/>
  <c r="L230" i="14"/>
  <c r="M230" i="14" s="1"/>
  <c r="AQ230" i="14" s="1"/>
  <c r="AU230" i="14" s="1"/>
  <c r="L233" i="14"/>
  <c r="M233" i="14" s="1"/>
  <c r="L234" i="14"/>
  <c r="M234" i="14" s="1"/>
  <c r="AQ234" i="14" s="1"/>
  <c r="L235" i="14"/>
  <c r="M235" i="14" s="1"/>
  <c r="AQ235" i="14" s="1"/>
  <c r="L236" i="14"/>
  <c r="M236" i="14" s="1"/>
  <c r="AQ236" i="14" s="1"/>
  <c r="L239" i="14"/>
  <c r="M239" i="14" s="1"/>
  <c r="L240" i="14"/>
  <c r="M240" i="14" s="1"/>
  <c r="AQ240" i="14" s="1"/>
  <c r="L241" i="14"/>
  <c r="M241" i="14" s="1"/>
  <c r="AQ241" i="14" s="1"/>
  <c r="L242" i="14"/>
  <c r="M242" i="14" s="1"/>
  <c r="AQ242" i="14" s="1"/>
  <c r="AB199" i="14"/>
  <c r="Y199" i="14"/>
  <c r="U199" i="14"/>
  <c r="T199" i="14"/>
  <c r="S199" i="14"/>
  <c r="R199" i="14"/>
  <c r="AB200" i="14"/>
  <c r="Y200" i="14"/>
  <c r="U200" i="14"/>
  <c r="T200" i="14"/>
  <c r="S200" i="14"/>
  <c r="R200" i="14"/>
  <c r="AB201" i="14"/>
  <c r="Y201" i="14"/>
  <c r="U201" i="14"/>
  <c r="T201" i="14"/>
  <c r="S201" i="14"/>
  <c r="R201" i="14"/>
  <c r="AB202" i="14"/>
  <c r="Y202" i="14"/>
  <c r="U202" i="14"/>
  <c r="T202" i="14"/>
  <c r="S202" i="14"/>
  <c r="R202" i="14"/>
  <c r="AB204" i="14"/>
  <c r="Y204" i="14"/>
  <c r="U204" i="14"/>
  <c r="T204" i="14"/>
  <c r="S204" i="14"/>
  <c r="R204" i="14"/>
  <c r="AB205" i="14"/>
  <c r="Y205" i="14"/>
  <c r="U205" i="14"/>
  <c r="T205" i="14"/>
  <c r="S205" i="14"/>
  <c r="R205" i="14"/>
  <c r="AB206" i="14"/>
  <c r="Y206" i="14"/>
  <c r="U206" i="14"/>
  <c r="T206" i="14"/>
  <c r="S206" i="14"/>
  <c r="R206" i="14"/>
  <c r="AB210" i="14"/>
  <c r="Y210" i="14"/>
  <c r="U210" i="14"/>
  <c r="T210" i="14"/>
  <c r="S210" i="14"/>
  <c r="R210" i="14"/>
  <c r="AB211" i="14"/>
  <c r="Y211" i="14"/>
  <c r="U211" i="14"/>
  <c r="T211" i="14"/>
  <c r="S211" i="14"/>
  <c r="R211" i="14"/>
  <c r="AB214" i="14"/>
  <c r="Y214" i="14"/>
  <c r="U214" i="14"/>
  <c r="T214" i="14"/>
  <c r="S214" i="14"/>
  <c r="R214" i="14"/>
  <c r="AB215" i="14"/>
  <c r="Y215" i="14"/>
  <c r="U215" i="14"/>
  <c r="T215" i="14"/>
  <c r="S215" i="14"/>
  <c r="R215" i="14"/>
  <c r="AB216" i="14"/>
  <c r="Y216" i="14"/>
  <c r="U216" i="14"/>
  <c r="T216" i="14"/>
  <c r="S216" i="14"/>
  <c r="R216" i="14"/>
  <c r="AB217" i="14"/>
  <c r="Y217" i="14"/>
  <c r="U217" i="14"/>
  <c r="T217" i="14"/>
  <c r="S217" i="14"/>
  <c r="R217" i="14"/>
  <c r="AB218" i="14"/>
  <c r="Y218" i="14"/>
  <c r="U218" i="14"/>
  <c r="T218" i="14"/>
  <c r="S218" i="14"/>
  <c r="R218" i="14"/>
  <c r="AB219" i="14"/>
  <c r="Y219" i="14"/>
  <c r="U219" i="14"/>
  <c r="T219" i="14"/>
  <c r="S219" i="14"/>
  <c r="R219" i="14"/>
  <c r="AB222" i="14"/>
  <c r="Y222" i="14"/>
  <c r="U222" i="14"/>
  <c r="T222" i="14"/>
  <c r="S222" i="14"/>
  <c r="R222" i="14"/>
  <c r="AB223" i="14"/>
  <c r="Y223" i="14"/>
  <c r="U223" i="14"/>
  <c r="T223" i="14"/>
  <c r="S223" i="14"/>
  <c r="R223" i="14"/>
  <c r="AB224" i="14"/>
  <c r="Y224" i="14"/>
  <c r="U224" i="14"/>
  <c r="T224" i="14"/>
  <c r="S224" i="14"/>
  <c r="R224" i="14"/>
  <c r="AB227" i="14"/>
  <c r="Y227" i="14"/>
  <c r="U227" i="14"/>
  <c r="T227" i="14"/>
  <c r="S227" i="14"/>
  <c r="R227" i="14"/>
  <c r="AB228" i="14"/>
  <c r="Y228" i="14"/>
  <c r="U228" i="14"/>
  <c r="T228" i="14"/>
  <c r="S228" i="14"/>
  <c r="R228" i="14"/>
  <c r="AB229" i="14"/>
  <c r="Y229" i="14"/>
  <c r="U229" i="14"/>
  <c r="T229" i="14"/>
  <c r="S229" i="14"/>
  <c r="R229" i="14"/>
  <c r="AB230" i="14"/>
  <c r="Y230" i="14"/>
  <c r="U230" i="14"/>
  <c r="T230" i="14"/>
  <c r="S230" i="14"/>
  <c r="R230" i="14"/>
  <c r="AB233" i="14"/>
  <c r="Y233" i="14"/>
  <c r="U233" i="14"/>
  <c r="T233" i="14"/>
  <c r="S233" i="14"/>
  <c r="R233" i="14"/>
  <c r="AB234" i="14"/>
  <c r="Y234" i="14"/>
  <c r="U234" i="14"/>
  <c r="T234" i="14"/>
  <c r="S234" i="14"/>
  <c r="R234" i="14"/>
  <c r="AB235" i="14"/>
  <c r="Y235" i="14"/>
  <c r="U235" i="14"/>
  <c r="T235" i="14"/>
  <c r="S235" i="14"/>
  <c r="R235" i="14"/>
  <c r="AB236" i="14"/>
  <c r="Y236" i="14"/>
  <c r="U236" i="14"/>
  <c r="T236" i="14"/>
  <c r="S236" i="14"/>
  <c r="R236" i="14"/>
  <c r="AB239" i="14"/>
  <c r="Y239" i="14"/>
  <c r="U239" i="14"/>
  <c r="T239" i="14"/>
  <c r="S239" i="14"/>
  <c r="R239" i="14"/>
  <c r="AB240" i="14"/>
  <c r="Y240" i="14"/>
  <c r="U240" i="14"/>
  <c r="T240" i="14"/>
  <c r="S240" i="14"/>
  <c r="R240" i="14"/>
  <c r="AB241" i="14"/>
  <c r="Y241" i="14"/>
  <c r="U241" i="14"/>
  <c r="T241" i="14"/>
  <c r="S241" i="14"/>
  <c r="R241" i="14"/>
  <c r="AB242" i="14"/>
  <c r="Y242" i="14"/>
  <c r="U242" i="14"/>
  <c r="T242" i="14"/>
  <c r="S242" i="14"/>
  <c r="R242" i="14"/>
  <c r="AM199" i="14"/>
  <c r="AN199" i="14" s="1"/>
  <c r="AS199" i="14" s="1"/>
  <c r="AM200" i="14"/>
  <c r="AN200" i="14" s="1"/>
  <c r="AS200" i="14" s="1"/>
  <c r="AM201" i="14"/>
  <c r="AN201" i="14" s="1"/>
  <c r="AS201" i="14" s="1"/>
  <c r="AM202" i="14"/>
  <c r="AN202" i="14" s="1"/>
  <c r="AS202" i="14" s="1"/>
  <c r="AM204" i="14"/>
  <c r="AN204" i="14" s="1"/>
  <c r="AS204" i="14" s="1"/>
  <c r="AM205" i="14"/>
  <c r="AN205" i="14" s="1"/>
  <c r="AS205" i="14" s="1"/>
  <c r="AM206" i="14"/>
  <c r="AN206" i="14" s="1"/>
  <c r="AS206" i="14" s="1"/>
  <c r="AM210" i="14"/>
  <c r="AN210" i="14" s="1"/>
  <c r="AS210" i="14" s="1"/>
  <c r="AM211" i="14"/>
  <c r="AN211" i="14" s="1"/>
  <c r="AM214" i="14"/>
  <c r="AN214" i="14" s="1"/>
  <c r="AS214" i="14" s="1"/>
  <c r="AM215" i="14"/>
  <c r="AN215" i="14" s="1"/>
  <c r="AS215" i="14" s="1"/>
  <c r="AM216" i="14"/>
  <c r="AN216" i="14" s="1"/>
  <c r="AS216" i="14" s="1"/>
  <c r="AM217" i="14"/>
  <c r="AN217" i="14" s="1"/>
  <c r="AS217" i="14" s="1"/>
  <c r="AM218" i="14"/>
  <c r="AN218" i="14" s="1"/>
  <c r="AS218" i="14" s="1"/>
  <c r="AM219" i="14"/>
  <c r="AN219" i="14" s="1"/>
  <c r="AM222" i="14"/>
  <c r="AN222" i="14" s="1"/>
  <c r="AS222" i="14" s="1"/>
  <c r="AM223" i="14"/>
  <c r="AN223" i="14" s="1"/>
  <c r="AS223" i="14" s="1"/>
  <c r="AM224" i="14"/>
  <c r="AN224" i="14" s="1"/>
  <c r="AS224" i="14" s="1"/>
  <c r="AM227" i="14"/>
  <c r="AN227" i="14" s="1"/>
  <c r="AS227" i="14" s="1"/>
  <c r="AM228" i="14"/>
  <c r="AN228" i="14" s="1"/>
  <c r="AM229" i="14"/>
  <c r="AN229" i="14" s="1"/>
  <c r="AS229" i="14" s="1"/>
  <c r="AM230" i="14"/>
  <c r="AN230" i="14" s="1"/>
  <c r="AS230" i="14" s="1"/>
  <c r="AM233" i="14"/>
  <c r="AN233" i="14" s="1"/>
  <c r="AS233" i="14" s="1"/>
  <c r="AM234" i="14"/>
  <c r="AN234" i="14" s="1"/>
  <c r="AS234" i="14" s="1"/>
  <c r="AM235" i="14"/>
  <c r="AN235" i="14" s="1"/>
  <c r="AS235" i="14" s="1"/>
  <c r="AM236" i="14"/>
  <c r="AN236" i="14" s="1"/>
  <c r="AS236" i="14" s="1"/>
  <c r="AM239" i="14"/>
  <c r="AN239" i="14" s="1"/>
  <c r="AS239" i="14" s="1"/>
  <c r="AM240" i="14"/>
  <c r="AN240" i="14" s="1"/>
  <c r="AM241" i="14"/>
  <c r="AN241" i="14" s="1"/>
  <c r="AS241" i="14" s="1"/>
  <c r="AM242" i="14"/>
  <c r="AN242" i="14" s="1"/>
  <c r="AS242" i="14" s="1"/>
  <c r="AZ61" i="18"/>
  <c r="AZ62" i="18"/>
  <c r="AZ63" i="18"/>
  <c r="AZ65" i="18"/>
  <c r="AZ64" i="18" s="1"/>
  <c r="AZ67" i="18"/>
  <c r="AZ66" i="18" s="1"/>
  <c r="AZ69" i="18"/>
  <c r="AZ68" i="18" s="1"/>
  <c r="AZ71" i="18"/>
  <c r="AZ70" i="18" s="1"/>
  <c r="AZ73" i="18"/>
  <c r="AZ72" i="18" s="1"/>
  <c r="BA61" i="18"/>
  <c r="BA62" i="18"/>
  <c r="BA63" i="18"/>
  <c r="BA65" i="18"/>
  <c r="BA64" i="18" s="1"/>
  <c r="BA67" i="18"/>
  <c r="BA66" i="18" s="1"/>
  <c r="BA69" i="18"/>
  <c r="BA68" i="18" s="1"/>
  <c r="BA71" i="18"/>
  <c r="BA70" i="18" s="1"/>
  <c r="BA73" i="18"/>
  <c r="BA72" i="18" s="1"/>
  <c r="BB61" i="18"/>
  <c r="BB62" i="18"/>
  <c r="BB63" i="18"/>
  <c r="BB65" i="18"/>
  <c r="BB64" i="18" s="1"/>
  <c r="BB67" i="18"/>
  <c r="BB66" i="18" s="1"/>
  <c r="BB69" i="18"/>
  <c r="BB68" i="18" s="1"/>
  <c r="BB71" i="18"/>
  <c r="BB70" i="18" s="1"/>
  <c r="BB73" i="18"/>
  <c r="BB72" i="18" s="1"/>
  <c r="BC61" i="18"/>
  <c r="BC62" i="18"/>
  <c r="BC63" i="18"/>
  <c r="BC65" i="18"/>
  <c r="BC64" i="18" s="1"/>
  <c r="BC67" i="18"/>
  <c r="BC66" i="18" s="1"/>
  <c r="BC69" i="18"/>
  <c r="BC68" i="18" s="1"/>
  <c r="BC71" i="18"/>
  <c r="BC70" i="18" s="1"/>
  <c r="BC73" i="18"/>
  <c r="BC72" i="18" s="1"/>
  <c r="BD61" i="18"/>
  <c r="BD62" i="18"/>
  <c r="BD63" i="18"/>
  <c r="BD65" i="18"/>
  <c r="BD64" i="18" s="1"/>
  <c r="BD67" i="18"/>
  <c r="BD66" i="18" s="1"/>
  <c r="BD69" i="18"/>
  <c r="BD68" i="18" s="1"/>
  <c r="BD71" i="18"/>
  <c r="BD70" i="18" s="1"/>
  <c r="BD73" i="18"/>
  <c r="BD72" i="18" s="1"/>
  <c r="BE61" i="18"/>
  <c r="BE62" i="18"/>
  <c r="BE63" i="18"/>
  <c r="BE65" i="18"/>
  <c r="BE64" i="18" s="1"/>
  <c r="BE67" i="18"/>
  <c r="BE66" i="18" s="1"/>
  <c r="BE69" i="18"/>
  <c r="BE68" i="18" s="1"/>
  <c r="BE71" i="18"/>
  <c r="BE70" i="18" s="1"/>
  <c r="BE73" i="18"/>
  <c r="BE72" i="18" s="1"/>
  <c r="L199" i="15"/>
  <c r="M199" i="15" s="1"/>
  <c r="AQ199" i="15" s="1"/>
  <c r="L200" i="15"/>
  <c r="M200" i="15" s="1"/>
  <c r="AQ200" i="15" s="1"/>
  <c r="AU200" i="15" s="1"/>
  <c r="L201" i="15"/>
  <c r="M201" i="15" s="1"/>
  <c r="AQ201" i="15" s="1"/>
  <c r="L202" i="15"/>
  <c r="M202" i="15" s="1"/>
  <c r="AQ202" i="15" s="1"/>
  <c r="L204" i="15"/>
  <c r="M204" i="15" s="1"/>
  <c r="AQ204" i="15" s="1"/>
  <c r="L205" i="15"/>
  <c r="M205" i="15" s="1"/>
  <c r="AQ205" i="15" s="1"/>
  <c r="L206" i="15"/>
  <c r="M206" i="15" s="1"/>
  <c r="AQ206" i="15" s="1"/>
  <c r="L210" i="15"/>
  <c r="M210" i="15" s="1"/>
  <c r="L211" i="15"/>
  <c r="M211" i="15" s="1"/>
  <c r="AQ211" i="15" s="1"/>
  <c r="AU211" i="15" s="1"/>
  <c r="L214" i="15"/>
  <c r="M214" i="15" s="1"/>
  <c r="AQ214" i="15" s="1"/>
  <c r="L215" i="15"/>
  <c r="M215" i="15" s="1"/>
  <c r="AQ215" i="15" s="1"/>
  <c r="L216" i="15"/>
  <c r="M216" i="15" s="1"/>
  <c r="AQ216" i="15" s="1"/>
  <c r="L217" i="15"/>
  <c r="M217" i="15" s="1"/>
  <c r="AQ217" i="15" s="1"/>
  <c r="L218" i="15"/>
  <c r="M218" i="15" s="1"/>
  <c r="AQ218" i="15" s="1"/>
  <c r="L219" i="15"/>
  <c r="M219" i="15" s="1"/>
  <c r="AQ219" i="15" s="1"/>
  <c r="L222" i="15"/>
  <c r="M222" i="15" s="1"/>
  <c r="AQ222" i="15" s="1"/>
  <c r="L223" i="15"/>
  <c r="M223" i="15" s="1"/>
  <c r="AQ223" i="15" s="1"/>
  <c r="L224" i="15"/>
  <c r="M224" i="15" s="1"/>
  <c r="L227" i="15"/>
  <c r="M227" i="15" s="1"/>
  <c r="L228" i="15"/>
  <c r="M228" i="15" s="1"/>
  <c r="AQ228" i="15" s="1"/>
  <c r="L229" i="15"/>
  <c r="M229" i="15" s="1"/>
  <c r="AQ229" i="15" s="1"/>
  <c r="AU229" i="15" s="1"/>
  <c r="L230" i="15"/>
  <c r="M230" i="15" s="1"/>
  <c r="AQ230" i="15" s="1"/>
  <c r="AU230" i="15" s="1"/>
  <c r="L233" i="15"/>
  <c r="M233" i="15" s="1"/>
  <c r="AQ233" i="15" s="1"/>
  <c r="L234" i="15"/>
  <c r="M234" i="15" s="1"/>
  <c r="AQ234" i="15" s="1"/>
  <c r="L235" i="15"/>
  <c r="M235" i="15" s="1"/>
  <c r="AQ235" i="15" s="1"/>
  <c r="L236" i="15"/>
  <c r="M236" i="15" s="1"/>
  <c r="AQ236" i="15" s="1"/>
  <c r="L239" i="15"/>
  <c r="M239" i="15" s="1"/>
  <c r="AQ239" i="15" s="1"/>
  <c r="L240" i="15"/>
  <c r="M240" i="15" s="1"/>
  <c r="AQ240" i="15" s="1"/>
  <c r="L241" i="15"/>
  <c r="M241" i="15" s="1"/>
  <c r="L242" i="15"/>
  <c r="M242" i="15" s="1"/>
  <c r="AQ242" i="15" s="1"/>
  <c r="AB199" i="15"/>
  <c r="Y199" i="15"/>
  <c r="U199" i="15"/>
  <c r="T199" i="15"/>
  <c r="S199" i="15"/>
  <c r="R199" i="15"/>
  <c r="AB200" i="15"/>
  <c r="Y200" i="15"/>
  <c r="U200" i="15"/>
  <c r="T200" i="15"/>
  <c r="S200" i="15"/>
  <c r="R200" i="15"/>
  <c r="AB201" i="15"/>
  <c r="Y201" i="15"/>
  <c r="U201" i="15"/>
  <c r="T201" i="15"/>
  <c r="S201" i="15"/>
  <c r="R201" i="15"/>
  <c r="AB202" i="15"/>
  <c r="Y202" i="15"/>
  <c r="U202" i="15"/>
  <c r="T202" i="15"/>
  <c r="S202" i="15"/>
  <c r="R202" i="15"/>
  <c r="AB204" i="15"/>
  <c r="Y204" i="15"/>
  <c r="U204" i="15"/>
  <c r="T204" i="15"/>
  <c r="S204" i="15"/>
  <c r="R204" i="15"/>
  <c r="AB205" i="15"/>
  <c r="Y205" i="15"/>
  <c r="U205" i="15"/>
  <c r="T205" i="15"/>
  <c r="S205" i="15"/>
  <c r="R205" i="15"/>
  <c r="AB206" i="15"/>
  <c r="Y206" i="15"/>
  <c r="U206" i="15"/>
  <c r="T206" i="15"/>
  <c r="S206" i="15"/>
  <c r="R206" i="15"/>
  <c r="AB210" i="15"/>
  <c r="Y210" i="15"/>
  <c r="U210" i="15"/>
  <c r="T210" i="15"/>
  <c r="S210" i="15"/>
  <c r="R210" i="15"/>
  <c r="AB211" i="15"/>
  <c r="Y211" i="15"/>
  <c r="U211" i="15"/>
  <c r="T211" i="15"/>
  <c r="S211" i="15"/>
  <c r="R211" i="15"/>
  <c r="AB214" i="15"/>
  <c r="Y214" i="15"/>
  <c r="U214" i="15"/>
  <c r="T214" i="15"/>
  <c r="S214" i="15"/>
  <c r="R214" i="15"/>
  <c r="AB215" i="15"/>
  <c r="Y215" i="15"/>
  <c r="U215" i="15"/>
  <c r="T215" i="15"/>
  <c r="S215" i="15"/>
  <c r="R215" i="15"/>
  <c r="AB216" i="15"/>
  <c r="Y216" i="15"/>
  <c r="U216" i="15"/>
  <c r="T216" i="15"/>
  <c r="S216" i="15"/>
  <c r="R216" i="15"/>
  <c r="AB217" i="15"/>
  <c r="Y217" i="15"/>
  <c r="U217" i="15"/>
  <c r="T217" i="15"/>
  <c r="S217" i="15"/>
  <c r="R217" i="15"/>
  <c r="AB218" i="15"/>
  <c r="Y218" i="15"/>
  <c r="U218" i="15"/>
  <c r="T218" i="15"/>
  <c r="S218" i="15"/>
  <c r="R218" i="15"/>
  <c r="AB219" i="15"/>
  <c r="Y219" i="15"/>
  <c r="U219" i="15"/>
  <c r="T219" i="15"/>
  <c r="S219" i="15"/>
  <c r="R219" i="15"/>
  <c r="AB222" i="15"/>
  <c r="Y222" i="15"/>
  <c r="U222" i="15"/>
  <c r="T222" i="15"/>
  <c r="S222" i="15"/>
  <c r="R222" i="15"/>
  <c r="AB223" i="15"/>
  <c r="Y223" i="15"/>
  <c r="U223" i="15"/>
  <c r="T223" i="15"/>
  <c r="S223" i="15"/>
  <c r="R223" i="15"/>
  <c r="AB224" i="15"/>
  <c r="Y224" i="15"/>
  <c r="U224" i="15"/>
  <c r="T224" i="15"/>
  <c r="S224" i="15"/>
  <c r="R224" i="15"/>
  <c r="AB227" i="15"/>
  <c r="Y227" i="15"/>
  <c r="U227" i="15"/>
  <c r="T227" i="15"/>
  <c r="S227" i="15"/>
  <c r="R227" i="15"/>
  <c r="AB228" i="15"/>
  <c r="Y228" i="15"/>
  <c r="U228" i="15"/>
  <c r="T228" i="15"/>
  <c r="S228" i="15"/>
  <c r="R228" i="15"/>
  <c r="AB229" i="15"/>
  <c r="Y229" i="15"/>
  <c r="U229" i="15"/>
  <c r="T229" i="15"/>
  <c r="S229" i="15"/>
  <c r="R229" i="15"/>
  <c r="AB230" i="15"/>
  <c r="Y230" i="15"/>
  <c r="U230" i="15"/>
  <c r="T230" i="15"/>
  <c r="S230" i="15"/>
  <c r="R230" i="15"/>
  <c r="AB233" i="15"/>
  <c r="Y233" i="15"/>
  <c r="U233" i="15"/>
  <c r="T233" i="15"/>
  <c r="S233" i="15"/>
  <c r="R233" i="15"/>
  <c r="AB234" i="15"/>
  <c r="Y234" i="15"/>
  <c r="U234" i="15"/>
  <c r="T234" i="15"/>
  <c r="S234" i="15"/>
  <c r="R234" i="15"/>
  <c r="AB235" i="15"/>
  <c r="Y235" i="15"/>
  <c r="U235" i="15"/>
  <c r="T235" i="15"/>
  <c r="S235" i="15"/>
  <c r="R235" i="15"/>
  <c r="AB236" i="15"/>
  <c r="Y236" i="15"/>
  <c r="U236" i="15"/>
  <c r="T236" i="15"/>
  <c r="S236" i="15"/>
  <c r="R236" i="15"/>
  <c r="AB239" i="15"/>
  <c r="Y239" i="15"/>
  <c r="U239" i="15"/>
  <c r="T239" i="15"/>
  <c r="S239" i="15"/>
  <c r="R239" i="15"/>
  <c r="AB240" i="15"/>
  <c r="Y240" i="15"/>
  <c r="U240" i="15"/>
  <c r="T240" i="15"/>
  <c r="S240" i="15"/>
  <c r="R240" i="15"/>
  <c r="AB241" i="15"/>
  <c r="Y241" i="15"/>
  <c r="U241" i="15"/>
  <c r="T241" i="15"/>
  <c r="S241" i="15"/>
  <c r="R241" i="15"/>
  <c r="AB242" i="15"/>
  <c r="Y242" i="15"/>
  <c r="U242" i="15"/>
  <c r="T242" i="15"/>
  <c r="S242" i="15"/>
  <c r="R242" i="15"/>
  <c r="AM199" i="15"/>
  <c r="AN199" i="15" s="1"/>
  <c r="AS199" i="15" s="1"/>
  <c r="AM200" i="15"/>
  <c r="AN200" i="15" s="1"/>
  <c r="AM201" i="15"/>
  <c r="AN201" i="15" s="1"/>
  <c r="AS201" i="15" s="1"/>
  <c r="AM202" i="15"/>
  <c r="AN202" i="15" s="1"/>
  <c r="AM204" i="15"/>
  <c r="AN204" i="15" s="1"/>
  <c r="AM205" i="15"/>
  <c r="AN205" i="15" s="1"/>
  <c r="AM206" i="15"/>
  <c r="AN206" i="15" s="1"/>
  <c r="AS206" i="15" s="1"/>
  <c r="AM210" i="15"/>
  <c r="AN210" i="15" s="1"/>
  <c r="AM211" i="15"/>
  <c r="AN211" i="15" s="1"/>
  <c r="AS211" i="15" s="1"/>
  <c r="AM214" i="15"/>
  <c r="AN214" i="15" s="1"/>
  <c r="AS214" i="15" s="1"/>
  <c r="AM215" i="15"/>
  <c r="AN215" i="15" s="1"/>
  <c r="AM216" i="15"/>
  <c r="AN216" i="15" s="1"/>
  <c r="AS216" i="15" s="1"/>
  <c r="AM217" i="15"/>
  <c r="AN217" i="15" s="1"/>
  <c r="AM218" i="15"/>
  <c r="AN218" i="15" s="1"/>
  <c r="AS218" i="15" s="1"/>
  <c r="AM219" i="15"/>
  <c r="AN219" i="15" s="1"/>
  <c r="AM222" i="15"/>
  <c r="AN222" i="15" s="1"/>
  <c r="AM223" i="15"/>
  <c r="AN223" i="15" s="1"/>
  <c r="AM224" i="15"/>
  <c r="AN224" i="15" s="1"/>
  <c r="AM227" i="15"/>
  <c r="AN227" i="15" s="1"/>
  <c r="AM228" i="15"/>
  <c r="AN228" i="15" s="1"/>
  <c r="AS228" i="15" s="1"/>
  <c r="AM229" i="15"/>
  <c r="AN229" i="15" s="1"/>
  <c r="AM230" i="15"/>
  <c r="AN230" i="15" s="1"/>
  <c r="AM233" i="15"/>
  <c r="AN233" i="15" s="1"/>
  <c r="AS233" i="15" s="1"/>
  <c r="AM234" i="15"/>
  <c r="AN234" i="15" s="1"/>
  <c r="AM235" i="15"/>
  <c r="AN235" i="15" s="1"/>
  <c r="AS235" i="15" s="1"/>
  <c r="AM236" i="15"/>
  <c r="AN236" i="15" s="1"/>
  <c r="AM239" i="15"/>
  <c r="AN239" i="15" s="1"/>
  <c r="AM240" i="15"/>
  <c r="AN240" i="15" s="1"/>
  <c r="AM241" i="15"/>
  <c r="AN241" i="15" s="1"/>
  <c r="AM242" i="15"/>
  <c r="AN242" i="15" s="1"/>
  <c r="AS242" i="15" s="1"/>
  <c r="BM61" i="18"/>
  <c r="BM62" i="18"/>
  <c r="BM63" i="18"/>
  <c r="BM65" i="18"/>
  <c r="BM64" i="18" s="1"/>
  <c r="BM67" i="18"/>
  <c r="BM66" i="18" s="1"/>
  <c r="BM69" i="18"/>
  <c r="BM68" i="18" s="1"/>
  <c r="BM71" i="18"/>
  <c r="BM70" i="18" s="1"/>
  <c r="BM73" i="18"/>
  <c r="BM72" i="18" s="1"/>
  <c r="BN61" i="18"/>
  <c r="BN62" i="18"/>
  <c r="BN63" i="18"/>
  <c r="BN65" i="18"/>
  <c r="BN67" i="18"/>
  <c r="BN66" i="18" s="1"/>
  <c r="BN69" i="18"/>
  <c r="BN71" i="18"/>
  <c r="BN70" i="18" s="1"/>
  <c r="BN73" i="18"/>
  <c r="BO61" i="18"/>
  <c r="BO62" i="18"/>
  <c r="BO63" i="18"/>
  <c r="BO65" i="18"/>
  <c r="BO64" i="18" s="1"/>
  <c r="BO67" i="18"/>
  <c r="BO66" i="18" s="1"/>
  <c r="BO69" i="18"/>
  <c r="BO68" i="18" s="1"/>
  <c r="BO71" i="18"/>
  <c r="BO70" i="18" s="1"/>
  <c r="BO73" i="18"/>
  <c r="BO72" i="18" s="1"/>
  <c r="BP61" i="18"/>
  <c r="BP62" i="18"/>
  <c r="BP63" i="18"/>
  <c r="BP65" i="18"/>
  <c r="BP67" i="18"/>
  <c r="BP66" i="18" s="1"/>
  <c r="BP69" i="18"/>
  <c r="BP71" i="18"/>
  <c r="BP70" i="18" s="1"/>
  <c r="BP73" i="18"/>
  <c r="BQ61" i="18"/>
  <c r="BQ62" i="18"/>
  <c r="BQ63" i="18"/>
  <c r="BQ65" i="18"/>
  <c r="BQ64" i="18" s="1"/>
  <c r="BQ67" i="18"/>
  <c r="BQ66" i="18" s="1"/>
  <c r="BQ69" i="18"/>
  <c r="BQ68" i="18" s="1"/>
  <c r="BQ71" i="18"/>
  <c r="BQ70" i="18" s="1"/>
  <c r="BQ73" i="18"/>
  <c r="BQ72" i="18" s="1"/>
  <c r="BR61" i="18"/>
  <c r="BR62" i="18"/>
  <c r="BR63" i="18"/>
  <c r="BR65" i="18"/>
  <c r="BR67" i="18"/>
  <c r="BR66" i="18" s="1"/>
  <c r="BR69" i="18"/>
  <c r="BR71" i="18"/>
  <c r="BR70" i="18" s="1"/>
  <c r="BR73" i="18"/>
  <c r="L199" i="16"/>
  <c r="M199" i="16" s="1"/>
  <c r="AQ199" i="16" s="1"/>
  <c r="L200" i="16"/>
  <c r="M200" i="16" s="1"/>
  <c r="AQ200" i="16" s="1"/>
  <c r="AU200" i="16" s="1"/>
  <c r="L201" i="16"/>
  <c r="M201" i="16" s="1"/>
  <c r="L202" i="16"/>
  <c r="M202" i="16" s="1"/>
  <c r="AQ202" i="16" s="1"/>
  <c r="L204" i="16"/>
  <c r="M204" i="16" s="1"/>
  <c r="L205" i="16"/>
  <c r="M205" i="16" s="1"/>
  <c r="AQ205" i="16" s="1"/>
  <c r="L206" i="16"/>
  <c r="M206" i="16" s="1"/>
  <c r="AQ206" i="16" s="1"/>
  <c r="L210" i="16"/>
  <c r="M210" i="16" s="1"/>
  <c r="AQ210" i="16" s="1"/>
  <c r="AU210" i="16" s="1"/>
  <c r="L211" i="16"/>
  <c r="M211" i="16" s="1"/>
  <c r="AQ211" i="16" s="1"/>
  <c r="AU211" i="16" s="1"/>
  <c r="L214" i="16"/>
  <c r="M214" i="16" s="1"/>
  <c r="AQ214" i="16" s="1"/>
  <c r="L215" i="16"/>
  <c r="M215" i="16" s="1"/>
  <c r="AQ215" i="16" s="1"/>
  <c r="L216" i="16"/>
  <c r="M216" i="16" s="1"/>
  <c r="AQ216" i="16" s="1"/>
  <c r="L217" i="16"/>
  <c r="M217" i="16" s="1"/>
  <c r="AQ217" i="16" s="1"/>
  <c r="L218" i="16"/>
  <c r="M218" i="16" s="1"/>
  <c r="L219" i="16"/>
  <c r="M219" i="16" s="1"/>
  <c r="AQ219" i="16" s="1"/>
  <c r="L222" i="16"/>
  <c r="M222" i="16" s="1"/>
  <c r="AQ222" i="16" s="1"/>
  <c r="L223" i="16"/>
  <c r="L224" i="16"/>
  <c r="M224" i="16" s="1"/>
  <c r="AQ224" i="16" s="1"/>
  <c r="L227" i="16"/>
  <c r="M227" i="16" s="1"/>
  <c r="AQ227" i="16" s="1"/>
  <c r="L228" i="16"/>
  <c r="M228" i="16" s="1"/>
  <c r="L229" i="16"/>
  <c r="M229" i="16" s="1"/>
  <c r="AQ229" i="16" s="1"/>
  <c r="AU229" i="16" s="1"/>
  <c r="L230" i="16"/>
  <c r="M230" i="16" s="1"/>
  <c r="AQ230" i="16" s="1"/>
  <c r="AU230" i="16" s="1"/>
  <c r="L233" i="16"/>
  <c r="M233" i="16" s="1"/>
  <c r="L234" i="16"/>
  <c r="M234" i="16" s="1"/>
  <c r="AQ234" i="16" s="1"/>
  <c r="L235" i="16"/>
  <c r="L236" i="16"/>
  <c r="M236" i="16" s="1"/>
  <c r="AQ236" i="16" s="1"/>
  <c r="L239" i="16"/>
  <c r="M239" i="16" s="1"/>
  <c r="AQ239" i="16" s="1"/>
  <c r="L240" i="16"/>
  <c r="M240" i="16" s="1"/>
  <c r="AQ240" i="16" s="1"/>
  <c r="L241" i="16"/>
  <c r="M241" i="16" s="1"/>
  <c r="AQ241" i="16" s="1"/>
  <c r="L242" i="16"/>
  <c r="M242" i="16" s="1"/>
  <c r="AQ242" i="16" s="1"/>
  <c r="AB199" i="16"/>
  <c r="Y199" i="16"/>
  <c r="U199" i="16"/>
  <c r="T199" i="16"/>
  <c r="S199" i="16"/>
  <c r="R199" i="16"/>
  <c r="AB200" i="16"/>
  <c r="Y200" i="16"/>
  <c r="U200" i="16"/>
  <c r="T200" i="16"/>
  <c r="S200" i="16"/>
  <c r="R200" i="16"/>
  <c r="AB201" i="16"/>
  <c r="Y201" i="16"/>
  <c r="U201" i="16"/>
  <c r="T201" i="16"/>
  <c r="S201" i="16"/>
  <c r="R201" i="16"/>
  <c r="AB202" i="16"/>
  <c r="Y202" i="16"/>
  <c r="U202" i="16"/>
  <c r="T202" i="16"/>
  <c r="S202" i="16"/>
  <c r="R202" i="16"/>
  <c r="AB204" i="16"/>
  <c r="Y204" i="16"/>
  <c r="U204" i="16"/>
  <c r="T204" i="16"/>
  <c r="S204" i="16"/>
  <c r="R204" i="16"/>
  <c r="AB205" i="16"/>
  <c r="Y205" i="16"/>
  <c r="U205" i="16"/>
  <c r="T205" i="16"/>
  <c r="S205" i="16"/>
  <c r="R205" i="16"/>
  <c r="AB206" i="16"/>
  <c r="Y206" i="16"/>
  <c r="U206" i="16"/>
  <c r="T206" i="16"/>
  <c r="S206" i="16"/>
  <c r="R206" i="16"/>
  <c r="AB210" i="16"/>
  <c r="Y210" i="16"/>
  <c r="U210" i="16"/>
  <c r="T210" i="16"/>
  <c r="S210" i="16"/>
  <c r="R210" i="16"/>
  <c r="AB211" i="16"/>
  <c r="Y211" i="16"/>
  <c r="U211" i="16"/>
  <c r="T211" i="16"/>
  <c r="S211" i="16"/>
  <c r="R211" i="16"/>
  <c r="AB214" i="16"/>
  <c r="Y214" i="16"/>
  <c r="U214" i="16"/>
  <c r="T214" i="16"/>
  <c r="S214" i="16"/>
  <c r="R214" i="16"/>
  <c r="AB215" i="16"/>
  <c r="Y215" i="16"/>
  <c r="U215" i="16"/>
  <c r="T215" i="16"/>
  <c r="S215" i="16"/>
  <c r="R215" i="16"/>
  <c r="AB216" i="16"/>
  <c r="Y216" i="16"/>
  <c r="U216" i="16"/>
  <c r="T216" i="16"/>
  <c r="S216" i="16"/>
  <c r="R216" i="16"/>
  <c r="AB217" i="16"/>
  <c r="Y217" i="16"/>
  <c r="U217" i="16"/>
  <c r="T217" i="16"/>
  <c r="S217" i="16"/>
  <c r="R217" i="16"/>
  <c r="AB218" i="16"/>
  <c r="Y218" i="16"/>
  <c r="U218" i="16"/>
  <c r="T218" i="16"/>
  <c r="S218" i="16"/>
  <c r="R218" i="16"/>
  <c r="AB219" i="16"/>
  <c r="Y219" i="16"/>
  <c r="U219" i="16"/>
  <c r="T219" i="16"/>
  <c r="S219" i="16"/>
  <c r="R219" i="16"/>
  <c r="AB222" i="16"/>
  <c r="Y222" i="16"/>
  <c r="U222" i="16"/>
  <c r="T222" i="16"/>
  <c r="S222" i="16"/>
  <c r="R222" i="16"/>
  <c r="AB223" i="16"/>
  <c r="Y223" i="16"/>
  <c r="U223" i="16"/>
  <c r="T223" i="16"/>
  <c r="S223" i="16"/>
  <c r="R223" i="16"/>
  <c r="AB224" i="16"/>
  <c r="Y224" i="16"/>
  <c r="U224" i="16"/>
  <c r="T224" i="16"/>
  <c r="S224" i="16"/>
  <c r="R224" i="16"/>
  <c r="AB227" i="16"/>
  <c r="Y227" i="16"/>
  <c r="U227" i="16"/>
  <c r="T227" i="16"/>
  <c r="S227" i="16"/>
  <c r="R227" i="16"/>
  <c r="AB228" i="16"/>
  <c r="Y228" i="16"/>
  <c r="U228" i="16"/>
  <c r="T228" i="16"/>
  <c r="S228" i="16"/>
  <c r="R228" i="16"/>
  <c r="AB229" i="16"/>
  <c r="Y229" i="16"/>
  <c r="U229" i="16"/>
  <c r="T229" i="16"/>
  <c r="S229" i="16"/>
  <c r="R229" i="16"/>
  <c r="AB230" i="16"/>
  <c r="Y230" i="16"/>
  <c r="U230" i="16"/>
  <c r="T230" i="16"/>
  <c r="S230" i="16"/>
  <c r="R230" i="16"/>
  <c r="AB233" i="16"/>
  <c r="Y233" i="16"/>
  <c r="U233" i="16"/>
  <c r="T233" i="16"/>
  <c r="S233" i="16"/>
  <c r="R233" i="16"/>
  <c r="AB234" i="16"/>
  <c r="Y234" i="16"/>
  <c r="U234" i="16"/>
  <c r="T234" i="16"/>
  <c r="S234" i="16"/>
  <c r="R234" i="16"/>
  <c r="AB235" i="16"/>
  <c r="Y235" i="16"/>
  <c r="U235" i="16"/>
  <c r="T235" i="16"/>
  <c r="S235" i="16"/>
  <c r="R235" i="16"/>
  <c r="AB236" i="16"/>
  <c r="Y236" i="16"/>
  <c r="U236" i="16"/>
  <c r="T236" i="16"/>
  <c r="S236" i="16"/>
  <c r="R236" i="16"/>
  <c r="AB239" i="16"/>
  <c r="Y239" i="16"/>
  <c r="U239" i="16"/>
  <c r="T239" i="16"/>
  <c r="S239" i="16"/>
  <c r="R239" i="16"/>
  <c r="AB240" i="16"/>
  <c r="Y240" i="16"/>
  <c r="U240" i="16"/>
  <c r="T240" i="16"/>
  <c r="S240" i="16"/>
  <c r="R240" i="16"/>
  <c r="AB241" i="16"/>
  <c r="Y241" i="16"/>
  <c r="U241" i="16"/>
  <c r="T241" i="16"/>
  <c r="S241" i="16"/>
  <c r="R241" i="16"/>
  <c r="AB242" i="16"/>
  <c r="Y242" i="16"/>
  <c r="U242" i="16"/>
  <c r="T242" i="16"/>
  <c r="S242" i="16"/>
  <c r="R242" i="16"/>
  <c r="AM199" i="16"/>
  <c r="AN199" i="16" s="1"/>
  <c r="AS199" i="16" s="1"/>
  <c r="AM200" i="16"/>
  <c r="AN200" i="16" s="1"/>
  <c r="AM201" i="16"/>
  <c r="AN201" i="16" s="1"/>
  <c r="AS201" i="16" s="1"/>
  <c r="AM202" i="16"/>
  <c r="AN202" i="16" s="1"/>
  <c r="AS202" i="16" s="1"/>
  <c r="AM204" i="16"/>
  <c r="AN204" i="16" s="1"/>
  <c r="AS204" i="16" s="1"/>
  <c r="AM205" i="16"/>
  <c r="AN205" i="16" s="1"/>
  <c r="AS205" i="16" s="1"/>
  <c r="AM206" i="16"/>
  <c r="AN206" i="16" s="1"/>
  <c r="AM210" i="16"/>
  <c r="AN210" i="16" s="1"/>
  <c r="AS210" i="16" s="1"/>
  <c r="AM211" i="16"/>
  <c r="AN211" i="16" s="1"/>
  <c r="AS211" i="16" s="1"/>
  <c r="AM214" i="16"/>
  <c r="AN214" i="16" s="1"/>
  <c r="AM215" i="16"/>
  <c r="AN215" i="16" s="1"/>
  <c r="AS215" i="16" s="1"/>
  <c r="AM216" i="16"/>
  <c r="AN216" i="16" s="1"/>
  <c r="AS216" i="16" s="1"/>
  <c r="AM217" i="16"/>
  <c r="AN217" i="16" s="1"/>
  <c r="AS217" i="16" s="1"/>
  <c r="AM218" i="16"/>
  <c r="AN218" i="16" s="1"/>
  <c r="AS218" i="16" s="1"/>
  <c r="AM219" i="16"/>
  <c r="AN219" i="16" s="1"/>
  <c r="AS219" i="16" s="1"/>
  <c r="AM222" i="16"/>
  <c r="AN222" i="16" s="1"/>
  <c r="AS222" i="16" s="1"/>
  <c r="AM223" i="16"/>
  <c r="AN223" i="16" s="1"/>
  <c r="AM224" i="16"/>
  <c r="AM227" i="16"/>
  <c r="AN227" i="16" s="1"/>
  <c r="AS227" i="16" s="1"/>
  <c r="AM228" i="16"/>
  <c r="AN228" i="16" s="1"/>
  <c r="AM229" i="16"/>
  <c r="AN229" i="16" s="1"/>
  <c r="AS229" i="16" s="1"/>
  <c r="AM230" i="16"/>
  <c r="AN230" i="16" s="1"/>
  <c r="AS230" i="16" s="1"/>
  <c r="AM233" i="16"/>
  <c r="AN233" i="16" s="1"/>
  <c r="AS233" i="16" s="1"/>
  <c r="AM234" i="16"/>
  <c r="AN234" i="16" s="1"/>
  <c r="AS234" i="16" s="1"/>
  <c r="AM235" i="16"/>
  <c r="AN235" i="16" s="1"/>
  <c r="AM236" i="16"/>
  <c r="AM239" i="16"/>
  <c r="AN239" i="16" s="1"/>
  <c r="AS239" i="16" s="1"/>
  <c r="AM240" i="16"/>
  <c r="AN240" i="16" s="1"/>
  <c r="AM241" i="16"/>
  <c r="AN241" i="16" s="1"/>
  <c r="AS241" i="16" s="1"/>
  <c r="AM242" i="16"/>
  <c r="AN242" i="16" s="1"/>
  <c r="AS242" i="16" s="1"/>
  <c r="BZ61" i="18"/>
  <c r="BZ62" i="18"/>
  <c r="BZ63" i="18"/>
  <c r="BZ65" i="18"/>
  <c r="BZ64" i="18" s="1"/>
  <c r="BZ67" i="18"/>
  <c r="BZ66" i="18" s="1"/>
  <c r="BZ69" i="18"/>
  <c r="BZ68" i="18" s="1"/>
  <c r="BZ71" i="18"/>
  <c r="BZ70" i="18" s="1"/>
  <c r="BZ73" i="18"/>
  <c r="BZ72" i="18" s="1"/>
  <c r="CA61" i="18"/>
  <c r="CA63" i="18"/>
  <c r="CA65" i="18"/>
  <c r="CA64" i="18" s="1"/>
  <c r="CA67" i="18"/>
  <c r="CA66" i="18" s="1"/>
  <c r="CA69" i="18"/>
  <c r="CA68" i="18" s="1"/>
  <c r="CA71" i="18"/>
  <c r="CA70" i="18" s="1"/>
  <c r="CA73" i="18"/>
  <c r="CA72" i="18" s="1"/>
  <c r="CB61" i="18"/>
  <c r="CB62" i="18"/>
  <c r="CB63" i="18"/>
  <c r="CB65" i="18"/>
  <c r="CB64" i="18" s="1"/>
  <c r="CB67" i="18"/>
  <c r="CB66" i="18" s="1"/>
  <c r="CB69" i="18"/>
  <c r="CB68" i="18" s="1"/>
  <c r="CB71" i="18"/>
  <c r="CB70" i="18" s="1"/>
  <c r="CB73" i="18"/>
  <c r="CB72" i="18" s="1"/>
  <c r="CC61" i="18"/>
  <c r="CC62" i="18"/>
  <c r="CC63" i="18"/>
  <c r="CC65" i="18"/>
  <c r="CC64" i="18" s="1"/>
  <c r="CC67" i="18"/>
  <c r="CC66" i="18" s="1"/>
  <c r="CC69" i="18"/>
  <c r="CC68" i="18" s="1"/>
  <c r="CC71" i="18"/>
  <c r="CC70" i="18" s="1"/>
  <c r="CC73" i="18"/>
  <c r="CC72" i="18" s="1"/>
  <c r="CD61" i="18"/>
  <c r="CD62" i="18"/>
  <c r="CD63" i="18"/>
  <c r="CD65" i="18"/>
  <c r="CD64" i="18" s="1"/>
  <c r="CD67" i="18"/>
  <c r="CD66" i="18" s="1"/>
  <c r="CD69" i="18"/>
  <c r="CD68" i="18" s="1"/>
  <c r="CD71" i="18"/>
  <c r="CD70" i="18" s="1"/>
  <c r="CD73" i="18"/>
  <c r="CD72" i="18" s="1"/>
  <c r="CE61" i="18"/>
  <c r="CE62" i="18"/>
  <c r="CE63" i="18"/>
  <c r="CE65" i="18"/>
  <c r="CE64" i="18" s="1"/>
  <c r="CE67" i="18"/>
  <c r="CE66" i="18" s="1"/>
  <c r="CE69" i="18"/>
  <c r="CE68" i="18" s="1"/>
  <c r="CE71" i="18"/>
  <c r="CE70" i="18" s="1"/>
  <c r="CE73" i="18"/>
  <c r="CE72" i="18" s="1"/>
  <c r="L199" i="17"/>
  <c r="L200" i="17"/>
  <c r="M200" i="17" s="1"/>
  <c r="AQ200" i="17" s="1"/>
  <c r="AU200" i="17" s="1"/>
  <c r="L201" i="17"/>
  <c r="M201" i="17" s="1"/>
  <c r="AQ201" i="17" s="1"/>
  <c r="L202" i="17"/>
  <c r="M202" i="17" s="1"/>
  <c r="AQ202" i="17" s="1"/>
  <c r="L204" i="17"/>
  <c r="M204" i="17" s="1"/>
  <c r="AQ204" i="17" s="1"/>
  <c r="L205" i="17"/>
  <c r="M205" i="17" s="1"/>
  <c r="L206" i="17"/>
  <c r="M206" i="17" s="1"/>
  <c r="AQ206" i="17" s="1"/>
  <c r="L210" i="17"/>
  <c r="L211" i="17"/>
  <c r="M211" i="17" s="1"/>
  <c r="AQ211" i="17" s="1"/>
  <c r="AU211" i="17" s="1"/>
  <c r="L214" i="17"/>
  <c r="M214" i="17" s="1"/>
  <c r="AQ214" i="17" s="1"/>
  <c r="L215" i="17"/>
  <c r="M215" i="17" s="1"/>
  <c r="AQ215" i="17" s="1"/>
  <c r="L216" i="17"/>
  <c r="L217" i="17"/>
  <c r="M217" i="17" s="1"/>
  <c r="AQ217" i="17" s="1"/>
  <c r="L218" i="17"/>
  <c r="M218" i="17" s="1"/>
  <c r="AQ218" i="17" s="1"/>
  <c r="L219" i="17"/>
  <c r="M219" i="17" s="1"/>
  <c r="AQ219" i="17" s="1"/>
  <c r="L222" i="17"/>
  <c r="L223" i="17"/>
  <c r="M223" i="17" s="1"/>
  <c r="L224" i="17"/>
  <c r="M224" i="17" s="1"/>
  <c r="AQ224" i="17" s="1"/>
  <c r="L227" i="17"/>
  <c r="M227" i="17" s="1"/>
  <c r="AQ227" i="17" s="1"/>
  <c r="L228" i="17"/>
  <c r="L229" i="17"/>
  <c r="M229" i="17" s="1"/>
  <c r="AQ229" i="17" s="1"/>
  <c r="AU229" i="17" s="1"/>
  <c r="L230" i="17"/>
  <c r="M230" i="17" s="1"/>
  <c r="AQ230" i="17" s="1"/>
  <c r="AU230" i="17" s="1"/>
  <c r="L233" i="17"/>
  <c r="M233" i="17" s="1"/>
  <c r="AQ233" i="17" s="1"/>
  <c r="L234" i="17"/>
  <c r="L235" i="17"/>
  <c r="M235" i="17" s="1"/>
  <c r="L236" i="17"/>
  <c r="M236" i="17" s="1"/>
  <c r="AQ236" i="17" s="1"/>
  <c r="L239" i="17"/>
  <c r="M239" i="17" s="1"/>
  <c r="AQ239" i="17" s="1"/>
  <c r="L240" i="17"/>
  <c r="L241" i="17"/>
  <c r="M241" i="17" s="1"/>
  <c r="AQ241" i="17" s="1"/>
  <c r="L242" i="17"/>
  <c r="M242" i="17" s="1"/>
  <c r="AQ242" i="17" s="1"/>
  <c r="AB199" i="17"/>
  <c r="Y199" i="17"/>
  <c r="U199" i="17"/>
  <c r="T199" i="17"/>
  <c r="S199" i="17"/>
  <c r="R199" i="17"/>
  <c r="AB200" i="17"/>
  <c r="Y200" i="17"/>
  <c r="U200" i="17"/>
  <c r="T200" i="17"/>
  <c r="S200" i="17"/>
  <c r="R200" i="17"/>
  <c r="AB201" i="17"/>
  <c r="Y201" i="17"/>
  <c r="U201" i="17"/>
  <c r="T201" i="17"/>
  <c r="S201" i="17"/>
  <c r="R201" i="17"/>
  <c r="AB202" i="17"/>
  <c r="Y202" i="17"/>
  <c r="U202" i="17"/>
  <c r="T202" i="17"/>
  <c r="S202" i="17"/>
  <c r="R202" i="17"/>
  <c r="AB204" i="17"/>
  <c r="Y204" i="17"/>
  <c r="U204" i="17"/>
  <c r="T204" i="17"/>
  <c r="S204" i="17"/>
  <c r="R204" i="17"/>
  <c r="AB205" i="17"/>
  <c r="Y205" i="17"/>
  <c r="U205" i="17"/>
  <c r="T205" i="17"/>
  <c r="S205" i="17"/>
  <c r="R205" i="17"/>
  <c r="AB206" i="17"/>
  <c r="Y206" i="17"/>
  <c r="U206" i="17"/>
  <c r="T206" i="17"/>
  <c r="S206" i="17"/>
  <c r="R206" i="17"/>
  <c r="AB210" i="17"/>
  <c r="Y210" i="17"/>
  <c r="U210" i="17"/>
  <c r="T210" i="17"/>
  <c r="S210" i="17"/>
  <c r="S212" i="17" s="1"/>
  <c r="R210" i="17"/>
  <c r="AB211" i="17"/>
  <c r="Y211" i="17"/>
  <c r="U211" i="17"/>
  <c r="T211" i="17"/>
  <c r="S211" i="17"/>
  <c r="R211" i="17"/>
  <c r="AB214" i="17"/>
  <c r="Y214" i="17"/>
  <c r="U214" i="17"/>
  <c r="U220" i="17" s="1"/>
  <c r="U213" i="17" s="1"/>
  <c r="T214" i="17"/>
  <c r="S214" i="17"/>
  <c r="R214" i="17"/>
  <c r="AB215" i="17"/>
  <c r="Y215" i="17"/>
  <c r="Y220" i="17" s="1"/>
  <c r="Y213" i="17" s="1"/>
  <c r="U215" i="17"/>
  <c r="T215" i="17"/>
  <c r="S215" i="17"/>
  <c r="R215" i="17"/>
  <c r="AB216" i="17"/>
  <c r="Y216" i="17"/>
  <c r="U216" i="17"/>
  <c r="T216" i="17"/>
  <c r="S216" i="17"/>
  <c r="R216" i="17"/>
  <c r="AB217" i="17"/>
  <c r="Y217" i="17"/>
  <c r="U217" i="17"/>
  <c r="T217" i="17"/>
  <c r="S217" i="17"/>
  <c r="R217" i="17"/>
  <c r="AB218" i="17"/>
  <c r="Y218" i="17"/>
  <c r="U218" i="17"/>
  <c r="T218" i="17"/>
  <c r="S218" i="17"/>
  <c r="R218" i="17"/>
  <c r="AB219" i="17"/>
  <c r="Y219" i="17"/>
  <c r="U219" i="17"/>
  <c r="T219" i="17"/>
  <c r="S219" i="17"/>
  <c r="R219" i="17"/>
  <c r="AB222" i="17"/>
  <c r="Y222" i="17"/>
  <c r="U222" i="17"/>
  <c r="T222" i="17"/>
  <c r="T225" i="17" s="1"/>
  <c r="T221" i="17" s="1"/>
  <c r="S222" i="17"/>
  <c r="R222" i="17"/>
  <c r="AB223" i="17"/>
  <c r="Y223" i="17"/>
  <c r="U223" i="17"/>
  <c r="T223" i="17"/>
  <c r="S223" i="17"/>
  <c r="R223" i="17"/>
  <c r="R225" i="17" s="1"/>
  <c r="R221" i="17" s="1"/>
  <c r="AB224" i="17"/>
  <c r="Y224" i="17"/>
  <c r="U224" i="17"/>
  <c r="T224" i="17"/>
  <c r="S224" i="17"/>
  <c r="R224" i="17"/>
  <c r="AB227" i="17"/>
  <c r="Y227" i="17"/>
  <c r="U227" i="17"/>
  <c r="T227" i="17"/>
  <c r="S227" i="17"/>
  <c r="R227" i="17"/>
  <c r="AB228" i="17"/>
  <c r="Y228" i="17"/>
  <c r="U228" i="17"/>
  <c r="T228" i="17"/>
  <c r="S228" i="17"/>
  <c r="R228" i="17"/>
  <c r="AB229" i="17"/>
  <c r="Y229" i="17"/>
  <c r="U229" i="17"/>
  <c r="T229" i="17"/>
  <c r="S229" i="17"/>
  <c r="R229" i="17"/>
  <c r="AB230" i="17"/>
  <c r="Y230" i="17"/>
  <c r="U230" i="17"/>
  <c r="T230" i="17"/>
  <c r="S230" i="17"/>
  <c r="R230" i="17"/>
  <c r="AB233" i="17"/>
  <c r="Y233" i="17"/>
  <c r="U233" i="17"/>
  <c r="T233" i="17"/>
  <c r="S233" i="17"/>
  <c r="R233" i="17"/>
  <c r="AB234" i="17"/>
  <c r="Y234" i="17"/>
  <c r="U234" i="17"/>
  <c r="T234" i="17"/>
  <c r="S234" i="17"/>
  <c r="R234" i="17"/>
  <c r="AB235" i="17"/>
  <c r="Y235" i="17"/>
  <c r="U235" i="17"/>
  <c r="T235" i="17"/>
  <c r="S235" i="17"/>
  <c r="R235" i="17"/>
  <c r="AB236" i="17"/>
  <c r="Y236" i="17"/>
  <c r="U236" i="17"/>
  <c r="T236" i="17"/>
  <c r="S236" i="17"/>
  <c r="R236" i="17"/>
  <c r="AB239" i="17"/>
  <c r="Y239" i="17"/>
  <c r="Y243" i="17" s="1"/>
  <c r="Y238" i="17" s="1"/>
  <c r="U239" i="17"/>
  <c r="T239" i="17"/>
  <c r="S239" i="17"/>
  <c r="R239" i="17"/>
  <c r="AB240" i="17"/>
  <c r="Y240" i="17"/>
  <c r="U240" i="17"/>
  <c r="T240" i="17"/>
  <c r="S240" i="17"/>
  <c r="R240" i="17"/>
  <c r="AB241" i="17"/>
  <c r="Y241" i="17"/>
  <c r="U241" i="17"/>
  <c r="T241" i="17"/>
  <c r="S241" i="17"/>
  <c r="R241" i="17"/>
  <c r="AB242" i="17"/>
  <c r="Y242" i="17"/>
  <c r="U242" i="17"/>
  <c r="T242" i="17"/>
  <c r="S242" i="17"/>
  <c r="R242" i="17"/>
  <c r="AM199" i="17"/>
  <c r="AN199" i="17" s="1"/>
  <c r="AS199" i="17" s="1"/>
  <c r="AM200" i="17"/>
  <c r="AN200" i="17" s="1"/>
  <c r="AS200" i="17" s="1"/>
  <c r="AM201" i="17"/>
  <c r="AN201" i="17" s="1"/>
  <c r="AM202" i="17"/>
  <c r="AN202" i="17" s="1"/>
  <c r="AS202" i="17" s="1"/>
  <c r="AM204" i="17"/>
  <c r="AN204" i="17" s="1"/>
  <c r="AS204" i="17" s="1"/>
  <c r="AM205" i="17"/>
  <c r="AN205" i="17" s="1"/>
  <c r="AS205" i="17" s="1"/>
  <c r="AM206" i="17"/>
  <c r="AN206" i="17" s="1"/>
  <c r="AM210" i="17"/>
  <c r="AN210" i="17" s="1"/>
  <c r="AS210" i="17" s="1"/>
  <c r="AM211" i="17"/>
  <c r="AM214" i="17"/>
  <c r="AN214" i="17" s="1"/>
  <c r="AS214" i="17" s="1"/>
  <c r="AM215" i="17"/>
  <c r="AN215" i="17" s="1"/>
  <c r="AS215" i="17" s="1"/>
  <c r="AM216" i="17"/>
  <c r="AN216" i="17" s="1"/>
  <c r="AS216" i="17" s="1"/>
  <c r="AM217" i="17"/>
  <c r="AM218" i="17"/>
  <c r="AN218" i="17" s="1"/>
  <c r="AS218" i="17" s="1"/>
  <c r="AM219" i="17"/>
  <c r="AN219" i="17" s="1"/>
  <c r="AS219" i="17" s="1"/>
  <c r="AM222" i="17"/>
  <c r="AN222" i="17" s="1"/>
  <c r="AS222" i="17" s="1"/>
  <c r="AM223" i="17"/>
  <c r="AM224" i="17"/>
  <c r="AN224" i="17" s="1"/>
  <c r="AS224" i="17" s="1"/>
  <c r="AM227" i="17"/>
  <c r="AN227" i="17" s="1"/>
  <c r="AS227" i="17" s="1"/>
  <c r="AM228" i="17"/>
  <c r="AN228" i="17" s="1"/>
  <c r="AS228" i="17" s="1"/>
  <c r="AM229" i="17"/>
  <c r="AN229" i="17" s="1"/>
  <c r="AM230" i="17"/>
  <c r="AN230" i="17" s="1"/>
  <c r="AS230" i="17" s="1"/>
  <c r="AM233" i="17"/>
  <c r="AN233" i="17" s="1"/>
  <c r="AS233" i="17" s="1"/>
  <c r="AM234" i="17"/>
  <c r="AM235" i="17"/>
  <c r="AN235" i="17" s="1"/>
  <c r="AS235" i="17" s="1"/>
  <c r="AM236" i="17"/>
  <c r="AN236" i="17" s="1"/>
  <c r="AS236" i="17" s="1"/>
  <c r="AM239" i="17"/>
  <c r="AN239" i="17" s="1"/>
  <c r="AS239" i="17" s="1"/>
  <c r="AM240" i="17"/>
  <c r="AM241" i="17"/>
  <c r="AN241" i="17" s="1"/>
  <c r="AS241" i="17" s="1"/>
  <c r="AM242" i="17"/>
  <c r="AN242" i="17" s="1"/>
  <c r="CM61" i="18"/>
  <c r="CM62" i="18"/>
  <c r="CM63" i="18"/>
  <c r="CM65" i="18"/>
  <c r="CM64" i="18" s="1"/>
  <c r="CM67" i="18"/>
  <c r="CM66" i="18" s="1"/>
  <c r="CM69" i="18"/>
  <c r="CM68" i="18" s="1"/>
  <c r="CM71" i="18"/>
  <c r="CM70" i="18" s="1"/>
  <c r="CM73" i="18"/>
  <c r="CM72" i="18" s="1"/>
  <c r="CN61" i="18"/>
  <c r="CN63" i="18"/>
  <c r="CN65" i="18"/>
  <c r="CN64" i="18" s="1"/>
  <c r="CN67" i="18"/>
  <c r="CN66" i="18" s="1"/>
  <c r="CN69" i="18"/>
  <c r="CN68" i="18" s="1"/>
  <c r="CN71" i="18"/>
  <c r="CN70" i="18" s="1"/>
  <c r="CN73" i="18"/>
  <c r="CN72" i="18" s="1"/>
  <c r="CO61" i="18"/>
  <c r="CO62" i="18"/>
  <c r="CO63" i="18"/>
  <c r="CO65" i="18"/>
  <c r="CO64" i="18" s="1"/>
  <c r="CO67" i="18"/>
  <c r="CO66" i="18" s="1"/>
  <c r="CO69" i="18"/>
  <c r="CO68" i="18" s="1"/>
  <c r="CO71" i="18"/>
  <c r="CO70" i="18" s="1"/>
  <c r="CO73" i="18"/>
  <c r="CO72" i="18" s="1"/>
  <c r="CP61" i="18"/>
  <c r="CP62" i="18"/>
  <c r="CP63" i="18"/>
  <c r="CP65" i="18"/>
  <c r="CP64" i="18" s="1"/>
  <c r="CP67" i="18"/>
  <c r="CP66" i="18" s="1"/>
  <c r="CP69" i="18"/>
  <c r="CP68" i="18" s="1"/>
  <c r="CP71" i="18"/>
  <c r="CP70" i="18" s="1"/>
  <c r="CP73" i="18"/>
  <c r="CP72" i="18" s="1"/>
  <c r="CQ61" i="18"/>
  <c r="CQ62" i="18"/>
  <c r="CQ63" i="18"/>
  <c r="CQ65" i="18"/>
  <c r="CQ64" i="18" s="1"/>
  <c r="CQ67" i="18"/>
  <c r="CQ66" i="18" s="1"/>
  <c r="CQ69" i="18"/>
  <c r="CQ68" i="18" s="1"/>
  <c r="CQ71" i="18"/>
  <c r="CQ70" i="18" s="1"/>
  <c r="CQ73" i="18"/>
  <c r="CQ72" i="18" s="1"/>
  <c r="CR61" i="18"/>
  <c r="CR62" i="18"/>
  <c r="CR63" i="18"/>
  <c r="CR65" i="18"/>
  <c r="CR64" i="18" s="1"/>
  <c r="CR67" i="18"/>
  <c r="CR66" i="18" s="1"/>
  <c r="CR69" i="18"/>
  <c r="CR68" i="18" s="1"/>
  <c r="CR71" i="18"/>
  <c r="CR70" i="18" s="1"/>
  <c r="CR73" i="18"/>
  <c r="CR72" i="18" s="1"/>
  <c r="CZ61" i="18"/>
  <c r="CZ65" i="18"/>
  <c r="CZ64" i="18" s="1"/>
  <c r="CZ69" i="18"/>
  <c r="CZ68" i="18" s="1"/>
  <c r="CZ71" i="18"/>
  <c r="CZ70" i="18" s="1"/>
  <c r="CZ73" i="18"/>
  <c r="CZ72" i="18" s="1"/>
  <c r="DA61" i="18"/>
  <c r="DA67" i="18"/>
  <c r="DA66" i="18" s="1"/>
  <c r="DA71" i="18"/>
  <c r="DA70" i="18" s="1"/>
  <c r="DA73" i="18"/>
  <c r="DA72" i="18" s="1"/>
  <c r="DB61" i="18"/>
  <c r="DB62" i="18"/>
  <c r="DB63" i="18"/>
  <c r="DB67" i="18"/>
  <c r="DB66" i="18" s="1"/>
  <c r="DB69" i="18"/>
  <c r="DB68" i="18" s="1"/>
  <c r="DB73" i="18"/>
  <c r="DB72" i="18" s="1"/>
  <c r="DC61" i="18"/>
  <c r="DC62" i="18"/>
  <c r="DC63" i="18"/>
  <c r="DC65" i="18"/>
  <c r="DC64" i="18" s="1"/>
  <c r="DC67" i="18"/>
  <c r="DC66" i="18" s="1"/>
  <c r="DC69" i="18"/>
  <c r="DC68" i="18" s="1"/>
  <c r="DC71" i="18"/>
  <c r="DC70" i="18" s="1"/>
  <c r="DD61" i="18"/>
  <c r="DD62" i="18"/>
  <c r="DD63" i="18"/>
  <c r="DD65" i="18"/>
  <c r="DD64" i="18" s="1"/>
  <c r="DD67" i="18"/>
  <c r="DD66" i="18" s="1"/>
  <c r="DD69" i="18"/>
  <c r="DD68" i="18" s="1"/>
  <c r="DD71" i="18"/>
  <c r="DD70" i="18" s="1"/>
  <c r="DE61" i="18"/>
  <c r="DE67" i="18"/>
  <c r="DE66" i="18" s="1"/>
  <c r="DE71" i="18"/>
  <c r="DE70" i="18" s="1"/>
  <c r="DE73" i="18"/>
  <c r="DE72" i="18" s="1"/>
  <c r="L199" i="22"/>
  <c r="M199" i="22" s="1"/>
  <c r="L200" i="22"/>
  <c r="M200" i="22" s="1"/>
  <c r="AQ200" i="22" s="1"/>
  <c r="AU200" i="22" s="1"/>
  <c r="L201" i="22"/>
  <c r="L202" i="22"/>
  <c r="M202" i="22" s="1"/>
  <c r="AQ202" i="22" s="1"/>
  <c r="L204" i="22"/>
  <c r="M204" i="22" s="1"/>
  <c r="L205" i="22"/>
  <c r="M205" i="22" s="1"/>
  <c r="AQ205" i="22" s="1"/>
  <c r="L206" i="22"/>
  <c r="M206" i="22" s="1"/>
  <c r="AQ206" i="22" s="1"/>
  <c r="L210" i="22"/>
  <c r="M210" i="22" s="1"/>
  <c r="AQ210" i="22" s="1"/>
  <c r="AU210" i="22" s="1"/>
  <c r="L211" i="22"/>
  <c r="M211" i="22" s="1"/>
  <c r="L214" i="22"/>
  <c r="M214" i="22" s="1"/>
  <c r="L215" i="22"/>
  <c r="L216" i="22"/>
  <c r="M216" i="22" s="1"/>
  <c r="AQ216" i="22" s="1"/>
  <c r="L217" i="22"/>
  <c r="M217" i="22" s="1"/>
  <c r="AQ217" i="22" s="1"/>
  <c r="L218" i="22"/>
  <c r="M218" i="22" s="1"/>
  <c r="AQ218" i="22" s="1"/>
  <c r="L219" i="22"/>
  <c r="M219" i="22" s="1"/>
  <c r="AQ219" i="22" s="1"/>
  <c r="L222" i="22"/>
  <c r="M222" i="22" s="1"/>
  <c r="L223" i="22"/>
  <c r="M223" i="22" s="1"/>
  <c r="AQ223" i="22" s="1"/>
  <c r="L224" i="22"/>
  <c r="M224" i="22" s="1"/>
  <c r="AQ224" i="22" s="1"/>
  <c r="L227" i="22"/>
  <c r="L228" i="22"/>
  <c r="M228" i="22" s="1"/>
  <c r="AQ228" i="22" s="1"/>
  <c r="L229" i="22"/>
  <c r="M229" i="22" s="1"/>
  <c r="AQ229" i="22" s="1"/>
  <c r="AU229" i="22" s="1"/>
  <c r="L230" i="22"/>
  <c r="M230" i="22" s="1"/>
  <c r="AQ230" i="22" s="1"/>
  <c r="AU230" i="22" s="1"/>
  <c r="L233" i="22"/>
  <c r="M233" i="22" s="1"/>
  <c r="AQ233" i="22" s="1"/>
  <c r="L234" i="22"/>
  <c r="M234" i="22" s="1"/>
  <c r="L235" i="22"/>
  <c r="M235" i="22" s="1"/>
  <c r="AQ235" i="22" s="1"/>
  <c r="L236" i="22"/>
  <c r="M236" i="22" s="1"/>
  <c r="AQ236" i="22" s="1"/>
  <c r="L239" i="22"/>
  <c r="M239" i="22" s="1"/>
  <c r="L240" i="22"/>
  <c r="M240" i="22" s="1"/>
  <c r="AQ240" i="22" s="1"/>
  <c r="L241" i="22"/>
  <c r="L242" i="22"/>
  <c r="M242" i="22" s="1"/>
  <c r="AQ242" i="22" s="1"/>
  <c r="AB199" i="22"/>
  <c r="U199" i="22"/>
  <c r="T199" i="22"/>
  <c r="S199" i="22"/>
  <c r="R199" i="22"/>
  <c r="AB200" i="22"/>
  <c r="U200" i="22"/>
  <c r="T200" i="22"/>
  <c r="S200" i="22"/>
  <c r="R200" i="22"/>
  <c r="AB201" i="22"/>
  <c r="U201" i="22"/>
  <c r="T201" i="22"/>
  <c r="S201" i="22"/>
  <c r="R201" i="22"/>
  <c r="AB202" i="22"/>
  <c r="U202" i="22"/>
  <c r="T202" i="22"/>
  <c r="S202" i="22"/>
  <c r="R202" i="22"/>
  <c r="AB204" i="22"/>
  <c r="U204" i="22"/>
  <c r="T204" i="22"/>
  <c r="S204" i="22"/>
  <c r="R204" i="22"/>
  <c r="AB205" i="22"/>
  <c r="U205" i="22"/>
  <c r="T205" i="22"/>
  <c r="S205" i="22"/>
  <c r="R205" i="22"/>
  <c r="AB206" i="22"/>
  <c r="U206" i="22"/>
  <c r="T206" i="22"/>
  <c r="S206" i="22"/>
  <c r="R206" i="22"/>
  <c r="AB210" i="22"/>
  <c r="AB212" i="22" s="1"/>
  <c r="U210" i="22"/>
  <c r="T210" i="22"/>
  <c r="S210" i="22"/>
  <c r="R210" i="22"/>
  <c r="AB211" i="22"/>
  <c r="U211" i="22"/>
  <c r="T211" i="22"/>
  <c r="S211" i="22"/>
  <c r="R211" i="22"/>
  <c r="AB214" i="22"/>
  <c r="U214" i="22"/>
  <c r="T214" i="22"/>
  <c r="S214" i="22"/>
  <c r="R214" i="22"/>
  <c r="AB215" i="22"/>
  <c r="U215" i="22"/>
  <c r="T215" i="22"/>
  <c r="S215" i="22"/>
  <c r="R215" i="22"/>
  <c r="AB216" i="22"/>
  <c r="U216" i="22"/>
  <c r="T216" i="22"/>
  <c r="S216" i="22"/>
  <c r="R216" i="22"/>
  <c r="AB217" i="22"/>
  <c r="U217" i="22"/>
  <c r="T217" i="22"/>
  <c r="S217" i="22"/>
  <c r="R217" i="22"/>
  <c r="AB218" i="22"/>
  <c r="U218" i="22"/>
  <c r="T218" i="22"/>
  <c r="S218" i="22"/>
  <c r="R218" i="22"/>
  <c r="AB219" i="22"/>
  <c r="U219" i="22"/>
  <c r="T219" i="22"/>
  <c r="S219" i="22"/>
  <c r="R219" i="22"/>
  <c r="AB222" i="22"/>
  <c r="U222" i="22"/>
  <c r="T222" i="22"/>
  <c r="S222" i="22"/>
  <c r="R222" i="22"/>
  <c r="R225" i="22" s="1"/>
  <c r="R221" i="22" s="1"/>
  <c r="AB223" i="22"/>
  <c r="U223" i="22"/>
  <c r="T223" i="22"/>
  <c r="S223" i="22"/>
  <c r="R223" i="22"/>
  <c r="AB224" i="22"/>
  <c r="U224" i="22"/>
  <c r="T224" i="22"/>
  <c r="S224" i="22"/>
  <c r="R224" i="22"/>
  <c r="AB227" i="22"/>
  <c r="U227" i="22"/>
  <c r="T227" i="22"/>
  <c r="S227" i="22"/>
  <c r="R227" i="22"/>
  <c r="AB228" i="22"/>
  <c r="U228" i="22"/>
  <c r="T228" i="22"/>
  <c r="S228" i="22"/>
  <c r="R228" i="22"/>
  <c r="AB229" i="22"/>
  <c r="U229" i="22"/>
  <c r="T229" i="22"/>
  <c r="S229" i="22"/>
  <c r="R229" i="22"/>
  <c r="AB230" i="22"/>
  <c r="U230" i="22"/>
  <c r="T230" i="22"/>
  <c r="S230" i="22"/>
  <c r="R230" i="22"/>
  <c r="AB233" i="22"/>
  <c r="U233" i="22"/>
  <c r="T233" i="22"/>
  <c r="S233" i="22"/>
  <c r="R233" i="22"/>
  <c r="AB234" i="22"/>
  <c r="U234" i="22"/>
  <c r="T234" i="22"/>
  <c r="S234" i="22"/>
  <c r="R234" i="22"/>
  <c r="AB235" i="22"/>
  <c r="U235" i="22"/>
  <c r="T235" i="22"/>
  <c r="S235" i="22"/>
  <c r="R235" i="22"/>
  <c r="AB236" i="22"/>
  <c r="U236" i="22"/>
  <c r="T236" i="22"/>
  <c r="S236" i="22"/>
  <c r="R236" i="22"/>
  <c r="AB239" i="22"/>
  <c r="U239" i="22"/>
  <c r="T239" i="22"/>
  <c r="S239" i="22"/>
  <c r="S243" i="22" s="1"/>
  <c r="S238" i="22" s="1"/>
  <c r="R239" i="22"/>
  <c r="AB240" i="22"/>
  <c r="U240" i="22"/>
  <c r="T240" i="22"/>
  <c r="S240" i="22"/>
  <c r="R240" i="22"/>
  <c r="AB241" i="22"/>
  <c r="U241" i="22"/>
  <c r="T241" i="22"/>
  <c r="S241" i="22"/>
  <c r="R241" i="22"/>
  <c r="AB242" i="22"/>
  <c r="U242" i="22"/>
  <c r="T242" i="22"/>
  <c r="S242" i="22"/>
  <c r="R242" i="22"/>
  <c r="AM199" i="22"/>
  <c r="AN199" i="22" s="1"/>
  <c r="AM200" i="22"/>
  <c r="AN200" i="22" s="1"/>
  <c r="AS200" i="22" s="1"/>
  <c r="AM201" i="22"/>
  <c r="AN201" i="22" s="1"/>
  <c r="AS201" i="22" s="1"/>
  <c r="AM202" i="22"/>
  <c r="AM204" i="22"/>
  <c r="AN204" i="22" s="1"/>
  <c r="AS204" i="22" s="1"/>
  <c r="AM205" i="22"/>
  <c r="AN205" i="22" s="1"/>
  <c r="AM206" i="22"/>
  <c r="AN206" i="22" s="1"/>
  <c r="AS206" i="22" s="1"/>
  <c r="AM210" i="22"/>
  <c r="AM211" i="22"/>
  <c r="AN211" i="22" s="1"/>
  <c r="AS211" i="22" s="1"/>
  <c r="AM214" i="22"/>
  <c r="AN214" i="22" s="1"/>
  <c r="AM215" i="22"/>
  <c r="AN215" i="22" s="1"/>
  <c r="AS215" i="22" s="1"/>
  <c r="AM216" i="22"/>
  <c r="AN216" i="22" s="1"/>
  <c r="AS216" i="22" s="1"/>
  <c r="AM217" i="22"/>
  <c r="AN217" i="22" s="1"/>
  <c r="AS217" i="22" s="1"/>
  <c r="AM218" i="22"/>
  <c r="AN218" i="22" s="1"/>
  <c r="AS218" i="22" s="1"/>
  <c r="AM219" i="22"/>
  <c r="AN219" i="22" s="1"/>
  <c r="AS219" i="22" s="1"/>
  <c r="AM222" i="22"/>
  <c r="AM223" i="22"/>
  <c r="AN223" i="22" s="1"/>
  <c r="AM224" i="22"/>
  <c r="AN224" i="22" s="1"/>
  <c r="AS224" i="22" s="1"/>
  <c r="AM227" i="22"/>
  <c r="AN227" i="22" s="1"/>
  <c r="AM228" i="22"/>
  <c r="AN228" i="22" s="1"/>
  <c r="AS228" i="22" s="1"/>
  <c r="AM229" i="22"/>
  <c r="AN229" i="22" s="1"/>
  <c r="AS229" i="22" s="1"/>
  <c r="AM230" i="22"/>
  <c r="AN230" i="22" s="1"/>
  <c r="AS230" i="22" s="1"/>
  <c r="AM233" i="22"/>
  <c r="AN233" i="22" s="1"/>
  <c r="AM234" i="22"/>
  <c r="AM235" i="22"/>
  <c r="AN235" i="22" s="1"/>
  <c r="AS235" i="22" s="1"/>
  <c r="AM236" i="22"/>
  <c r="AN236" i="22" s="1"/>
  <c r="AS236" i="22" s="1"/>
  <c r="AM239" i="22"/>
  <c r="AN239" i="22" s="1"/>
  <c r="AM240" i="22"/>
  <c r="AN240" i="22" s="1"/>
  <c r="AS240" i="22" s="1"/>
  <c r="AM241" i="22"/>
  <c r="AN241" i="22" s="1"/>
  <c r="AS241" i="22" s="1"/>
  <c r="AM242" i="22"/>
  <c r="AN242" i="22" s="1"/>
  <c r="AS242" i="22" s="1"/>
  <c r="DM61" i="18"/>
  <c r="DM62" i="18"/>
  <c r="DM63" i="18"/>
  <c r="DM65" i="18"/>
  <c r="DM64" i="18" s="1"/>
  <c r="DM67" i="18"/>
  <c r="DM66" i="18" s="1"/>
  <c r="DM69" i="18"/>
  <c r="DM68" i="18" s="1"/>
  <c r="DM71" i="18"/>
  <c r="DM70" i="18" s="1"/>
  <c r="DM73" i="18"/>
  <c r="DM72" i="18" s="1"/>
  <c r="DN61" i="18"/>
  <c r="DN63" i="18"/>
  <c r="DN65" i="18"/>
  <c r="DN64" i="18" s="1"/>
  <c r="DN67" i="18"/>
  <c r="DN66" i="18" s="1"/>
  <c r="DN69" i="18"/>
  <c r="DN68" i="18" s="1"/>
  <c r="DN71" i="18"/>
  <c r="DN70" i="18" s="1"/>
  <c r="DN73" i="18"/>
  <c r="DN72" i="18" s="1"/>
  <c r="DO61" i="18"/>
  <c r="DO62" i="18"/>
  <c r="DO63" i="18"/>
  <c r="DO65" i="18"/>
  <c r="DO64" i="18" s="1"/>
  <c r="DO67" i="18"/>
  <c r="DO66" i="18" s="1"/>
  <c r="DO69" i="18"/>
  <c r="DO68" i="18" s="1"/>
  <c r="DO71" i="18"/>
  <c r="DO70" i="18" s="1"/>
  <c r="DO73" i="18"/>
  <c r="DO72" i="18" s="1"/>
  <c r="DP61" i="18"/>
  <c r="DP62" i="18"/>
  <c r="DP63" i="18"/>
  <c r="DP65" i="18"/>
  <c r="DP64" i="18" s="1"/>
  <c r="DP67" i="18"/>
  <c r="DP66" i="18" s="1"/>
  <c r="DP69" i="18"/>
  <c r="DP68" i="18" s="1"/>
  <c r="DP71" i="18"/>
  <c r="DP70" i="18" s="1"/>
  <c r="DP73" i="18"/>
  <c r="DP72" i="18" s="1"/>
  <c r="DQ61" i="18"/>
  <c r="DQ62" i="18"/>
  <c r="DQ63" i="18"/>
  <c r="DQ65" i="18"/>
  <c r="DQ64" i="18" s="1"/>
  <c r="DQ67" i="18"/>
  <c r="DQ66" i="18" s="1"/>
  <c r="DQ69" i="18"/>
  <c r="DQ68" i="18" s="1"/>
  <c r="DQ71" i="18"/>
  <c r="DQ70" i="18" s="1"/>
  <c r="DQ73" i="18"/>
  <c r="DQ72" i="18" s="1"/>
  <c r="DR61" i="18"/>
  <c r="DR62" i="18"/>
  <c r="DR63" i="18"/>
  <c r="DR65" i="18"/>
  <c r="DR64" i="18" s="1"/>
  <c r="DR67" i="18"/>
  <c r="DR66" i="18" s="1"/>
  <c r="DR69" i="18"/>
  <c r="DR68" i="18" s="1"/>
  <c r="DR71" i="18"/>
  <c r="DR70" i="18" s="1"/>
  <c r="DR73" i="18"/>
  <c r="DR72" i="18" s="1"/>
  <c r="L199" i="23"/>
  <c r="M199" i="23" s="1"/>
  <c r="AQ199" i="23" s="1"/>
  <c r="L200" i="23"/>
  <c r="M200" i="23" s="1"/>
  <c r="L201" i="23"/>
  <c r="M201" i="23" s="1"/>
  <c r="AQ201" i="23" s="1"/>
  <c r="L202" i="23"/>
  <c r="M202" i="23" s="1"/>
  <c r="AQ202" i="23" s="1"/>
  <c r="L204" i="23"/>
  <c r="M204" i="23" s="1"/>
  <c r="AQ204" i="23" s="1"/>
  <c r="L205" i="23"/>
  <c r="M205" i="23" s="1"/>
  <c r="L206" i="23"/>
  <c r="M206" i="23" s="1"/>
  <c r="AQ206" i="23" s="1"/>
  <c r="L210" i="23"/>
  <c r="M210" i="23" s="1"/>
  <c r="AQ210" i="23" s="1"/>
  <c r="AU210" i="23" s="1"/>
  <c r="AU212" i="23" s="1"/>
  <c r="L211" i="23"/>
  <c r="M211" i="23" s="1"/>
  <c r="AQ211" i="23" s="1"/>
  <c r="AU211" i="23" s="1"/>
  <c r="L214" i="23"/>
  <c r="L215" i="23"/>
  <c r="M215" i="23" s="1"/>
  <c r="AQ215" i="23" s="1"/>
  <c r="L216" i="23"/>
  <c r="M216" i="23" s="1"/>
  <c r="AQ216" i="23" s="1"/>
  <c r="L217" i="23"/>
  <c r="M217" i="23" s="1"/>
  <c r="AQ217" i="23" s="1"/>
  <c r="L218" i="23"/>
  <c r="M218" i="23" s="1"/>
  <c r="L219" i="23"/>
  <c r="M219" i="23" s="1"/>
  <c r="AQ219" i="23" s="1"/>
  <c r="L222" i="23"/>
  <c r="M222" i="23" s="1"/>
  <c r="L223" i="23"/>
  <c r="M223" i="23" s="1"/>
  <c r="AQ223" i="23" s="1"/>
  <c r="L224" i="23"/>
  <c r="L227" i="23"/>
  <c r="M227" i="23" s="1"/>
  <c r="L228" i="23"/>
  <c r="M228" i="23" s="1"/>
  <c r="AQ228" i="23" s="1"/>
  <c r="L229" i="23"/>
  <c r="M229" i="23" s="1"/>
  <c r="AQ229" i="23" s="1"/>
  <c r="AU229" i="23" s="1"/>
  <c r="L230" i="23"/>
  <c r="M230" i="23" s="1"/>
  <c r="AQ230" i="23" s="1"/>
  <c r="AU230" i="23" s="1"/>
  <c r="L233" i="23"/>
  <c r="M233" i="23" s="1"/>
  <c r="AQ233" i="23" s="1"/>
  <c r="L234" i="23"/>
  <c r="L235" i="23"/>
  <c r="M235" i="23" s="1"/>
  <c r="AQ235" i="23" s="1"/>
  <c r="L236" i="23"/>
  <c r="M236" i="23" s="1"/>
  <c r="AQ236" i="23" s="1"/>
  <c r="L239" i="23"/>
  <c r="M239" i="23" s="1"/>
  <c r="L240" i="23"/>
  <c r="L241" i="23"/>
  <c r="M241" i="23" s="1"/>
  <c r="AQ241" i="23" s="1"/>
  <c r="L242" i="23"/>
  <c r="M242" i="23" s="1"/>
  <c r="AQ242" i="23" s="1"/>
  <c r="AB199" i="23"/>
  <c r="U199" i="23"/>
  <c r="T199" i="23"/>
  <c r="S199" i="23"/>
  <c r="R199" i="23"/>
  <c r="AB200" i="23"/>
  <c r="U200" i="23"/>
  <c r="T200" i="23"/>
  <c r="S200" i="23"/>
  <c r="R200" i="23"/>
  <c r="AB201" i="23"/>
  <c r="U201" i="23"/>
  <c r="T201" i="23"/>
  <c r="S201" i="23"/>
  <c r="R201" i="23"/>
  <c r="AB202" i="23"/>
  <c r="U202" i="23"/>
  <c r="T202" i="23"/>
  <c r="S202" i="23"/>
  <c r="R202" i="23"/>
  <c r="AB204" i="23"/>
  <c r="U204" i="23"/>
  <c r="T204" i="23"/>
  <c r="S204" i="23"/>
  <c r="R204" i="23"/>
  <c r="AB205" i="23"/>
  <c r="U205" i="23"/>
  <c r="T205" i="23"/>
  <c r="S205" i="23"/>
  <c r="R205" i="23"/>
  <c r="AB206" i="23"/>
  <c r="U206" i="23"/>
  <c r="T206" i="23"/>
  <c r="S206" i="23"/>
  <c r="R206" i="23"/>
  <c r="AB210" i="23"/>
  <c r="U210" i="23"/>
  <c r="U212" i="23" s="1"/>
  <c r="T210" i="23"/>
  <c r="S210" i="23"/>
  <c r="R210" i="23"/>
  <c r="AB211" i="23"/>
  <c r="U211" i="23"/>
  <c r="T211" i="23"/>
  <c r="S211" i="23"/>
  <c r="R211" i="23"/>
  <c r="AB214" i="23"/>
  <c r="U214" i="23"/>
  <c r="T214" i="23"/>
  <c r="S214" i="23"/>
  <c r="R214" i="23"/>
  <c r="AB215" i="23"/>
  <c r="U215" i="23"/>
  <c r="T215" i="23"/>
  <c r="S215" i="23"/>
  <c r="R215" i="23"/>
  <c r="AB216" i="23"/>
  <c r="U216" i="23"/>
  <c r="T216" i="23"/>
  <c r="S216" i="23"/>
  <c r="R216" i="23"/>
  <c r="AB217" i="23"/>
  <c r="U217" i="23"/>
  <c r="T217" i="23"/>
  <c r="S217" i="23"/>
  <c r="R217" i="23"/>
  <c r="AB218" i="23"/>
  <c r="U218" i="23"/>
  <c r="T218" i="23"/>
  <c r="S218" i="23"/>
  <c r="R218" i="23"/>
  <c r="AB219" i="23"/>
  <c r="U219" i="23"/>
  <c r="T219" i="23"/>
  <c r="S219" i="23"/>
  <c r="R219" i="23"/>
  <c r="AB222" i="23"/>
  <c r="U222" i="23"/>
  <c r="T222" i="23"/>
  <c r="S222" i="23"/>
  <c r="R222" i="23"/>
  <c r="AB223" i="23"/>
  <c r="U223" i="23"/>
  <c r="T223" i="23"/>
  <c r="S223" i="23"/>
  <c r="R223" i="23"/>
  <c r="AB224" i="23"/>
  <c r="U224" i="23"/>
  <c r="T224" i="23"/>
  <c r="S224" i="23"/>
  <c r="R224" i="23"/>
  <c r="AB227" i="23"/>
  <c r="U227" i="23"/>
  <c r="T227" i="23"/>
  <c r="S227" i="23"/>
  <c r="R227" i="23"/>
  <c r="AB228" i="23"/>
  <c r="U228" i="23"/>
  <c r="T228" i="23"/>
  <c r="S228" i="23"/>
  <c r="R228" i="23"/>
  <c r="AB229" i="23"/>
  <c r="U229" i="23"/>
  <c r="T229" i="23"/>
  <c r="S229" i="23"/>
  <c r="R229" i="23"/>
  <c r="AB230" i="23"/>
  <c r="U230" i="23"/>
  <c r="T230" i="23"/>
  <c r="S230" i="23"/>
  <c r="R230" i="23"/>
  <c r="AB233" i="23"/>
  <c r="U233" i="23"/>
  <c r="T233" i="23"/>
  <c r="S233" i="23"/>
  <c r="S237" i="23" s="1"/>
  <c r="S232" i="23" s="1"/>
  <c r="R233" i="23"/>
  <c r="AB234" i="23"/>
  <c r="U234" i="23"/>
  <c r="T234" i="23"/>
  <c r="S234" i="23"/>
  <c r="R234" i="23"/>
  <c r="AB235" i="23"/>
  <c r="U235" i="23"/>
  <c r="T235" i="23"/>
  <c r="S235" i="23"/>
  <c r="R235" i="23"/>
  <c r="AB236" i="23"/>
  <c r="U236" i="23"/>
  <c r="T236" i="23"/>
  <c r="S236" i="23"/>
  <c r="R236" i="23"/>
  <c r="AB239" i="23"/>
  <c r="U239" i="23"/>
  <c r="T239" i="23"/>
  <c r="S239" i="23"/>
  <c r="R239" i="23"/>
  <c r="AB240" i="23"/>
  <c r="U240" i="23"/>
  <c r="T240" i="23"/>
  <c r="S240" i="23"/>
  <c r="R240" i="23"/>
  <c r="AB241" i="23"/>
  <c r="U241" i="23"/>
  <c r="T241" i="23"/>
  <c r="S241" i="23"/>
  <c r="R241" i="23"/>
  <c r="AB242" i="23"/>
  <c r="U242" i="23"/>
  <c r="T242" i="23"/>
  <c r="S242" i="23"/>
  <c r="R242" i="23"/>
  <c r="AM199" i="23"/>
  <c r="AM200" i="23"/>
  <c r="AN200" i="23" s="1"/>
  <c r="AS200" i="23" s="1"/>
  <c r="AM201" i="23"/>
  <c r="AN201" i="23" s="1"/>
  <c r="AS201" i="23" s="1"/>
  <c r="AM202" i="23"/>
  <c r="AN202" i="23" s="1"/>
  <c r="AS202" i="23" s="1"/>
  <c r="AM204" i="23"/>
  <c r="AN204" i="23" s="1"/>
  <c r="AS204" i="23" s="1"/>
  <c r="AM205" i="23"/>
  <c r="AN205" i="23" s="1"/>
  <c r="AS205" i="23" s="1"/>
  <c r="AM206" i="23"/>
  <c r="AN206" i="23" s="1"/>
  <c r="AS206" i="23" s="1"/>
  <c r="AM210" i="23"/>
  <c r="AN210" i="23" s="1"/>
  <c r="AM211" i="23"/>
  <c r="AM214" i="23"/>
  <c r="AN214" i="23" s="1"/>
  <c r="AM215" i="23"/>
  <c r="AN215" i="23" s="1"/>
  <c r="AS215" i="23" s="1"/>
  <c r="AM216" i="23"/>
  <c r="AN216" i="23" s="1"/>
  <c r="AS216" i="23" s="1"/>
  <c r="AM217" i="23"/>
  <c r="AN217" i="23" s="1"/>
  <c r="AS217" i="23" s="1"/>
  <c r="AM218" i="23"/>
  <c r="AN218" i="23" s="1"/>
  <c r="AS218" i="23" s="1"/>
  <c r="AM219" i="23"/>
  <c r="AN219" i="23" s="1"/>
  <c r="AS219" i="23" s="1"/>
  <c r="AM222" i="23"/>
  <c r="AN222" i="23" s="1"/>
  <c r="AM223" i="23"/>
  <c r="AM224" i="23"/>
  <c r="AN224" i="23" s="1"/>
  <c r="AS224" i="23" s="1"/>
  <c r="AM227" i="23"/>
  <c r="AN227" i="23" s="1"/>
  <c r="AM228" i="23"/>
  <c r="AN228" i="23" s="1"/>
  <c r="AS228" i="23" s="1"/>
  <c r="AM229" i="23"/>
  <c r="AM230" i="23"/>
  <c r="AN230" i="23" s="1"/>
  <c r="AS230" i="23" s="1"/>
  <c r="AM233" i="23"/>
  <c r="AN233" i="23" s="1"/>
  <c r="AS233" i="23" s="1"/>
  <c r="AM234" i="23"/>
  <c r="AN234" i="23" s="1"/>
  <c r="AM235" i="23"/>
  <c r="AM236" i="23"/>
  <c r="AN236" i="23" s="1"/>
  <c r="AS236" i="23" s="1"/>
  <c r="AM239" i="23"/>
  <c r="AN239" i="23" s="1"/>
  <c r="AM240" i="23"/>
  <c r="AN240" i="23" s="1"/>
  <c r="AS240" i="23" s="1"/>
  <c r="AM241" i="23"/>
  <c r="AN241" i="23" s="1"/>
  <c r="AS241" i="23" s="1"/>
  <c r="AM242" i="23"/>
  <c r="AN242" i="23" s="1"/>
  <c r="AS242" i="23" s="1"/>
  <c r="DZ61" i="18"/>
  <c r="DZ62" i="18"/>
  <c r="DZ63" i="18"/>
  <c r="DZ65" i="18"/>
  <c r="DZ64" i="18" s="1"/>
  <c r="DZ67" i="18"/>
  <c r="DZ66" i="18" s="1"/>
  <c r="DZ69" i="18"/>
  <c r="DZ68" i="18" s="1"/>
  <c r="DZ71" i="18"/>
  <c r="DZ70" i="18" s="1"/>
  <c r="DZ73" i="18"/>
  <c r="DZ72" i="18" s="1"/>
  <c r="EA61" i="18"/>
  <c r="EA63" i="18"/>
  <c r="EA65" i="18"/>
  <c r="EA64" i="18" s="1"/>
  <c r="EA67" i="18"/>
  <c r="EA66" i="18" s="1"/>
  <c r="EA69" i="18"/>
  <c r="EA68" i="18" s="1"/>
  <c r="EA71" i="18"/>
  <c r="EA70" i="18" s="1"/>
  <c r="EA73" i="18"/>
  <c r="EA72" i="18" s="1"/>
  <c r="EB61" i="18"/>
  <c r="EB62" i="18"/>
  <c r="EB63" i="18"/>
  <c r="EB65" i="18"/>
  <c r="EB64" i="18" s="1"/>
  <c r="EB67" i="18"/>
  <c r="EB66" i="18" s="1"/>
  <c r="EB69" i="18"/>
  <c r="EB68" i="18" s="1"/>
  <c r="EB71" i="18"/>
  <c r="EB70" i="18" s="1"/>
  <c r="EB73" i="18"/>
  <c r="EB72" i="18" s="1"/>
  <c r="EC61" i="18"/>
  <c r="EC62" i="18"/>
  <c r="EC63" i="18"/>
  <c r="EC65" i="18"/>
  <c r="EC64" i="18" s="1"/>
  <c r="EC67" i="18"/>
  <c r="EC66" i="18" s="1"/>
  <c r="EC69" i="18"/>
  <c r="EC68" i="18" s="1"/>
  <c r="EC71" i="18"/>
  <c r="EC70" i="18" s="1"/>
  <c r="EC73" i="18"/>
  <c r="EC72" i="18"/>
  <c r="ED61" i="18"/>
  <c r="ED62" i="18"/>
  <c r="ED63" i="18"/>
  <c r="ED65" i="18"/>
  <c r="ED64" i="18" s="1"/>
  <c r="ED67" i="18"/>
  <c r="ED66" i="18" s="1"/>
  <c r="ED69" i="18"/>
  <c r="ED68" i="18" s="1"/>
  <c r="ED71" i="18"/>
  <c r="ED70" i="18" s="1"/>
  <c r="ED73" i="18"/>
  <c r="ED72" i="18" s="1"/>
  <c r="EE61" i="18"/>
  <c r="EE62" i="18"/>
  <c r="EE63" i="18"/>
  <c r="EE65" i="18"/>
  <c r="EE64" i="18" s="1"/>
  <c r="EE67" i="18"/>
  <c r="EE66" i="18" s="1"/>
  <c r="EE69" i="18"/>
  <c r="EE68" i="18" s="1"/>
  <c r="EE71" i="18"/>
  <c r="EE70" i="18" s="1"/>
  <c r="EE73" i="18"/>
  <c r="EE72" i="18" s="1"/>
  <c r="C60" i="18"/>
  <c r="E61" i="18"/>
  <c r="F61" i="18"/>
  <c r="G61" i="18"/>
  <c r="E62" i="18"/>
  <c r="F62" i="18"/>
  <c r="G62" i="18"/>
  <c r="E63" i="18"/>
  <c r="F63" i="18"/>
  <c r="G63" i="18"/>
  <c r="C64" i="18"/>
  <c r="E65" i="18"/>
  <c r="F65" i="18"/>
  <c r="G65" i="18"/>
  <c r="C66" i="18"/>
  <c r="E67" i="18"/>
  <c r="F67" i="18"/>
  <c r="G67" i="18"/>
  <c r="C68" i="18"/>
  <c r="E69" i="18"/>
  <c r="F69" i="18"/>
  <c r="G69" i="18"/>
  <c r="C70" i="18"/>
  <c r="E71" i="18"/>
  <c r="F71" i="18"/>
  <c r="G71" i="18"/>
  <c r="C72" i="18"/>
  <c r="E73" i="18"/>
  <c r="F73" i="18"/>
  <c r="G73" i="18"/>
  <c r="B74" i="18"/>
  <c r="L246" i="1"/>
  <c r="L247" i="1"/>
  <c r="M247" i="1" s="1"/>
  <c r="AQ247" i="1" s="1"/>
  <c r="L248" i="1"/>
  <c r="M248" i="1" s="1"/>
  <c r="AQ248" i="1" s="1"/>
  <c r="L249" i="1"/>
  <c r="M249" i="1" s="1"/>
  <c r="AQ249" i="1" s="1"/>
  <c r="L251" i="1"/>
  <c r="L252" i="1"/>
  <c r="M252" i="1" s="1"/>
  <c r="L253" i="1"/>
  <c r="M253" i="1" s="1"/>
  <c r="AQ253" i="1" s="1"/>
  <c r="L255" i="1"/>
  <c r="L256" i="1"/>
  <c r="M256" i="1" s="1"/>
  <c r="AQ256" i="1" s="1"/>
  <c r="L257" i="1"/>
  <c r="M257" i="1" s="1"/>
  <c r="AQ257" i="1" s="1"/>
  <c r="L264" i="1"/>
  <c r="M264" i="1" s="1"/>
  <c r="L265" i="1"/>
  <c r="M265" i="1" s="1"/>
  <c r="AQ265" i="1" s="1"/>
  <c r="L266" i="1"/>
  <c r="M266" i="1" s="1"/>
  <c r="AQ266" i="1" s="1"/>
  <c r="L267" i="1"/>
  <c r="M267" i="1" s="1"/>
  <c r="AQ267" i="1" s="1"/>
  <c r="L274" i="1"/>
  <c r="M274" i="1" s="1"/>
  <c r="L275" i="1"/>
  <c r="M275" i="1" s="1"/>
  <c r="AQ275" i="1" s="1"/>
  <c r="L278" i="1"/>
  <c r="L279" i="1"/>
  <c r="M279" i="1" s="1"/>
  <c r="AQ279" i="1" s="1"/>
  <c r="L280" i="1"/>
  <c r="M280" i="1" s="1"/>
  <c r="AQ280" i="1" s="1"/>
  <c r="L281" i="1"/>
  <c r="M281" i="1" s="1"/>
  <c r="AQ281" i="1" s="1"/>
  <c r="L282" i="1"/>
  <c r="M282" i="1" s="1"/>
  <c r="AQ282" i="1" s="1"/>
  <c r="L285" i="1"/>
  <c r="L286" i="1"/>
  <c r="M286" i="1" s="1"/>
  <c r="AQ286" i="1" s="1"/>
  <c r="L287" i="1"/>
  <c r="M287" i="1" s="1"/>
  <c r="AQ287" i="1" s="1"/>
  <c r="L288" i="1"/>
  <c r="M288" i="1" s="1"/>
  <c r="AQ288" i="1" s="1"/>
  <c r="AB246" i="1"/>
  <c r="Y246" i="1"/>
  <c r="U246" i="1"/>
  <c r="T246" i="1"/>
  <c r="S246" i="1"/>
  <c r="R246" i="1"/>
  <c r="AB247" i="1"/>
  <c r="Y247" i="1"/>
  <c r="U247" i="1"/>
  <c r="T247" i="1"/>
  <c r="S247" i="1"/>
  <c r="R247" i="1"/>
  <c r="AB248" i="1"/>
  <c r="Y248" i="1"/>
  <c r="U248" i="1"/>
  <c r="T248" i="1"/>
  <c r="S248" i="1"/>
  <c r="R248" i="1"/>
  <c r="AB249" i="1"/>
  <c r="Y249" i="1"/>
  <c r="U249" i="1"/>
  <c r="T249" i="1"/>
  <c r="S249" i="1"/>
  <c r="R249" i="1"/>
  <c r="AB251" i="1"/>
  <c r="Y251" i="1"/>
  <c r="U251" i="1"/>
  <c r="T251" i="1"/>
  <c r="S251" i="1"/>
  <c r="R251" i="1"/>
  <c r="AB252" i="1"/>
  <c r="Y252" i="1"/>
  <c r="U252" i="1"/>
  <c r="T252" i="1"/>
  <c r="S252" i="1"/>
  <c r="R252" i="1"/>
  <c r="AB253" i="1"/>
  <c r="Y253" i="1"/>
  <c r="U253" i="1"/>
  <c r="T253" i="1"/>
  <c r="S253" i="1"/>
  <c r="R253" i="1"/>
  <c r="AB255" i="1"/>
  <c r="Y255" i="1"/>
  <c r="U255" i="1"/>
  <c r="T255" i="1"/>
  <c r="S255" i="1"/>
  <c r="R255" i="1"/>
  <c r="AB256" i="1"/>
  <c r="Y256" i="1"/>
  <c r="U256" i="1"/>
  <c r="T256" i="1"/>
  <c r="S256" i="1"/>
  <c r="R256" i="1"/>
  <c r="AB257" i="1"/>
  <c r="Y257" i="1"/>
  <c r="U257" i="1"/>
  <c r="T257" i="1"/>
  <c r="S257" i="1"/>
  <c r="R257" i="1"/>
  <c r="AB264" i="1"/>
  <c r="Y264" i="1"/>
  <c r="U264" i="1"/>
  <c r="T264" i="1"/>
  <c r="S264" i="1"/>
  <c r="R264" i="1"/>
  <c r="AB265" i="1"/>
  <c r="Y265" i="1"/>
  <c r="U265" i="1"/>
  <c r="T265" i="1"/>
  <c r="S265" i="1"/>
  <c r="R265" i="1"/>
  <c r="AB266" i="1"/>
  <c r="Y266" i="1"/>
  <c r="U266" i="1"/>
  <c r="T266" i="1"/>
  <c r="S266" i="1"/>
  <c r="R266" i="1"/>
  <c r="AB267" i="1"/>
  <c r="Y267" i="1"/>
  <c r="U267" i="1"/>
  <c r="T267" i="1"/>
  <c r="S267" i="1"/>
  <c r="R267" i="1"/>
  <c r="AB274" i="1"/>
  <c r="Y274" i="1"/>
  <c r="U274" i="1"/>
  <c r="T274" i="1"/>
  <c r="S274" i="1"/>
  <c r="R274" i="1"/>
  <c r="AB275" i="1"/>
  <c r="Y275" i="1"/>
  <c r="U275" i="1"/>
  <c r="T275" i="1"/>
  <c r="S275" i="1"/>
  <c r="R275" i="1"/>
  <c r="AB278" i="1"/>
  <c r="Y278" i="1"/>
  <c r="U278" i="1"/>
  <c r="T278" i="1"/>
  <c r="S278" i="1"/>
  <c r="R278" i="1"/>
  <c r="AB279" i="1"/>
  <c r="Y279" i="1"/>
  <c r="U279" i="1"/>
  <c r="T279" i="1"/>
  <c r="S279" i="1"/>
  <c r="R279" i="1"/>
  <c r="AB280" i="1"/>
  <c r="Y280" i="1"/>
  <c r="U280" i="1"/>
  <c r="T280" i="1"/>
  <c r="S280" i="1"/>
  <c r="R280" i="1"/>
  <c r="AB281" i="1"/>
  <c r="Y281" i="1"/>
  <c r="U281" i="1"/>
  <c r="T281" i="1"/>
  <c r="S281" i="1"/>
  <c r="R281" i="1"/>
  <c r="AB282" i="1"/>
  <c r="Y282" i="1"/>
  <c r="U282" i="1"/>
  <c r="T282" i="1"/>
  <c r="S282" i="1"/>
  <c r="R282" i="1"/>
  <c r="AB285" i="1"/>
  <c r="Y285" i="1"/>
  <c r="U285" i="1"/>
  <c r="T285" i="1"/>
  <c r="S285" i="1"/>
  <c r="R285" i="1"/>
  <c r="AB286" i="1"/>
  <c r="Y286" i="1"/>
  <c r="U286" i="1"/>
  <c r="T286" i="1"/>
  <c r="S286" i="1"/>
  <c r="R286" i="1"/>
  <c r="AB287" i="1"/>
  <c r="Y287" i="1"/>
  <c r="U287" i="1"/>
  <c r="T287" i="1"/>
  <c r="S287" i="1"/>
  <c r="R287" i="1"/>
  <c r="AB288" i="1"/>
  <c r="Y288" i="1"/>
  <c r="U288" i="1"/>
  <c r="T288" i="1"/>
  <c r="S288" i="1"/>
  <c r="R288" i="1"/>
  <c r="AM246" i="1"/>
  <c r="AN246" i="1" s="1"/>
  <c r="AS246" i="1" s="1"/>
  <c r="AM247" i="1"/>
  <c r="AN247" i="1" s="1"/>
  <c r="AM248" i="1"/>
  <c r="AN248" i="1" s="1"/>
  <c r="AS248" i="1" s="1"/>
  <c r="AM249" i="1"/>
  <c r="AN249" i="1" s="1"/>
  <c r="AS249" i="1" s="1"/>
  <c r="AM251" i="1"/>
  <c r="AN251" i="1" s="1"/>
  <c r="AS251" i="1" s="1"/>
  <c r="AM252" i="1"/>
  <c r="AN252" i="1" s="1"/>
  <c r="AS252" i="1" s="1"/>
  <c r="AM253" i="1"/>
  <c r="AN253" i="1" s="1"/>
  <c r="AS253" i="1" s="1"/>
  <c r="AM255" i="1"/>
  <c r="AN255" i="1" s="1"/>
  <c r="AS255" i="1" s="1"/>
  <c r="AM256" i="1"/>
  <c r="AN256" i="1" s="1"/>
  <c r="AS256" i="1" s="1"/>
  <c r="AM257" i="1"/>
  <c r="AN257" i="1" s="1"/>
  <c r="AS257" i="1" s="1"/>
  <c r="AM264" i="1"/>
  <c r="AN264" i="1" s="1"/>
  <c r="AS264" i="1" s="1"/>
  <c r="AM265" i="1"/>
  <c r="AN265" i="1" s="1"/>
  <c r="AM266" i="1"/>
  <c r="AN266" i="1" s="1"/>
  <c r="AS266" i="1" s="1"/>
  <c r="AM267" i="1"/>
  <c r="AN267" i="1" s="1"/>
  <c r="AS267" i="1" s="1"/>
  <c r="AM274" i="1"/>
  <c r="AN274" i="1" s="1"/>
  <c r="AS274" i="1" s="1"/>
  <c r="AM275" i="1"/>
  <c r="AN275" i="1" s="1"/>
  <c r="AS275" i="1" s="1"/>
  <c r="AM278" i="1"/>
  <c r="AN278" i="1" s="1"/>
  <c r="AS278" i="1" s="1"/>
  <c r="AM279" i="1"/>
  <c r="AN279" i="1" s="1"/>
  <c r="AS279" i="1" s="1"/>
  <c r="AM280" i="1"/>
  <c r="AN280" i="1" s="1"/>
  <c r="AS280" i="1" s="1"/>
  <c r="AM281" i="1"/>
  <c r="AN281" i="1" s="1"/>
  <c r="AS281" i="1" s="1"/>
  <c r="AM282" i="1"/>
  <c r="AN282" i="1" s="1"/>
  <c r="AS282" i="1" s="1"/>
  <c r="AM285" i="1"/>
  <c r="AN285" i="1" s="1"/>
  <c r="AS285" i="1" s="1"/>
  <c r="AM286" i="1"/>
  <c r="AN286" i="1" s="1"/>
  <c r="AS286" i="1" s="1"/>
  <c r="AM287" i="1"/>
  <c r="AN287" i="1" s="1"/>
  <c r="AS287" i="1" s="1"/>
  <c r="AM288" i="1"/>
  <c r="AN288" i="1" s="1"/>
  <c r="AS288" i="1" s="1"/>
  <c r="AU268" i="1"/>
  <c r="L81" i="18" s="1"/>
  <c r="AU283" i="1"/>
  <c r="L86" i="18"/>
  <c r="L85" i="18" s="1"/>
  <c r="AV268" i="1"/>
  <c r="M81" i="18" s="1"/>
  <c r="AV283" i="1"/>
  <c r="M86" i="18" s="1"/>
  <c r="M85" i="18" s="1"/>
  <c r="AW268" i="1"/>
  <c r="N81" i="18" s="1"/>
  <c r="AW283" i="1"/>
  <c r="N86" i="18" s="1"/>
  <c r="N85" i="18" s="1"/>
  <c r="L246" i="12"/>
  <c r="M246" i="12" s="1"/>
  <c r="L247" i="12"/>
  <c r="M247" i="12" s="1"/>
  <c r="AQ247" i="12" s="1"/>
  <c r="L248" i="12"/>
  <c r="M248" i="12" s="1"/>
  <c r="AQ248" i="12" s="1"/>
  <c r="L249" i="12"/>
  <c r="M249" i="12" s="1"/>
  <c r="AQ249" i="12" s="1"/>
  <c r="L251" i="12"/>
  <c r="M251" i="12" s="1"/>
  <c r="L252" i="12"/>
  <c r="M252" i="12" s="1"/>
  <c r="AQ252" i="12" s="1"/>
  <c r="L253" i="12"/>
  <c r="M253" i="12" s="1"/>
  <c r="AQ253" i="12" s="1"/>
  <c r="L255" i="12"/>
  <c r="M255" i="12" s="1"/>
  <c r="AQ255" i="12" s="1"/>
  <c r="L256" i="12"/>
  <c r="M256" i="12" s="1"/>
  <c r="L257" i="12"/>
  <c r="M257" i="12" s="1"/>
  <c r="AQ257" i="12" s="1"/>
  <c r="L264" i="12"/>
  <c r="M264" i="12" s="1"/>
  <c r="AQ264" i="12" s="1"/>
  <c r="L265" i="12"/>
  <c r="M265" i="12" s="1"/>
  <c r="L267" i="12"/>
  <c r="M267" i="12" s="1"/>
  <c r="AQ267" i="12" s="1"/>
  <c r="L274" i="12"/>
  <c r="M274" i="12" s="1"/>
  <c r="AQ274" i="12" s="1"/>
  <c r="AQ276" i="12" s="1"/>
  <c r="L278" i="12"/>
  <c r="M278" i="12" s="1"/>
  <c r="AQ278" i="12" s="1"/>
  <c r="L279" i="12"/>
  <c r="M279" i="12" s="1"/>
  <c r="AQ279" i="12" s="1"/>
  <c r="L280" i="12"/>
  <c r="M280" i="12" s="1"/>
  <c r="L281" i="12"/>
  <c r="M281" i="12" s="1"/>
  <c r="AQ281" i="12" s="1"/>
  <c r="L282" i="12"/>
  <c r="M282" i="12" s="1"/>
  <c r="AQ282" i="12" s="1"/>
  <c r="L287" i="12"/>
  <c r="M287" i="12" s="1"/>
  <c r="AQ287" i="12" s="1"/>
  <c r="L288" i="12"/>
  <c r="M288" i="12" s="1"/>
  <c r="AQ288" i="12" s="1"/>
  <c r="AB246" i="12"/>
  <c r="Y246" i="12"/>
  <c r="U246" i="12"/>
  <c r="T246" i="12"/>
  <c r="S246" i="12"/>
  <c r="R246" i="12"/>
  <c r="AB247" i="12"/>
  <c r="Y247" i="12"/>
  <c r="U247" i="12"/>
  <c r="T247" i="12"/>
  <c r="S247" i="12"/>
  <c r="R247" i="12"/>
  <c r="AB248" i="12"/>
  <c r="Y248" i="12"/>
  <c r="U248" i="12"/>
  <c r="T248" i="12"/>
  <c r="S248" i="12"/>
  <c r="R248" i="12"/>
  <c r="AB249" i="12"/>
  <c r="Y249" i="12"/>
  <c r="U249" i="12"/>
  <c r="T249" i="12"/>
  <c r="S249" i="12"/>
  <c r="R249" i="12"/>
  <c r="AB251" i="12"/>
  <c r="Y251" i="12"/>
  <c r="U251" i="12"/>
  <c r="T251" i="12"/>
  <c r="S251" i="12"/>
  <c r="R251" i="12"/>
  <c r="AB252" i="12"/>
  <c r="Y252" i="12"/>
  <c r="U252" i="12"/>
  <c r="T252" i="12"/>
  <c r="S252" i="12"/>
  <c r="R252" i="12"/>
  <c r="AB253" i="12"/>
  <c r="Y253" i="12"/>
  <c r="U253" i="12"/>
  <c r="T253" i="12"/>
  <c r="S253" i="12"/>
  <c r="R253" i="12"/>
  <c r="AB255" i="12"/>
  <c r="Y255" i="12"/>
  <c r="U255" i="12"/>
  <c r="T255" i="12"/>
  <c r="S255" i="12"/>
  <c r="R255" i="12"/>
  <c r="AB256" i="12"/>
  <c r="Y256" i="12"/>
  <c r="U256" i="12"/>
  <c r="T256" i="12"/>
  <c r="S256" i="12"/>
  <c r="R256" i="12"/>
  <c r="AB257" i="12"/>
  <c r="Y257" i="12"/>
  <c r="U257" i="12"/>
  <c r="T257" i="12"/>
  <c r="S257" i="12"/>
  <c r="R257" i="12"/>
  <c r="AB264" i="12"/>
  <c r="Y264" i="12"/>
  <c r="U264" i="12"/>
  <c r="T264" i="12"/>
  <c r="S264" i="12"/>
  <c r="R264" i="12"/>
  <c r="AB265" i="12"/>
  <c r="Y265" i="12"/>
  <c r="U265" i="12"/>
  <c r="T265" i="12"/>
  <c r="S265" i="12"/>
  <c r="R265" i="12"/>
  <c r="AB266" i="12"/>
  <c r="Y266" i="12"/>
  <c r="U266" i="12"/>
  <c r="T266" i="12"/>
  <c r="S266" i="12"/>
  <c r="R266" i="12"/>
  <c r="AB267" i="12"/>
  <c r="Y267" i="12"/>
  <c r="U267" i="12"/>
  <c r="T267" i="12"/>
  <c r="S267" i="12"/>
  <c r="R267" i="12"/>
  <c r="Y274" i="12"/>
  <c r="U274" i="12"/>
  <c r="T274" i="12"/>
  <c r="S274" i="12"/>
  <c r="R274" i="12"/>
  <c r="Y275" i="12"/>
  <c r="AF275" i="12" s="1"/>
  <c r="AR275" i="12" s="1"/>
  <c r="AB278" i="12"/>
  <c r="Y278" i="12"/>
  <c r="U278" i="12"/>
  <c r="T278" i="12"/>
  <c r="S278" i="12"/>
  <c r="R278" i="12"/>
  <c r="AB279" i="12"/>
  <c r="Y279" i="12"/>
  <c r="U279" i="12"/>
  <c r="T279" i="12"/>
  <c r="S279" i="12"/>
  <c r="R279" i="12"/>
  <c r="AB280" i="12"/>
  <c r="Y280" i="12"/>
  <c r="U280" i="12"/>
  <c r="T280" i="12"/>
  <c r="S280" i="12"/>
  <c r="R280" i="12"/>
  <c r="AB281" i="12"/>
  <c r="Y281" i="12"/>
  <c r="U281" i="12"/>
  <c r="T281" i="12"/>
  <c r="S281" i="12"/>
  <c r="R281" i="12"/>
  <c r="AB282" i="12"/>
  <c r="Y282" i="12"/>
  <c r="U282" i="12"/>
  <c r="T282" i="12"/>
  <c r="S282" i="12"/>
  <c r="R282" i="12"/>
  <c r="AB285" i="12"/>
  <c r="Y285" i="12"/>
  <c r="AB286" i="12"/>
  <c r="Y286" i="12"/>
  <c r="U286" i="12"/>
  <c r="T286" i="12"/>
  <c r="S286" i="12"/>
  <c r="R286" i="12"/>
  <c r="AB287" i="12"/>
  <c r="Y287" i="12"/>
  <c r="U287" i="12"/>
  <c r="T287" i="12"/>
  <c r="S287" i="12"/>
  <c r="R287" i="12"/>
  <c r="AB288" i="12"/>
  <c r="Y288" i="12"/>
  <c r="U288" i="12"/>
  <c r="T288" i="12"/>
  <c r="S288" i="12"/>
  <c r="R288" i="12"/>
  <c r="AM246" i="12"/>
  <c r="AN246" i="12" s="1"/>
  <c r="AS246" i="12" s="1"/>
  <c r="AM247" i="12"/>
  <c r="AN247" i="12" s="1"/>
  <c r="AM248" i="12"/>
  <c r="AN248" i="12" s="1"/>
  <c r="AS248" i="12" s="1"/>
  <c r="AM249" i="12"/>
  <c r="AN249" i="12" s="1"/>
  <c r="AS249" i="12" s="1"/>
  <c r="AM251" i="12"/>
  <c r="AN251" i="12" s="1"/>
  <c r="AS251" i="12" s="1"/>
  <c r="AM252" i="12"/>
  <c r="AN252" i="12" s="1"/>
  <c r="AM253" i="12"/>
  <c r="AN253" i="12" s="1"/>
  <c r="AS253" i="12" s="1"/>
  <c r="AM255" i="12"/>
  <c r="AN255" i="12" s="1"/>
  <c r="AM256" i="12"/>
  <c r="AN256" i="12" s="1"/>
  <c r="AS256" i="12" s="1"/>
  <c r="AM257" i="12"/>
  <c r="AN257" i="12" s="1"/>
  <c r="AS257" i="12" s="1"/>
  <c r="AM264" i="12"/>
  <c r="AN264" i="12" s="1"/>
  <c r="AS264" i="12" s="1"/>
  <c r="AM265" i="12"/>
  <c r="AN265" i="12" s="1"/>
  <c r="AS265" i="12" s="1"/>
  <c r="AM266" i="12"/>
  <c r="AN266" i="12" s="1"/>
  <c r="AS266" i="12" s="1"/>
  <c r="AM267" i="12"/>
  <c r="AN267" i="12" s="1"/>
  <c r="AM274" i="12"/>
  <c r="AN274" i="12" s="1"/>
  <c r="AS274" i="12" s="1"/>
  <c r="AM275" i="12"/>
  <c r="AN275" i="12" s="1"/>
  <c r="AS275" i="12" s="1"/>
  <c r="AM278" i="12"/>
  <c r="AN278" i="12" s="1"/>
  <c r="AS278" i="12" s="1"/>
  <c r="AM279" i="12"/>
  <c r="AN279" i="12" s="1"/>
  <c r="AS279" i="12" s="1"/>
  <c r="AM280" i="12"/>
  <c r="AN280" i="12" s="1"/>
  <c r="AS280" i="12" s="1"/>
  <c r="AM281" i="12"/>
  <c r="AN281" i="12" s="1"/>
  <c r="AM282" i="12"/>
  <c r="AN282" i="12" s="1"/>
  <c r="AS282" i="12" s="1"/>
  <c r="AM285" i="12"/>
  <c r="AN285" i="12" s="1"/>
  <c r="AS285" i="12" s="1"/>
  <c r="AM286" i="12"/>
  <c r="AN286" i="12" s="1"/>
  <c r="AM287" i="12"/>
  <c r="AN287" i="12" s="1"/>
  <c r="AS287" i="12" s="1"/>
  <c r="AM288" i="12"/>
  <c r="AN288" i="12" s="1"/>
  <c r="AS288" i="12" s="1"/>
  <c r="AU254" i="12"/>
  <c r="Y77" i="18" s="1"/>
  <c r="AU268" i="12"/>
  <c r="Y81" i="18" s="1"/>
  <c r="AU276" i="12"/>
  <c r="Y84" i="18" s="1"/>
  <c r="AU289" i="12"/>
  <c r="AU284" i="12" s="1"/>
  <c r="Y88" i="18"/>
  <c r="Y87" i="18" s="1"/>
  <c r="AV254" i="12"/>
  <c r="Z77" i="18" s="1"/>
  <c r="AV268" i="12"/>
  <c r="Z81" i="18" s="1"/>
  <c r="AV276" i="12"/>
  <c r="Z84" i="18" s="1"/>
  <c r="AV289" i="12"/>
  <c r="AV284" i="12" s="1"/>
  <c r="AW254" i="12"/>
  <c r="AA77" i="18"/>
  <c r="AW268" i="12"/>
  <c r="AA81" i="18" s="1"/>
  <c r="AW276" i="12"/>
  <c r="AA84" i="18" s="1"/>
  <c r="AW289" i="12"/>
  <c r="AW284" i="12" s="1"/>
  <c r="AA88" i="18"/>
  <c r="AA87" i="18" s="1"/>
  <c r="AX254" i="12"/>
  <c r="AB77" i="18" s="1"/>
  <c r="AX268" i="12"/>
  <c r="AB81" i="18" s="1"/>
  <c r="AX276" i="12"/>
  <c r="AB84" i="18" s="1"/>
  <c r="AX289" i="12"/>
  <c r="AY254" i="12"/>
  <c r="AC77" i="18" s="1"/>
  <c r="AY268" i="12"/>
  <c r="AC81" i="18" s="1"/>
  <c r="AY276" i="12"/>
  <c r="AC84" i="18" s="1"/>
  <c r="AY289" i="12"/>
  <c r="AY284" i="12" s="1"/>
  <c r="AC88" i="18"/>
  <c r="AC87" i="18" s="1"/>
  <c r="AZ254" i="12"/>
  <c r="AD77" i="18" s="1"/>
  <c r="AZ268" i="12"/>
  <c r="AD81" i="18" s="1"/>
  <c r="AZ276" i="12"/>
  <c r="AD84" i="18" s="1"/>
  <c r="AZ289" i="12"/>
  <c r="AZ284" i="12" s="1"/>
  <c r="BA254" i="12"/>
  <c r="AE77" i="18" s="1"/>
  <c r="BA268" i="12"/>
  <c r="AE81" i="18" s="1"/>
  <c r="BA276" i="12"/>
  <c r="AE84" i="18" s="1"/>
  <c r="BA289" i="12"/>
  <c r="BA284" i="12" s="1"/>
  <c r="AL78" i="18"/>
  <c r="AM76" i="18"/>
  <c r="AM77" i="18"/>
  <c r="AM78" i="18"/>
  <c r="AM81" i="18"/>
  <c r="AM84" i="18"/>
  <c r="AM86" i="18"/>
  <c r="AM85" i="18" s="1"/>
  <c r="AM88" i="18"/>
  <c r="AM87" i="18" s="1"/>
  <c r="AN76" i="18"/>
  <c r="AN77" i="18"/>
  <c r="AN75" i="18" s="1"/>
  <c r="AN78" i="18"/>
  <c r="AN81" i="18"/>
  <c r="AN84" i="18"/>
  <c r="AN86" i="18"/>
  <c r="AN85" i="18" s="1"/>
  <c r="AN88" i="18"/>
  <c r="AN87" i="18"/>
  <c r="AO76" i="18"/>
  <c r="AO77" i="18"/>
  <c r="AO78" i="18"/>
  <c r="AO81" i="18"/>
  <c r="AO84" i="18"/>
  <c r="AO86" i="18"/>
  <c r="AO85" i="18" s="1"/>
  <c r="AO88" i="18"/>
  <c r="AO87" i="18" s="1"/>
  <c r="AP76" i="18"/>
  <c r="AP77" i="18"/>
  <c r="AP78" i="18"/>
  <c r="AP81" i="18"/>
  <c r="AP84" i="18"/>
  <c r="AP86" i="18"/>
  <c r="AP85" i="18" s="1"/>
  <c r="AP88" i="18"/>
  <c r="AP87" i="18" s="1"/>
  <c r="AQ76" i="18"/>
  <c r="AQ78" i="18"/>
  <c r="AQ81" i="18"/>
  <c r="AQ84" i="18"/>
  <c r="AQ86" i="18"/>
  <c r="AQ85" i="18" s="1"/>
  <c r="AR76" i="18"/>
  <c r="AR77" i="18"/>
  <c r="AR78" i="18"/>
  <c r="AR81" i="18"/>
  <c r="AR84" i="18"/>
  <c r="AR86" i="18"/>
  <c r="AR85" i="18" s="1"/>
  <c r="AR88" i="18"/>
  <c r="AR87" i="18" s="1"/>
  <c r="AQ276" i="14"/>
  <c r="AU84" i="18" s="1"/>
  <c r="Y246" i="14"/>
  <c r="Y247" i="14"/>
  <c r="Y248" i="14"/>
  <c r="Y249" i="14"/>
  <c r="Y251" i="14"/>
  <c r="AE251" i="14" s="1"/>
  <c r="AF251" i="14" s="1"/>
  <c r="AR251" i="14" s="1"/>
  <c r="Y252" i="14"/>
  <c r="AE252" i="14" s="1"/>
  <c r="AF252" i="14" s="1"/>
  <c r="AR252" i="14" s="1"/>
  <c r="Y253" i="14"/>
  <c r="AE253" i="14" s="1"/>
  <c r="AF253" i="14" s="1"/>
  <c r="AR253" i="14" s="1"/>
  <c r="Y255" i="14"/>
  <c r="Y256" i="14"/>
  <c r="Y257" i="14"/>
  <c r="Y264" i="14"/>
  <c r="AE264" i="14" s="1"/>
  <c r="AF264" i="14" s="1"/>
  <c r="AR264" i="14" s="1"/>
  <c r="Y265" i="14"/>
  <c r="Y266" i="14"/>
  <c r="AF266" i="14" s="1"/>
  <c r="AR266" i="14" s="1"/>
  <c r="Y267" i="14"/>
  <c r="Y274" i="14"/>
  <c r="Y275" i="14"/>
  <c r="Y278" i="14"/>
  <c r="Y279" i="14"/>
  <c r="Y280" i="14"/>
  <c r="Y281" i="14"/>
  <c r="Y282" i="14"/>
  <c r="Y285" i="14"/>
  <c r="Y289" i="14" s="1"/>
  <c r="Y284" i="14" s="1"/>
  <c r="Y286" i="14"/>
  <c r="Y287" i="14"/>
  <c r="Y288" i="14"/>
  <c r="AY78" i="18"/>
  <c r="AZ76" i="18"/>
  <c r="AZ77" i="18"/>
  <c r="AZ78" i="18"/>
  <c r="AZ81" i="18"/>
  <c r="AZ84" i="18"/>
  <c r="AZ86" i="18"/>
  <c r="AZ85" i="18" s="1"/>
  <c r="AZ88" i="18"/>
  <c r="AZ87" i="18" s="1"/>
  <c r="BA76" i="18"/>
  <c r="BA78" i="18"/>
  <c r="BA81" i="18"/>
  <c r="BA84" i="18"/>
  <c r="BA86" i="18"/>
  <c r="BA85" i="18" s="1"/>
  <c r="BA88" i="18"/>
  <c r="BA87" i="18" s="1"/>
  <c r="BB76" i="18"/>
  <c r="BB77" i="18"/>
  <c r="BB78" i="18"/>
  <c r="BB81" i="18"/>
  <c r="BB84" i="18"/>
  <c r="BB86" i="18"/>
  <c r="BB85" i="18" s="1"/>
  <c r="BB88" i="18"/>
  <c r="BB87" i="18" s="1"/>
  <c r="BC76" i="18"/>
  <c r="BC77" i="18"/>
  <c r="BC78" i="18"/>
  <c r="BC81" i="18"/>
  <c r="BC84" i="18"/>
  <c r="BC86" i="18"/>
  <c r="BC85" i="18" s="1"/>
  <c r="BC88" i="18"/>
  <c r="BC87" i="18" s="1"/>
  <c r="BD76" i="18"/>
  <c r="BD77" i="18"/>
  <c r="BD78" i="18"/>
  <c r="BD81" i="18"/>
  <c r="BD84" i="18"/>
  <c r="BD86" i="18"/>
  <c r="BD85" i="18" s="1"/>
  <c r="BD88" i="18"/>
  <c r="BD87" i="18" s="1"/>
  <c r="BE76" i="18"/>
  <c r="BE77" i="18"/>
  <c r="BE78" i="18"/>
  <c r="BE81" i="18"/>
  <c r="BE84" i="18"/>
  <c r="BE86" i="18"/>
  <c r="BE85" i="18" s="1"/>
  <c r="BE88" i="18"/>
  <c r="BE87" i="18" s="1"/>
  <c r="Y246" i="15"/>
  <c r="AE246" i="15" s="1"/>
  <c r="AF246" i="15" s="1"/>
  <c r="AR246" i="15" s="1"/>
  <c r="Y247" i="15"/>
  <c r="Y248" i="15"/>
  <c r="AF248" i="15" s="1"/>
  <c r="AR248" i="15" s="1"/>
  <c r="Y249" i="15"/>
  <c r="Y251" i="15"/>
  <c r="AE251" i="15" s="1"/>
  <c r="AF251" i="15" s="1"/>
  <c r="AR251" i="15" s="1"/>
  <c r="Y252" i="15"/>
  <c r="AF252" i="15" s="1"/>
  <c r="AR252" i="15" s="1"/>
  <c r="Y253" i="15"/>
  <c r="Y255" i="15"/>
  <c r="Y256" i="15"/>
  <c r="AE256" i="15" s="1"/>
  <c r="AF256" i="15" s="1"/>
  <c r="AR256" i="15" s="1"/>
  <c r="Y257" i="15"/>
  <c r="AE257" i="15" s="1"/>
  <c r="AF257" i="15" s="1"/>
  <c r="AR257" i="15" s="1"/>
  <c r="Y264" i="15"/>
  <c r="Y265" i="15"/>
  <c r="AF265" i="15" s="1"/>
  <c r="AR265" i="15" s="1"/>
  <c r="Y266" i="15"/>
  <c r="Y267" i="15"/>
  <c r="AE267" i="15" s="1"/>
  <c r="AF267" i="15" s="1"/>
  <c r="AR267" i="15" s="1"/>
  <c r="Y274" i="15"/>
  <c r="Y276" i="15" s="1"/>
  <c r="Y275" i="15"/>
  <c r="Y278" i="15"/>
  <c r="Y279" i="15"/>
  <c r="Y280" i="15"/>
  <c r="Y281" i="15"/>
  <c r="Y282" i="15"/>
  <c r="Y285" i="15"/>
  <c r="Y286" i="15"/>
  <c r="Y287" i="15"/>
  <c r="Y288" i="15"/>
  <c r="AS276" i="15"/>
  <c r="BJ84" i="18" s="1"/>
  <c r="AS283" i="15"/>
  <c r="AS289" i="15"/>
  <c r="AS284" i="15" s="1"/>
  <c r="BM76" i="18"/>
  <c r="BM77" i="18"/>
  <c r="BM78" i="18"/>
  <c r="BM81" i="18"/>
  <c r="BM84" i="18"/>
  <c r="BM86" i="18"/>
  <c r="BM85" i="18" s="1"/>
  <c r="BM88" i="18"/>
  <c r="BN76" i="18"/>
  <c r="BN78" i="18"/>
  <c r="BN81" i="18"/>
  <c r="BN84" i="18"/>
  <c r="BN86" i="18"/>
  <c r="BN85" i="18" s="1"/>
  <c r="BN88" i="18"/>
  <c r="BN87" i="18" s="1"/>
  <c r="BO76" i="18"/>
  <c r="BO77" i="18"/>
  <c r="BO78" i="18"/>
  <c r="BO81" i="18"/>
  <c r="BO84" i="18"/>
  <c r="BO86" i="18"/>
  <c r="BO88" i="18"/>
  <c r="BO87" i="18" s="1"/>
  <c r="BP76" i="18"/>
  <c r="BP77" i="18"/>
  <c r="BP78" i="18"/>
  <c r="BP81" i="18"/>
  <c r="BP84" i="18"/>
  <c r="BP86" i="18"/>
  <c r="BP85" i="18" s="1"/>
  <c r="BP88" i="18"/>
  <c r="BP87" i="18" s="1"/>
  <c r="BQ76" i="18"/>
  <c r="BQ77" i="18"/>
  <c r="BQ78" i="18"/>
  <c r="BQ81" i="18"/>
  <c r="BQ84" i="18"/>
  <c r="BQ86" i="18"/>
  <c r="BQ85" i="18" s="1"/>
  <c r="BQ88" i="18"/>
  <c r="BQ87" i="18" s="1"/>
  <c r="BR76" i="18"/>
  <c r="BR77" i="18"/>
  <c r="BR78" i="18"/>
  <c r="BR81" i="18"/>
  <c r="BR84" i="18"/>
  <c r="BR86" i="18"/>
  <c r="BR85" i="18" s="1"/>
  <c r="BR88" i="18"/>
  <c r="BR87" i="18" s="1"/>
  <c r="AQ276" i="16"/>
  <c r="BU84" i="18" s="1"/>
  <c r="AQ283" i="16"/>
  <c r="AQ289" i="16"/>
  <c r="Y246" i="16"/>
  <c r="AE246" i="16" s="1"/>
  <c r="AF246" i="16" s="1"/>
  <c r="AR246" i="16" s="1"/>
  <c r="Y247" i="16"/>
  <c r="Y250" i="16" s="1"/>
  <c r="Y248" i="16"/>
  <c r="AF248" i="16" s="1"/>
  <c r="AR248" i="16" s="1"/>
  <c r="Y249" i="16"/>
  <c r="Y251" i="16"/>
  <c r="Y252" i="16"/>
  <c r="Y253" i="16"/>
  <c r="Y255" i="16"/>
  <c r="AF255" i="16" s="1"/>
  <c r="AR255" i="16" s="1"/>
  <c r="Y256" i="16"/>
  <c r="Y257" i="16"/>
  <c r="Y264" i="16"/>
  <c r="AE264" i="16" s="1"/>
  <c r="AF264" i="16" s="1"/>
  <c r="AR264" i="16" s="1"/>
  <c r="Y265" i="16"/>
  <c r="AE265" i="16" s="1"/>
  <c r="AF265" i="16" s="1"/>
  <c r="AR265" i="16" s="1"/>
  <c r="Y266" i="16"/>
  <c r="AF266" i="16" s="1"/>
  <c r="AR266" i="16" s="1"/>
  <c r="Y267" i="16"/>
  <c r="Y274" i="16"/>
  <c r="AE274" i="16" s="1"/>
  <c r="AF274" i="16" s="1"/>
  <c r="AR274" i="16" s="1"/>
  <c r="Y275" i="16"/>
  <c r="AE275" i="16" s="1"/>
  <c r="AF275" i="16" s="1"/>
  <c r="AR275" i="16" s="1"/>
  <c r="Y278" i="16"/>
  <c r="AE278" i="16" s="1"/>
  <c r="AF278" i="16" s="1"/>
  <c r="Y279" i="16"/>
  <c r="AE279" i="16" s="1"/>
  <c r="AF279" i="16" s="1"/>
  <c r="AR279" i="16" s="1"/>
  <c r="Y280" i="16"/>
  <c r="AE280" i="16" s="1"/>
  <c r="AF280" i="16" s="1"/>
  <c r="AR280" i="16" s="1"/>
  <c r="Y281" i="16"/>
  <c r="AE281" i="16" s="1"/>
  <c r="AF281" i="16" s="1"/>
  <c r="AR281" i="16" s="1"/>
  <c r="Y282" i="16"/>
  <c r="AE282" i="16" s="1"/>
  <c r="AF282" i="16" s="1"/>
  <c r="AR282" i="16" s="1"/>
  <c r="Y285" i="16"/>
  <c r="AE285" i="16" s="1"/>
  <c r="AF285" i="16" s="1"/>
  <c r="AR285" i="16" s="1"/>
  <c r="Y286" i="16"/>
  <c r="AE286" i="16" s="1"/>
  <c r="AF286" i="16" s="1"/>
  <c r="AR286" i="16" s="1"/>
  <c r="Y287" i="16"/>
  <c r="AE287" i="16" s="1"/>
  <c r="AF287" i="16" s="1"/>
  <c r="AR287" i="16" s="1"/>
  <c r="Y288" i="16"/>
  <c r="AE288" i="16" s="1"/>
  <c r="AF288" i="16" s="1"/>
  <c r="AS258" i="16"/>
  <c r="BW78" i="18" s="1"/>
  <c r="BZ76" i="18"/>
  <c r="BZ77" i="18"/>
  <c r="BZ78" i="18"/>
  <c r="BZ81" i="18"/>
  <c r="BZ84" i="18"/>
  <c r="BZ86" i="18"/>
  <c r="BZ85" i="18" s="1"/>
  <c r="BZ88" i="18"/>
  <c r="BZ87" i="18" s="1"/>
  <c r="CA76" i="18"/>
  <c r="CA78" i="18"/>
  <c r="CA81" i="18"/>
  <c r="CA84" i="18"/>
  <c r="CA86" i="18"/>
  <c r="CA85" i="18" s="1"/>
  <c r="CA88" i="18"/>
  <c r="CA87" i="18" s="1"/>
  <c r="CB76" i="18"/>
  <c r="CB77" i="18"/>
  <c r="CB78" i="18"/>
  <c r="CB81" i="18"/>
  <c r="CB84" i="18"/>
  <c r="CB86" i="18"/>
  <c r="CB85" i="18" s="1"/>
  <c r="CB88" i="18"/>
  <c r="CB87" i="18" s="1"/>
  <c r="CC76" i="18"/>
  <c r="CC77" i="18"/>
  <c r="CC78" i="18"/>
  <c r="CC81" i="18"/>
  <c r="CC84" i="18"/>
  <c r="CC86" i="18"/>
  <c r="CC85" i="18" s="1"/>
  <c r="CC88" i="18"/>
  <c r="CC87" i="18" s="1"/>
  <c r="CD76" i="18"/>
  <c r="CD77" i="18"/>
  <c r="CD78" i="18"/>
  <c r="CD81" i="18"/>
  <c r="CD84" i="18"/>
  <c r="CD86" i="18"/>
  <c r="CD85" i="18" s="1"/>
  <c r="CD88" i="18"/>
  <c r="CD87" i="18" s="1"/>
  <c r="CE76" i="18"/>
  <c r="CE77" i="18"/>
  <c r="CE78" i="18"/>
  <c r="CE81" i="18"/>
  <c r="CE84" i="18"/>
  <c r="CE86" i="18"/>
  <c r="CE85" i="18" s="1"/>
  <c r="CE88" i="18"/>
  <c r="CE87" i="18" s="1"/>
  <c r="Y246" i="17"/>
  <c r="Y247" i="17"/>
  <c r="Y250" i="17" s="1"/>
  <c r="Y248" i="17"/>
  <c r="Y249" i="17"/>
  <c r="Y251" i="17"/>
  <c r="Y252" i="17"/>
  <c r="Y253" i="17"/>
  <c r="Y255" i="17"/>
  <c r="AF255" i="17" s="1"/>
  <c r="AR255" i="17" s="1"/>
  <c r="Y256" i="17"/>
  <c r="Y257" i="17"/>
  <c r="Y264" i="17"/>
  <c r="Y265" i="17"/>
  <c r="AE265" i="17" s="1"/>
  <c r="AF265" i="17" s="1"/>
  <c r="AR265" i="17" s="1"/>
  <c r="Y266" i="17"/>
  <c r="Y267" i="17"/>
  <c r="Y274" i="17"/>
  <c r="Y275" i="17"/>
  <c r="AE275" i="17" s="1"/>
  <c r="AF275" i="17" s="1"/>
  <c r="AR275" i="17" s="1"/>
  <c r="Y278" i="17"/>
  <c r="Y279" i="17"/>
  <c r="Y280" i="17"/>
  <c r="AE280" i="17" s="1"/>
  <c r="AF280" i="17" s="1"/>
  <c r="AR280" i="17" s="1"/>
  <c r="Y281" i="17"/>
  <c r="Y282" i="17"/>
  <c r="AE282" i="17" s="1"/>
  <c r="AF282" i="17" s="1"/>
  <c r="AR282" i="17" s="1"/>
  <c r="Y285" i="17"/>
  <c r="AE285" i="17" s="1"/>
  <c r="AF285" i="17" s="1"/>
  <c r="AR285" i="17" s="1"/>
  <c r="Y286" i="17"/>
  <c r="Y287" i="17"/>
  <c r="AE287" i="17" s="1"/>
  <c r="AF287" i="17" s="1"/>
  <c r="AR287" i="17" s="1"/>
  <c r="Y288" i="17"/>
  <c r="AM246" i="17"/>
  <c r="AN246" i="17" s="1"/>
  <c r="AS246" i="17" s="1"/>
  <c r="AM247" i="17"/>
  <c r="AN247" i="17" s="1"/>
  <c r="AM248" i="17"/>
  <c r="AN248" i="17" s="1"/>
  <c r="AS248" i="17" s="1"/>
  <c r="AM249" i="17"/>
  <c r="AM251" i="17"/>
  <c r="AN251" i="17" s="1"/>
  <c r="AS251" i="17" s="1"/>
  <c r="AM252" i="17"/>
  <c r="AN252" i="17" s="1"/>
  <c r="AM253" i="17"/>
  <c r="AN253" i="17" s="1"/>
  <c r="AS253" i="17" s="1"/>
  <c r="AM255" i="17"/>
  <c r="AN255" i="17" s="1"/>
  <c r="AS255" i="17" s="1"/>
  <c r="AM256" i="17"/>
  <c r="AN256" i="17" s="1"/>
  <c r="AS256" i="17" s="1"/>
  <c r="AM257" i="17"/>
  <c r="AN257" i="17" s="1"/>
  <c r="AS257" i="17" s="1"/>
  <c r="AM264" i="17"/>
  <c r="AN264" i="17"/>
  <c r="AS264" i="17" s="1"/>
  <c r="AM265" i="17"/>
  <c r="AN265" i="17" s="1"/>
  <c r="AS265" i="17" s="1"/>
  <c r="AM266" i="17"/>
  <c r="AM267" i="17"/>
  <c r="AN267" i="17" s="1"/>
  <c r="AS267" i="17" s="1"/>
  <c r="AM274" i="17"/>
  <c r="AN274" i="17" s="1"/>
  <c r="AS274" i="17" s="1"/>
  <c r="AM275" i="17"/>
  <c r="AN275" i="17" s="1"/>
  <c r="AM278" i="17"/>
  <c r="AN278" i="17" s="1"/>
  <c r="AM279" i="17"/>
  <c r="AN279" i="17" s="1"/>
  <c r="AS279" i="17" s="1"/>
  <c r="AM280" i="17"/>
  <c r="AN280" i="17" s="1"/>
  <c r="AS280" i="17" s="1"/>
  <c r="AM281" i="17"/>
  <c r="AN281" i="17" s="1"/>
  <c r="AS281" i="17" s="1"/>
  <c r="AM282" i="17"/>
  <c r="AN282" i="17" s="1"/>
  <c r="AS282" i="17" s="1"/>
  <c r="AM285" i="17"/>
  <c r="AN285" i="17" s="1"/>
  <c r="AS285" i="17" s="1"/>
  <c r="AM286" i="17"/>
  <c r="AN286" i="17" s="1"/>
  <c r="AS286" i="17" s="1"/>
  <c r="AM287" i="17"/>
  <c r="AM288" i="17"/>
  <c r="AN288" i="17" s="1"/>
  <c r="AS288" i="17" s="1"/>
  <c r="CM76" i="18"/>
  <c r="CM77" i="18"/>
  <c r="CM78" i="18"/>
  <c r="CM81" i="18"/>
  <c r="CM84" i="18"/>
  <c r="CM86" i="18"/>
  <c r="CM85" i="18" s="1"/>
  <c r="CM88" i="18"/>
  <c r="CM87" i="18" s="1"/>
  <c r="CN76" i="18"/>
  <c r="CN78" i="18"/>
  <c r="CN81" i="18"/>
  <c r="CN84" i="18"/>
  <c r="CN86" i="18"/>
  <c r="CN85" i="18" s="1"/>
  <c r="CN88" i="18"/>
  <c r="CN87" i="18" s="1"/>
  <c r="CO76" i="18"/>
  <c r="CO77" i="18"/>
  <c r="CO78" i="18"/>
  <c r="CO81" i="18"/>
  <c r="CO84" i="18"/>
  <c r="CO86" i="18"/>
  <c r="CO85" i="18" s="1"/>
  <c r="CO88" i="18"/>
  <c r="CO87" i="18" s="1"/>
  <c r="CP76" i="18"/>
  <c r="CP77" i="18"/>
  <c r="CP78" i="18"/>
  <c r="CP81" i="18"/>
  <c r="CP84" i="18"/>
  <c r="CP86" i="18"/>
  <c r="CP85" i="18" s="1"/>
  <c r="CP88" i="18"/>
  <c r="CP87" i="18" s="1"/>
  <c r="CQ76" i="18"/>
  <c r="CQ77" i="18"/>
  <c r="CQ78" i="18"/>
  <c r="CQ81" i="18"/>
  <c r="CQ84" i="18"/>
  <c r="CQ86" i="18"/>
  <c r="CQ85" i="18" s="1"/>
  <c r="CQ88" i="18"/>
  <c r="CQ87" i="18" s="1"/>
  <c r="CR76" i="18"/>
  <c r="CR77" i="18"/>
  <c r="CR78" i="18"/>
  <c r="CR81" i="18"/>
  <c r="CR84" i="18"/>
  <c r="CR86" i="18"/>
  <c r="CR85" i="18" s="1"/>
  <c r="CR88" i="18"/>
  <c r="CR87" i="18" s="1"/>
  <c r="CZ77" i="18"/>
  <c r="CZ78" i="18"/>
  <c r="CZ81" i="18"/>
  <c r="CZ86" i="18"/>
  <c r="CZ85" i="18" s="1"/>
  <c r="CZ88" i="18"/>
  <c r="CZ87" i="18" s="1"/>
  <c r="DA76" i="18"/>
  <c r="DA81" i="18"/>
  <c r="DA86" i="18"/>
  <c r="DA85" i="18" s="1"/>
  <c r="DB76" i="18"/>
  <c r="DB77" i="18"/>
  <c r="DB78" i="18"/>
  <c r="DB81" i="18"/>
  <c r="DB84" i="18"/>
  <c r="DB86" i="18"/>
  <c r="DB85" i="18" s="1"/>
  <c r="DB88" i="18"/>
  <c r="DB87" i="18" s="1"/>
  <c r="DC77" i="18"/>
  <c r="DC78" i="18"/>
  <c r="DC81" i="18"/>
  <c r="DC84" i="18"/>
  <c r="DC86" i="18"/>
  <c r="DC85" i="18" s="1"/>
  <c r="DC88" i="18"/>
  <c r="DC87" i="18" s="1"/>
  <c r="DD77" i="18"/>
  <c r="DD78" i="18"/>
  <c r="DD81" i="18"/>
  <c r="DD84" i="18"/>
  <c r="DD86" i="18"/>
  <c r="DD85" i="18" s="1"/>
  <c r="DD88" i="18"/>
  <c r="DD87" i="18" s="1"/>
  <c r="DE76" i="18"/>
  <c r="DE77" i="18"/>
  <c r="DE81" i="18"/>
  <c r="DE86" i="18"/>
  <c r="DE85" i="18" s="1"/>
  <c r="AQ276" i="22"/>
  <c r="DH84" i="18" s="1"/>
  <c r="AF246" i="22"/>
  <c r="AR246" i="22" s="1"/>
  <c r="AF247" i="22"/>
  <c r="AF248" i="22"/>
  <c r="AR248" i="22" s="1"/>
  <c r="AE249" i="22"/>
  <c r="AF249" i="22" s="1"/>
  <c r="AR249" i="22" s="1"/>
  <c r="AE251" i="22"/>
  <c r="AF251" i="22" s="1"/>
  <c r="AR251" i="22" s="1"/>
  <c r="AF252" i="22"/>
  <c r="AR252" i="22" s="1"/>
  <c r="AE253" i="22"/>
  <c r="AF253" i="22" s="1"/>
  <c r="AR253" i="22" s="1"/>
  <c r="AF255" i="22"/>
  <c r="AR255" i="22" s="1"/>
  <c r="AE256" i="22"/>
  <c r="AF256" i="22" s="1"/>
  <c r="AR256" i="22" s="1"/>
  <c r="AF257" i="22"/>
  <c r="AE264" i="22"/>
  <c r="AF264" i="22" s="1"/>
  <c r="AR264" i="22" s="1"/>
  <c r="AE265" i="22"/>
  <c r="AF265" i="22" s="1"/>
  <c r="AR265" i="22" s="1"/>
  <c r="AF266" i="22"/>
  <c r="AR266" i="22" s="1"/>
  <c r="AF267" i="22"/>
  <c r="AE274" i="22"/>
  <c r="AF274" i="22" s="1"/>
  <c r="AR274" i="22" s="1"/>
  <c r="AE275" i="22"/>
  <c r="AF275" i="22" s="1"/>
  <c r="AR275" i="22" s="1"/>
  <c r="AE278" i="22"/>
  <c r="AF278" i="22" s="1"/>
  <c r="AR278" i="22" s="1"/>
  <c r="AE279" i="22"/>
  <c r="AE280" i="22"/>
  <c r="AF280" i="22" s="1"/>
  <c r="AR280" i="22" s="1"/>
  <c r="AE281" i="22"/>
  <c r="AF281" i="22" s="1"/>
  <c r="AR281" i="22" s="1"/>
  <c r="AE282" i="22"/>
  <c r="AF282" i="22" s="1"/>
  <c r="AR282" i="22" s="1"/>
  <c r="AE285" i="22"/>
  <c r="AE286" i="22"/>
  <c r="AF286" i="22" s="1"/>
  <c r="AR286" i="22" s="1"/>
  <c r="AE287" i="22"/>
  <c r="AF287" i="22" s="1"/>
  <c r="AR287" i="22" s="1"/>
  <c r="AE288" i="22"/>
  <c r="AF288" i="22" s="1"/>
  <c r="AR288" i="22" s="1"/>
  <c r="AM246" i="22"/>
  <c r="AM247" i="22"/>
  <c r="AN247" i="22" s="1"/>
  <c r="AS247" i="22" s="1"/>
  <c r="AM248" i="22"/>
  <c r="AN248" i="22" s="1"/>
  <c r="AS248" i="22" s="1"/>
  <c r="AM249" i="22"/>
  <c r="AN249" i="22" s="1"/>
  <c r="AM251" i="22"/>
  <c r="AM252" i="22"/>
  <c r="AN252" i="22" s="1"/>
  <c r="AS252" i="22" s="1"/>
  <c r="AM253" i="22"/>
  <c r="AN253" i="22" s="1"/>
  <c r="AS253" i="22" s="1"/>
  <c r="AM255" i="22"/>
  <c r="AN255" i="22" s="1"/>
  <c r="AM256" i="22"/>
  <c r="AN256" i="22" s="1"/>
  <c r="AS256" i="22" s="1"/>
  <c r="AM257" i="22"/>
  <c r="AN257" i="22" s="1"/>
  <c r="AS257" i="22" s="1"/>
  <c r="AM264" i="22"/>
  <c r="AN264" i="22" s="1"/>
  <c r="AS264" i="22" s="1"/>
  <c r="AM265" i="22"/>
  <c r="AN265" i="22" s="1"/>
  <c r="AS265" i="22" s="1"/>
  <c r="AM266" i="22"/>
  <c r="AM267" i="22"/>
  <c r="AN267" i="22" s="1"/>
  <c r="AS267" i="22" s="1"/>
  <c r="AM274" i="22"/>
  <c r="AN274" i="22" s="1"/>
  <c r="AS274" i="22" s="1"/>
  <c r="AM275" i="22"/>
  <c r="AN275" i="22" s="1"/>
  <c r="AM278" i="22"/>
  <c r="AN278" i="22" s="1"/>
  <c r="AS278" i="22" s="1"/>
  <c r="AM279" i="22"/>
  <c r="AN279" i="22" s="1"/>
  <c r="AS279" i="22" s="1"/>
  <c r="AM280" i="22"/>
  <c r="AN280" i="22" s="1"/>
  <c r="AS280" i="22" s="1"/>
  <c r="AM281" i="22"/>
  <c r="AM282" i="22"/>
  <c r="AN282" i="22" s="1"/>
  <c r="AS282" i="22" s="1"/>
  <c r="AM285" i="22"/>
  <c r="AN285" i="22" s="1"/>
  <c r="AS285" i="22" s="1"/>
  <c r="AM286" i="22"/>
  <c r="AN286" i="22" s="1"/>
  <c r="AM287" i="22"/>
  <c r="AN287" i="22" s="1"/>
  <c r="AS287" i="22" s="1"/>
  <c r="AM288" i="22"/>
  <c r="AN288" i="22" s="1"/>
  <c r="AS288" i="22" s="1"/>
  <c r="DM76" i="18"/>
  <c r="DM77" i="18"/>
  <c r="DM78" i="18"/>
  <c r="DM81" i="18"/>
  <c r="DM84" i="18"/>
  <c r="DM86" i="18"/>
  <c r="DM85" i="18" s="1"/>
  <c r="DM88" i="18"/>
  <c r="DM87" i="18" s="1"/>
  <c r="DN76" i="18"/>
  <c r="DN78" i="18"/>
  <c r="DN81" i="18"/>
  <c r="DN84" i="18"/>
  <c r="DN86" i="18"/>
  <c r="DN85" i="18" s="1"/>
  <c r="DN88" i="18"/>
  <c r="DN87" i="18" s="1"/>
  <c r="DO76" i="18"/>
  <c r="DO77" i="18"/>
  <c r="DO78" i="18"/>
  <c r="DO81" i="18"/>
  <c r="DO84" i="18"/>
  <c r="DO86" i="18"/>
  <c r="DO85" i="18" s="1"/>
  <c r="DO88" i="18"/>
  <c r="DO87" i="18" s="1"/>
  <c r="DP76" i="18"/>
  <c r="DP77" i="18"/>
  <c r="DP78" i="18"/>
  <c r="DP81" i="18"/>
  <c r="DP84" i="18"/>
  <c r="DP86" i="18"/>
  <c r="DP85" i="18" s="1"/>
  <c r="DP88" i="18"/>
  <c r="DP87" i="18" s="1"/>
  <c r="DQ76" i="18"/>
  <c r="DQ77" i="18"/>
  <c r="DQ78" i="18"/>
  <c r="DQ81" i="18"/>
  <c r="DQ84" i="18"/>
  <c r="DQ86" i="18"/>
  <c r="DQ85" i="18" s="1"/>
  <c r="DQ88" i="18"/>
  <c r="DQ87" i="18" s="1"/>
  <c r="DR76" i="18"/>
  <c r="DR77" i="18"/>
  <c r="DR78" i="18"/>
  <c r="DR81" i="18"/>
  <c r="DR84" i="18"/>
  <c r="DR86" i="18"/>
  <c r="DR85" i="18" s="1"/>
  <c r="DR88" i="18"/>
  <c r="DR87" i="18" s="1"/>
  <c r="AQ276" i="23"/>
  <c r="DU84" i="18" s="1"/>
  <c r="AQ283" i="23"/>
  <c r="AQ289" i="23"/>
  <c r="AF246" i="23"/>
  <c r="AR246" i="23" s="1"/>
  <c r="AF247" i="23"/>
  <c r="AF248" i="23"/>
  <c r="AR248" i="23" s="1"/>
  <c r="AE249" i="23"/>
  <c r="AF249" i="23" s="1"/>
  <c r="AR249" i="23" s="1"/>
  <c r="AE251" i="23"/>
  <c r="AF251" i="23" s="1"/>
  <c r="AR251" i="23" s="1"/>
  <c r="AF252" i="23"/>
  <c r="AE253" i="23"/>
  <c r="AF253" i="23" s="1"/>
  <c r="AR253" i="23" s="1"/>
  <c r="AF255" i="23"/>
  <c r="AR255" i="23" s="1"/>
  <c r="AE256" i="23"/>
  <c r="AF256" i="23" s="1"/>
  <c r="AR256" i="23" s="1"/>
  <c r="AF257" i="23"/>
  <c r="AR257" i="23" s="1"/>
  <c r="AE264" i="23"/>
  <c r="AF264" i="23" s="1"/>
  <c r="AR264" i="23" s="1"/>
  <c r="AE265" i="23"/>
  <c r="AF265" i="23" s="1"/>
  <c r="AR265" i="23" s="1"/>
  <c r="AF266" i="23"/>
  <c r="AR266" i="23" s="1"/>
  <c r="AF267" i="23"/>
  <c r="AE274" i="23"/>
  <c r="AF274" i="23" s="1"/>
  <c r="AR274" i="23" s="1"/>
  <c r="AE275" i="23"/>
  <c r="AF275" i="23" s="1"/>
  <c r="AR275" i="23" s="1"/>
  <c r="AE278" i="23"/>
  <c r="AF278" i="23" s="1"/>
  <c r="AR278" i="23" s="1"/>
  <c r="AE279" i="23"/>
  <c r="AE280" i="23"/>
  <c r="AF280" i="23" s="1"/>
  <c r="AR280" i="23" s="1"/>
  <c r="AE281" i="23"/>
  <c r="AF281" i="23" s="1"/>
  <c r="AR281" i="23" s="1"/>
  <c r="AE282" i="23"/>
  <c r="AF282" i="23" s="1"/>
  <c r="AR282" i="23" s="1"/>
  <c r="AE285" i="23"/>
  <c r="AE286" i="23"/>
  <c r="AF286" i="23" s="1"/>
  <c r="AR286" i="23" s="1"/>
  <c r="AE287" i="23"/>
  <c r="AF287" i="23" s="1"/>
  <c r="AR287" i="23" s="1"/>
  <c r="AE288" i="23"/>
  <c r="AF288" i="23" s="1"/>
  <c r="AR288" i="23" s="1"/>
  <c r="AM246" i="23"/>
  <c r="AM247" i="23"/>
  <c r="AN247" i="23" s="1"/>
  <c r="AS247" i="23" s="1"/>
  <c r="AM248" i="23"/>
  <c r="AN248" i="23" s="1"/>
  <c r="AS248" i="23" s="1"/>
  <c r="AM249" i="23"/>
  <c r="AN249" i="23" s="1"/>
  <c r="AS249" i="23" s="1"/>
  <c r="AM251" i="23"/>
  <c r="AN251" i="23" s="1"/>
  <c r="AS251" i="23" s="1"/>
  <c r="AM252" i="23"/>
  <c r="AN252" i="23" s="1"/>
  <c r="AM253" i="23"/>
  <c r="AM255" i="23"/>
  <c r="AN255" i="23" s="1"/>
  <c r="AS255" i="23" s="1"/>
  <c r="AM256" i="23"/>
  <c r="AN256" i="23" s="1"/>
  <c r="AS256" i="23" s="1"/>
  <c r="AM257" i="23"/>
  <c r="AN257" i="23" s="1"/>
  <c r="AS257" i="23" s="1"/>
  <c r="AM264" i="23"/>
  <c r="AM265" i="23"/>
  <c r="AN265" i="23" s="1"/>
  <c r="AS265" i="23" s="1"/>
  <c r="AM266" i="23"/>
  <c r="AN266" i="23" s="1"/>
  <c r="AS266" i="23" s="1"/>
  <c r="AM267" i="23"/>
  <c r="AN267" i="23" s="1"/>
  <c r="AS267" i="23" s="1"/>
  <c r="AM274" i="23"/>
  <c r="AN274" i="23" s="1"/>
  <c r="AS274" i="23" s="1"/>
  <c r="AM275" i="23"/>
  <c r="AN275" i="23" s="1"/>
  <c r="AS275" i="23" s="1"/>
  <c r="AM278" i="23"/>
  <c r="AN278" i="23" s="1"/>
  <c r="AS278" i="23" s="1"/>
  <c r="AM279" i="23"/>
  <c r="AM280" i="23"/>
  <c r="AN280" i="23" s="1"/>
  <c r="AS280" i="23" s="1"/>
  <c r="AM281" i="23"/>
  <c r="AN281" i="23" s="1"/>
  <c r="AM282" i="23"/>
  <c r="AN282" i="23" s="1"/>
  <c r="AS282" i="23" s="1"/>
  <c r="AM285" i="23"/>
  <c r="AN285" i="23" s="1"/>
  <c r="AS285" i="23" s="1"/>
  <c r="AM286" i="23"/>
  <c r="AN286" i="23" s="1"/>
  <c r="AM287" i="23"/>
  <c r="AN287" i="23" s="1"/>
  <c r="AS287" i="23" s="1"/>
  <c r="AM288" i="23"/>
  <c r="AN288" i="23" s="1"/>
  <c r="AS288" i="23" s="1"/>
  <c r="DZ76" i="18"/>
  <c r="DZ77" i="18"/>
  <c r="DZ78" i="18"/>
  <c r="DZ81" i="18"/>
  <c r="DZ84" i="18"/>
  <c r="DZ86" i="18"/>
  <c r="DZ85" i="18" s="1"/>
  <c r="DZ88" i="18"/>
  <c r="DZ87" i="18" s="1"/>
  <c r="EA76" i="18"/>
  <c r="EA78" i="18"/>
  <c r="EA81" i="18"/>
  <c r="EA84" i="18"/>
  <c r="EA86" i="18"/>
  <c r="EA85" i="18" s="1"/>
  <c r="EA88" i="18"/>
  <c r="EA87" i="18" s="1"/>
  <c r="EB76" i="18"/>
  <c r="EB77" i="18"/>
  <c r="EB78" i="18"/>
  <c r="EB81" i="18"/>
  <c r="EB84" i="18"/>
  <c r="EB86" i="18"/>
  <c r="EB85" i="18" s="1"/>
  <c r="EB88" i="18"/>
  <c r="EB87" i="18" s="1"/>
  <c r="EC76" i="18"/>
  <c r="EC77" i="18"/>
  <c r="EC78" i="18"/>
  <c r="EC81" i="18"/>
  <c r="EC84" i="18"/>
  <c r="EC86" i="18"/>
  <c r="EC85" i="18" s="1"/>
  <c r="EC88" i="18"/>
  <c r="EC87" i="18" s="1"/>
  <c r="ED76" i="18"/>
  <c r="ED77" i="18"/>
  <c r="ED78" i="18"/>
  <c r="ED81" i="18"/>
  <c r="ED84" i="18"/>
  <c r="ED86" i="18"/>
  <c r="ED85" i="18" s="1"/>
  <c r="ED88" i="18"/>
  <c r="ED87" i="18" s="1"/>
  <c r="EE76" i="18"/>
  <c r="EE77" i="18"/>
  <c r="EE78" i="18"/>
  <c r="EE81" i="18"/>
  <c r="EE84" i="18"/>
  <c r="EE86" i="18"/>
  <c r="EE85" i="18" s="1"/>
  <c r="EE88" i="18"/>
  <c r="EE87" i="18" s="1"/>
  <c r="C75" i="18"/>
  <c r="E76" i="18"/>
  <c r="F76" i="18"/>
  <c r="G76" i="18"/>
  <c r="E77" i="18"/>
  <c r="F77" i="18"/>
  <c r="G77" i="18"/>
  <c r="E78" i="18"/>
  <c r="F78" i="18"/>
  <c r="G78" i="18"/>
  <c r="C79" i="18"/>
  <c r="E80" i="18"/>
  <c r="F80" i="18"/>
  <c r="G80" i="18"/>
  <c r="L260" i="1"/>
  <c r="L261" i="1"/>
  <c r="M261" i="1" s="1"/>
  <c r="AQ261" i="1" s="1"/>
  <c r="L262" i="1"/>
  <c r="M262" i="1" s="1"/>
  <c r="AQ262" i="1" s="1"/>
  <c r="AB260" i="1"/>
  <c r="AB263" i="1" s="1"/>
  <c r="Y260" i="1"/>
  <c r="U260" i="1"/>
  <c r="T260" i="1"/>
  <c r="T263" i="1" s="1"/>
  <c r="S260" i="1"/>
  <c r="R260" i="1"/>
  <c r="AB261" i="1"/>
  <c r="Y261" i="1"/>
  <c r="U261" i="1"/>
  <c r="T261" i="1"/>
  <c r="S261" i="1"/>
  <c r="R261" i="1"/>
  <c r="AB262" i="1"/>
  <c r="Y262" i="1"/>
  <c r="U262" i="1"/>
  <c r="T262" i="1"/>
  <c r="S262" i="1"/>
  <c r="R262" i="1"/>
  <c r="AM260" i="1"/>
  <c r="AN260" i="1" s="1"/>
  <c r="AM261" i="1"/>
  <c r="AN261" i="1" s="1"/>
  <c r="AM262" i="1"/>
  <c r="AN262" i="1" s="1"/>
  <c r="L261" i="12"/>
  <c r="M261" i="12" s="1"/>
  <c r="L262" i="12"/>
  <c r="L263" i="12" s="1"/>
  <c r="M262" i="12"/>
  <c r="AQ262" i="12" s="1"/>
  <c r="AB260" i="12"/>
  <c r="Y260" i="12"/>
  <c r="U260" i="12"/>
  <c r="U263" i="12" s="1"/>
  <c r="T260" i="12"/>
  <c r="S260" i="12"/>
  <c r="R260" i="12"/>
  <c r="AB261" i="12"/>
  <c r="Y261" i="12"/>
  <c r="U261" i="12"/>
  <c r="T261" i="12"/>
  <c r="S261" i="12"/>
  <c r="R261" i="12"/>
  <c r="AB262" i="12"/>
  <c r="Y262" i="12"/>
  <c r="U262" i="12"/>
  <c r="T262" i="12"/>
  <c r="S262" i="12"/>
  <c r="R262" i="12"/>
  <c r="AM260" i="12"/>
  <c r="AS260" i="12" s="1"/>
  <c r="AM261" i="12"/>
  <c r="AN261" i="12" s="1"/>
  <c r="AS261" i="12" s="1"/>
  <c r="AM262" i="12"/>
  <c r="AN262" i="12" s="1"/>
  <c r="AU263" i="12"/>
  <c r="Y80" i="18" s="1"/>
  <c r="AV263" i="12"/>
  <c r="AW263" i="12"/>
  <c r="AA80" i="18" s="1"/>
  <c r="AA79" i="18" s="1"/>
  <c r="AX263" i="12"/>
  <c r="AY263" i="12"/>
  <c r="AZ263" i="12"/>
  <c r="BA263" i="12"/>
  <c r="AM80" i="18"/>
  <c r="AM79" i="18" s="1"/>
  <c r="AN80" i="18"/>
  <c r="AN79" i="18" s="1"/>
  <c r="AO80" i="18"/>
  <c r="AO79" i="18" s="1"/>
  <c r="AP80" i="18"/>
  <c r="AP79" i="18" s="1"/>
  <c r="AQ80" i="18"/>
  <c r="AQ79" i="18" s="1"/>
  <c r="AR80" i="18"/>
  <c r="AR79" i="18" s="1"/>
  <c r="Y260" i="14"/>
  <c r="AF260" i="14" s="1"/>
  <c r="AR260" i="14" s="1"/>
  <c r="Y261" i="14"/>
  <c r="Y262" i="14"/>
  <c r="AF262" i="14" s="1"/>
  <c r="AR262" i="14" s="1"/>
  <c r="AZ80" i="18"/>
  <c r="BA80" i="18"/>
  <c r="BA79" i="18" s="1"/>
  <c r="BB80" i="18"/>
  <c r="BB79" i="18" s="1"/>
  <c r="BC80" i="18"/>
  <c r="BD80" i="18"/>
  <c r="BE80" i="18"/>
  <c r="BE79" i="18" s="1"/>
  <c r="Y260" i="15"/>
  <c r="AF260" i="15" s="1"/>
  <c r="AR260" i="15" s="1"/>
  <c r="Y261" i="15"/>
  <c r="Y262" i="15"/>
  <c r="AF262" i="15" s="1"/>
  <c r="AR262" i="15" s="1"/>
  <c r="BL80" i="18"/>
  <c r="BM80" i="18"/>
  <c r="BM79" i="18" s="1"/>
  <c r="BN80" i="18"/>
  <c r="BN79" i="18" s="1"/>
  <c r="BO80" i="18"/>
  <c r="BP80" i="18"/>
  <c r="BP79" i="18" s="1"/>
  <c r="BQ80" i="18"/>
  <c r="BQ79" i="18" s="1"/>
  <c r="BR80" i="18"/>
  <c r="BR79" i="18" s="1"/>
  <c r="Y260" i="16"/>
  <c r="Y261" i="16"/>
  <c r="AF261" i="16" s="1"/>
  <c r="AR261" i="16" s="1"/>
  <c r="Y262" i="16"/>
  <c r="BZ80" i="18"/>
  <c r="BZ79" i="18" s="1"/>
  <c r="CA80" i="18"/>
  <c r="CB80" i="18"/>
  <c r="CC80" i="18"/>
  <c r="CC79" i="18" s="1"/>
  <c r="CD80" i="18"/>
  <c r="CD79" i="18" s="1"/>
  <c r="CE80" i="18"/>
  <c r="AQ263" i="17"/>
  <c r="CH80" i="18" s="1"/>
  <c r="Y260" i="17"/>
  <c r="AF260" i="17" s="1"/>
  <c r="AR260" i="17" s="1"/>
  <c r="Y261" i="17"/>
  <c r="Y262" i="17"/>
  <c r="AF262" i="17" s="1"/>
  <c r="AR262" i="17" s="1"/>
  <c r="AM260" i="17"/>
  <c r="AN260" i="17" s="1"/>
  <c r="AS260" i="17" s="1"/>
  <c r="AM261" i="17"/>
  <c r="AN261" i="17" s="1"/>
  <c r="AM262" i="17"/>
  <c r="CM80" i="18"/>
  <c r="CN80" i="18"/>
  <c r="CN79" i="18" s="1"/>
  <c r="CO80" i="18"/>
  <c r="CO79" i="18" s="1"/>
  <c r="CP80" i="18"/>
  <c r="CP79" i="18" s="1"/>
  <c r="CQ80" i="18"/>
  <c r="CR80" i="18"/>
  <c r="CR79" i="18" s="1"/>
  <c r="CZ80" i="18"/>
  <c r="DA80" i="18"/>
  <c r="DB80" i="18"/>
  <c r="DB79" i="18" s="1"/>
  <c r="DD80" i="18"/>
  <c r="DE80" i="18"/>
  <c r="AF260" i="22"/>
  <c r="AR260" i="22" s="1"/>
  <c r="AF261" i="22"/>
  <c r="AR261" i="22" s="1"/>
  <c r="AF262" i="22"/>
  <c r="AR262" i="22" s="1"/>
  <c r="AM260" i="22"/>
  <c r="AN260" i="22" s="1"/>
  <c r="AM261" i="22"/>
  <c r="AN261" i="22" s="1"/>
  <c r="AS261" i="22" s="1"/>
  <c r="AM262" i="22"/>
  <c r="AN262" i="22" s="1"/>
  <c r="AS262" i="22" s="1"/>
  <c r="DM80" i="18"/>
  <c r="DM79" i="18" s="1"/>
  <c r="DN80" i="18"/>
  <c r="DO80" i="18"/>
  <c r="DO79" i="18" s="1"/>
  <c r="DP80" i="18"/>
  <c r="DQ80" i="18"/>
  <c r="DQ79" i="18" s="1"/>
  <c r="DR80" i="18"/>
  <c r="AF260" i="23"/>
  <c r="AR260" i="23" s="1"/>
  <c r="AF261" i="23"/>
  <c r="AR261" i="23" s="1"/>
  <c r="AF262" i="23"/>
  <c r="AR262" i="23" s="1"/>
  <c r="AM260" i="23"/>
  <c r="AN260" i="23" s="1"/>
  <c r="AS260" i="23" s="1"/>
  <c r="AM261" i="23"/>
  <c r="AN261" i="23" s="1"/>
  <c r="AM262" i="23"/>
  <c r="AN262" i="23" s="1"/>
  <c r="AS262" i="23" s="1"/>
  <c r="DZ80" i="18"/>
  <c r="DZ79" i="18" s="1"/>
  <c r="EA80" i="18"/>
  <c r="EA79" i="18" s="1"/>
  <c r="EB80" i="18"/>
  <c r="EB79" i="18" s="1"/>
  <c r="EC80" i="18"/>
  <c r="EC79" i="18" s="1"/>
  <c r="ED80" i="18"/>
  <c r="ED79" i="18" s="1"/>
  <c r="EE80" i="18"/>
  <c r="E81" i="18"/>
  <c r="F81" i="18"/>
  <c r="G81" i="18"/>
  <c r="C82" i="18"/>
  <c r="E83" i="18"/>
  <c r="F83" i="18"/>
  <c r="G83" i="18"/>
  <c r="L270" i="1"/>
  <c r="L271" i="1"/>
  <c r="M271" i="1" s="1"/>
  <c r="AQ271" i="1" s="1"/>
  <c r="L272" i="1"/>
  <c r="M272" i="1" s="1"/>
  <c r="AQ272" i="1" s="1"/>
  <c r="AB270" i="1"/>
  <c r="Y270" i="1"/>
  <c r="Y273" i="1" s="1"/>
  <c r="U270" i="1"/>
  <c r="T270" i="1"/>
  <c r="S270" i="1"/>
  <c r="R270" i="1"/>
  <c r="AB271" i="1"/>
  <c r="Y271" i="1"/>
  <c r="U271" i="1"/>
  <c r="T271" i="1"/>
  <c r="S271" i="1"/>
  <c r="R271" i="1"/>
  <c r="AB272" i="1"/>
  <c r="Y272" i="1"/>
  <c r="U272" i="1"/>
  <c r="T272" i="1"/>
  <c r="S272" i="1"/>
  <c r="R272" i="1"/>
  <c r="AM270" i="1"/>
  <c r="AN270" i="1" s="1"/>
  <c r="AM271" i="1"/>
  <c r="AN271" i="1" s="1"/>
  <c r="AS271" i="1" s="1"/>
  <c r="AM272" i="1"/>
  <c r="AN272" i="1" s="1"/>
  <c r="AS272" i="1" s="1"/>
  <c r="L270" i="12"/>
  <c r="M270" i="12" s="1"/>
  <c r="AQ270" i="12" s="1"/>
  <c r="L271" i="12"/>
  <c r="M271" i="12" s="1"/>
  <c r="L272" i="12"/>
  <c r="M272" i="12" s="1"/>
  <c r="AQ272" i="12" s="1"/>
  <c r="AB270" i="12"/>
  <c r="AB273" i="12" s="1"/>
  <c r="Y270" i="12"/>
  <c r="U270" i="12"/>
  <c r="T270" i="12"/>
  <c r="S270" i="12"/>
  <c r="S273" i="12" s="1"/>
  <c r="R270" i="12"/>
  <c r="AB271" i="12"/>
  <c r="Y271" i="12"/>
  <c r="U271" i="12"/>
  <c r="T271" i="12"/>
  <c r="S271" i="12"/>
  <c r="R271" i="12"/>
  <c r="AB272" i="12"/>
  <c r="Y272" i="12"/>
  <c r="U272" i="12"/>
  <c r="T272" i="12"/>
  <c r="S272" i="12"/>
  <c r="R272" i="12"/>
  <c r="AM270" i="12"/>
  <c r="AN270" i="12" s="1"/>
  <c r="AM271" i="12"/>
  <c r="AN271" i="12" s="1"/>
  <c r="AS271" i="12" s="1"/>
  <c r="AM272" i="12"/>
  <c r="AN272" i="12" s="1"/>
  <c r="AS272" i="12" s="1"/>
  <c r="AM83" i="18"/>
  <c r="AM82" i="18" s="1"/>
  <c r="AN83" i="18"/>
  <c r="AO83" i="18"/>
  <c r="AO82" i="18" s="1"/>
  <c r="AP83" i="18"/>
  <c r="AP82" i="18" s="1"/>
  <c r="AQ83" i="18"/>
  <c r="AR83" i="18"/>
  <c r="Y270" i="14"/>
  <c r="AE270" i="14" s="1"/>
  <c r="AF270" i="14" s="1"/>
  <c r="AR270" i="14" s="1"/>
  <c r="Y271" i="14"/>
  <c r="AE271" i="14" s="1"/>
  <c r="AF271" i="14" s="1"/>
  <c r="AR271" i="14" s="1"/>
  <c r="Y272" i="14"/>
  <c r="AE272" i="14" s="1"/>
  <c r="AF272" i="14" s="1"/>
  <c r="AR272" i="14" s="1"/>
  <c r="AZ83" i="18"/>
  <c r="BA83" i="18"/>
  <c r="BA82" i="18" s="1"/>
  <c r="BB83" i="18"/>
  <c r="BB82" i="18" s="1"/>
  <c r="BC83" i="18"/>
  <c r="BC82" i="18" s="1"/>
  <c r="BD83" i="18"/>
  <c r="BE83" i="18"/>
  <c r="BE82" i="18" s="1"/>
  <c r="AQ273" i="15"/>
  <c r="Y270" i="15"/>
  <c r="AE270" i="15" s="1"/>
  <c r="AF270" i="15" s="1"/>
  <c r="AR270" i="15" s="1"/>
  <c r="Y271" i="15"/>
  <c r="AE271" i="15" s="1"/>
  <c r="AF271" i="15" s="1"/>
  <c r="AR271" i="15" s="1"/>
  <c r="Y272" i="15"/>
  <c r="AE272" i="15" s="1"/>
  <c r="AF272" i="15" s="1"/>
  <c r="AR272" i="15" s="1"/>
  <c r="BM83" i="18"/>
  <c r="BN83" i="18"/>
  <c r="BN82" i="18" s="1"/>
  <c r="BO83" i="18"/>
  <c r="BP83" i="18"/>
  <c r="BQ83" i="18"/>
  <c r="BQ82" i="18" s="1"/>
  <c r="BR83" i="18"/>
  <c r="BR82" i="18" s="1"/>
  <c r="Y270" i="16"/>
  <c r="Y271" i="16"/>
  <c r="AE271" i="16" s="1"/>
  <c r="AF271" i="16" s="1"/>
  <c r="AR271" i="16" s="1"/>
  <c r="Y272" i="16"/>
  <c r="AS273" i="16"/>
  <c r="BZ83" i="18"/>
  <c r="CA83" i="18"/>
  <c r="CA82" i="18" s="1"/>
  <c r="CB83" i="18"/>
  <c r="CB82" i="18" s="1"/>
  <c r="CC83" i="18"/>
  <c r="CD83" i="18"/>
  <c r="CE83" i="18"/>
  <c r="CE82" i="18" s="1"/>
  <c r="Y270" i="17"/>
  <c r="AE270" i="17" s="1"/>
  <c r="AF270" i="17" s="1"/>
  <c r="AR270" i="17" s="1"/>
  <c r="Y271" i="17"/>
  <c r="Y272" i="17"/>
  <c r="AE272" i="17" s="1"/>
  <c r="AF272" i="17" s="1"/>
  <c r="AR272" i="17" s="1"/>
  <c r="AM270" i="17"/>
  <c r="AN270" i="17"/>
  <c r="AS270" i="17" s="1"/>
  <c r="AM271" i="17"/>
  <c r="AN271" i="17" s="1"/>
  <c r="AM272" i="17"/>
  <c r="AN272" i="17" s="1"/>
  <c r="AS272" i="17" s="1"/>
  <c r="CM83" i="18"/>
  <c r="CM82" i="18" s="1"/>
  <c r="CN83" i="18"/>
  <c r="CN82" i="18" s="1"/>
  <c r="CO83" i="18"/>
  <c r="CO82" i="18" s="1"/>
  <c r="CP83" i="18"/>
  <c r="CP82" i="18" s="1"/>
  <c r="CQ83" i="18"/>
  <c r="CQ82" i="18" s="1"/>
  <c r="CR83" i="18"/>
  <c r="CR82" i="18" s="1"/>
  <c r="CZ83" i="18"/>
  <c r="DA83" i="18"/>
  <c r="DC83" i="18"/>
  <c r="DC82" i="18" s="1"/>
  <c r="DD83" i="18"/>
  <c r="DD82" i="18" s="1"/>
  <c r="DE83" i="18"/>
  <c r="AE270" i="22"/>
  <c r="AF270" i="22" s="1"/>
  <c r="AR270" i="22" s="1"/>
  <c r="AE271" i="22"/>
  <c r="AF271" i="22" s="1"/>
  <c r="AR271" i="22" s="1"/>
  <c r="AE272" i="22"/>
  <c r="AM270" i="22"/>
  <c r="AN270" i="22" s="1"/>
  <c r="AS270" i="22" s="1"/>
  <c r="AM271" i="22"/>
  <c r="AN271" i="22" s="1"/>
  <c r="AS271" i="22" s="1"/>
  <c r="AM272" i="22"/>
  <c r="AN272" i="22" s="1"/>
  <c r="DM83" i="18"/>
  <c r="DM82" i="18" s="1"/>
  <c r="DN83" i="18"/>
  <c r="DO83" i="18"/>
  <c r="DP83" i="18"/>
  <c r="DP82" i="18" s="1"/>
  <c r="DQ83" i="18"/>
  <c r="DQ82" i="18" s="1"/>
  <c r="DR83" i="18"/>
  <c r="AE270" i="23"/>
  <c r="AE271" i="23"/>
  <c r="AF271" i="23" s="1"/>
  <c r="AR271" i="23" s="1"/>
  <c r="AE272" i="23"/>
  <c r="AF272" i="23" s="1"/>
  <c r="AR272" i="23" s="1"/>
  <c r="AM270" i="23"/>
  <c r="AN270" i="23" s="1"/>
  <c r="AM271" i="23"/>
  <c r="AN271" i="23" s="1"/>
  <c r="AS271" i="23" s="1"/>
  <c r="AM272" i="23"/>
  <c r="AN272" i="23" s="1"/>
  <c r="AS272" i="23" s="1"/>
  <c r="DZ83" i="18"/>
  <c r="EA83" i="18"/>
  <c r="EB83" i="18"/>
  <c r="EB82" i="18" s="1"/>
  <c r="EC83" i="18"/>
  <c r="ED83" i="18"/>
  <c r="EE83" i="18"/>
  <c r="E84" i="18"/>
  <c r="F84" i="18"/>
  <c r="G84" i="18"/>
  <c r="C85" i="18"/>
  <c r="E86" i="18"/>
  <c r="F86" i="18"/>
  <c r="G86" i="18"/>
  <c r="C87" i="18"/>
  <c r="E88" i="18"/>
  <c r="F88" i="18"/>
  <c r="G88" i="18"/>
  <c r="L11" i="23"/>
  <c r="L19" i="23"/>
  <c r="L16" i="23" s="1"/>
  <c r="L29" i="23"/>
  <c r="L39" i="23"/>
  <c r="L44" i="23"/>
  <c r="L40" i="23" s="1"/>
  <c r="L60" i="23"/>
  <c r="R11" i="23"/>
  <c r="R29" i="23"/>
  <c r="R39" i="23"/>
  <c r="R50" i="23"/>
  <c r="R60" i="23"/>
  <c r="R69" i="23"/>
  <c r="S19" i="23"/>
  <c r="S16" i="23" s="1"/>
  <c r="S39" i="23"/>
  <c r="S50" i="23"/>
  <c r="S60" i="23"/>
  <c r="S69" i="23"/>
  <c r="T19" i="23"/>
  <c r="T16" i="23" s="1"/>
  <c r="T39" i="23"/>
  <c r="T50" i="23"/>
  <c r="T69" i="23"/>
  <c r="U15" i="23"/>
  <c r="U19" i="23"/>
  <c r="U16" i="23" s="1"/>
  <c r="U39" i="23"/>
  <c r="U44" i="23"/>
  <c r="U40" i="23" s="1"/>
  <c r="U50" i="23"/>
  <c r="U69" i="23"/>
  <c r="AB19" i="23"/>
  <c r="AB16" i="23" s="1"/>
  <c r="AB29" i="23"/>
  <c r="AB39" i="23"/>
  <c r="AB50" i="23"/>
  <c r="AB69" i="23"/>
  <c r="AD6" i="23"/>
  <c r="AE29" i="23"/>
  <c r="AE39" i="23"/>
  <c r="AM19" i="23"/>
  <c r="AM16" i="23" s="1"/>
  <c r="AM25" i="23"/>
  <c r="AM39" i="23"/>
  <c r="AM44" i="23"/>
  <c r="AM40" i="23" s="1"/>
  <c r="AM77" i="23"/>
  <c r="AM61" i="23" s="1"/>
  <c r="AN19" i="23"/>
  <c r="AN16" i="23" s="1"/>
  <c r="AN39" i="23"/>
  <c r="Z6" i="23"/>
  <c r="Z5" i="23" s="1"/>
  <c r="AA6" i="23"/>
  <c r="AA5" i="23" s="1"/>
  <c r="AJ6" i="23"/>
  <c r="AJ5" i="23" s="1"/>
  <c r="AK6" i="23"/>
  <c r="AL6" i="23"/>
  <c r="AV6" i="23"/>
  <c r="AW6" i="23"/>
  <c r="AW5" i="23" s="1"/>
  <c r="AX6" i="23"/>
  <c r="AX5" i="23" s="1"/>
  <c r="AY6" i="23"/>
  <c r="AZ6" i="23"/>
  <c r="BA6" i="23"/>
  <c r="BA5" i="23" s="1"/>
  <c r="AR69" i="23"/>
  <c r="L85" i="23"/>
  <c r="L105" i="23"/>
  <c r="L100" i="23" s="1"/>
  <c r="M85" i="23"/>
  <c r="R85" i="23"/>
  <c r="R88" i="23"/>
  <c r="R110" i="23"/>
  <c r="R106" i="23" s="1"/>
  <c r="R122" i="23"/>
  <c r="R118" i="23" s="1"/>
  <c r="S85" i="23"/>
  <c r="S88" i="23"/>
  <c r="S92" i="23"/>
  <c r="S105" i="23"/>
  <c r="S100" i="23" s="1"/>
  <c r="S133" i="23"/>
  <c r="S123" i="23" s="1"/>
  <c r="T88" i="23"/>
  <c r="T105" i="23"/>
  <c r="T100" i="23" s="1"/>
  <c r="T133" i="23"/>
  <c r="T123" i="23" s="1"/>
  <c r="U85" i="23"/>
  <c r="U88" i="23"/>
  <c r="U110" i="23"/>
  <c r="U106" i="23" s="1"/>
  <c r="U139" i="23"/>
  <c r="U134" i="23" s="1"/>
  <c r="AB88" i="23"/>
  <c r="AB92" i="23"/>
  <c r="AB110" i="23"/>
  <c r="AB106" i="23" s="1"/>
  <c r="AB117" i="23"/>
  <c r="AB111" i="23" s="1"/>
  <c r="AB122" i="23"/>
  <c r="AB118" i="23" s="1"/>
  <c r="AB149" i="23"/>
  <c r="AB140" i="23" s="1"/>
  <c r="AM88" i="23"/>
  <c r="AM99" i="23"/>
  <c r="AM93" i="23" s="1"/>
  <c r="AM110" i="23"/>
  <c r="AM106" i="23" s="1"/>
  <c r="AM122" i="23"/>
  <c r="AM118" i="23" s="1"/>
  <c r="DY27" i="18"/>
  <c r="DY26" i="18" s="1"/>
  <c r="DZ27" i="18"/>
  <c r="EA27" i="18"/>
  <c r="EA26" i="18" s="1"/>
  <c r="EB27" i="18"/>
  <c r="EC27" i="18"/>
  <c r="EC26" i="18" s="1"/>
  <c r="ED27" i="18"/>
  <c r="EE27" i="18"/>
  <c r="EE26" i="18" s="1"/>
  <c r="L159" i="23"/>
  <c r="L181" i="23"/>
  <c r="L193" i="23"/>
  <c r="L196" i="23"/>
  <c r="M193" i="23"/>
  <c r="M196" i="23"/>
  <c r="R156" i="23"/>
  <c r="R168" i="23"/>
  <c r="R181" i="23"/>
  <c r="R193" i="23"/>
  <c r="S162" i="23"/>
  <c r="S181" i="23"/>
  <c r="S190" i="23"/>
  <c r="T159" i="23"/>
  <c r="T181" i="23"/>
  <c r="T193" i="23"/>
  <c r="T196" i="23"/>
  <c r="U156" i="23"/>
  <c r="U159" i="23"/>
  <c r="U162" i="23"/>
  <c r="U178" i="23"/>
  <c r="U193" i="23"/>
  <c r="U196" i="23"/>
  <c r="AB156" i="23"/>
  <c r="AB168" i="23"/>
  <c r="AB181" i="23"/>
  <c r="AB193" i="23"/>
  <c r="AM159" i="23"/>
  <c r="AM162" i="23"/>
  <c r="AM190" i="23"/>
  <c r="AM193" i="23"/>
  <c r="AM196" i="23"/>
  <c r="AN159" i="23"/>
  <c r="AN193" i="23"/>
  <c r="DY56" i="18"/>
  <c r="DZ56" i="18"/>
  <c r="EA56" i="18"/>
  <c r="EA55" i="18" s="1"/>
  <c r="EB56" i="18"/>
  <c r="EB55" i="18" s="1"/>
  <c r="EC56" i="18"/>
  <c r="EC55" i="18" s="1"/>
  <c r="ED56" i="18"/>
  <c r="EE56" i="18"/>
  <c r="EE55" i="18" s="1"/>
  <c r="L203" i="23"/>
  <c r="M212" i="23"/>
  <c r="R225" i="23"/>
  <c r="R221" i="23" s="1"/>
  <c r="S203" i="23"/>
  <c r="T203" i="23"/>
  <c r="T212" i="23"/>
  <c r="T243" i="23"/>
  <c r="T238" i="23" s="1"/>
  <c r="U225" i="23"/>
  <c r="U221" i="23"/>
  <c r="AB212" i="23"/>
  <c r="AM243" i="23"/>
  <c r="AM238" i="23" s="1"/>
  <c r="L207" i="23"/>
  <c r="M207" i="23" s="1"/>
  <c r="AQ207" i="23" s="1"/>
  <c r="R207" i="23"/>
  <c r="S207" i="23"/>
  <c r="T207" i="23"/>
  <c r="U207" i="23"/>
  <c r="AB207" i="23"/>
  <c r="AM207" i="23"/>
  <c r="AN207" i="23" s="1"/>
  <c r="AS207" i="23" s="1"/>
  <c r="L208" i="23"/>
  <c r="M208" i="23" s="1"/>
  <c r="AQ208" i="23" s="1"/>
  <c r="R208" i="23"/>
  <c r="S208" i="23"/>
  <c r="T208" i="23"/>
  <c r="U208" i="23"/>
  <c r="AB208" i="23"/>
  <c r="AM208" i="23"/>
  <c r="AN208" i="23" s="1"/>
  <c r="AS208" i="23" s="1"/>
  <c r="L250" i="23"/>
  <c r="L254" i="23"/>
  <c r="L258" i="23"/>
  <c r="R250" i="23"/>
  <c r="R254" i="23"/>
  <c r="R258" i="23"/>
  <c r="S250" i="23"/>
  <c r="S254" i="23"/>
  <c r="S258" i="23"/>
  <c r="T250" i="23"/>
  <c r="T254" i="23"/>
  <c r="T258" i="23"/>
  <c r="U250" i="23"/>
  <c r="U254" i="23"/>
  <c r="U258" i="23"/>
  <c r="Z245" i="23"/>
  <c r="Z244" i="23" s="1"/>
  <c r="AA244" i="23"/>
  <c r="AC245" i="23"/>
  <c r="AD245" i="23"/>
  <c r="AE250" i="23"/>
  <c r="AE258" i="23"/>
  <c r="AF258" i="23"/>
  <c r="AM258" i="23"/>
  <c r="AV245" i="23"/>
  <c r="AV244" i="23" s="1"/>
  <c r="AX245" i="23"/>
  <c r="AY245" i="23"/>
  <c r="AZ245" i="23"/>
  <c r="AZ244" i="23" s="1"/>
  <c r="BA245" i="23"/>
  <c r="BA244" i="23" s="1"/>
  <c r="AB250" i="23"/>
  <c r="AJ250" i="23"/>
  <c r="AK250" i="23"/>
  <c r="AL250" i="23"/>
  <c r="AB254" i="23"/>
  <c r="AJ254" i="23"/>
  <c r="AK254" i="23"/>
  <c r="AL254" i="23"/>
  <c r="AB258" i="23"/>
  <c r="AJ258" i="23"/>
  <c r="AK258" i="23"/>
  <c r="AL258" i="23"/>
  <c r="L263" i="23"/>
  <c r="M263" i="23"/>
  <c r="R263" i="23"/>
  <c r="S263" i="23"/>
  <c r="T263" i="23"/>
  <c r="U263" i="23"/>
  <c r="AB263" i="23"/>
  <c r="AE263" i="23"/>
  <c r="AJ263" i="23"/>
  <c r="AK263" i="23"/>
  <c r="AK259" i="23" s="1"/>
  <c r="AL263" i="23"/>
  <c r="L268" i="23"/>
  <c r="R268" i="23"/>
  <c r="S268" i="23"/>
  <c r="T268" i="23"/>
  <c r="U268" i="23"/>
  <c r="AB268" i="23"/>
  <c r="AE268" i="23"/>
  <c r="AE259" i="23" s="1"/>
  <c r="AJ268" i="23"/>
  <c r="AK268" i="23"/>
  <c r="AL268" i="23"/>
  <c r="L273" i="23"/>
  <c r="R273" i="23"/>
  <c r="S273" i="23"/>
  <c r="T273" i="23"/>
  <c r="U273" i="23"/>
  <c r="AB273" i="23"/>
  <c r="AJ273" i="23"/>
  <c r="AK273" i="23"/>
  <c r="AL273" i="23"/>
  <c r="L276" i="23"/>
  <c r="M276" i="23"/>
  <c r="R276" i="23"/>
  <c r="S276" i="23"/>
  <c r="T276" i="23"/>
  <c r="U276" i="23"/>
  <c r="AB276" i="23"/>
  <c r="AE276" i="23"/>
  <c r="AJ276" i="23"/>
  <c r="AK276" i="23"/>
  <c r="AL276" i="23"/>
  <c r="AN276" i="23"/>
  <c r="L283" i="23"/>
  <c r="L277" i="23" s="1"/>
  <c r="M283" i="23"/>
  <c r="M277" i="23" s="1"/>
  <c r="R283" i="23"/>
  <c r="R277" i="23" s="1"/>
  <c r="S283" i="23"/>
  <c r="S277" i="23" s="1"/>
  <c r="T283" i="23"/>
  <c r="T277" i="23" s="1"/>
  <c r="U283" i="23"/>
  <c r="U277" i="23" s="1"/>
  <c r="AB283" i="23"/>
  <c r="AB277" i="23" s="1"/>
  <c r="AJ283" i="23"/>
  <c r="AJ277" i="23" s="1"/>
  <c r="AK283" i="23"/>
  <c r="AK277" i="23" s="1"/>
  <c r="AL283" i="23"/>
  <c r="AL277" i="23" s="1"/>
  <c r="L289" i="23"/>
  <c r="L284" i="23" s="1"/>
  <c r="M289" i="23"/>
  <c r="M284" i="23" s="1"/>
  <c r="R289" i="23"/>
  <c r="R284" i="23" s="1"/>
  <c r="S289" i="23"/>
  <c r="S284" i="23" s="1"/>
  <c r="T289" i="23"/>
  <c r="T284" i="23" s="1"/>
  <c r="U289" i="23"/>
  <c r="U284" i="23" s="1"/>
  <c r="AB289" i="23"/>
  <c r="AB284" i="23" s="1"/>
  <c r="AJ289" i="23"/>
  <c r="AJ284" i="23" s="1"/>
  <c r="AK289" i="23"/>
  <c r="AK284" i="23" s="1"/>
  <c r="AL289" i="23"/>
  <c r="AL284" i="23" s="1"/>
  <c r="AM289" i="23"/>
  <c r="AM284" i="23" s="1"/>
  <c r="L11" i="22"/>
  <c r="L15" i="22"/>
  <c r="L19" i="22"/>
  <c r="L16" i="22" s="1"/>
  <c r="L25" i="22"/>
  <c r="L37" i="22"/>
  <c r="L39" i="22"/>
  <c r="M15" i="22"/>
  <c r="R15" i="22"/>
  <c r="R19" i="22"/>
  <c r="R16" i="22" s="1"/>
  <c r="R25" i="22"/>
  <c r="R39" i="22"/>
  <c r="R44" i="22"/>
  <c r="R40" i="22" s="1"/>
  <c r="R69" i="22"/>
  <c r="R77" i="22" s="1"/>
  <c r="R61" i="22" s="1"/>
  <c r="S15" i="22"/>
  <c r="S25" i="22"/>
  <c r="S44" i="22"/>
  <c r="S40" i="22" s="1"/>
  <c r="S60" i="22"/>
  <c r="S69" i="22"/>
  <c r="S77" i="22" s="1"/>
  <c r="S61" i="22" s="1"/>
  <c r="T15" i="22"/>
  <c r="T25" i="22"/>
  <c r="T29" i="22"/>
  <c r="T39" i="22"/>
  <c r="T56" i="22"/>
  <c r="T69" i="22"/>
  <c r="T77" i="22" s="1"/>
  <c r="T61" i="22" s="1"/>
  <c r="U11" i="22"/>
  <c r="U15" i="22"/>
  <c r="U19" i="22"/>
  <c r="U16" i="22" s="1"/>
  <c r="U25" i="22"/>
  <c r="U39" i="22"/>
  <c r="U56" i="22"/>
  <c r="U69" i="22"/>
  <c r="U77" i="22" s="1"/>
  <c r="U61" i="22" s="1"/>
  <c r="AB15" i="22"/>
  <c r="AB19" i="22"/>
  <c r="AB16" i="22" s="1"/>
  <c r="AB25" i="22"/>
  <c r="AB39" i="22"/>
  <c r="AB56" i="22"/>
  <c r="AB69" i="22"/>
  <c r="AB77" i="22" s="1"/>
  <c r="AB61" i="22" s="1"/>
  <c r="AD6" i="22"/>
  <c r="AD5" i="22" s="1"/>
  <c r="AE29" i="22"/>
  <c r="AE39" i="22"/>
  <c r="AM11" i="22"/>
  <c r="AM19" i="22"/>
  <c r="AM16" i="22" s="1"/>
  <c r="AM29" i="22"/>
  <c r="AM39" i="22"/>
  <c r="AM50" i="22"/>
  <c r="AN39" i="22"/>
  <c r="Z6" i="22"/>
  <c r="Z5" i="22" s="1"/>
  <c r="AA6" i="22"/>
  <c r="AA5" i="22" s="1"/>
  <c r="AJ6" i="22"/>
  <c r="AK6" i="22"/>
  <c r="AK5" i="22" s="1"/>
  <c r="AL6" i="22"/>
  <c r="AV6" i="22"/>
  <c r="AW6" i="22"/>
  <c r="AW5" i="22" s="1"/>
  <c r="AX6" i="22"/>
  <c r="AX5" i="22" s="1"/>
  <c r="AY6" i="22"/>
  <c r="AZ6" i="22"/>
  <c r="BA6" i="22"/>
  <c r="BA5" i="22" s="1"/>
  <c r="AR69" i="22"/>
  <c r="L88" i="22"/>
  <c r="L117" i="22"/>
  <c r="L111" i="22" s="1"/>
  <c r="R88" i="22"/>
  <c r="R139" i="22"/>
  <c r="R134" i="22" s="1"/>
  <c r="S88" i="22"/>
  <c r="S92" i="22"/>
  <c r="S105" i="22"/>
  <c r="S100" i="22" s="1"/>
  <c r="S117" i="22"/>
  <c r="S111" i="22" s="1"/>
  <c r="S133" i="22"/>
  <c r="S123" i="22" s="1"/>
  <c r="S149" i="22"/>
  <c r="S140" i="22" s="1"/>
  <c r="U85" i="22"/>
  <c r="U92" i="22"/>
  <c r="U99" i="22"/>
  <c r="U93" i="22" s="1"/>
  <c r="U110" i="22"/>
  <c r="U106" i="22" s="1"/>
  <c r="U122" i="22"/>
  <c r="U118" i="22" s="1"/>
  <c r="U149" i="22"/>
  <c r="U140" i="22" s="1"/>
  <c r="AB88" i="22"/>
  <c r="AB99" i="22"/>
  <c r="AB93" i="22" s="1"/>
  <c r="AB122" i="22"/>
  <c r="AB118" i="22" s="1"/>
  <c r="AM85" i="22"/>
  <c r="AM99" i="22"/>
  <c r="AM93" i="22" s="1"/>
  <c r="AM110" i="22"/>
  <c r="AM106" i="22" s="1"/>
  <c r="AM133" i="22"/>
  <c r="AM123" i="22" s="1"/>
  <c r="DL27" i="18"/>
  <c r="DM27" i="18"/>
  <c r="DN27" i="18"/>
  <c r="DN26" i="18" s="1"/>
  <c r="DO27" i="18"/>
  <c r="DP27" i="18"/>
  <c r="DP26" i="18" s="1"/>
  <c r="DP25" i="18" s="1"/>
  <c r="DQ27" i="18"/>
  <c r="DR27" i="18"/>
  <c r="DR26" i="18" s="1"/>
  <c r="L178" i="22"/>
  <c r="M181" i="22"/>
  <c r="R156" i="22"/>
  <c r="R159" i="22"/>
  <c r="R162" i="22"/>
  <c r="R178" i="22"/>
  <c r="R181" i="22"/>
  <c r="R193" i="22"/>
  <c r="R196" i="22"/>
  <c r="S168" i="22"/>
  <c r="S193" i="22"/>
  <c r="T156" i="22"/>
  <c r="T162" i="22"/>
  <c r="T178" i="22"/>
  <c r="T181" i="22"/>
  <c r="T196" i="22"/>
  <c r="U159" i="22"/>
  <c r="U168" i="22"/>
  <c r="U193" i="22"/>
  <c r="U196" i="22"/>
  <c r="AB159" i="22"/>
  <c r="AB162" i="22"/>
  <c r="AB181" i="22"/>
  <c r="AB190" i="22"/>
  <c r="AB193" i="22"/>
  <c r="AM156" i="22"/>
  <c r="AM159" i="22"/>
  <c r="AM178" i="22"/>
  <c r="AM193" i="22"/>
  <c r="AM196" i="22"/>
  <c r="AN159" i="22"/>
  <c r="DL56" i="18"/>
  <c r="DM56" i="18"/>
  <c r="DM55" i="18" s="1"/>
  <c r="DN56" i="18"/>
  <c r="DO56" i="18"/>
  <c r="DO55" i="18" s="1"/>
  <c r="DP56" i="18"/>
  <c r="DP55" i="18" s="1"/>
  <c r="DQ56" i="18"/>
  <c r="DQ55" i="18" s="1"/>
  <c r="DR56" i="18"/>
  <c r="L225" i="22"/>
  <c r="L221" i="22" s="1"/>
  <c r="L237" i="22"/>
  <c r="L232" i="22" s="1"/>
  <c r="R203" i="22"/>
  <c r="R231" i="22"/>
  <c r="R226" i="22" s="1"/>
  <c r="S212" i="22"/>
  <c r="S220" i="22"/>
  <c r="S213" i="22" s="1"/>
  <c r="T212" i="22"/>
  <c r="U203" i="22"/>
  <c r="U237" i="22"/>
  <c r="U232" i="22" s="1"/>
  <c r="AB225" i="22"/>
  <c r="AB221" i="22" s="1"/>
  <c r="AM231" i="22"/>
  <c r="AM226" i="22" s="1"/>
  <c r="AM243" i="22"/>
  <c r="AM238" i="22" s="1"/>
  <c r="L207" i="22"/>
  <c r="M207" i="22" s="1"/>
  <c r="AQ207" i="22" s="1"/>
  <c r="R207" i="22"/>
  <c r="S207" i="22"/>
  <c r="T207" i="22"/>
  <c r="U207" i="22"/>
  <c r="AB207" i="22"/>
  <c r="AM207" i="22"/>
  <c r="AN207" i="22" s="1"/>
  <c r="AS207" i="22" s="1"/>
  <c r="L208" i="22"/>
  <c r="M208" i="22" s="1"/>
  <c r="AQ208" i="22" s="1"/>
  <c r="R208" i="22"/>
  <c r="S208" i="22"/>
  <c r="T208" i="22"/>
  <c r="U208" i="22"/>
  <c r="AB208" i="22"/>
  <c r="AM208" i="22"/>
  <c r="AN208" i="22" s="1"/>
  <c r="AS208" i="22" s="1"/>
  <c r="L250" i="22"/>
  <c r="L254" i="22"/>
  <c r="L258" i="22"/>
  <c r="M250" i="22"/>
  <c r="R250" i="22"/>
  <c r="R254" i="22"/>
  <c r="R258" i="22"/>
  <c r="S250" i="22"/>
  <c r="S254" i="22"/>
  <c r="S258" i="22"/>
  <c r="T250" i="22"/>
  <c r="T254" i="22"/>
  <c r="T258" i="22"/>
  <c r="U250" i="22"/>
  <c r="U254" i="22"/>
  <c r="U258" i="22"/>
  <c r="Z245" i="22"/>
  <c r="Z244" i="22" s="1"/>
  <c r="AA244" i="22"/>
  <c r="AC245" i="22"/>
  <c r="AD245" i="22"/>
  <c r="AE250" i="22"/>
  <c r="AE254" i="22"/>
  <c r="AF254" i="22"/>
  <c r="AM258" i="22"/>
  <c r="AV245" i="22"/>
  <c r="AV244" i="22" s="1"/>
  <c r="AX245" i="22"/>
  <c r="AY245" i="22"/>
  <c r="AZ245" i="22"/>
  <c r="AZ244" i="22" s="1"/>
  <c r="BA245" i="22"/>
  <c r="AB250" i="22"/>
  <c r="AJ250" i="22"/>
  <c r="AK250" i="22"/>
  <c r="AL250" i="22"/>
  <c r="AB254" i="22"/>
  <c r="AJ254" i="22"/>
  <c r="AK254" i="22"/>
  <c r="AL254" i="22"/>
  <c r="AB258" i="22"/>
  <c r="AJ258" i="22"/>
  <c r="AK258" i="22"/>
  <c r="AL258" i="22"/>
  <c r="L263" i="22"/>
  <c r="M263" i="22"/>
  <c r="R263" i="22"/>
  <c r="S263" i="22"/>
  <c r="T263" i="22"/>
  <c r="U263" i="22"/>
  <c r="AB263" i="22"/>
  <c r="AE263" i="22"/>
  <c r="AJ263" i="22"/>
  <c r="AK263" i="22"/>
  <c r="AL263" i="22"/>
  <c r="L268" i="22"/>
  <c r="M268" i="22"/>
  <c r="M259" i="22" s="1"/>
  <c r="R268" i="22"/>
  <c r="S268" i="22"/>
  <c r="T268" i="22"/>
  <c r="U268" i="22"/>
  <c r="AB268" i="22"/>
  <c r="AE268" i="22"/>
  <c r="AE259" i="22" s="1"/>
  <c r="AJ268" i="22"/>
  <c r="AK268" i="22"/>
  <c r="AL268" i="22"/>
  <c r="L273" i="22"/>
  <c r="M273" i="22"/>
  <c r="R273" i="22"/>
  <c r="S273" i="22"/>
  <c r="T273" i="22"/>
  <c r="U273" i="22"/>
  <c r="AB273" i="22"/>
  <c r="AJ273" i="22"/>
  <c r="AK273" i="22"/>
  <c r="AL273" i="22"/>
  <c r="AM273" i="22"/>
  <c r="L276" i="22"/>
  <c r="M276" i="22"/>
  <c r="R276" i="22"/>
  <c r="S276" i="22"/>
  <c r="T276" i="22"/>
  <c r="U276" i="22"/>
  <c r="AB276" i="22"/>
  <c r="AE276" i="22"/>
  <c r="AF276" i="22"/>
  <c r="AJ276" i="22"/>
  <c r="AK276" i="22"/>
  <c r="AL276" i="22"/>
  <c r="AM276" i="22"/>
  <c r="L283" i="22"/>
  <c r="L277" i="22" s="1"/>
  <c r="R283" i="22"/>
  <c r="R277" i="22" s="1"/>
  <c r="S283" i="22"/>
  <c r="S277" i="22" s="1"/>
  <c r="T283" i="22"/>
  <c r="T277" i="22" s="1"/>
  <c r="U283" i="22"/>
  <c r="U277" i="22" s="1"/>
  <c r="AB283" i="22"/>
  <c r="AB277" i="22" s="1"/>
  <c r="AJ283" i="22"/>
  <c r="AJ277" i="22" s="1"/>
  <c r="AK283" i="22"/>
  <c r="AK277" i="22" s="1"/>
  <c r="AL283" i="22"/>
  <c r="AL277" i="22" s="1"/>
  <c r="L289" i="22"/>
  <c r="L284" i="22" s="1"/>
  <c r="R289" i="22"/>
  <c r="R284" i="22" s="1"/>
  <c r="S289" i="22"/>
  <c r="S284" i="22" s="1"/>
  <c r="T289" i="22"/>
  <c r="T284" i="22" s="1"/>
  <c r="U289" i="22"/>
  <c r="U284" i="22" s="1"/>
  <c r="AB289" i="22"/>
  <c r="AB284" i="22" s="1"/>
  <c r="AJ289" i="22"/>
  <c r="AJ284" i="22" s="1"/>
  <c r="AK289" i="22"/>
  <c r="AK284" i="22" s="1"/>
  <c r="AL289" i="22"/>
  <c r="AL284" i="22" s="1"/>
  <c r="AM289" i="22"/>
  <c r="AM284" i="22" s="1"/>
  <c r="CZ27" i="18"/>
  <c r="DA27" i="18"/>
  <c r="DB27" i="18"/>
  <c r="DB26" i="18" s="1"/>
  <c r="DD27" i="18"/>
  <c r="DE27" i="18"/>
  <c r="CY56" i="18"/>
  <c r="DA56" i="18"/>
  <c r="DB56" i="18"/>
  <c r="DB55" i="18" s="1"/>
  <c r="DC56" i="18"/>
  <c r="DE56" i="18"/>
  <c r="L11" i="17"/>
  <c r="L15" i="17"/>
  <c r="L19" i="17"/>
  <c r="L16" i="17" s="1"/>
  <c r="L25" i="17"/>
  <c r="L29" i="17"/>
  <c r="L37" i="17"/>
  <c r="L39" i="17"/>
  <c r="L44" i="17"/>
  <c r="L40" i="17" s="1"/>
  <c r="L50" i="17"/>
  <c r="L56" i="17"/>
  <c r="L60" i="17"/>
  <c r="L77" i="17"/>
  <c r="L61" i="17" s="1"/>
  <c r="M11" i="17"/>
  <c r="M15" i="17"/>
  <c r="R11" i="17"/>
  <c r="R15" i="17"/>
  <c r="R19" i="17"/>
  <c r="R16" i="17" s="1"/>
  <c r="R25" i="17"/>
  <c r="R29" i="17"/>
  <c r="R37" i="17"/>
  <c r="R39" i="17"/>
  <c r="R44" i="17"/>
  <c r="R40" i="17" s="1"/>
  <c r="R50" i="17"/>
  <c r="R56" i="17"/>
  <c r="R60" i="17"/>
  <c r="R69" i="17"/>
  <c r="R77" i="17" s="1"/>
  <c r="R61" i="17" s="1"/>
  <c r="S11" i="17"/>
  <c r="S15" i="17"/>
  <c r="S19" i="17"/>
  <c r="S16" i="17" s="1"/>
  <c r="S25" i="17"/>
  <c r="S29" i="17"/>
  <c r="S37" i="17"/>
  <c r="S39" i="17"/>
  <c r="S44" i="17"/>
  <c r="S40" i="17" s="1"/>
  <c r="S50" i="17"/>
  <c r="S56" i="17"/>
  <c r="S60" i="17"/>
  <c r="S69" i="17"/>
  <c r="S77" i="17" s="1"/>
  <c r="S61" i="17" s="1"/>
  <c r="T11" i="17"/>
  <c r="T15" i="17"/>
  <c r="T19" i="17"/>
  <c r="T16" i="17" s="1"/>
  <c r="T25" i="17"/>
  <c r="T29" i="17"/>
  <c r="T37" i="17"/>
  <c r="T39" i="17"/>
  <c r="T44" i="17"/>
  <c r="T40" i="17" s="1"/>
  <c r="T50" i="17"/>
  <c r="T56" i="17"/>
  <c r="T60" i="17"/>
  <c r="T69" i="17"/>
  <c r="T77" i="17" s="1"/>
  <c r="T61" i="17" s="1"/>
  <c r="U11" i="17"/>
  <c r="U15" i="17"/>
  <c r="U19" i="17"/>
  <c r="U16" i="17" s="1"/>
  <c r="U25" i="17"/>
  <c r="U29" i="17"/>
  <c r="U37" i="17"/>
  <c r="U39" i="17"/>
  <c r="U44" i="17"/>
  <c r="U40" i="17" s="1"/>
  <c r="U50" i="17"/>
  <c r="U56" i="17"/>
  <c r="U60" i="17"/>
  <c r="U69" i="17"/>
  <c r="U77" i="17" s="1"/>
  <c r="U61" i="17" s="1"/>
  <c r="Y11" i="17"/>
  <c r="Y15" i="17"/>
  <c r="Y19" i="17"/>
  <c r="Y16" i="17" s="1"/>
  <c r="Y25" i="17"/>
  <c r="Y29" i="17"/>
  <c r="Y37" i="17"/>
  <c r="Y39" i="17"/>
  <c r="Y44" i="17"/>
  <c r="Y40" i="17" s="1"/>
  <c r="Y50" i="17"/>
  <c r="Y56" i="17"/>
  <c r="Y60" i="17"/>
  <c r="Y69" i="17"/>
  <c r="Y77" i="17" s="1"/>
  <c r="Y61" i="17" s="1"/>
  <c r="AB11" i="17"/>
  <c r="AB15" i="17"/>
  <c r="AB19" i="17"/>
  <c r="AB16" i="17" s="1"/>
  <c r="AB25" i="17"/>
  <c r="AB29" i="17"/>
  <c r="AB37" i="17"/>
  <c r="AB39" i="17"/>
  <c r="AB44" i="17"/>
  <c r="AB40" i="17" s="1"/>
  <c r="AB50" i="17"/>
  <c r="AB56" i="17"/>
  <c r="AB60" i="17"/>
  <c r="AB69" i="17"/>
  <c r="AB77" i="17" s="1"/>
  <c r="AB61" i="17" s="1"/>
  <c r="AD6" i="17"/>
  <c r="AD5" i="17" s="1"/>
  <c r="AE29" i="17"/>
  <c r="AE39" i="17"/>
  <c r="AM11" i="17"/>
  <c r="AM15" i="17"/>
  <c r="AM19" i="17"/>
  <c r="AM16" i="17" s="1"/>
  <c r="AM25" i="17"/>
  <c r="AM29" i="17"/>
  <c r="AM37" i="17"/>
  <c r="AM39" i="17"/>
  <c r="AM44" i="17"/>
  <c r="AM40" i="17" s="1"/>
  <c r="AM50" i="17"/>
  <c r="AM56" i="17"/>
  <c r="AM60" i="17"/>
  <c r="AM77" i="17"/>
  <c r="AM61" i="17" s="1"/>
  <c r="AN39" i="17"/>
  <c r="Z6" i="17"/>
  <c r="Z5" i="17" s="1"/>
  <c r="AA6" i="17"/>
  <c r="AA5" i="17" s="1"/>
  <c r="AJ6" i="17"/>
  <c r="AK6" i="17"/>
  <c r="AL6" i="17"/>
  <c r="AV6" i="17"/>
  <c r="AW6" i="17"/>
  <c r="AX6" i="17"/>
  <c r="AY6" i="17"/>
  <c r="AZ6" i="17"/>
  <c r="BA6" i="17"/>
  <c r="AR69" i="17"/>
  <c r="L88" i="17"/>
  <c r="L110" i="17"/>
  <c r="L106" i="17" s="1"/>
  <c r="L139" i="17"/>
  <c r="L134" i="17" s="1"/>
  <c r="R85" i="17"/>
  <c r="R88" i="17"/>
  <c r="R92" i="17"/>
  <c r="R99" i="17"/>
  <c r="R93" i="17" s="1"/>
  <c r="R105" i="17"/>
  <c r="R100" i="17" s="1"/>
  <c r="R110" i="17"/>
  <c r="R106" i="17" s="1"/>
  <c r="R117" i="17"/>
  <c r="R111" i="17" s="1"/>
  <c r="R122" i="17"/>
  <c r="R118" i="17" s="1"/>
  <c r="R133" i="17"/>
  <c r="R123" i="17" s="1"/>
  <c r="R139" i="17"/>
  <c r="R134" i="17" s="1"/>
  <c r="R149" i="17"/>
  <c r="R140" i="17" s="1"/>
  <c r="T88" i="17"/>
  <c r="T92" i="17"/>
  <c r="T99" i="17"/>
  <c r="T93" i="17" s="1"/>
  <c r="T105" i="17"/>
  <c r="T100" i="17" s="1"/>
  <c r="T110" i="17"/>
  <c r="T106" i="17" s="1"/>
  <c r="T117" i="17"/>
  <c r="T111" i="17" s="1"/>
  <c r="T122" i="17"/>
  <c r="T118" i="17" s="1"/>
  <c r="T133" i="17"/>
  <c r="T123" i="17" s="1"/>
  <c r="T139" i="17"/>
  <c r="T134" i="17" s="1"/>
  <c r="T149" i="17"/>
  <c r="T140" i="17" s="1"/>
  <c r="U85" i="17"/>
  <c r="U105" i="17"/>
  <c r="U100" i="17" s="1"/>
  <c r="U133" i="17"/>
  <c r="U123" i="17" s="1"/>
  <c r="Y85" i="17"/>
  <c r="Y88" i="17"/>
  <c r="Y92" i="17"/>
  <c r="Y99" i="17"/>
  <c r="Y93" i="17"/>
  <c r="Y105" i="17"/>
  <c r="Y100" i="17" s="1"/>
  <c r="Y110" i="17"/>
  <c r="Y106" i="17" s="1"/>
  <c r="Y117" i="17"/>
  <c r="Y111" i="17" s="1"/>
  <c r="Y122" i="17"/>
  <c r="Y118" i="17" s="1"/>
  <c r="Y133" i="17"/>
  <c r="Y123" i="17" s="1"/>
  <c r="Y139" i="17"/>
  <c r="Y134" i="17" s="1"/>
  <c r="Y149" i="17"/>
  <c r="Y140" i="17" s="1"/>
  <c r="AB85" i="17"/>
  <c r="AB105" i="17"/>
  <c r="AB100" i="17" s="1"/>
  <c r="AB133" i="17"/>
  <c r="AB123" i="17" s="1"/>
  <c r="AM88" i="17"/>
  <c r="AM110" i="17"/>
  <c r="AM106" i="17" s="1"/>
  <c r="AM139" i="17"/>
  <c r="AM134" i="17" s="1"/>
  <c r="CL27" i="18"/>
  <c r="CM27" i="18"/>
  <c r="CN27" i="18"/>
  <c r="CN26" i="18" s="1"/>
  <c r="CO27" i="18"/>
  <c r="CP27" i="18"/>
  <c r="CP26" i="18" s="1"/>
  <c r="CQ27" i="18"/>
  <c r="CR27" i="18"/>
  <c r="CR26" i="18" s="1"/>
  <c r="CR25" i="18" s="1"/>
  <c r="L162" i="17"/>
  <c r="L168" i="17"/>
  <c r="L181" i="17"/>
  <c r="L193" i="17"/>
  <c r="M193" i="17"/>
  <c r="R156" i="17"/>
  <c r="R159" i="17"/>
  <c r="R162" i="17"/>
  <c r="R190" i="17"/>
  <c r="R193" i="17"/>
  <c r="S159" i="17"/>
  <c r="S162" i="17"/>
  <c r="S168" i="17"/>
  <c r="S178" i="17"/>
  <c r="S181" i="17"/>
  <c r="S190" i="17"/>
  <c r="S193" i="17"/>
  <c r="S196" i="17"/>
  <c r="T159" i="17"/>
  <c r="T181" i="17"/>
  <c r="T193" i="17"/>
  <c r="U156" i="17"/>
  <c r="U178" i="17"/>
  <c r="U181" i="17"/>
  <c r="U190" i="17"/>
  <c r="U196" i="17"/>
  <c r="AB162" i="17"/>
  <c r="AB168" i="17"/>
  <c r="AB181" i="17"/>
  <c r="AB190" i="17"/>
  <c r="AB193" i="17"/>
  <c r="AB196" i="17"/>
  <c r="AM159" i="17"/>
  <c r="AM162" i="17"/>
  <c r="AM190" i="17"/>
  <c r="AM193" i="17"/>
  <c r="AM196" i="17"/>
  <c r="AN159" i="17"/>
  <c r="AN193" i="17"/>
  <c r="Y156" i="17"/>
  <c r="Y159" i="17"/>
  <c r="Y162" i="17"/>
  <c r="Y178" i="17"/>
  <c r="Y193" i="17"/>
  <c r="CL56" i="18"/>
  <c r="CM56" i="18"/>
  <c r="CN56" i="18"/>
  <c r="CN55" i="18" s="1"/>
  <c r="CO56" i="18"/>
  <c r="CO55" i="18" s="1"/>
  <c r="CP56" i="18"/>
  <c r="CP55" i="18" s="1"/>
  <c r="CQ56" i="18"/>
  <c r="CR56" i="18"/>
  <c r="CR55" i="18" s="1"/>
  <c r="R203" i="17"/>
  <c r="R212" i="17"/>
  <c r="R220" i="17"/>
  <c r="R213" i="17" s="1"/>
  <c r="R231" i="17"/>
  <c r="R226" i="17" s="1"/>
  <c r="R237" i="17"/>
  <c r="R232" i="17" s="1"/>
  <c r="R243" i="17"/>
  <c r="R238" i="17" s="1"/>
  <c r="T203" i="17"/>
  <c r="T212" i="17"/>
  <c r="T220" i="17"/>
  <c r="T213" i="17" s="1"/>
  <c r="T231" i="17"/>
  <c r="T226" i="17" s="1"/>
  <c r="T237" i="17"/>
  <c r="T232" i="17" s="1"/>
  <c r="T243" i="17"/>
  <c r="T238" i="17" s="1"/>
  <c r="U231" i="17"/>
  <c r="U226" i="17" s="1"/>
  <c r="U243" i="17"/>
  <c r="U238" i="17" s="1"/>
  <c r="Y212" i="17"/>
  <c r="Y225" i="17"/>
  <c r="Y221" i="17" s="1"/>
  <c r="Y231" i="17"/>
  <c r="Y226" i="17" s="1"/>
  <c r="Y237" i="17"/>
  <c r="Y232" i="17" s="1"/>
  <c r="AB225" i="17"/>
  <c r="AB221" i="17" s="1"/>
  <c r="AM203" i="17"/>
  <c r="AM231" i="17"/>
  <c r="AM226" i="17" s="1"/>
  <c r="L207" i="17"/>
  <c r="M207" i="17" s="1"/>
  <c r="AQ207" i="17" s="1"/>
  <c r="R207" i="17"/>
  <c r="S207" i="17"/>
  <c r="T207" i="17"/>
  <c r="U207" i="17"/>
  <c r="Y207" i="17"/>
  <c r="AB207" i="17"/>
  <c r="AM207" i="17"/>
  <c r="AN207" i="17" s="1"/>
  <c r="AS207" i="17" s="1"/>
  <c r="L208" i="17"/>
  <c r="M208" i="17" s="1"/>
  <c r="AQ208" i="17" s="1"/>
  <c r="R208" i="17"/>
  <c r="S208" i="17"/>
  <c r="T208" i="17"/>
  <c r="U208" i="17"/>
  <c r="Y208" i="17"/>
  <c r="AB208" i="17"/>
  <c r="AM208" i="17"/>
  <c r="AN208" i="17" s="1"/>
  <c r="AS208" i="17" s="1"/>
  <c r="L250" i="17"/>
  <c r="L254" i="17"/>
  <c r="L258" i="17"/>
  <c r="M258" i="17"/>
  <c r="R250" i="17"/>
  <c r="R254" i="17"/>
  <c r="R258" i="17"/>
  <c r="S250" i="17"/>
  <c r="S254" i="17"/>
  <c r="S258" i="17"/>
  <c r="T250" i="17"/>
  <c r="T254" i="17"/>
  <c r="T258" i="17"/>
  <c r="U250" i="17"/>
  <c r="U254" i="17"/>
  <c r="U258" i="17"/>
  <c r="Z245" i="17"/>
  <c r="Z244" i="17" s="1"/>
  <c r="AA244" i="17"/>
  <c r="AB250" i="17"/>
  <c r="AB254" i="17"/>
  <c r="AB258" i="17"/>
  <c r="AC245" i="17"/>
  <c r="AM254" i="17"/>
  <c r="AV245" i="17"/>
  <c r="AV244" i="17" s="1"/>
  <c r="AX245" i="17"/>
  <c r="AY245" i="17"/>
  <c r="AY244" i="17" s="1"/>
  <c r="AZ245" i="17"/>
  <c r="AZ244" i="17" s="1"/>
  <c r="BA245" i="17"/>
  <c r="AJ250" i="17"/>
  <c r="AK250" i="17"/>
  <c r="AL250" i="17"/>
  <c r="AJ254" i="17"/>
  <c r="AK254" i="17"/>
  <c r="AL254" i="17"/>
  <c r="AJ258" i="17"/>
  <c r="AK258" i="17"/>
  <c r="AL258" i="17"/>
  <c r="L263" i="17"/>
  <c r="M263" i="17"/>
  <c r="R263" i="17"/>
  <c r="S263" i="17"/>
  <c r="T263" i="17"/>
  <c r="U263" i="17"/>
  <c r="AB263" i="17"/>
  <c r="AE263" i="17"/>
  <c r="AJ263" i="17"/>
  <c r="AK263" i="17"/>
  <c r="AL263" i="17"/>
  <c r="L268" i="17"/>
  <c r="R268" i="17"/>
  <c r="S268" i="17"/>
  <c r="T268" i="17"/>
  <c r="U268" i="17"/>
  <c r="Y268" i="17"/>
  <c r="AB268" i="17"/>
  <c r="AJ268" i="17"/>
  <c r="AK268" i="17"/>
  <c r="AL268" i="17"/>
  <c r="L273" i="17"/>
  <c r="M273" i="17"/>
  <c r="R273" i="17"/>
  <c r="S273" i="17"/>
  <c r="T273" i="17"/>
  <c r="U273" i="17"/>
  <c r="Y273" i="17"/>
  <c r="AB273" i="17"/>
  <c r="AJ273" i="17"/>
  <c r="AK273" i="17"/>
  <c r="AL273" i="17"/>
  <c r="AM273" i="17"/>
  <c r="L276" i="17"/>
  <c r="R276" i="17"/>
  <c r="S276" i="17"/>
  <c r="T276" i="17"/>
  <c r="U276" i="17"/>
  <c r="Y276" i="17"/>
  <c r="AB276" i="17"/>
  <c r="AJ276" i="17"/>
  <c r="AK276" i="17"/>
  <c r="AL276" i="17"/>
  <c r="AM276" i="17"/>
  <c r="L283" i="17"/>
  <c r="L277" i="17" s="1"/>
  <c r="M283" i="17"/>
  <c r="M277" i="17" s="1"/>
  <c r="R283" i="17"/>
  <c r="R277" i="17" s="1"/>
  <c r="S283" i="17"/>
  <c r="S277" i="17" s="1"/>
  <c r="T283" i="17"/>
  <c r="T277" i="17" s="1"/>
  <c r="U283" i="17"/>
  <c r="U277" i="17" s="1"/>
  <c r="AB283" i="17"/>
  <c r="AB277" i="17" s="1"/>
  <c r="AJ283" i="17"/>
  <c r="AJ277" i="17" s="1"/>
  <c r="AK283" i="17"/>
  <c r="AK277" i="17" s="1"/>
  <c r="AL283" i="17"/>
  <c r="AL277" i="17" s="1"/>
  <c r="L289" i="17"/>
  <c r="L284" i="17" s="1"/>
  <c r="R289" i="17"/>
  <c r="R284" i="17" s="1"/>
  <c r="S289" i="17"/>
  <c r="S284" i="17" s="1"/>
  <c r="T289" i="17"/>
  <c r="T284" i="17" s="1"/>
  <c r="U289" i="17"/>
  <c r="U284" i="17" s="1"/>
  <c r="AB289" i="17"/>
  <c r="AB284" i="17" s="1"/>
  <c r="AJ289" i="17"/>
  <c r="AJ284" i="17" s="1"/>
  <c r="AK289" i="17"/>
  <c r="AK284" i="17" s="1"/>
  <c r="AL289" i="17"/>
  <c r="AL284" i="17" s="1"/>
  <c r="L11" i="16"/>
  <c r="L15" i="16"/>
  <c r="L19" i="16"/>
  <c r="L16" i="16" s="1"/>
  <c r="L25" i="16"/>
  <c r="L29" i="16"/>
  <c r="L37" i="16"/>
  <c r="L56" i="16"/>
  <c r="M39" i="16"/>
  <c r="R11" i="16"/>
  <c r="R15" i="16"/>
  <c r="R19" i="16"/>
  <c r="R16" i="16" s="1"/>
  <c r="R25" i="16"/>
  <c r="R29" i="16"/>
  <c r="R37" i="16"/>
  <c r="R39" i="16"/>
  <c r="R44" i="16"/>
  <c r="R40" i="16" s="1"/>
  <c r="R50" i="16"/>
  <c r="R56" i="16"/>
  <c r="R60" i="16"/>
  <c r="R69" i="16"/>
  <c r="R77" i="16" s="1"/>
  <c r="R61" i="16" s="1"/>
  <c r="S11" i="16"/>
  <c r="S15" i="16"/>
  <c r="S19" i="16"/>
  <c r="S16" i="16" s="1"/>
  <c r="S25" i="16"/>
  <c r="S29" i="16"/>
  <c r="S37" i="16"/>
  <c r="S39" i="16"/>
  <c r="S44" i="16"/>
  <c r="S40" i="16" s="1"/>
  <c r="S50" i="16"/>
  <c r="S56" i="16"/>
  <c r="S60" i="16"/>
  <c r="S69" i="16"/>
  <c r="S77" i="16" s="1"/>
  <c r="S61" i="16" s="1"/>
  <c r="T11" i="16"/>
  <c r="T15" i="16"/>
  <c r="T19" i="16"/>
  <c r="T16" i="16" s="1"/>
  <c r="T25" i="16"/>
  <c r="T29" i="16"/>
  <c r="T37" i="16"/>
  <c r="T39" i="16"/>
  <c r="T44" i="16"/>
  <c r="T40" i="16" s="1"/>
  <c r="T50" i="16"/>
  <c r="T56" i="16"/>
  <c r="T60" i="16"/>
  <c r="T69" i="16"/>
  <c r="T77" i="16" s="1"/>
  <c r="T61" i="16" s="1"/>
  <c r="U11" i="16"/>
  <c r="U15" i="16"/>
  <c r="U19" i="16"/>
  <c r="U16" i="16" s="1"/>
  <c r="U25" i="16"/>
  <c r="U29" i="16"/>
  <c r="U37" i="16"/>
  <c r="U39" i="16"/>
  <c r="U44" i="16"/>
  <c r="U40" i="16" s="1"/>
  <c r="U50" i="16"/>
  <c r="U56" i="16"/>
  <c r="U60" i="16"/>
  <c r="U69" i="16"/>
  <c r="U77" i="16" s="1"/>
  <c r="U61" i="16" s="1"/>
  <c r="Y11" i="16"/>
  <c r="Y15" i="16"/>
  <c r="Y19" i="16"/>
  <c r="Y16" i="16" s="1"/>
  <c r="Y25" i="16"/>
  <c r="Y29" i="16"/>
  <c r="Y37" i="16"/>
  <c r="Y39" i="16"/>
  <c r="Y44" i="16"/>
  <c r="Y40" i="16" s="1"/>
  <c r="Y50" i="16"/>
  <c r="Y56" i="16"/>
  <c r="Y60" i="16"/>
  <c r="Y69" i="16"/>
  <c r="Y77" i="16" s="1"/>
  <c r="Y61" i="16" s="1"/>
  <c r="AB11" i="16"/>
  <c r="AB15" i="16"/>
  <c r="AB19" i="16"/>
  <c r="AB16" i="16" s="1"/>
  <c r="AB25" i="16"/>
  <c r="AB29" i="16"/>
  <c r="AB37" i="16"/>
  <c r="AB39" i="16"/>
  <c r="AB44" i="16"/>
  <c r="AB40" i="16" s="1"/>
  <c r="AB50" i="16"/>
  <c r="AB56" i="16"/>
  <c r="AB60" i="16"/>
  <c r="AB69" i="16"/>
  <c r="AB77" i="16" s="1"/>
  <c r="AB61" i="16" s="1"/>
  <c r="AC6" i="16"/>
  <c r="AD6" i="16"/>
  <c r="AE29" i="16"/>
  <c r="AE39" i="16"/>
  <c r="AM11" i="16"/>
  <c r="AM15" i="16"/>
  <c r="AM19" i="16"/>
  <c r="AM16" i="16" s="1"/>
  <c r="AM25" i="16"/>
  <c r="AM29" i="16"/>
  <c r="AM37" i="16"/>
  <c r="AM39" i="16"/>
  <c r="AM44" i="16"/>
  <c r="AM40" i="16" s="1"/>
  <c r="AM50" i="16"/>
  <c r="AM56" i="16"/>
  <c r="AM60" i="16"/>
  <c r="AM77" i="16"/>
  <c r="AM61" i="16" s="1"/>
  <c r="Z6" i="16"/>
  <c r="Z5" i="16" s="1"/>
  <c r="AA6" i="16"/>
  <c r="AA5" i="16" s="1"/>
  <c r="AJ6" i="16"/>
  <c r="AK6" i="16"/>
  <c r="AK5" i="16" s="1"/>
  <c r="AL6" i="16"/>
  <c r="AV6" i="16"/>
  <c r="AW6" i="16"/>
  <c r="AX6" i="16"/>
  <c r="AY6" i="16"/>
  <c r="AZ6" i="16"/>
  <c r="BA6" i="16"/>
  <c r="AR69" i="16"/>
  <c r="L110" i="16"/>
  <c r="L106" i="16" s="1"/>
  <c r="L122" i="16"/>
  <c r="L118" i="16" s="1"/>
  <c r="R85" i="16"/>
  <c r="R92" i="16"/>
  <c r="R105" i="16"/>
  <c r="R100" i="16" s="1"/>
  <c r="R117" i="16"/>
  <c r="R111" i="16" s="1"/>
  <c r="R133" i="16"/>
  <c r="R123" i="16" s="1"/>
  <c r="R149" i="16"/>
  <c r="R140" i="16" s="1"/>
  <c r="S85" i="16"/>
  <c r="S88" i="16"/>
  <c r="S92" i="16"/>
  <c r="S99" i="16"/>
  <c r="S93" i="16" s="1"/>
  <c r="S105" i="16"/>
  <c r="S100" i="16" s="1"/>
  <c r="S110" i="16"/>
  <c r="S106" i="16" s="1"/>
  <c r="S117" i="16"/>
  <c r="S111" i="16" s="1"/>
  <c r="S122" i="16"/>
  <c r="S118" i="16" s="1"/>
  <c r="S133" i="16"/>
  <c r="S123" i="16" s="1"/>
  <c r="S139" i="16"/>
  <c r="S134" i="16" s="1"/>
  <c r="S149" i="16"/>
  <c r="S140" i="16" s="1"/>
  <c r="T85" i="16"/>
  <c r="T92" i="16"/>
  <c r="T105" i="16"/>
  <c r="T100" i="16" s="1"/>
  <c r="T117" i="16"/>
  <c r="T111" i="16" s="1"/>
  <c r="T133" i="16"/>
  <c r="T123" i="16" s="1"/>
  <c r="T149" i="16"/>
  <c r="T140" i="16" s="1"/>
  <c r="U85" i="16"/>
  <c r="U88" i="16"/>
  <c r="U92" i="16"/>
  <c r="U99" i="16"/>
  <c r="U93" i="16" s="1"/>
  <c r="U105" i="16"/>
  <c r="U100" i="16" s="1"/>
  <c r="U110" i="16"/>
  <c r="U106" i="16" s="1"/>
  <c r="U117" i="16"/>
  <c r="U111" i="16" s="1"/>
  <c r="U122" i="16"/>
  <c r="U118" i="16" s="1"/>
  <c r="U133" i="16"/>
  <c r="U123" i="16" s="1"/>
  <c r="U139" i="16"/>
  <c r="U134" i="16" s="1"/>
  <c r="U149" i="16"/>
  <c r="U140" i="16" s="1"/>
  <c r="Y85" i="16"/>
  <c r="Y92" i="16"/>
  <c r="Y99" i="16"/>
  <c r="Y93" i="16" s="1"/>
  <c r="Y105" i="16"/>
  <c r="Y100" i="16" s="1"/>
  <c r="Y110" i="16"/>
  <c r="Y106" i="16" s="1"/>
  <c r="Y117" i="16"/>
  <c r="Y111" i="16" s="1"/>
  <c r="Y133" i="16"/>
  <c r="Y123" i="16" s="1"/>
  <c r="Y149" i="16"/>
  <c r="Y140" i="16" s="1"/>
  <c r="AB85" i="16"/>
  <c r="AB88" i="16"/>
  <c r="AB92" i="16"/>
  <c r="AB99" i="16"/>
  <c r="AB93" i="16" s="1"/>
  <c r="AB105" i="16"/>
  <c r="AB100" i="16" s="1"/>
  <c r="AB110" i="16"/>
  <c r="AB106" i="16" s="1"/>
  <c r="AB117" i="16"/>
  <c r="AB111" i="16" s="1"/>
  <c r="AB122" i="16"/>
  <c r="AB118" i="16" s="1"/>
  <c r="AB133" i="16"/>
  <c r="AB123" i="16" s="1"/>
  <c r="AB139" i="16"/>
  <c r="AB134" i="16" s="1"/>
  <c r="AB149" i="16"/>
  <c r="AB140" i="16" s="1"/>
  <c r="AM85" i="16"/>
  <c r="AM92" i="16"/>
  <c r="AM105" i="16"/>
  <c r="AM100" i="16" s="1"/>
  <c r="AM110" i="16"/>
  <c r="AM106" i="16" s="1"/>
  <c r="AM117" i="16"/>
  <c r="AM111" i="16" s="1"/>
  <c r="AM122" i="16"/>
  <c r="AM118" i="16" s="1"/>
  <c r="AM133" i="16"/>
  <c r="AM123" i="16" s="1"/>
  <c r="AM149" i="16"/>
  <c r="AM140" i="16" s="1"/>
  <c r="BY27" i="18"/>
  <c r="BY26" i="18" s="1"/>
  <c r="BZ27" i="18"/>
  <c r="CA27" i="18"/>
  <c r="CA26" i="18" s="1"/>
  <c r="CA25" i="18" s="1"/>
  <c r="CB27" i="18"/>
  <c r="CC27" i="18"/>
  <c r="CC26" i="18" s="1"/>
  <c r="CC25" i="18" s="1"/>
  <c r="CD27" i="18"/>
  <c r="CE27" i="18"/>
  <c r="CE26" i="18" s="1"/>
  <c r="L168" i="16"/>
  <c r="L193" i="16"/>
  <c r="R156" i="16"/>
  <c r="R159" i="16"/>
  <c r="R162" i="16"/>
  <c r="R168" i="16"/>
  <c r="R178" i="16"/>
  <c r="R181" i="16"/>
  <c r="R190" i="16"/>
  <c r="R193" i="16"/>
  <c r="R196" i="16"/>
  <c r="S159" i="16"/>
  <c r="S168" i="16"/>
  <c r="S181" i="16"/>
  <c r="S190" i="16"/>
  <c r="S193" i="16"/>
  <c r="T156" i="16"/>
  <c r="T159" i="16"/>
  <c r="T162" i="16"/>
  <c r="T168" i="16"/>
  <c r="T178" i="16"/>
  <c r="T181" i="16"/>
  <c r="T190" i="16"/>
  <c r="T196" i="16"/>
  <c r="U159" i="16"/>
  <c r="U168" i="16"/>
  <c r="U181" i="16"/>
  <c r="U190" i="16"/>
  <c r="U193" i="16"/>
  <c r="AB156" i="16"/>
  <c r="AB162" i="16"/>
  <c r="AB178" i="16"/>
  <c r="AB190" i="16"/>
  <c r="AB193" i="16"/>
  <c r="AB196" i="16"/>
  <c r="AM159" i="16"/>
  <c r="AM168" i="16"/>
  <c r="AM181" i="16"/>
  <c r="AM193" i="16"/>
  <c r="AM196" i="16"/>
  <c r="AN159" i="16"/>
  <c r="Y156" i="16"/>
  <c r="Y159" i="16"/>
  <c r="Y162" i="16"/>
  <c r="Y168" i="16"/>
  <c r="Y178" i="16"/>
  <c r="Y181" i="16"/>
  <c r="Y190" i="16"/>
  <c r="Y193" i="16"/>
  <c r="Y196" i="16"/>
  <c r="BY56" i="18"/>
  <c r="BZ56" i="18"/>
  <c r="BZ55" i="18" s="1"/>
  <c r="CA56" i="18"/>
  <c r="CA55" i="18" s="1"/>
  <c r="CB56" i="18"/>
  <c r="CB55" i="18" s="1"/>
  <c r="CC56" i="18"/>
  <c r="CD56" i="18"/>
  <c r="CD55" i="18" s="1"/>
  <c r="CE56" i="18"/>
  <c r="CE55" i="18" s="1"/>
  <c r="L203" i="16"/>
  <c r="L212" i="16"/>
  <c r="L220" i="16"/>
  <c r="L213" i="16" s="1"/>
  <c r="L231" i="16"/>
  <c r="L226" i="16" s="1"/>
  <c r="L243" i="16"/>
  <c r="L238" i="16" s="1"/>
  <c r="R203" i="16"/>
  <c r="R220" i="16"/>
  <c r="R213" i="16" s="1"/>
  <c r="R225" i="16"/>
  <c r="R221" i="16" s="1"/>
  <c r="R231" i="16"/>
  <c r="R226" i="16" s="1"/>
  <c r="R237" i="16"/>
  <c r="R232" i="16" s="1"/>
  <c r="S203" i="16"/>
  <c r="S212" i="16"/>
  <c r="S220" i="16"/>
  <c r="S213" i="16" s="1"/>
  <c r="S225" i="16"/>
  <c r="S221" i="16" s="1"/>
  <c r="S231" i="16"/>
  <c r="S226" i="16" s="1"/>
  <c r="S237" i="16"/>
  <c r="S232" i="16" s="1"/>
  <c r="S243" i="16"/>
  <c r="S238" i="16" s="1"/>
  <c r="T212" i="16"/>
  <c r="T225" i="16"/>
  <c r="T221" i="16" s="1"/>
  <c r="T237" i="16"/>
  <c r="T232" i="16" s="1"/>
  <c r="U203" i="16"/>
  <c r="U212" i="16"/>
  <c r="U220" i="16"/>
  <c r="U213" i="16" s="1"/>
  <c r="U225" i="16"/>
  <c r="U221" i="16" s="1"/>
  <c r="U231" i="16"/>
  <c r="U226" i="16" s="1"/>
  <c r="U237" i="16"/>
  <c r="U232" i="16" s="1"/>
  <c r="U243" i="16"/>
  <c r="U238" i="16" s="1"/>
  <c r="Y203" i="16"/>
  <c r="Y220" i="16"/>
  <c r="Y213" i="16" s="1"/>
  <c r="Y225" i="16"/>
  <c r="Y221" i="16" s="1"/>
  <c r="Y231" i="16"/>
  <c r="Y226" i="16" s="1"/>
  <c r="Y237" i="16"/>
  <c r="Y232" i="16" s="1"/>
  <c r="Y243" i="16"/>
  <c r="Y238" i="16" s="1"/>
  <c r="AB212" i="16"/>
  <c r="AB220" i="16"/>
  <c r="AB213" i="16" s="1"/>
  <c r="AB225" i="16"/>
  <c r="AB221" i="16" s="1"/>
  <c r="AB231" i="16"/>
  <c r="AB226" i="16" s="1"/>
  <c r="AB237" i="16"/>
  <c r="AB232" i="16" s="1"/>
  <c r="AB243" i="16"/>
  <c r="AB238" i="16" s="1"/>
  <c r="AM203" i="16"/>
  <c r="AM212" i="16"/>
  <c r="AM220" i="16"/>
  <c r="AM213" i="16" s="1"/>
  <c r="AM231" i="16"/>
  <c r="AM226" i="16" s="1"/>
  <c r="AN212" i="16"/>
  <c r="L207" i="16"/>
  <c r="M207" i="16" s="1"/>
  <c r="AQ207" i="16" s="1"/>
  <c r="R207" i="16"/>
  <c r="S207" i="16"/>
  <c r="T207" i="16"/>
  <c r="U207" i="16"/>
  <c r="Y207" i="16"/>
  <c r="AB207" i="16"/>
  <c r="AM207" i="16"/>
  <c r="AN207" i="16" s="1"/>
  <c r="AS207" i="16" s="1"/>
  <c r="L208" i="16"/>
  <c r="M208" i="16" s="1"/>
  <c r="AQ208" i="16" s="1"/>
  <c r="R208" i="16"/>
  <c r="S208" i="16"/>
  <c r="T208" i="16"/>
  <c r="U208" i="16"/>
  <c r="Y208" i="16"/>
  <c r="AB208" i="16"/>
  <c r="AM208" i="16"/>
  <c r="AN208" i="16" s="1"/>
  <c r="AS208" i="16" s="1"/>
  <c r="L250" i="16"/>
  <c r="L254" i="16"/>
  <c r="L258" i="16"/>
  <c r="M250" i="16"/>
  <c r="M254" i="16"/>
  <c r="M258" i="16"/>
  <c r="R250" i="16"/>
  <c r="R254" i="16"/>
  <c r="R258" i="16"/>
  <c r="S250" i="16"/>
  <c r="S254" i="16"/>
  <c r="S258" i="16"/>
  <c r="T250" i="16"/>
  <c r="T254" i="16"/>
  <c r="T258" i="16"/>
  <c r="U250" i="16"/>
  <c r="U254" i="16"/>
  <c r="U258" i="16"/>
  <c r="Y258" i="16"/>
  <c r="Z245" i="16"/>
  <c r="Z244" i="16"/>
  <c r="AA244" i="16"/>
  <c r="AB250" i="16"/>
  <c r="AB254" i="16"/>
  <c r="AB258" i="16"/>
  <c r="AC245" i="16"/>
  <c r="AD245" i="16"/>
  <c r="AJ245" i="16"/>
  <c r="AJ244" i="16" s="1"/>
  <c r="AK245" i="16"/>
  <c r="AL245" i="16"/>
  <c r="AL244" i="16" s="1"/>
  <c r="AM250" i="16"/>
  <c r="AM254" i="16"/>
  <c r="AM258" i="16"/>
  <c r="AN258" i="16"/>
  <c r="AV245" i="16"/>
  <c r="AV244" i="16" s="1"/>
  <c r="AX245" i="16"/>
  <c r="AX244" i="16" s="1"/>
  <c r="AY245" i="16"/>
  <c r="AZ245" i="16"/>
  <c r="AZ244" i="16" s="1"/>
  <c r="BA245" i="16"/>
  <c r="L263" i="16"/>
  <c r="M263" i="16"/>
  <c r="R263" i="16"/>
  <c r="S263" i="16"/>
  <c r="T263" i="16"/>
  <c r="U263" i="16"/>
  <c r="AB263" i="16"/>
  <c r="AE263" i="16"/>
  <c r="AM263" i="16"/>
  <c r="L268" i="16"/>
  <c r="M268" i="16"/>
  <c r="R268" i="16"/>
  <c r="S268" i="16"/>
  <c r="T268" i="16"/>
  <c r="U268" i="16"/>
  <c r="AB268" i="16"/>
  <c r="AM268" i="16"/>
  <c r="L273" i="16"/>
  <c r="M273" i="16"/>
  <c r="R273" i="16"/>
  <c r="S273" i="16"/>
  <c r="T273" i="16"/>
  <c r="U273" i="16"/>
  <c r="AB273" i="16"/>
  <c r="AM273" i="16"/>
  <c r="AN273" i="16"/>
  <c r="L276" i="16"/>
  <c r="M276" i="16"/>
  <c r="R276" i="16"/>
  <c r="S276" i="16"/>
  <c r="T276" i="16"/>
  <c r="U276" i="16"/>
  <c r="Y276" i="16"/>
  <c r="AB276" i="16"/>
  <c r="AE276" i="16"/>
  <c r="AF276" i="16"/>
  <c r="AM276" i="16"/>
  <c r="AN276" i="16"/>
  <c r="L283" i="16"/>
  <c r="L277" i="16" s="1"/>
  <c r="M283" i="16"/>
  <c r="M277" i="16" s="1"/>
  <c r="R283" i="16"/>
  <c r="R277" i="16" s="1"/>
  <c r="S283" i="16"/>
  <c r="S277" i="16" s="1"/>
  <c r="T283" i="16"/>
  <c r="T277" i="16" s="1"/>
  <c r="U283" i="16"/>
  <c r="U277" i="16" s="1"/>
  <c r="Y283" i="16"/>
  <c r="Y277" i="16" s="1"/>
  <c r="AB283" i="16"/>
  <c r="AB277" i="16" s="1"/>
  <c r="AM283" i="16"/>
  <c r="AM277" i="16" s="1"/>
  <c r="AN283" i="16"/>
  <c r="AN277" i="16" s="1"/>
  <c r="L289" i="16"/>
  <c r="L284" i="16" s="1"/>
  <c r="M289" i="16"/>
  <c r="M284" i="16" s="1"/>
  <c r="R289" i="16"/>
  <c r="R284" i="16" s="1"/>
  <c r="S289" i="16"/>
  <c r="S284" i="16" s="1"/>
  <c r="T289" i="16"/>
  <c r="T284" i="16" s="1"/>
  <c r="U289" i="16"/>
  <c r="U284" i="16" s="1"/>
  <c r="Y289" i="16"/>
  <c r="Y284" i="16" s="1"/>
  <c r="AB289" i="16"/>
  <c r="AB284" i="16" s="1"/>
  <c r="AM289" i="16"/>
  <c r="AM284" i="16" s="1"/>
  <c r="AN289" i="16"/>
  <c r="AN284" i="16" s="1"/>
  <c r="L11" i="15"/>
  <c r="L15" i="15"/>
  <c r="L19" i="15"/>
  <c r="L16" i="15" s="1"/>
  <c r="L25" i="15"/>
  <c r="L29" i="15"/>
  <c r="L37" i="15"/>
  <c r="L39" i="15"/>
  <c r="L44" i="15"/>
  <c r="L40" i="15" s="1"/>
  <c r="L50" i="15"/>
  <c r="L56" i="15"/>
  <c r="L60" i="15"/>
  <c r="L77" i="15"/>
  <c r="L61" i="15" s="1"/>
  <c r="M15" i="15"/>
  <c r="M19" i="15"/>
  <c r="M16" i="15" s="1"/>
  <c r="R11" i="15"/>
  <c r="R15" i="15"/>
  <c r="R19" i="15"/>
  <c r="R16" i="15" s="1"/>
  <c r="R25" i="15"/>
  <c r="R29" i="15"/>
  <c r="R37" i="15"/>
  <c r="R39" i="15"/>
  <c r="R44" i="15"/>
  <c r="R40" i="15" s="1"/>
  <c r="R50" i="15"/>
  <c r="R56" i="15"/>
  <c r="R60" i="15"/>
  <c r="R69" i="15"/>
  <c r="R77" i="15" s="1"/>
  <c r="R61" i="15" s="1"/>
  <c r="S11" i="15"/>
  <c r="S15" i="15"/>
  <c r="S19" i="15"/>
  <c r="S16" i="15" s="1"/>
  <c r="S25" i="15"/>
  <c r="S29" i="15"/>
  <c r="S37" i="15"/>
  <c r="S39" i="15"/>
  <c r="S44" i="15"/>
  <c r="S40" i="15" s="1"/>
  <c r="S50" i="15"/>
  <c r="S56" i="15"/>
  <c r="S60" i="15"/>
  <c r="S69" i="15"/>
  <c r="S77" i="15" s="1"/>
  <c r="S61" i="15" s="1"/>
  <c r="T11" i="15"/>
  <c r="T15" i="15"/>
  <c r="T19" i="15"/>
  <c r="T16" i="15" s="1"/>
  <c r="T25" i="15"/>
  <c r="T29" i="15"/>
  <c r="T37" i="15"/>
  <c r="T39" i="15"/>
  <c r="T44" i="15"/>
  <c r="T40" i="15" s="1"/>
  <c r="T50" i="15"/>
  <c r="T56" i="15"/>
  <c r="T60" i="15"/>
  <c r="T69" i="15"/>
  <c r="T77" i="15" s="1"/>
  <c r="T61" i="15" s="1"/>
  <c r="U11" i="15"/>
  <c r="U15" i="15"/>
  <c r="U19" i="15"/>
  <c r="U16" i="15" s="1"/>
  <c r="U25" i="15"/>
  <c r="U29" i="15"/>
  <c r="U37" i="15"/>
  <c r="U39" i="15"/>
  <c r="U44" i="15"/>
  <c r="U40" i="15" s="1"/>
  <c r="U50" i="15"/>
  <c r="U56" i="15"/>
  <c r="U60" i="15"/>
  <c r="U69" i="15"/>
  <c r="U77" i="15" s="1"/>
  <c r="U61" i="15" s="1"/>
  <c r="Y11" i="15"/>
  <c r="Y15" i="15"/>
  <c r="Y19" i="15"/>
  <c r="Y16" i="15" s="1"/>
  <c r="Y25" i="15"/>
  <c r="Y29" i="15"/>
  <c r="Y37" i="15"/>
  <c r="Y39" i="15"/>
  <c r="Y44" i="15"/>
  <c r="Y40" i="15" s="1"/>
  <c r="Y50" i="15"/>
  <c r="Y56" i="15"/>
  <c r="Y60" i="15"/>
  <c r="Y69" i="15"/>
  <c r="Y77" i="15" s="1"/>
  <c r="Y61" i="15" s="1"/>
  <c r="AB11" i="15"/>
  <c r="AB15" i="15"/>
  <c r="AB19" i="15"/>
  <c r="AB16" i="15" s="1"/>
  <c r="AB25" i="15"/>
  <c r="AB29" i="15"/>
  <c r="AB37" i="15"/>
  <c r="AB39" i="15"/>
  <c r="AB44" i="15"/>
  <c r="AB40" i="15" s="1"/>
  <c r="AB50" i="15"/>
  <c r="AB56" i="15"/>
  <c r="AB60" i="15"/>
  <c r="AB69" i="15"/>
  <c r="AB77" i="15" s="1"/>
  <c r="AB61" i="15" s="1"/>
  <c r="AD6" i="15"/>
  <c r="AE29" i="15"/>
  <c r="AE39" i="15"/>
  <c r="AM11" i="15"/>
  <c r="AM15" i="15"/>
  <c r="AM19" i="15"/>
  <c r="AM16" i="15" s="1"/>
  <c r="AM25" i="15"/>
  <c r="AM29" i="15"/>
  <c r="AM37" i="15"/>
  <c r="AM39" i="15"/>
  <c r="AM44" i="15"/>
  <c r="AM40" i="15"/>
  <c r="AM50" i="15"/>
  <c r="AM56" i="15"/>
  <c r="AM60" i="15"/>
  <c r="AM45" i="15"/>
  <c r="AM77" i="15"/>
  <c r="AM61" i="15" s="1"/>
  <c r="AN39" i="15"/>
  <c r="Z6" i="15"/>
  <c r="Z5" i="15" s="1"/>
  <c r="AA6" i="15"/>
  <c r="AA5" i="15" s="1"/>
  <c r="AJ6" i="15"/>
  <c r="AJ5" i="15" s="1"/>
  <c r="AK6" i="15"/>
  <c r="AK5" i="15" s="1"/>
  <c r="AL6" i="15"/>
  <c r="AL5" i="15" s="1"/>
  <c r="AV6" i="15"/>
  <c r="AW6" i="15"/>
  <c r="AX6" i="15"/>
  <c r="AX5" i="15" s="1"/>
  <c r="AY6" i="15"/>
  <c r="AZ6" i="15"/>
  <c r="BA6" i="15"/>
  <c r="AR69" i="15"/>
  <c r="L88" i="15"/>
  <c r="L99" i="15"/>
  <c r="L93" i="15" s="1"/>
  <c r="L110" i="15"/>
  <c r="L106" i="15" s="1"/>
  <c r="L122" i="15"/>
  <c r="L118" i="15" s="1"/>
  <c r="L139" i="15"/>
  <c r="L134" i="15" s="1"/>
  <c r="R85" i="15"/>
  <c r="R88" i="15"/>
  <c r="R92" i="15"/>
  <c r="R99" i="15"/>
  <c r="R93" i="15" s="1"/>
  <c r="R110" i="15"/>
  <c r="R106" i="15" s="1"/>
  <c r="R117" i="15"/>
  <c r="R111" i="15" s="1"/>
  <c r="R122" i="15"/>
  <c r="R118" i="15" s="1"/>
  <c r="R133" i="15"/>
  <c r="R123" i="15" s="1"/>
  <c r="R139" i="15"/>
  <c r="R134" i="15" s="1"/>
  <c r="R149" i="15"/>
  <c r="R140" i="15" s="1"/>
  <c r="S88" i="15"/>
  <c r="S99" i="15"/>
  <c r="S93" i="15" s="1"/>
  <c r="S110" i="15"/>
  <c r="S106" i="15" s="1"/>
  <c r="S122" i="15"/>
  <c r="S118" i="15" s="1"/>
  <c r="S139" i="15"/>
  <c r="S134" i="15" s="1"/>
  <c r="T85" i="15"/>
  <c r="T88" i="15"/>
  <c r="T92" i="15"/>
  <c r="T99" i="15"/>
  <c r="T93" i="15" s="1"/>
  <c r="T110" i="15"/>
  <c r="T106" i="15" s="1"/>
  <c r="T117" i="15"/>
  <c r="T111" i="15" s="1"/>
  <c r="T122" i="15"/>
  <c r="T118" i="15" s="1"/>
  <c r="T133" i="15"/>
  <c r="T123" i="15" s="1"/>
  <c r="T139" i="15"/>
  <c r="T134" i="15" s="1"/>
  <c r="T149" i="15"/>
  <c r="T140" i="15" s="1"/>
  <c r="U85" i="15"/>
  <c r="U88" i="15"/>
  <c r="U110" i="15"/>
  <c r="U106" i="15" s="1"/>
  <c r="U117" i="15"/>
  <c r="U111" i="15" s="1"/>
  <c r="U122" i="15"/>
  <c r="U118" i="15" s="1"/>
  <c r="U133" i="15"/>
  <c r="U123" i="15" s="1"/>
  <c r="U149" i="15"/>
  <c r="U140" i="15" s="1"/>
  <c r="Y85" i="15"/>
  <c r="Y88" i="15"/>
  <c r="Y92" i="15"/>
  <c r="Y99" i="15"/>
  <c r="Y93" i="15" s="1"/>
  <c r="Y110" i="15"/>
  <c r="Y106" i="15" s="1"/>
  <c r="Y117" i="15"/>
  <c r="Y111" i="15" s="1"/>
  <c r="Y122" i="15"/>
  <c r="Y118" i="15" s="1"/>
  <c r="Y133" i="15"/>
  <c r="Y123" i="15" s="1"/>
  <c r="Y139" i="15"/>
  <c r="Y134" i="15" s="1"/>
  <c r="Y149" i="15"/>
  <c r="Y140" i="15" s="1"/>
  <c r="AB85" i="15"/>
  <c r="AB92" i="15"/>
  <c r="AB99" i="15"/>
  <c r="AB93" i="15" s="1"/>
  <c r="AB110" i="15"/>
  <c r="AB106" i="15" s="1"/>
  <c r="AB117" i="15"/>
  <c r="AB111" i="15" s="1"/>
  <c r="AB122" i="15"/>
  <c r="AB118" i="15" s="1"/>
  <c r="AB133" i="15"/>
  <c r="AB123" i="15" s="1"/>
  <c r="AB139" i="15"/>
  <c r="AB134" i="15" s="1"/>
  <c r="AB149" i="15"/>
  <c r="AB140" i="15" s="1"/>
  <c r="AM85" i="15"/>
  <c r="AM88" i="15"/>
  <c r="AM92" i="15"/>
  <c r="AM99" i="15"/>
  <c r="AM93" i="15" s="1"/>
  <c r="AM110" i="15"/>
  <c r="AM106" i="15" s="1"/>
  <c r="AM117" i="15"/>
  <c r="AM111" i="15" s="1"/>
  <c r="AM122" i="15"/>
  <c r="AM118" i="15" s="1"/>
  <c r="AM133" i="15"/>
  <c r="AM123" i="15" s="1"/>
  <c r="AM139" i="15"/>
  <c r="AM134" i="15" s="1"/>
  <c r="AM149" i="15"/>
  <c r="AM140" i="15" s="1"/>
  <c r="AN122" i="15"/>
  <c r="AN118" i="15" s="1"/>
  <c r="AN139" i="15"/>
  <c r="AN134" i="15" s="1"/>
  <c r="BL27" i="18"/>
  <c r="BL26" i="18" s="1"/>
  <c r="BM27" i="18"/>
  <c r="BM26" i="18" s="1"/>
  <c r="BM25" i="18" s="1"/>
  <c r="BN27" i="18"/>
  <c r="BN26" i="18" s="1"/>
  <c r="BN25" i="18" s="1"/>
  <c r="BO27" i="18"/>
  <c r="BO26" i="18" s="1"/>
  <c r="BO25" i="18" s="1"/>
  <c r="BP27" i="18"/>
  <c r="BP26" i="18" s="1"/>
  <c r="BP25" i="18" s="1"/>
  <c r="BQ27" i="18"/>
  <c r="BQ26" i="18" s="1"/>
  <c r="BQ25" i="18" s="1"/>
  <c r="BR27" i="18"/>
  <c r="BR26" i="18" s="1"/>
  <c r="BR25" i="18" s="1"/>
  <c r="L156" i="15"/>
  <c r="L159" i="15"/>
  <c r="L162" i="15"/>
  <c r="L168" i="15"/>
  <c r="L163" i="15" s="1"/>
  <c r="L178" i="15"/>
  <c r="L181" i="15"/>
  <c r="L190" i="15"/>
  <c r="L193" i="15"/>
  <c r="L196" i="15"/>
  <c r="M162" i="15"/>
  <c r="M168" i="15"/>
  <c r="M193" i="15"/>
  <c r="R156" i="15"/>
  <c r="R159" i="15"/>
  <c r="R162" i="15"/>
  <c r="R151" i="15" s="1"/>
  <c r="R168" i="15"/>
  <c r="R178" i="15"/>
  <c r="R181" i="15"/>
  <c r="R190" i="15"/>
  <c r="R193" i="15"/>
  <c r="R196" i="15"/>
  <c r="S156" i="15"/>
  <c r="S159" i="15"/>
  <c r="S162" i="15"/>
  <c r="S168" i="15"/>
  <c r="S178" i="15"/>
  <c r="S181" i="15"/>
  <c r="S190" i="15"/>
  <c r="S193" i="15"/>
  <c r="S196" i="15"/>
  <c r="T156" i="15"/>
  <c r="T159" i="15"/>
  <c r="T162" i="15"/>
  <c r="T168" i="15"/>
  <c r="T178" i="15"/>
  <c r="T181" i="15"/>
  <c r="T190" i="15"/>
  <c r="T193" i="15"/>
  <c r="T196" i="15"/>
  <c r="U156" i="15"/>
  <c r="U159" i="15"/>
  <c r="U162" i="15"/>
  <c r="U168" i="15"/>
  <c r="U178" i="15"/>
  <c r="U181" i="15"/>
  <c r="U190" i="15"/>
  <c r="U193" i="15"/>
  <c r="U196" i="15"/>
  <c r="AB156" i="15"/>
  <c r="AB159" i="15"/>
  <c r="AB162" i="15"/>
  <c r="AB168" i="15"/>
  <c r="AB178" i="15"/>
  <c r="AB181" i="15"/>
  <c r="AB190" i="15"/>
  <c r="AB193" i="15"/>
  <c r="AB196" i="15"/>
  <c r="AM156" i="15"/>
  <c r="AM159" i="15"/>
  <c r="AM162" i="15"/>
  <c r="AM168" i="15"/>
  <c r="AM178" i="15"/>
  <c r="AM181" i="15"/>
  <c r="AM190" i="15"/>
  <c r="AM193" i="15"/>
  <c r="AM196" i="15"/>
  <c r="AN162" i="15"/>
  <c r="AN181" i="15"/>
  <c r="AN193" i="15"/>
  <c r="AN196" i="15"/>
  <c r="Y156" i="15"/>
  <c r="Y159" i="15"/>
  <c r="Y162" i="15"/>
  <c r="Y168" i="15"/>
  <c r="Y178" i="15"/>
  <c r="Y181" i="15"/>
  <c r="Y190" i="15"/>
  <c r="Y193" i="15"/>
  <c r="Y196" i="15"/>
  <c r="BL56" i="18"/>
  <c r="BM56" i="18"/>
  <c r="BM55" i="18" s="1"/>
  <c r="BN56" i="18"/>
  <c r="BN55" i="18" s="1"/>
  <c r="BO56" i="18"/>
  <c r="BO55" i="18" s="1"/>
  <c r="BP56" i="18"/>
  <c r="BP55" i="18" s="1"/>
  <c r="BQ56" i="18"/>
  <c r="BQ55" i="18" s="1"/>
  <c r="BR56" i="18"/>
  <c r="BR55" i="18" s="1"/>
  <c r="L203" i="15"/>
  <c r="L212" i="15"/>
  <c r="L220" i="15"/>
  <c r="L213" i="15" s="1"/>
  <c r="L225" i="15"/>
  <c r="L221" i="15" s="1"/>
  <c r="L231" i="15"/>
  <c r="L226" i="15" s="1"/>
  <c r="L237" i="15"/>
  <c r="L232" i="15" s="1"/>
  <c r="L243" i="15"/>
  <c r="L238" i="15" s="1"/>
  <c r="M203" i="15"/>
  <c r="R203" i="15"/>
  <c r="R212" i="15"/>
  <c r="R220" i="15"/>
  <c r="R213" i="15" s="1"/>
  <c r="R225" i="15"/>
  <c r="R221" i="15" s="1"/>
  <c r="R231" i="15"/>
  <c r="R226" i="15" s="1"/>
  <c r="R237" i="15"/>
  <c r="R232" i="15" s="1"/>
  <c r="R243" i="15"/>
  <c r="R238" i="15" s="1"/>
  <c r="S203" i="15"/>
  <c r="S212" i="15"/>
  <c r="S220" i="15"/>
  <c r="S213" i="15" s="1"/>
  <c r="S225" i="15"/>
  <c r="S221" i="15"/>
  <c r="S231" i="15"/>
  <c r="S226" i="15" s="1"/>
  <c r="S237" i="15"/>
  <c r="S232" i="15" s="1"/>
  <c r="S243" i="15"/>
  <c r="S238" i="15" s="1"/>
  <c r="T203" i="15"/>
  <c r="T212" i="15"/>
  <c r="T220" i="15"/>
  <c r="T213" i="15" s="1"/>
  <c r="T225" i="15"/>
  <c r="T221" i="15" s="1"/>
  <c r="T231" i="15"/>
  <c r="T226" i="15" s="1"/>
  <c r="T237" i="15"/>
  <c r="T232" i="15" s="1"/>
  <c r="T243" i="15"/>
  <c r="T238" i="15" s="1"/>
  <c r="U203" i="15"/>
  <c r="U212" i="15"/>
  <c r="U220" i="15"/>
  <c r="U213" i="15" s="1"/>
  <c r="U225" i="15"/>
  <c r="U221" i="15" s="1"/>
  <c r="U231" i="15"/>
  <c r="U226" i="15" s="1"/>
  <c r="U237" i="15"/>
  <c r="U232" i="15" s="1"/>
  <c r="U243" i="15"/>
  <c r="U238" i="15" s="1"/>
  <c r="Y203" i="15"/>
  <c r="Y212" i="15"/>
  <c r="Y220" i="15"/>
  <c r="Y213" i="15" s="1"/>
  <c r="Y225" i="15"/>
  <c r="Y221" i="15" s="1"/>
  <c r="Y231" i="15"/>
  <c r="Y226" i="15"/>
  <c r="Y237" i="15"/>
  <c r="Y232" i="15" s="1"/>
  <c r="Y243" i="15"/>
  <c r="Y238" i="15" s="1"/>
  <c r="AB203" i="15"/>
  <c r="AB212" i="15"/>
  <c r="AB220" i="15"/>
  <c r="AB213" i="15" s="1"/>
  <c r="AB225" i="15"/>
  <c r="AB221" i="15" s="1"/>
  <c r="AB231" i="15"/>
  <c r="AB226" i="15" s="1"/>
  <c r="AB237" i="15"/>
  <c r="AB232" i="15" s="1"/>
  <c r="AB243" i="15"/>
  <c r="AB238" i="15" s="1"/>
  <c r="AM203" i="15"/>
  <c r="AM212" i="15"/>
  <c r="AM220" i="15"/>
  <c r="AM213" i="15" s="1"/>
  <c r="AM225" i="15"/>
  <c r="AM221" i="15" s="1"/>
  <c r="AM231" i="15"/>
  <c r="AM226" i="15" s="1"/>
  <c r="AM237" i="15"/>
  <c r="AM232" i="15" s="1"/>
  <c r="AM243" i="15"/>
  <c r="AM238" i="15" s="1"/>
  <c r="AN203" i="15"/>
  <c r="L207" i="15"/>
  <c r="M207" i="15" s="1"/>
  <c r="R207" i="15"/>
  <c r="S207" i="15"/>
  <c r="T207" i="15"/>
  <c r="U207" i="15"/>
  <c r="Y207" i="15"/>
  <c r="AB207" i="15"/>
  <c r="AM207" i="15"/>
  <c r="AN207" i="15" s="1"/>
  <c r="AS207" i="15" s="1"/>
  <c r="L208" i="15"/>
  <c r="M208" i="15" s="1"/>
  <c r="AQ208" i="15" s="1"/>
  <c r="R208" i="15"/>
  <c r="S208" i="15"/>
  <c r="T208" i="15"/>
  <c r="U208" i="15"/>
  <c r="Y208" i="15"/>
  <c r="AB208" i="15"/>
  <c r="AM208" i="15"/>
  <c r="AN208" i="15" s="1"/>
  <c r="AS208" i="15" s="1"/>
  <c r="L250" i="15"/>
  <c r="L254" i="15"/>
  <c r="L258" i="15"/>
  <c r="M250" i="15"/>
  <c r="M254" i="15"/>
  <c r="R250" i="15"/>
  <c r="R254" i="15"/>
  <c r="R258" i="15"/>
  <c r="S250" i="15"/>
  <c r="S254" i="15"/>
  <c r="S258" i="15"/>
  <c r="T250" i="15"/>
  <c r="T254" i="15"/>
  <c r="T258" i="15"/>
  <c r="U250" i="15"/>
  <c r="U254" i="15"/>
  <c r="U258" i="15"/>
  <c r="Y250" i="15"/>
  <c r="Y254" i="15"/>
  <c r="Y258" i="15"/>
  <c r="Z245" i="15"/>
  <c r="Z244" i="15" s="1"/>
  <c r="AA244" i="15"/>
  <c r="AB250" i="15"/>
  <c r="AB254" i="15"/>
  <c r="AB258" i="15"/>
  <c r="AC245" i="15"/>
  <c r="AD245" i="15"/>
  <c r="AJ245" i="15"/>
  <c r="AK245" i="15"/>
  <c r="AK244" i="15"/>
  <c r="AL245" i="15"/>
  <c r="AM250" i="15"/>
  <c r="AM254" i="15"/>
  <c r="AM258" i="15"/>
  <c r="AV245" i="15"/>
  <c r="AV244" i="15" s="1"/>
  <c r="AX245" i="15"/>
  <c r="AX244" i="15" s="1"/>
  <c r="AY245" i="15"/>
  <c r="AY244" i="15" s="1"/>
  <c r="AZ245" i="15"/>
  <c r="AZ244" i="15" s="1"/>
  <c r="BA245" i="15"/>
  <c r="L263" i="15"/>
  <c r="R263" i="15"/>
  <c r="S263" i="15"/>
  <c r="T263" i="15"/>
  <c r="U263" i="15"/>
  <c r="AB263" i="15"/>
  <c r="AE263" i="15"/>
  <c r="AM263" i="15"/>
  <c r="AN263" i="15"/>
  <c r="L268" i="15"/>
  <c r="R268" i="15"/>
  <c r="S268" i="15"/>
  <c r="T268" i="15"/>
  <c r="U268" i="15"/>
  <c r="Y268" i="15"/>
  <c r="AB268" i="15"/>
  <c r="AM268" i="15"/>
  <c r="AN268" i="15"/>
  <c r="L273" i="15"/>
  <c r="M273" i="15"/>
  <c r="R273" i="15"/>
  <c r="S273" i="15"/>
  <c r="T273" i="15"/>
  <c r="U273" i="15"/>
  <c r="AB273" i="15"/>
  <c r="AE273" i="15"/>
  <c r="AF273" i="15"/>
  <c r="AM273" i="15"/>
  <c r="AN273" i="15"/>
  <c r="L276" i="15"/>
  <c r="M276" i="15"/>
  <c r="R276" i="15"/>
  <c r="S276" i="15"/>
  <c r="T276" i="15"/>
  <c r="U276" i="15"/>
  <c r="AB276" i="15"/>
  <c r="AM276" i="15"/>
  <c r="AN276" i="15"/>
  <c r="L283" i="15"/>
  <c r="L277" i="15" s="1"/>
  <c r="R283" i="15"/>
  <c r="R277" i="15" s="1"/>
  <c r="S283" i="15"/>
  <c r="S277" i="15" s="1"/>
  <c r="T283" i="15"/>
  <c r="T277" i="15" s="1"/>
  <c r="U283" i="15"/>
  <c r="U277" i="15" s="1"/>
  <c r="Y283" i="15"/>
  <c r="Y277" i="15" s="1"/>
  <c r="AB283" i="15"/>
  <c r="AB277" i="15" s="1"/>
  <c r="AM283" i="15"/>
  <c r="AM277" i="15" s="1"/>
  <c r="AN283" i="15"/>
  <c r="AN277" i="15" s="1"/>
  <c r="L289" i="15"/>
  <c r="L284" i="15" s="1"/>
  <c r="R289" i="15"/>
  <c r="R284" i="15" s="1"/>
  <c r="S289" i="15"/>
  <c r="S284" i="15" s="1"/>
  <c r="T289" i="15"/>
  <c r="T284" i="15" s="1"/>
  <c r="U289" i="15"/>
  <c r="U284" i="15" s="1"/>
  <c r="Y289" i="15"/>
  <c r="Y284" i="15" s="1"/>
  <c r="AB289" i="15"/>
  <c r="AB284" i="15" s="1"/>
  <c r="AM289" i="15"/>
  <c r="AM284" i="15" s="1"/>
  <c r="AN289" i="15"/>
  <c r="AN284" i="15" s="1"/>
  <c r="L11" i="14"/>
  <c r="L15" i="14"/>
  <c r="L19" i="14"/>
  <c r="L16" i="14" s="1"/>
  <c r="L25" i="14"/>
  <c r="L29" i="14"/>
  <c r="L37" i="14"/>
  <c r="L39" i="14"/>
  <c r="L44" i="14"/>
  <c r="L40" i="14" s="1"/>
  <c r="L50" i="14"/>
  <c r="L45" i="14" s="1"/>
  <c r="L56" i="14"/>
  <c r="L60" i="14"/>
  <c r="L77" i="14"/>
  <c r="L61" i="14" s="1"/>
  <c r="M15" i="14"/>
  <c r="M19" i="14"/>
  <c r="M16" i="14" s="1"/>
  <c r="M39" i="14"/>
  <c r="M44" i="14"/>
  <c r="M40" i="14" s="1"/>
  <c r="M50" i="14"/>
  <c r="R11" i="14"/>
  <c r="R15" i="14"/>
  <c r="R19" i="14"/>
  <c r="R16" i="14" s="1"/>
  <c r="R25" i="14"/>
  <c r="R29" i="14"/>
  <c r="R37" i="14"/>
  <c r="R39" i="14"/>
  <c r="R44" i="14"/>
  <c r="R40" i="14" s="1"/>
  <c r="R50" i="14"/>
  <c r="R56" i="14"/>
  <c r="R60" i="14"/>
  <c r="R69" i="14"/>
  <c r="R77" i="14" s="1"/>
  <c r="R61" i="14" s="1"/>
  <c r="S11" i="14"/>
  <c r="S15" i="14"/>
  <c r="S19" i="14"/>
  <c r="S16" i="14" s="1"/>
  <c r="S25" i="14"/>
  <c r="S29" i="14"/>
  <c r="S37" i="14"/>
  <c r="S39" i="14"/>
  <c r="S20" i="14"/>
  <c r="S44" i="14"/>
  <c r="S40" i="14" s="1"/>
  <c r="S50" i="14"/>
  <c r="S56" i="14"/>
  <c r="S60" i="14"/>
  <c r="S69" i="14"/>
  <c r="S77" i="14" s="1"/>
  <c r="S61" i="14" s="1"/>
  <c r="T11" i="14"/>
  <c r="T15" i="14"/>
  <c r="T19" i="14"/>
  <c r="T16" i="14" s="1"/>
  <c r="T25" i="14"/>
  <c r="T29" i="14"/>
  <c r="T37" i="14"/>
  <c r="T39" i="14"/>
  <c r="T44" i="14"/>
  <c r="T40" i="14" s="1"/>
  <c r="T50" i="14"/>
  <c r="T56" i="14"/>
  <c r="T60" i="14"/>
  <c r="T69" i="14"/>
  <c r="T77" i="14" s="1"/>
  <c r="T61" i="14" s="1"/>
  <c r="U11" i="14"/>
  <c r="U15" i="14"/>
  <c r="U19" i="14"/>
  <c r="U16" i="14" s="1"/>
  <c r="U25" i="14"/>
  <c r="U29" i="14"/>
  <c r="U20" i="14" s="1"/>
  <c r="U37" i="14"/>
  <c r="U39" i="14"/>
  <c r="U44" i="14"/>
  <c r="U40" i="14" s="1"/>
  <c r="U50" i="14"/>
  <c r="U56" i="14"/>
  <c r="U60" i="14"/>
  <c r="U69" i="14"/>
  <c r="U77" i="14" s="1"/>
  <c r="U61" i="14" s="1"/>
  <c r="Y11" i="14"/>
  <c r="Y15" i="14"/>
  <c r="Y19" i="14"/>
  <c r="Y16" i="14" s="1"/>
  <c r="Y25" i="14"/>
  <c r="Y29" i="14"/>
  <c r="Y37" i="14"/>
  <c r="Y39" i="14"/>
  <c r="Y44" i="14"/>
  <c r="Y40" i="14" s="1"/>
  <c r="Y50" i="14"/>
  <c r="Y45" i="14" s="1"/>
  <c r="Y56" i="14"/>
  <c r="Y60" i="14"/>
  <c r="Y69" i="14"/>
  <c r="Y77" i="14"/>
  <c r="Y61" i="14" s="1"/>
  <c r="AB11" i="14"/>
  <c r="AB15" i="14"/>
  <c r="AB19" i="14"/>
  <c r="AB16" i="14" s="1"/>
  <c r="AB25" i="14"/>
  <c r="AB29" i="14"/>
  <c r="AB37" i="14"/>
  <c r="AB39" i="14"/>
  <c r="AB20" i="14"/>
  <c r="AB44" i="14"/>
  <c r="AB40" i="14" s="1"/>
  <c r="AB50" i="14"/>
  <c r="AB56" i="14"/>
  <c r="AB60" i="14"/>
  <c r="AB69" i="14"/>
  <c r="AB77" i="14" s="1"/>
  <c r="AB61" i="14" s="1"/>
  <c r="AD6" i="14"/>
  <c r="AE29" i="14"/>
  <c r="AE39" i="14"/>
  <c r="AM11" i="14"/>
  <c r="AM15" i="14"/>
  <c r="AM19" i="14"/>
  <c r="AM16" i="14" s="1"/>
  <c r="AM25" i="14"/>
  <c r="AM29" i="14"/>
  <c r="AM37" i="14"/>
  <c r="AM39" i="14"/>
  <c r="AM44" i="14"/>
  <c r="AM40" i="14" s="1"/>
  <c r="AM50" i="14"/>
  <c r="AM56" i="14"/>
  <c r="AM60" i="14"/>
  <c r="AM77" i="14"/>
  <c r="AM61" i="14" s="1"/>
  <c r="AN29" i="14"/>
  <c r="AN39" i="14"/>
  <c r="Z6" i="14"/>
  <c r="Z5" i="14" s="1"/>
  <c r="AA6" i="14"/>
  <c r="AA5" i="14" s="1"/>
  <c r="AJ6" i="14"/>
  <c r="AK6" i="14"/>
  <c r="AK5" i="14" s="1"/>
  <c r="AL6" i="14"/>
  <c r="AL5" i="14" s="1"/>
  <c r="AV6" i="14"/>
  <c r="AV5" i="14" s="1"/>
  <c r="AW6" i="14"/>
  <c r="AW5" i="14" s="1"/>
  <c r="AX6" i="14"/>
  <c r="AX5" i="14" s="1"/>
  <c r="AY6" i="14"/>
  <c r="AZ6" i="14"/>
  <c r="BA6" i="14"/>
  <c r="BA5" i="14" s="1"/>
  <c r="AR69" i="14"/>
  <c r="L85" i="14"/>
  <c r="L88" i="14"/>
  <c r="L92" i="14"/>
  <c r="L99" i="14"/>
  <c r="L93" i="14" s="1"/>
  <c r="L105" i="14"/>
  <c r="L100" i="14" s="1"/>
  <c r="L110" i="14"/>
  <c r="L106" i="14" s="1"/>
  <c r="L117" i="14"/>
  <c r="L111" i="14" s="1"/>
  <c r="L122" i="14"/>
  <c r="L118" i="14" s="1"/>
  <c r="L133" i="14"/>
  <c r="L123" i="14" s="1"/>
  <c r="L139" i="14"/>
  <c r="L134" i="14" s="1"/>
  <c r="L149" i="14"/>
  <c r="L140" i="14" s="1"/>
  <c r="M85" i="14"/>
  <c r="M92" i="14"/>
  <c r="R85" i="14"/>
  <c r="R79" i="14" s="1"/>
  <c r="R88" i="14"/>
  <c r="R92" i="14"/>
  <c r="R99" i="14"/>
  <c r="R93" i="14" s="1"/>
  <c r="R105" i="14"/>
  <c r="R100" i="14" s="1"/>
  <c r="R110" i="14"/>
  <c r="R106" i="14" s="1"/>
  <c r="R117" i="14"/>
  <c r="R111" i="14" s="1"/>
  <c r="R122" i="14"/>
  <c r="R118" i="14" s="1"/>
  <c r="R133" i="14"/>
  <c r="R123" i="14" s="1"/>
  <c r="R139" i="14"/>
  <c r="R134" i="14" s="1"/>
  <c r="R149" i="14"/>
  <c r="R140" i="14" s="1"/>
  <c r="S85" i="14"/>
  <c r="S88" i="14"/>
  <c r="S92" i="14"/>
  <c r="S99" i="14"/>
  <c r="S93" i="14" s="1"/>
  <c r="S105" i="14"/>
  <c r="S100" i="14" s="1"/>
  <c r="S110" i="14"/>
  <c r="S106" i="14" s="1"/>
  <c r="S117" i="14"/>
  <c r="S111" i="14" s="1"/>
  <c r="S122" i="14"/>
  <c r="S118" i="14" s="1"/>
  <c r="S133" i="14"/>
  <c r="S123" i="14" s="1"/>
  <c r="S139" i="14"/>
  <c r="S134" i="14" s="1"/>
  <c r="S149" i="14"/>
  <c r="S140" i="14" s="1"/>
  <c r="T85" i="14"/>
  <c r="T88" i="14"/>
  <c r="T79" i="14" s="1"/>
  <c r="T92" i="14"/>
  <c r="T99" i="14"/>
  <c r="T93" i="14" s="1"/>
  <c r="T105" i="14"/>
  <c r="T100" i="14" s="1"/>
  <c r="T110" i="14"/>
  <c r="T106" i="14" s="1"/>
  <c r="T117" i="14"/>
  <c r="T111" i="14" s="1"/>
  <c r="T122" i="14"/>
  <c r="T118" i="14" s="1"/>
  <c r="T133" i="14"/>
  <c r="T123" i="14" s="1"/>
  <c r="T139" i="14"/>
  <c r="T134" i="14" s="1"/>
  <c r="T149" i="14"/>
  <c r="T140" i="14" s="1"/>
  <c r="U85" i="14"/>
  <c r="U88" i="14"/>
  <c r="U92" i="14"/>
  <c r="U99" i="14"/>
  <c r="U93" i="14" s="1"/>
  <c r="U105" i="14"/>
  <c r="U100" i="14" s="1"/>
  <c r="U110" i="14"/>
  <c r="U106" i="14" s="1"/>
  <c r="U117" i="14"/>
  <c r="U111" i="14" s="1"/>
  <c r="U122" i="14"/>
  <c r="U118" i="14" s="1"/>
  <c r="U133" i="14"/>
  <c r="U123" i="14" s="1"/>
  <c r="U139" i="14"/>
  <c r="U134" i="14" s="1"/>
  <c r="U149" i="14"/>
  <c r="U140" i="14" s="1"/>
  <c r="Y85" i="14"/>
  <c r="Y88" i="14"/>
  <c r="Y92" i="14"/>
  <c r="Y99" i="14"/>
  <c r="Y93" i="14" s="1"/>
  <c r="Y105" i="14"/>
  <c r="Y100" i="14" s="1"/>
  <c r="Y110" i="14"/>
  <c r="Y106" i="14" s="1"/>
  <c r="Y117" i="14"/>
  <c r="Y111" i="14" s="1"/>
  <c r="Y122" i="14"/>
  <c r="Y118" i="14" s="1"/>
  <c r="Y133" i="14"/>
  <c r="Y123" i="14" s="1"/>
  <c r="Y139" i="14"/>
  <c r="Y134" i="14" s="1"/>
  <c r="Y149" i="14"/>
  <c r="Y140" i="14" s="1"/>
  <c r="AB85" i="14"/>
  <c r="AB88" i="14"/>
  <c r="AB92" i="14"/>
  <c r="AB99" i="14"/>
  <c r="AB93" i="14" s="1"/>
  <c r="AB105" i="14"/>
  <c r="AB100" i="14" s="1"/>
  <c r="AB110" i="14"/>
  <c r="AB106" i="14" s="1"/>
  <c r="AB117" i="14"/>
  <c r="AB111" i="14" s="1"/>
  <c r="AB122" i="14"/>
  <c r="AB118" i="14" s="1"/>
  <c r="AB133" i="14"/>
  <c r="AB123" i="14" s="1"/>
  <c r="AB139" i="14"/>
  <c r="AB134" i="14" s="1"/>
  <c r="AB149" i="14"/>
  <c r="AB140" i="14" s="1"/>
  <c r="AE85" i="14"/>
  <c r="AM85" i="14"/>
  <c r="AM88" i="14"/>
  <c r="AM92" i="14"/>
  <c r="AM99" i="14"/>
  <c r="AM93" i="14" s="1"/>
  <c r="AM105" i="14"/>
  <c r="AM100" i="14" s="1"/>
  <c r="AM110" i="14"/>
  <c r="AM106" i="14" s="1"/>
  <c r="AM117" i="14"/>
  <c r="AM111" i="14" s="1"/>
  <c r="AM122" i="14"/>
  <c r="AM118" i="14" s="1"/>
  <c r="AM133" i="14"/>
  <c r="AM123" i="14" s="1"/>
  <c r="AM139" i="14"/>
  <c r="AM134" i="14" s="1"/>
  <c r="AM149" i="14"/>
  <c r="AM140" i="14" s="1"/>
  <c r="AN88" i="14"/>
  <c r="AN105" i="14"/>
  <c r="AN100" i="14" s="1"/>
  <c r="AN122" i="14"/>
  <c r="AN118" i="14" s="1"/>
  <c r="AY27" i="18"/>
  <c r="AY26" i="18" s="1"/>
  <c r="AZ27" i="18"/>
  <c r="AZ26" i="18" s="1"/>
  <c r="BA27" i="18"/>
  <c r="BA26" i="18" s="1"/>
  <c r="BB27" i="18"/>
  <c r="BB26" i="18" s="1"/>
  <c r="BC27" i="18"/>
  <c r="BC26" i="18" s="1"/>
  <c r="BD27" i="18"/>
  <c r="BD26" i="18" s="1"/>
  <c r="BE27" i="18"/>
  <c r="BE26" i="18" s="1"/>
  <c r="L156" i="14"/>
  <c r="L159" i="14"/>
  <c r="L162" i="14"/>
  <c r="L168" i="14"/>
  <c r="L178" i="14"/>
  <c r="L181" i="14"/>
  <c r="L190" i="14"/>
  <c r="L193" i="14"/>
  <c r="L196" i="14"/>
  <c r="M162" i="14"/>
  <c r="M181" i="14"/>
  <c r="M196" i="14"/>
  <c r="R156" i="14"/>
  <c r="R159" i="14"/>
  <c r="R162" i="14"/>
  <c r="R168" i="14"/>
  <c r="R178" i="14"/>
  <c r="R181" i="14"/>
  <c r="R190" i="14"/>
  <c r="R193" i="14"/>
  <c r="R196" i="14"/>
  <c r="S156" i="14"/>
  <c r="S159" i="14"/>
  <c r="S162" i="14"/>
  <c r="S168" i="14"/>
  <c r="S178" i="14"/>
  <c r="S181" i="14"/>
  <c r="S190" i="14"/>
  <c r="S193" i="14"/>
  <c r="S196" i="14"/>
  <c r="T156" i="14"/>
  <c r="T159" i="14"/>
  <c r="T162" i="14"/>
  <c r="T168" i="14"/>
  <c r="T178" i="14"/>
  <c r="T181" i="14"/>
  <c r="T190" i="14"/>
  <c r="T193" i="14"/>
  <c r="T196" i="14"/>
  <c r="U156" i="14"/>
  <c r="U159" i="14"/>
  <c r="U162" i="14"/>
  <c r="U168" i="14"/>
  <c r="U178" i="14"/>
  <c r="U181" i="14"/>
  <c r="U190" i="14"/>
  <c r="U193" i="14"/>
  <c r="U196" i="14"/>
  <c r="AB156" i="14"/>
  <c r="AB159" i="14"/>
  <c r="AB162" i="14"/>
  <c r="AB168" i="14"/>
  <c r="AB178" i="14"/>
  <c r="AB181" i="14"/>
  <c r="AB190" i="14"/>
  <c r="AB193" i="14"/>
  <c r="AB196" i="14"/>
  <c r="AM156" i="14"/>
  <c r="AM159" i="14"/>
  <c r="AM162" i="14"/>
  <c r="AM168" i="14"/>
  <c r="AM178" i="14"/>
  <c r="AM181" i="14"/>
  <c r="AM190" i="14"/>
  <c r="AM193" i="14"/>
  <c r="AM196" i="14"/>
  <c r="Y156" i="14"/>
  <c r="Y159" i="14"/>
  <c r="Y162" i="14"/>
  <c r="Y168" i="14"/>
  <c r="Y178" i="14"/>
  <c r="Y181" i="14"/>
  <c r="Y190" i="14"/>
  <c r="Y193" i="14"/>
  <c r="Y196" i="14"/>
  <c r="AZ56" i="18"/>
  <c r="AZ55" i="18" s="1"/>
  <c r="BB56" i="18"/>
  <c r="BB55" i="18" s="1"/>
  <c r="BD56" i="18"/>
  <c r="BD55" i="18" s="1"/>
  <c r="L203" i="14"/>
  <c r="L212" i="14"/>
  <c r="L220" i="14"/>
  <c r="L213" i="14"/>
  <c r="L225" i="14"/>
  <c r="L221" i="14" s="1"/>
  <c r="L231" i="14"/>
  <c r="L226" i="14" s="1"/>
  <c r="L237" i="14"/>
  <c r="L232" i="14" s="1"/>
  <c r="L243" i="14"/>
  <c r="L238" i="14" s="1"/>
  <c r="R203" i="14"/>
  <c r="R212" i="14"/>
  <c r="R220" i="14"/>
  <c r="R213" i="14" s="1"/>
  <c r="R225" i="14"/>
  <c r="R221" i="14" s="1"/>
  <c r="R231" i="14"/>
  <c r="R226" i="14" s="1"/>
  <c r="R237" i="14"/>
  <c r="R232" i="14" s="1"/>
  <c r="R243" i="14"/>
  <c r="R238" i="14" s="1"/>
  <c r="S203" i="14"/>
  <c r="S212" i="14"/>
  <c r="S220" i="14"/>
  <c r="S213" i="14" s="1"/>
  <c r="S225" i="14"/>
  <c r="S221" i="14" s="1"/>
  <c r="S231" i="14"/>
  <c r="S226" i="14" s="1"/>
  <c r="S237" i="14"/>
  <c r="S232" i="14" s="1"/>
  <c r="S243" i="14"/>
  <c r="S238" i="14" s="1"/>
  <c r="T203" i="14"/>
  <c r="T212" i="14"/>
  <c r="T220" i="14"/>
  <c r="T213" i="14" s="1"/>
  <c r="T225" i="14"/>
  <c r="T221" i="14" s="1"/>
  <c r="T231" i="14"/>
  <c r="T226" i="14" s="1"/>
  <c r="T237" i="14"/>
  <c r="T232" i="14" s="1"/>
  <c r="T243" i="14"/>
  <c r="T238" i="14" s="1"/>
  <c r="U203" i="14"/>
  <c r="U212" i="14"/>
  <c r="U220" i="14"/>
  <c r="U213" i="14" s="1"/>
  <c r="U225" i="14"/>
  <c r="U221" i="14" s="1"/>
  <c r="U231" i="14"/>
  <c r="U226" i="14" s="1"/>
  <c r="U237" i="14"/>
  <c r="U232" i="14" s="1"/>
  <c r="U243" i="14"/>
  <c r="U238" i="14" s="1"/>
  <c r="Y203" i="14"/>
  <c r="Y212" i="14"/>
  <c r="Y220" i="14"/>
  <c r="Y213" i="14" s="1"/>
  <c r="Y225" i="14"/>
  <c r="Y221" i="14" s="1"/>
  <c r="Y231" i="14"/>
  <c r="Y226" i="14" s="1"/>
  <c r="Y237" i="14"/>
  <c r="Y232" i="14" s="1"/>
  <c r="Y243" i="14"/>
  <c r="Y238" i="14" s="1"/>
  <c r="AB203" i="14"/>
  <c r="AB212" i="14"/>
  <c r="AB220" i="14"/>
  <c r="AB213" i="14" s="1"/>
  <c r="AB225" i="14"/>
  <c r="AB221" i="14" s="1"/>
  <c r="AB231" i="14"/>
  <c r="AB226" i="14" s="1"/>
  <c r="AB237" i="14"/>
  <c r="AB232" i="14" s="1"/>
  <c r="AB243" i="14"/>
  <c r="AB238" i="14" s="1"/>
  <c r="AM203" i="14"/>
  <c r="AM212" i="14"/>
  <c r="AM220" i="14"/>
  <c r="AM213" i="14" s="1"/>
  <c r="AM225" i="14"/>
  <c r="AM221" i="14" s="1"/>
  <c r="AM231" i="14"/>
  <c r="AM226" i="14" s="1"/>
  <c r="AM237" i="14"/>
  <c r="AM232" i="14" s="1"/>
  <c r="AM243" i="14"/>
  <c r="AM238" i="14" s="1"/>
  <c r="AN203" i="14"/>
  <c r="AN225" i="14"/>
  <c r="AN221" i="14" s="1"/>
  <c r="AN237" i="14"/>
  <c r="AN232" i="14" s="1"/>
  <c r="L207" i="14"/>
  <c r="M207" i="14" s="1"/>
  <c r="R207" i="14"/>
  <c r="S207" i="14"/>
  <c r="T207" i="14"/>
  <c r="U207" i="14"/>
  <c r="Y207" i="14"/>
  <c r="AB207" i="14"/>
  <c r="AM207" i="14"/>
  <c r="AN207" i="14" s="1"/>
  <c r="AS207" i="14" s="1"/>
  <c r="L208" i="14"/>
  <c r="M208" i="14" s="1"/>
  <c r="AQ208" i="14" s="1"/>
  <c r="R208" i="14"/>
  <c r="S208" i="14"/>
  <c r="T208" i="14"/>
  <c r="U208" i="14"/>
  <c r="Y208" i="14"/>
  <c r="AB208" i="14"/>
  <c r="AM208" i="14"/>
  <c r="AN208" i="14" s="1"/>
  <c r="AS208" i="14" s="1"/>
  <c r="L250" i="14"/>
  <c r="L254" i="14"/>
  <c r="L258" i="14"/>
  <c r="M254" i="14"/>
  <c r="R250" i="14"/>
  <c r="R254" i="14"/>
  <c r="R258" i="14"/>
  <c r="S250" i="14"/>
  <c r="S254" i="14"/>
  <c r="S258" i="14"/>
  <c r="T250" i="14"/>
  <c r="T254" i="14"/>
  <c r="T258" i="14"/>
  <c r="U250" i="14"/>
  <c r="U254" i="14"/>
  <c r="U258" i="14"/>
  <c r="Y250" i="14"/>
  <c r="Y258" i="14"/>
  <c r="Z245" i="14"/>
  <c r="Z244" i="14" s="1"/>
  <c r="AA244" i="14"/>
  <c r="AB250" i="14"/>
  <c r="AB254" i="14"/>
  <c r="AB258" i="14"/>
  <c r="AC245" i="14"/>
  <c r="AD245" i="14"/>
  <c r="AE254" i="14"/>
  <c r="AF254" i="14"/>
  <c r="AJ245" i="14"/>
  <c r="AJ244" i="14" s="1"/>
  <c r="AK245" i="14"/>
  <c r="AL245" i="14"/>
  <c r="AL244" i="14" s="1"/>
  <c r="AM250" i="14"/>
  <c r="AM254" i="14"/>
  <c r="AM258" i="14"/>
  <c r="AN250" i="14"/>
  <c r="AN258" i="14"/>
  <c r="AV245" i="14"/>
  <c r="AV244" i="14" s="1"/>
  <c r="AX245" i="14"/>
  <c r="AY245" i="14"/>
  <c r="AY244" i="14" s="1"/>
  <c r="AZ245" i="14"/>
  <c r="AZ244" i="14" s="1"/>
  <c r="BA245" i="14"/>
  <c r="BA244" i="14" s="1"/>
  <c r="L263" i="14"/>
  <c r="R263" i="14"/>
  <c r="S263" i="14"/>
  <c r="T263" i="14"/>
  <c r="U263" i="14"/>
  <c r="Y263" i="14"/>
  <c r="AB263" i="14"/>
  <c r="AE263" i="14"/>
  <c r="AM263" i="14"/>
  <c r="AN263" i="14"/>
  <c r="L268" i="14"/>
  <c r="R268" i="14"/>
  <c r="S268" i="14"/>
  <c r="T268" i="14"/>
  <c r="U268" i="14"/>
  <c r="Y268" i="14"/>
  <c r="AB268" i="14"/>
  <c r="AN268" i="14"/>
  <c r="L273" i="14"/>
  <c r="M273" i="14"/>
  <c r="R273" i="14"/>
  <c r="S273" i="14"/>
  <c r="T273" i="14"/>
  <c r="U273" i="14"/>
  <c r="Y273" i="14"/>
  <c r="AB273" i="14"/>
  <c r="AE273" i="14"/>
  <c r="AF273" i="14"/>
  <c r="AM273" i="14"/>
  <c r="L276" i="14"/>
  <c r="M276" i="14"/>
  <c r="R276" i="14"/>
  <c r="S276" i="14"/>
  <c r="T276" i="14"/>
  <c r="U276" i="14"/>
  <c r="Y276" i="14"/>
  <c r="AB276" i="14"/>
  <c r="AM276" i="14"/>
  <c r="AN276" i="14"/>
  <c r="L283" i="14"/>
  <c r="L277" i="14" s="1"/>
  <c r="R283" i="14"/>
  <c r="R277" i="14" s="1"/>
  <c r="S283" i="14"/>
  <c r="S277" i="14" s="1"/>
  <c r="T283" i="14"/>
  <c r="T277" i="14" s="1"/>
  <c r="U283" i="14"/>
  <c r="U277" i="14" s="1"/>
  <c r="Y283" i="14"/>
  <c r="Y277" i="14" s="1"/>
  <c r="AB283" i="14"/>
  <c r="AB277" i="14" s="1"/>
  <c r="AM283" i="14"/>
  <c r="AM277" i="14" s="1"/>
  <c r="AN283" i="14"/>
  <c r="AN277" i="14" s="1"/>
  <c r="L289" i="14"/>
  <c r="L284" i="14" s="1"/>
  <c r="R289" i="14"/>
  <c r="R284" i="14" s="1"/>
  <c r="S289" i="14"/>
  <c r="S284" i="14" s="1"/>
  <c r="T289" i="14"/>
  <c r="T284" i="14" s="1"/>
  <c r="U289" i="14"/>
  <c r="U284" i="14" s="1"/>
  <c r="AB289" i="14"/>
  <c r="AB284" i="14" s="1"/>
  <c r="AM289" i="14"/>
  <c r="AM284" i="14" s="1"/>
  <c r="AN289" i="14"/>
  <c r="AN284" i="14" s="1"/>
  <c r="L11" i="13"/>
  <c r="L15" i="13"/>
  <c r="L19" i="13"/>
  <c r="L16" i="13" s="1"/>
  <c r="L25" i="13"/>
  <c r="L29" i="13"/>
  <c r="L37" i="13"/>
  <c r="L39" i="13"/>
  <c r="L44" i="13"/>
  <c r="L40" i="13" s="1"/>
  <c r="L50" i="13"/>
  <c r="L56" i="13"/>
  <c r="L60" i="13"/>
  <c r="L45" i="13" s="1"/>
  <c r="L77" i="13"/>
  <c r="L61" i="13" s="1"/>
  <c r="M11" i="13"/>
  <c r="M15" i="13"/>
  <c r="M6" i="13" s="1"/>
  <c r="M19" i="13"/>
  <c r="M16" i="13" s="1"/>
  <c r="M25" i="13"/>
  <c r="M56" i="13"/>
  <c r="M77" i="13"/>
  <c r="M61" i="13" s="1"/>
  <c r="R11" i="13"/>
  <c r="R15" i="13"/>
  <c r="R19" i="13"/>
  <c r="R16" i="13" s="1"/>
  <c r="R25" i="13"/>
  <c r="R29" i="13"/>
  <c r="R37" i="13"/>
  <c r="R39" i="13"/>
  <c r="R44" i="13"/>
  <c r="R40" i="13" s="1"/>
  <c r="R50" i="13"/>
  <c r="R56" i="13"/>
  <c r="R60" i="13"/>
  <c r="R69" i="13"/>
  <c r="R77" i="13" s="1"/>
  <c r="R61" i="13" s="1"/>
  <c r="S11" i="13"/>
  <c r="S15" i="13"/>
  <c r="S19" i="13"/>
  <c r="S16" i="13" s="1"/>
  <c r="S25" i="13"/>
  <c r="S29" i="13"/>
  <c r="S37" i="13"/>
  <c r="S39" i="13"/>
  <c r="S44" i="13"/>
  <c r="S40" i="13" s="1"/>
  <c r="S50" i="13"/>
  <c r="S56" i="13"/>
  <c r="S60" i="13"/>
  <c r="S69" i="13"/>
  <c r="S77" i="13" s="1"/>
  <c r="S61" i="13" s="1"/>
  <c r="T11" i="13"/>
  <c r="T15" i="13"/>
  <c r="T19" i="13"/>
  <c r="T16" i="13" s="1"/>
  <c r="T25" i="13"/>
  <c r="T29" i="13"/>
  <c r="T37" i="13"/>
  <c r="T39" i="13"/>
  <c r="T44" i="13"/>
  <c r="T40" i="13" s="1"/>
  <c r="T50" i="13"/>
  <c r="T56" i="13"/>
  <c r="T60" i="13"/>
  <c r="T69" i="13"/>
  <c r="T77" i="13" s="1"/>
  <c r="T61" i="13" s="1"/>
  <c r="U11" i="13"/>
  <c r="U15" i="13"/>
  <c r="U19" i="13"/>
  <c r="U16" i="13" s="1"/>
  <c r="U25" i="13"/>
  <c r="U29" i="13"/>
  <c r="U20" i="13" s="1"/>
  <c r="U37" i="13"/>
  <c r="U39" i="13"/>
  <c r="U44" i="13"/>
  <c r="U40" i="13" s="1"/>
  <c r="U50" i="13"/>
  <c r="U56" i="13"/>
  <c r="U60" i="13"/>
  <c r="U69" i="13"/>
  <c r="U77" i="13" s="1"/>
  <c r="U61" i="13" s="1"/>
  <c r="Y11" i="13"/>
  <c r="Y15" i="13"/>
  <c r="Y19" i="13"/>
  <c r="Y16" i="13" s="1"/>
  <c r="Y25" i="13"/>
  <c r="Y29" i="13"/>
  <c r="Y37" i="13"/>
  <c r="Y39" i="13"/>
  <c r="Y44" i="13"/>
  <c r="Y40" i="13" s="1"/>
  <c r="Y50" i="13"/>
  <c r="Y56" i="13"/>
  <c r="Y60" i="13"/>
  <c r="Y69" i="13"/>
  <c r="Y77" i="13" s="1"/>
  <c r="Y61" i="13" s="1"/>
  <c r="AB11" i="13"/>
  <c r="AB15" i="13"/>
  <c r="AB19" i="13"/>
  <c r="AB16" i="13" s="1"/>
  <c r="AB25" i="13"/>
  <c r="AB29" i="13"/>
  <c r="AB37" i="13"/>
  <c r="AB39" i="13"/>
  <c r="AB44" i="13"/>
  <c r="AB40" i="13" s="1"/>
  <c r="AB50" i="13"/>
  <c r="AB45" i="13" s="1"/>
  <c r="AB56" i="13"/>
  <c r="AB60" i="13"/>
  <c r="AB69" i="13"/>
  <c r="AB77" i="13" s="1"/>
  <c r="AB61" i="13" s="1"/>
  <c r="AD6" i="13"/>
  <c r="AE39" i="13"/>
  <c r="AM11" i="13"/>
  <c r="AM15" i="13"/>
  <c r="AM19" i="13"/>
  <c r="AM16" i="13" s="1"/>
  <c r="AM25" i="13"/>
  <c r="AM29" i="13"/>
  <c r="AM37" i="13"/>
  <c r="AM39" i="13"/>
  <c r="AM44" i="13"/>
  <c r="AM40" i="13" s="1"/>
  <c r="AM50" i="13"/>
  <c r="AM56" i="13"/>
  <c r="AM60" i="13"/>
  <c r="AM77" i="13"/>
  <c r="AM61" i="13" s="1"/>
  <c r="AN11" i="13"/>
  <c r="AN15" i="13"/>
  <c r="AN19" i="13"/>
  <c r="AN16" i="13" s="1"/>
  <c r="AN60" i="13"/>
  <c r="Z6" i="13"/>
  <c r="Z5" i="13" s="1"/>
  <c r="AA6" i="13"/>
  <c r="AA5" i="13" s="1"/>
  <c r="AJ6" i="13"/>
  <c r="AJ5" i="13" s="1"/>
  <c r="AK6" i="13"/>
  <c r="AK5" i="13" s="1"/>
  <c r="AL6" i="13"/>
  <c r="AL5" i="13" s="1"/>
  <c r="AV6" i="13"/>
  <c r="AV5" i="13" s="1"/>
  <c r="AW6" i="13"/>
  <c r="AW5" i="13" s="1"/>
  <c r="AX6" i="13"/>
  <c r="AX5" i="13" s="1"/>
  <c r="AY6" i="13"/>
  <c r="AZ6" i="13"/>
  <c r="BA6" i="13"/>
  <c r="BA5" i="13" s="1"/>
  <c r="AR69" i="13"/>
  <c r="L85" i="13"/>
  <c r="L88" i="13"/>
  <c r="L92" i="13"/>
  <c r="L99" i="13"/>
  <c r="L93" i="13" s="1"/>
  <c r="L105" i="13"/>
  <c r="L100" i="13" s="1"/>
  <c r="L110" i="13"/>
  <c r="L106" i="13" s="1"/>
  <c r="L117" i="13"/>
  <c r="L111" i="13" s="1"/>
  <c r="L122" i="13"/>
  <c r="L118" i="13" s="1"/>
  <c r="L133" i="13"/>
  <c r="L123" i="13" s="1"/>
  <c r="L139" i="13"/>
  <c r="L134" i="13" s="1"/>
  <c r="L149" i="13"/>
  <c r="L140" i="13" s="1"/>
  <c r="M85" i="13"/>
  <c r="M88" i="13"/>
  <c r="M110" i="13"/>
  <c r="M106" i="13" s="1"/>
  <c r="M117" i="13"/>
  <c r="M111" i="13" s="1"/>
  <c r="M139" i="13"/>
  <c r="M134" i="13" s="1"/>
  <c r="M149" i="13"/>
  <c r="M140" i="13" s="1"/>
  <c r="R85" i="13"/>
  <c r="R88" i="13"/>
  <c r="R92" i="13"/>
  <c r="R99" i="13"/>
  <c r="R93" i="13" s="1"/>
  <c r="R105" i="13"/>
  <c r="R100" i="13" s="1"/>
  <c r="R110" i="13"/>
  <c r="R106" i="13" s="1"/>
  <c r="R117" i="13"/>
  <c r="R111" i="13" s="1"/>
  <c r="R122" i="13"/>
  <c r="R118" i="13" s="1"/>
  <c r="R133" i="13"/>
  <c r="R123" i="13" s="1"/>
  <c r="R139" i="13"/>
  <c r="R134" i="13" s="1"/>
  <c r="R149" i="13"/>
  <c r="R140" i="13" s="1"/>
  <c r="S85" i="13"/>
  <c r="S88" i="13"/>
  <c r="S92" i="13"/>
  <c r="S99" i="13"/>
  <c r="S93" i="13" s="1"/>
  <c r="S105" i="13"/>
  <c r="S100" i="13" s="1"/>
  <c r="S110" i="13"/>
  <c r="S106" i="13" s="1"/>
  <c r="S117" i="13"/>
  <c r="S111" i="13" s="1"/>
  <c r="S122" i="13"/>
  <c r="S118" i="13" s="1"/>
  <c r="S133" i="13"/>
  <c r="S123" i="13" s="1"/>
  <c r="S139" i="13"/>
  <c r="S134" i="13" s="1"/>
  <c r="S149" i="13"/>
  <c r="S140" i="13" s="1"/>
  <c r="T85" i="13"/>
  <c r="T88" i="13"/>
  <c r="T92" i="13"/>
  <c r="T99" i="13"/>
  <c r="T93" i="13" s="1"/>
  <c r="T105" i="13"/>
  <c r="T100" i="13" s="1"/>
  <c r="T110" i="13"/>
  <c r="T106" i="13" s="1"/>
  <c r="T117" i="13"/>
  <c r="T111" i="13" s="1"/>
  <c r="T122" i="13"/>
  <c r="T118" i="13" s="1"/>
  <c r="T133" i="13"/>
  <c r="T123" i="13" s="1"/>
  <c r="T139" i="13"/>
  <c r="T134" i="13" s="1"/>
  <c r="T149" i="13"/>
  <c r="T140" i="13" s="1"/>
  <c r="U85" i="13"/>
  <c r="U88" i="13"/>
  <c r="U92" i="13"/>
  <c r="U99" i="13"/>
  <c r="U93" i="13" s="1"/>
  <c r="U105" i="13"/>
  <c r="U100" i="13" s="1"/>
  <c r="U110" i="13"/>
  <c r="U106" i="13" s="1"/>
  <c r="U117" i="13"/>
  <c r="U111" i="13" s="1"/>
  <c r="U122" i="13"/>
  <c r="U118" i="13" s="1"/>
  <c r="U133" i="13"/>
  <c r="U123" i="13" s="1"/>
  <c r="U139" i="13"/>
  <c r="U134" i="13" s="1"/>
  <c r="U149" i="13"/>
  <c r="U140" i="13" s="1"/>
  <c r="Y85" i="13"/>
  <c r="Y88" i="13"/>
  <c r="Y92" i="13"/>
  <c r="Y99" i="13"/>
  <c r="Y93" i="13" s="1"/>
  <c r="Y105" i="13"/>
  <c r="Y100" i="13" s="1"/>
  <c r="Y110" i="13"/>
  <c r="Y106" i="13" s="1"/>
  <c r="Y117" i="13"/>
  <c r="Y111" i="13" s="1"/>
  <c r="Y122" i="13"/>
  <c r="Y118" i="13" s="1"/>
  <c r="Y133" i="13"/>
  <c r="Y123" i="13" s="1"/>
  <c r="Y139" i="13"/>
  <c r="Y134" i="13" s="1"/>
  <c r="Y149" i="13"/>
  <c r="Y140" i="13" s="1"/>
  <c r="AB85" i="13"/>
  <c r="AB88" i="13"/>
  <c r="AB92" i="13"/>
  <c r="AB99" i="13"/>
  <c r="AB93" i="13" s="1"/>
  <c r="AB105" i="13"/>
  <c r="AB100" i="13" s="1"/>
  <c r="AB110" i="13"/>
  <c r="AB106" i="13" s="1"/>
  <c r="AB117" i="13"/>
  <c r="AB111" i="13" s="1"/>
  <c r="AB122" i="13"/>
  <c r="AB118" i="13" s="1"/>
  <c r="AB133" i="13"/>
  <c r="AB123" i="13" s="1"/>
  <c r="AB139" i="13"/>
  <c r="AB134" i="13" s="1"/>
  <c r="AB149" i="13"/>
  <c r="AB140" i="13" s="1"/>
  <c r="AE85" i="13"/>
  <c r="AM85" i="13"/>
  <c r="AM88" i="13"/>
  <c r="AM92" i="13"/>
  <c r="AM99" i="13"/>
  <c r="AM93" i="13" s="1"/>
  <c r="AM105" i="13"/>
  <c r="AM100" i="13" s="1"/>
  <c r="AM110" i="13"/>
  <c r="AM106" i="13" s="1"/>
  <c r="AM117" i="13"/>
  <c r="AM111" i="13" s="1"/>
  <c r="AM122" i="13"/>
  <c r="AM118" i="13" s="1"/>
  <c r="AM133" i="13"/>
  <c r="AM123" i="13" s="1"/>
  <c r="AM139" i="13"/>
  <c r="AM134" i="13" s="1"/>
  <c r="AM149" i="13"/>
  <c r="AM140" i="13" s="1"/>
  <c r="AN88" i="13"/>
  <c r="AN117" i="13"/>
  <c r="AN111" i="13" s="1"/>
  <c r="AN122" i="13"/>
  <c r="AN118" i="13" s="1"/>
  <c r="AL27" i="18"/>
  <c r="AL26" i="18" s="1"/>
  <c r="AL25" i="18" s="1"/>
  <c r="AM27" i="18"/>
  <c r="AM26" i="18" s="1"/>
  <c r="AM25" i="18" s="1"/>
  <c r="AN27" i="18"/>
  <c r="AN26" i="18" s="1"/>
  <c r="AN25" i="18" s="1"/>
  <c r="AO27" i="18"/>
  <c r="AO26" i="18" s="1"/>
  <c r="AO25" i="18" s="1"/>
  <c r="AP27" i="18"/>
  <c r="AP26" i="18" s="1"/>
  <c r="AP25" i="18" s="1"/>
  <c r="AQ27" i="18"/>
  <c r="AQ26" i="18" s="1"/>
  <c r="AQ25" i="18" s="1"/>
  <c r="AR27" i="18"/>
  <c r="AR26" i="18" s="1"/>
  <c r="AR25" i="18" s="1"/>
  <c r="L156" i="13"/>
  <c r="L159" i="13"/>
  <c r="L162" i="13"/>
  <c r="L168" i="13"/>
  <c r="L178" i="13"/>
  <c r="L181" i="13"/>
  <c r="L190" i="13"/>
  <c r="L193" i="13"/>
  <c r="L196" i="13"/>
  <c r="M159" i="13"/>
  <c r="M162" i="13"/>
  <c r="M168" i="13"/>
  <c r="M181" i="13"/>
  <c r="M193" i="13"/>
  <c r="M196" i="13"/>
  <c r="R156" i="13"/>
  <c r="R159" i="13"/>
  <c r="R162" i="13"/>
  <c r="R168" i="13"/>
  <c r="R178" i="13"/>
  <c r="R181" i="13"/>
  <c r="R190" i="13"/>
  <c r="R193" i="13"/>
  <c r="R196" i="13"/>
  <c r="S156" i="13"/>
  <c r="S159" i="13"/>
  <c r="S162" i="13"/>
  <c r="S168" i="13"/>
  <c r="S178" i="13"/>
  <c r="S181" i="13"/>
  <c r="S190" i="13"/>
  <c r="S193" i="13"/>
  <c r="S196" i="13"/>
  <c r="T156" i="13"/>
  <c r="T159" i="13"/>
  <c r="T162" i="13"/>
  <c r="T168" i="13"/>
  <c r="T178" i="13"/>
  <c r="T181" i="13"/>
  <c r="T190" i="13"/>
  <c r="T193" i="13"/>
  <c r="T196" i="13"/>
  <c r="U156" i="13"/>
  <c r="U159" i="13"/>
  <c r="U162" i="13"/>
  <c r="U168" i="13"/>
  <c r="U178" i="13"/>
  <c r="U181" i="13"/>
  <c r="U190" i="13"/>
  <c r="U193" i="13"/>
  <c r="U196" i="13"/>
  <c r="AB156" i="13"/>
  <c r="AB159" i="13"/>
  <c r="AB162" i="13"/>
  <c r="AB168" i="13"/>
  <c r="AB178" i="13"/>
  <c r="AB181" i="13"/>
  <c r="AB190" i="13"/>
  <c r="AB193" i="13"/>
  <c r="AB196" i="13"/>
  <c r="AM156" i="13"/>
  <c r="AM159" i="13"/>
  <c r="AM162" i="13"/>
  <c r="AM168" i="13"/>
  <c r="AM178" i="13"/>
  <c r="AM181" i="13"/>
  <c r="AM190" i="13"/>
  <c r="AM193" i="13"/>
  <c r="AM196" i="13"/>
  <c r="AN156" i="13"/>
  <c r="AN162" i="13"/>
  <c r="AN181" i="13"/>
  <c r="AN193" i="13"/>
  <c r="AN196" i="13"/>
  <c r="Y156" i="13"/>
  <c r="Y159" i="13"/>
  <c r="Y162" i="13"/>
  <c r="Y168" i="13"/>
  <c r="Y178" i="13"/>
  <c r="Y193" i="13"/>
  <c r="AL56" i="18"/>
  <c r="AL55" i="18" s="1"/>
  <c r="AM56" i="18"/>
  <c r="AM55" i="18" s="1"/>
  <c r="AN56" i="18"/>
  <c r="AN55" i="18" s="1"/>
  <c r="AO56" i="18"/>
  <c r="AO55" i="18" s="1"/>
  <c r="AP56" i="18"/>
  <c r="AP55" i="18" s="1"/>
  <c r="AQ56" i="18"/>
  <c r="AQ55" i="18" s="1"/>
  <c r="AR56" i="18"/>
  <c r="AR55" i="18" s="1"/>
  <c r="L203" i="13"/>
  <c r="L212" i="13"/>
  <c r="L220" i="13"/>
  <c r="L213" i="13" s="1"/>
  <c r="L225" i="13"/>
  <c r="L221" i="13" s="1"/>
  <c r="L231" i="13"/>
  <c r="L226" i="13" s="1"/>
  <c r="L237" i="13"/>
  <c r="L232" i="13" s="1"/>
  <c r="L243" i="13"/>
  <c r="L238" i="13" s="1"/>
  <c r="M212" i="13"/>
  <c r="M225" i="13"/>
  <c r="M221" i="13" s="1"/>
  <c r="M243" i="13"/>
  <c r="M238" i="13" s="1"/>
  <c r="R203" i="13"/>
  <c r="R212" i="13"/>
  <c r="R220" i="13"/>
  <c r="R213" i="13" s="1"/>
  <c r="R225" i="13"/>
  <c r="R221" i="13" s="1"/>
  <c r="R231" i="13"/>
  <c r="R226" i="13" s="1"/>
  <c r="R237" i="13"/>
  <c r="R232" i="13" s="1"/>
  <c r="R243" i="13"/>
  <c r="R238" i="13" s="1"/>
  <c r="S203" i="13"/>
  <c r="S212" i="13"/>
  <c r="S220" i="13"/>
  <c r="S213" i="13" s="1"/>
  <c r="S225" i="13"/>
  <c r="S221" i="13" s="1"/>
  <c r="S231" i="13"/>
  <c r="S226" i="13" s="1"/>
  <c r="S237" i="13"/>
  <c r="S232" i="13" s="1"/>
  <c r="S243" i="13"/>
  <c r="S238" i="13" s="1"/>
  <c r="T203" i="13"/>
  <c r="T212" i="13"/>
  <c r="T220" i="13"/>
  <c r="T213" i="13" s="1"/>
  <c r="T225" i="13"/>
  <c r="T221" i="13" s="1"/>
  <c r="T231" i="13"/>
  <c r="T226" i="13" s="1"/>
  <c r="T237" i="13"/>
  <c r="T232" i="13" s="1"/>
  <c r="T243" i="13"/>
  <c r="T238" i="13" s="1"/>
  <c r="U203" i="13"/>
  <c r="U212" i="13"/>
  <c r="U220" i="13"/>
  <c r="U213" i="13" s="1"/>
  <c r="U225" i="13"/>
  <c r="U221" i="13" s="1"/>
  <c r="U231" i="13"/>
  <c r="U226" i="13" s="1"/>
  <c r="U237" i="13"/>
  <c r="U232" i="13" s="1"/>
  <c r="U243" i="13"/>
  <c r="U238" i="13" s="1"/>
  <c r="Y220" i="13"/>
  <c r="Y213" i="13" s="1"/>
  <c r="Y231" i="13"/>
  <c r="Y226" i="13" s="1"/>
  <c r="Y243" i="13"/>
  <c r="Y238" i="13" s="1"/>
  <c r="AB203" i="13"/>
  <c r="AB212" i="13"/>
  <c r="AB220" i="13"/>
  <c r="AB213" i="13" s="1"/>
  <c r="AB225" i="13"/>
  <c r="AB221" i="13" s="1"/>
  <c r="AB231" i="13"/>
  <c r="AB226" i="13" s="1"/>
  <c r="AB237" i="13"/>
  <c r="AB232" i="13" s="1"/>
  <c r="AB243" i="13"/>
  <c r="AB238" i="13" s="1"/>
  <c r="AM203" i="13"/>
  <c r="AM212" i="13"/>
  <c r="AM220" i="13"/>
  <c r="AM213" i="13" s="1"/>
  <c r="AM225" i="13"/>
  <c r="AM221" i="13" s="1"/>
  <c r="AM231" i="13"/>
  <c r="AM226" i="13" s="1"/>
  <c r="AM237" i="13"/>
  <c r="AM232" i="13" s="1"/>
  <c r="AM243" i="13"/>
  <c r="AM238" i="13" s="1"/>
  <c r="L207" i="13"/>
  <c r="M207" i="13" s="1"/>
  <c r="R207" i="13"/>
  <c r="S207" i="13"/>
  <c r="T207" i="13"/>
  <c r="U207" i="13"/>
  <c r="Y207" i="13"/>
  <c r="AB207" i="13"/>
  <c r="AM207" i="13"/>
  <c r="AN207" i="13" s="1"/>
  <c r="AS207" i="13" s="1"/>
  <c r="L208" i="13"/>
  <c r="M208" i="13" s="1"/>
  <c r="AQ208" i="13" s="1"/>
  <c r="R208" i="13"/>
  <c r="S208" i="13"/>
  <c r="T208" i="13"/>
  <c r="U208" i="13"/>
  <c r="Y208" i="13"/>
  <c r="AB208" i="13"/>
  <c r="AM208" i="13"/>
  <c r="AN208" i="13" s="1"/>
  <c r="AS208" i="13" s="1"/>
  <c r="Z245" i="13"/>
  <c r="Z244" i="13" s="1"/>
  <c r="AA244" i="13"/>
  <c r="AC245" i="13"/>
  <c r="AD245" i="13"/>
  <c r="AJ245" i="13"/>
  <c r="AK245" i="13"/>
  <c r="AL245" i="13"/>
  <c r="AV245" i="13"/>
  <c r="AV244" i="13"/>
  <c r="AW245" i="13"/>
  <c r="AX245" i="13"/>
  <c r="AY245" i="13"/>
  <c r="AY244" i="13"/>
  <c r="BA245" i="13"/>
  <c r="L11" i="12"/>
  <c r="L15" i="12"/>
  <c r="L6" i="12" s="1"/>
  <c r="L19" i="12"/>
  <c r="L16" i="12" s="1"/>
  <c r="L25" i="12"/>
  <c r="L29" i="12"/>
  <c r="L37" i="12"/>
  <c r="L39" i="12"/>
  <c r="L44" i="12"/>
  <c r="L40" i="12" s="1"/>
  <c r="L50" i="12"/>
  <c r="L56" i="12"/>
  <c r="L60" i="12"/>
  <c r="L77" i="12"/>
  <c r="L61" i="12" s="1"/>
  <c r="R11" i="12"/>
  <c r="R15" i="12"/>
  <c r="R19" i="12"/>
  <c r="R16" i="12" s="1"/>
  <c r="R25" i="12"/>
  <c r="R29" i="12"/>
  <c r="R37" i="12"/>
  <c r="R39" i="12"/>
  <c r="R44" i="12"/>
  <c r="R40" i="12" s="1"/>
  <c r="R50" i="12"/>
  <c r="R56" i="12"/>
  <c r="R60" i="12"/>
  <c r="R77" i="12"/>
  <c r="R61" i="12" s="1"/>
  <c r="S11" i="12"/>
  <c r="S15" i="12"/>
  <c r="S19" i="12"/>
  <c r="S16" i="12" s="1"/>
  <c r="S25" i="12"/>
  <c r="S29" i="12"/>
  <c r="S37" i="12"/>
  <c r="S39" i="12"/>
  <c r="S44" i="12"/>
  <c r="S40" i="12" s="1"/>
  <c r="S50" i="12"/>
  <c r="S56" i="12"/>
  <c r="S60" i="12"/>
  <c r="S77" i="12"/>
  <c r="S61" i="12" s="1"/>
  <c r="T11" i="12"/>
  <c r="T15" i="12"/>
  <c r="T19" i="12"/>
  <c r="T16" i="12" s="1"/>
  <c r="T25" i="12"/>
  <c r="T29" i="12"/>
  <c r="T37" i="12"/>
  <c r="T39" i="12"/>
  <c r="T44" i="12"/>
  <c r="T40" i="12" s="1"/>
  <c r="T50" i="12"/>
  <c r="T56" i="12"/>
  <c r="T60" i="12"/>
  <c r="T77" i="12"/>
  <c r="T61" i="12" s="1"/>
  <c r="U11" i="12"/>
  <c r="U15" i="12"/>
  <c r="U19" i="12"/>
  <c r="U16" i="12" s="1"/>
  <c r="U25" i="12"/>
  <c r="U29" i="12"/>
  <c r="U37" i="12"/>
  <c r="U39" i="12"/>
  <c r="U44" i="12"/>
  <c r="U40" i="12" s="1"/>
  <c r="U50" i="12"/>
  <c r="U56" i="12"/>
  <c r="U60" i="12"/>
  <c r="U77" i="12"/>
  <c r="U61" i="12" s="1"/>
  <c r="Y11" i="12"/>
  <c r="Y15" i="12"/>
  <c r="Y19" i="12"/>
  <c r="Y16" i="12" s="1"/>
  <c r="Y25" i="12"/>
  <c r="Y29" i="12"/>
  <c r="Y37" i="12"/>
  <c r="Y39" i="12"/>
  <c r="Y44" i="12"/>
  <c r="Y40" i="12" s="1"/>
  <c r="Y50" i="12"/>
  <c r="Y56" i="12"/>
  <c r="Y60" i="12"/>
  <c r="Y77" i="12"/>
  <c r="Y61" i="12" s="1"/>
  <c r="AB11" i="12"/>
  <c r="AB15" i="12"/>
  <c r="AB19" i="12"/>
  <c r="AB16" i="12" s="1"/>
  <c r="AB25" i="12"/>
  <c r="AB29" i="12"/>
  <c r="AB37" i="12"/>
  <c r="AB39" i="12"/>
  <c r="AB44" i="12"/>
  <c r="AB40" i="12" s="1"/>
  <c r="AB50" i="12"/>
  <c r="AB45" i="12" s="1"/>
  <c r="AB56" i="12"/>
  <c r="AB60" i="12"/>
  <c r="AB77" i="12"/>
  <c r="AB61" i="12" s="1"/>
  <c r="AD6" i="12"/>
  <c r="AE39" i="12"/>
  <c r="AM11" i="12"/>
  <c r="AM15" i="12"/>
  <c r="AM19" i="12"/>
  <c r="AM16" i="12" s="1"/>
  <c r="AM25" i="12"/>
  <c r="AM29" i="12"/>
  <c r="AM37" i="12"/>
  <c r="AM39" i="12"/>
  <c r="AM44" i="12"/>
  <c r="AM40" i="12" s="1"/>
  <c r="AM50" i="12"/>
  <c r="AM56" i="12"/>
  <c r="AM60" i="12"/>
  <c r="AM77" i="12"/>
  <c r="AM61" i="12" s="1"/>
  <c r="AN39" i="12"/>
  <c r="Z6" i="12"/>
  <c r="Z5" i="12" s="1"/>
  <c r="AA6" i="12"/>
  <c r="AA5" i="12" s="1"/>
  <c r="AJ6" i="12"/>
  <c r="AK6" i="12"/>
  <c r="AK5" i="12" s="1"/>
  <c r="AL6" i="12"/>
  <c r="AV6" i="12"/>
  <c r="AY6" i="12"/>
  <c r="BA6" i="12"/>
  <c r="L85" i="12"/>
  <c r="L88" i="12"/>
  <c r="L92" i="12"/>
  <c r="L99" i="12"/>
  <c r="L93" i="12" s="1"/>
  <c r="L105" i="12"/>
  <c r="L100" i="12" s="1"/>
  <c r="L110" i="12"/>
  <c r="L106" i="12" s="1"/>
  <c r="L117" i="12"/>
  <c r="L111" i="12" s="1"/>
  <c r="L122" i="12"/>
  <c r="L118" i="12" s="1"/>
  <c r="L133" i="12"/>
  <c r="L123" i="12" s="1"/>
  <c r="L139" i="12"/>
  <c r="L134" i="12" s="1"/>
  <c r="L149" i="12"/>
  <c r="L140" i="12" s="1"/>
  <c r="M110" i="12"/>
  <c r="M106" i="12" s="1"/>
  <c r="R85" i="12"/>
  <c r="R88" i="12"/>
  <c r="R92" i="12"/>
  <c r="R99" i="12"/>
  <c r="R93" i="12" s="1"/>
  <c r="R105" i="12"/>
  <c r="R100" i="12" s="1"/>
  <c r="R110" i="12"/>
  <c r="R106" i="12" s="1"/>
  <c r="R117" i="12"/>
  <c r="R111" i="12" s="1"/>
  <c r="R122" i="12"/>
  <c r="R118" i="12" s="1"/>
  <c r="R133" i="12"/>
  <c r="R123" i="12" s="1"/>
  <c r="R139" i="12"/>
  <c r="R134" i="12" s="1"/>
  <c r="R149" i="12"/>
  <c r="R140" i="12" s="1"/>
  <c r="S85" i="12"/>
  <c r="S88" i="12"/>
  <c r="S92" i="12"/>
  <c r="S99" i="12"/>
  <c r="S93" i="12" s="1"/>
  <c r="S105" i="12"/>
  <c r="S100" i="12" s="1"/>
  <c r="S110" i="12"/>
  <c r="S106" i="12" s="1"/>
  <c r="S117" i="12"/>
  <c r="S111" i="12" s="1"/>
  <c r="S122" i="12"/>
  <c r="S118" i="12" s="1"/>
  <c r="S133" i="12"/>
  <c r="S123" i="12" s="1"/>
  <c r="S139" i="12"/>
  <c r="S134" i="12" s="1"/>
  <c r="S149" i="12"/>
  <c r="S140" i="12" s="1"/>
  <c r="T85" i="12"/>
  <c r="T88" i="12"/>
  <c r="T92" i="12"/>
  <c r="T99" i="12"/>
  <c r="T93" i="12" s="1"/>
  <c r="T105" i="12"/>
  <c r="T100" i="12" s="1"/>
  <c r="T110" i="12"/>
  <c r="T106" i="12" s="1"/>
  <c r="T117" i="12"/>
  <c r="T111" i="12" s="1"/>
  <c r="T122" i="12"/>
  <c r="T118" i="12" s="1"/>
  <c r="T133" i="12"/>
  <c r="T123" i="12" s="1"/>
  <c r="T139" i="12"/>
  <c r="T134" i="12" s="1"/>
  <c r="T149" i="12"/>
  <c r="T140" i="12" s="1"/>
  <c r="U85" i="12"/>
  <c r="U88" i="12"/>
  <c r="U92" i="12"/>
  <c r="U99" i="12"/>
  <c r="U93" i="12" s="1"/>
  <c r="U105" i="12"/>
  <c r="U100" i="12" s="1"/>
  <c r="U110" i="12"/>
  <c r="U106" i="12" s="1"/>
  <c r="U117" i="12"/>
  <c r="U111" i="12" s="1"/>
  <c r="U122" i="12"/>
  <c r="U118" i="12" s="1"/>
  <c r="U133" i="12"/>
  <c r="U123" i="12" s="1"/>
  <c r="U139" i="12"/>
  <c r="U134" i="12" s="1"/>
  <c r="U149" i="12"/>
  <c r="U140" i="12" s="1"/>
  <c r="Y85" i="12"/>
  <c r="Y88" i="12"/>
  <c r="Y92" i="12"/>
  <c r="Y99" i="12"/>
  <c r="Y93" i="12" s="1"/>
  <c r="Y105" i="12"/>
  <c r="Y100" i="12" s="1"/>
  <c r="Y110" i="12"/>
  <c r="Y106" i="12" s="1"/>
  <c r="Y117" i="12"/>
  <c r="Y111" i="12" s="1"/>
  <c r="Y122" i="12"/>
  <c r="Y118" i="12" s="1"/>
  <c r="Y133" i="12"/>
  <c r="Y123" i="12" s="1"/>
  <c r="Y139" i="12"/>
  <c r="Y134" i="12" s="1"/>
  <c r="Y149" i="12"/>
  <c r="Y140" i="12" s="1"/>
  <c r="AB85" i="12"/>
  <c r="AB88" i="12"/>
  <c r="AB92" i="12"/>
  <c r="AB99" i="12"/>
  <c r="AB93" i="12" s="1"/>
  <c r="AB105" i="12"/>
  <c r="AB100" i="12" s="1"/>
  <c r="AB110" i="12"/>
  <c r="AB106" i="12" s="1"/>
  <c r="AB117" i="12"/>
  <c r="AB111" i="12" s="1"/>
  <c r="AB122" i="12"/>
  <c r="AB118" i="12" s="1"/>
  <c r="AB133" i="12"/>
  <c r="AB123" i="12" s="1"/>
  <c r="AB139" i="12"/>
  <c r="AB134" i="12" s="1"/>
  <c r="AB149" i="12"/>
  <c r="AB140" i="12" s="1"/>
  <c r="AM85" i="12"/>
  <c r="AM88" i="12"/>
  <c r="AM92" i="12"/>
  <c r="AM99" i="12"/>
  <c r="AM93" i="12" s="1"/>
  <c r="AM105" i="12"/>
  <c r="AM100" i="12" s="1"/>
  <c r="AM110" i="12"/>
  <c r="AM106" i="12" s="1"/>
  <c r="AM117" i="12"/>
  <c r="AM111" i="12" s="1"/>
  <c r="AM122" i="12"/>
  <c r="AM118" i="12" s="1"/>
  <c r="AM133" i="12"/>
  <c r="AM123" i="12" s="1"/>
  <c r="AM139" i="12"/>
  <c r="AM134" i="12" s="1"/>
  <c r="AM149" i="12"/>
  <c r="AM140" i="12" s="1"/>
  <c r="Y27" i="18"/>
  <c r="Z27" i="18"/>
  <c r="Z26" i="18" s="1"/>
  <c r="AA27" i="18"/>
  <c r="AB27" i="18"/>
  <c r="AB26" i="18" s="1"/>
  <c r="AC27" i="18"/>
  <c r="AD27" i="18"/>
  <c r="AD26" i="18" s="1"/>
  <c r="AE27" i="18"/>
  <c r="L156" i="12"/>
  <c r="L159" i="12"/>
  <c r="L162" i="12"/>
  <c r="L168" i="12"/>
  <c r="L178" i="12"/>
  <c r="L181" i="12"/>
  <c r="L190" i="12"/>
  <c r="L193" i="12"/>
  <c r="L196" i="12"/>
  <c r="M162" i="12"/>
  <c r="R156" i="12"/>
  <c r="R159" i="12"/>
  <c r="R162" i="12"/>
  <c r="R168" i="12"/>
  <c r="R178" i="12"/>
  <c r="R181" i="12"/>
  <c r="R190" i="12"/>
  <c r="R193" i="12"/>
  <c r="R196" i="12"/>
  <c r="S156" i="12"/>
  <c r="S159" i="12"/>
  <c r="S162" i="12"/>
  <c r="S168" i="12"/>
  <c r="S178" i="12"/>
  <c r="S181" i="12"/>
  <c r="S190" i="12"/>
  <c r="S193" i="12"/>
  <c r="S196" i="12"/>
  <c r="T156" i="12"/>
  <c r="T159" i="12"/>
  <c r="T162" i="12"/>
  <c r="T168" i="12"/>
  <c r="T178" i="12"/>
  <c r="T181" i="12"/>
  <c r="T190" i="12"/>
  <c r="T193" i="12"/>
  <c r="T196" i="12"/>
  <c r="U156" i="12"/>
  <c r="U159" i="12"/>
  <c r="U162" i="12"/>
  <c r="U168" i="12"/>
  <c r="U178" i="12"/>
  <c r="U181" i="12"/>
  <c r="U190" i="12"/>
  <c r="U193" i="12"/>
  <c r="U196" i="12"/>
  <c r="AB156" i="12"/>
  <c r="AB159" i="12"/>
  <c r="AB162" i="12"/>
  <c r="AB168" i="12"/>
  <c r="AB178" i="12"/>
  <c r="AB181" i="12"/>
  <c r="AB190" i="12"/>
  <c r="AB193" i="12"/>
  <c r="AB196" i="12"/>
  <c r="AM156" i="12"/>
  <c r="AM159" i="12"/>
  <c r="AM162" i="12"/>
  <c r="AM168" i="12"/>
  <c r="AM178" i="12"/>
  <c r="AM181" i="12"/>
  <c r="AM190" i="12"/>
  <c r="AM193" i="12"/>
  <c r="AM196" i="12"/>
  <c r="AN156" i="12"/>
  <c r="AN151" i="12" s="1"/>
  <c r="AN159" i="12"/>
  <c r="AN162" i="12"/>
  <c r="AN181" i="12"/>
  <c r="AN193" i="12"/>
  <c r="AN196" i="12"/>
  <c r="Y156" i="12"/>
  <c r="Y159" i="12"/>
  <c r="Y162" i="12"/>
  <c r="Y168" i="12"/>
  <c r="Y178" i="12"/>
  <c r="Y181" i="12"/>
  <c r="Y190" i="12"/>
  <c r="Y193" i="12"/>
  <c r="Y196" i="12"/>
  <c r="Y56" i="18"/>
  <c r="Z56" i="18"/>
  <c r="Z55" i="18" s="1"/>
  <c r="AA56" i="18"/>
  <c r="AA55" i="18" s="1"/>
  <c r="AB56" i="18"/>
  <c r="AB55" i="18" s="1"/>
  <c r="AC56" i="18"/>
  <c r="AC55" i="18" s="1"/>
  <c r="AD56" i="18"/>
  <c r="AD55" i="18" s="1"/>
  <c r="AE56" i="18"/>
  <c r="AE55" i="18" s="1"/>
  <c r="L203" i="12"/>
  <c r="L212" i="12"/>
  <c r="L220" i="12"/>
  <c r="L213" i="12" s="1"/>
  <c r="L225" i="12"/>
  <c r="L221" i="12" s="1"/>
  <c r="L231" i="12"/>
  <c r="L226" i="12" s="1"/>
  <c r="L237" i="12"/>
  <c r="L232" i="12" s="1"/>
  <c r="L243" i="12"/>
  <c r="L238" i="12" s="1"/>
  <c r="M225" i="12"/>
  <c r="M221" i="12" s="1"/>
  <c r="R203" i="12"/>
  <c r="R212" i="12"/>
  <c r="R220" i="12"/>
  <c r="R213" i="12" s="1"/>
  <c r="R225" i="12"/>
  <c r="R221" i="12" s="1"/>
  <c r="R231" i="12"/>
  <c r="R226" i="12" s="1"/>
  <c r="R237" i="12"/>
  <c r="R232" i="12" s="1"/>
  <c r="R243" i="12"/>
  <c r="R238" i="12" s="1"/>
  <c r="S203" i="12"/>
  <c r="S212" i="12"/>
  <c r="S220" i="12"/>
  <c r="S213" i="12" s="1"/>
  <c r="S225" i="12"/>
  <c r="S221" i="12" s="1"/>
  <c r="S231" i="12"/>
  <c r="S226" i="12" s="1"/>
  <c r="S237" i="12"/>
  <c r="S232" i="12" s="1"/>
  <c r="S243" i="12"/>
  <c r="S238" i="12" s="1"/>
  <c r="T203" i="12"/>
  <c r="T212" i="12"/>
  <c r="T220" i="12"/>
  <c r="T213" i="12" s="1"/>
  <c r="T225" i="12"/>
  <c r="T221" i="12" s="1"/>
  <c r="T231" i="12"/>
  <c r="T226" i="12" s="1"/>
  <c r="T237" i="12"/>
  <c r="T232" i="12" s="1"/>
  <c r="T243" i="12"/>
  <c r="T238" i="12" s="1"/>
  <c r="U203" i="12"/>
  <c r="U212" i="12"/>
  <c r="U220" i="12"/>
  <c r="U213" i="12" s="1"/>
  <c r="U225" i="12"/>
  <c r="U221" i="12" s="1"/>
  <c r="U231" i="12"/>
  <c r="U226" i="12" s="1"/>
  <c r="U237" i="12"/>
  <c r="U232" i="12" s="1"/>
  <c r="U243" i="12"/>
  <c r="U238" i="12" s="1"/>
  <c r="Y203" i="12"/>
  <c r="Y212" i="12"/>
  <c r="Y220" i="12"/>
  <c r="Y213" i="12" s="1"/>
  <c r="Y225" i="12"/>
  <c r="Y221" i="12" s="1"/>
  <c r="Y231" i="12"/>
  <c r="Y226" i="12" s="1"/>
  <c r="Y237" i="12"/>
  <c r="Y232" i="12" s="1"/>
  <c r="Y243" i="12"/>
  <c r="Y238" i="12" s="1"/>
  <c r="AB203" i="12"/>
  <c r="AB212" i="12"/>
  <c r="AB220" i="12"/>
  <c r="AB213" i="12" s="1"/>
  <c r="AB225" i="12"/>
  <c r="AB221" i="12" s="1"/>
  <c r="AB231" i="12"/>
  <c r="AB226" i="12" s="1"/>
  <c r="AB237" i="12"/>
  <c r="AB232" i="12" s="1"/>
  <c r="AB243" i="12"/>
  <c r="AB238" i="12" s="1"/>
  <c r="AM203" i="12"/>
  <c r="AM212" i="12"/>
  <c r="AM220" i="12"/>
  <c r="AM213" i="12" s="1"/>
  <c r="AM225" i="12"/>
  <c r="AM221" i="12" s="1"/>
  <c r="AM231" i="12"/>
  <c r="AM226" i="12" s="1"/>
  <c r="AM237" i="12"/>
  <c r="AM232" i="12" s="1"/>
  <c r="AM243" i="12"/>
  <c r="AM238" i="12" s="1"/>
  <c r="AN203" i="12"/>
  <c r="AN212" i="12"/>
  <c r="L207" i="12"/>
  <c r="M207" i="12" s="1"/>
  <c r="R207" i="12"/>
  <c r="S207" i="12"/>
  <c r="T207" i="12"/>
  <c r="U207" i="12"/>
  <c r="Y207" i="12"/>
  <c r="AB207" i="12"/>
  <c r="AM207" i="12"/>
  <c r="AN207" i="12" s="1"/>
  <c r="AS207" i="12" s="1"/>
  <c r="L208" i="12"/>
  <c r="M208" i="12" s="1"/>
  <c r="AQ208" i="12" s="1"/>
  <c r="R208" i="12"/>
  <c r="S208" i="12"/>
  <c r="T208" i="12"/>
  <c r="U208" i="12"/>
  <c r="Y208" i="12"/>
  <c r="AB208" i="12"/>
  <c r="AM208" i="12"/>
  <c r="AN208" i="12" s="1"/>
  <c r="AS208" i="12" s="1"/>
  <c r="L250" i="12"/>
  <c r="L254" i="12"/>
  <c r="L258" i="12"/>
  <c r="R250" i="12"/>
  <c r="R254" i="12"/>
  <c r="R258" i="12"/>
  <c r="S250" i="12"/>
  <c r="S254" i="12"/>
  <c r="S258" i="12"/>
  <c r="T250" i="12"/>
  <c r="T254" i="12"/>
  <c r="T258" i="12"/>
  <c r="U250" i="12"/>
  <c r="U254" i="12"/>
  <c r="U258" i="12"/>
  <c r="Y250" i="12"/>
  <c r="Y254" i="12"/>
  <c r="Y258" i="12"/>
  <c r="AA244" i="12"/>
  <c r="AB250" i="12"/>
  <c r="AB254" i="12"/>
  <c r="AB258" i="12"/>
  <c r="AC250" i="12"/>
  <c r="AC254" i="12"/>
  <c r="AC258" i="12"/>
  <c r="AD250" i="12"/>
  <c r="AD254" i="12"/>
  <c r="AD258" i="12"/>
  <c r="AM250" i="12"/>
  <c r="AM254" i="12"/>
  <c r="AM258" i="12"/>
  <c r="Z245" i="12"/>
  <c r="Z244" i="12" s="1"/>
  <c r="AJ250" i="12"/>
  <c r="AK250" i="12"/>
  <c r="AL250" i="12"/>
  <c r="AU250" i="12"/>
  <c r="Y76" i="18" s="1"/>
  <c r="AV250" i="12"/>
  <c r="Z76" i="18" s="1"/>
  <c r="AW250" i="12"/>
  <c r="AX250" i="12"/>
  <c r="AB76" i="18" s="1"/>
  <c r="AY250" i="12"/>
  <c r="AC76" i="18" s="1"/>
  <c r="AZ250" i="12"/>
  <c r="AD76" i="18" s="1"/>
  <c r="BA250" i="12"/>
  <c r="AE76" i="18" s="1"/>
  <c r="AJ254" i="12"/>
  <c r="AK254" i="12"/>
  <c r="AL254" i="12"/>
  <c r="AJ258" i="12"/>
  <c r="AK258" i="12"/>
  <c r="AL258" i="12"/>
  <c r="AU258" i="12"/>
  <c r="Y78" i="18" s="1"/>
  <c r="AV258" i="12"/>
  <c r="Z78" i="18" s="1"/>
  <c r="AW258" i="12"/>
  <c r="AA78" i="18" s="1"/>
  <c r="AX258" i="12"/>
  <c r="AB78" i="18" s="1"/>
  <c r="AY258" i="12"/>
  <c r="AC78" i="18" s="1"/>
  <c r="AZ258" i="12"/>
  <c r="AD78" i="18" s="1"/>
  <c r="BA258" i="12"/>
  <c r="AE78" i="18" s="1"/>
  <c r="R263" i="12"/>
  <c r="S263" i="12"/>
  <c r="T263" i="12"/>
  <c r="Y263" i="12"/>
  <c r="AB263" i="12"/>
  <c r="AC263" i="12"/>
  <c r="AD263" i="12"/>
  <c r="AJ263" i="12"/>
  <c r="AK263" i="12"/>
  <c r="AL263" i="12"/>
  <c r="AL259" i="12" s="1"/>
  <c r="L268" i="12"/>
  <c r="R268" i="12"/>
  <c r="S268" i="12"/>
  <c r="T268" i="12"/>
  <c r="U268" i="12"/>
  <c r="Y268" i="12"/>
  <c r="AB268" i="12"/>
  <c r="AC268" i="12"/>
  <c r="AD268" i="12"/>
  <c r="AJ268" i="12"/>
  <c r="AK268" i="12"/>
  <c r="AL268" i="12"/>
  <c r="AM268" i="12"/>
  <c r="L273" i="12"/>
  <c r="R273" i="12"/>
  <c r="T273" i="12"/>
  <c r="U273" i="12"/>
  <c r="Y273" i="12"/>
  <c r="AC273" i="12"/>
  <c r="AD273" i="12"/>
  <c r="AJ273" i="12"/>
  <c r="AJ269" i="12" s="1"/>
  <c r="AK273" i="12"/>
  <c r="AL273" i="12"/>
  <c r="AM273" i="12"/>
  <c r="AU273" i="12"/>
  <c r="AV273" i="12"/>
  <c r="AW273" i="12"/>
  <c r="AX273" i="12"/>
  <c r="AY273" i="12"/>
  <c r="AZ273" i="12"/>
  <c r="BA273" i="12"/>
  <c r="L276" i="12"/>
  <c r="M276" i="12"/>
  <c r="R276" i="12"/>
  <c r="S276" i="12"/>
  <c r="T276" i="12"/>
  <c r="U276" i="12"/>
  <c r="Y276" i="12"/>
  <c r="AB276" i="12"/>
  <c r="AC276" i="12"/>
  <c r="AD276" i="12"/>
  <c r="AE276" i="12"/>
  <c r="AJ276" i="12"/>
  <c r="AK276" i="12"/>
  <c r="AL276" i="12"/>
  <c r="AM276" i="12"/>
  <c r="AN276" i="12"/>
  <c r="L283" i="12"/>
  <c r="L277" i="12" s="1"/>
  <c r="R283" i="12"/>
  <c r="R277" i="12" s="1"/>
  <c r="S283" i="12"/>
  <c r="S277" i="12" s="1"/>
  <c r="T283" i="12"/>
  <c r="T277" i="12" s="1"/>
  <c r="U283" i="12"/>
  <c r="U277" i="12" s="1"/>
  <c r="Y283" i="12"/>
  <c r="Y277" i="12" s="1"/>
  <c r="AB283" i="12"/>
  <c r="AB277" i="12" s="1"/>
  <c r="AC283" i="12"/>
  <c r="AC277" i="12" s="1"/>
  <c r="AD283" i="12"/>
  <c r="AD277" i="12" s="1"/>
  <c r="AJ283" i="12"/>
  <c r="AJ277" i="12" s="1"/>
  <c r="AK283" i="12"/>
  <c r="AK277" i="12" s="1"/>
  <c r="AL283" i="12"/>
  <c r="AL277" i="12" s="1"/>
  <c r="AM283" i="12"/>
  <c r="AM277" i="12" s="1"/>
  <c r="AU283" i="12"/>
  <c r="AV283" i="12"/>
  <c r="AW283" i="12"/>
  <c r="AX283" i="12"/>
  <c r="AY283" i="12"/>
  <c r="AZ283" i="12"/>
  <c r="BA283" i="12"/>
  <c r="L289" i="12"/>
  <c r="L284" i="12" s="1"/>
  <c r="M289" i="12"/>
  <c r="M284" i="12" s="1"/>
  <c r="R289" i="12"/>
  <c r="R284" i="12" s="1"/>
  <c r="S289" i="12"/>
  <c r="S284" i="12" s="1"/>
  <c r="T289" i="12"/>
  <c r="T284" i="12" s="1"/>
  <c r="U289" i="12"/>
  <c r="U284" i="12" s="1"/>
  <c r="Y289" i="12"/>
  <c r="Y284" i="12" s="1"/>
  <c r="AB289" i="12"/>
  <c r="AB284" i="12" s="1"/>
  <c r="AC289" i="12"/>
  <c r="AC284" i="12" s="1"/>
  <c r="AD289" i="12"/>
  <c r="AD284" i="12" s="1"/>
  <c r="AJ289" i="12"/>
  <c r="AJ284" i="12" s="1"/>
  <c r="AK289" i="12"/>
  <c r="AK284" i="12" s="1"/>
  <c r="AL289" i="12"/>
  <c r="AL284" i="12" s="1"/>
  <c r="AM289" i="12"/>
  <c r="AM284" i="12" s="1"/>
  <c r="M19" i="1"/>
  <c r="M16" i="1" s="1"/>
  <c r="M39" i="1"/>
  <c r="R11" i="1"/>
  <c r="R15" i="1"/>
  <c r="R19" i="1"/>
  <c r="R16" i="1" s="1"/>
  <c r="R25" i="1"/>
  <c r="R29" i="1"/>
  <c r="R37" i="1"/>
  <c r="R39" i="1"/>
  <c r="R44" i="1"/>
  <c r="R40" i="1" s="1"/>
  <c r="R50" i="1"/>
  <c r="R56" i="1"/>
  <c r="R60" i="1"/>
  <c r="R69" i="1"/>
  <c r="R77" i="1" s="1"/>
  <c r="R61" i="1" s="1"/>
  <c r="S11" i="1"/>
  <c r="S15" i="1"/>
  <c r="S19" i="1"/>
  <c r="S16" i="1" s="1"/>
  <c r="S25" i="1"/>
  <c r="S29" i="1"/>
  <c r="S37" i="1"/>
  <c r="S39" i="1"/>
  <c r="S44" i="1"/>
  <c r="S40" i="1" s="1"/>
  <c r="S50" i="1"/>
  <c r="S56" i="1"/>
  <c r="S60" i="1"/>
  <c r="S69" i="1"/>
  <c r="S77" i="1" s="1"/>
  <c r="S61" i="1" s="1"/>
  <c r="T11" i="1"/>
  <c r="T15" i="1"/>
  <c r="T19" i="1"/>
  <c r="T16" i="1" s="1"/>
  <c r="T25" i="1"/>
  <c r="T29" i="1"/>
  <c r="T20" i="1" s="1"/>
  <c r="T37" i="1"/>
  <c r="T39" i="1"/>
  <c r="T44" i="1"/>
  <c r="T40" i="1" s="1"/>
  <c r="T50" i="1"/>
  <c r="T56" i="1"/>
  <c r="T60" i="1"/>
  <c r="T69" i="1"/>
  <c r="T77" i="1"/>
  <c r="T61" i="1" s="1"/>
  <c r="U11" i="1"/>
  <c r="U15" i="1"/>
  <c r="U19" i="1"/>
  <c r="U16" i="1" s="1"/>
  <c r="U25" i="1"/>
  <c r="U29" i="1"/>
  <c r="U37" i="1"/>
  <c r="U39" i="1"/>
  <c r="U44" i="1"/>
  <c r="U40" i="1" s="1"/>
  <c r="U50" i="1"/>
  <c r="U56" i="1"/>
  <c r="U60" i="1"/>
  <c r="U69" i="1"/>
  <c r="U77" i="1" s="1"/>
  <c r="U61" i="1" s="1"/>
  <c r="Y11" i="1"/>
  <c r="Y15" i="1"/>
  <c r="Y19" i="1"/>
  <c r="Y16" i="1" s="1"/>
  <c r="Y25" i="1"/>
  <c r="Y29" i="1"/>
  <c r="Y37" i="1"/>
  <c r="Y39" i="1"/>
  <c r="Y44" i="1"/>
  <c r="Y40" i="1" s="1"/>
  <c r="Y50" i="1"/>
  <c r="Y56" i="1"/>
  <c r="Y60" i="1"/>
  <c r="Y69" i="1"/>
  <c r="Y77" i="1" s="1"/>
  <c r="Y61" i="1" s="1"/>
  <c r="AB11" i="1"/>
  <c r="AB15" i="1"/>
  <c r="AB19" i="1"/>
  <c r="AB16" i="1" s="1"/>
  <c r="AB25" i="1"/>
  <c r="AB29" i="1"/>
  <c r="AB37" i="1"/>
  <c r="AB39" i="1"/>
  <c r="AB44" i="1"/>
  <c r="AB40" i="1" s="1"/>
  <c r="AB50" i="1"/>
  <c r="AB56" i="1"/>
  <c r="AB60" i="1"/>
  <c r="AB69" i="1"/>
  <c r="AB77" i="1" s="1"/>
  <c r="AB61" i="1" s="1"/>
  <c r="AC6" i="1"/>
  <c r="AD6" i="1"/>
  <c r="AM11" i="1"/>
  <c r="AM15" i="1"/>
  <c r="AM19" i="1"/>
  <c r="AM16" i="1" s="1"/>
  <c r="AM25" i="1"/>
  <c r="AM29" i="1"/>
  <c r="AM37" i="1"/>
  <c r="AM39" i="1"/>
  <c r="AM44" i="1"/>
  <c r="AM40" i="1" s="1"/>
  <c r="AM50" i="1"/>
  <c r="AM56" i="1"/>
  <c r="AM60" i="1"/>
  <c r="AM77" i="1"/>
  <c r="AM61" i="1" s="1"/>
  <c r="AN15" i="1"/>
  <c r="AN19" i="1"/>
  <c r="AN16" i="1" s="1"/>
  <c r="AN44" i="1"/>
  <c r="AN40" i="1" s="1"/>
  <c r="Z6" i="1"/>
  <c r="Z5" i="1" s="1"/>
  <c r="AA6" i="1"/>
  <c r="AA5" i="1" s="1"/>
  <c r="AJ6" i="1"/>
  <c r="AJ5" i="1" s="1"/>
  <c r="AK6" i="1"/>
  <c r="AK5" i="1" s="1"/>
  <c r="AL6" i="1"/>
  <c r="AV6" i="1"/>
  <c r="AW6" i="1"/>
  <c r="AY6" i="1"/>
  <c r="AZ6" i="1"/>
  <c r="BA6" i="1"/>
  <c r="AR69" i="1"/>
  <c r="R85" i="1"/>
  <c r="R88" i="1"/>
  <c r="R92" i="1"/>
  <c r="R105" i="1"/>
  <c r="R100" i="1" s="1"/>
  <c r="R110" i="1"/>
  <c r="R106" i="1" s="1"/>
  <c r="R117" i="1"/>
  <c r="R111" i="1" s="1"/>
  <c r="R122" i="1"/>
  <c r="R118" i="1" s="1"/>
  <c r="R133" i="1"/>
  <c r="R123" i="1" s="1"/>
  <c r="R139" i="1"/>
  <c r="R134" i="1" s="1"/>
  <c r="R149" i="1"/>
  <c r="R140" i="1" s="1"/>
  <c r="S85" i="1"/>
  <c r="S88" i="1"/>
  <c r="S92" i="1"/>
  <c r="S105" i="1"/>
  <c r="S100" i="1" s="1"/>
  <c r="S110" i="1"/>
  <c r="S106" i="1" s="1"/>
  <c r="S117" i="1"/>
  <c r="S111" i="1" s="1"/>
  <c r="S122" i="1"/>
  <c r="S118" i="1" s="1"/>
  <c r="S133" i="1"/>
  <c r="S123" i="1" s="1"/>
  <c r="S139" i="1"/>
  <c r="S134" i="1" s="1"/>
  <c r="S149" i="1"/>
  <c r="S140" i="1" s="1"/>
  <c r="T85" i="1"/>
  <c r="T88" i="1"/>
  <c r="T92" i="1"/>
  <c r="T105" i="1"/>
  <c r="T100" i="1" s="1"/>
  <c r="T110" i="1"/>
  <c r="T106" i="1" s="1"/>
  <c r="T117" i="1"/>
  <c r="T111" i="1" s="1"/>
  <c r="T122" i="1"/>
  <c r="T118" i="1" s="1"/>
  <c r="T133" i="1"/>
  <c r="T123" i="1" s="1"/>
  <c r="T139" i="1"/>
  <c r="T134" i="1" s="1"/>
  <c r="T149" i="1"/>
  <c r="T140" i="1" s="1"/>
  <c r="U85" i="1"/>
  <c r="U88" i="1"/>
  <c r="U92" i="1"/>
  <c r="U105" i="1"/>
  <c r="U100" i="1"/>
  <c r="U110" i="1"/>
  <c r="U106" i="1" s="1"/>
  <c r="U117" i="1"/>
  <c r="U111" i="1" s="1"/>
  <c r="U122" i="1"/>
  <c r="U118" i="1" s="1"/>
  <c r="U133" i="1"/>
  <c r="U123" i="1" s="1"/>
  <c r="U139" i="1"/>
  <c r="U134" i="1" s="1"/>
  <c r="U149" i="1"/>
  <c r="U140" i="1" s="1"/>
  <c r="Y85" i="1"/>
  <c r="Y88" i="1"/>
  <c r="Y92" i="1"/>
  <c r="Y105" i="1"/>
  <c r="Y100" i="1" s="1"/>
  <c r="Y110" i="1"/>
  <c r="Y106" i="1" s="1"/>
  <c r="Y117" i="1"/>
  <c r="Y111" i="1" s="1"/>
  <c r="Y122" i="1"/>
  <c r="Y118" i="1" s="1"/>
  <c r="Y133" i="1"/>
  <c r="Y123" i="1" s="1"/>
  <c r="Y139" i="1"/>
  <c r="Y134" i="1" s="1"/>
  <c r="Y149" i="1"/>
  <c r="Y140" i="1" s="1"/>
  <c r="AB85" i="1"/>
  <c r="AB88" i="1"/>
  <c r="AB92" i="1"/>
  <c r="AB105" i="1"/>
  <c r="AB100" i="1" s="1"/>
  <c r="AB110" i="1"/>
  <c r="AB106" i="1" s="1"/>
  <c r="AB117" i="1"/>
  <c r="AB111" i="1" s="1"/>
  <c r="AB122" i="1"/>
  <c r="AB118" i="1" s="1"/>
  <c r="AB133" i="1"/>
  <c r="AB123" i="1" s="1"/>
  <c r="AB139" i="1"/>
  <c r="AB134" i="1" s="1"/>
  <c r="AB149" i="1"/>
  <c r="AB140" i="1" s="1"/>
  <c r="AE85" i="1"/>
  <c r="AM85" i="1"/>
  <c r="AM88" i="1"/>
  <c r="AM92" i="1"/>
  <c r="AM105" i="1"/>
  <c r="AM100" i="1" s="1"/>
  <c r="AM110" i="1"/>
  <c r="AM106" i="1" s="1"/>
  <c r="AM117" i="1"/>
  <c r="AM111" i="1" s="1"/>
  <c r="AM122" i="1"/>
  <c r="AM118" i="1" s="1"/>
  <c r="AM133" i="1"/>
  <c r="AM123" i="1" s="1"/>
  <c r="AM139" i="1"/>
  <c r="AM134" i="1" s="1"/>
  <c r="AM149" i="1"/>
  <c r="AM140" i="1" s="1"/>
  <c r="AN85" i="1"/>
  <c r="AN88" i="1"/>
  <c r="AN92" i="1"/>
  <c r="AN105" i="1"/>
  <c r="AN100" i="1" s="1"/>
  <c r="AN110" i="1"/>
  <c r="AN106" i="1" s="1"/>
  <c r="AN117" i="1"/>
  <c r="AN111" i="1" s="1"/>
  <c r="AN122" i="1"/>
  <c r="AN118" i="1" s="1"/>
  <c r="AN149" i="1"/>
  <c r="AN140" i="1" s="1"/>
  <c r="L27" i="18"/>
  <c r="M27" i="18"/>
  <c r="N27" i="18"/>
  <c r="O27" i="18"/>
  <c r="P27" i="18"/>
  <c r="Q27" i="18"/>
  <c r="R27" i="18"/>
  <c r="R156" i="1"/>
  <c r="R159" i="1"/>
  <c r="R162" i="1"/>
  <c r="R168" i="1"/>
  <c r="R178" i="1"/>
  <c r="R181" i="1"/>
  <c r="R190" i="1"/>
  <c r="R193" i="1"/>
  <c r="R196" i="1"/>
  <c r="S156" i="1"/>
  <c r="S159" i="1"/>
  <c r="S162" i="1"/>
  <c r="S168" i="1"/>
  <c r="S178" i="1"/>
  <c r="S181" i="1"/>
  <c r="S190" i="1"/>
  <c r="S193" i="1"/>
  <c r="S196" i="1"/>
  <c r="T156" i="1"/>
  <c r="T159" i="1"/>
  <c r="T162" i="1"/>
  <c r="T168" i="1"/>
  <c r="T178" i="1"/>
  <c r="T181" i="1"/>
  <c r="T190" i="1"/>
  <c r="T193" i="1"/>
  <c r="T196" i="1"/>
  <c r="U156" i="1"/>
  <c r="U159" i="1"/>
  <c r="U162" i="1"/>
  <c r="U168" i="1"/>
  <c r="U178" i="1"/>
  <c r="U181" i="1"/>
  <c r="U190" i="1"/>
  <c r="U193" i="1"/>
  <c r="U196" i="1"/>
  <c r="AB156" i="1"/>
  <c r="AB159" i="1"/>
  <c r="AB162" i="1"/>
  <c r="AB168" i="1"/>
  <c r="AB178" i="1"/>
  <c r="AB181" i="1"/>
  <c r="AB190" i="1"/>
  <c r="AB193" i="1"/>
  <c r="AB196" i="1"/>
  <c r="AM156" i="1"/>
  <c r="AM159" i="1"/>
  <c r="AM162" i="1"/>
  <c r="AM168" i="1"/>
  <c r="AM178" i="1"/>
  <c r="AM181" i="1"/>
  <c r="AM190" i="1"/>
  <c r="AM193" i="1"/>
  <c r="AM196" i="1"/>
  <c r="AN156" i="1"/>
  <c r="AN159" i="1"/>
  <c r="AN162" i="1"/>
  <c r="AN168" i="1"/>
  <c r="AN181" i="1"/>
  <c r="AN196" i="1"/>
  <c r="Y156" i="1"/>
  <c r="Y159" i="1"/>
  <c r="Y162" i="1"/>
  <c r="Y168" i="1"/>
  <c r="Y178" i="1"/>
  <c r="Y181" i="1"/>
  <c r="L53" i="18"/>
  <c r="M53" i="18"/>
  <c r="O53" i="18"/>
  <c r="Q53" i="18"/>
  <c r="R53" i="18"/>
  <c r="L54" i="18"/>
  <c r="M54" i="18"/>
  <c r="N54" i="18"/>
  <c r="O54" i="18"/>
  <c r="P54" i="18"/>
  <c r="Q54" i="18"/>
  <c r="EQ54" i="18" s="1"/>
  <c r="R54" i="18"/>
  <c r="Y190" i="1"/>
  <c r="Y193" i="1"/>
  <c r="Y196" i="1"/>
  <c r="L56" i="18"/>
  <c r="M56" i="18"/>
  <c r="N56" i="18"/>
  <c r="O56" i="18"/>
  <c r="O55" i="18" s="1"/>
  <c r="P56" i="18"/>
  <c r="Q56" i="18"/>
  <c r="R56" i="18"/>
  <c r="L57" i="18"/>
  <c r="M57" i="18"/>
  <c r="N57" i="18"/>
  <c r="O57" i="18"/>
  <c r="P57" i="18"/>
  <c r="Q57" i="18"/>
  <c r="R57" i="18"/>
  <c r="R203" i="1"/>
  <c r="R212" i="1"/>
  <c r="R220" i="1"/>
  <c r="R213" i="1" s="1"/>
  <c r="R225" i="1"/>
  <c r="R221" i="1" s="1"/>
  <c r="R231" i="1"/>
  <c r="R226" i="1" s="1"/>
  <c r="R237" i="1"/>
  <c r="R232" i="1" s="1"/>
  <c r="R243" i="1"/>
  <c r="R238" i="1" s="1"/>
  <c r="S203" i="1"/>
  <c r="S212" i="1"/>
  <c r="S220" i="1"/>
  <c r="S213" i="1" s="1"/>
  <c r="S225" i="1"/>
  <c r="S221" i="1" s="1"/>
  <c r="S231" i="1"/>
  <c r="S226" i="1" s="1"/>
  <c r="S237" i="1"/>
  <c r="S232" i="1" s="1"/>
  <c r="S243" i="1"/>
  <c r="S238" i="1" s="1"/>
  <c r="T203" i="1"/>
  <c r="T212" i="1"/>
  <c r="T220" i="1"/>
  <c r="T213" i="1" s="1"/>
  <c r="T225" i="1"/>
  <c r="T221" i="1" s="1"/>
  <c r="T231" i="1"/>
  <c r="T226" i="1" s="1"/>
  <c r="T237" i="1"/>
  <c r="T232" i="1" s="1"/>
  <c r="T243" i="1"/>
  <c r="T238" i="1" s="1"/>
  <c r="U203" i="1"/>
  <c r="U212" i="1"/>
  <c r="U220" i="1"/>
  <c r="U213" i="1" s="1"/>
  <c r="U225" i="1"/>
  <c r="U221" i="1" s="1"/>
  <c r="U231" i="1"/>
  <c r="U226" i="1" s="1"/>
  <c r="U237" i="1"/>
  <c r="U232" i="1" s="1"/>
  <c r="U243" i="1"/>
  <c r="U238" i="1" s="1"/>
  <c r="Y203" i="1"/>
  <c r="Y212" i="1"/>
  <c r="Y220" i="1"/>
  <c r="Y213" i="1" s="1"/>
  <c r="Y225" i="1"/>
  <c r="Y221" i="1" s="1"/>
  <c r="Y231" i="1"/>
  <c r="Y226" i="1" s="1"/>
  <c r="Y237" i="1"/>
  <c r="Y232" i="1" s="1"/>
  <c r="Y243" i="1"/>
  <c r="Y238" i="1" s="1"/>
  <c r="AB203" i="1"/>
  <c r="AB212" i="1"/>
  <c r="AB220" i="1"/>
  <c r="AB213" i="1" s="1"/>
  <c r="AB225" i="1"/>
  <c r="AB221" i="1" s="1"/>
  <c r="AB231" i="1"/>
  <c r="AB226" i="1" s="1"/>
  <c r="AB237" i="1"/>
  <c r="AB232" i="1" s="1"/>
  <c r="AB243" i="1"/>
  <c r="AB238" i="1" s="1"/>
  <c r="AB207" i="1"/>
  <c r="Y207" i="1"/>
  <c r="U207" i="1"/>
  <c r="T207" i="1"/>
  <c r="S207" i="1"/>
  <c r="R207" i="1"/>
  <c r="AB208" i="1"/>
  <c r="Y208" i="1"/>
  <c r="U208" i="1"/>
  <c r="T208" i="1"/>
  <c r="S208" i="1"/>
  <c r="R208" i="1"/>
  <c r="AM203" i="1"/>
  <c r="AM207" i="1"/>
  <c r="AN207" i="1" s="1"/>
  <c r="AS207" i="1" s="1"/>
  <c r="AM208" i="1"/>
  <c r="AM212" i="1"/>
  <c r="AM220" i="1"/>
  <c r="AM213" i="1" s="1"/>
  <c r="AM225" i="1"/>
  <c r="AM221" i="1" s="1"/>
  <c r="AM231" i="1"/>
  <c r="AM226" i="1" s="1"/>
  <c r="AM237" i="1"/>
  <c r="AM232" i="1" s="1"/>
  <c r="AM243" i="1"/>
  <c r="AM238" i="1" s="1"/>
  <c r="AN203" i="1"/>
  <c r="AN231" i="1"/>
  <c r="AN226" i="1" s="1"/>
  <c r="AN243" i="1"/>
  <c r="AN238" i="1" s="1"/>
  <c r="L207" i="1"/>
  <c r="M207" i="1" s="1"/>
  <c r="L208" i="1"/>
  <c r="M208" i="1" s="1"/>
  <c r="R250" i="1"/>
  <c r="R254" i="1"/>
  <c r="R258" i="1"/>
  <c r="R263" i="1"/>
  <c r="R268" i="1"/>
  <c r="R273" i="1"/>
  <c r="R276" i="1"/>
  <c r="R283" i="1"/>
  <c r="R277" i="1" s="1"/>
  <c r="R289" i="1"/>
  <c r="R284" i="1" s="1"/>
  <c r="S250" i="1"/>
  <c r="S245" i="1" s="1"/>
  <c r="S254" i="1"/>
  <c r="S258" i="1"/>
  <c r="S263" i="1"/>
  <c r="S268" i="1"/>
  <c r="S273" i="1"/>
  <c r="S276" i="1"/>
  <c r="S269" i="1" s="1"/>
  <c r="S283" i="1"/>
  <c r="S277" i="1" s="1"/>
  <c r="S289" i="1"/>
  <c r="S284" i="1" s="1"/>
  <c r="T250" i="1"/>
  <c r="T254" i="1"/>
  <c r="T258" i="1"/>
  <c r="T268" i="1"/>
  <c r="T273" i="1"/>
  <c r="T276" i="1"/>
  <c r="T283" i="1"/>
  <c r="T277" i="1" s="1"/>
  <c r="T289" i="1"/>
  <c r="T284" i="1" s="1"/>
  <c r="U250" i="1"/>
  <c r="U254" i="1"/>
  <c r="U258" i="1"/>
  <c r="U263" i="1"/>
  <c r="U268" i="1"/>
  <c r="U273" i="1"/>
  <c r="U276" i="1"/>
  <c r="U283" i="1"/>
  <c r="U277" i="1" s="1"/>
  <c r="U289" i="1"/>
  <c r="U284" i="1" s="1"/>
  <c r="Y250" i="1"/>
  <c r="Y254" i="1"/>
  <c r="Y258" i="1"/>
  <c r="Y263" i="1"/>
  <c r="Y268" i="1"/>
  <c r="Y276" i="1"/>
  <c r="Y283" i="1"/>
  <c r="Y277" i="1" s="1"/>
  <c r="Y289" i="1"/>
  <c r="Y284" i="1" s="1"/>
  <c r="AA244" i="1"/>
  <c r="AB250" i="1"/>
  <c r="AB254" i="1"/>
  <c r="AB258" i="1"/>
  <c r="AB268" i="1"/>
  <c r="AB273" i="1"/>
  <c r="AB276" i="1"/>
  <c r="AB283" i="1"/>
  <c r="AB277" i="1" s="1"/>
  <c r="AB289" i="1"/>
  <c r="AB284" i="1" s="1"/>
  <c r="AC250" i="1"/>
  <c r="AC254" i="1"/>
  <c r="AC258" i="1"/>
  <c r="AC263" i="1"/>
  <c r="AC268" i="1"/>
  <c r="AC273" i="1"/>
  <c r="AC276" i="1"/>
  <c r="AC283" i="1"/>
  <c r="AC277" i="1" s="1"/>
  <c r="AD250" i="1"/>
  <c r="AD254" i="1"/>
  <c r="AD258" i="1"/>
  <c r="AD263" i="1"/>
  <c r="AD268" i="1"/>
  <c r="AD273" i="1"/>
  <c r="AD276" i="1"/>
  <c r="AD283" i="1"/>
  <c r="AD277" i="1" s="1"/>
  <c r="AM250" i="1"/>
  <c r="AM254" i="1"/>
  <c r="AM258" i="1"/>
  <c r="AM263" i="1"/>
  <c r="AM268" i="1"/>
  <c r="AM276" i="1"/>
  <c r="AM283" i="1"/>
  <c r="AM277" i="1" s="1"/>
  <c r="AM289" i="1"/>
  <c r="AM284" i="1" s="1"/>
  <c r="AN254" i="1"/>
  <c r="AN258" i="1"/>
  <c r="AN276" i="1"/>
  <c r="AN283" i="1"/>
  <c r="AN277" i="1" s="1"/>
  <c r="AN289" i="1"/>
  <c r="AN284" i="1" s="1"/>
  <c r="AU277" i="1"/>
  <c r="AV259" i="1"/>
  <c r="AV277" i="1"/>
  <c r="AW277" i="1"/>
  <c r="Z245" i="1"/>
  <c r="Z244" i="1" s="1"/>
  <c r="AJ250" i="1"/>
  <c r="AK250" i="1"/>
  <c r="AL250" i="1"/>
  <c r="AU250" i="1"/>
  <c r="L76" i="18" s="1"/>
  <c r="AV250" i="1"/>
  <c r="M76" i="18" s="1"/>
  <c r="AW250" i="1"/>
  <c r="N76" i="18" s="1"/>
  <c r="AX250" i="1"/>
  <c r="O76" i="18" s="1"/>
  <c r="AY250" i="1"/>
  <c r="P76" i="18" s="1"/>
  <c r="AZ250" i="1"/>
  <c r="Q76" i="18" s="1"/>
  <c r="BA250" i="1"/>
  <c r="R76" i="18" s="1"/>
  <c r="AJ254" i="1"/>
  <c r="AK254" i="1"/>
  <c r="AK245" i="1" s="1"/>
  <c r="AL254" i="1"/>
  <c r="AU254" i="1"/>
  <c r="L77" i="18" s="1"/>
  <c r="AV254" i="1"/>
  <c r="M77" i="18" s="1"/>
  <c r="AW254" i="1"/>
  <c r="N77" i="18" s="1"/>
  <c r="AX254" i="1"/>
  <c r="O77" i="18" s="1"/>
  <c r="AY254" i="1"/>
  <c r="P77" i="18" s="1"/>
  <c r="AZ254" i="1"/>
  <c r="BA254" i="1"/>
  <c r="R77" i="18" s="1"/>
  <c r="AJ258" i="1"/>
  <c r="AK258" i="1"/>
  <c r="AL258" i="1"/>
  <c r="AU258" i="1"/>
  <c r="L78" i="18" s="1"/>
  <c r="AV258" i="1"/>
  <c r="M78" i="18" s="1"/>
  <c r="AW258" i="1"/>
  <c r="N78" i="18" s="1"/>
  <c r="AX258" i="1"/>
  <c r="O78" i="18" s="1"/>
  <c r="AY258" i="1"/>
  <c r="P78" i="18" s="1"/>
  <c r="AZ258" i="1"/>
  <c r="Q78" i="18" s="1"/>
  <c r="BA258" i="1"/>
  <c r="R78" i="18" s="1"/>
  <c r="AJ263" i="1"/>
  <c r="AK263" i="1"/>
  <c r="AL263" i="1"/>
  <c r="AL259" i="1" s="1"/>
  <c r="AU263" i="1"/>
  <c r="L80" i="18" s="1"/>
  <c r="L79" i="18" s="1"/>
  <c r="AV263" i="1"/>
  <c r="M80" i="18" s="1"/>
  <c r="AW263" i="1"/>
  <c r="N80" i="18" s="1"/>
  <c r="AX263" i="1"/>
  <c r="O80" i="18" s="1"/>
  <c r="AY263" i="1"/>
  <c r="P80" i="18" s="1"/>
  <c r="AZ263" i="1"/>
  <c r="Q80" i="18" s="1"/>
  <c r="BA263" i="1"/>
  <c r="R80" i="18" s="1"/>
  <c r="R79" i="18" s="1"/>
  <c r="AJ268" i="1"/>
  <c r="AJ259" i="1" s="1"/>
  <c r="AK268" i="1"/>
  <c r="AL268" i="1"/>
  <c r="AX268" i="1"/>
  <c r="O81" i="18" s="1"/>
  <c r="AY268" i="1"/>
  <c r="P81" i="18" s="1"/>
  <c r="AZ268" i="1"/>
  <c r="Q81" i="18" s="1"/>
  <c r="BA268" i="1"/>
  <c r="R81" i="18" s="1"/>
  <c r="AJ273" i="1"/>
  <c r="AK273" i="1"/>
  <c r="AL273" i="1"/>
  <c r="AL269" i="1" s="1"/>
  <c r="AU273" i="1"/>
  <c r="L83" i="18" s="1"/>
  <c r="AV273" i="1"/>
  <c r="M83" i="18" s="1"/>
  <c r="AW273" i="1"/>
  <c r="N83" i="18" s="1"/>
  <c r="AX273" i="1"/>
  <c r="O83" i="18" s="1"/>
  <c r="AY273" i="1"/>
  <c r="P83" i="18" s="1"/>
  <c r="AZ273" i="1"/>
  <c r="Q83" i="18" s="1"/>
  <c r="BA273" i="1"/>
  <c r="R83" i="18" s="1"/>
  <c r="AJ276" i="1"/>
  <c r="AJ269" i="1" s="1"/>
  <c r="AK276" i="1"/>
  <c r="AL276" i="1"/>
  <c r="AU276" i="1"/>
  <c r="L84" i="18" s="1"/>
  <c r="AV276" i="1"/>
  <c r="M84" i="18" s="1"/>
  <c r="AW276" i="1"/>
  <c r="N84" i="18" s="1"/>
  <c r="AX276" i="1"/>
  <c r="O84" i="18" s="1"/>
  <c r="AY276" i="1"/>
  <c r="P84" i="18" s="1"/>
  <c r="AZ276" i="1"/>
  <c r="Q84" i="18" s="1"/>
  <c r="BA276" i="1"/>
  <c r="R84" i="18" s="1"/>
  <c r="BA277" i="1"/>
  <c r="AJ283" i="1"/>
  <c r="AJ277" i="1" s="1"/>
  <c r="AK283" i="1"/>
  <c r="AK277" i="1" s="1"/>
  <c r="AL283" i="1"/>
  <c r="AL277" i="1" s="1"/>
  <c r="AX283" i="1"/>
  <c r="O86" i="18" s="1"/>
  <c r="O85" i="18" s="1"/>
  <c r="AY283" i="1"/>
  <c r="P86" i="18" s="1"/>
  <c r="P85" i="18" s="1"/>
  <c r="AZ283" i="1"/>
  <c r="Q86" i="18" s="1"/>
  <c r="Q85" i="18" s="1"/>
  <c r="BA283" i="1"/>
  <c r="R86" i="18" s="1"/>
  <c r="R85" i="18" s="1"/>
  <c r="AC289" i="1"/>
  <c r="AC284" i="1" s="1"/>
  <c r="AD289" i="1"/>
  <c r="AD284" i="1" s="1"/>
  <c r="AJ289" i="1"/>
  <c r="AJ284" i="1" s="1"/>
  <c r="AK289" i="1"/>
  <c r="AK284" i="1" s="1"/>
  <c r="AL289" i="1"/>
  <c r="AL284" i="1" s="1"/>
  <c r="AU289" i="1"/>
  <c r="L88" i="18" s="1"/>
  <c r="L87" i="18" s="1"/>
  <c r="AV289" i="1"/>
  <c r="AV284" i="1" s="1"/>
  <c r="AW289" i="1"/>
  <c r="AW284" i="1" s="1"/>
  <c r="AX289" i="1"/>
  <c r="O88" i="18" s="1"/>
  <c r="O87" i="18" s="1"/>
  <c r="AY289" i="1"/>
  <c r="P88" i="18" s="1"/>
  <c r="P87" i="18" s="1"/>
  <c r="AZ289" i="1"/>
  <c r="Q88" i="18" s="1"/>
  <c r="Q87" i="18" s="1"/>
  <c r="BA289" i="1"/>
  <c r="R88" i="18" s="1"/>
  <c r="AQ264" i="1" l="1"/>
  <c r="M268" i="1"/>
  <c r="AQ230" i="12"/>
  <c r="M231" i="12"/>
  <c r="M226" i="12" s="1"/>
  <c r="AS247" i="1"/>
  <c r="AN250" i="1"/>
  <c r="AM6" i="13"/>
  <c r="AJ5" i="14"/>
  <c r="Y20" i="14"/>
  <c r="L20" i="14"/>
  <c r="L6" i="14"/>
  <c r="T269" i="22"/>
  <c r="L269" i="22"/>
  <c r="AJ5" i="22"/>
  <c r="AE270" i="1"/>
  <c r="AF270" i="1" s="1"/>
  <c r="AM75" i="18"/>
  <c r="AE88" i="18"/>
  <c r="AE87" i="18" s="1"/>
  <c r="Z88" i="18"/>
  <c r="Z87" i="18" s="1"/>
  <c r="DR60" i="18"/>
  <c r="AE227" i="14"/>
  <c r="AE234" i="12"/>
  <c r="AF234" i="12" s="1"/>
  <c r="AR234" i="12" s="1"/>
  <c r="S193" i="23"/>
  <c r="EC47" i="18"/>
  <c r="S196" i="23"/>
  <c r="U181" i="23"/>
  <c r="AF171" i="23"/>
  <c r="AR171" i="23" s="1"/>
  <c r="U168" i="17"/>
  <c r="T168" i="17"/>
  <c r="U162" i="17"/>
  <c r="AB159" i="17"/>
  <c r="U159" i="17"/>
  <c r="BY47" i="18"/>
  <c r="R139" i="23"/>
  <c r="R134" i="23" s="1"/>
  <c r="AB139" i="23"/>
  <c r="AB134" i="23" s="1"/>
  <c r="T139" i="23"/>
  <c r="T134" i="23" s="1"/>
  <c r="S139" i="23"/>
  <c r="S134" i="23" s="1"/>
  <c r="U122" i="23"/>
  <c r="U118" i="23" s="1"/>
  <c r="AC150" i="12"/>
  <c r="AZ259" i="1"/>
  <c r="AY259" i="1"/>
  <c r="Y79" i="16"/>
  <c r="AE201" i="14"/>
  <c r="AF201" i="14" s="1"/>
  <c r="AR201" i="14" s="1"/>
  <c r="AF218" i="1"/>
  <c r="AR218" i="1" s="1"/>
  <c r="AT82" i="1"/>
  <c r="BB82" i="1" s="1"/>
  <c r="AB269" i="1"/>
  <c r="AK259" i="1"/>
  <c r="AZ245" i="1"/>
  <c r="AJ245" i="1"/>
  <c r="AJ244" i="1" s="1"/>
  <c r="AL245" i="1"/>
  <c r="AL244" i="1" s="1"/>
  <c r="T182" i="1"/>
  <c r="U20" i="1"/>
  <c r="L245" i="12"/>
  <c r="T259" i="14"/>
  <c r="L259" i="15"/>
  <c r="R245" i="15"/>
  <c r="L6" i="15"/>
  <c r="M259" i="16"/>
  <c r="T79" i="16"/>
  <c r="AX5" i="16"/>
  <c r="ED75" i="18"/>
  <c r="AE253" i="1"/>
  <c r="AF253" i="1" s="1"/>
  <c r="AR253" i="1" s="1"/>
  <c r="AE152" i="23"/>
  <c r="AF152" i="23" s="1"/>
  <c r="AR152" i="23" s="1"/>
  <c r="U178" i="22"/>
  <c r="S159" i="22"/>
  <c r="AB156" i="22"/>
  <c r="BC47" i="18"/>
  <c r="AD259" i="1"/>
  <c r="AC245" i="1"/>
  <c r="U245" i="1"/>
  <c r="U79" i="1"/>
  <c r="AB20" i="1"/>
  <c r="L182" i="13"/>
  <c r="T20" i="14"/>
  <c r="Y182" i="16"/>
  <c r="AJ269" i="23"/>
  <c r="AK269" i="1"/>
  <c r="M79" i="18"/>
  <c r="AM273" i="1"/>
  <c r="AB163" i="1"/>
  <c r="R79" i="1"/>
  <c r="Y20" i="1"/>
  <c r="U45" i="1"/>
  <c r="AM263" i="12"/>
  <c r="AM259" i="12" s="1"/>
  <c r="AM45" i="12"/>
  <c r="AM20" i="12"/>
  <c r="L20" i="12"/>
  <c r="S163" i="13"/>
  <c r="AB20" i="13"/>
  <c r="Y254" i="14"/>
  <c r="T45" i="14"/>
  <c r="AM269" i="15"/>
  <c r="Y273" i="15"/>
  <c r="AN259" i="15"/>
  <c r="Y263" i="15"/>
  <c r="Y259" i="15" s="1"/>
  <c r="R259" i="15"/>
  <c r="L259" i="16"/>
  <c r="Y263" i="16"/>
  <c r="T245" i="16"/>
  <c r="AM243" i="16"/>
  <c r="AM238" i="16" s="1"/>
  <c r="R79" i="16"/>
  <c r="AJ269" i="17"/>
  <c r="AM258" i="17"/>
  <c r="L45" i="17"/>
  <c r="L20" i="17"/>
  <c r="AF263" i="22"/>
  <c r="AE258" i="22"/>
  <c r="L212" i="22"/>
  <c r="U6" i="22"/>
  <c r="L6" i="22"/>
  <c r="AM276" i="23"/>
  <c r="AF276" i="23"/>
  <c r="AB259" i="23"/>
  <c r="AN258" i="23"/>
  <c r="AE254" i="23"/>
  <c r="AM220" i="23"/>
  <c r="AM213" i="23" s="1"/>
  <c r="L212" i="23"/>
  <c r="EE82" i="18"/>
  <c r="EA82" i="18"/>
  <c r="DR82" i="18"/>
  <c r="DN82" i="18"/>
  <c r="BZ82" i="18"/>
  <c r="BO82" i="18"/>
  <c r="AZ82" i="18"/>
  <c r="AR82" i="18"/>
  <c r="AN82" i="18"/>
  <c r="DP79" i="18"/>
  <c r="CM79" i="18"/>
  <c r="BD79" i="18"/>
  <c r="U220" i="22"/>
  <c r="U213" i="22" s="1"/>
  <c r="R212" i="22"/>
  <c r="U212" i="22"/>
  <c r="T203" i="22"/>
  <c r="S203" i="22"/>
  <c r="U193" i="17"/>
  <c r="T193" i="16"/>
  <c r="R190" i="23"/>
  <c r="AB190" i="23"/>
  <c r="U190" i="23"/>
  <c r="S190" i="22"/>
  <c r="R190" i="22"/>
  <c r="S196" i="22"/>
  <c r="U181" i="22"/>
  <c r="S196" i="16"/>
  <c r="U196" i="16"/>
  <c r="AB181" i="16"/>
  <c r="U162" i="16"/>
  <c r="S162" i="16"/>
  <c r="AB159" i="16"/>
  <c r="U92" i="17"/>
  <c r="U88" i="17"/>
  <c r="AF82" i="13"/>
  <c r="AR82" i="13" s="1"/>
  <c r="AB60" i="23"/>
  <c r="R60" i="22"/>
  <c r="AB60" i="22"/>
  <c r="EM13" i="18"/>
  <c r="AR19" i="18"/>
  <c r="AR12" i="18"/>
  <c r="R24" i="18"/>
  <c r="R23" i="18" s="1"/>
  <c r="O16" i="18"/>
  <c r="AM264" i="14"/>
  <c r="AD259" i="13"/>
  <c r="AW259" i="13"/>
  <c r="BA259" i="13"/>
  <c r="BA244" i="13" s="1"/>
  <c r="BA292" i="13" s="1"/>
  <c r="AW269" i="13"/>
  <c r="BA269" i="13"/>
  <c r="AD259" i="14"/>
  <c r="AX259" i="14"/>
  <c r="AX269" i="14"/>
  <c r="AW259" i="15"/>
  <c r="BA259" i="15"/>
  <c r="BA244" i="15" s="1"/>
  <c r="AW269" i="15"/>
  <c r="BA269" i="15"/>
  <c r="AY259" i="16"/>
  <c r="AY244" i="16" s="1"/>
  <c r="AY269" i="16"/>
  <c r="AX259" i="17"/>
  <c r="AC269" i="22"/>
  <c r="AY259" i="22"/>
  <c r="AY244" i="22" s="1"/>
  <c r="AY269" i="22"/>
  <c r="AC45" i="1"/>
  <c r="AC151" i="1"/>
  <c r="AD198" i="1"/>
  <c r="AD197" i="1" s="1"/>
  <c r="AL45" i="1"/>
  <c r="AL5" i="1" s="1"/>
  <c r="AU79" i="1"/>
  <c r="AU78" i="1" s="1"/>
  <c r="AY79" i="1"/>
  <c r="AY78" i="1" s="1"/>
  <c r="AZ79" i="1"/>
  <c r="AZ78" i="1" s="1"/>
  <c r="AW163" i="1"/>
  <c r="BA163" i="1"/>
  <c r="AX182" i="1"/>
  <c r="AD45" i="12"/>
  <c r="AD5" i="12" s="1"/>
  <c r="AC77" i="12"/>
  <c r="AC61" i="12" s="1"/>
  <c r="AJ20" i="12"/>
  <c r="AJ5" i="12" s="1"/>
  <c r="AK197" i="12"/>
  <c r="AX150" i="12"/>
  <c r="AX197" i="12"/>
  <c r="AD78" i="13"/>
  <c r="AJ78" i="13"/>
  <c r="AD78" i="14"/>
  <c r="AC151" i="14"/>
  <c r="AC150" i="14" s="1"/>
  <c r="AK151" i="14"/>
  <c r="AK150" i="14" s="1"/>
  <c r="AZ150" i="14"/>
  <c r="AJ150" i="15"/>
  <c r="AK150" i="15"/>
  <c r="AL150" i="15"/>
  <c r="T85" i="23"/>
  <c r="AE87" i="13"/>
  <c r="AF87" i="13" s="1"/>
  <c r="AR87" i="13" s="1"/>
  <c r="DM7" i="18"/>
  <c r="AU44" i="15"/>
  <c r="AU40" i="15" s="1"/>
  <c r="AK269" i="13"/>
  <c r="AJ259" i="13"/>
  <c r="AD20" i="1"/>
  <c r="AD151" i="1"/>
  <c r="AC182" i="1"/>
  <c r="AK197" i="1"/>
  <c r="AV61" i="1"/>
  <c r="AK79" i="12"/>
  <c r="AJ182" i="12"/>
  <c r="AK182" i="12"/>
  <c r="AK150" i="12" s="1"/>
  <c r="AC79" i="13"/>
  <c r="AC163" i="13"/>
  <c r="AC150" i="13" s="1"/>
  <c r="AL78" i="13"/>
  <c r="AC56" i="14"/>
  <c r="AE70" i="15"/>
  <c r="AF70" i="15" s="1"/>
  <c r="AR70" i="15" s="1"/>
  <c r="AY70" i="15" s="1"/>
  <c r="AK259" i="14"/>
  <c r="AK150" i="1"/>
  <c r="AV197" i="12"/>
  <c r="AC45" i="13"/>
  <c r="AD45" i="13"/>
  <c r="AC77" i="13"/>
  <c r="AC61" i="13" s="1"/>
  <c r="AL163" i="13"/>
  <c r="AL78" i="14"/>
  <c r="AL182" i="14"/>
  <c r="AK197" i="14"/>
  <c r="T117" i="22"/>
  <c r="T111" i="22" s="1"/>
  <c r="R117" i="22"/>
  <c r="R111" i="22" s="1"/>
  <c r="AB117" i="22"/>
  <c r="AB111" i="22" s="1"/>
  <c r="S110" i="22"/>
  <c r="S106" i="22" s="1"/>
  <c r="R110" i="22"/>
  <c r="R106" i="22" s="1"/>
  <c r="AB110" i="22"/>
  <c r="AB106" i="22" s="1"/>
  <c r="U105" i="22"/>
  <c r="U100" i="22" s="1"/>
  <c r="T105" i="22"/>
  <c r="T100" i="22" s="1"/>
  <c r="T99" i="22"/>
  <c r="T93" i="22" s="1"/>
  <c r="EN29" i="18"/>
  <c r="S85" i="15"/>
  <c r="AF114" i="1"/>
  <c r="AR114" i="1" s="1"/>
  <c r="T11" i="22"/>
  <c r="S11" i="22"/>
  <c r="AE14" i="13"/>
  <c r="AF14" i="13" s="1"/>
  <c r="AR14" i="13" s="1"/>
  <c r="AE73" i="1"/>
  <c r="AF73" i="1" s="1"/>
  <c r="AR73" i="1" s="1"/>
  <c r="AY73" i="1" s="1"/>
  <c r="AY77" i="1" s="1"/>
  <c r="AC269" i="13"/>
  <c r="AC244" i="13" s="1"/>
  <c r="AC259" i="14"/>
  <c r="AC259" i="23"/>
  <c r="AC220" i="1"/>
  <c r="AC213" i="1" s="1"/>
  <c r="AL182" i="1"/>
  <c r="AJ197" i="1"/>
  <c r="AY45" i="1"/>
  <c r="AW45" i="1"/>
  <c r="AL182" i="12"/>
  <c r="AU182" i="13"/>
  <c r="AD45" i="14"/>
  <c r="AC77" i="14"/>
  <c r="AC61" i="14" s="1"/>
  <c r="AD163" i="14"/>
  <c r="AD150" i="14" s="1"/>
  <c r="AJ20" i="14"/>
  <c r="AJ78" i="14"/>
  <c r="AJ151" i="14"/>
  <c r="AL151" i="14"/>
  <c r="AL163" i="14"/>
  <c r="AW197" i="14"/>
  <c r="BA197" i="14"/>
  <c r="AL78" i="15"/>
  <c r="AV197" i="15"/>
  <c r="AJ150" i="16"/>
  <c r="AW78" i="14"/>
  <c r="AU182" i="14"/>
  <c r="AX197" i="14"/>
  <c r="AC182" i="15"/>
  <c r="AC150" i="15" s="1"/>
  <c r="AD20" i="16"/>
  <c r="AD5" i="16" s="1"/>
  <c r="AW78" i="16"/>
  <c r="BA78" i="16"/>
  <c r="AW182" i="16"/>
  <c r="AL45" i="22"/>
  <c r="AL78" i="22"/>
  <c r="AU78" i="14"/>
  <c r="AY78" i="14"/>
  <c r="AC20" i="15"/>
  <c r="AD182" i="15"/>
  <c r="AD150" i="15" s="1"/>
  <c r="AC220" i="15"/>
  <c r="AC213" i="15" s="1"/>
  <c r="AY20" i="15"/>
  <c r="AV79" i="15"/>
  <c r="AZ79" i="15"/>
  <c r="AZ78" i="15" s="1"/>
  <c r="AW151" i="15"/>
  <c r="BA151" i="15"/>
  <c r="AX163" i="15"/>
  <c r="AU163" i="15"/>
  <c r="AX198" i="15"/>
  <c r="AX197" i="15" s="1"/>
  <c r="AD197" i="16"/>
  <c r="AK78" i="16"/>
  <c r="AV150" i="17"/>
  <c r="BA182" i="17"/>
  <c r="AJ79" i="22"/>
  <c r="AJ78" i="22" s="1"/>
  <c r="AJ182" i="22"/>
  <c r="AZ197" i="14"/>
  <c r="AC19" i="15"/>
  <c r="AC16" i="15" s="1"/>
  <c r="AC212" i="15"/>
  <c r="AJ78" i="15"/>
  <c r="AK197" i="15"/>
  <c r="AW182" i="15"/>
  <c r="BA197" i="15"/>
  <c r="AJ150" i="22"/>
  <c r="AJ197" i="22"/>
  <c r="AD151" i="16"/>
  <c r="AV151" i="16"/>
  <c r="AZ151" i="16"/>
  <c r="AV198" i="16"/>
  <c r="AZ198" i="16"/>
  <c r="AC163" i="17"/>
  <c r="AC198" i="17"/>
  <c r="AL20" i="17"/>
  <c r="AK45" i="17"/>
  <c r="AJ79" i="17"/>
  <c r="AJ78" i="17" s="1"/>
  <c r="AJ163" i="17"/>
  <c r="AX151" i="17"/>
  <c r="ER50" i="18"/>
  <c r="AD151" i="22"/>
  <c r="AD150" i="22" s="1"/>
  <c r="AL151" i="23"/>
  <c r="AL182" i="23"/>
  <c r="AX79" i="23"/>
  <c r="AV182" i="23"/>
  <c r="AC220" i="16"/>
  <c r="AC213" i="16" s="1"/>
  <c r="AJ20" i="16"/>
  <c r="AJ5" i="16" s="1"/>
  <c r="AJ197" i="16"/>
  <c r="AK198" i="16"/>
  <c r="AZ45" i="16"/>
  <c r="AX45" i="16"/>
  <c r="AX78" i="16"/>
  <c r="AW150" i="16"/>
  <c r="AZ45" i="17"/>
  <c r="AX45" i="17"/>
  <c r="AX78" i="17"/>
  <c r="AX182" i="17"/>
  <c r="BA197" i="17"/>
  <c r="AJ20" i="22"/>
  <c r="AL197" i="22"/>
  <c r="AZ78" i="22"/>
  <c r="AY78" i="22"/>
  <c r="AV197" i="22"/>
  <c r="BA197" i="22"/>
  <c r="AK20" i="23"/>
  <c r="AK5" i="23" s="1"/>
  <c r="AK163" i="23"/>
  <c r="AZ45" i="23"/>
  <c r="AV78" i="22"/>
  <c r="AV163" i="22"/>
  <c r="AK45" i="23"/>
  <c r="AX150" i="23"/>
  <c r="AL20" i="16"/>
  <c r="AL5" i="16" s="1"/>
  <c r="AJ79" i="16"/>
  <c r="AJ78" i="16" s="1"/>
  <c r="AK151" i="16"/>
  <c r="AL198" i="16"/>
  <c r="AL197" i="16" s="1"/>
  <c r="AV79" i="16"/>
  <c r="AZ79" i="16"/>
  <c r="AX163" i="16"/>
  <c r="BA197" i="16"/>
  <c r="AK151" i="17"/>
  <c r="AV79" i="17"/>
  <c r="AZ79" i="17"/>
  <c r="AX163" i="17"/>
  <c r="AV182" i="17"/>
  <c r="AZ182" i="17"/>
  <c r="AZ150" i="17" s="1"/>
  <c r="AC77" i="22"/>
  <c r="AC61" i="22" s="1"/>
  <c r="AD197" i="22"/>
  <c r="AL20" i="22"/>
  <c r="AL5" i="22" s="1"/>
  <c r="AK163" i="22"/>
  <c r="AK150" i="22" s="1"/>
  <c r="AL163" i="22"/>
  <c r="AL79" i="23"/>
  <c r="DD79" i="18"/>
  <c r="BB20" i="21"/>
  <c r="AT245" i="21"/>
  <c r="AU20" i="21"/>
  <c r="AR292" i="21"/>
  <c r="AT150" i="21"/>
  <c r="AT244" i="21"/>
  <c r="BB68" i="21"/>
  <c r="BB77" i="21" s="1"/>
  <c r="BB61" i="21" s="1"/>
  <c r="AU77" i="21"/>
  <c r="AU61" i="21" s="1"/>
  <c r="BB256" i="21"/>
  <c r="BB258" i="21" s="1"/>
  <c r="AU258" i="21"/>
  <c r="AU245" i="21" s="1"/>
  <c r="AT5" i="21"/>
  <c r="AU283" i="21"/>
  <c r="AU277" i="21" s="1"/>
  <c r="BB278" i="21"/>
  <c r="BB283" i="21" s="1"/>
  <c r="BB277" i="21" s="1"/>
  <c r="DD55" i="18"/>
  <c r="BB150" i="21"/>
  <c r="CZ55" i="18"/>
  <c r="BB245" i="21"/>
  <c r="BB244" i="21" s="1"/>
  <c r="DE36" i="18"/>
  <c r="ER37" i="18"/>
  <c r="ER36" i="18" s="1"/>
  <c r="DE79" i="18"/>
  <c r="DA39" i="18"/>
  <c r="DA38" i="18" s="1"/>
  <c r="DA31" i="18"/>
  <c r="DA30" i="18" s="1"/>
  <c r="CY35" i="18"/>
  <c r="CY34" i="18" s="1"/>
  <c r="DB24" i="18"/>
  <c r="DB23" i="18" s="1"/>
  <c r="DB18" i="18"/>
  <c r="DB17" i="18" s="1"/>
  <c r="CZ11" i="18"/>
  <c r="CZ10" i="18" s="1"/>
  <c r="CY27" i="18"/>
  <c r="DA79" i="18"/>
  <c r="DD26" i="18"/>
  <c r="CZ26" i="18"/>
  <c r="DE82" i="18"/>
  <c r="DA82" i="18"/>
  <c r="DB71" i="18"/>
  <c r="DB70" i="18" s="1"/>
  <c r="CY48" i="18"/>
  <c r="DD39" i="18"/>
  <c r="DD38" i="18" s="1"/>
  <c r="DD31" i="18"/>
  <c r="DD30" i="18" s="1"/>
  <c r="DC41" i="18"/>
  <c r="DC40" i="18" s="1"/>
  <c r="DC33" i="18"/>
  <c r="DC32" i="18" s="1"/>
  <c r="DB45" i="18"/>
  <c r="DB44" i="18" s="1"/>
  <c r="DB25" i="18" s="1"/>
  <c r="DB37" i="18"/>
  <c r="DB36" i="18" s="1"/>
  <c r="DD11" i="18"/>
  <c r="DD10" i="18" s="1"/>
  <c r="DA20" i="18"/>
  <c r="DA8" i="18"/>
  <c r="CZ82" i="18"/>
  <c r="DA69" i="18"/>
  <c r="DA68" i="18" s="1"/>
  <c r="EO53" i="18"/>
  <c r="DE55" i="18"/>
  <c r="DA55" i="18"/>
  <c r="DB83" i="18"/>
  <c r="DB82" i="18" s="1"/>
  <c r="DC80" i="18"/>
  <c r="DC79" i="18" s="1"/>
  <c r="DE88" i="18"/>
  <c r="DE87" i="18" s="1"/>
  <c r="DA88" i="18"/>
  <c r="DA87" i="18" s="1"/>
  <c r="DE65" i="18"/>
  <c r="DE64" i="18" s="1"/>
  <c r="DC73" i="18"/>
  <c r="DC72" i="18" s="1"/>
  <c r="DB65" i="18"/>
  <c r="DB64" i="18" s="1"/>
  <c r="DA65" i="18"/>
  <c r="DA64" i="18" s="1"/>
  <c r="DE45" i="18"/>
  <c r="DE44" i="18" s="1"/>
  <c r="DD33" i="18"/>
  <c r="DD32" i="18" s="1"/>
  <c r="DC35" i="18"/>
  <c r="DC34" i="18" s="1"/>
  <c r="CZ39" i="18"/>
  <c r="CZ38" i="18" s="1"/>
  <c r="CZ31" i="18"/>
  <c r="CZ30" i="18" s="1"/>
  <c r="EQ15" i="18"/>
  <c r="AX20" i="17"/>
  <c r="AB212" i="17"/>
  <c r="AL269" i="17"/>
  <c r="Y269" i="17"/>
  <c r="R269" i="17"/>
  <c r="AK245" i="17"/>
  <c r="S163" i="17"/>
  <c r="AW5" i="17"/>
  <c r="AK79" i="17"/>
  <c r="AK78" i="17" s="1"/>
  <c r="AL182" i="17"/>
  <c r="AJ197" i="17"/>
  <c r="AK259" i="17"/>
  <c r="AK20" i="17"/>
  <c r="AJ151" i="17"/>
  <c r="AC197" i="17"/>
  <c r="AL150" i="17"/>
  <c r="AJ5" i="17"/>
  <c r="AY78" i="17"/>
  <c r="AY182" i="17"/>
  <c r="AY197" i="17"/>
  <c r="AZ197" i="17"/>
  <c r="S259" i="17"/>
  <c r="AJ245" i="17"/>
  <c r="AX5" i="17"/>
  <c r="AK5" i="17"/>
  <c r="S225" i="17"/>
  <c r="S221" i="17" s="1"/>
  <c r="U122" i="17"/>
  <c r="U118" i="17" s="1"/>
  <c r="U110" i="17"/>
  <c r="U106" i="17" s="1"/>
  <c r="S88" i="17"/>
  <c r="AB88" i="17"/>
  <c r="S85" i="17"/>
  <c r="AC151" i="17"/>
  <c r="AW78" i="17"/>
  <c r="AX197" i="17"/>
  <c r="AV197" i="17"/>
  <c r="AL5" i="17"/>
  <c r="AD197" i="17"/>
  <c r="AK163" i="17"/>
  <c r="DC43" i="18"/>
  <c r="DC42" i="18" s="1"/>
  <c r="CY43" i="18"/>
  <c r="CY42" i="18" s="1"/>
  <c r="AS270" i="23"/>
  <c r="AN273" i="23"/>
  <c r="AN269" i="23" s="1"/>
  <c r="AQ271" i="12"/>
  <c r="AQ273" i="12" s="1"/>
  <c r="M273" i="12"/>
  <c r="M269" i="12" s="1"/>
  <c r="AQ230" i="13"/>
  <c r="M231" i="13"/>
  <c r="M226" i="13" s="1"/>
  <c r="AS222" i="1"/>
  <c r="AN225" i="1"/>
  <c r="AN221" i="1" s="1"/>
  <c r="AQ153" i="15"/>
  <c r="M156" i="15"/>
  <c r="AQ255" i="14"/>
  <c r="AQ258" i="14" s="1"/>
  <c r="AU78" i="18" s="1"/>
  <c r="M258" i="14"/>
  <c r="AQ274" i="1"/>
  <c r="M276" i="1"/>
  <c r="AQ155" i="13"/>
  <c r="M156" i="13"/>
  <c r="AQ271" i="23"/>
  <c r="AQ273" i="23" s="1"/>
  <c r="M273" i="23"/>
  <c r="M269" i="23" s="1"/>
  <c r="AQ233" i="12"/>
  <c r="AQ237" i="12" s="1"/>
  <c r="M237" i="12"/>
  <c r="M232" i="12" s="1"/>
  <c r="AS27" i="22"/>
  <c r="AN29" i="22"/>
  <c r="AQ248" i="23"/>
  <c r="M250" i="23"/>
  <c r="O82" i="18"/>
  <c r="AM259" i="1"/>
  <c r="AC269" i="1"/>
  <c r="AE207" i="1"/>
  <c r="AF207" i="1" s="1"/>
  <c r="AR207" i="1" s="1"/>
  <c r="AM182" i="1"/>
  <c r="T163" i="1"/>
  <c r="R163" i="1"/>
  <c r="AM20" i="1"/>
  <c r="AM6" i="1"/>
  <c r="AD5" i="1"/>
  <c r="Y45" i="1"/>
  <c r="AM269" i="12"/>
  <c r="AD269" i="12"/>
  <c r="AC259" i="12"/>
  <c r="T259" i="12"/>
  <c r="AC245" i="12"/>
  <c r="AB79" i="12"/>
  <c r="L45" i="12"/>
  <c r="S182" i="13"/>
  <c r="L163" i="13"/>
  <c r="U45" i="13"/>
  <c r="Y269" i="14"/>
  <c r="R269" i="14"/>
  <c r="Y163" i="14"/>
  <c r="S182" i="14"/>
  <c r="L163" i="14"/>
  <c r="S151" i="15"/>
  <c r="S269" i="16"/>
  <c r="CE25" i="18"/>
  <c r="T269" i="17"/>
  <c r="U259" i="17"/>
  <c r="S182" i="17"/>
  <c r="Y79" i="17"/>
  <c r="AM269" i="22"/>
  <c r="T259" i="23"/>
  <c r="AE242" i="23"/>
  <c r="AF242" i="23" s="1"/>
  <c r="AR242" i="23" s="1"/>
  <c r="BD60" i="18"/>
  <c r="R178" i="23"/>
  <c r="U168" i="23"/>
  <c r="T168" i="23"/>
  <c r="R162" i="23"/>
  <c r="AB162" i="23"/>
  <c r="T162" i="23"/>
  <c r="S159" i="23"/>
  <c r="R159" i="23"/>
  <c r="AB159" i="23"/>
  <c r="T156" i="23"/>
  <c r="S156" i="23"/>
  <c r="R196" i="17"/>
  <c r="Y196" i="17"/>
  <c r="T196" i="17"/>
  <c r="R181" i="17"/>
  <c r="Y181" i="17"/>
  <c r="R178" i="17"/>
  <c r="BC51" i="18"/>
  <c r="T85" i="17"/>
  <c r="L122" i="1"/>
  <c r="L118" i="1" s="1"/>
  <c r="ED19" i="18"/>
  <c r="AU44" i="22"/>
  <c r="AU40" i="22" s="1"/>
  <c r="AE42" i="16"/>
  <c r="AE18" i="12"/>
  <c r="AF18" i="12" s="1"/>
  <c r="AR18" i="12" s="1"/>
  <c r="AE52" i="1"/>
  <c r="AF52" i="1" s="1"/>
  <c r="AR52" i="1" s="1"/>
  <c r="L37" i="1"/>
  <c r="AD258" i="17"/>
  <c r="AD245" i="17" s="1"/>
  <c r="AD78" i="1"/>
  <c r="AC212" i="12"/>
  <c r="AC212" i="13"/>
  <c r="AD78" i="17"/>
  <c r="AD182" i="17"/>
  <c r="L82" i="18"/>
  <c r="AM245" i="1"/>
  <c r="AD269" i="1"/>
  <c r="AD245" i="1"/>
  <c r="AC259" i="1"/>
  <c r="AC244" i="1" s="1"/>
  <c r="AM163" i="1"/>
  <c r="Y79" i="1"/>
  <c r="Y269" i="12"/>
  <c r="R269" i="12"/>
  <c r="R244" i="12" s="1"/>
  <c r="AD259" i="12"/>
  <c r="U259" i="12"/>
  <c r="L259" i="12"/>
  <c r="L244" i="12" s="1"/>
  <c r="R245" i="12"/>
  <c r="Y79" i="12"/>
  <c r="Y79" i="13"/>
  <c r="L20" i="13"/>
  <c r="AB269" i="14"/>
  <c r="S269" i="14"/>
  <c r="AB259" i="14"/>
  <c r="S259" i="14"/>
  <c r="S163" i="14"/>
  <c r="AB259" i="15"/>
  <c r="S259" i="15"/>
  <c r="AM20" i="15"/>
  <c r="R259" i="16"/>
  <c r="L245" i="16"/>
  <c r="AE207" i="16"/>
  <c r="AF207" i="16" s="1"/>
  <c r="AR207" i="16" s="1"/>
  <c r="AB259" i="17"/>
  <c r="L245" i="22"/>
  <c r="AE256" i="12"/>
  <c r="AS209" i="23"/>
  <c r="R209" i="22"/>
  <c r="R198" i="22" s="1"/>
  <c r="R197" i="22" s="1"/>
  <c r="AB209" i="22"/>
  <c r="AB178" i="17"/>
  <c r="N47" i="18"/>
  <c r="T122" i="23"/>
  <c r="T118" i="23" s="1"/>
  <c r="S122" i="23"/>
  <c r="S118" i="23" s="1"/>
  <c r="U117" i="23"/>
  <c r="U111" i="23" s="1"/>
  <c r="T117" i="23"/>
  <c r="T111" i="23" s="1"/>
  <c r="S117" i="23"/>
  <c r="S111" i="23" s="1"/>
  <c r="T110" i="23"/>
  <c r="T106" i="23" s="1"/>
  <c r="S110" i="23"/>
  <c r="S106" i="23" s="1"/>
  <c r="R105" i="23"/>
  <c r="R100" i="23" s="1"/>
  <c r="AB105" i="23"/>
  <c r="AB100" i="23" s="1"/>
  <c r="U105" i="23"/>
  <c r="U100" i="23" s="1"/>
  <c r="U99" i="23"/>
  <c r="U93" i="23" s="1"/>
  <c r="T99" i="23"/>
  <c r="T93" i="23" s="1"/>
  <c r="S99" i="23"/>
  <c r="S93" i="23" s="1"/>
  <c r="U92" i="23"/>
  <c r="T92" i="23"/>
  <c r="AE127" i="1"/>
  <c r="AF127" i="1" s="1"/>
  <c r="AR127" i="1" s="1"/>
  <c r="ED12" i="18"/>
  <c r="U60" i="23"/>
  <c r="T60" i="23"/>
  <c r="U56" i="23"/>
  <c r="U45" i="23" s="1"/>
  <c r="T56" i="23"/>
  <c r="T45" i="23" s="1"/>
  <c r="S56" i="23"/>
  <c r="R56" i="23"/>
  <c r="AB56" i="23"/>
  <c r="AB45" i="23" s="1"/>
  <c r="DO19" i="18"/>
  <c r="AE18" i="17"/>
  <c r="AF18" i="17" s="1"/>
  <c r="AR18" i="17" s="1"/>
  <c r="AE7" i="16"/>
  <c r="AF7" i="16" s="1"/>
  <c r="AR7" i="16" s="1"/>
  <c r="AD150" i="13"/>
  <c r="AC182" i="17"/>
  <c r="AC150" i="17" s="1"/>
  <c r="AC20" i="22"/>
  <c r="AD78" i="22"/>
  <c r="AC163" i="22"/>
  <c r="AD20" i="23"/>
  <c r="AD5" i="23" s="1"/>
  <c r="AB45" i="1"/>
  <c r="T45" i="1"/>
  <c r="S79" i="12"/>
  <c r="AB79" i="14"/>
  <c r="L79" i="14"/>
  <c r="AB45" i="14"/>
  <c r="U45" i="14"/>
  <c r="S45" i="14"/>
  <c r="S182" i="15"/>
  <c r="AB79" i="15"/>
  <c r="U269" i="16"/>
  <c r="M269" i="16"/>
  <c r="L259" i="17"/>
  <c r="U269" i="23"/>
  <c r="R259" i="23"/>
  <c r="S45" i="23"/>
  <c r="AR276" i="22"/>
  <c r="DI84" i="18" s="1"/>
  <c r="Y289" i="17"/>
  <c r="Y284" i="17" s="1"/>
  <c r="Y268" i="16"/>
  <c r="Y254" i="16"/>
  <c r="S243" i="23"/>
  <c r="S238" i="23" s="1"/>
  <c r="R243" i="23"/>
  <c r="R238" i="23" s="1"/>
  <c r="AB243" i="23"/>
  <c r="AB238" i="23" s="1"/>
  <c r="U243" i="23"/>
  <c r="U238" i="23" s="1"/>
  <c r="T237" i="23"/>
  <c r="T232" i="23" s="1"/>
  <c r="R237" i="23"/>
  <c r="R232" i="23" s="1"/>
  <c r="AB237" i="23"/>
  <c r="AB232" i="23" s="1"/>
  <c r="U237" i="23"/>
  <c r="U232" i="23" s="1"/>
  <c r="T231" i="23"/>
  <c r="T226" i="23" s="1"/>
  <c r="S231" i="23"/>
  <c r="S226" i="23" s="1"/>
  <c r="R231" i="23"/>
  <c r="R226" i="23" s="1"/>
  <c r="AB231" i="23"/>
  <c r="AB226" i="23" s="1"/>
  <c r="U231" i="23"/>
  <c r="U226" i="23" s="1"/>
  <c r="T225" i="23"/>
  <c r="T221" i="23" s="1"/>
  <c r="S225" i="23"/>
  <c r="S221" i="23" s="1"/>
  <c r="AB225" i="23"/>
  <c r="AB221" i="23" s="1"/>
  <c r="S220" i="23"/>
  <c r="S213" i="23" s="1"/>
  <c r="R220" i="23"/>
  <c r="R213" i="23" s="1"/>
  <c r="AB220" i="23"/>
  <c r="AB213" i="23" s="1"/>
  <c r="S212" i="23"/>
  <c r="R212" i="23"/>
  <c r="S209" i="23"/>
  <c r="S198" i="23" s="1"/>
  <c r="S197" i="23" s="1"/>
  <c r="U203" i="23"/>
  <c r="AE200" i="23"/>
  <c r="AF200" i="23" s="1"/>
  <c r="AR200" i="23" s="1"/>
  <c r="R243" i="22"/>
  <c r="R238" i="22" s="1"/>
  <c r="AB243" i="22"/>
  <c r="AB238" i="22" s="1"/>
  <c r="U243" i="22"/>
  <c r="U238" i="22" s="1"/>
  <c r="T243" i="22"/>
  <c r="T238" i="22" s="1"/>
  <c r="AF218" i="22"/>
  <c r="AR218" i="22" s="1"/>
  <c r="U212" i="17"/>
  <c r="S203" i="17"/>
  <c r="AB203" i="17"/>
  <c r="EC51" i="18"/>
  <c r="AB196" i="22"/>
  <c r="T178" i="17"/>
  <c r="R92" i="23"/>
  <c r="R105" i="22"/>
  <c r="R100" i="22" s="1"/>
  <c r="AB105" i="22"/>
  <c r="AB100" i="22" s="1"/>
  <c r="S99" i="22"/>
  <c r="S93" i="22" s="1"/>
  <c r="R99" i="22"/>
  <c r="R93" i="22" s="1"/>
  <c r="T92" i="22"/>
  <c r="R92" i="22"/>
  <c r="AB92" i="22"/>
  <c r="U88" i="22"/>
  <c r="T88" i="22"/>
  <c r="S85" i="22"/>
  <c r="S79" i="22" s="1"/>
  <c r="S78" i="22" s="1"/>
  <c r="T85" i="22"/>
  <c r="AQ144" i="12"/>
  <c r="AE101" i="1"/>
  <c r="AF101" i="1" s="1"/>
  <c r="AR101" i="1" s="1"/>
  <c r="AE47" i="23"/>
  <c r="AF47" i="23" s="1"/>
  <c r="AR47" i="23" s="1"/>
  <c r="T37" i="23"/>
  <c r="S37" i="23"/>
  <c r="R37" i="23"/>
  <c r="AB37" i="23"/>
  <c r="AB20" i="23" s="1"/>
  <c r="U29" i="23"/>
  <c r="T29" i="23"/>
  <c r="S29" i="23"/>
  <c r="R25" i="23"/>
  <c r="AB25" i="23"/>
  <c r="U25" i="23"/>
  <c r="T25" i="23"/>
  <c r="S25" i="23"/>
  <c r="S20" i="23" s="1"/>
  <c r="R19" i="23"/>
  <c r="R16" i="23" s="1"/>
  <c r="T15" i="23"/>
  <c r="S15" i="23"/>
  <c r="R15" i="23"/>
  <c r="R6" i="23" s="1"/>
  <c r="AB15" i="23"/>
  <c r="U11" i="23"/>
  <c r="T11" i="23"/>
  <c r="S11" i="23"/>
  <c r="AB11" i="23"/>
  <c r="DR7" i="18"/>
  <c r="AE8" i="22"/>
  <c r="AF8" i="22" s="1"/>
  <c r="AR8" i="22" s="1"/>
  <c r="CP7" i="18"/>
  <c r="CB7" i="18"/>
  <c r="AE18" i="15"/>
  <c r="AF18" i="15" s="1"/>
  <c r="AR18" i="15" s="1"/>
  <c r="R7" i="18"/>
  <c r="AE51" i="1"/>
  <c r="AF51" i="1" s="1"/>
  <c r="AR51" i="1" s="1"/>
  <c r="AT51" i="1" s="1"/>
  <c r="BB51" i="1" s="1"/>
  <c r="AE31" i="1"/>
  <c r="AF31" i="1" s="1"/>
  <c r="AR31" i="1" s="1"/>
  <c r="L19" i="1"/>
  <c r="L16" i="1" s="1"/>
  <c r="U283" i="13"/>
  <c r="U277" i="13" s="1"/>
  <c r="AE252" i="13"/>
  <c r="AF252" i="13" s="1"/>
  <c r="AR252" i="13" s="1"/>
  <c r="AF251" i="13"/>
  <c r="AR251" i="13" s="1"/>
  <c r="AE248" i="13"/>
  <c r="AF248" i="13" s="1"/>
  <c r="AR248" i="13" s="1"/>
  <c r="AE246" i="13"/>
  <c r="AF246" i="13" s="1"/>
  <c r="AD78" i="15"/>
  <c r="AD182" i="16"/>
  <c r="AC182" i="22"/>
  <c r="AC163" i="23"/>
  <c r="AC150" i="23" s="1"/>
  <c r="L75" i="18"/>
  <c r="S79" i="1"/>
  <c r="AB20" i="12"/>
  <c r="AB6" i="12"/>
  <c r="Y6" i="12"/>
  <c r="S79" i="13"/>
  <c r="AD5" i="13"/>
  <c r="S163" i="15"/>
  <c r="AM79" i="15"/>
  <c r="AB269" i="16"/>
  <c r="T259" i="22"/>
  <c r="U79" i="22"/>
  <c r="CD75" i="18"/>
  <c r="AR276" i="16"/>
  <c r="BV84" i="18" s="1"/>
  <c r="T237" i="22"/>
  <c r="T232" i="22" s="1"/>
  <c r="S237" i="22"/>
  <c r="S232" i="22" s="1"/>
  <c r="R237" i="22"/>
  <c r="R232" i="22" s="1"/>
  <c r="AB237" i="22"/>
  <c r="AB232" i="22" s="1"/>
  <c r="U231" i="22"/>
  <c r="U226" i="22" s="1"/>
  <c r="T231" i="22"/>
  <c r="T226" i="22" s="1"/>
  <c r="S231" i="22"/>
  <c r="S226" i="22" s="1"/>
  <c r="AB231" i="22"/>
  <c r="AB226" i="22" s="1"/>
  <c r="U225" i="22"/>
  <c r="U221" i="22" s="1"/>
  <c r="T225" i="22"/>
  <c r="T221" i="22" s="1"/>
  <c r="S225" i="22"/>
  <c r="S221" i="22" s="1"/>
  <c r="R220" i="22"/>
  <c r="R213" i="22" s="1"/>
  <c r="Y203" i="17"/>
  <c r="R212" i="16"/>
  <c r="Y212" i="16"/>
  <c r="T203" i="16"/>
  <c r="AZ60" i="18"/>
  <c r="AE229" i="1"/>
  <c r="AF229" i="1" s="1"/>
  <c r="AR229" i="1" s="1"/>
  <c r="T190" i="23"/>
  <c r="U190" i="22"/>
  <c r="T178" i="23"/>
  <c r="U156" i="22"/>
  <c r="S156" i="22"/>
  <c r="S151" i="22" s="1"/>
  <c r="CP47" i="18"/>
  <c r="T156" i="17"/>
  <c r="U60" i="22"/>
  <c r="T60" i="22"/>
  <c r="R56" i="22"/>
  <c r="S56" i="22"/>
  <c r="R50" i="22"/>
  <c r="AB50" i="22"/>
  <c r="U50" i="22"/>
  <c r="U45" i="22" s="1"/>
  <c r="T50" i="22"/>
  <c r="S50" i="22"/>
  <c r="AB44" i="22"/>
  <c r="AB40" i="22" s="1"/>
  <c r="U44" i="22"/>
  <c r="U40" i="22" s="1"/>
  <c r="T44" i="22"/>
  <c r="T40" i="22" s="1"/>
  <c r="S37" i="22"/>
  <c r="R37" i="22"/>
  <c r="AB37" i="22"/>
  <c r="U37" i="22"/>
  <c r="T37" i="22"/>
  <c r="T20" i="22" s="1"/>
  <c r="S29" i="22"/>
  <c r="AF27" i="22"/>
  <c r="AR27" i="22" s="1"/>
  <c r="AB29" i="22"/>
  <c r="U29" i="22"/>
  <c r="U20" i="22" s="1"/>
  <c r="T19" i="22"/>
  <c r="T16" i="22" s="1"/>
  <c r="S19" i="22"/>
  <c r="S16" i="22" s="1"/>
  <c r="R11" i="22"/>
  <c r="AB11" i="22"/>
  <c r="AE10" i="17"/>
  <c r="AF10" i="17" s="1"/>
  <c r="AR10" i="17" s="1"/>
  <c r="AE73" i="16"/>
  <c r="AF73" i="16" s="1"/>
  <c r="AR73" i="16" s="1"/>
  <c r="AY73" i="16" s="1"/>
  <c r="Q12" i="18"/>
  <c r="AE12" i="1"/>
  <c r="AF12" i="1" s="1"/>
  <c r="AR12" i="1" s="1"/>
  <c r="T250" i="13"/>
  <c r="AC77" i="1"/>
  <c r="AC61" i="1" s="1"/>
  <c r="AC11" i="12"/>
  <c r="AC15" i="12"/>
  <c r="AD78" i="16"/>
  <c r="AC182" i="16"/>
  <c r="AC150" i="16" s="1"/>
  <c r="AD78" i="23"/>
  <c r="R87" i="18"/>
  <c r="ER88" i="18"/>
  <c r="ER87" i="18" s="1"/>
  <c r="O79" i="18"/>
  <c r="AK244" i="1"/>
  <c r="AD244" i="1"/>
  <c r="S150" i="15"/>
  <c r="AB83" i="18"/>
  <c r="AB82" i="18" s="1"/>
  <c r="AX269" i="12"/>
  <c r="Y86" i="18"/>
  <c r="Y85" i="18" s="1"/>
  <c r="AU277" i="12"/>
  <c r="AC83" i="18"/>
  <c r="AC82" i="18" s="1"/>
  <c r="AY269" i="12"/>
  <c r="AD86" i="18"/>
  <c r="AD85" i="18" s="1"/>
  <c r="AZ277" i="12"/>
  <c r="Z86" i="18"/>
  <c r="Z85" i="18" s="1"/>
  <c r="AV277" i="12"/>
  <c r="AD83" i="18"/>
  <c r="AD82" i="18" s="1"/>
  <c r="AZ269" i="12"/>
  <c r="Z83" i="18"/>
  <c r="Z82" i="18" s="1"/>
  <c r="AV269" i="12"/>
  <c r="AF270" i="23"/>
  <c r="AE273" i="23"/>
  <c r="AE269" i="23" s="1"/>
  <c r="AS272" i="22"/>
  <c r="AN273" i="22"/>
  <c r="AF272" i="22"/>
  <c r="AE273" i="22"/>
  <c r="AE269" i="22" s="1"/>
  <c r="AE272" i="16"/>
  <c r="Y273" i="16"/>
  <c r="Y269" i="16" s="1"/>
  <c r="BH83" i="18"/>
  <c r="AN262" i="17"/>
  <c r="AS262" i="17" s="1"/>
  <c r="AM263" i="17"/>
  <c r="AF261" i="17"/>
  <c r="Y263" i="17"/>
  <c r="Y259" i="17" s="1"/>
  <c r="AC80" i="18"/>
  <c r="AC79" i="18" s="1"/>
  <c r="AY259" i="12"/>
  <c r="AN279" i="23"/>
  <c r="AS279" i="23" s="1"/>
  <c r="AM283" i="23"/>
  <c r="AM277" i="23" s="1"/>
  <c r="AN264" i="23"/>
  <c r="AM268" i="23"/>
  <c r="AN253" i="23"/>
  <c r="AS253" i="23" s="1"/>
  <c r="AM254" i="23"/>
  <c r="M240" i="23"/>
  <c r="AQ240" i="23" s="1"/>
  <c r="L243" i="23"/>
  <c r="L238" i="23" s="1"/>
  <c r="M234" i="23"/>
  <c r="L237" i="23"/>
  <c r="L232" i="23" s="1"/>
  <c r="AB203" i="16"/>
  <c r="AE200" i="16"/>
  <c r="AF200" i="16" s="1"/>
  <c r="AR200" i="16" s="1"/>
  <c r="M235" i="16"/>
  <c r="AQ235" i="16" s="1"/>
  <c r="L237" i="16"/>
  <c r="L232" i="16" s="1"/>
  <c r="M223" i="16"/>
  <c r="L225" i="16"/>
  <c r="L221" i="16" s="1"/>
  <c r="O66" i="18"/>
  <c r="EO67" i="18"/>
  <c r="EO66" i="18" s="1"/>
  <c r="N66" i="18"/>
  <c r="EN67" i="18"/>
  <c r="EN66" i="18" s="1"/>
  <c r="M64" i="18"/>
  <c r="EM65" i="18"/>
  <c r="AE174" i="23"/>
  <c r="AF174" i="23" s="1"/>
  <c r="AR174" i="23" s="1"/>
  <c r="AB178" i="23"/>
  <c r="AQ180" i="23"/>
  <c r="M181" i="23"/>
  <c r="M171" i="23"/>
  <c r="AQ171" i="23" s="1"/>
  <c r="L178" i="23"/>
  <c r="M166" i="23"/>
  <c r="L168" i="23"/>
  <c r="M160" i="23"/>
  <c r="L162" i="23"/>
  <c r="M154" i="23"/>
  <c r="AQ154" i="23" s="1"/>
  <c r="L156" i="23"/>
  <c r="AQ153" i="22"/>
  <c r="M156" i="22"/>
  <c r="AS161" i="17"/>
  <c r="AN162" i="17"/>
  <c r="AN155" i="17"/>
  <c r="AM156" i="17"/>
  <c r="M169" i="1"/>
  <c r="AQ169" i="1" s="1"/>
  <c r="L178" i="1"/>
  <c r="M164" i="1"/>
  <c r="AQ164" i="1" s="1"/>
  <c r="L168" i="1"/>
  <c r="M157" i="1"/>
  <c r="AQ157" i="1" s="1"/>
  <c r="L159" i="1"/>
  <c r="AN115" i="17"/>
  <c r="AS115" i="17" s="1"/>
  <c r="AM117" i="17"/>
  <c r="AM111" i="17" s="1"/>
  <c r="AN103" i="17"/>
  <c r="AM105" i="17"/>
  <c r="AM100" i="17" s="1"/>
  <c r="AN97" i="17"/>
  <c r="AM99" i="17"/>
  <c r="AM93" i="17" s="1"/>
  <c r="AN91" i="17"/>
  <c r="AS91" i="17" s="1"/>
  <c r="AM92" i="17"/>
  <c r="AN80" i="17"/>
  <c r="AM85" i="17"/>
  <c r="M141" i="17"/>
  <c r="L149" i="17"/>
  <c r="L140" i="17" s="1"/>
  <c r="M125" i="17"/>
  <c r="L133" i="17"/>
  <c r="L123" i="17" s="1"/>
  <c r="M119" i="17"/>
  <c r="L122" i="17"/>
  <c r="L118" i="17" s="1"/>
  <c r="M113" i="17"/>
  <c r="L117" i="17"/>
  <c r="L111" i="17" s="1"/>
  <c r="M101" i="17"/>
  <c r="L105" i="17"/>
  <c r="L100" i="17" s="1"/>
  <c r="M95" i="17"/>
  <c r="L99" i="17"/>
  <c r="L93" i="17" s="1"/>
  <c r="M89" i="17"/>
  <c r="L92" i="17"/>
  <c r="M82" i="17"/>
  <c r="L85" i="17"/>
  <c r="AQ108" i="15"/>
  <c r="M110" i="15"/>
  <c r="M106" i="15" s="1"/>
  <c r="M90" i="15"/>
  <c r="L92" i="15"/>
  <c r="M80" i="15"/>
  <c r="L85" i="15"/>
  <c r="BC38" i="18"/>
  <c r="EP39" i="18"/>
  <c r="EP38" i="18" s="1"/>
  <c r="Q36" i="18"/>
  <c r="EQ37" i="18"/>
  <c r="EQ36" i="18" s="1"/>
  <c r="O36" i="18"/>
  <c r="EO37" i="18"/>
  <c r="EO36" i="18" s="1"/>
  <c r="AN94" i="1"/>
  <c r="AM99" i="1"/>
  <c r="AM93" i="1" s="1"/>
  <c r="AV269" i="1"/>
  <c r="AV245" i="1"/>
  <c r="P82" i="18"/>
  <c r="AW245" i="1"/>
  <c r="P55" i="18"/>
  <c r="R151" i="1"/>
  <c r="T79" i="1"/>
  <c r="AX284" i="1"/>
  <c r="AY277" i="1"/>
  <c r="Q82" i="18"/>
  <c r="M82" i="18"/>
  <c r="AX269" i="1"/>
  <c r="P79" i="18"/>
  <c r="BA259" i="1"/>
  <c r="AX245" i="1"/>
  <c r="S259" i="1"/>
  <c r="Q55" i="18"/>
  <c r="M55" i="18"/>
  <c r="AB151" i="1"/>
  <c r="T151" i="1"/>
  <c r="AM79" i="1"/>
  <c r="AB79" i="1"/>
  <c r="AM45" i="1"/>
  <c r="AB6" i="1"/>
  <c r="Y6" i="1"/>
  <c r="U6" i="1"/>
  <c r="T6" i="1"/>
  <c r="S6" i="1"/>
  <c r="AK269" i="12"/>
  <c r="AB269" i="12"/>
  <c r="S269" i="12"/>
  <c r="AJ259" i="12"/>
  <c r="Y259" i="12"/>
  <c r="R259" i="12"/>
  <c r="EP78" i="18"/>
  <c r="EM76" i="18"/>
  <c r="L5" i="12"/>
  <c r="AB6" i="13"/>
  <c r="U6" i="13"/>
  <c r="T6" i="13"/>
  <c r="S6" i="13"/>
  <c r="U269" i="14"/>
  <c r="M269" i="14"/>
  <c r="U259" i="14"/>
  <c r="L259" i="14"/>
  <c r="AM182" i="14"/>
  <c r="S151" i="14"/>
  <c r="AB6" i="14"/>
  <c r="Y6" i="14"/>
  <c r="U6" i="14"/>
  <c r="T6" i="14"/>
  <c r="S6" i="14"/>
  <c r="AN269" i="15"/>
  <c r="AB269" i="15"/>
  <c r="S269" i="15"/>
  <c r="T259" i="15"/>
  <c r="R182" i="15"/>
  <c r="L151" i="15"/>
  <c r="R79" i="15"/>
  <c r="AE289" i="16"/>
  <c r="AE284" i="16" s="1"/>
  <c r="AM283" i="17"/>
  <c r="AM277" i="17" s="1"/>
  <c r="AM263" i="22"/>
  <c r="AB245" i="22"/>
  <c r="BM82" i="18"/>
  <c r="BC79" i="18"/>
  <c r="BR75" i="18"/>
  <c r="Q77" i="18"/>
  <c r="N88" i="18"/>
  <c r="N87" i="18" s="1"/>
  <c r="EM73" i="18"/>
  <c r="DP60" i="18"/>
  <c r="R209" i="12"/>
  <c r="Y209" i="12"/>
  <c r="EQ61" i="18"/>
  <c r="AE202" i="1"/>
  <c r="AF202" i="1" s="1"/>
  <c r="AR202" i="1" s="1"/>
  <c r="S178" i="23"/>
  <c r="S168" i="23"/>
  <c r="DL51" i="18"/>
  <c r="AE176" i="17"/>
  <c r="BR51" i="18"/>
  <c r="EN52" i="18"/>
  <c r="U149" i="17"/>
  <c r="U140" i="17" s="1"/>
  <c r="S149" i="17"/>
  <c r="S140" i="17" s="1"/>
  <c r="AB149" i="17"/>
  <c r="AB140" i="17" s="1"/>
  <c r="U139" i="17"/>
  <c r="U134" i="17" s="1"/>
  <c r="S139" i="17"/>
  <c r="S134" i="17" s="1"/>
  <c r="AB139" i="17"/>
  <c r="AB134" i="17" s="1"/>
  <c r="S133" i="17"/>
  <c r="S123" i="17" s="1"/>
  <c r="S122" i="17"/>
  <c r="S118" i="17" s="1"/>
  <c r="AB122" i="17"/>
  <c r="AB118" i="17" s="1"/>
  <c r="S117" i="17"/>
  <c r="S111" i="17" s="1"/>
  <c r="AB117" i="17"/>
  <c r="AB111" i="17" s="1"/>
  <c r="U117" i="17"/>
  <c r="U111" i="17" s="1"/>
  <c r="S110" i="17"/>
  <c r="S106" i="17" s="1"/>
  <c r="AB110" i="17"/>
  <c r="AB106" i="17" s="1"/>
  <c r="S105" i="17"/>
  <c r="S100" i="17" s="1"/>
  <c r="S99" i="17"/>
  <c r="S93" i="17" s="1"/>
  <c r="AB99" i="17"/>
  <c r="AB93" i="17" s="1"/>
  <c r="U99" i="17"/>
  <c r="U93" i="17" s="1"/>
  <c r="S92" i="17"/>
  <c r="S79" i="17" s="1"/>
  <c r="AB92" i="17"/>
  <c r="AB86" i="18"/>
  <c r="AB85" i="18" s="1"/>
  <c r="AX277" i="12"/>
  <c r="Y83" i="18"/>
  <c r="Y82" i="18" s="1"/>
  <c r="AU269" i="12"/>
  <c r="AE86" i="18"/>
  <c r="BA277" i="12"/>
  <c r="AA86" i="18"/>
  <c r="AA85" i="18" s="1"/>
  <c r="AW277" i="12"/>
  <c r="AE83" i="18"/>
  <c r="AE82" i="18" s="1"/>
  <c r="BA269" i="12"/>
  <c r="AA83" i="18"/>
  <c r="AA82" i="18" s="1"/>
  <c r="AW269" i="12"/>
  <c r="AN246" i="23"/>
  <c r="AM250" i="23"/>
  <c r="AF285" i="23"/>
  <c r="AE289" i="23"/>
  <c r="AE284" i="23" s="1"/>
  <c r="AF279" i="23"/>
  <c r="AE283" i="23"/>
  <c r="AE277" i="23" s="1"/>
  <c r="AR267" i="23"/>
  <c r="AF268" i="23"/>
  <c r="AR252" i="23"/>
  <c r="AF254" i="23"/>
  <c r="AR247" i="23"/>
  <c r="AR250" i="23" s="1"/>
  <c r="DV76" i="18" s="1"/>
  <c r="AF250" i="23"/>
  <c r="AS286" i="22"/>
  <c r="AN289" i="22"/>
  <c r="AN284" i="22" s="1"/>
  <c r="AN281" i="22"/>
  <c r="AM283" i="22"/>
  <c r="AM277" i="22" s="1"/>
  <c r="AS275" i="22"/>
  <c r="AN276" i="22"/>
  <c r="AN266" i="22"/>
  <c r="AM268" i="22"/>
  <c r="AN251" i="22"/>
  <c r="AM254" i="22"/>
  <c r="AN246" i="22"/>
  <c r="AS246" i="22" s="1"/>
  <c r="AM250" i="22"/>
  <c r="AF285" i="22"/>
  <c r="AE289" i="22"/>
  <c r="AE284" i="22" s="1"/>
  <c r="AF279" i="22"/>
  <c r="AE283" i="22"/>
  <c r="AE277" i="22" s="1"/>
  <c r="AR267" i="22"/>
  <c r="AF268" i="22"/>
  <c r="AR257" i="22"/>
  <c r="AF258" i="22"/>
  <c r="AR247" i="22"/>
  <c r="AF250" i="22"/>
  <c r="AF245" i="22" s="1"/>
  <c r="CU77" i="18"/>
  <c r="AN287" i="17"/>
  <c r="AM289" i="17"/>
  <c r="AM284" i="17" s="1"/>
  <c r="AX284" i="12"/>
  <c r="AB88" i="18"/>
  <c r="AB87" i="18" s="1"/>
  <c r="AN235" i="23"/>
  <c r="AS235" i="23" s="1"/>
  <c r="AM237" i="23"/>
  <c r="AM232" i="23" s="1"/>
  <c r="AN229" i="23"/>
  <c r="AS229" i="23" s="1"/>
  <c r="AM231" i="23"/>
  <c r="AM226" i="23" s="1"/>
  <c r="AN223" i="23"/>
  <c r="AS223" i="23" s="1"/>
  <c r="AM225" i="23"/>
  <c r="AM221" i="23" s="1"/>
  <c r="AN211" i="23"/>
  <c r="AS211" i="23" s="1"/>
  <c r="AM212" i="23"/>
  <c r="AN199" i="23"/>
  <c r="AM203" i="23"/>
  <c r="AF217" i="22"/>
  <c r="AR217" i="22" s="1"/>
  <c r="AB220" i="22"/>
  <c r="AB213" i="22" s="1"/>
  <c r="AN174" i="16"/>
  <c r="AM178" i="16"/>
  <c r="AN160" i="16"/>
  <c r="AM162" i="16"/>
  <c r="AN154" i="16"/>
  <c r="AM156" i="16"/>
  <c r="M179" i="16"/>
  <c r="AQ179" i="16" s="1"/>
  <c r="L181" i="16"/>
  <c r="M158" i="16"/>
  <c r="L159" i="16"/>
  <c r="AN143" i="23"/>
  <c r="AM149" i="23"/>
  <c r="AM140" i="23" s="1"/>
  <c r="AN137" i="23"/>
  <c r="AS137" i="23" s="1"/>
  <c r="AM139" i="23"/>
  <c r="AM134" i="23" s="1"/>
  <c r="AN127" i="23"/>
  <c r="AM133" i="23"/>
  <c r="AM123" i="23" s="1"/>
  <c r="AN112" i="23"/>
  <c r="AS112" i="23" s="1"/>
  <c r="AM117" i="23"/>
  <c r="AM111" i="23" s="1"/>
  <c r="AN104" i="23"/>
  <c r="AS104" i="23" s="1"/>
  <c r="AM105" i="23"/>
  <c r="AM100" i="23" s="1"/>
  <c r="AN90" i="23"/>
  <c r="AS90" i="23" s="1"/>
  <c r="AM92" i="23"/>
  <c r="AN84" i="23"/>
  <c r="AS84" i="23" s="1"/>
  <c r="AM85" i="23"/>
  <c r="AN138" i="16"/>
  <c r="AS138" i="16" s="1"/>
  <c r="AM139" i="16"/>
  <c r="AM134" i="16" s="1"/>
  <c r="AN94" i="16"/>
  <c r="AS94" i="16" s="1"/>
  <c r="AM99" i="16"/>
  <c r="AM93" i="16" s="1"/>
  <c r="AN87" i="16"/>
  <c r="AM88" i="16"/>
  <c r="M136" i="16"/>
  <c r="L139" i="16"/>
  <c r="L134" i="16" s="1"/>
  <c r="AQ120" i="16"/>
  <c r="M122" i="16"/>
  <c r="M118" i="16" s="1"/>
  <c r="AN101" i="15"/>
  <c r="AN105" i="15" s="1"/>
  <c r="AM105" i="15"/>
  <c r="AM100" i="15" s="1"/>
  <c r="AZ284" i="1"/>
  <c r="AW259" i="1"/>
  <c r="BA284" i="1"/>
  <c r="AX277" i="1"/>
  <c r="AW269" i="1"/>
  <c r="Y259" i="1"/>
  <c r="AB182" i="1"/>
  <c r="U269" i="12"/>
  <c r="AL245" i="12"/>
  <c r="AY284" i="1"/>
  <c r="AU284" i="1"/>
  <c r="AZ277" i="1"/>
  <c r="R82" i="18"/>
  <c r="N82" i="18"/>
  <c r="AY269" i="1"/>
  <c r="AU269" i="1"/>
  <c r="Q79" i="18"/>
  <c r="AX259" i="1"/>
  <c r="AY245" i="1"/>
  <c r="AU245" i="1"/>
  <c r="AU259" i="1"/>
  <c r="R55" i="18"/>
  <c r="N55" i="18"/>
  <c r="AE69" i="1"/>
  <c r="AL269" i="12"/>
  <c r="AC269" i="12"/>
  <c r="AC244" i="12" s="1"/>
  <c r="T269" i="12"/>
  <c r="L269" i="12"/>
  <c r="AK259" i="12"/>
  <c r="AB259" i="12"/>
  <c r="S259" i="12"/>
  <c r="EM78" i="18"/>
  <c r="AJ245" i="12"/>
  <c r="AJ244" i="12" s="1"/>
  <c r="AW245" i="12"/>
  <c r="AK245" i="12"/>
  <c r="AD245" i="12"/>
  <c r="AD244" i="12" s="1"/>
  <c r="R79" i="12"/>
  <c r="L79" i="12"/>
  <c r="S151" i="13"/>
  <c r="T79" i="13"/>
  <c r="R79" i="13"/>
  <c r="AM269" i="14"/>
  <c r="AN259" i="14"/>
  <c r="Y259" i="14"/>
  <c r="R259" i="14"/>
  <c r="L5" i="14"/>
  <c r="T269" i="15"/>
  <c r="L269" i="15"/>
  <c r="AM259" i="15"/>
  <c r="U259" i="15"/>
  <c r="AE283" i="16"/>
  <c r="AE277" i="16" s="1"/>
  <c r="T259" i="16"/>
  <c r="AM220" i="22"/>
  <c r="AM213" i="22" s="1"/>
  <c r="AM263" i="23"/>
  <c r="AM259" i="23" s="1"/>
  <c r="AF263" i="23"/>
  <c r="AB245" i="23"/>
  <c r="L231" i="23"/>
  <c r="L226" i="23" s="1"/>
  <c r="M88" i="18"/>
  <c r="M87" i="18" s="1"/>
  <c r="AE280" i="1"/>
  <c r="AF280" i="1" s="1"/>
  <c r="AR280" i="1" s="1"/>
  <c r="AE274" i="1"/>
  <c r="AF274" i="1" s="1"/>
  <c r="AR274" i="1" s="1"/>
  <c r="AE235" i="22"/>
  <c r="AF235" i="22" s="1"/>
  <c r="T220" i="22"/>
  <c r="T213" i="22" s="1"/>
  <c r="S209" i="1"/>
  <c r="AB209" i="1"/>
  <c r="AF173" i="17"/>
  <c r="AR173" i="17" s="1"/>
  <c r="AE152" i="17"/>
  <c r="AF152" i="17" s="1"/>
  <c r="AR152" i="17" s="1"/>
  <c r="U178" i="16"/>
  <c r="S178" i="16"/>
  <c r="AB168" i="16"/>
  <c r="U156" i="16"/>
  <c r="S156" i="16"/>
  <c r="BR47" i="18"/>
  <c r="EL50" i="18"/>
  <c r="R149" i="23"/>
  <c r="R140" i="23" s="1"/>
  <c r="U149" i="23"/>
  <c r="U140" i="23" s="1"/>
  <c r="T149" i="23"/>
  <c r="T140" i="23" s="1"/>
  <c r="S149" i="23"/>
  <c r="S140" i="23" s="1"/>
  <c r="U133" i="23"/>
  <c r="U123" i="23" s="1"/>
  <c r="R133" i="23"/>
  <c r="R123" i="23" s="1"/>
  <c r="AB133" i="23"/>
  <c r="AB123" i="23" s="1"/>
  <c r="R117" i="23"/>
  <c r="R111" i="23" s="1"/>
  <c r="R99" i="23"/>
  <c r="R93" i="23" s="1"/>
  <c r="AB99" i="23"/>
  <c r="AB93" i="23" s="1"/>
  <c r="T79" i="23"/>
  <c r="T139" i="16"/>
  <c r="T134" i="16" s="1"/>
  <c r="R139" i="16"/>
  <c r="R134" i="16" s="1"/>
  <c r="Y139" i="16"/>
  <c r="Y134" i="16" s="1"/>
  <c r="R122" i="16"/>
  <c r="R118" i="16" s="1"/>
  <c r="Y122" i="16"/>
  <c r="Y118" i="16" s="1"/>
  <c r="R110" i="16"/>
  <c r="R106" i="16" s="1"/>
  <c r="R99" i="16"/>
  <c r="R93" i="16" s="1"/>
  <c r="T99" i="16"/>
  <c r="T93" i="16" s="1"/>
  <c r="S149" i="15"/>
  <c r="S140" i="15" s="1"/>
  <c r="U139" i="15"/>
  <c r="U134" i="15" s="1"/>
  <c r="S133" i="15"/>
  <c r="S123" i="15" s="1"/>
  <c r="S117" i="15"/>
  <c r="S111" i="15" s="1"/>
  <c r="U105" i="15"/>
  <c r="U100" i="15" s="1"/>
  <c r="U99" i="15"/>
  <c r="U93" i="15" s="1"/>
  <c r="U92" i="15"/>
  <c r="U79" i="15" s="1"/>
  <c r="S79" i="15"/>
  <c r="AE89" i="14"/>
  <c r="AF89" i="14" s="1"/>
  <c r="AR89" i="14" s="1"/>
  <c r="AE138" i="1"/>
  <c r="AF138" i="1" s="1"/>
  <c r="AR138" i="1" s="1"/>
  <c r="AB77" i="23"/>
  <c r="AB61" i="23" s="1"/>
  <c r="U77" i="23"/>
  <c r="U61" i="23" s="1"/>
  <c r="T77" i="23"/>
  <c r="T61" i="23" s="1"/>
  <c r="S77" i="23"/>
  <c r="S61" i="23" s="1"/>
  <c r="AS260" i="22"/>
  <c r="AN263" i="22"/>
  <c r="M260" i="1"/>
  <c r="L263" i="1"/>
  <c r="AN266" i="17"/>
  <c r="AM268" i="17"/>
  <c r="AR288" i="16"/>
  <c r="AR289" i="16" s="1"/>
  <c r="AF289" i="16"/>
  <c r="AF284" i="16" s="1"/>
  <c r="AR278" i="16"/>
  <c r="AF283" i="16"/>
  <c r="AF277" i="16" s="1"/>
  <c r="M224" i="23"/>
  <c r="AQ224" i="23" s="1"/>
  <c r="L225" i="23"/>
  <c r="L221" i="23" s="1"/>
  <c r="M214" i="23"/>
  <c r="AQ214" i="23" s="1"/>
  <c r="L220" i="23"/>
  <c r="L213" i="23" s="1"/>
  <c r="AQ200" i="23"/>
  <c r="AU200" i="23" s="1"/>
  <c r="M203" i="23"/>
  <c r="AN234" i="22"/>
  <c r="AS234" i="22" s="1"/>
  <c r="AM237" i="22"/>
  <c r="AM232" i="22" s="1"/>
  <c r="AN222" i="22"/>
  <c r="AS222" i="22" s="1"/>
  <c r="AM225" i="22"/>
  <c r="AM221" i="22" s="1"/>
  <c r="AN210" i="22"/>
  <c r="AM212" i="22"/>
  <c r="AN202" i="22"/>
  <c r="AS202" i="22" s="1"/>
  <c r="AM203" i="22"/>
  <c r="AB203" i="22"/>
  <c r="AE200" i="22"/>
  <c r="AF200" i="22" s="1"/>
  <c r="AR200" i="22" s="1"/>
  <c r="M241" i="22"/>
  <c r="AQ241" i="22" s="1"/>
  <c r="L243" i="22"/>
  <c r="L238" i="22" s="1"/>
  <c r="M227" i="22"/>
  <c r="L231" i="22"/>
  <c r="L226" i="22" s="1"/>
  <c r="M215" i="22"/>
  <c r="AQ215" i="22" s="1"/>
  <c r="L220" i="22"/>
  <c r="L213" i="22" s="1"/>
  <c r="M201" i="22"/>
  <c r="AQ201" i="22" s="1"/>
  <c r="L203" i="22"/>
  <c r="AN240" i="17"/>
  <c r="AS240" i="17" s="1"/>
  <c r="AM243" i="17"/>
  <c r="AM238" i="17" s="1"/>
  <c r="AN234" i="17"/>
  <c r="AM237" i="17"/>
  <c r="AM232" i="17" s="1"/>
  <c r="AS229" i="17"/>
  <c r="AN231" i="17"/>
  <c r="AN226" i="17" s="1"/>
  <c r="AN223" i="17"/>
  <c r="AM225" i="17"/>
  <c r="AM221" i="17" s="1"/>
  <c r="AN217" i="17"/>
  <c r="AM220" i="17"/>
  <c r="AM213" i="17" s="1"/>
  <c r="AN211" i="17"/>
  <c r="AM212" i="17"/>
  <c r="AQ201" i="16"/>
  <c r="M203" i="16"/>
  <c r="AN180" i="22"/>
  <c r="AS180" i="22" s="1"/>
  <c r="AM181" i="22"/>
  <c r="AN166" i="22"/>
  <c r="AS166" i="22" s="1"/>
  <c r="AM168" i="22"/>
  <c r="AM163" i="22" s="1"/>
  <c r="AN160" i="22"/>
  <c r="AM162" i="22"/>
  <c r="AM151" i="22" s="1"/>
  <c r="AS165" i="17"/>
  <c r="M142" i="23"/>
  <c r="AQ142" i="23" s="1"/>
  <c r="L149" i="23"/>
  <c r="L140" i="23" s="1"/>
  <c r="M136" i="23"/>
  <c r="L139" i="23"/>
  <c r="L134" i="23" s="1"/>
  <c r="M126" i="23"/>
  <c r="L133" i="23"/>
  <c r="L123" i="23" s="1"/>
  <c r="M120" i="23"/>
  <c r="AQ120" i="23" s="1"/>
  <c r="L122" i="23"/>
  <c r="L118" i="23" s="1"/>
  <c r="M114" i="23"/>
  <c r="AQ114" i="23" s="1"/>
  <c r="L117" i="23"/>
  <c r="L111" i="23" s="1"/>
  <c r="M108" i="23"/>
  <c r="AQ108" i="23" s="1"/>
  <c r="L110" i="23"/>
  <c r="L106" i="23" s="1"/>
  <c r="M96" i="23"/>
  <c r="AQ96" i="23" s="1"/>
  <c r="L99" i="23"/>
  <c r="L93" i="23" s="1"/>
  <c r="M90" i="23"/>
  <c r="L92" i="23"/>
  <c r="M86" i="23"/>
  <c r="L88" i="23"/>
  <c r="AN143" i="22"/>
  <c r="AS143" i="22" s="1"/>
  <c r="AM149" i="22"/>
  <c r="AM140" i="22" s="1"/>
  <c r="AN137" i="22"/>
  <c r="AS137" i="22" s="1"/>
  <c r="AM139" i="22"/>
  <c r="AM134" i="22" s="1"/>
  <c r="AN121" i="22"/>
  <c r="AM122" i="22"/>
  <c r="AM118" i="22" s="1"/>
  <c r="AN115" i="22"/>
  <c r="AS115" i="22" s="1"/>
  <c r="AM117" i="22"/>
  <c r="AM111" i="22" s="1"/>
  <c r="AN103" i="22"/>
  <c r="AS103" i="22" s="1"/>
  <c r="AM105" i="22"/>
  <c r="AM100" i="22" s="1"/>
  <c r="AN91" i="22"/>
  <c r="AS91" i="22" s="1"/>
  <c r="AM92" i="22"/>
  <c r="AM79" i="22" s="1"/>
  <c r="AM78" i="22" s="1"/>
  <c r="AN86" i="22"/>
  <c r="AM88" i="22"/>
  <c r="M142" i="22"/>
  <c r="AQ142" i="22" s="1"/>
  <c r="L149" i="22"/>
  <c r="L140" i="22" s="1"/>
  <c r="M126" i="22"/>
  <c r="AQ126" i="22" s="1"/>
  <c r="L133" i="22"/>
  <c r="L123" i="22" s="1"/>
  <c r="M102" i="22"/>
  <c r="AQ102" i="22" s="1"/>
  <c r="L105" i="22"/>
  <c r="L100" i="22" s="1"/>
  <c r="AZ269" i="1"/>
  <c r="ER78" i="18"/>
  <c r="S150" i="14"/>
  <c r="U269" i="15"/>
  <c r="M269" i="15"/>
  <c r="AE264" i="1"/>
  <c r="AF264" i="1" s="1"/>
  <c r="AR264" i="1" s="1"/>
  <c r="U220" i="23"/>
  <c r="U213" i="23" s="1"/>
  <c r="T220" i="23"/>
  <c r="T213" i="23" s="1"/>
  <c r="S243" i="17"/>
  <c r="S238" i="17" s="1"/>
  <c r="AB243" i="17"/>
  <c r="AB238" i="17" s="1"/>
  <c r="U237" i="17"/>
  <c r="U232" i="17" s="1"/>
  <c r="S237" i="17"/>
  <c r="S232" i="17" s="1"/>
  <c r="AB237" i="17"/>
  <c r="AB232" i="17" s="1"/>
  <c r="S231" i="17"/>
  <c r="S226" i="17" s="1"/>
  <c r="AB231" i="17"/>
  <c r="AB226" i="17" s="1"/>
  <c r="U225" i="17"/>
  <c r="U221" i="17" s="1"/>
  <c r="S220" i="17"/>
  <c r="S213" i="17" s="1"/>
  <c r="AB220" i="17"/>
  <c r="AB213" i="17" s="1"/>
  <c r="S209" i="17"/>
  <c r="S198" i="17" s="1"/>
  <c r="AB209" i="17"/>
  <c r="U203" i="17"/>
  <c r="AE199" i="17"/>
  <c r="AF199" i="17" s="1"/>
  <c r="AR199" i="17" s="1"/>
  <c r="AN209" i="15"/>
  <c r="S209" i="15"/>
  <c r="S198" i="15" s="1"/>
  <c r="AB209" i="15"/>
  <c r="AE235" i="14"/>
  <c r="AF235" i="14" s="1"/>
  <c r="AR235" i="14" s="1"/>
  <c r="R209" i="14"/>
  <c r="Y209" i="14"/>
  <c r="AF169" i="17"/>
  <c r="AR169" i="17" s="1"/>
  <c r="R168" i="17"/>
  <c r="Y168" i="17"/>
  <c r="Y163" i="17" s="1"/>
  <c r="S156" i="17"/>
  <c r="S151" i="17" s="1"/>
  <c r="AB156" i="17"/>
  <c r="AF171" i="14"/>
  <c r="AR171" i="14" s="1"/>
  <c r="AE89" i="23"/>
  <c r="AF89" i="23" s="1"/>
  <c r="AR89" i="23" s="1"/>
  <c r="AB85" i="23"/>
  <c r="T149" i="22"/>
  <c r="T140" i="22" s="1"/>
  <c r="R149" i="22"/>
  <c r="R140" i="22" s="1"/>
  <c r="AB149" i="22"/>
  <c r="AB140" i="22" s="1"/>
  <c r="T133" i="22"/>
  <c r="T123" i="22" s="1"/>
  <c r="R133" i="22"/>
  <c r="R123" i="22" s="1"/>
  <c r="AB133" i="22"/>
  <c r="AB123" i="22" s="1"/>
  <c r="U133" i="22"/>
  <c r="U123" i="22" s="1"/>
  <c r="U117" i="22"/>
  <c r="U111" i="22" s="1"/>
  <c r="R85" i="22"/>
  <c r="R79" i="22" s="1"/>
  <c r="AB85" i="22"/>
  <c r="AB79" i="22" s="1"/>
  <c r="AF81" i="15"/>
  <c r="AR81" i="15" s="1"/>
  <c r="U20" i="23"/>
  <c r="T20" i="23"/>
  <c r="AC86" i="18"/>
  <c r="AY277" i="12"/>
  <c r="AS261" i="23"/>
  <c r="AN263" i="23"/>
  <c r="AS252" i="23"/>
  <c r="AN254" i="23"/>
  <c r="AM250" i="17"/>
  <c r="AN249" i="17"/>
  <c r="AS249" i="17" s="1"/>
  <c r="AE278" i="17"/>
  <c r="AF278" i="17" s="1"/>
  <c r="AR278" i="17" s="1"/>
  <c r="Y283" i="17"/>
  <c r="Y277" i="17" s="1"/>
  <c r="AE256" i="17"/>
  <c r="Y258" i="17"/>
  <c r="AE251" i="17"/>
  <c r="AF251" i="17" s="1"/>
  <c r="AR251" i="17" s="1"/>
  <c r="Y254" i="17"/>
  <c r="M285" i="1"/>
  <c r="L289" i="1"/>
  <c r="L284" i="1" s="1"/>
  <c r="M240" i="17"/>
  <c r="L243" i="17"/>
  <c r="L238" i="17" s="1"/>
  <c r="M234" i="17"/>
  <c r="AQ234" i="17" s="1"/>
  <c r="L237" i="17"/>
  <c r="L232" i="17" s="1"/>
  <c r="M228" i="17"/>
  <c r="L231" i="17"/>
  <c r="L226" i="17" s="1"/>
  <c r="M222" i="17"/>
  <c r="AQ222" i="17" s="1"/>
  <c r="L225" i="17"/>
  <c r="L221" i="17" s="1"/>
  <c r="M216" i="17"/>
  <c r="L220" i="17"/>
  <c r="L213" i="17" s="1"/>
  <c r="M210" i="17"/>
  <c r="L212" i="17"/>
  <c r="M199" i="17"/>
  <c r="L203" i="17"/>
  <c r="AN236" i="16"/>
  <c r="AS236" i="16" s="1"/>
  <c r="AM237" i="16"/>
  <c r="AM232" i="16" s="1"/>
  <c r="AN224" i="16"/>
  <c r="AS224" i="16" s="1"/>
  <c r="AM225" i="16"/>
  <c r="AM221" i="16" s="1"/>
  <c r="AS214" i="16"/>
  <c r="AN220" i="16"/>
  <c r="AN213" i="16" s="1"/>
  <c r="AS200" i="16"/>
  <c r="AN203" i="16"/>
  <c r="AF192" i="22"/>
  <c r="AE193" i="22"/>
  <c r="M192" i="22"/>
  <c r="AQ192" i="22" s="1"/>
  <c r="L193" i="22"/>
  <c r="AS192" i="16"/>
  <c r="AN193" i="16"/>
  <c r="AQ191" i="16"/>
  <c r="M193" i="16"/>
  <c r="M183" i="23"/>
  <c r="AQ183" i="23" s="1"/>
  <c r="L190" i="23"/>
  <c r="AN185" i="22"/>
  <c r="AS185" i="22" s="1"/>
  <c r="AM190" i="22"/>
  <c r="AM182" i="22" s="1"/>
  <c r="M183" i="17"/>
  <c r="AQ183" i="17" s="1"/>
  <c r="L190" i="17"/>
  <c r="AN185" i="16"/>
  <c r="AS185" i="16" s="1"/>
  <c r="AM190" i="16"/>
  <c r="AN180" i="23"/>
  <c r="AS180" i="23" s="1"/>
  <c r="AM181" i="23"/>
  <c r="AN171" i="23"/>
  <c r="AS171" i="23" s="1"/>
  <c r="AM178" i="23"/>
  <c r="AN166" i="23"/>
  <c r="AS166" i="23" s="1"/>
  <c r="AM168" i="23"/>
  <c r="AN154" i="23"/>
  <c r="AM156" i="23"/>
  <c r="S181" i="22"/>
  <c r="AE179" i="22"/>
  <c r="AF179" i="22" s="1"/>
  <c r="AR179" i="22" s="1"/>
  <c r="M157" i="22"/>
  <c r="AQ157" i="22" s="1"/>
  <c r="L159" i="22"/>
  <c r="AN180" i="17"/>
  <c r="AS180" i="17" s="1"/>
  <c r="AM181" i="17"/>
  <c r="AN171" i="17"/>
  <c r="AS171" i="17" s="1"/>
  <c r="AM178" i="17"/>
  <c r="AN166" i="17"/>
  <c r="AS166" i="17" s="1"/>
  <c r="AM168" i="17"/>
  <c r="M195" i="17"/>
  <c r="L196" i="17"/>
  <c r="M169" i="17"/>
  <c r="L178" i="17"/>
  <c r="M157" i="17"/>
  <c r="L159" i="17"/>
  <c r="M152" i="17"/>
  <c r="L156" i="17"/>
  <c r="AN142" i="17"/>
  <c r="AM149" i="17"/>
  <c r="AM140" i="17" s="1"/>
  <c r="AN126" i="17"/>
  <c r="AM133" i="17"/>
  <c r="AM123" i="17" s="1"/>
  <c r="AN120" i="17"/>
  <c r="AM122" i="17"/>
  <c r="AM118" i="17" s="1"/>
  <c r="M94" i="16"/>
  <c r="AQ94" i="16" s="1"/>
  <c r="L99" i="16"/>
  <c r="L93" i="16" s="1"/>
  <c r="M87" i="16"/>
  <c r="M88" i="16" s="1"/>
  <c r="L88" i="16"/>
  <c r="M141" i="15"/>
  <c r="L149" i="15"/>
  <c r="L140" i="15" s="1"/>
  <c r="M125" i="15"/>
  <c r="L133" i="15"/>
  <c r="L123" i="15" s="1"/>
  <c r="M113" i="15"/>
  <c r="AQ113" i="15" s="1"/>
  <c r="L117" i="15"/>
  <c r="L111" i="15" s="1"/>
  <c r="Y36" i="18"/>
  <c r="EL37" i="18"/>
  <c r="EL36" i="18" s="1"/>
  <c r="BA269" i="1"/>
  <c r="BA245" i="1"/>
  <c r="L55" i="18"/>
  <c r="Y163" i="1"/>
  <c r="M151" i="13"/>
  <c r="L6" i="13"/>
  <c r="T269" i="14"/>
  <c r="L269" i="14"/>
  <c r="L182" i="14"/>
  <c r="Y269" i="15"/>
  <c r="R269" i="15"/>
  <c r="R244" i="15" s="1"/>
  <c r="AE208" i="15"/>
  <c r="AF208" i="15" s="1"/>
  <c r="AR208" i="15" s="1"/>
  <c r="AM269" i="16"/>
  <c r="Y259" i="16"/>
  <c r="AM79" i="16"/>
  <c r="AE272" i="1"/>
  <c r="AF272" i="1" s="1"/>
  <c r="AR272" i="1" s="1"/>
  <c r="EP88" i="18"/>
  <c r="EP87" i="18" s="1"/>
  <c r="AE249" i="1"/>
  <c r="AF249" i="1" s="1"/>
  <c r="AR249" i="1" s="1"/>
  <c r="AE247" i="1"/>
  <c r="AF247" i="1" s="1"/>
  <c r="AR247" i="1" s="1"/>
  <c r="R203" i="23"/>
  <c r="AB203" i="23"/>
  <c r="T243" i="16"/>
  <c r="T238" i="16" s="1"/>
  <c r="R243" i="16"/>
  <c r="R238" i="16" s="1"/>
  <c r="T231" i="16"/>
  <c r="T226" i="16" s="1"/>
  <c r="T220" i="16"/>
  <c r="T213" i="16" s="1"/>
  <c r="R209" i="16"/>
  <c r="R198" i="16" s="1"/>
  <c r="Y209" i="16"/>
  <c r="Y198" i="16" s="1"/>
  <c r="AE205" i="13"/>
  <c r="AF205" i="13" s="1"/>
  <c r="AR205" i="13" s="1"/>
  <c r="T209" i="13"/>
  <c r="EO63" i="18"/>
  <c r="AN209" i="12"/>
  <c r="AN198" i="12" s="1"/>
  <c r="T190" i="22"/>
  <c r="Y190" i="17"/>
  <c r="T190" i="17"/>
  <c r="S178" i="22"/>
  <c r="S163" i="22" s="1"/>
  <c r="AB178" i="22"/>
  <c r="T168" i="22"/>
  <c r="AE176" i="13"/>
  <c r="AE174" i="13"/>
  <c r="AE194" i="1"/>
  <c r="AF194" i="1" s="1"/>
  <c r="AR194" i="1" s="1"/>
  <c r="AE176" i="1"/>
  <c r="AE178" i="1" s="1"/>
  <c r="AF80" i="15"/>
  <c r="AR80" i="15" s="1"/>
  <c r="AB45" i="22"/>
  <c r="T45" i="22"/>
  <c r="M80" i="1"/>
  <c r="AQ80" i="1" s="1"/>
  <c r="L85" i="1"/>
  <c r="T99" i="1"/>
  <c r="T93" i="1" s="1"/>
  <c r="CU83" i="18"/>
  <c r="BW83" i="18"/>
  <c r="AD80" i="18"/>
  <c r="AD79" i="18" s="1"/>
  <c r="AZ259" i="12"/>
  <c r="Z80" i="18"/>
  <c r="Z79" i="18" s="1"/>
  <c r="AV259" i="12"/>
  <c r="DU86" i="18"/>
  <c r="DU85" i="18" s="1"/>
  <c r="AQ277" i="23"/>
  <c r="BU86" i="18"/>
  <c r="BU85" i="18" s="1"/>
  <c r="AQ277" i="16"/>
  <c r="BJ86" i="18"/>
  <c r="BJ85" i="18" s="1"/>
  <c r="AS277" i="15"/>
  <c r="M255" i="1"/>
  <c r="L258" i="1"/>
  <c r="M246" i="1"/>
  <c r="L250" i="1"/>
  <c r="M214" i="1"/>
  <c r="L220" i="1"/>
  <c r="L213" i="1" s="1"/>
  <c r="M179" i="1"/>
  <c r="L181" i="1"/>
  <c r="M141" i="1"/>
  <c r="AQ141" i="1" s="1"/>
  <c r="L149" i="1"/>
  <c r="L140" i="1" s="1"/>
  <c r="M86" i="1"/>
  <c r="AQ86" i="1" s="1"/>
  <c r="L88" i="1"/>
  <c r="U6" i="15"/>
  <c r="T6" i="15"/>
  <c r="S6" i="15"/>
  <c r="T269" i="16"/>
  <c r="L269" i="16"/>
  <c r="AB259" i="16"/>
  <c r="S259" i="16"/>
  <c r="CB26" i="18"/>
  <c r="CB25" i="18" s="1"/>
  <c r="AM45" i="16"/>
  <c r="AM20" i="16"/>
  <c r="AB6" i="16"/>
  <c r="Y6" i="16"/>
  <c r="U6" i="16"/>
  <c r="T6" i="16"/>
  <c r="S6" i="16"/>
  <c r="L6" i="16"/>
  <c r="AM269" i="17"/>
  <c r="AB269" i="17"/>
  <c r="S269" i="17"/>
  <c r="AL259" i="17"/>
  <c r="T259" i="17"/>
  <c r="CO26" i="18"/>
  <c r="DC55" i="18"/>
  <c r="AJ269" i="22"/>
  <c r="U269" i="22"/>
  <c r="M269" i="22"/>
  <c r="AJ259" i="22"/>
  <c r="U259" i="22"/>
  <c r="AJ245" i="22"/>
  <c r="DQ26" i="18"/>
  <c r="DQ25" i="18" s="1"/>
  <c r="DM26" i="18"/>
  <c r="DM25" i="18" s="1"/>
  <c r="AM56" i="22"/>
  <c r="AM37" i="22"/>
  <c r="AM15" i="22"/>
  <c r="AM6" i="22" s="1"/>
  <c r="R29" i="22"/>
  <c r="L44" i="22"/>
  <c r="L40" i="22" s="1"/>
  <c r="L29" i="22"/>
  <c r="L20" i="22" s="1"/>
  <c r="AK269" i="23"/>
  <c r="AB269" i="23"/>
  <c r="R269" i="23"/>
  <c r="AJ259" i="23"/>
  <c r="U259" i="23"/>
  <c r="AJ245" i="23"/>
  <c r="ED26" i="18"/>
  <c r="ED25" i="18" s="1"/>
  <c r="DZ26" i="18"/>
  <c r="DZ25" i="18" s="1"/>
  <c r="AN11" i="23"/>
  <c r="AM50" i="23"/>
  <c r="AM29" i="23"/>
  <c r="AM11" i="23"/>
  <c r="R77" i="23"/>
  <c r="R61" i="23" s="1"/>
  <c r="L37" i="23"/>
  <c r="L15" i="23"/>
  <c r="L6" i="23" s="1"/>
  <c r="CC82" i="18"/>
  <c r="AQ82" i="18"/>
  <c r="CZ79" i="18"/>
  <c r="CQ79" i="18"/>
  <c r="CE79" i="18"/>
  <c r="CA79" i="18"/>
  <c r="BO79" i="18"/>
  <c r="AZ79" i="18"/>
  <c r="CQ75" i="18"/>
  <c r="CO75" i="18"/>
  <c r="CO74" i="18" s="1"/>
  <c r="AE285" i="1"/>
  <c r="AF285" i="1" s="1"/>
  <c r="AR285" i="1" s="1"/>
  <c r="AE281" i="1"/>
  <c r="AF281" i="1" s="1"/>
  <c r="AR281" i="1" s="1"/>
  <c r="AE252" i="1"/>
  <c r="AF252" i="1" s="1"/>
  <c r="AR252" i="1" s="1"/>
  <c r="L268" i="1"/>
  <c r="EC60" i="18"/>
  <c r="AE204" i="23"/>
  <c r="AF204" i="23" s="1"/>
  <c r="AB209" i="23"/>
  <c r="AE239" i="22"/>
  <c r="U209" i="22"/>
  <c r="AE227" i="17"/>
  <c r="AF227" i="17" s="1"/>
  <c r="AR227" i="17" s="1"/>
  <c r="R209" i="17"/>
  <c r="Y209" i="17"/>
  <c r="Y198" i="17" s="1"/>
  <c r="AE201" i="17"/>
  <c r="AF201" i="17" s="1"/>
  <c r="AR201" i="17" s="1"/>
  <c r="U209" i="16"/>
  <c r="U198" i="16" s="1"/>
  <c r="R209" i="15"/>
  <c r="Y209" i="15"/>
  <c r="Y198" i="15" s="1"/>
  <c r="AE201" i="15"/>
  <c r="AF201" i="15" s="1"/>
  <c r="AR201" i="15" s="1"/>
  <c r="U209" i="14"/>
  <c r="AN209" i="13"/>
  <c r="S209" i="13"/>
  <c r="S198" i="13" s="1"/>
  <c r="AB209" i="13"/>
  <c r="AU212" i="13"/>
  <c r="AL63" i="18" s="1"/>
  <c r="U209" i="12"/>
  <c r="AE216" i="1"/>
  <c r="AF216" i="1" s="1"/>
  <c r="AR216" i="1" s="1"/>
  <c r="R209" i="1"/>
  <c r="Y209" i="1"/>
  <c r="AF191" i="13"/>
  <c r="AR191" i="13" s="1"/>
  <c r="AF171" i="17"/>
  <c r="AR171" i="17" s="1"/>
  <c r="AE176" i="14"/>
  <c r="AF169" i="13"/>
  <c r="AR169" i="13" s="1"/>
  <c r="T105" i="15"/>
  <c r="T100" i="15" s="1"/>
  <c r="AF135" i="14"/>
  <c r="AR135" i="14" s="1"/>
  <c r="AE108" i="1"/>
  <c r="AF108" i="1" s="1"/>
  <c r="AR108" i="1" s="1"/>
  <c r="S99" i="1"/>
  <c r="S93" i="1" s="1"/>
  <c r="AB99" i="1"/>
  <c r="AB93" i="1" s="1"/>
  <c r="M119" i="1"/>
  <c r="AQ119" i="1" s="1"/>
  <c r="ED7" i="18"/>
  <c r="DP7" i="18"/>
  <c r="AJ78" i="1"/>
  <c r="AD78" i="12"/>
  <c r="AX150" i="13"/>
  <c r="AY197" i="13"/>
  <c r="AC78" i="16"/>
  <c r="AK197" i="16"/>
  <c r="BA150" i="16"/>
  <c r="AK150" i="17"/>
  <c r="AL197" i="17"/>
  <c r="AX197" i="22"/>
  <c r="AD197" i="23"/>
  <c r="AJ197" i="23"/>
  <c r="AW78" i="23"/>
  <c r="BA78" i="23"/>
  <c r="AE80" i="18"/>
  <c r="AE79" i="18" s="1"/>
  <c r="BA259" i="12"/>
  <c r="DU88" i="18"/>
  <c r="DU87" i="18" s="1"/>
  <c r="AQ284" i="23"/>
  <c r="CU88" i="18"/>
  <c r="CU87" i="18" s="1"/>
  <c r="BU88" i="18"/>
  <c r="BU87" i="18" s="1"/>
  <c r="AQ284" i="16"/>
  <c r="M278" i="1"/>
  <c r="L283" i="1"/>
  <c r="L277" i="1" s="1"/>
  <c r="M251" i="1"/>
  <c r="AQ251" i="1" s="1"/>
  <c r="L254" i="1"/>
  <c r="M239" i="1"/>
  <c r="L243" i="1"/>
  <c r="L238" i="1" s="1"/>
  <c r="M233" i="1"/>
  <c r="L237" i="1"/>
  <c r="L232" i="1" s="1"/>
  <c r="M227" i="1"/>
  <c r="L231" i="1"/>
  <c r="L226" i="1" s="1"/>
  <c r="M199" i="1"/>
  <c r="L203" i="1"/>
  <c r="M191" i="1"/>
  <c r="L193" i="1"/>
  <c r="M160" i="1"/>
  <c r="L162" i="1"/>
  <c r="M112" i="1"/>
  <c r="AQ112" i="1" s="1"/>
  <c r="L117" i="1"/>
  <c r="L111" i="1" s="1"/>
  <c r="M94" i="1"/>
  <c r="L99" i="1"/>
  <c r="L93" i="1" s="1"/>
  <c r="L269" i="17"/>
  <c r="AL245" i="17"/>
  <c r="AL244" i="17" s="1"/>
  <c r="T245" i="17"/>
  <c r="T244" i="17" s="1"/>
  <c r="L245" i="17"/>
  <c r="L244" i="17" s="1"/>
  <c r="AE207" i="17"/>
  <c r="AF207" i="17" s="1"/>
  <c r="AR207" i="17" s="1"/>
  <c r="CL26" i="18"/>
  <c r="AK269" i="22"/>
  <c r="AB269" i="22"/>
  <c r="R269" i="22"/>
  <c r="L259" i="22"/>
  <c r="AK259" i="22"/>
  <c r="AB259" i="22"/>
  <c r="R259" i="22"/>
  <c r="AK245" i="22"/>
  <c r="AK244" i="22" s="1"/>
  <c r="DR55" i="18"/>
  <c r="DN55" i="18"/>
  <c r="DR25" i="18"/>
  <c r="DN25" i="18"/>
  <c r="AM60" i="22"/>
  <c r="AB6" i="22"/>
  <c r="T6" i="22"/>
  <c r="S6" i="22"/>
  <c r="AL269" i="23"/>
  <c r="S269" i="23"/>
  <c r="L259" i="23"/>
  <c r="AK245" i="23"/>
  <c r="AE207" i="23"/>
  <c r="AF207" i="23" s="1"/>
  <c r="AR207" i="23" s="1"/>
  <c r="ED55" i="18"/>
  <c r="DZ55" i="18"/>
  <c r="AM56" i="23"/>
  <c r="AM37" i="23"/>
  <c r="AM15" i="23"/>
  <c r="L77" i="23"/>
  <c r="L61" i="23" s="1"/>
  <c r="L50" i="23"/>
  <c r="EC82" i="18"/>
  <c r="CD82" i="18"/>
  <c r="CD74" i="18" s="1"/>
  <c r="BD82" i="18"/>
  <c r="AR263" i="23"/>
  <c r="DV80" i="18" s="1"/>
  <c r="CB79" i="18"/>
  <c r="AE261" i="12"/>
  <c r="AR258" i="23"/>
  <c r="DV78" i="18" s="1"/>
  <c r="AR250" i="22"/>
  <c r="DI76" i="18" s="1"/>
  <c r="AE280" i="12"/>
  <c r="AF280" i="12" s="1"/>
  <c r="AR280" i="12" s="1"/>
  <c r="AF278" i="1"/>
  <c r="AE257" i="1"/>
  <c r="AF257" i="1" s="1"/>
  <c r="AR257" i="1" s="1"/>
  <c r="U209" i="23"/>
  <c r="U198" i="23" s="1"/>
  <c r="T209" i="22"/>
  <c r="T198" i="22" s="1"/>
  <c r="M209" i="22"/>
  <c r="U209" i="17"/>
  <c r="U198" i="17" s="1"/>
  <c r="T209" i="16"/>
  <c r="M209" i="16"/>
  <c r="U209" i="15"/>
  <c r="U198" i="15" s="1"/>
  <c r="U197" i="15" s="1"/>
  <c r="AE224" i="14"/>
  <c r="AF224" i="14" s="1"/>
  <c r="AR224" i="14" s="1"/>
  <c r="T209" i="14"/>
  <c r="AE235" i="13"/>
  <c r="AF235" i="13" s="1"/>
  <c r="AR235" i="13" s="1"/>
  <c r="Y212" i="13"/>
  <c r="R209" i="13"/>
  <c r="Y209" i="13"/>
  <c r="T209" i="12"/>
  <c r="U209" i="1"/>
  <c r="AE185" i="23"/>
  <c r="AF185" i="23" s="1"/>
  <c r="AR185" i="23" s="1"/>
  <c r="AE176" i="22"/>
  <c r="AE176" i="16"/>
  <c r="AE176" i="15"/>
  <c r="AF167" i="13"/>
  <c r="AR167" i="13" s="1"/>
  <c r="AE176" i="12"/>
  <c r="AE174" i="12"/>
  <c r="AF174" i="12" s="1"/>
  <c r="AR174" i="12" s="1"/>
  <c r="AT174" i="12" s="1"/>
  <c r="BB174" i="12" s="1"/>
  <c r="AE90" i="23"/>
  <c r="AF90" i="23" s="1"/>
  <c r="AR90" i="23" s="1"/>
  <c r="AF81" i="23"/>
  <c r="AR81" i="23" s="1"/>
  <c r="S105" i="15"/>
  <c r="S100" i="15" s="1"/>
  <c r="AB105" i="15"/>
  <c r="AB100" i="15" s="1"/>
  <c r="AS105" i="14"/>
  <c r="AE115" i="1"/>
  <c r="AF115" i="1" s="1"/>
  <c r="AR115" i="1" s="1"/>
  <c r="R99" i="1"/>
  <c r="R93" i="1" s="1"/>
  <c r="Y99" i="1"/>
  <c r="Y93" i="1" s="1"/>
  <c r="AE91" i="1"/>
  <c r="AF91" i="1" s="1"/>
  <c r="AR91" i="1" s="1"/>
  <c r="AW150" i="1"/>
  <c r="BA150" i="1"/>
  <c r="AC78" i="12"/>
  <c r="AD150" i="16"/>
  <c r="AX78" i="22"/>
  <c r="AL150" i="23"/>
  <c r="AK197" i="23"/>
  <c r="DU83" i="18"/>
  <c r="DU82" i="18" s="1"/>
  <c r="AQ269" i="23"/>
  <c r="M270" i="1"/>
  <c r="L273" i="1"/>
  <c r="AB80" i="18"/>
  <c r="AB79" i="18" s="1"/>
  <c r="AX259" i="12"/>
  <c r="AN204" i="1"/>
  <c r="AM209" i="1"/>
  <c r="M222" i="1"/>
  <c r="L225" i="1"/>
  <c r="L221" i="1" s="1"/>
  <c r="M210" i="1"/>
  <c r="L212" i="1"/>
  <c r="M204" i="1"/>
  <c r="L209" i="1"/>
  <c r="M194" i="1"/>
  <c r="L196" i="1"/>
  <c r="M152" i="1"/>
  <c r="L156" i="1"/>
  <c r="M101" i="15"/>
  <c r="L105" i="15"/>
  <c r="L100" i="15" s="1"/>
  <c r="M107" i="1"/>
  <c r="L110" i="1"/>
  <c r="L106" i="1" s="1"/>
  <c r="M101" i="1"/>
  <c r="AQ101" i="1" s="1"/>
  <c r="L105" i="1"/>
  <c r="L100" i="1" s="1"/>
  <c r="M89" i="1"/>
  <c r="AQ89" i="1" s="1"/>
  <c r="L92" i="1"/>
  <c r="AN269" i="16"/>
  <c r="R269" i="16"/>
  <c r="AM259" i="16"/>
  <c r="U259" i="16"/>
  <c r="U197" i="16"/>
  <c r="CC55" i="18"/>
  <c r="CD26" i="18"/>
  <c r="CD25" i="18" s="1"/>
  <c r="BZ26" i="18"/>
  <c r="BZ25" i="18" s="1"/>
  <c r="AK269" i="17"/>
  <c r="AK244" i="17" s="1"/>
  <c r="U269" i="17"/>
  <c r="AJ259" i="17"/>
  <c r="AJ244" i="17" s="1"/>
  <c r="R259" i="17"/>
  <c r="CQ55" i="18"/>
  <c r="CM55" i="18"/>
  <c r="CQ26" i="18"/>
  <c r="CM26" i="18"/>
  <c r="L6" i="17"/>
  <c r="AL269" i="22"/>
  <c r="S269" i="22"/>
  <c r="AL259" i="22"/>
  <c r="S259" i="22"/>
  <c r="AL245" i="22"/>
  <c r="AL244" i="22" s="1"/>
  <c r="AE207" i="22"/>
  <c r="AF207" i="22" s="1"/>
  <c r="AR207" i="22" s="1"/>
  <c r="DO26" i="18"/>
  <c r="DO25" i="18" s="1"/>
  <c r="AM77" i="22"/>
  <c r="AM61" i="22" s="1"/>
  <c r="AM44" i="22"/>
  <c r="AM40" i="22" s="1"/>
  <c r="AM25" i="22"/>
  <c r="L50" i="22"/>
  <c r="AM273" i="23"/>
  <c r="AM269" i="23" s="1"/>
  <c r="T269" i="23"/>
  <c r="L269" i="23"/>
  <c r="AL259" i="23"/>
  <c r="S259" i="23"/>
  <c r="AL245" i="23"/>
  <c r="AL244" i="23" s="1"/>
  <c r="L245" i="23"/>
  <c r="EB26" i="18"/>
  <c r="EB25" i="18" s="1"/>
  <c r="AM60" i="23"/>
  <c r="U6" i="23"/>
  <c r="M60" i="23"/>
  <c r="L56" i="23"/>
  <c r="L25" i="23"/>
  <c r="L20" i="23" s="1"/>
  <c r="ED82" i="18"/>
  <c r="ED74" i="18" s="1"/>
  <c r="DZ82" i="18"/>
  <c r="DO82" i="18"/>
  <c r="BP82" i="18"/>
  <c r="EE79" i="18"/>
  <c r="DR79" i="18"/>
  <c r="DN79" i="18"/>
  <c r="BJ88" i="18"/>
  <c r="BJ87" i="18" s="1"/>
  <c r="AD88" i="18"/>
  <c r="AD87" i="18" s="1"/>
  <c r="AS276" i="1"/>
  <c r="J84" i="18" s="1"/>
  <c r="AE265" i="1"/>
  <c r="L276" i="1"/>
  <c r="AE206" i="23"/>
  <c r="AF206" i="23" s="1"/>
  <c r="AR206" i="23" s="1"/>
  <c r="T209" i="23"/>
  <c r="S209" i="22"/>
  <c r="AE228" i="17"/>
  <c r="AF228" i="17" s="1"/>
  <c r="AR228" i="17" s="1"/>
  <c r="T209" i="17"/>
  <c r="AE200" i="17"/>
  <c r="AF200" i="17" s="1"/>
  <c r="AR200" i="17" s="1"/>
  <c r="S209" i="16"/>
  <c r="S198" i="16" s="1"/>
  <c r="AB209" i="16"/>
  <c r="T209" i="15"/>
  <c r="AS209" i="14"/>
  <c r="S209" i="14"/>
  <c r="AB209" i="14"/>
  <c r="AE199" i="14"/>
  <c r="AF199" i="14" s="1"/>
  <c r="M209" i="14"/>
  <c r="U209" i="13"/>
  <c r="S209" i="12"/>
  <c r="AB209" i="12"/>
  <c r="AE240" i="1"/>
  <c r="AF240" i="1" s="1"/>
  <c r="AR240" i="1" s="1"/>
  <c r="T209" i="1"/>
  <c r="AE183" i="23"/>
  <c r="AF183" i="23" s="1"/>
  <c r="AR183" i="23" s="1"/>
  <c r="AE176" i="23"/>
  <c r="AE165" i="22"/>
  <c r="AF165" i="22" s="1"/>
  <c r="AR165" i="22" s="1"/>
  <c r="AE172" i="17"/>
  <c r="AF172" i="17" s="1"/>
  <c r="AR172" i="17" s="1"/>
  <c r="AE155" i="15"/>
  <c r="AF155" i="15" s="1"/>
  <c r="AR155" i="15" s="1"/>
  <c r="AS181" i="13"/>
  <c r="AJ54" i="18" s="1"/>
  <c r="AF167" i="12"/>
  <c r="AR167" i="12" s="1"/>
  <c r="AE89" i="16"/>
  <c r="AE115" i="15"/>
  <c r="AF115" i="15" s="1"/>
  <c r="AR115" i="15" s="1"/>
  <c r="R105" i="15"/>
  <c r="R100" i="15" s="1"/>
  <c r="Y105" i="15"/>
  <c r="Y100" i="15" s="1"/>
  <c r="AE91" i="15"/>
  <c r="AF91" i="15" s="1"/>
  <c r="AR91" i="15" s="1"/>
  <c r="AQ110" i="12"/>
  <c r="AT115" i="1"/>
  <c r="BB115" i="1" s="1"/>
  <c r="AE146" i="1"/>
  <c r="AF146" i="1" s="1"/>
  <c r="AR146" i="1" s="1"/>
  <c r="U99" i="1"/>
  <c r="U93" i="1" s="1"/>
  <c r="U78" i="1" s="1"/>
  <c r="EO11" i="18"/>
  <c r="EO10" i="18" s="1"/>
  <c r="EE7" i="18"/>
  <c r="AT69" i="1"/>
  <c r="BB69" i="1" s="1"/>
  <c r="AD150" i="1"/>
  <c r="AC78" i="13"/>
  <c r="AC78" i="14"/>
  <c r="AK150" i="16"/>
  <c r="AD150" i="17"/>
  <c r="AK78" i="22"/>
  <c r="AJ78" i="23"/>
  <c r="AK78" i="23"/>
  <c r="AL78" i="23"/>
  <c r="AK150" i="23"/>
  <c r="AL197" i="23"/>
  <c r="AF27" i="17"/>
  <c r="AR27" i="17" s="1"/>
  <c r="AE59" i="16"/>
  <c r="AF59" i="16" s="1"/>
  <c r="AR59" i="16" s="1"/>
  <c r="AF27" i="15"/>
  <c r="AR27" i="15" s="1"/>
  <c r="AS11" i="13"/>
  <c r="AJ8" i="18" s="1"/>
  <c r="AE26" i="12"/>
  <c r="AF26" i="12" s="1"/>
  <c r="AR26" i="12" s="1"/>
  <c r="AE72" i="1"/>
  <c r="AF72" i="1" s="1"/>
  <c r="AR72" i="1" s="1"/>
  <c r="AE264" i="15"/>
  <c r="AE268" i="15" s="1"/>
  <c r="AE259" i="15" s="1"/>
  <c r="AK259" i="13"/>
  <c r="AK244" i="13" s="1"/>
  <c r="AD244" i="13"/>
  <c r="AW244" i="13"/>
  <c r="AC269" i="14"/>
  <c r="AC244" i="14" s="1"/>
  <c r="AJ259" i="15"/>
  <c r="AL269" i="15"/>
  <c r="AK269" i="16"/>
  <c r="AC259" i="17"/>
  <c r="AC244" i="17" s="1"/>
  <c r="AC259" i="22"/>
  <c r="AC244" i="22" s="1"/>
  <c r="AW259" i="22"/>
  <c r="BA259" i="22"/>
  <c r="AW269" i="22"/>
  <c r="BA269" i="22"/>
  <c r="AX259" i="23"/>
  <c r="AX269" i="23"/>
  <c r="AE83" i="22"/>
  <c r="AZ197" i="1"/>
  <c r="AC50" i="12"/>
  <c r="AJ197" i="12"/>
  <c r="AV78" i="12"/>
  <c r="AU163" i="12"/>
  <c r="AU150" i="12" s="1"/>
  <c r="AK78" i="13"/>
  <c r="BA78" i="15"/>
  <c r="AV151" i="15"/>
  <c r="AZ151" i="15"/>
  <c r="BA182" i="15"/>
  <c r="AV78" i="16"/>
  <c r="AZ78" i="16"/>
  <c r="AX151" i="16"/>
  <c r="AV78" i="17"/>
  <c r="AZ78" i="17"/>
  <c r="AV150" i="22"/>
  <c r="AZ182" i="22"/>
  <c r="L29" i="1"/>
  <c r="L44" i="1"/>
  <c r="L40" i="1" s="1"/>
  <c r="AU7" i="14"/>
  <c r="AU62" i="12"/>
  <c r="AU51" i="12"/>
  <c r="AU46" i="12"/>
  <c r="AU50" i="12" s="1"/>
  <c r="M23" i="12"/>
  <c r="AQ23" i="12"/>
  <c r="AU7" i="12"/>
  <c r="AU11" i="12" s="1"/>
  <c r="Y8" i="18" s="1"/>
  <c r="AE17" i="17"/>
  <c r="AE31" i="16"/>
  <c r="AF31" i="16" s="1"/>
  <c r="AR31" i="16" s="1"/>
  <c r="AE17" i="15"/>
  <c r="AF17" i="15" s="1"/>
  <c r="AE7" i="12"/>
  <c r="AF7" i="12" s="1"/>
  <c r="AR7" i="12" s="1"/>
  <c r="AQ258" i="17"/>
  <c r="CH78" i="18" s="1"/>
  <c r="AQ263" i="23"/>
  <c r="DU80" i="18" s="1"/>
  <c r="AL259" i="13"/>
  <c r="AL244" i="13" s="1"/>
  <c r="AF266" i="13"/>
  <c r="AR266" i="13" s="1"/>
  <c r="AF260" i="13"/>
  <c r="AR260" i="13" s="1"/>
  <c r="AE83" i="23"/>
  <c r="AC25" i="1"/>
  <c r="AC20" i="1" s="1"/>
  <c r="AC5" i="1" s="1"/>
  <c r="AC178" i="1"/>
  <c r="AC163" i="1" s="1"/>
  <c r="AJ163" i="1"/>
  <c r="AJ150" i="1" s="1"/>
  <c r="AY20" i="1"/>
  <c r="BA45" i="1"/>
  <c r="AV45" i="1"/>
  <c r="AV5" i="1" s="1"/>
  <c r="AZ45" i="1"/>
  <c r="AZ5" i="1" s="1"/>
  <c r="AX163" i="1"/>
  <c r="AX150" i="1" s="1"/>
  <c r="AU163" i="1"/>
  <c r="AX197" i="1"/>
  <c r="AC220" i="12"/>
  <c r="AC213" i="12" s="1"/>
  <c r="AK78" i="12"/>
  <c r="AV45" i="12"/>
  <c r="AV5" i="12" s="1"/>
  <c r="BA78" i="12"/>
  <c r="AC11" i="13"/>
  <c r="AC15" i="13"/>
  <c r="AJ163" i="13"/>
  <c r="AY150" i="16"/>
  <c r="AC77" i="17"/>
  <c r="AC61" i="17" s="1"/>
  <c r="AW151" i="17"/>
  <c r="BA151" i="17"/>
  <c r="AW163" i="17"/>
  <c r="BA163" i="17"/>
  <c r="AC77" i="23"/>
  <c r="AC61" i="23" s="1"/>
  <c r="AY78" i="23"/>
  <c r="AX78" i="23"/>
  <c r="AV150" i="23"/>
  <c r="L15" i="1"/>
  <c r="L25" i="1"/>
  <c r="L60" i="1"/>
  <c r="M67" i="12"/>
  <c r="AQ67" i="12" s="1"/>
  <c r="M24" i="12"/>
  <c r="AQ24" i="12" s="1"/>
  <c r="AQ25" i="12" s="1"/>
  <c r="AU12" i="12"/>
  <c r="AN264" i="13"/>
  <c r="AS264" i="13" s="1"/>
  <c r="AN261" i="13"/>
  <c r="AS261" i="13" s="1"/>
  <c r="BZ7" i="18"/>
  <c r="AE42" i="14"/>
  <c r="AE63" i="1"/>
  <c r="AF63" i="1" s="1"/>
  <c r="AR63" i="1" s="1"/>
  <c r="AQ289" i="12"/>
  <c r="AQ284" i="12" s="1"/>
  <c r="AM276" i="13"/>
  <c r="AJ269" i="13"/>
  <c r="AJ244" i="13" s="1"/>
  <c r="AC269" i="15"/>
  <c r="AC244" i="15" s="1"/>
  <c r="AL259" i="15"/>
  <c r="AL244" i="15" s="1"/>
  <c r="AJ269" i="15"/>
  <c r="AC259" i="16"/>
  <c r="AC244" i="16" s="1"/>
  <c r="AK259" i="16"/>
  <c r="AK244" i="16" s="1"/>
  <c r="AX269" i="17"/>
  <c r="AX244" i="17" s="1"/>
  <c r="AL150" i="1"/>
  <c r="AY150" i="1"/>
  <c r="AV197" i="1"/>
  <c r="AL197" i="12"/>
  <c r="AY78" i="12"/>
  <c r="AZ78" i="12"/>
  <c r="AW163" i="12"/>
  <c r="AW150" i="12" s="1"/>
  <c r="AZ197" i="12"/>
  <c r="AD197" i="13"/>
  <c r="AL197" i="13"/>
  <c r="AC15" i="14"/>
  <c r="AJ163" i="14"/>
  <c r="AW150" i="14"/>
  <c r="AU150" i="14"/>
  <c r="AC15" i="15"/>
  <c r="AW78" i="15"/>
  <c r="AV78" i="15"/>
  <c r="AX151" i="15"/>
  <c r="AC77" i="16"/>
  <c r="AC61" i="16" s="1"/>
  <c r="AY20" i="16"/>
  <c r="AZ150" i="22"/>
  <c r="AX182" i="22"/>
  <c r="AL45" i="23"/>
  <c r="AL5" i="23" s="1"/>
  <c r="AU151" i="23"/>
  <c r="AY151" i="23"/>
  <c r="AU163" i="23"/>
  <c r="AY163" i="23"/>
  <c r="AY182" i="23"/>
  <c r="L11" i="1"/>
  <c r="L6" i="1" s="1"/>
  <c r="L39" i="1"/>
  <c r="L56" i="1"/>
  <c r="L77" i="1"/>
  <c r="L61" i="1" s="1"/>
  <c r="M262" i="14"/>
  <c r="AQ262" i="14" s="1"/>
  <c r="AE24" i="13"/>
  <c r="AF24" i="13" s="1"/>
  <c r="AR24" i="13" s="1"/>
  <c r="AX244" i="13"/>
  <c r="AD269" i="16"/>
  <c r="AW259" i="16"/>
  <c r="BA259" i="16"/>
  <c r="BA244" i="16" s="1"/>
  <c r="AW269" i="16"/>
  <c r="BA269" i="16"/>
  <c r="AW259" i="17"/>
  <c r="BA259" i="17"/>
  <c r="BA244" i="17" s="1"/>
  <c r="AW269" i="17"/>
  <c r="BA269" i="17"/>
  <c r="AX259" i="22"/>
  <c r="AX244" i="22" s="1"/>
  <c r="AX269" i="22"/>
  <c r="AC269" i="23"/>
  <c r="AC244" i="23" s="1"/>
  <c r="AY259" i="23"/>
  <c r="AY269" i="23"/>
  <c r="AE83" i="15"/>
  <c r="AE85" i="15" s="1"/>
  <c r="AE83" i="16"/>
  <c r="AE83" i="17"/>
  <c r="AC78" i="1"/>
  <c r="AC197" i="1"/>
  <c r="AW20" i="1"/>
  <c r="BA20" i="1"/>
  <c r="AZ163" i="1"/>
  <c r="AJ163" i="12"/>
  <c r="AZ45" i="12"/>
  <c r="AX78" i="12"/>
  <c r="AC220" i="13"/>
  <c r="AC213" i="13" s="1"/>
  <c r="AK150" i="13"/>
  <c r="AW150" i="13"/>
  <c r="AV150" i="13"/>
  <c r="AC20" i="14"/>
  <c r="AL150" i="14"/>
  <c r="AY150" i="15"/>
  <c r="AZ197" i="15"/>
  <c r="AY78" i="16"/>
  <c r="AX182" i="16"/>
  <c r="BA45" i="17"/>
  <c r="AU151" i="17"/>
  <c r="AY151" i="17"/>
  <c r="AU163" i="17"/>
  <c r="AY163" i="17"/>
  <c r="AC197" i="22"/>
  <c r="AX150" i="22"/>
  <c r="AW150" i="22"/>
  <c r="BA150" i="22"/>
  <c r="AC197" i="23"/>
  <c r="AV78" i="23"/>
  <c r="AZ78" i="23"/>
  <c r="AZ150" i="23"/>
  <c r="L50" i="1"/>
  <c r="AF259" i="23"/>
  <c r="AD259" i="23"/>
  <c r="AD244" i="23" s="1"/>
  <c r="AQ264" i="23"/>
  <c r="AQ268" i="23" s="1"/>
  <c r="M268" i="23"/>
  <c r="M259" i="23" s="1"/>
  <c r="L244" i="23"/>
  <c r="AF259" i="22"/>
  <c r="AD259" i="22"/>
  <c r="AD244" i="22" s="1"/>
  <c r="L244" i="22"/>
  <c r="AD259" i="17"/>
  <c r="AD244" i="17" s="1"/>
  <c r="AD259" i="16"/>
  <c r="AD244" i="16" s="1"/>
  <c r="L244" i="16"/>
  <c r="AD259" i="15"/>
  <c r="AD244" i="15" s="1"/>
  <c r="AK244" i="14"/>
  <c r="AD244" i="14"/>
  <c r="AW259" i="12"/>
  <c r="AW244" i="12" s="1"/>
  <c r="Y79" i="18"/>
  <c r="AK244" i="12"/>
  <c r="AU259" i="12"/>
  <c r="AU163" i="22"/>
  <c r="AR276" i="23"/>
  <c r="DV84" i="18" s="1"/>
  <c r="DL26" i="18"/>
  <c r="AJ150" i="14"/>
  <c r="AU150" i="13"/>
  <c r="AL163" i="12"/>
  <c r="AL150" i="12" s="1"/>
  <c r="AJ150" i="12"/>
  <c r="AZ150" i="12"/>
  <c r="AU78" i="12"/>
  <c r="AW78" i="12"/>
  <c r="N79" i="18"/>
  <c r="L139" i="1"/>
  <c r="L134" i="1" s="1"/>
  <c r="AM151" i="1"/>
  <c r="AZ151" i="1"/>
  <c r="L190" i="1"/>
  <c r="AV163" i="1"/>
  <c r="AV150" i="1" s="1"/>
  <c r="AC150" i="1"/>
  <c r="L133" i="1"/>
  <c r="L123" i="1" s="1"/>
  <c r="AW5" i="1"/>
  <c r="Y55" i="18"/>
  <c r="DL42" i="18"/>
  <c r="BL32" i="18"/>
  <c r="BD25" i="18"/>
  <c r="BB25" i="18"/>
  <c r="AZ25" i="18"/>
  <c r="EM33" i="18"/>
  <c r="L30" i="18"/>
  <c r="S78" i="1"/>
  <c r="CQ74" i="18"/>
  <c r="DQ75" i="18"/>
  <c r="DQ74" i="18" s="1"/>
  <c r="BE75" i="18"/>
  <c r="BE74" i="18" s="1"/>
  <c r="DL47" i="18"/>
  <c r="AR51" i="18"/>
  <c r="AA47" i="18"/>
  <c r="N7" i="18"/>
  <c r="Y75" i="18"/>
  <c r="BR74" i="18"/>
  <c r="AN74" i="18"/>
  <c r="AM74" i="18"/>
  <c r="P75" i="18"/>
  <c r="P74" i="18" s="1"/>
  <c r="L74" i="18"/>
  <c r="DZ60" i="18"/>
  <c r="DZ59" i="18" s="1"/>
  <c r="Q60" i="18"/>
  <c r="AR47" i="18"/>
  <c r="AA51" i="18"/>
  <c r="R47" i="18"/>
  <c r="DO12" i="18"/>
  <c r="AR7" i="18"/>
  <c r="AS57" i="23"/>
  <c r="AN60" i="23"/>
  <c r="AU44" i="23"/>
  <c r="AU40" i="23" s="1"/>
  <c r="T245" i="23"/>
  <c r="R163" i="23"/>
  <c r="AM6" i="23"/>
  <c r="AF218" i="23"/>
  <c r="AR218" i="23" s="1"/>
  <c r="AE215" i="23"/>
  <c r="AF215" i="23" s="1"/>
  <c r="AR215" i="23" s="1"/>
  <c r="AE147" i="23"/>
  <c r="AF147" i="23" s="1"/>
  <c r="AR147" i="23" s="1"/>
  <c r="AE138" i="23"/>
  <c r="AF138" i="23" s="1"/>
  <c r="AR138" i="23" s="1"/>
  <c r="AE130" i="23"/>
  <c r="AF130" i="23" s="1"/>
  <c r="AR130" i="23" s="1"/>
  <c r="AE126" i="23"/>
  <c r="AF126" i="23" s="1"/>
  <c r="AR126" i="23" s="1"/>
  <c r="AE113" i="23"/>
  <c r="AF113" i="23" s="1"/>
  <c r="AR113" i="23" s="1"/>
  <c r="AE102" i="23"/>
  <c r="AF102" i="23" s="1"/>
  <c r="AR102" i="23" s="1"/>
  <c r="AE97" i="23"/>
  <c r="AF97" i="23" s="1"/>
  <c r="AR97" i="23" s="1"/>
  <c r="EC7" i="18"/>
  <c r="EA7" i="18"/>
  <c r="AC6" i="23"/>
  <c r="AC78" i="23"/>
  <c r="AU204" i="23"/>
  <c r="M209" i="23"/>
  <c r="AM209" i="23"/>
  <c r="R79" i="23"/>
  <c r="AE59" i="23"/>
  <c r="AF59" i="23" s="1"/>
  <c r="AR59" i="23" s="1"/>
  <c r="AE14" i="23"/>
  <c r="AF14" i="23" s="1"/>
  <c r="AR14" i="23" s="1"/>
  <c r="AC45" i="23"/>
  <c r="BA292" i="23"/>
  <c r="L209" i="23"/>
  <c r="R209" i="23"/>
  <c r="AN209" i="23"/>
  <c r="AS249" i="22"/>
  <c r="AN250" i="22"/>
  <c r="AS179" i="22"/>
  <c r="AN181" i="22"/>
  <c r="AQ278" i="22"/>
  <c r="AQ283" i="22" s="1"/>
  <c r="M283" i="22"/>
  <c r="M277" i="22" s="1"/>
  <c r="AQ285" i="22"/>
  <c r="AQ289" i="22" s="1"/>
  <c r="M289" i="22"/>
  <c r="M284" i="22" s="1"/>
  <c r="AU11" i="22"/>
  <c r="AS195" i="22"/>
  <c r="AN196" i="22"/>
  <c r="AS84" i="22"/>
  <c r="AN85" i="22"/>
  <c r="AU15" i="22"/>
  <c r="T245" i="22"/>
  <c r="T244" i="22" s="1"/>
  <c r="U78" i="22"/>
  <c r="AE74" i="22"/>
  <c r="AF74" i="22" s="1"/>
  <c r="AR74" i="22" s="1"/>
  <c r="AE63" i="22"/>
  <c r="AF63" i="22" s="1"/>
  <c r="AR63" i="22" s="1"/>
  <c r="AE34" i="22"/>
  <c r="AF34" i="22" s="1"/>
  <c r="AR34" i="22" s="1"/>
  <c r="AC78" i="22"/>
  <c r="AL150" i="22"/>
  <c r="AU204" i="22"/>
  <c r="L209" i="22"/>
  <c r="L198" i="22" s="1"/>
  <c r="L197" i="22" s="1"/>
  <c r="AN209" i="22"/>
  <c r="S182" i="22"/>
  <c r="AE185" i="22"/>
  <c r="AF185" i="22" s="1"/>
  <c r="AR185" i="22" s="1"/>
  <c r="AE90" i="22"/>
  <c r="AF90" i="22" s="1"/>
  <c r="AR90" i="22" s="1"/>
  <c r="AF82" i="22"/>
  <c r="AR82" i="22" s="1"/>
  <c r="DO7" i="18"/>
  <c r="AQ263" i="22"/>
  <c r="DH80" i="18" s="1"/>
  <c r="AC6" i="22"/>
  <c r="AC45" i="22"/>
  <c r="AM209" i="22"/>
  <c r="AM198" i="22" s="1"/>
  <c r="AM197" i="22" s="1"/>
  <c r="CY63" i="18"/>
  <c r="DA51" i="18"/>
  <c r="DD12" i="18"/>
  <c r="DC75" i="18"/>
  <c r="DC74" i="18" s="1"/>
  <c r="DA47" i="18"/>
  <c r="DD19" i="18"/>
  <c r="AF17" i="17"/>
  <c r="AE19" i="17"/>
  <c r="AE16" i="17" s="1"/>
  <c r="AU15" i="17"/>
  <c r="AU11" i="17"/>
  <c r="AU44" i="17"/>
  <c r="AU40" i="17" s="1"/>
  <c r="AM245" i="17"/>
  <c r="U79" i="17"/>
  <c r="AE235" i="17"/>
  <c r="AF235" i="17" s="1"/>
  <c r="AR235" i="17" s="1"/>
  <c r="AF191" i="17"/>
  <c r="AE187" i="17"/>
  <c r="AF187" i="17" s="1"/>
  <c r="AR187" i="17" s="1"/>
  <c r="AE53" i="17"/>
  <c r="AF53" i="17" s="1"/>
  <c r="AR53" i="17" s="1"/>
  <c r="AE34" i="17"/>
  <c r="AF34" i="17" s="1"/>
  <c r="AR34" i="17" s="1"/>
  <c r="AT34" i="17" s="1"/>
  <c r="AC78" i="17"/>
  <c r="L209" i="17"/>
  <c r="AN209" i="17"/>
  <c r="AB245" i="17"/>
  <c r="AB244" i="17" s="1"/>
  <c r="Y182" i="17"/>
  <c r="BA5" i="17"/>
  <c r="AM6" i="17"/>
  <c r="AE223" i="17"/>
  <c r="AF223" i="17" s="1"/>
  <c r="AR223" i="17" s="1"/>
  <c r="AE214" i="17"/>
  <c r="AF214" i="17" s="1"/>
  <c r="AR214" i="17" s="1"/>
  <c r="AE205" i="17"/>
  <c r="AF205" i="17" s="1"/>
  <c r="AR205" i="17" s="1"/>
  <c r="CP51" i="18"/>
  <c r="AE179" i="17"/>
  <c r="AF179" i="17" s="1"/>
  <c r="AR179" i="17" s="1"/>
  <c r="AC6" i="17"/>
  <c r="AC45" i="17"/>
  <c r="AU204" i="17"/>
  <c r="M209" i="17"/>
  <c r="AM209" i="17"/>
  <c r="AS95" i="16"/>
  <c r="AN99" i="16"/>
  <c r="AN93" i="16" s="1"/>
  <c r="AS264" i="16"/>
  <c r="AS268" i="16" s="1"/>
  <c r="BW81" i="18" s="1"/>
  <c r="AN268" i="16"/>
  <c r="AS90" i="16"/>
  <c r="AN92" i="16"/>
  <c r="AU212" i="16"/>
  <c r="AB245" i="16"/>
  <c r="BZ75" i="18"/>
  <c r="BZ74" i="18" s="1"/>
  <c r="AE236" i="16"/>
  <c r="AF236" i="16" s="1"/>
  <c r="AR236" i="16" s="1"/>
  <c r="AE228" i="16"/>
  <c r="AF228" i="16" s="1"/>
  <c r="AR228" i="16" s="1"/>
  <c r="AE211" i="16"/>
  <c r="AF211" i="16" s="1"/>
  <c r="AR211" i="16" s="1"/>
  <c r="AS159" i="16"/>
  <c r="BW49" i="18" s="1"/>
  <c r="AW45" i="16"/>
  <c r="BA45" i="16"/>
  <c r="BA5" i="16" s="1"/>
  <c r="AM209" i="16"/>
  <c r="AM6" i="16"/>
  <c r="CC75" i="18"/>
  <c r="CC74" i="18" s="1"/>
  <c r="BZ60" i="18"/>
  <c r="BZ59" i="18" s="1"/>
  <c r="M133" i="16"/>
  <c r="M123" i="16" s="1"/>
  <c r="M99" i="16"/>
  <c r="M93" i="16" s="1"/>
  <c r="AE51" i="16"/>
  <c r="AF51" i="16" s="1"/>
  <c r="AR51" i="16" s="1"/>
  <c r="AY51" i="16" s="1"/>
  <c r="AY56" i="16" s="1"/>
  <c r="AY45" i="16" s="1"/>
  <c r="AQ268" i="16"/>
  <c r="AC45" i="16"/>
  <c r="AC5" i="16" s="1"/>
  <c r="AU204" i="16"/>
  <c r="L209" i="16"/>
  <c r="AN209" i="16"/>
  <c r="AS223" i="15"/>
  <c r="AN225" i="15"/>
  <c r="AN221" i="15" s="1"/>
  <c r="AQ261" i="15"/>
  <c r="AQ263" i="15" s="1"/>
  <c r="BH80" i="18" s="1"/>
  <c r="M263" i="15"/>
  <c r="AD197" i="15"/>
  <c r="AU16" i="15"/>
  <c r="BL11" i="18"/>
  <c r="AQ266" i="15"/>
  <c r="AQ268" i="15" s="1"/>
  <c r="M268" i="15"/>
  <c r="AQ278" i="15"/>
  <c r="M283" i="15"/>
  <c r="M277" i="15" s="1"/>
  <c r="AQ287" i="15"/>
  <c r="M289" i="15"/>
  <c r="M284" i="15" s="1"/>
  <c r="AU15" i="15"/>
  <c r="BL9" i="18" s="1"/>
  <c r="S78" i="15"/>
  <c r="AE235" i="15"/>
  <c r="AF235" i="15" s="1"/>
  <c r="AR235" i="15" s="1"/>
  <c r="AF217" i="15"/>
  <c r="AR217" i="15" s="1"/>
  <c r="AS181" i="15"/>
  <c r="BJ54" i="18" s="1"/>
  <c r="AF167" i="15"/>
  <c r="AR167" i="15" s="1"/>
  <c r="AE164" i="15"/>
  <c r="AF164" i="15" s="1"/>
  <c r="AR164" i="15" s="1"/>
  <c r="AE154" i="15"/>
  <c r="AF154" i="15" s="1"/>
  <c r="AR154" i="15" s="1"/>
  <c r="AE143" i="15"/>
  <c r="AF143" i="15" s="1"/>
  <c r="AR143" i="15" s="1"/>
  <c r="AF135" i="15"/>
  <c r="AR135" i="15" s="1"/>
  <c r="AE126" i="15"/>
  <c r="AF126" i="15" s="1"/>
  <c r="AR126" i="15" s="1"/>
  <c r="AE120" i="15"/>
  <c r="AF120" i="15" s="1"/>
  <c r="AR120" i="15" s="1"/>
  <c r="AT69" i="15"/>
  <c r="BB69" i="15" s="1"/>
  <c r="AS253" i="15"/>
  <c r="AS263" i="15"/>
  <c r="AC45" i="15"/>
  <c r="AW150" i="15"/>
  <c r="BA150" i="15"/>
  <c r="AU204" i="15"/>
  <c r="L209" i="15"/>
  <c r="Y245" i="15"/>
  <c r="Y244" i="15" s="1"/>
  <c r="AE69" i="15"/>
  <c r="AD5" i="15"/>
  <c r="AS239" i="15"/>
  <c r="AS224" i="15"/>
  <c r="AS222" i="15"/>
  <c r="AT201" i="15"/>
  <c r="BB201" i="15" s="1"/>
  <c r="AF177" i="15"/>
  <c r="AR177" i="15" s="1"/>
  <c r="AE107" i="15"/>
  <c r="AF107" i="15" s="1"/>
  <c r="AR107" i="15" s="1"/>
  <c r="AE101" i="15"/>
  <c r="AE86" i="15"/>
  <c r="AF86" i="15" s="1"/>
  <c r="AR86" i="15" s="1"/>
  <c r="AE53" i="15"/>
  <c r="AF53" i="15" s="1"/>
  <c r="AR53" i="15" s="1"/>
  <c r="AT53" i="15" s="1"/>
  <c r="BB53" i="15" s="1"/>
  <c r="AE34" i="15"/>
  <c r="AF34" i="15" s="1"/>
  <c r="AR34" i="15" s="1"/>
  <c r="AC6" i="15"/>
  <c r="AC5" i="15" s="1"/>
  <c r="AC78" i="15"/>
  <c r="AW45" i="15"/>
  <c r="AW5" i="15" s="1"/>
  <c r="BA45" i="15"/>
  <c r="BA5" i="15" s="1"/>
  <c r="AV182" i="15"/>
  <c r="AV150" i="15" s="1"/>
  <c r="AX182" i="15"/>
  <c r="AX150" i="15" s="1"/>
  <c r="AX292" i="15" s="1"/>
  <c r="AZ182" i="15"/>
  <c r="AZ150" i="15" s="1"/>
  <c r="M209" i="15"/>
  <c r="AM209" i="15"/>
  <c r="AQ157" i="14"/>
  <c r="M159" i="14"/>
  <c r="AS136" i="14"/>
  <c r="AN139" i="14"/>
  <c r="AN134" i="14" s="1"/>
  <c r="AS108" i="14"/>
  <c r="AN110" i="14"/>
  <c r="AN106" i="14" s="1"/>
  <c r="AU44" i="14"/>
  <c r="AU40" i="14" s="1"/>
  <c r="AU15" i="14"/>
  <c r="AS57" i="14"/>
  <c r="AN60" i="14"/>
  <c r="AF42" i="14"/>
  <c r="AR42" i="14" s="1"/>
  <c r="AE44" i="14"/>
  <c r="AE40" i="14" s="1"/>
  <c r="AQ8" i="14"/>
  <c r="AU8" i="14" s="1"/>
  <c r="M11" i="14"/>
  <c r="U245" i="14"/>
  <c r="U244" i="14" s="1"/>
  <c r="U79" i="14"/>
  <c r="S79" i="14"/>
  <c r="M6" i="14"/>
  <c r="AE223" i="14"/>
  <c r="AF223" i="14" s="1"/>
  <c r="AR223" i="14" s="1"/>
  <c r="AE214" i="14"/>
  <c r="AF214" i="14" s="1"/>
  <c r="AE179" i="14"/>
  <c r="AF179" i="14" s="1"/>
  <c r="AR179" i="14" s="1"/>
  <c r="AE126" i="14"/>
  <c r="AF126" i="14" s="1"/>
  <c r="AR126" i="14" s="1"/>
  <c r="AE120" i="14"/>
  <c r="AF120" i="14" s="1"/>
  <c r="AR120" i="14" s="1"/>
  <c r="AE112" i="14"/>
  <c r="AF112" i="14" s="1"/>
  <c r="AR112" i="14" s="1"/>
  <c r="AE104" i="14"/>
  <c r="AF104" i="14" s="1"/>
  <c r="AR104" i="14" s="1"/>
  <c r="AE98" i="14"/>
  <c r="AF98" i="14" s="1"/>
  <c r="AR98" i="14" s="1"/>
  <c r="AE74" i="14"/>
  <c r="AF74" i="14" s="1"/>
  <c r="AR74" i="14" s="1"/>
  <c r="AE67" i="14"/>
  <c r="AF67" i="14" s="1"/>
  <c r="AR67" i="14" s="1"/>
  <c r="AC45" i="14"/>
  <c r="BA292" i="14"/>
  <c r="AM209" i="14"/>
  <c r="AM198" i="14" s="1"/>
  <c r="L151" i="14"/>
  <c r="AD5" i="14"/>
  <c r="R45" i="14"/>
  <c r="R20" i="14"/>
  <c r="BD7" i="18"/>
  <c r="BB7" i="18"/>
  <c r="AE24" i="14"/>
  <c r="AF24" i="14" s="1"/>
  <c r="AR24" i="14" s="1"/>
  <c r="AE17" i="14"/>
  <c r="AF17" i="14" s="1"/>
  <c r="AR17" i="14" s="1"/>
  <c r="AS249" i="14"/>
  <c r="L209" i="14"/>
  <c r="L198" i="14" s="1"/>
  <c r="AN209" i="14"/>
  <c r="AQ233" i="13"/>
  <c r="M237" i="13"/>
  <c r="M232" i="13" s="1"/>
  <c r="AQ202" i="13"/>
  <c r="AQ203" i="13" s="1"/>
  <c r="M203" i="13"/>
  <c r="AQ28" i="13"/>
  <c r="M29" i="13"/>
  <c r="AQ215" i="13"/>
  <c r="M220" i="13"/>
  <c r="M213" i="13" s="1"/>
  <c r="AS28" i="13"/>
  <c r="AN29" i="13"/>
  <c r="L151" i="13"/>
  <c r="R6" i="13"/>
  <c r="Y237" i="13"/>
  <c r="Y232" i="13" s="1"/>
  <c r="AE223" i="13"/>
  <c r="AF223" i="13" s="1"/>
  <c r="AR223" i="13" s="1"/>
  <c r="Y225" i="13"/>
  <c r="Y221" i="13" s="1"/>
  <c r="AE195" i="13"/>
  <c r="AF195" i="13" s="1"/>
  <c r="AR195" i="13" s="1"/>
  <c r="AT195" i="13" s="1"/>
  <c r="BB195" i="13" s="1"/>
  <c r="Y196" i="13"/>
  <c r="Y181" i="13"/>
  <c r="AF177" i="13"/>
  <c r="AR177" i="13" s="1"/>
  <c r="AE124" i="13"/>
  <c r="AF124" i="13" s="1"/>
  <c r="AR124" i="13" s="1"/>
  <c r="AE114" i="13"/>
  <c r="AF114" i="13" s="1"/>
  <c r="AR114" i="13" s="1"/>
  <c r="AE104" i="13"/>
  <c r="AF104" i="13" s="1"/>
  <c r="AR104" i="13" s="1"/>
  <c r="AE95" i="13"/>
  <c r="AF95" i="13" s="1"/>
  <c r="AR95" i="13" s="1"/>
  <c r="AT69" i="13"/>
  <c r="BB69" i="13" s="1"/>
  <c r="AE62" i="13"/>
  <c r="AF62" i="13" s="1"/>
  <c r="AR62" i="13" s="1"/>
  <c r="AY62" i="13" s="1"/>
  <c r="AE32" i="13"/>
  <c r="AF32" i="13" s="1"/>
  <c r="AR32" i="13" s="1"/>
  <c r="AE261" i="13"/>
  <c r="AF261" i="13" s="1"/>
  <c r="AR261" i="13" s="1"/>
  <c r="AM258" i="13"/>
  <c r="AE257" i="13"/>
  <c r="AF257" i="13" s="1"/>
  <c r="AR257" i="13" s="1"/>
  <c r="AE255" i="13"/>
  <c r="AF255" i="13" s="1"/>
  <c r="AL151" i="13"/>
  <c r="AL150" i="13" s="1"/>
  <c r="AW292" i="13"/>
  <c r="L209" i="13"/>
  <c r="L198" i="13" s="1"/>
  <c r="AM79" i="13"/>
  <c r="Y45" i="13"/>
  <c r="Y20" i="13"/>
  <c r="L5" i="13"/>
  <c r="AO75" i="18"/>
  <c r="AO74" i="18" s="1"/>
  <c r="EO77" i="18"/>
  <c r="Y203" i="13"/>
  <c r="Y198" i="13" s="1"/>
  <c r="AE185" i="13"/>
  <c r="AF185" i="13" s="1"/>
  <c r="AR185" i="13" s="1"/>
  <c r="Y190" i="13"/>
  <c r="Y182" i="13" s="1"/>
  <c r="AO7" i="18"/>
  <c r="AE286" i="13"/>
  <c r="AF286" i="13" s="1"/>
  <c r="AR286" i="13" s="1"/>
  <c r="AT286" i="13" s="1"/>
  <c r="BB286" i="13" s="1"/>
  <c r="AE281" i="13"/>
  <c r="AF281" i="13" s="1"/>
  <c r="AR281" i="13" s="1"/>
  <c r="AE275" i="13"/>
  <c r="AF275" i="13" s="1"/>
  <c r="AR275" i="13" s="1"/>
  <c r="AE267" i="13"/>
  <c r="AF267" i="13" s="1"/>
  <c r="AR267" i="13" s="1"/>
  <c r="AJ150" i="13"/>
  <c r="AV292" i="13"/>
  <c r="AX292" i="13"/>
  <c r="M209" i="13"/>
  <c r="AM209" i="13"/>
  <c r="AE85" i="18"/>
  <c r="ER86" i="18"/>
  <c r="ER85" i="18" s="1"/>
  <c r="AC85" i="18"/>
  <c r="EP86" i="18"/>
  <c r="EP85" i="18" s="1"/>
  <c r="AE75" i="18"/>
  <c r="AE74" i="18" s="1"/>
  <c r="ER76" i="18"/>
  <c r="AC75" i="18"/>
  <c r="AC74" i="18" s="1"/>
  <c r="EP76" i="18"/>
  <c r="EN78" i="18"/>
  <c r="ER84" i="18"/>
  <c r="EQ81" i="18"/>
  <c r="EP84" i="18"/>
  <c r="AS267" i="12"/>
  <c r="AN268" i="12"/>
  <c r="AD75" i="18"/>
  <c r="AB75" i="18"/>
  <c r="AB74" i="18" s="1"/>
  <c r="AD197" i="12"/>
  <c r="ER81" i="18"/>
  <c r="EN81" i="18"/>
  <c r="U198" i="12"/>
  <c r="S198" i="12"/>
  <c r="U79" i="12"/>
  <c r="S78" i="12"/>
  <c r="AL5" i="12"/>
  <c r="AA76" i="18"/>
  <c r="EN76" i="18" s="1"/>
  <c r="AE278" i="12"/>
  <c r="AE264" i="12"/>
  <c r="AE255" i="12"/>
  <c r="AF255" i="12" s="1"/>
  <c r="AE249" i="12"/>
  <c r="AF249" i="12" s="1"/>
  <c r="AR249" i="12" s="1"/>
  <c r="AE195" i="12"/>
  <c r="AF195" i="12" s="1"/>
  <c r="AR195" i="12" s="1"/>
  <c r="AE180" i="12"/>
  <c r="AF180" i="12" s="1"/>
  <c r="AR180" i="12" s="1"/>
  <c r="AE172" i="12"/>
  <c r="AF172" i="12" s="1"/>
  <c r="AR172" i="12" s="1"/>
  <c r="AF82" i="12"/>
  <c r="AR82" i="12" s="1"/>
  <c r="AE51" i="12"/>
  <c r="AF51" i="12" s="1"/>
  <c r="AR51" i="12" s="1"/>
  <c r="AY51" i="12" s="1"/>
  <c r="AY56" i="12" s="1"/>
  <c r="AY45" i="12" s="1"/>
  <c r="AE48" i="12"/>
  <c r="AF48" i="12" s="1"/>
  <c r="AR48" i="12" s="1"/>
  <c r="AE32" i="12"/>
  <c r="AF32" i="12" s="1"/>
  <c r="AR32" i="12" s="1"/>
  <c r="AL78" i="12"/>
  <c r="AW6" i="12"/>
  <c r="AW5" i="12" s="1"/>
  <c r="AW45" i="12"/>
  <c r="BA45" i="12"/>
  <c r="BA5" i="12" s="1"/>
  <c r="BA292" i="12" s="1"/>
  <c r="M209" i="12"/>
  <c r="AM209" i="12"/>
  <c r="AM198" i="12" s="1"/>
  <c r="BA245" i="12"/>
  <c r="BA244" i="12" s="1"/>
  <c r="AZ245" i="12"/>
  <c r="AZ244" i="12" s="1"/>
  <c r="AY245" i="12"/>
  <c r="AY244" i="12" s="1"/>
  <c r="AX245" i="12"/>
  <c r="AX244" i="12" s="1"/>
  <c r="AV245" i="12"/>
  <c r="AV244" i="12" s="1"/>
  <c r="AU245" i="12"/>
  <c r="AU244" i="12" s="1"/>
  <c r="Y245" i="12"/>
  <c r="Y244" i="12" s="1"/>
  <c r="T79" i="12"/>
  <c r="AM6" i="12"/>
  <c r="U45" i="12"/>
  <c r="U20" i="12"/>
  <c r="S45" i="12"/>
  <c r="S20" i="12"/>
  <c r="AE262" i="12"/>
  <c r="AF262" i="12" s="1"/>
  <c r="AR262" i="12" s="1"/>
  <c r="AF286" i="12"/>
  <c r="AR286" i="12" s="1"/>
  <c r="AE185" i="12"/>
  <c r="AF185" i="12" s="1"/>
  <c r="AR185" i="12" s="1"/>
  <c r="AE47" i="18"/>
  <c r="Z7" i="18"/>
  <c r="AD7" i="18"/>
  <c r="L209" i="12"/>
  <c r="DO60" i="18"/>
  <c r="AK197" i="22"/>
  <c r="AK197" i="17"/>
  <c r="CD60" i="18"/>
  <c r="AJ197" i="14"/>
  <c r="AV197" i="14"/>
  <c r="AV292" i="14" s="1"/>
  <c r="AD197" i="14"/>
  <c r="AJ197" i="13"/>
  <c r="AL197" i="1"/>
  <c r="AV61" i="23"/>
  <c r="AV5" i="23" s="1"/>
  <c r="AV292" i="23" s="1"/>
  <c r="DZ24" i="18"/>
  <c r="DZ23" i="18" s="1"/>
  <c r="DY51" i="18"/>
  <c r="DY47" i="18"/>
  <c r="AS160" i="23"/>
  <c r="AS162" i="23" s="1"/>
  <c r="DW50" i="18" s="1"/>
  <c r="AN162" i="23"/>
  <c r="AS47" i="23"/>
  <c r="AN50" i="23"/>
  <c r="AS165" i="23"/>
  <c r="AN168" i="23"/>
  <c r="AS120" i="23"/>
  <c r="AN122" i="23"/>
  <c r="AN118" i="23" s="1"/>
  <c r="AS42" i="23"/>
  <c r="AN44" i="23"/>
  <c r="AN40" i="23" s="1"/>
  <c r="AS27" i="23"/>
  <c r="AN29" i="23"/>
  <c r="AN190" i="23"/>
  <c r="AE67" i="23"/>
  <c r="AF67" i="23" s="1"/>
  <c r="AR67" i="23" s="1"/>
  <c r="AE229" i="23"/>
  <c r="AF229" i="23" s="1"/>
  <c r="AR229" i="23" s="1"/>
  <c r="AF217" i="23"/>
  <c r="AR217" i="23" s="1"/>
  <c r="AE148" i="23"/>
  <c r="AF148" i="23" s="1"/>
  <c r="AR148" i="23" s="1"/>
  <c r="AE33" i="23"/>
  <c r="AF33" i="23" s="1"/>
  <c r="AR33" i="23" s="1"/>
  <c r="AE13" i="23"/>
  <c r="AF13" i="23" s="1"/>
  <c r="AR13" i="23" s="1"/>
  <c r="U163" i="23"/>
  <c r="AE235" i="23"/>
  <c r="AF235" i="23" s="1"/>
  <c r="AR235" i="23" s="1"/>
  <c r="AE223" i="23"/>
  <c r="AF223" i="23" s="1"/>
  <c r="AR223" i="23" s="1"/>
  <c r="AE179" i="23"/>
  <c r="AF179" i="23" s="1"/>
  <c r="AR179" i="23" s="1"/>
  <c r="AE157" i="23"/>
  <c r="AF157" i="23" s="1"/>
  <c r="AR157" i="23" s="1"/>
  <c r="AE131" i="23"/>
  <c r="AF131" i="23" s="1"/>
  <c r="AR131" i="23" s="1"/>
  <c r="AE120" i="23"/>
  <c r="AF120" i="23" s="1"/>
  <c r="AR120" i="23" s="1"/>
  <c r="AE98" i="23"/>
  <c r="AF98" i="23" s="1"/>
  <c r="AR98" i="23" s="1"/>
  <c r="AF64" i="23"/>
  <c r="AR64" i="23" s="1"/>
  <c r="AE55" i="23"/>
  <c r="AF55" i="23" s="1"/>
  <c r="AR55" i="23" s="1"/>
  <c r="AF38" i="23"/>
  <c r="AE188" i="23"/>
  <c r="AF188" i="23" s="1"/>
  <c r="AR188" i="23" s="1"/>
  <c r="U182" i="23"/>
  <c r="U151" i="23"/>
  <c r="AE228" i="23"/>
  <c r="AF228" i="23" s="1"/>
  <c r="AR228" i="23" s="1"/>
  <c r="AE211" i="23"/>
  <c r="AF211" i="23" s="1"/>
  <c r="AR211" i="23" s="1"/>
  <c r="AE192" i="23"/>
  <c r="AE189" i="23"/>
  <c r="AF189" i="23" s="1"/>
  <c r="AR189" i="23" s="1"/>
  <c r="AE165" i="23"/>
  <c r="AF165" i="23" s="1"/>
  <c r="AR165" i="23" s="1"/>
  <c r="AE143" i="23"/>
  <c r="AF143" i="23" s="1"/>
  <c r="AR143" i="23" s="1"/>
  <c r="AE127" i="23"/>
  <c r="AF127" i="23" s="1"/>
  <c r="AR127" i="23" s="1"/>
  <c r="AE103" i="23"/>
  <c r="AF103" i="23" s="1"/>
  <c r="AR103" i="23" s="1"/>
  <c r="AE94" i="23"/>
  <c r="AF94" i="23" s="1"/>
  <c r="AR94" i="23" s="1"/>
  <c r="AE74" i="23"/>
  <c r="AF74" i="23" s="1"/>
  <c r="AR74" i="23" s="1"/>
  <c r="AE63" i="23"/>
  <c r="AF63" i="23" s="1"/>
  <c r="AR63" i="23" s="1"/>
  <c r="AE42" i="23"/>
  <c r="AE8" i="23"/>
  <c r="AF8" i="23" s="1"/>
  <c r="AR8" i="23" s="1"/>
  <c r="AQ158" i="23"/>
  <c r="M159" i="23"/>
  <c r="AQ102" i="23"/>
  <c r="M105" i="23"/>
  <c r="M100" i="23" s="1"/>
  <c r="AQ109" i="23"/>
  <c r="M110" i="23"/>
  <c r="M106" i="23" s="1"/>
  <c r="AQ97" i="23"/>
  <c r="M99" i="23"/>
  <c r="M93" i="23" s="1"/>
  <c r="AQ38" i="23"/>
  <c r="M39" i="23"/>
  <c r="M190" i="23"/>
  <c r="M182" i="23" s="1"/>
  <c r="DP47" i="18"/>
  <c r="EL48" i="18"/>
  <c r="DL8" i="18"/>
  <c r="EP8" i="18"/>
  <c r="EN8" i="18"/>
  <c r="EM61" i="18"/>
  <c r="DP51" i="18"/>
  <c r="EP52" i="18"/>
  <c r="EQ29" i="18"/>
  <c r="EO29" i="18"/>
  <c r="AS154" i="22"/>
  <c r="AN156" i="22"/>
  <c r="AS42" i="22"/>
  <c r="AN44" i="22"/>
  <c r="AN40" i="22" s="1"/>
  <c r="AN188" i="22"/>
  <c r="AN190" i="22" s="1"/>
  <c r="AC5" i="22"/>
  <c r="AB182" i="22"/>
  <c r="AB151" i="22"/>
  <c r="AE215" i="22"/>
  <c r="AF215" i="22" s="1"/>
  <c r="AR215" i="22" s="1"/>
  <c r="AE144" i="22"/>
  <c r="AF144" i="22" s="1"/>
  <c r="AR144" i="22" s="1"/>
  <c r="AE132" i="22"/>
  <c r="AF132" i="22" s="1"/>
  <c r="AR132" i="22" s="1"/>
  <c r="AE124" i="22"/>
  <c r="AF124" i="22" s="1"/>
  <c r="AR124" i="22" s="1"/>
  <c r="AE114" i="22"/>
  <c r="AF114" i="22" s="1"/>
  <c r="AR114" i="22" s="1"/>
  <c r="AE104" i="22"/>
  <c r="AF104" i="22" s="1"/>
  <c r="AR104" i="22" s="1"/>
  <c r="AB163" i="22"/>
  <c r="AE157" i="22"/>
  <c r="AF157" i="22" s="1"/>
  <c r="AR157" i="22" s="1"/>
  <c r="AT157" i="22" s="1"/>
  <c r="BB157" i="22" s="1"/>
  <c r="AF64" i="22"/>
  <c r="AR64" i="22" s="1"/>
  <c r="U163" i="22"/>
  <c r="AE242" i="22"/>
  <c r="AF242" i="22" s="1"/>
  <c r="AR242" i="22" s="1"/>
  <c r="AE223" i="22"/>
  <c r="AF223" i="22" s="1"/>
  <c r="AR223" i="22" s="1"/>
  <c r="AE216" i="22"/>
  <c r="AF216" i="22" s="1"/>
  <c r="AR216" i="22" s="1"/>
  <c r="AE189" i="22"/>
  <c r="AF189" i="22" s="1"/>
  <c r="AR189" i="22" s="1"/>
  <c r="AT189" i="22" s="1"/>
  <c r="BB189" i="22" s="1"/>
  <c r="AE174" i="22"/>
  <c r="AF174" i="22" s="1"/>
  <c r="AR174" i="22" s="1"/>
  <c r="AE152" i="22"/>
  <c r="AF152" i="22" s="1"/>
  <c r="AR152" i="22" s="1"/>
  <c r="AT152" i="22" s="1"/>
  <c r="BB152" i="22" s="1"/>
  <c r="AE137" i="22"/>
  <c r="AF137" i="22" s="1"/>
  <c r="AR137" i="22" s="1"/>
  <c r="AE119" i="22"/>
  <c r="AF119" i="22" s="1"/>
  <c r="AR119" i="22" s="1"/>
  <c r="AT119" i="22" s="1"/>
  <c r="BB119" i="22" s="1"/>
  <c r="AE97" i="22"/>
  <c r="AF97" i="22" s="1"/>
  <c r="AR97" i="22" s="1"/>
  <c r="AF80" i="22"/>
  <c r="AR80" i="22" s="1"/>
  <c r="AT80" i="22" s="1"/>
  <c r="BB80" i="22" s="1"/>
  <c r="AE67" i="22"/>
  <c r="AF67" i="22" s="1"/>
  <c r="AR67" i="22" s="1"/>
  <c r="AE47" i="22"/>
  <c r="AF47" i="22" s="1"/>
  <c r="AR47" i="22" s="1"/>
  <c r="AT47" i="22" s="1"/>
  <c r="BB47" i="22" s="1"/>
  <c r="AE30" i="22"/>
  <c r="AF30" i="22" s="1"/>
  <c r="AR30" i="22" s="1"/>
  <c r="AE13" i="22"/>
  <c r="AF13" i="22" s="1"/>
  <c r="AR13" i="22" s="1"/>
  <c r="AT13" i="22" s="1"/>
  <c r="BB13" i="22" s="1"/>
  <c r="AE188" i="22"/>
  <c r="AF188" i="22" s="1"/>
  <c r="AR188" i="22" s="1"/>
  <c r="AE229" i="22"/>
  <c r="AF229" i="22" s="1"/>
  <c r="AR229" i="22" s="1"/>
  <c r="AT229" i="22" s="1"/>
  <c r="BB229" i="22" s="1"/>
  <c r="AE205" i="22"/>
  <c r="AF205" i="22" s="1"/>
  <c r="AR205" i="22" s="1"/>
  <c r="AE183" i="22"/>
  <c r="AF183" i="22" s="1"/>
  <c r="AF171" i="22"/>
  <c r="AR171" i="22" s="1"/>
  <c r="AE128" i="22"/>
  <c r="AF128" i="22" s="1"/>
  <c r="AR128" i="22" s="1"/>
  <c r="AT128" i="22" s="1"/>
  <c r="BB128" i="22" s="1"/>
  <c r="AE109" i="22"/>
  <c r="AF109" i="22" s="1"/>
  <c r="AR109" i="22" s="1"/>
  <c r="AE84" i="22"/>
  <c r="AE85" i="22" s="1"/>
  <c r="AE55" i="22"/>
  <c r="AF55" i="22" s="1"/>
  <c r="AR55" i="22" s="1"/>
  <c r="AF38" i="22"/>
  <c r="AF39" i="22" s="1"/>
  <c r="AE35" i="22"/>
  <c r="AF35" i="22" s="1"/>
  <c r="AR35" i="22" s="1"/>
  <c r="AE14" i="22"/>
  <c r="AF14" i="22" s="1"/>
  <c r="AR14" i="22" s="1"/>
  <c r="AT14" i="22" s="1"/>
  <c r="BB14" i="22" s="1"/>
  <c r="M52" i="22"/>
  <c r="AQ52" i="22" s="1"/>
  <c r="L56" i="22"/>
  <c r="M196" i="22"/>
  <c r="M162" i="22"/>
  <c r="L196" i="22"/>
  <c r="L190" i="22"/>
  <c r="L181" i="22"/>
  <c r="L168" i="22"/>
  <c r="L162" i="22"/>
  <c r="L156" i="22"/>
  <c r="L139" i="22"/>
  <c r="L134" i="22" s="1"/>
  <c r="L122" i="22"/>
  <c r="L118" i="22" s="1"/>
  <c r="L110" i="22"/>
  <c r="L106" i="22" s="1"/>
  <c r="L99" i="22"/>
  <c r="L93" i="22" s="1"/>
  <c r="L92" i="22"/>
  <c r="L85" i="22"/>
  <c r="L77" i="22"/>
  <c r="L61" i="22" s="1"/>
  <c r="L60" i="22"/>
  <c r="AQ188" i="22"/>
  <c r="CZ24" i="18"/>
  <c r="CZ23" i="18" s="1"/>
  <c r="EO57" i="18"/>
  <c r="EP54" i="18"/>
  <c r="EN54" i="18"/>
  <c r="EQ53" i="18"/>
  <c r="DE26" i="18"/>
  <c r="DC26" i="18"/>
  <c r="DA26" i="18"/>
  <c r="CY26" i="18"/>
  <c r="EQ69" i="18"/>
  <c r="EQ68" i="18" s="1"/>
  <c r="EL58" i="18"/>
  <c r="EO50" i="18"/>
  <c r="DE47" i="18"/>
  <c r="EQ45" i="18"/>
  <c r="EQ44" i="18" s="1"/>
  <c r="EO45" i="18"/>
  <c r="EO44" i="18" s="1"/>
  <c r="EM41" i="18"/>
  <c r="DE7" i="18"/>
  <c r="DD7" i="18"/>
  <c r="DC7" i="18"/>
  <c r="DA7" i="18"/>
  <c r="CZ7" i="18"/>
  <c r="CZ60" i="18"/>
  <c r="DE51" i="18"/>
  <c r="CL51" i="18"/>
  <c r="CQ12" i="18"/>
  <c r="CP60" i="18"/>
  <c r="CL47" i="18"/>
  <c r="CQ19" i="18"/>
  <c r="CN7" i="18"/>
  <c r="AS206" i="17"/>
  <c r="AS209" i="17" s="1"/>
  <c r="CJ62" i="18" s="1"/>
  <c r="AC5" i="17"/>
  <c r="AB79" i="17"/>
  <c r="AE141" i="17"/>
  <c r="AF141" i="17" s="1"/>
  <c r="AR141" i="17" s="1"/>
  <c r="AE103" i="17"/>
  <c r="AF103" i="17" s="1"/>
  <c r="AR103" i="17" s="1"/>
  <c r="AE101" i="17"/>
  <c r="AF101" i="17" s="1"/>
  <c r="AR101" i="17" s="1"/>
  <c r="AE91" i="17"/>
  <c r="AF91" i="17" s="1"/>
  <c r="AR91" i="17" s="1"/>
  <c r="AB45" i="17"/>
  <c r="AB20" i="17"/>
  <c r="AE70" i="17"/>
  <c r="AF70" i="17" s="1"/>
  <c r="AR70" i="17" s="1"/>
  <c r="AY70" i="17" s="1"/>
  <c r="AE49" i="17"/>
  <c r="AF49" i="17" s="1"/>
  <c r="AR49" i="17" s="1"/>
  <c r="Y45" i="17"/>
  <c r="Y20" i="17"/>
  <c r="AR191" i="17"/>
  <c r="T79" i="17"/>
  <c r="U45" i="17"/>
  <c r="U20" i="17"/>
  <c r="T45" i="17"/>
  <c r="T20" i="17"/>
  <c r="S45" i="17"/>
  <c r="S20" i="17"/>
  <c r="R45" i="17"/>
  <c r="R20" i="17"/>
  <c r="AE229" i="17"/>
  <c r="AF217" i="17"/>
  <c r="AR217" i="17" s="1"/>
  <c r="AE211" i="17"/>
  <c r="AF211" i="17" s="1"/>
  <c r="AR211" i="17" s="1"/>
  <c r="AE206" i="17"/>
  <c r="AF206" i="17" s="1"/>
  <c r="AR206" i="17" s="1"/>
  <c r="AE186" i="17"/>
  <c r="AF186" i="17" s="1"/>
  <c r="AR186" i="17" s="1"/>
  <c r="AE194" i="17"/>
  <c r="AF194" i="17" s="1"/>
  <c r="AR194" i="17" s="1"/>
  <c r="AE157" i="17"/>
  <c r="AF157" i="17" s="1"/>
  <c r="AR157" i="17" s="1"/>
  <c r="AE138" i="17"/>
  <c r="AF138" i="17" s="1"/>
  <c r="AR138" i="17" s="1"/>
  <c r="AE131" i="17"/>
  <c r="AF131" i="17" s="1"/>
  <c r="AR131" i="17" s="1"/>
  <c r="AE127" i="17"/>
  <c r="AF127" i="17" s="1"/>
  <c r="AR127" i="17" s="1"/>
  <c r="AE113" i="17"/>
  <c r="AF113" i="17" s="1"/>
  <c r="AR113" i="17" s="1"/>
  <c r="AE86" i="17"/>
  <c r="AF86" i="17" s="1"/>
  <c r="AR86" i="17" s="1"/>
  <c r="AF66" i="17"/>
  <c r="AR66" i="17" s="1"/>
  <c r="AF43" i="17"/>
  <c r="AR43" i="17" s="1"/>
  <c r="AE30" i="17"/>
  <c r="AF30" i="17" s="1"/>
  <c r="AR30" i="17" s="1"/>
  <c r="AT30" i="17" s="1"/>
  <c r="AE22" i="17"/>
  <c r="AF22" i="17" s="1"/>
  <c r="AR22" i="17" s="1"/>
  <c r="S78" i="17"/>
  <c r="R79" i="17"/>
  <c r="AE242" i="17"/>
  <c r="AF242" i="17" s="1"/>
  <c r="AR242" i="17" s="1"/>
  <c r="AF218" i="17"/>
  <c r="AR218" i="17" s="1"/>
  <c r="AE215" i="17"/>
  <c r="AE204" i="17"/>
  <c r="AE192" i="17"/>
  <c r="AE165" i="17"/>
  <c r="AF165" i="17" s="1"/>
  <c r="AR165" i="17" s="1"/>
  <c r="AE145" i="17"/>
  <c r="AF145" i="17" s="1"/>
  <c r="AR145" i="17" s="1"/>
  <c r="AE94" i="17"/>
  <c r="AF94" i="17" s="1"/>
  <c r="AR94" i="17" s="1"/>
  <c r="AF81" i="17"/>
  <c r="AR81" i="17" s="1"/>
  <c r="AT49" i="17"/>
  <c r="BB49" i="17" s="1"/>
  <c r="AE76" i="17"/>
  <c r="AF76" i="17" s="1"/>
  <c r="AR76" i="17" s="1"/>
  <c r="AE58" i="17"/>
  <c r="AF58" i="17" s="1"/>
  <c r="AR58" i="17" s="1"/>
  <c r="AF41" i="17"/>
  <c r="AR41" i="17" s="1"/>
  <c r="AE23" i="17"/>
  <c r="AF23" i="17" s="1"/>
  <c r="AR23" i="17" s="1"/>
  <c r="AE188" i="17"/>
  <c r="AF188" i="17" s="1"/>
  <c r="AR188" i="17" s="1"/>
  <c r="AQ179" i="17"/>
  <c r="M181" i="17"/>
  <c r="AQ87" i="17"/>
  <c r="M88" i="17"/>
  <c r="AQ180" i="17"/>
  <c r="AW5" i="16"/>
  <c r="AV150" i="16"/>
  <c r="AX150" i="16"/>
  <c r="AZ150" i="16"/>
  <c r="AV197" i="16"/>
  <c r="AX197" i="16"/>
  <c r="AX292" i="16" s="1"/>
  <c r="AZ197" i="16"/>
  <c r="CD59" i="18"/>
  <c r="CC47" i="18"/>
  <c r="AS235" i="16"/>
  <c r="AN237" i="16"/>
  <c r="AN232" i="16" s="1"/>
  <c r="AS223" i="16"/>
  <c r="AN225" i="16"/>
  <c r="AN221" i="16" s="1"/>
  <c r="AS195" i="16"/>
  <c r="AN196" i="16"/>
  <c r="AS114" i="16"/>
  <c r="AN117" i="16"/>
  <c r="AN111" i="16" s="1"/>
  <c r="AS104" i="16"/>
  <c r="AN105" i="16"/>
  <c r="AN100" i="16" s="1"/>
  <c r="AS240" i="16"/>
  <c r="AN243" i="16"/>
  <c r="AN238" i="16" s="1"/>
  <c r="AS228" i="16"/>
  <c r="AN231" i="16"/>
  <c r="AN226" i="16" s="1"/>
  <c r="AS179" i="16"/>
  <c r="AS181" i="16" s="1"/>
  <c r="BW54" i="18" s="1"/>
  <c r="AN181" i="16"/>
  <c r="AS154" i="16"/>
  <c r="AN156" i="16"/>
  <c r="AS121" i="16"/>
  <c r="AN122" i="16"/>
  <c r="AN118" i="16" s="1"/>
  <c r="AS107" i="16"/>
  <c r="AN110" i="16"/>
  <c r="AN106" i="16" s="1"/>
  <c r="AC197" i="16"/>
  <c r="AE195" i="16"/>
  <c r="AF195" i="16" s="1"/>
  <c r="AR195" i="16" s="1"/>
  <c r="AE160" i="16"/>
  <c r="AE162" i="16" s="1"/>
  <c r="AE223" i="16"/>
  <c r="AF223" i="16" s="1"/>
  <c r="AR223" i="16" s="1"/>
  <c r="AE137" i="16"/>
  <c r="AF137" i="16" s="1"/>
  <c r="AR137" i="16" s="1"/>
  <c r="AE129" i="16"/>
  <c r="AF129" i="16" s="1"/>
  <c r="AR129" i="16" s="1"/>
  <c r="AE120" i="16"/>
  <c r="AF120" i="16" s="1"/>
  <c r="AR120" i="16" s="1"/>
  <c r="AE108" i="16"/>
  <c r="AF108" i="16" s="1"/>
  <c r="AR108" i="16" s="1"/>
  <c r="AE96" i="16"/>
  <c r="AF96" i="16" s="1"/>
  <c r="AR96" i="16" s="1"/>
  <c r="AE86" i="16"/>
  <c r="AF86" i="16" s="1"/>
  <c r="AR86" i="16" s="1"/>
  <c r="AE54" i="16"/>
  <c r="AF54" i="16" s="1"/>
  <c r="AR54" i="16" s="1"/>
  <c r="AF160" i="16"/>
  <c r="AR160" i="16" s="1"/>
  <c r="U182" i="16"/>
  <c r="U151" i="16"/>
  <c r="AE240" i="16"/>
  <c r="AF240" i="16" s="1"/>
  <c r="AR240" i="16" s="1"/>
  <c r="AF218" i="16"/>
  <c r="AR218" i="16" s="1"/>
  <c r="AE215" i="16"/>
  <c r="AF215" i="16" s="1"/>
  <c r="AR215" i="16" s="1"/>
  <c r="AE192" i="16"/>
  <c r="AE154" i="16"/>
  <c r="AF154" i="16" s="1"/>
  <c r="AR154" i="16" s="1"/>
  <c r="AE132" i="16"/>
  <c r="AF132" i="16" s="1"/>
  <c r="AR132" i="16" s="1"/>
  <c r="AE115" i="16"/>
  <c r="AF115" i="16" s="1"/>
  <c r="AR115" i="16" s="1"/>
  <c r="AE91" i="16"/>
  <c r="AF91" i="16" s="1"/>
  <c r="AR91" i="16" s="1"/>
  <c r="AE48" i="16"/>
  <c r="AF48" i="16" s="1"/>
  <c r="AR48" i="16" s="1"/>
  <c r="AE33" i="16"/>
  <c r="AF33" i="16" s="1"/>
  <c r="AR33" i="16" s="1"/>
  <c r="AE12" i="16"/>
  <c r="AF12" i="16" s="1"/>
  <c r="AR12" i="16" s="1"/>
  <c r="U163" i="16"/>
  <c r="AE235" i="16"/>
  <c r="AF235" i="16" s="1"/>
  <c r="AR235" i="16" s="1"/>
  <c r="AE229" i="16"/>
  <c r="AF229" i="16" s="1"/>
  <c r="AR229" i="16" s="1"/>
  <c r="AF217" i="16"/>
  <c r="AR217" i="16" s="1"/>
  <c r="AE205" i="16"/>
  <c r="AF205" i="16" s="1"/>
  <c r="AR205" i="16" s="1"/>
  <c r="AE186" i="16"/>
  <c r="AF186" i="16" s="1"/>
  <c r="AR186" i="16" s="1"/>
  <c r="AF177" i="16"/>
  <c r="AR177" i="16" s="1"/>
  <c r="AE174" i="16"/>
  <c r="AF174" i="16" s="1"/>
  <c r="AR174" i="16" s="1"/>
  <c r="AE166" i="16"/>
  <c r="AF166" i="16" s="1"/>
  <c r="AR166" i="16" s="1"/>
  <c r="AE144" i="16"/>
  <c r="AF144" i="16" s="1"/>
  <c r="AR144" i="16" s="1"/>
  <c r="AE125" i="16"/>
  <c r="AF125" i="16" s="1"/>
  <c r="AR125" i="16" s="1"/>
  <c r="AE101" i="16"/>
  <c r="AF101" i="16" s="1"/>
  <c r="AR101" i="16" s="1"/>
  <c r="AE57" i="16"/>
  <c r="AF57" i="16" s="1"/>
  <c r="AR57" i="16" s="1"/>
  <c r="AE24" i="16"/>
  <c r="AF24" i="16" s="1"/>
  <c r="AR24" i="16" s="1"/>
  <c r="AE188" i="16"/>
  <c r="AF188" i="16" s="1"/>
  <c r="AR188" i="16" s="1"/>
  <c r="AQ233" i="16"/>
  <c r="M237" i="16"/>
  <c r="M232" i="16" s="1"/>
  <c r="AQ195" i="16"/>
  <c r="M196" i="16"/>
  <c r="AQ153" i="16"/>
  <c r="M156" i="16"/>
  <c r="BY11" i="18"/>
  <c r="BY10" i="18" s="1"/>
  <c r="AQ176" i="16"/>
  <c r="M178" i="16"/>
  <c r="L198" i="16"/>
  <c r="M243" i="16"/>
  <c r="M238" i="16" s="1"/>
  <c r="M212" i="16"/>
  <c r="M181" i="16"/>
  <c r="M162" i="16"/>
  <c r="L196" i="16"/>
  <c r="L190" i="16"/>
  <c r="L178" i="16"/>
  <c r="L162" i="16"/>
  <c r="L156" i="16"/>
  <c r="M117" i="16"/>
  <c r="M111" i="16" s="1"/>
  <c r="L149" i="16"/>
  <c r="L140" i="16" s="1"/>
  <c r="L133" i="16"/>
  <c r="L123" i="16" s="1"/>
  <c r="L117" i="16"/>
  <c r="L111" i="16" s="1"/>
  <c r="L105" i="16"/>
  <c r="L100" i="16" s="1"/>
  <c r="L92" i="16"/>
  <c r="L85" i="16"/>
  <c r="L77" i="16"/>
  <c r="L61" i="16" s="1"/>
  <c r="L60" i="16"/>
  <c r="L50" i="16"/>
  <c r="L44" i="16"/>
  <c r="L40" i="16" s="1"/>
  <c r="L39" i="16"/>
  <c r="L20" i="16" s="1"/>
  <c r="AT69" i="16"/>
  <c r="BB69" i="16" s="1"/>
  <c r="M190" i="16"/>
  <c r="M182" i="16" s="1"/>
  <c r="AV61" i="15"/>
  <c r="AV5" i="15" s="1"/>
  <c r="AV292" i="15" s="1"/>
  <c r="BM24" i="18"/>
  <c r="BN51" i="18"/>
  <c r="BR19" i="18"/>
  <c r="BR12" i="18"/>
  <c r="BQ7" i="18"/>
  <c r="BQ60" i="18"/>
  <c r="BO60" i="18"/>
  <c r="BM60" i="18"/>
  <c r="BN47" i="18"/>
  <c r="BP12" i="18"/>
  <c r="BN19" i="18"/>
  <c r="BN12" i="18"/>
  <c r="AS240" i="15"/>
  <c r="AN243" i="15"/>
  <c r="AN238" i="15" s="1"/>
  <c r="AS167" i="15"/>
  <c r="AN168" i="15"/>
  <c r="AS108" i="15"/>
  <c r="AN110" i="15"/>
  <c r="AN106" i="15" s="1"/>
  <c r="AS157" i="15"/>
  <c r="AN159" i="15"/>
  <c r="AS113" i="15"/>
  <c r="AN117" i="15"/>
  <c r="AN111" i="15" s="1"/>
  <c r="AS101" i="15"/>
  <c r="AS105" i="15" s="1"/>
  <c r="AN100" i="15"/>
  <c r="AS86" i="15"/>
  <c r="AN88" i="15"/>
  <c r="AS58" i="15"/>
  <c r="AN60" i="15"/>
  <c r="AS241" i="15"/>
  <c r="AC198" i="15"/>
  <c r="AC197" i="15" s="1"/>
  <c r="AB78" i="15"/>
  <c r="AB45" i="15"/>
  <c r="AB20" i="15"/>
  <c r="AE49" i="15"/>
  <c r="AF49" i="15" s="1"/>
  <c r="AR49" i="15" s="1"/>
  <c r="AT49" i="15" s="1"/>
  <c r="BB49" i="15" s="1"/>
  <c r="AE222" i="15"/>
  <c r="AF222" i="15" s="1"/>
  <c r="AR222" i="15" s="1"/>
  <c r="AE216" i="15"/>
  <c r="AF216" i="15" s="1"/>
  <c r="AR216" i="15" s="1"/>
  <c r="AF169" i="15"/>
  <c r="AR169" i="15" s="1"/>
  <c r="Y45" i="15"/>
  <c r="Y20" i="15"/>
  <c r="AT70" i="15"/>
  <c r="BB70" i="15" s="1"/>
  <c r="Y163" i="15"/>
  <c r="AT154" i="15"/>
  <c r="BB154" i="15" s="1"/>
  <c r="AE230" i="15"/>
  <c r="AF230" i="15" s="1"/>
  <c r="AR230" i="15" s="1"/>
  <c r="AE206" i="15"/>
  <c r="AF206" i="15" s="1"/>
  <c r="AR206" i="15" s="1"/>
  <c r="AE186" i="15"/>
  <c r="AF186" i="15" s="1"/>
  <c r="AR186" i="15" s="1"/>
  <c r="AF173" i="15"/>
  <c r="AR173" i="15" s="1"/>
  <c r="AE165" i="15"/>
  <c r="AE147" i="15"/>
  <c r="AF147" i="15" s="1"/>
  <c r="AR147" i="15" s="1"/>
  <c r="AE130" i="15"/>
  <c r="AF130" i="15" s="1"/>
  <c r="AR130" i="15" s="1"/>
  <c r="AE116" i="15"/>
  <c r="AF116" i="15" s="1"/>
  <c r="AR116" i="15" s="1"/>
  <c r="AE102" i="15"/>
  <c r="AF102" i="15" s="1"/>
  <c r="AR102" i="15" s="1"/>
  <c r="AE90" i="15"/>
  <c r="AF90" i="15" s="1"/>
  <c r="AR90" i="15" s="1"/>
  <c r="AF75" i="15"/>
  <c r="AR75" i="15" s="1"/>
  <c r="AE58" i="15"/>
  <c r="AF58" i="15" s="1"/>
  <c r="AR58" i="15" s="1"/>
  <c r="AF41" i="15"/>
  <c r="AR41" i="15" s="1"/>
  <c r="AE23" i="15"/>
  <c r="AF23" i="15" s="1"/>
  <c r="AR23" i="15" s="1"/>
  <c r="AE242" i="15"/>
  <c r="AF242" i="15" s="1"/>
  <c r="AR242" i="15" s="1"/>
  <c r="AT242" i="15" s="1"/>
  <c r="AE227" i="15"/>
  <c r="AF227" i="15" s="1"/>
  <c r="AR227" i="15" s="1"/>
  <c r="AE195" i="15"/>
  <c r="AF195" i="15" s="1"/>
  <c r="AR195" i="15" s="1"/>
  <c r="AE172" i="15"/>
  <c r="AF172" i="15" s="1"/>
  <c r="AR172" i="15" s="1"/>
  <c r="AE160" i="15"/>
  <c r="AE148" i="15"/>
  <c r="AF148" i="15" s="1"/>
  <c r="AR148" i="15" s="1"/>
  <c r="AE138" i="15"/>
  <c r="AF138" i="15" s="1"/>
  <c r="AR138" i="15" s="1"/>
  <c r="AE121" i="15"/>
  <c r="AF121" i="15" s="1"/>
  <c r="AR121" i="15" s="1"/>
  <c r="AE112" i="15"/>
  <c r="AF112" i="15" s="1"/>
  <c r="AR112" i="15" s="1"/>
  <c r="AE95" i="15"/>
  <c r="AF95" i="15" s="1"/>
  <c r="AR95" i="15" s="1"/>
  <c r="AF84" i="15"/>
  <c r="AR84" i="15" s="1"/>
  <c r="AT34" i="15"/>
  <c r="AT23" i="15"/>
  <c r="AF66" i="15"/>
  <c r="AR66" i="15" s="1"/>
  <c r="AF43" i="15"/>
  <c r="AR43" i="15" s="1"/>
  <c r="AE30" i="15"/>
  <c r="AF30" i="15" s="1"/>
  <c r="AR30" i="15" s="1"/>
  <c r="AE22" i="15"/>
  <c r="AF22" i="15" s="1"/>
  <c r="AR22" i="15" s="1"/>
  <c r="AE188" i="15"/>
  <c r="AF188" i="15" s="1"/>
  <c r="AR188" i="15" s="1"/>
  <c r="AQ87" i="15"/>
  <c r="M88" i="15"/>
  <c r="AQ24" i="15"/>
  <c r="M25" i="15"/>
  <c r="M190" i="15"/>
  <c r="L79" i="15"/>
  <c r="AY51" i="18"/>
  <c r="AZ7" i="18"/>
  <c r="AY20" i="18"/>
  <c r="AY47" i="18"/>
  <c r="AS113" i="14"/>
  <c r="AN117" i="14"/>
  <c r="AN111" i="14" s="1"/>
  <c r="AS47" i="14"/>
  <c r="AN50" i="14"/>
  <c r="AS82" i="14"/>
  <c r="AN85" i="14"/>
  <c r="AS42" i="14"/>
  <c r="AN44" i="14"/>
  <c r="AN40" i="14" s="1"/>
  <c r="AS9" i="14"/>
  <c r="AS11" i="14" s="1"/>
  <c r="AW8" i="18" s="1"/>
  <c r="AN11" i="14"/>
  <c r="AM45" i="14"/>
  <c r="AM20" i="14"/>
  <c r="AS88" i="14"/>
  <c r="AW28" i="18" s="1"/>
  <c r="AC6" i="14"/>
  <c r="AC5" i="14" s="1"/>
  <c r="AC198" i="14"/>
  <c r="AC197" i="14" s="1"/>
  <c r="AB163" i="14"/>
  <c r="AE68" i="14"/>
  <c r="AF68" i="14" s="1"/>
  <c r="AR68" i="14" s="1"/>
  <c r="AE55" i="14"/>
  <c r="AF55" i="14" s="1"/>
  <c r="AR55" i="14" s="1"/>
  <c r="AF38" i="14"/>
  <c r="AR38" i="14" s="1"/>
  <c r="AB182" i="14"/>
  <c r="AE239" i="14"/>
  <c r="AF239" i="14" s="1"/>
  <c r="AR239" i="14" s="1"/>
  <c r="AE236" i="14"/>
  <c r="AF236" i="14" s="1"/>
  <c r="AR236" i="14" s="1"/>
  <c r="AE228" i="14"/>
  <c r="AF228" i="14" s="1"/>
  <c r="AR228" i="14" s="1"/>
  <c r="AE157" i="14"/>
  <c r="AF157" i="14" s="1"/>
  <c r="AR157" i="14" s="1"/>
  <c r="AE146" i="14"/>
  <c r="AF146" i="14" s="1"/>
  <c r="AR146" i="14" s="1"/>
  <c r="AF39" i="14"/>
  <c r="Y79" i="14"/>
  <c r="S78" i="14"/>
  <c r="AE234" i="14"/>
  <c r="AF234" i="14" s="1"/>
  <c r="AR234" i="14" s="1"/>
  <c r="AF218" i="14"/>
  <c r="AR218" i="14" s="1"/>
  <c r="AE215" i="14"/>
  <c r="AF215" i="14" s="1"/>
  <c r="AR215" i="14" s="1"/>
  <c r="AE210" i="14"/>
  <c r="AE187" i="14"/>
  <c r="AF187" i="14" s="1"/>
  <c r="AR187" i="14" s="1"/>
  <c r="AE152" i="14"/>
  <c r="AF152" i="14" s="1"/>
  <c r="AR152" i="14" s="1"/>
  <c r="AE130" i="14"/>
  <c r="AF130" i="14" s="1"/>
  <c r="AR130" i="14" s="1"/>
  <c r="AE116" i="14"/>
  <c r="AF116" i="14" s="1"/>
  <c r="AR116" i="14" s="1"/>
  <c r="AE102" i="14"/>
  <c r="AF102" i="14" s="1"/>
  <c r="AR102" i="14" s="1"/>
  <c r="AF84" i="14"/>
  <c r="AR84" i="14" s="1"/>
  <c r="AT42" i="14"/>
  <c r="BB42" i="14" s="1"/>
  <c r="AT24" i="14"/>
  <c r="AE63" i="14"/>
  <c r="AF63" i="14" s="1"/>
  <c r="AR63" i="14" s="1"/>
  <c r="AE51" i="14"/>
  <c r="AE33" i="14"/>
  <c r="AF33" i="14" s="1"/>
  <c r="AR33" i="14" s="1"/>
  <c r="AE188" i="14"/>
  <c r="AF188" i="14" s="1"/>
  <c r="AR188" i="14" s="1"/>
  <c r="T78" i="14"/>
  <c r="R78" i="14"/>
  <c r="AE69" i="14"/>
  <c r="R6" i="14"/>
  <c r="AE242" i="14"/>
  <c r="AF242" i="14" s="1"/>
  <c r="AR242" i="14" s="1"/>
  <c r="AE229" i="14"/>
  <c r="AF229" i="14" s="1"/>
  <c r="AR229" i="14" s="1"/>
  <c r="AF217" i="14"/>
  <c r="AR217" i="14" s="1"/>
  <c r="AE211" i="14"/>
  <c r="AF211" i="14" s="1"/>
  <c r="AR211" i="14" s="1"/>
  <c r="AE202" i="14"/>
  <c r="AF202" i="14" s="1"/>
  <c r="AR202" i="14" s="1"/>
  <c r="AE164" i="14"/>
  <c r="AF164" i="14" s="1"/>
  <c r="AR164" i="14" s="1"/>
  <c r="AE142" i="14"/>
  <c r="AF142" i="14" s="1"/>
  <c r="AR142" i="14" s="1"/>
  <c r="AE121" i="14"/>
  <c r="AF121" i="14" s="1"/>
  <c r="AR121" i="14" s="1"/>
  <c r="AE108" i="14"/>
  <c r="AF108" i="14" s="1"/>
  <c r="AR108" i="14" s="1"/>
  <c r="AE94" i="14"/>
  <c r="AF94" i="14" s="1"/>
  <c r="AR94" i="14" s="1"/>
  <c r="AF64" i="14"/>
  <c r="AR64" i="14" s="1"/>
  <c r="AE54" i="14"/>
  <c r="AF54" i="14" s="1"/>
  <c r="AR54" i="14" s="1"/>
  <c r="AE48" i="14"/>
  <c r="AF48" i="14" s="1"/>
  <c r="AR48" i="14" s="1"/>
  <c r="AQ87" i="14"/>
  <c r="M88" i="14"/>
  <c r="M79" i="14" s="1"/>
  <c r="AQ28" i="14"/>
  <c r="M29" i="14"/>
  <c r="AQ176" i="14"/>
  <c r="M178" i="14"/>
  <c r="AQ58" i="14"/>
  <c r="M60" i="14"/>
  <c r="AN47" i="18"/>
  <c r="ER29" i="18"/>
  <c r="EN21" i="18"/>
  <c r="ER22" i="18"/>
  <c r="EN14" i="18"/>
  <c r="AN51" i="18"/>
  <c r="EQ52" i="18"/>
  <c r="EM29" i="18"/>
  <c r="EL29" i="18"/>
  <c r="EN15" i="18"/>
  <c r="EN16" i="18"/>
  <c r="AS228" i="13"/>
  <c r="AN231" i="13"/>
  <c r="AN226" i="13" s="1"/>
  <c r="AS157" i="13"/>
  <c r="AN159" i="13"/>
  <c r="AN151" i="13" s="1"/>
  <c r="AS91" i="13"/>
  <c r="AN92" i="13"/>
  <c r="AS41" i="13"/>
  <c r="AS44" i="13" s="1"/>
  <c r="AN44" i="13"/>
  <c r="AN40" i="13" s="1"/>
  <c r="AS235" i="13"/>
  <c r="AN237" i="13"/>
  <c r="AN232" i="13" s="1"/>
  <c r="AS223" i="13"/>
  <c r="AS225" i="13" s="1"/>
  <c r="AN225" i="13"/>
  <c r="AN221" i="13" s="1"/>
  <c r="AS204" i="13"/>
  <c r="AS209" i="13" s="1"/>
  <c r="AJ62" i="18" s="1"/>
  <c r="AS167" i="13"/>
  <c r="AN168" i="13"/>
  <c r="AS128" i="13"/>
  <c r="AN133" i="13"/>
  <c r="AN123" i="13" s="1"/>
  <c r="AS48" i="13"/>
  <c r="AN50" i="13"/>
  <c r="AS38" i="13"/>
  <c r="AS39" i="13" s="1"/>
  <c r="AJ16" i="18" s="1"/>
  <c r="AN39" i="13"/>
  <c r="AS236" i="13"/>
  <c r="AS107" i="13"/>
  <c r="AS162" i="13"/>
  <c r="AJ50" i="18" s="1"/>
  <c r="AC198" i="13"/>
  <c r="AC197" i="13" s="1"/>
  <c r="AB198" i="13"/>
  <c r="AE157" i="13"/>
  <c r="AF157" i="13" s="1"/>
  <c r="AR157" i="13" s="1"/>
  <c r="AT157" i="13" s="1"/>
  <c r="BB157" i="13" s="1"/>
  <c r="AE58" i="13"/>
  <c r="AF58" i="13" s="1"/>
  <c r="AR58" i="13" s="1"/>
  <c r="Y6" i="13"/>
  <c r="U182" i="13"/>
  <c r="U151" i="13"/>
  <c r="S78" i="13"/>
  <c r="AF218" i="13"/>
  <c r="AR218" i="13" s="1"/>
  <c r="AT218" i="13" s="1"/>
  <c r="AE199" i="13"/>
  <c r="AF199" i="13" s="1"/>
  <c r="AR199" i="13" s="1"/>
  <c r="AE172" i="13"/>
  <c r="AE153" i="13"/>
  <c r="AF153" i="13" s="1"/>
  <c r="AR153" i="13" s="1"/>
  <c r="AE144" i="13"/>
  <c r="AF144" i="13" s="1"/>
  <c r="AR144" i="13" s="1"/>
  <c r="AE116" i="13"/>
  <c r="AF116" i="13" s="1"/>
  <c r="AR116" i="13" s="1"/>
  <c r="AE97" i="13"/>
  <c r="AF97" i="13" s="1"/>
  <c r="AR97" i="13" s="1"/>
  <c r="AE46" i="13"/>
  <c r="AF46" i="13" s="1"/>
  <c r="AR46" i="13" s="1"/>
  <c r="AF41" i="13"/>
  <c r="AR41" i="13" s="1"/>
  <c r="U163" i="13"/>
  <c r="AE242" i="13"/>
  <c r="AF242" i="13" s="1"/>
  <c r="AR242" i="13" s="1"/>
  <c r="AE200" i="13"/>
  <c r="AF200" i="13" s="1"/>
  <c r="AR200" i="13" s="1"/>
  <c r="AE194" i="13"/>
  <c r="AF194" i="13" s="1"/>
  <c r="AF176" i="13"/>
  <c r="AR176" i="13" s="1"/>
  <c r="AE164" i="13"/>
  <c r="AF164" i="13" s="1"/>
  <c r="AE132" i="13"/>
  <c r="AF132" i="13" s="1"/>
  <c r="AR132" i="13" s="1"/>
  <c r="AE126" i="13"/>
  <c r="AF126" i="13" s="1"/>
  <c r="AR126" i="13" s="1"/>
  <c r="AE107" i="13"/>
  <c r="AF107" i="13" s="1"/>
  <c r="AR107" i="13" s="1"/>
  <c r="AE90" i="13"/>
  <c r="AF90" i="13" s="1"/>
  <c r="AR90" i="13" s="1"/>
  <c r="AF75" i="13"/>
  <c r="AR75" i="13" s="1"/>
  <c r="AF43" i="13"/>
  <c r="AR43" i="13" s="1"/>
  <c r="AE30" i="13"/>
  <c r="AF30" i="13" s="1"/>
  <c r="AR30" i="13" s="1"/>
  <c r="AE188" i="13"/>
  <c r="AF188" i="13" s="1"/>
  <c r="AR188" i="13" s="1"/>
  <c r="AQ58" i="13"/>
  <c r="M60" i="13"/>
  <c r="M190" i="13"/>
  <c r="M182" i="13" s="1"/>
  <c r="AW198" i="12"/>
  <c r="AW197" i="12" s="1"/>
  <c r="AA62" i="18"/>
  <c r="AA60" i="18" s="1"/>
  <c r="AA59" i="18" s="1"/>
  <c r="ER15" i="18"/>
  <c r="EO15" i="18"/>
  <c r="AE26" i="18"/>
  <c r="AE25" i="18" s="1"/>
  <c r="AC26" i="18"/>
  <c r="AC25" i="18" s="1"/>
  <c r="AA26" i="18"/>
  <c r="AA25" i="18" s="1"/>
  <c r="Y26" i="18"/>
  <c r="Y25" i="18" s="1"/>
  <c r="AZ6" i="12"/>
  <c r="EM69" i="18"/>
  <c r="AE60" i="18"/>
  <c r="AC60" i="18"/>
  <c r="AE51" i="18"/>
  <c r="EQ41" i="18"/>
  <c r="EQ40" i="18" s="1"/>
  <c r="EQ33" i="18"/>
  <c r="EQ32" i="18" s="1"/>
  <c r="EO41" i="18"/>
  <c r="EO40" i="18" s="1"/>
  <c r="EO33" i="18"/>
  <c r="EO32" i="18" s="1"/>
  <c r="EN37" i="18"/>
  <c r="EN36" i="18" s="1"/>
  <c r="EM45" i="18"/>
  <c r="EM37" i="18"/>
  <c r="AD35" i="18"/>
  <c r="AD34" i="18" s="1"/>
  <c r="AD31" i="18"/>
  <c r="AD30" i="18" s="1"/>
  <c r="AB35" i="18"/>
  <c r="AB34" i="18" s="1"/>
  <c r="AB31" i="18"/>
  <c r="AB30" i="18" s="1"/>
  <c r="Z35" i="18"/>
  <c r="Z34" i="18" s="1"/>
  <c r="Z31" i="18"/>
  <c r="Z30" i="18" s="1"/>
  <c r="AE11" i="18"/>
  <c r="AE10" i="18" s="1"/>
  <c r="AC11" i="18"/>
  <c r="AC10" i="18" s="1"/>
  <c r="AA11" i="18"/>
  <c r="AA10" i="18" s="1"/>
  <c r="Y20" i="18"/>
  <c r="EP9" i="18"/>
  <c r="EP14" i="18"/>
  <c r="ER20" i="18"/>
  <c r="ER21" i="18"/>
  <c r="EP22" i="18"/>
  <c r="AJ78" i="12"/>
  <c r="AS186" i="12"/>
  <c r="AS183" i="12"/>
  <c r="AC45" i="12"/>
  <c r="AC198" i="12"/>
  <c r="AC197" i="12" s="1"/>
  <c r="AB78" i="12"/>
  <c r="AE166" i="12"/>
  <c r="AF166" i="12" s="1"/>
  <c r="AR166" i="12" s="1"/>
  <c r="AF155" i="12"/>
  <c r="AR155" i="12" s="1"/>
  <c r="AE141" i="12"/>
  <c r="AF141" i="12" s="1"/>
  <c r="AR141" i="12" s="1"/>
  <c r="AE129" i="12"/>
  <c r="AF129" i="12" s="1"/>
  <c r="AR129" i="12" s="1"/>
  <c r="AE115" i="12"/>
  <c r="AF115" i="12" s="1"/>
  <c r="AR115" i="12" s="1"/>
  <c r="AE101" i="12"/>
  <c r="AF101" i="12" s="1"/>
  <c r="AR101" i="12" s="1"/>
  <c r="AE91" i="12"/>
  <c r="AF91" i="12" s="1"/>
  <c r="AR91" i="12" s="1"/>
  <c r="AE76" i="12"/>
  <c r="AF76" i="12" s="1"/>
  <c r="AR76" i="12" s="1"/>
  <c r="AE52" i="12"/>
  <c r="AF52" i="12" s="1"/>
  <c r="AR52" i="12" s="1"/>
  <c r="AE49" i="12"/>
  <c r="AF49" i="12" s="1"/>
  <c r="AR49" i="12" s="1"/>
  <c r="AE241" i="12"/>
  <c r="AF241" i="12" s="1"/>
  <c r="AR241" i="12" s="1"/>
  <c r="AF219" i="12"/>
  <c r="AR219" i="12" s="1"/>
  <c r="AE205" i="12"/>
  <c r="AF205" i="12" s="1"/>
  <c r="AR205" i="12" s="1"/>
  <c r="AF177" i="12"/>
  <c r="AR177" i="12" s="1"/>
  <c r="AE160" i="12"/>
  <c r="AE136" i="12"/>
  <c r="AF136" i="12" s="1"/>
  <c r="AR136" i="12" s="1"/>
  <c r="AE108" i="12"/>
  <c r="AF108" i="12" s="1"/>
  <c r="AR108" i="12" s="1"/>
  <c r="AE86" i="12"/>
  <c r="AF86" i="12" s="1"/>
  <c r="AR86" i="12" s="1"/>
  <c r="AE70" i="12"/>
  <c r="AF70" i="12" s="1"/>
  <c r="AR70" i="12" s="1"/>
  <c r="AY70" i="12" s="1"/>
  <c r="AE57" i="12"/>
  <c r="AF57" i="12" s="1"/>
  <c r="AR57" i="12" s="1"/>
  <c r="AF28" i="12"/>
  <c r="AR28" i="12" s="1"/>
  <c r="AE22" i="12"/>
  <c r="AF22" i="12" s="1"/>
  <c r="AR22" i="12" s="1"/>
  <c r="S163" i="12"/>
  <c r="U78" i="12"/>
  <c r="S182" i="12"/>
  <c r="S151" i="12"/>
  <c r="U6" i="12"/>
  <c r="T6" i="12"/>
  <c r="S6" i="12"/>
  <c r="R6" i="12"/>
  <c r="AE194" i="12"/>
  <c r="AF170" i="12"/>
  <c r="AR170" i="12" s="1"/>
  <c r="AE152" i="12"/>
  <c r="AF152" i="12" s="1"/>
  <c r="AR152" i="12" s="1"/>
  <c r="AE145" i="12"/>
  <c r="AF145" i="12" s="1"/>
  <c r="AR145" i="12" s="1"/>
  <c r="AE125" i="12"/>
  <c r="AF125" i="12" s="1"/>
  <c r="AR125" i="12" s="1"/>
  <c r="AE96" i="12"/>
  <c r="AF96" i="12" s="1"/>
  <c r="AR96" i="12" s="1"/>
  <c r="AF80" i="12"/>
  <c r="AR80" i="12" s="1"/>
  <c r="AE69" i="12"/>
  <c r="AF69" i="12" s="1"/>
  <c r="AR69" i="12" s="1"/>
  <c r="AE36" i="12"/>
  <c r="AF36" i="12" s="1"/>
  <c r="AR36" i="12" s="1"/>
  <c r="AE23" i="12"/>
  <c r="AF23" i="12" s="1"/>
  <c r="AR23" i="12" s="1"/>
  <c r="AE188" i="12"/>
  <c r="AF188" i="12" s="1"/>
  <c r="AR188" i="12" s="1"/>
  <c r="AQ211" i="12"/>
  <c r="AU211" i="12" s="1"/>
  <c r="M212" i="12"/>
  <c r="AU40" i="1"/>
  <c r="L18" i="18"/>
  <c r="AY61" i="1"/>
  <c r="AY5" i="1" s="1"/>
  <c r="P24" i="18"/>
  <c r="AU151" i="1"/>
  <c r="AU150" i="1" s="1"/>
  <c r="L49" i="18"/>
  <c r="EQ49" i="18"/>
  <c r="Q7" i="18"/>
  <c r="R11" i="18"/>
  <c r="R10" i="18" s="1"/>
  <c r="P11" i="18"/>
  <c r="P10" i="18" s="1"/>
  <c r="N13" i="18"/>
  <c r="EN13" i="18" s="1"/>
  <c r="N11" i="18"/>
  <c r="N10" i="18" s="1"/>
  <c r="M21" i="18"/>
  <c r="L22" i="18"/>
  <c r="AT73" i="1"/>
  <c r="BB73" i="1" s="1"/>
  <c r="AE71" i="1"/>
  <c r="AF71" i="1" s="1"/>
  <c r="AR71" i="1" s="1"/>
  <c r="AF41" i="1"/>
  <c r="AR41" i="1" s="1"/>
  <c r="AE160" i="1"/>
  <c r="AF160" i="1" s="1"/>
  <c r="AR160" i="1" s="1"/>
  <c r="AE236" i="1"/>
  <c r="AF236" i="1" s="1"/>
  <c r="AR236" i="1" s="1"/>
  <c r="AE223" i="1"/>
  <c r="AF223" i="1" s="1"/>
  <c r="AR223" i="1" s="1"/>
  <c r="AE210" i="1"/>
  <c r="AE167" i="1"/>
  <c r="AF167" i="1" s="1"/>
  <c r="AR167" i="1" s="1"/>
  <c r="AT91" i="1"/>
  <c r="BB91" i="1" s="1"/>
  <c r="AE147" i="1"/>
  <c r="AF147" i="1" s="1"/>
  <c r="AR147" i="1" s="1"/>
  <c r="AE131" i="1"/>
  <c r="AF131" i="1" s="1"/>
  <c r="AR131" i="1" s="1"/>
  <c r="AE112" i="1"/>
  <c r="AE96" i="1"/>
  <c r="AF96" i="1" s="1"/>
  <c r="AR96" i="1" s="1"/>
  <c r="AF80" i="1"/>
  <c r="AR80" i="1" s="1"/>
  <c r="AT71" i="1"/>
  <c r="BB71" i="1" s="1"/>
  <c r="AF57" i="1"/>
  <c r="AR57" i="1" s="1"/>
  <c r="AE35" i="1"/>
  <c r="AF35" i="1" s="1"/>
  <c r="AR35" i="1" s="1"/>
  <c r="AE7" i="1"/>
  <c r="AF7" i="1" s="1"/>
  <c r="AR7" i="1" s="1"/>
  <c r="R182" i="1"/>
  <c r="AE241" i="1"/>
  <c r="AF241" i="1" s="1"/>
  <c r="AR241" i="1" s="1"/>
  <c r="AE195" i="1"/>
  <c r="AF169" i="1"/>
  <c r="AR169" i="1" s="1"/>
  <c r="AE154" i="1"/>
  <c r="AF154" i="1" s="1"/>
  <c r="AR154" i="1" s="1"/>
  <c r="AT108" i="1"/>
  <c r="BB108" i="1" s="1"/>
  <c r="AE143" i="1"/>
  <c r="AF143" i="1" s="1"/>
  <c r="AR143" i="1" s="1"/>
  <c r="AE120" i="1"/>
  <c r="AF120" i="1" s="1"/>
  <c r="AR120" i="1" s="1"/>
  <c r="AE107" i="1"/>
  <c r="AE86" i="1"/>
  <c r="AF86" i="1" s="1"/>
  <c r="AR86" i="1" s="1"/>
  <c r="AT63" i="1"/>
  <c r="BB63" i="1" s="1"/>
  <c r="AE47" i="1"/>
  <c r="AF47" i="1" s="1"/>
  <c r="AR47" i="1" s="1"/>
  <c r="AE26" i="1"/>
  <c r="AF26" i="1" s="1"/>
  <c r="AR26" i="1" s="1"/>
  <c r="AE188" i="1"/>
  <c r="AF188" i="1" s="1"/>
  <c r="AR188" i="1" s="1"/>
  <c r="AS281" i="23"/>
  <c r="AN283" i="23"/>
  <c r="AN277" i="23" s="1"/>
  <c r="AQ205" i="23"/>
  <c r="AQ209" i="23" s="1"/>
  <c r="M198" i="23"/>
  <c r="AF192" i="23"/>
  <c r="AR192" i="23" s="1"/>
  <c r="AT192" i="23" s="1"/>
  <c r="AE193" i="23"/>
  <c r="AS195" i="23"/>
  <c r="AN196" i="23"/>
  <c r="AS170" i="23"/>
  <c r="AS178" i="23" s="1"/>
  <c r="DW53" i="18" s="1"/>
  <c r="AN178" i="23"/>
  <c r="AQ126" i="23"/>
  <c r="M133" i="23"/>
  <c r="M123" i="23" s="1"/>
  <c r="AQ116" i="23"/>
  <c r="AQ117" i="23" s="1"/>
  <c r="M117" i="23"/>
  <c r="M111" i="23" s="1"/>
  <c r="AS68" i="23"/>
  <c r="AS77" i="23" s="1"/>
  <c r="AN77" i="23"/>
  <c r="AN61" i="23" s="1"/>
  <c r="AF42" i="23"/>
  <c r="AR42" i="23" s="1"/>
  <c r="AE44" i="23"/>
  <c r="AE40" i="23" s="1"/>
  <c r="AQ12" i="23"/>
  <c r="AU12" i="23" s="1"/>
  <c r="AU15" i="23" s="1"/>
  <c r="M15" i="23"/>
  <c r="AN182" i="23"/>
  <c r="AS286" i="23"/>
  <c r="AN289" i="23"/>
  <c r="AN284" i="23" s="1"/>
  <c r="AS179" i="23"/>
  <c r="AS181" i="23" s="1"/>
  <c r="DW54" i="18" s="1"/>
  <c r="AN181" i="23"/>
  <c r="AS154" i="23"/>
  <c r="AN156" i="23"/>
  <c r="AN151" i="23" s="1"/>
  <c r="AQ172" i="23"/>
  <c r="M178" i="23"/>
  <c r="AS86" i="23"/>
  <c r="AN88" i="23"/>
  <c r="AQ144" i="23"/>
  <c r="M149" i="23"/>
  <c r="M140" i="23" s="1"/>
  <c r="AQ119" i="23"/>
  <c r="M122" i="23"/>
  <c r="M118" i="23" s="1"/>
  <c r="AR38" i="23"/>
  <c r="AR39" i="23" s="1"/>
  <c r="DV16" i="18" s="1"/>
  <c r="AF39" i="23"/>
  <c r="AQ251" i="23"/>
  <c r="AQ254" i="23" s="1"/>
  <c r="DU77" i="18" s="1"/>
  <c r="M254" i="23"/>
  <c r="AQ256" i="23"/>
  <c r="AQ258" i="23" s="1"/>
  <c r="DU78" i="18" s="1"/>
  <c r="M258" i="23"/>
  <c r="AM245" i="23"/>
  <c r="AM244" i="23" s="1"/>
  <c r="R245" i="23"/>
  <c r="R244" i="23" s="1"/>
  <c r="AB182" i="23"/>
  <c r="AB151" i="23"/>
  <c r="S163" i="23"/>
  <c r="DZ75" i="18"/>
  <c r="DZ74" i="18" s="1"/>
  <c r="ER67" i="18"/>
  <c r="ER66" i="18" s="1"/>
  <c r="EE60" i="18"/>
  <c r="EE59" i="18" s="1"/>
  <c r="ED60" i="18"/>
  <c r="AE240" i="23"/>
  <c r="AF240" i="23" s="1"/>
  <c r="AR240" i="23" s="1"/>
  <c r="AE239" i="23"/>
  <c r="AF239" i="23" s="1"/>
  <c r="AR239" i="23" s="1"/>
  <c r="AE236" i="23"/>
  <c r="AE214" i="23"/>
  <c r="AE186" i="23"/>
  <c r="AF186" i="23" s="1"/>
  <c r="AR186" i="23" s="1"/>
  <c r="EE47" i="18"/>
  <c r="EA51" i="18"/>
  <c r="AF177" i="23"/>
  <c r="AR177" i="23" s="1"/>
  <c r="AE172" i="23"/>
  <c r="AF172" i="23" s="1"/>
  <c r="AR172" i="23" s="1"/>
  <c r="AF161" i="23"/>
  <c r="AR161" i="23" s="1"/>
  <c r="AE154" i="23"/>
  <c r="AF154" i="23" s="1"/>
  <c r="AR154" i="23" s="1"/>
  <c r="ER49" i="18"/>
  <c r="EQ50" i="18"/>
  <c r="EQ48" i="18"/>
  <c r="AE145" i="23"/>
  <c r="AF145" i="23" s="1"/>
  <c r="AR145" i="23" s="1"/>
  <c r="AT145" i="23" s="1"/>
  <c r="BB145" i="23" s="1"/>
  <c r="AE144" i="23"/>
  <c r="AF144" i="23" s="1"/>
  <c r="AR144" i="23" s="1"/>
  <c r="AE136" i="23"/>
  <c r="AF136" i="23" s="1"/>
  <c r="AR136" i="23" s="1"/>
  <c r="AE132" i="23"/>
  <c r="AF132" i="23" s="1"/>
  <c r="AR132" i="23" s="1"/>
  <c r="AE129" i="23"/>
  <c r="AF129" i="23" s="1"/>
  <c r="AR129" i="23" s="1"/>
  <c r="AT129" i="23" s="1"/>
  <c r="BB129" i="23" s="1"/>
  <c r="AE128" i="23"/>
  <c r="AF128" i="23" s="1"/>
  <c r="AR128" i="23" s="1"/>
  <c r="AE125" i="23"/>
  <c r="AF125" i="23" s="1"/>
  <c r="AE124" i="23"/>
  <c r="AE108" i="23"/>
  <c r="AF108" i="23" s="1"/>
  <c r="AR108" i="23" s="1"/>
  <c r="AE107" i="23"/>
  <c r="AE104" i="23"/>
  <c r="AF104" i="23" s="1"/>
  <c r="AR104" i="23" s="1"/>
  <c r="AE101" i="23"/>
  <c r="AE96" i="23"/>
  <c r="AF96" i="23" s="1"/>
  <c r="AR96" i="23" s="1"/>
  <c r="AE95" i="23"/>
  <c r="AE86" i="23"/>
  <c r="AF86" i="23" s="1"/>
  <c r="AR86" i="23" s="1"/>
  <c r="EB19" i="18"/>
  <c r="EB12" i="18"/>
  <c r="DZ19" i="18"/>
  <c r="DZ12" i="18"/>
  <c r="AS19" i="23"/>
  <c r="AE76" i="23"/>
  <c r="AF76" i="23" s="1"/>
  <c r="AR76" i="23" s="1"/>
  <c r="AF75" i="23"/>
  <c r="AR75" i="23" s="1"/>
  <c r="AF66" i="23"/>
  <c r="AR66" i="23" s="1"/>
  <c r="AE58" i="23"/>
  <c r="AE57" i="23"/>
  <c r="AF57" i="23" s="1"/>
  <c r="AR57" i="23" s="1"/>
  <c r="AE53" i="23"/>
  <c r="AF53" i="23" s="1"/>
  <c r="AR53" i="23" s="1"/>
  <c r="AE52" i="23"/>
  <c r="AF52" i="23" s="1"/>
  <c r="AR52" i="23" s="1"/>
  <c r="AT52" i="23" s="1"/>
  <c r="AE46" i="23"/>
  <c r="AE31" i="23"/>
  <c r="AF31" i="23" s="1"/>
  <c r="AR31" i="23" s="1"/>
  <c r="AE24" i="23"/>
  <c r="AF24" i="23" s="1"/>
  <c r="AR24" i="23" s="1"/>
  <c r="AE10" i="23"/>
  <c r="AF10" i="23" s="1"/>
  <c r="AR10" i="23" s="1"/>
  <c r="AF184" i="23"/>
  <c r="AR184" i="23" s="1"/>
  <c r="AQ188" i="23"/>
  <c r="AT188" i="23" s="1"/>
  <c r="BB188" i="23" s="1"/>
  <c r="AS188" i="23"/>
  <c r="AE208" i="23"/>
  <c r="AF208" i="23" s="1"/>
  <c r="AR208" i="23" s="1"/>
  <c r="AN163" i="23"/>
  <c r="AB163" i="23"/>
  <c r="S182" i="23"/>
  <c r="S151" i="23"/>
  <c r="EE25" i="18"/>
  <c r="EC25" i="18"/>
  <c r="EA25" i="18"/>
  <c r="R45" i="23"/>
  <c r="EE75" i="18"/>
  <c r="EE74" i="18" s="1"/>
  <c r="EB75" i="18"/>
  <c r="EB74" i="18" s="1"/>
  <c r="ED59" i="18"/>
  <c r="EC59" i="18"/>
  <c r="AF234" i="23"/>
  <c r="AR234" i="23" s="1"/>
  <c r="AE233" i="23"/>
  <c r="AF233" i="23" s="1"/>
  <c r="AR233" i="23" s="1"/>
  <c r="AE230" i="23"/>
  <c r="AF230" i="23" s="1"/>
  <c r="AR230" i="23" s="1"/>
  <c r="AF219" i="23"/>
  <c r="AR219" i="23" s="1"/>
  <c r="AT219" i="23" s="1"/>
  <c r="AE216" i="23"/>
  <c r="AF216" i="23" s="1"/>
  <c r="AR216" i="23" s="1"/>
  <c r="AE210" i="23"/>
  <c r="AE205" i="23"/>
  <c r="AE202" i="23"/>
  <c r="AF202" i="23" s="1"/>
  <c r="AR202" i="23" s="1"/>
  <c r="AE201" i="23"/>
  <c r="AF201" i="23" s="1"/>
  <c r="AR201" i="23" s="1"/>
  <c r="AE199" i="23"/>
  <c r="DY63" i="18"/>
  <c r="AF191" i="23"/>
  <c r="ER48" i="18"/>
  <c r="EE51" i="18"/>
  <c r="EA47" i="18"/>
  <c r="AE195" i="23"/>
  <c r="AF195" i="23" s="1"/>
  <c r="AR195" i="23" s="1"/>
  <c r="AT195" i="23" s="1"/>
  <c r="BB195" i="23" s="1"/>
  <c r="AF173" i="23"/>
  <c r="AR173" i="23" s="1"/>
  <c r="AF169" i="23"/>
  <c r="AR169" i="23" s="1"/>
  <c r="AT169" i="23" s="1"/>
  <c r="BB169" i="23" s="1"/>
  <c r="AE160" i="23"/>
  <c r="EO49" i="18"/>
  <c r="EM52" i="18"/>
  <c r="AE141" i="23"/>
  <c r="AF141" i="23" s="1"/>
  <c r="AE115" i="23"/>
  <c r="AF115" i="23" s="1"/>
  <c r="AR115" i="23" s="1"/>
  <c r="AE91" i="23"/>
  <c r="AF91" i="23" s="1"/>
  <c r="AE70" i="23"/>
  <c r="AF70" i="23" s="1"/>
  <c r="AR70" i="23" s="1"/>
  <c r="AY70" i="23" s="1"/>
  <c r="AE49" i="23"/>
  <c r="AF49" i="23" s="1"/>
  <c r="AR49" i="23" s="1"/>
  <c r="AE48" i="23"/>
  <c r="AF48" i="23" s="1"/>
  <c r="AR48" i="23" s="1"/>
  <c r="AE35" i="23"/>
  <c r="AF35" i="23" s="1"/>
  <c r="AR35" i="23" s="1"/>
  <c r="AT35" i="23" s="1"/>
  <c r="AE17" i="23"/>
  <c r="AQ250" i="23"/>
  <c r="AS255" i="22"/>
  <c r="AN258" i="22"/>
  <c r="AS165" i="22"/>
  <c r="AS168" i="22" s="1"/>
  <c r="AN168" i="22"/>
  <c r="AQ167" i="22"/>
  <c r="M168" i="22"/>
  <c r="AQ158" i="22"/>
  <c r="M159" i="22"/>
  <c r="M151" i="22" s="1"/>
  <c r="AS144" i="22"/>
  <c r="AN149" i="22"/>
  <c r="AN140" i="22" s="1"/>
  <c r="AS121" i="22"/>
  <c r="AS122" i="22" s="1"/>
  <c r="AN122" i="22"/>
  <c r="AN118" i="22" s="1"/>
  <c r="AS107" i="22"/>
  <c r="AN110" i="22"/>
  <c r="AN106" i="22" s="1"/>
  <c r="AS95" i="22"/>
  <c r="AN99" i="22"/>
  <c r="AN93" i="22" s="1"/>
  <c r="AQ38" i="22"/>
  <c r="M39" i="22"/>
  <c r="AQ255" i="22"/>
  <c r="AQ258" i="22" s="1"/>
  <c r="DH78" i="18" s="1"/>
  <c r="M258" i="22"/>
  <c r="AQ187" i="22"/>
  <c r="M190" i="22"/>
  <c r="AS174" i="22"/>
  <c r="AT174" i="22" s="1"/>
  <c r="BB174" i="22" s="1"/>
  <c r="AN178" i="22"/>
  <c r="AS160" i="22"/>
  <c r="AS162" i="22" s="1"/>
  <c r="DJ50" i="18" s="1"/>
  <c r="AN162" i="22"/>
  <c r="AQ176" i="22"/>
  <c r="M178" i="22"/>
  <c r="AS135" i="22"/>
  <c r="AN139" i="22"/>
  <c r="AN134" i="22" s="1"/>
  <c r="AS124" i="22"/>
  <c r="AS133" i="22" s="1"/>
  <c r="AN133" i="22"/>
  <c r="AN123" i="22" s="1"/>
  <c r="AS114" i="22"/>
  <c r="AT114" i="22" s="1"/>
  <c r="BB114" i="22" s="1"/>
  <c r="AN117" i="22"/>
  <c r="AN111" i="22" s="1"/>
  <c r="AS104" i="22"/>
  <c r="AS105" i="22" s="1"/>
  <c r="AN105" i="22"/>
  <c r="AN100" i="22" s="1"/>
  <c r="AS90" i="22"/>
  <c r="AS92" i="22" s="1"/>
  <c r="DJ29" i="18" s="1"/>
  <c r="AN92" i="22"/>
  <c r="AF84" i="22"/>
  <c r="AR84" i="22" s="1"/>
  <c r="AQ108" i="22"/>
  <c r="AQ110" i="22" s="1"/>
  <c r="M110" i="22"/>
  <c r="M106" i="22" s="1"/>
  <c r="AS17" i="22"/>
  <c r="AS19" i="22" s="1"/>
  <c r="AN19" i="22"/>
  <c r="AN16" i="22" s="1"/>
  <c r="AQ58" i="22"/>
  <c r="M60" i="22"/>
  <c r="AQ253" i="22"/>
  <c r="AQ254" i="22" s="1"/>
  <c r="DH77" i="18" s="1"/>
  <c r="M254" i="22"/>
  <c r="AE208" i="22"/>
  <c r="AF208" i="22" s="1"/>
  <c r="AR208" i="22" s="1"/>
  <c r="AB198" i="22"/>
  <c r="AB197" i="22" s="1"/>
  <c r="U182" i="22"/>
  <c r="R6" i="22"/>
  <c r="DP75" i="18"/>
  <c r="DP74" i="18" s="1"/>
  <c r="DM75" i="18"/>
  <c r="DM74" i="18" s="1"/>
  <c r="DM60" i="18"/>
  <c r="AE240" i="22"/>
  <c r="AF240" i="22" s="1"/>
  <c r="AR240" i="22" s="1"/>
  <c r="AT240" i="22" s="1"/>
  <c r="AF219" i="22"/>
  <c r="AR219" i="22" s="1"/>
  <c r="AE202" i="22"/>
  <c r="AF202" i="22" s="1"/>
  <c r="AR202" i="22" s="1"/>
  <c r="AE199" i="22"/>
  <c r="AF199" i="22" s="1"/>
  <c r="AR199" i="22" s="1"/>
  <c r="EM63" i="18"/>
  <c r="AF191" i="22"/>
  <c r="AR191" i="22" s="1"/>
  <c r="EQ58" i="18"/>
  <c r="DR47" i="18"/>
  <c r="DN51" i="18"/>
  <c r="AF177" i="22"/>
  <c r="AR177" i="22" s="1"/>
  <c r="AE172" i="22"/>
  <c r="AF172" i="22" s="1"/>
  <c r="AR172" i="22" s="1"/>
  <c r="AT172" i="22" s="1"/>
  <c r="BB172" i="22" s="1"/>
  <c r="AF161" i="22"/>
  <c r="AR161" i="22" s="1"/>
  <c r="AE154" i="22"/>
  <c r="AF154" i="22" s="1"/>
  <c r="AR154" i="22" s="1"/>
  <c r="AT154" i="22" s="1"/>
  <c r="BB154" i="22" s="1"/>
  <c r="AE142" i="22"/>
  <c r="AF142" i="22" s="1"/>
  <c r="AR142" i="22" s="1"/>
  <c r="AE130" i="22"/>
  <c r="AF130" i="22" s="1"/>
  <c r="AR130" i="22" s="1"/>
  <c r="AT130" i="22" s="1"/>
  <c r="BB130" i="22" s="1"/>
  <c r="AE121" i="22"/>
  <c r="AF121" i="22" s="1"/>
  <c r="AR121" i="22" s="1"/>
  <c r="AT121" i="22" s="1"/>
  <c r="BB121" i="22" s="1"/>
  <c r="AE112" i="22"/>
  <c r="AF112" i="22" s="1"/>
  <c r="AR112" i="22" s="1"/>
  <c r="AT112" i="22" s="1"/>
  <c r="BB112" i="22" s="1"/>
  <c r="AE102" i="22"/>
  <c r="AF102" i="22" s="1"/>
  <c r="AR102" i="22" s="1"/>
  <c r="AE87" i="22"/>
  <c r="AF87" i="22" s="1"/>
  <c r="AR87" i="22" s="1"/>
  <c r="AT87" i="22" s="1"/>
  <c r="BB87" i="22" s="1"/>
  <c r="DQ12" i="18"/>
  <c r="AE76" i="22"/>
  <c r="AF76" i="22" s="1"/>
  <c r="AR76" i="22" s="1"/>
  <c r="AT76" i="22" s="1"/>
  <c r="BB76" i="22" s="1"/>
  <c r="AF66" i="22"/>
  <c r="AR66" i="22" s="1"/>
  <c r="AE53" i="22"/>
  <c r="AF53" i="22" s="1"/>
  <c r="AR53" i="22" s="1"/>
  <c r="AF43" i="22"/>
  <c r="AR43" i="22" s="1"/>
  <c r="AE42" i="22"/>
  <c r="AF42" i="22" s="1"/>
  <c r="AR42" i="22" s="1"/>
  <c r="AT42" i="22" s="1"/>
  <c r="BB42" i="22" s="1"/>
  <c r="AE36" i="22"/>
  <c r="AF36" i="22" s="1"/>
  <c r="AR36" i="22" s="1"/>
  <c r="AF28" i="22"/>
  <c r="AR28" i="22" s="1"/>
  <c r="AE24" i="22"/>
  <c r="AF24" i="22" s="1"/>
  <c r="AR24" i="22" s="1"/>
  <c r="AE10" i="22"/>
  <c r="AF10" i="22" s="1"/>
  <c r="AR10" i="22" s="1"/>
  <c r="AQ250" i="22"/>
  <c r="AM245" i="22"/>
  <c r="R245" i="22"/>
  <c r="R244" i="22" s="1"/>
  <c r="AM150" i="22"/>
  <c r="U151" i="22"/>
  <c r="DR75" i="18"/>
  <c r="DR74" i="18" s="1"/>
  <c r="AR258" i="22"/>
  <c r="DI78" i="18" s="1"/>
  <c r="DQ60" i="18"/>
  <c r="AF234" i="22"/>
  <c r="AR234" i="22" s="1"/>
  <c r="AE233" i="22"/>
  <c r="AF233" i="22" s="1"/>
  <c r="AR233" i="22" s="1"/>
  <c r="AE230" i="22"/>
  <c r="AF230" i="22" s="1"/>
  <c r="AR230" i="22" s="1"/>
  <c r="AE210" i="22"/>
  <c r="AF210" i="22" s="1"/>
  <c r="AR210" i="22" s="1"/>
  <c r="AE187" i="22"/>
  <c r="AF187" i="22" s="1"/>
  <c r="AR187" i="22" s="1"/>
  <c r="AE186" i="22"/>
  <c r="AF186" i="22" s="1"/>
  <c r="AR186" i="22" s="1"/>
  <c r="AT186" i="22" s="1"/>
  <c r="BB186" i="22" s="1"/>
  <c r="DR51" i="18"/>
  <c r="DN47" i="18"/>
  <c r="AE195" i="22"/>
  <c r="AF195" i="22" s="1"/>
  <c r="AR195" i="22" s="1"/>
  <c r="AF173" i="22"/>
  <c r="AR173" i="22" s="1"/>
  <c r="AT173" i="22" s="1"/>
  <c r="BB173" i="22" s="1"/>
  <c r="AF169" i="22"/>
  <c r="AR169" i="22" s="1"/>
  <c r="AE160" i="22"/>
  <c r="AE146" i="22"/>
  <c r="AF146" i="22" s="1"/>
  <c r="AR146" i="22" s="1"/>
  <c r="AF135" i="22"/>
  <c r="AR135" i="22" s="1"/>
  <c r="AT135" i="22" s="1"/>
  <c r="BB135" i="22" s="1"/>
  <c r="AE126" i="22"/>
  <c r="AF126" i="22" s="1"/>
  <c r="AR126" i="22" s="1"/>
  <c r="AE116" i="22"/>
  <c r="AF116" i="22" s="1"/>
  <c r="AR116" i="22" s="1"/>
  <c r="AT116" i="22" s="1"/>
  <c r="BB116" i="22" s="1"/>
  <c r="AE107" i="22"/>
  <c r="AF107" i="22" s="1"/>
  <c r="AR107" i="22" s="1"/>
  <c r="AE95" i="22"/>
  <c r="AF95" i="22" s="1"/>
  <c r="AR95" i="22" s="1"/>
  <c r="DQ19" i="18"/>
  <c r="DN7" i="18"/>
  <c r="AE70" i="22"/>
  <c r="AF70" i="22" s="1"/>
  <c r="AR70" i="22" s="1"/>
  <c r="AY70" i="22" s="1"/>
  <c r="AE58" i="22"/>
  <c r="AF58" i="22" s="1"/>
  <c r="AR58" i="22" s="1"/>
  <c r="AT58" i="22" s="1"/>
  <c r="BB58" i="22" s="1"/>
  <c r="AE49" i="22"/>
  <c r="AF49" i="22" s="1"/>
  <c r="AR49" i="22" s="1"/>
  <c r="AF41" i="22"/>
  <c r="AE32" i="22"/>
  <c r="AF32" i="22" s="1"/>
  <c r="AR32" i="22" s="1"/>
  <c r="AE31" i="22"/>
  <c r="AE17" i="22"/>
  <c r="AF184" i="22"/>
  <c r="AR184" i="22" s="1"/>
  <c r="CU84" i="18"/>
  <c r="CU82" i="18" s="1"/>
  <c r="CU62" i="18"/>
  <c r="CU80" i="18"/>
  <c r="EN83" i="18"/>
  <c r="DE75" i="18"/>
  <c r="DE74" i="18" s="1"/>
  <c r="EQ73" i="18"/>
  <c r="EQ72" i="18" s="1"/>
  <c r="EQ65" i="18"/>
  <c r="EQ64" i="18" s="1"/>
  <c r="EO73" i="18"/>
  <c r="EO72" i="18" s="1"/>
  <c r="EO69" i="18"/>
  <c r="EO68" i="18" s="1"/>
  <c r="EO65" i="18"/>
  <c r="EO64" i="18" s="1"/>
  <c r="EM71" i="18"/>
  <c r="EM67" i="18"/>
  <c r="DD60" i="18"/>
  <c r="DB60" i="18"/>
  <c r="DB59" i="18" s="1"/>
  <c r="DC47" i="18"/>
  <c r="CY51" i="18"/>
  <c r="CY8" i="18"/>
  <c r="DC51" i="18"/>
  <c r="CY47" i="18"/>
  <c r="DB19" i="18"/>
  <c r="DB12" i="18"/>
  <c r="CZ19" i="18"/>
  <c r="CW9" i="18"/>
  <c r="AS275" i="17"/>
  <c r="AN276" i="17"/>
  <c r="AS252" i="17"/>
  <c r="AN254" i="17"/>
  <c r="AS242" i="17"/>
  <c r="AN243" i="17"/>
  <c r="AN238" i="17" s="1"/>
  <c r="AF215" i="17"/>
  <c r="AF204" i="17"/>
  <c r="AQ235" i="17"/>
  <c r="M237" i="17"/>
  <c r="M232" i="17" s="1"/>
  <c r="AQ223" i="17"/>
  <c r="M225" i="17"/>
  <c r="M221" i="17" s="1"/>
  <c r="AS187" i="17"/>
  <c r="AN190" i="17"/>
  <c r="AQ185" i="17"/>
  <c r="M190" i="17"/>
  <c r="AS179" i="17"/>
  <c r="AS181" i="17" s="1"/>
  <c r="CJ54" i="18" s="1"/>
  <c r="AN181" i="17"/>
  <c r="AQ160" i="17"/>
  <c r="M162" i="17"/>
  <c r="AS136" i="17"/>
  <c r="AN139" i="17"/>
  <c r="AN134" i="17" s="1"/>
  <c r="AS108" i="17"/>
  <c r="AN110" i="17"/>
  <c r="AN106" i="17" s="1"/>
  <c r="AQ58" i="17"/>
  <c r="M60" i="17"/>
  <c r="AQ252" i="17"/>
  <c r="M254" i="17"/>
  <c r="AQ267" i="17"/>
  <c r="M268" i="17"/>
  <c r="M259" i="17" s="1"/>
  <c r="T78" i="17"/>
  <c r="CP59" i="18"/>
  <c r="AS287" i="17"/>
  <c r="AN289" i="17"/>
  <c r="AN284" i="17" s="1"/>
  <c r="AS278" i="17"/>
  <c r="AN283" i="17"/>
  <c r="AN277" i="17" s="1"/>
  <c r="AS266" i="17"/>
  <c r="AN268" i="17"/>
  <c r="AS247" i="17"/>
  <c r="AN250" i="17"/>
  <c r="AS201" i="17"/>
  <c r="AN203" i="17"/>
  <c r="AF229" i="17"/>
  <c r="AQ240" i="17"/>
  <c r="M243" i="17"/>
  <c r="M238" i="17" s="1"/>
  <c r="AQ228" i="17"/>
  <c r="M231" i="17"/>
  <c r="M226" i="17" s="1"/>
  <c r="AQ205" i="17"/>
  <c r="AQ209" i="17" s="1"/>
  <c r="CH62" i="18" s="1"/>
  <c r="AS195" i="17"/>
  <c r="AN196" i="17"/>
  <c r="AQ165" i="17"/>
  <c r="M168" i="17"/>
  <c r="AS141" i="17"/>
  <c r="AN149" i="17"/>
  <c r="AN140" i="17" s="1"/>
  <c r="AQ38" i="17"/>
  <c r="M39" i="17"/>
  <c r="AQ248" i="17"/>
  <c r="M250" i="17"/>
  <c r="AQ274" i="17"/>
  <c r="AQ276" i="17" s="1"/>
  <c r="CH84" i="18" s="1"/>
  <c r="M276" i="17"/>
  <c r="M269" i="17" s="1"/>
  <c r="AQ288" i="17"/>
  <c r="M289" i="17"/>
  <c r="M284" i="17" s="1"/>
  <c r="R78" i="17"/>
  <c r="AT66" i="17"/>
  <c r="R245" i="17"/>
  <c r="R244" i="17" s="1"/>
  <c r="U182" i="17"/>
  <c r="U151" i="17"/>
  <c r="AM79" i="17"/>
  <c r="EP81" i="18"/>
  <c r="EN86" i="18"/>
  <c r="EN85" i="18" s="1"/>
  <c r="CR75" i="18"/>
  <c r="CR74" i="18" s="1"/>
  <c r="CP75" i="18"/>
  <c r="CP74" i="18" s="1"/>
  <c r="AF234" i="17"/>
  <c r="AR234" i="17" s="1"/>
  <c r="AE230" i="17"/>
  <c r="AF230" i="17" s="1"/>
  <c r="AR230" i="17" s="1"/>
  <c r="AF219" i="17"/>
  <c r="AR219" i="17" s="1"/>
  <c r="AE216" i="17"/>
  <c r="AF216" i="17" s="1"/>
  <c r="AR216" i="17" s="1"/>
  <c r="CR47" i="18"/>
  <c r="CN51" i="18"/>
  <c r="AE180" i="17"/>
  <c r="AE174" i="17"/>
  <c r="AF174" i="17" s="1"/>
  <c r="AR174" i="17" s="1"/>
  <c r="AE160" i="17"/>
  <c r="AE148" i="17"/>
  <c r="AF148" i="17" s="1"/>
  <c r="AR148" i="17" s="1"/>
  <c r="AE143" i="17"/>
  <c r="AF143" i="17" s="1"/>
  <c r="AR143" i="17" s="1"/>
  <c r="AE136" i="17"/>
  <c r="AF136" i="17" s="1"/>
  <c r="AR136" i="17" s="1"/>
  <c r="AE125" i="17"/>
  <c r="AF125" i="17" s="1"/>
  <c r="AR125" i="17" s="1"/>
  <c r="AE120" i="17"/>
  <c r="AF120" i="17" s="1"/>
  <c r="AR120" i="17" s="1"/>
  <c r="AE115" i="17"/>
  <c r="AF115" i="17" s="1"/>
  <c r="AR115" i="17" s="1"/>
  <c r="CL8" i="18"/>
  <c r="AT69" i="17"/>
  <c r="BB69" i="17" s="1"/>
  <c r="AE74" i="17"/>
  <c r="AF74" i="17" s="1"/>
  <c r="AR74" i="17" s="1"/>
  <c r="AT74" i="17" s="1"/>
  <c r="BB74" i="17" s="1"/>
  <c r="AF64" i="17"/>
  <c r="AR64" i="17" s="1"/>
  <c r="AE55" i="17"/>
  <c r="AF55" i="17" s="1"/>
  <c r="AR55" i="17" s="1"/>
  <c r="AE36" i="17"/>
  <c r="AF36" i="17" s="1"/>
  <c r="AR36" i="17" s="1"/>
  <c r="AT36" i="17" s="1"/>
  <c r="AF28" i="17"/>
  <c r="AR28" i="17" s="1"/>
  <c r="AF21" i="17"/>
  <c r="AE13" i="17"/>
  <c r="AF13" i="17" s="1"/>
  <c r="AR13" i="17" s="1"/>
  <c r="AQ250" i="17"/>
  <c r="AQ273" i="17"/>
  <c r="AQ289" i="17"/>
  <c r="AQ188" i="17"/>
  <c r="AT188" i="17" s="1"/>
  <c r="BB188" i="17" s="1"/>
  <c r="AS188" i="17"/>
  <c r="Y245" i="17"/>
  <c r="Y244" i="17" s="1"/>
  <c r="R198" i="17"/>
  <c r="U163" i="17"/>
  <c r="CP25" i="18"/>
  <c r="CN25" i="18"/>
  <c r="AB6" i="17"/>
  <c r="Y6" i="17"/>
  <c r="U6" i="17"/>
  <c r="T6" i="17"/>
  <c r="S6" i="17"/>
  <c r="R6" i="17"/>
  <c r="M6" i="17"/>
  <c r="L5" i="17"/>
  <c r="CR60" i="18"/>
  <c r="CQ60" i="18"/>
  <c r="CM60" i="18"/>
  <c r="AE240" i="17"/>
  <c r="AF240" i="17" s="1"/>
  <c r="AR240" i="17" s="1"/>
  <c r="AE210" i="17"/>
  <c r="AF210" i="17" s="1"/>
  <c r="AR210" i="17" s="1"/>
  <c r="AE202" i="17"/>
  <c r="AF202" i="17" s="1"/>
  <c r="AR202" i="17" s="1"/>
  <c r="AE189" i="17"/>
  <c r="AF189" i="17" s="1"/>
  <c r="AR189" i="17" s="1"/>
  <c r="AE185" i="17"/>
  <c r="AF185" i="17" s="1"/>
  <c r="AR185" i="17" s="1"/>
  <c r="CR51" i="18"/>
  <c r="CN47" i="18"/>
  <c r="AE195" i="17"/>
  <c r="AF195" i="17" s="1"/>
  <c r="AR195" i="17" s="1"/>
  <c r="AF161" i="17"/>
  <c r="AR161" i="17" s="1"/>
  <c r="AE154" i="17"/>
  <c r="AF154" i="17" s="1"/>
  <c r="AR154" i="17" s="1"/>
  <c r="AS148" i="17"/>
  <c r="AS146" i="17"/>
  <c r="AS144" i="17"/>
  <c r="AS142" i="17"/>
  <c r="AS137" i="17"/>
  <c r="AS135" i="17"/>
  <c r="AS109" i="17"/>
  <c r="AS107" i="17"/>
  <c r="AE147" i="17"/>
  <c r="AF147" i="17" s="1"/>
  <c r="AR147" i="17" s="1"/>
  <c r="AE129" i="17"/>
  <c r="AF129" i="17" s="1"/>
  <c r="AR129" i="17" s="1"/>
  <c r="AE108" i="17"/>
  <c r="AF108" i="17" s="1"/>
  <c r="AR108" i="17" s="1"/>
  <c r="AE98" i="17"/>
  <c r="AF98" i="17" s="1"/>
  <c r="AR98" i="17" s="1"/>
  <c r="AE96" i="17"/>
  <c r="AF96" i="17" s="1"/>
  <c r="AR96" i="17" s="1"/>
  <c r="AE89" i="17"/>
  <c r="AF89" i="17" s="1"/>
  <c r="AR89" i="17" s="1"/>
  <c r="CR7" i="18"/>
  <c r="CO19" i="18"/>
  <c r="CO12" i="18"/>
  <c r="CM19" i="18"/>
  <c r="CM12" i="18"/>
  <c r="AT76" i="17"/>
  <c r="BB76" i="17" s="1"/>
  <c r="AE67" i="17"/>
  <c r="AF67" i="17" s="1"/>
  <c r="AR67" i="17" s="1"/>
  <c r="AE63" i="17"/>
  <c r="AF63" i="17" s="1"/>
  <c r="AR63" i="17" s="1"/>
  <c r="AE47" i="17"/>
  <c r="AF47" i="17" s="1"/>
  <c r="AR47" i="17" s="1"/>
  <c r="AE32" i="17"/>
  <c r="AF32" i="17" s="1"/>
  <c r="AR32" i="17" s="1"/>
  <c r="AF26" i="17"/>
  <c r="AE14" i="17"/>
  <c r="AF14" i="17" s="1"/>
  <c r="AR14" i="17" s="1"/>
  <c r="AE8" i="17"/>
  <c r="AF8" i="17" s="1"/>
  <c r="AR8" i="17" s="1"/>
  <c r="AQ254" i="17"/>
  <c r="CH77" i="18" s="1"/>
  <c r="AQ268" i="17"/>
  <c r="AF184" i="17"/>
  <c r="AR184" i="17" s="1"/>
  <c r="AQ228" i="16"/>
  <c r="M231" i="16"/>
  <c r="M226" i="16" s="1"/>
  <c r="AQ218" i="16"/>
  <c r="M220" i="16"/>
  <c r="M213" i="16" s="1"/>
  <c r="AF192" i="16"/>
  <c r="AE193" i="16"/>
  <c r="AS186" i="16"/>
  <c r="AN190" i="16"/>
  <c r="AN182" i="16" s="1"/>
  <c r="AS174" i="16"/>
  <c r="AN178" i="16"/>
  <c r="AS160" i="16"/>
  <c r="AN162" i="16"/>
  <c r="AN151" i="16" s="1"/>
  <c r="AQ167" i="16"/>
  <c r="M168" i="16"/>
  <c r="M163" i="16" s="1"/>
  <c r="AQ158" i="16"/>
  <c r="M159" i="16"/>
  <c r="M151" i="16" s="1"/>
  <c r="AS143" i="16"/>
  <c r="AN149" i="16"/>
  <c r="AN140" i="16" s="1"/>
  <c r="AS131" i="16"/>
  <c r="AN133" i="16"/>
  <c r="AN123" i="16" s="1"/>
  <c r="AQ136" i="16"/>
  <c r="M139" i="16"/>
  <c r="M134" i="16" s="1"/>
  <c r="AQ108" i="16"/>
  <c r="M110" i="16"/>
  <c r="M106" i="16" s="1"/>
  <c r="AS252" i="16"/>
  <c r="AS254" i="16" s="1"/>
  <c r="BW77" i="18" s="1"/>
  <c r="AN254" i="16"/>
  <c r="AS206" i="16"/>
  <c r="AS209" i="16" s="1"/>
  <c r="BW62" i="18" s="1"/>
  <c r="AN198" i="16"/>
  <c r="AN197" i="16" s="1"/>
  <c r="AQ223" i="16"/>
  <c r="M225" i="16"/>
  <c r="M221" i="16" s="1"/>
  <c r="AQ204" i="16"/>
  <c r="AQ209" i="16" s="1"/>
  <c r="AS165" i="16"/>
  <c r="AN168" i="16"/>
  <c r="AS136" i="16"/>
  <c r="AN139" i="16"/>
  <c r="AN134" i="16" s="1"/>
  <c r="AS84" i="16"/>
  <c r="AN85" i="16"/>
  <c r="AQ141" i="16"/>
  <c r="M149" i="16"/>
  <c r="M140" i="16" s="1"/>
  <c r="AQ103" i="16"/>
  <c r="M105" i="16"/>
  <c r="M100" i="16" s="1"/>
  <c r="AQ89" i="16"/>
  <c r="M92" i="16"/>
  <c r="AS13" i="16"/>
  <c r="AN15" i="16"/>
  <c r="AS247" i="16"/>
  <c r="AN250" i="16"/>
  <c r="AS260" i="16"/>
  <c r="AS263" i="16" s="1"/>
  <c r="AN263" i="16"/>
  <c r="AN259" i="16" s="1"/>
  <c r="R245" i="16"/>
  <c r="R244" i="16" s="1"/>
  <c r="S197" i="16"/>
  <c r="L197" i="16"/>
  <c r="S163" i="16"/>
  <c r="L163" i="16"/>
  <c r="R78" i="16"/>
  <c r="CE60" i="18"/>
  <c r="CE59" i="18" s="1"/>
  <c r="CC60" i="18"/>
  <c r="AE242" i="16"/>
  <c r="AF242" i="16" s="1"/>
  <c r="AR242" i="16" s="1"/>
  <c r="AE241" i="16"/>
  <c r="AF241" i="16" s="1"/>
  <c r="AR241" i="16" s="1"/>
  <c r="AE202" i="16"/>
  <c r="AF202" i="16" s="1"/>
  <c r="AR202" i="16" s="1"/>
  <c r="AE199" i="16"/>
  <c r="AF199" i="16" s="1"/>
  <c r="AR199" i="16" s="1"/>
  <c r="AE189" i="16"/>
  <c r="AF189" i="16" s="1"/>
  <c r="AR189" i="16" s="1"/>
  <c r="CE51" i="18"/>
  <c r="CA47" i="18"/>
  <c r="AF176" i="16"/>
  <c r="AR176" i="16" s="1"/>
  <c r="AE164" i="16"/>
  <c r="AF164" i="16" s="1"/>
  <c r="AR164" i="16" s="1"/>
  <c r="AE152" i="16"/>
  <c r="AF152" i="16" s="1"/>
  <c r="AR152" i="16" s="1"/>
  <c r="AE146" i="16"/>
  <c r="AF146" i="16" s="1"/>
  <c r="AR146" i="16" s="1"/>
  <c r="AF135" i="16"/>
  <c r="AR135" i="16" s="1"/>
  <c r="AE127" i="16"/>
  <c r="AF127" i="16" s="1"/>
  <c r="AR127" i="16" s="1"/>
  <c r="AE103" i="16"/>
  <c r="AF103" i="16" s="1"/>
  <c r="AR103" i="16" s="1"/>
  <c r="AE94" i="16"/>
  <c r="AF94" i="16" s="1"/>
  <c r="AR94" i="16" s="1"/>
  <c r="AQ148" i="16"/>
  <c r="AQ146" i="16"/>
  <c r="AQ144" i="16"/>
  <c r="AT144" i="16" s="1"/>
  <c r="BB144" i="16" s="1"/>
  <c r="AQ142" i="16"/>
  <c r="AQ137" i="16"/>
  <c r="AT137" i="16" s="1"/>
  <c r="BB137" i="16" s="1"/>
  <c r="AQ135" i="16"/>
  <c r="AQ90" i="16"/>
  <c r="CE19" i="18"/>
  <c r="CE12" i="18"/>
  <c r="CD7" i="18"/>
  <c r="AS14" i="16"/>
  <c r="AS12" i="16"/>
  <c r="AE71" i="16"/>
  <c r="AF71" i="16" s="1"/>
  <c r="AR71" i="16" s="1"/>
  <c r="AT71" i="16" s="1"/>
  <c r="BB71" i="16" s="1"/>
  <c r="AE68" i="16"/>
  <c r="AF68" i="16" s="1"/>
  <c r="AR68" i="16" s="1"/>
  <c r="AE52" i="16"/>
  <c r="AF52" i="16" s="1"/>
  <c r="AR52" i="16" s="1"/>
  <c r="AT31" i="16"/>
  <c r="AE9" i="16"/>
  <c r="AF9" i="16" s="1"/>
  <c r="AR9" i="16" s="1"/>
  <c r="AS250" i="16"/>
  <c r="AQ273" i="16"/>
  <c r="AQ188" i="16"/>
  <c r="AS188" i="16"/>
  <c r="Y245" i="16"/>
  <c r="Y244" i="16" s="1"/>
  <c r="T198" i="16"/>
  <c r="M198" i="16"/>
  <c r="Y163" i="16"/>
  <c r="S182" i="16"/>
  <c r="S151" i="16"/>
  <c r="L182" i="16"/>
  <c r="L151" i="16"/>
  <c r="AB79" i="16"/>
  <c r="U79" i="16"/>
  <c r="S79" i="16"/>
  <c r="R6" i="16"/>
  <c r="EM77" i="18"/>
  <c r="AE239" i="16"/>
  <c r="AE234" i="16"/>
  <c r="AF234" i="16" s="1"/>
  <c r="AR234" i="16" s="1"/>
  <c r="AE233" i="16"/>
  <c r="AE230" i="16"/>
  <c r="AF230" i="16" s="1"/>
  <c r="AR230" i="16" s="1"/>
  <c r="AF219" i="16"/>
  <c r="AR219" i="16" s="1"/>
  <c r="AE216" i="16"/>
  <c r="AF216" i="16" s="1"/>
  <c r="AR216" i="16" s="1"/>
  <c r="AE210" i="16"/>
  <c r="AE183" i="16"/>
  <c r="AF183" i="16" s="1"/>
  <c r="AR183" i="16" s="1"/>
  <c r="CE47" i="18"/>
  <c r="CA51" i="18"/>
  <c r="AE179" i="16"/>
  <c r="AF179" i="16" s="1"/>
  <c r="AR179" i="16" s="1"/>
  <c r="AF173" i="16"/>
  <c r="AR173" i="16" s="1"/>
  <c r="AE172" i="16"/>
  <c r="AF172" i="16" s="1"/>
  <c r="AR172" i="16" s="1"/>
  <c r="AE157" i="16"/>
  <c r="AF157" i="16" s="1"/>
  <c r="AR157" i="16" s="1"/>
  <c r="AE142" i="16"/>
  <c r="AF142" i="16" s="1"/>
  <c r="AR142" i="16" s="1"/>
  <c r="AT142" i="16" s="1"/>
  <c r="BB142" i="16" s="1"/>
  <c r="AE130" i="16"/>
  <c r="AF130" i="16" s="1"/>
  <c r="AR130" i="16" s="1"/>
  <c r="AE113" i="16"/>
  <c r="AF113" i="16" s="1"/>
  <c r="AR113" i="16" s="1"/>
  <c r="AE98" i="16"/>
  <c r="AF98" i="16" s="1"/>
  <c r="AR98" i="16" s="1"/>
  <c r="AF89" i="16"/>
  <c r="AR89" i="16" s="1"/>
  <c r="CC12" i="18"/>
  <c r="CA19" i="18"/>
  <c r="CA12" i="18"/>
  <c r="AE75" i="16"/>
  <c r="AF75" i="16" s="1"/>
  <c r="AR75" i="16" s="1"/>
  <c r="AT75" i="16" s="1"/>
  <c r="AE72" i="16"/>
  <c r="AF72" i="16" s="1"/>
  <c r="AR72" i="16" s="1"/>
  <c r="AF65" i="16"/>
  <c r="AR65" i="16" s="1"/>
  <c r="AE62" i="16"/>
  <c r="AF62" i="16" s="1"/>
  <c r="AR62" i="16" s="1"/>
  <c r="AY62" i="16" s="1"/>
  <c r="AE46" i="16"/>
  <c r="AF46" i="16" s="1"/>
  <c r="AR46" i="16" s="1"/>
  <c r="AF38" i="16"/>
  <c r="AE35" i="16"/>
  <c r="AF35" i="16" s="1"/>
  <c r="AR35" i="16" s="1"/>
  <c r="AT35" i="16" s="1"/>
  <c r="AF184" i="16"/>
  <c r="AR184" i="16" s="1"/>
  <c r="AQ241" i="15"/>
  <c r="M243" i="15"/>
  <c r="M238" i="15" s="1"/>
  <c r="AQ224" i="15"/>
  <c r="M225" i="15"/>
  <c r="M221" i="15" s="1"/>
  <c r="AQ210" i="15"/>
  <c r="M212" i="15"/>
  <c r="M198" i="15" s="1"/>
  <c r="AS186" i="15"/>
  <c r="AN190" i="15"/>
  <c r="AN182" i="15" s="1"/>
  <c r="AF160" i="15"/>
  <c r="AE162" i="15"/>
  <c r="AQ179" i="15"/>
  <c r="AQ181" i="15" s="1"/>
  <c r="BH54" i="18" s="1"/>
  <c r="M181" i="15"/>
  <c r="AS147" i="15"/>
  <c r="AN149" i="15"/>
  <c r="AN140" i="15" s="1"/>
  <c r="AS94" i="15"/>
  <c r="AN99" i="15"/>
  <c r="AN93" i="15" s="1"/>
  <c r="AS80" i="15"/>
  <c r="AN85" i="15"/>
  <c r="AQ58" i="15"/>
  <c r="M60" i="15"/>
  <c r="AS251" i="15"/>
  <c r="AN254" i="15"/>
  <c r="AS256" i="15"/>
  <c r="AS258" i="15" s="1"/>
  <c r="BJ78" i="18" s="1"/>
  <c r="AN258" i="15"/>
  <c r="AS230" i="15"/>
  <c r="AN231" i="15"/>
  <c r="AN226" i="15" s="1"/>
  <c r="AS204" i="15"/>
  <c r="AQ227" i="15"/>
  <c r="M231" i="15"/>
  <c r="M226" i="15" s="1"/>
  <c r="AS152" i="15"/>
  <c r="AN156" i="15"/>
  <c r="AN151" i="15" s="1"/>
  <c r="AF165" i="15"/>
  <c r="AQ195" i="15"/>
  <c r="M196" i="15"/>
  <c r="M182" i="15" s="1"/>
  <c r="AQ158" i="15"/>
  <c r="M159" i="15"/>
  <c r="AS127" i="15"/>
  <c r="AN133" i="15"/>
  <c r="AN123" i="15" s="1"/>
  <c r="AS91" i="15"/>
  <c r="AN92" i="15"/>
  <c r="AQ38" i="15"/>
  <c r="AQ39" i="15" s="1"/>
  <c r="BH16" i="18" s="1"/>
  <c r="M39" i="15"/>
  <c r="AS247" i="15"/>
  <c r="AN250" i="15"/>
  <c r="AQ255" i="15"/>
  <c r="AU255" i="15" s="1"/>
  <c r="AU258" i="15" s="1"/>
  <c r="BL78" i="18" s="1"/>
  <c r="M258" i="15"/>
  <c r="M245" i="15" s="1"/>
  <c r="AT206" i="15"/>
  <c r="AB245" i="15"/>
  <c r="AB244" i="15" s="1"/>
  <c r="U245" i="15"/>
  <c r="U244" i="15" s="1"/>
  <c r="L245" i="15"/>
  <c r="L244" i="15" s="1"/>
  <c r="AE207" i="15"/>
  <c r="AF207" i="15" s="1"/>
  <c r="AR207" i="15" s="1"/>
  <c r="Y197" i="15"/>
  <c r="S197" i="15"/>
  <c r="U163" i="15"/>
  <c r="R6" i="15"/>
  <c r="BP75" i="18"/>
  <c r="BP74" i="18" s="1"/>
  <c r="AS205" i="15"/>
  <c r="AE233" i="15"/>
  <c r="AF233" i="15" s="1"/>
  <c r="AR233" i="15" s="1"/>
  <c r="AE214" i="15"/>
  <c r="AF214" i="15" s="1"/>
  <c r="AR214" i="15" s="1"/>
  <c r="AE211" i="15"/>
  <c r="AF211" i="15" s="1"/>
  <c r="AR211" i="15" s="1"/>
  <c r="EP62" i="18"/>
  <c r="EM62" i="18"/>
  <c r="EM60" i="18" s="1"/>
  <c r="AE183" i="15"/>
  <c r="AF183" i="15" s="1"/>
  <c r="AR183" i="15" s="1"/>
  <c r="BP47" i="18"/>
  <c r="BL51" i="18"/>
  <c r="AE174" i="15"/>
  <c r="AF174" i="15" s="1"/>
  <c r="AR174" i="15" s="1"/>
  <c r="AE166" i="15"/>
  <c r="AF166" i="15" s="1"/>
  <c r="AR166" i="15" s="1"/>
  <c r="AF161" i="15"/>
  <c r="AR161" i="15" s="1"/>
  <c r="AE152" i="15"/>
  <c r="AF152" i="15" s="1"/>
  <c r="AR152" i="15" s="1"/>
  <c r="AS92" i="15"/>
  <c r="BJ29" i="18" s="1"/>
  <c r="AE145" i="15"/>
  <c r="AF145" i="15" s="1"/>
  <c r="AR145" i="15" s="1"/>
  <c r="AE136" i="15"/>
  <c r="AE128" i="15"/>
  <c r="AF128" i="15" s="1"/>
  <c r="AR128" i="15" s="1"/>
  <c r="AE109" i="15"/>
  <c r="AF109" i="15" s="1"/>
  <c r="AR109" i="15" s="1"/>
  <c r="AE108" i="15"/>
  <c r="AE94" i="15"/>
  <c r="AE89" i="15"/>
  <c r="AE87" i="15"/>
  <c r="BR7" i="18"/>
  <c r="BP7" i="18"/>
  <c r="BO7" i="18"/>
  <c r="BN7" i="18"/>
  <c r="BM7" i="18"/>
  <c r="AT58" i="15"/>
  <c r="BB58" i="15" s="1"/>
  <c r="AE73" i="15"/>
  <c r="AF73" i="15" s="1"/>
  <c r="AR73" i="15" s="1"/>
  <c r="AY73" i="15" s="1"/>
  <c r="AF64" i="15"/>
  <c r="AR64" i="15" s="1"/>
  <c r="AE55" i="15"/>
  <c r="AF55" i="15" s="1"/>
  <c r="AR55" i="15" s="1"/>
  <c r="AE36" i="15"/>
  <c r="AF36" i="15" s="1"/>
  <c r="AR36" i="15" s="1"/>
  <c r="AF28" i="15"/>
  <c r="AR28" i="15" s="1"/>
  <c r="AF21" i="15"/>
  <c r="AE10" i="15"/>
  <c r="AF10" i="15" s="1"/>
  <c r="AR10" i="15" s="1"/>
  <c r="AQ188" i="15"/>
  <c r="AS188" i="15"/>
  <c r="AM245" i="15"/>
  <c r="AM244" i="15" s="1"/>
  <c r="T245" i="15"/>
  <c r="T244" i="15" s="1"/>
  <c r="T198" i="15"/>
  <c r="R198" i="15"/>
  <c r="U182" i="15"/>
  <c r="U151" i="15"/>
  <c r="M151" i="15"/>
  <c r="Y79" i="15"/>
  <c r="T79" i="15"/>
  <c r="AM6" i="15"/>
  <c r="AB6" i="15"/>
  <c r="Y6" i="15"/>
  <c r="ER80" i="18"/>
  <c r="AE240" i="15"/>
  <c r="AF240" i="15" s="1"/>
  <c r="AR240" i="15" s="1"/>
  <c r="AT240" i="15" s="1"/>
  <c r="AE228" i="15"/>
  <c r="AF228" i="15" s="1"/>
  <c r="AR228" i="15" s="1"/>
  <c r="AE224" i="15"/>
  <c r="AF224" i="15" s="1"/>
  <c r="AR224" i="15" s="1"/>
  <c r="AE210" i="15"/>
  <c r="AF210" i="15" s="1"/>
  <c r="AR210" i="15" s="1"/>
  <c r="AE204" i="15"/>
  <c r="AE189" i="15"/>
  <c r="AF189" i="15" s="1"/>
  <c r="AR189" i="15" s="1"/>
  <c r="BP51" i="18"/>
  <c r="BL47" i="18"/>
  <c r="AE179" i="15"/>
  <c r="AF179" i="15" s="1"/>
  <c r="AR179" i="15" s="1"/>
  <c r="AF171" i="15"/>
  <c r="AR171" i="15" s="1"/>
  <c r="AE157" i="15"/>
  <c r="AF157" i="15" s="1"/>
  <c r="AR157" i="15" s="1"/>
  <c r="AE141" i="15"/>
  <c r="AE132" i="15"/>
  <c r="AF132" i="15" s="1"/>
  <c r="AR132" i="15" s="1"/>
  <c r="AE124" i="15"/>
  <c r="AE119" i="15"/>
  <c r="AE114" i="15"/>
  <c r="AF114" i="15" s="1"/>
  <c r="AR114" i="15" s="1"/>
  <c r="AE113" i="15"/>
  <c r="AE104" i="15"/>
  <c r="AE103" i="15"/>
  <c r="AF103" i="15" s="1"/>
  <c r="AR103" i="15" s="1"/>
  <c r="AE97" i="15"/>
  <c r="AF97" i="15" s="1"/>
  <c r="AR97" i="15" s="1"/>
  <c r="AE96" i="15"/>
  <c r="AF96" i="15" s="1"/>
  <c r="AR96" i="15" s="1"/>
  <c r="AF82" i="15"/>
  <c r="AT66" i="15"/>
  <c r="AT55" i="15"/>
  <c r="BB55" i="15" s="1"/>
  <c r="AT22" i="15"/>
  <c r="AE67" i="15"/>
  <c r="AF67" i="15" s="1"/>
  <c r="AR67" i="15" s="1"/>
  <c r="AE63" i="15"/>
  <c r="AF63" i="15" s="1"/>
  <c r="AR63" i="15" s="1"/>
  <c r="AE47" i="15"/>
  <c r="AF47" i="15" s="1"/>
  <c r="AR47" i="15" s="1"/>
  <c r="AE32" i="15"/>
  <c r="AF32" i="15" s="1"/>
  <c r="AR32" i="15" s="1"/>
  <c r="AF26" i="15"/>
  <c r="AE12" i="15"/>
  <c r="AQ248" i="15"/>
  <c r="AQ289" i="15"/>
  <c r="AF184" i="15"/>
  <c r="AR184" i="15" s="1"/>
  <c r="AS165" i="14"/>
  <c r="AN168" i="14"/>
  <c r="AS147" i="14"/>
  <c r="AN149" i="14"/>
  <c r="AN140" i="14" s="1"/>
  <c r="AS96" i="14"/>
  <c r="AS99" i="14" s="1"/>
  <c r="AN99" i="14"/>
  <c r="AN93" i="14" s="1"/>
  <c r="AQ144" i="14"/>
  <c r="M149" i="14"/>
  <c r="M140" i="14" s="1"/>
  <c r="AQ121" i="14"/>
  <c r="M122" i="14"/>
  <c r="M118" i="14" s="1"/>
  <c r="AQ107" i="14"/>
  <c r="M110" i="14"/>
  <c r="M106" i="14" s="1"/>
  <c r="AQ95" i="14"/>
  <c r="AQ99" i="14" s="1"/>
  <c r="M99" i="14"/>
  <c r="M93" i="14" s="1"/>
  <c r="AS52" i="14"/>
  <c r="AN56" i="14"/>
  <c r="AN45" i="14" s="1"/>
  <c r="AS22" i="14"/>
  <c r="AN25" i="14"/>
  <c r="AS14" i="14"/>
  <c r="AN15" i="14"/>
  <c r="AN6" i="14" s="1"/>
  <c r="AF51" i="14"/>
  <c r="AQ67" i="14"/>
  <c r="M77" i="14"/>
  <c r="M61" i="14" s="1"/>
  <c r="AQ33" i="14"/>
  <c r="M37" i="14"/>
  <c r="AQ246" i="14"/>
  <c r="AQ250" i="14" s="1"/>
  <c r="AU76" i="18" s="1"/>
  <c r="M250" i="14"/>
  <c r="M245" i="14" s="1"/>
  <c r="AQ261" i="14"/>
  <c r="M263" i="14"/>
  <c r="AQ280" i="14"/>
  <c r="AQ283" i="14" s="1"/>
  <c r="M283" i="14"/>
  <c r="M277" i="14" s="1"/>
  <c r="Y78" i="14"/>
  <c r="AS211" i="14"/>
  <c r="AN212" i="14"/>
  <c r="AF210" i="14"/>
  <c r="AE212" i="14"/>
  <c r="AS157" i="14"/>
  <c r="AN159" i="14"/>
  <c r="AS152" i="14"/>
  <c r="AN156" i="14"/>
  <c r="AQ167" i="14"/>
  <c r="M168" i="14"/>
  <c r="M163" i="14" s="1"/>
  <c r="AQ152" i="14"/>
  <c r="AT152" i="14" s="1"/>
  <c r="BB152" i="14" s="1"/>
  <c r="M156" i="14"/>
  <c r="AS127" i="14"/>
  <c r="AN133" i="14"/>
  <c r="AN123" i="14" s="1"/>
  <c r="AS89" i="14"/>
  <c r="AN92" i="14"/>
  <c r="AN79" i="14" s="1"/>
  <c r="AQ135" i="14"/>
  <c r="M139" i="14"/>
  <c r="M134" i="14" s="1"/>
  <c r="AQ124" i="14"/>
  <c r="M133" i="14"/>
  <c r="M123" i="14" s="1"/>
  <c r="AQ114" i="14"/>
  <c r="M117" i="14"/>
  <c r="M111" i="14" s="1"/>
  <c r="AQ104" i="14"/>
  <c r="AQ105" i="14" s="1"/>
  <c r="M105" i="14"/>
  <c r="M100" i="14" s="1"/>
  <c r="AS68" i="14"/>
  <c r="AT68" i="14" s="1"/>
  <c r="BB68" i="14" s="1"/>
  <c r="AN77" i="14"/>
  <c r="AN61" i="14" s="1"/>
  <c r="AS32" i="14"/>
  <c r="AN37" i="14"/>
  <c r="AS17" i="14"/>
  <c r="AN19" i="14"/>
  <c r="AN16" i="14" s="1"/>
  <c r="AQ53" i="14"/>
  <c r="AU53" i="14" s="1"/>
  <c r="M56" i="14"/>
  <c r="M45" i="14" s="1"/>
  <c r="AQ23" i="14"/>
  <c r="M25" i="14"/>
  <c r="AS251" i="14"/>
  <c r="AS254" i="14" s="1"/>
  <c r="AW77" i="18" s="1"/>
  <c r="AN254" i="14"/>
  <c r="AQ265" i="14"/>
  <c r="M268" i="14"/>
  <c r="AS270" i="14"/>
  <c r="AS273" i="14" s="1"/>
  <c r="AN273" i="14"/>
  <c r="AN269" i="14" s="1"/>
  <c r="AQ286" i="14"/>
  <c r="AQ289" i="14" s="1"/>
  <c r="M289" i="14"/>
  <c r="M284" i="14" s="1"/>
  <c r="AM245" i="14"/>
  <c r="AE208" i="14"/>
  <c r="AF208" i="14" s="1"/>
  <c r="AR208" i="14" s="1"/>
  <c r="U182" i="14"/>
  <c r="U151" i="14"/>
  <c r="M151" i="14"/>
  <c r="AM6" i="14"/>
  <c r="EN80" i="18"/>
  <c r="BD59" i="18"/>
  <c r="AZ59" i="18"/>
  <c r="AE240" i="14"/>
  <c r="BE51" i="18"/>
  <c r="AS155" i="14"/>
  <c r="AS153" i="14"/>
  <c r="AE95" i="14"/>
  <c r="AF95" i="14" s="1"/>
  <c r="AR95" i="14" s="1"/>
  <c r="BE19" i="18"/>
  <c r="BE12" i="18"/>
  <c r="AT64" i="14"/>
  <c r="AT63" i="14"/>
  <c r="BB63" i="14" s="1"/>
  <c r="AE76" i="14"/>
  <c r="AF76" i="14" s="1"/>
  <c r="AR76" i="14" s="1"/>
  <c r="AE58" i="14"/>
  <c r="AF58" i="14" s="1"/>
  <c r="AR58" i="14" s="1"/>
  <c r="AE57" i="14"/>
  <c r="AF57" i="14" s="1"/>
  <c r="AR57" i="14" s="1"/>
  <c r="AE53" i="14"/>
  <c r="AF53" i="14" s="1"/>
  <c r="AR53" i="14" s="1"/>
  <c r="AE52" i="14"/>
  <c r="AF52" i="14" s="1"/>
  <c r="AR52" i="14" s="1"/>
  <c r="AE46" i="14"/>
  <c r="AF46" i="14" s="1"/>
  <c r="AR46" i="14" s="1"/>
  <c r="AE31" i="14"/>
  <c r="AF31" i="14" s="1"/>
  <c r="AR31" i="14" s="1"/>
  <c r="AE10" i="14"/>
  <c r="AF10" i="14" s="1"/>
  <c r="AR10" i="14" s="1"/>
  <c r="AQ252" i="14"/>
  <c r="AT252" i="14" s="1"/>
  <c r="AU252" i="14" s="1"/>
  <c r="AU254" i="14" s="1"/>
  <c r="AY77" i="18" s="1"/>
  <c r="AS275" i="14"/>
  <c r="AS279" i="14"/>
  <c r="AS285" i="14"/>
  <c r="AQ188" i="14"/>
  <c r="AS188" i="14"/>
  <c r="S245" i="14"/>
  <c r="S244" i="14" s="1"/>
  <c r="Y198" i="14"/>
  <c r="U198" i="14"/>
  <c r="S198" i="14"/>
  <c r="S197" i="14" s="1"/>
  <c r="L197" i="14"/>
  <c r="AM163" i="14"/>
  <c r="U163" i="14"/>
  <c r="EO84" i="18"/>
  <c r="EN88" i="18"/>
  <c r="EN87" i="18" s="1"/>
  <c r="EN84" i="18"/>
  <c r="EM86" i="18"/>
  <c r="BC75" i="18"/>
  <c r="BC74" i="18" s="1"/>
  <c r="AZ75" i="18"/>
  <c r="AZ74" i="18" s="1"/>
  <c r="BE60" i="18"/>
  <c r="BC60" i="18"/>
  <c r="BA60" i="18"/>
  <c r="AE233" i="14"/>
  <c r="AE230" i="14"/>
  <c r="AF230" i="14" s="1"/>
  <c r="AR230" i="14" s="1"/>
  <c r="AF219" i="14"/>
  <c r="AR219" i="14" s="1"/>
  <c r="AE216" i="14"/>
  <c r="AE205" i="14"/>
  <c r="AF205" i="14" s="1"/>
  <c r="AR205" i="14" s="1"/>
  <c r="AE204" i="14"/>
  <c r="AE200" i="14"/>
  <c r="AE185" i="14"/>
  <c r="AF185" i="14" s="1"/>
  <c r="AR185" i="14" s="1"/>
  <c r="BE47" i="18"/>
  <c r="BA51" i="18"/>
  <c r="BC12" i="18"/>
  <c r="BA19" i="18"/>
  <c r="BA12" i="18"/>
  <c r="AT67" i="14"/>
  <c r="AT54" i="14"/>
  <c r="BB54" i="14" s="1"/>
  <c r="AF66" i="14"/>
  <c r="AR66" i="14" s="1"/>
  <c r="AT66" i="14" s="1"/>
  <c r="BB66" i="14" s="1"/>
  <c r="AE49" i="14"/>
  <c r="AF49" i="14" s="1"/>
  <c r="AR49" i="14" s="1"/>
  <c r="AT49" i="14" s="1"/>
  <c r="BB49" i="14" s="1"/>
  <c r="AE35" i="14"/>
  <c r="AF35" i="14" s="1"/>
  <c r="AR35" i="14" s="1"/>
  <c r="AE12" i="14"/>
  <c r="AF12" i="14" s="1"/>
  <c r="AR12" i="14" s="1"/>
  <c r="AE9" i="14"/>
  <c r="AF9" i="14" s="1"/>
  <c r="AR9" i="14" s="1"/>
  <c r="AF184" i="14"/>
  <c r="AR184" i="14" s="1"/>
  <c r="AS242" i="13"/>
  <c r="AN243" i="13"/>
  <c r="AN238" i="13" s="1"/>
  <c r="AS211" i="13"/>
  <c r="AN212" i="13"/>
  <c r="AS185" i="13"/>
  <c r="AN190" i="13"/>
  <c r="AN182" i="13" s="1"/>
  <c r="AE196" i="13"/>
  <c r="AQ173" i="13"/>
  <c r="AQ178" i="13" s="1"/>
  <c r="AH53" i="18" s="1"/>
  <c r="M178" i="13"/>
  <c r="M163" i="13" s="1"/>
  <c r="AS144" i="13"/>
  <c r="AN149" i="13"/>
  <c r="AN140" i="13" s="1"/>
  <c r="AS108" i="13"/>
  <c r="AN110" i="13"/>
  <c r="AN106" i="13" s="1"/>
  <c r="AS101" i="13"/>
  <c r="AN105" i="13"/>
  <c r="AN100" i="13" s="1"/>
  <c r="AS94" i="13"/>
  <c r="AN99" i="13"/>
  <c r="AN93" i="13" s="1"/>
  <c r="AQ96" i="13"/>
  <c r="M99" i="13"/>
  <c r="M93" i="13" s="1"/>
  <c r="AS67" i="13"/>
  <c r="AN77" i="13"/>
  <c r="AN61" i="13" s="1"/>
  <c r="AS33" i="13"/>
  <c r="AN37" i="13"/>
  <c r="AQ43" i="13"/>
  <c r="AT43" i="13" s="1"/>
  <c r="BB43" i="13" s="1"/>
  <c r="M44" i="13"/>
  <c r="M40" i="13" s="1"/>
  <c r="AS214" i="13"/>
  <c r="AN220" i="13"/>
  <c r="AN213" i="13" s="1"/>
  <c r="AS199" i="13"/>
  <c r="AT199" i="13" s="1"/>
  <c r="AN203" i="13"/>
  <c r="AS172" i="13"/>
  <c r="AN178" i="13"/>
  <c r="AF172" i="13"/>
  <c r="AR172" i="13" s="1"/>
  <c r="AT172" i="13" s="1"/>
  <c r="BB172" i="13" s="1"/>
  <c r="AS135" i="13"/>
  <c r="AN139" i="13"/>
  <c r="AN134" i="13" s="1"/>
  <c r="AQ131" i="13"/>
  <c r="M133" i="13"/>
  <c r="M123" i="13" s="1"/>
  <c r="AQ120" i="13"/>
  <c r="M122" i="13"/>
  <c r="M118" i="13" s="1"/>
  <c r="AQ103" i="13"/>
  <c r="M105" i="13"/>
  <c r="M100" i="13" s="1"/>
  <c r="AQ89" i="13"/>
  <c r="M92" i="13"/>
  <c r="M79" i="13" s="1"/>
  <c r="AS53" i="13"/>
  <c r="AN56" i="13"/>
  <c r="AS23" i="13"/>
  <c r="AN25" i="13"/>
  <c r="AQ46" i="13"/>
  <c r="M50" i="13"/>
  <c r="M45" i="13" s="1"/>
  <c r="AQ38" i="13"/>
  <c r="AQ39" i="13" s="1"/>
  <c r="AH16" i="18" s="1"/>
  <c r="M39" i="13"/>
  <c r="AQ31" i="13"/>
  <c r="M37" i="13"/>
  <c r="M20" i="13" s="1"/>
  <c r="AE208" i="13"/>
  <c r="AF208" i="13" s="1"/>
  <c r="AR208" i="13" s="1"/>
  <c r="AT208" i="13" s="1"/>
  <c r="AM198" i="13"/>
  <c r="U198" i="13"/>
  <c r="T198" i="13"/>
  <c r="R198" i="13"/>
  <c r="R197" i="13" s="1"/>
  <c r="AB79" i="13"/>
  <c r="AB78" i="13" s="1"/>
  <c r="U79" i="13"/>
  <c r="M78" i="13"/>
  <c r="AN20" i="13"/>
  <c r="AR60" i="18"/>
  <c r="AP60" i="18"/>
  <c r="AN60" i="18"/>
  <c r="AF219" i="13"/>
  <c r="AR219" i="13" s="1"/>
  <c r="AT219" i="13" s="1"/>
  <c r="AE202" i="13"/>
  <c r="AF202" i="13" s="1"/>
  <c r="AR202" i="13" s="1"/>
  <c r="AT235" i="13"/>
  <c r="BB235" i="13" s="1"/>
  <c r="AP51" i="18"/>
  <c r="AL47" i="18"/>
  <c r="AE179" i="13"/>
  <c r="AF179" i="13" s="1"/>
  <c r="AR179" i="13" s="1"/>
  <c r="AE175" i="13"/>
  <c r="AF175" i="13" s="1"/>
  <c r="AR175" i="13" s="1"/>
  <c r="AT175" i="13" s="1"/>
  <c r="BB175" i="13" s="1"/>
  <c r="AE166" i="13"/>
  <c r="AF166" i="13" s="1"/>
  <c r="AR166" i="13" s="1"/>
  <c r="AE165" i="13"/>
  <c r="AF165" i="13" s="1"/>
  <c r="AR165" i="13" s="1"/>
  <c r="AT165" i="13" s="1"/>
  <c r="BB165" i="13" s="1"/>
  <c r="AE155" i="13"/>
  <c r="AF155" i="13" s="1"/>
  <c r="AR155" i="13" s="1"/>
  <c r="AE154" i="13"/>
  <c r="AF154" i="13" s="1"/>
  <c r="AR154" i="13" s="1"/>
  <c r="AT154" i="13" s="1"/>
  <c r="BB154" i="13" s="1"/>
  <c r="AS109" i="13"/>
  <c r="AE142" i="13"/>
  <c r="AF142" i="13" s="1"/>
  <c r="AR142" i="13" s="1"/>
  <c r="AE137" i="13"/>
  <c r="AF137" i="13" s="1"/>
  <c r="AR137" i="13" s="1"/>
  <c r="AE130" i="13"/>
  <c r="AF130" i="13" s="1"/>
  <c r="AR130" i="13" s="1"/>
  <c r="AE128" i="13"/>
  <c r="AF128" i="13" s="1"/>
  <c r="AR128" i="13" s="1"/>
  <c r="AE121" i="13"/>
  <c r="AF121" i="13" s="1"/>
  <c r="AR121" i="13" s="1"/>
  <c r="AE119" i="13"/>
  <c r="AF119" i="13" s="1"/>
  <c r="AR119" i="13" s="1"/>
  <c r="AE112" i="13"/>
  <c r="AF112" i="13" s="1"/>
  <c r="AR112" i="13" s="1"/>
  <c r="AE109" i="13"/>
  <c r="AF109" i="13" s="1"/>
  <c r="AR109" i="13" s="1"/>
  <c r="AE102" i="13"/>
  <c r="AF102" i="13" s="1"/>
  <c r="AR102" i="13" s="1"/>
  <c r="AF80" i="13"/>
  <c r="AR80" i="13" s="1"/>
  <c r="AQ121" i="13"/>
  <c r="AQ119" i="13"/>
  <c r="AP12" i="18"/>
  <c r="AN19" i="18"/>
  <c r="AN12" i="18"/>
  <c r="AE73" i="13"/>
  <c r="AF73" i="13" s="1"/>
  <c r="AR73" i="13" s="1"/>
  <c r="AY73" i="13" s="1"/>
  <c r="AE71" i="13"/>
  <c r="AF71" i="13" s="1"/>
  <c r="AR71" i="13" s="1"/>
  <c r="AE68" i="13"/>
  <c r="AF68" i="13" s="1"/>
  <c r="AR68" i="13" s="1"/>
  <c r="AF65" i="13"/>
  <c r="AR65" i="13" s="1"/>
  <c r="AE36" i="13"/>
  <c r="AF36" i="13" s="1"/>
  <c r="AR36" i="13" s="1"/>
  <c r="AE34" i="13"/>
  <c r="AF34" i="13" s="1"/>
  <c r="AR34" i="13" s="1"/>
  <c r="AF28" i="13"/>
  <c r="AR28" i="13" s="1"/>
  <c r="AE17" i="13"/>
  <c r="AF17" i="13" s="1"/>
  <c r="AR17" i="13" s="1"/>
  <c r="AE13" i="13"/>
  <c r="AF13" i="13" s="1"/>
  <c r="AR13" i="13" s="1"/>
  <c r="AT13" i="13" s="1"/>
  <c r="BB13" i="13" s="1"/>
  <c r="AE8" i="13"/>
  <c r="AF8" i="13" s="1"/>
  <c r="AR8" i="13" s="1"/>
  <c r="AT8" i="13" s="1"/>
  <c r="BB8" i="13" s="1"/>
  <c r="AF288" i="13"/>
  <c r="AR288" i="13" s="1"/>
  <c r="AZ288" i="13" s="1"/>
  <c r="S289" i="13"/>
  <c r="S284" i="13" s="1"/>
  <c r="AB289" i="13"/>
  <c r="AB284" i="13" s="1"/>
  <c r="AB283" i="13"/>
  <c r="AB277" i="13" s="1"/>
  <c r="AE256" i="13"/>
  <c r="AF256" i="13" s="1"/>
  <c r="AR256" i="13" s="1"/>
  <c r="AE253" i="13"/>
  <c r="Y250" i="13"/>
  <c r="R250" i="13"/>
  <c r="AE247" i="13"/>
  <c r="U250" i="13"/>
  <c r="S250" i="13"/>
  <c r="S245" i="13" s="1"/>
  <c r="AF184" i="13"/>
  <c r="AR184" i="13" s="1"/>
  <c r="AQ188" i="13"/>
  <c r="AS188" i="13"/>
  <c r="T197" i="13"/>
  <c r="S197" i="13"/>
  <c r="R78" i="13"/>
  <c r="AE240" i="13"/>
  <c r="AF240" i="13" s="1"/>
  <c r="AR240" i="13" s="1"/>
  <c r="AE215" i="13"/>
  <c r="AF215" i="13" s="1"/>
  <c r="AR215" i="13" s="1"/>
  <c r="AT242" i="13"/>
  <c r="AE192" i="13"/>
  <c r="AE187" i="13"/>
  <c r="AF187" i="13" s="1"/>
  <c r="AR187" i="13" s="1"/>
  <c r="AP47" i="18"/>
  <c r="AL51" i="18"/>
  <c r="AF171" i="13"/>
  <c r="AR171" i="13" s="1"/>
  <c r="AE160" i="13"/>
  <c r="AE158" i="13"/>
  <c r="AE152" i="13"/>
  <c r="AE148" i="13"/>
  <c r="AF148" i="13" s="1"/>
  <c r="AR148" i="13" s="1"/>
  <c r="AE146" i="13"/>
  <c r="AF146" i="13" s="1"/>
  <c r="AR146" i="13" s="1"/>
  <c r="AT82" i="13"/>
  <c r="BB82" i="13" s="1"/>
  <c r="AS29" i="13"/>
  <c r="AJ14" i="18" s="1"/>
  <c r="AE72" i="13"/>
  <c r="AF72" i="13" s="1"/>
  <c r="AR72" i="13" s="1"/>
  <c r="AE70" i="13"/>
  <c r="AF70" i="13" s="1"/>
  <c r="AR70" i="13" s="1"/>
  <c r="AY70" i="13" s="1"/>
  <c r="AE67" i="13"/>
  <c r="AF67" i="13" s="1"/>
  <c r="AR67" i="13" s="1"/>
  <c r="AE55" i="13"/>
  <c r="AF55" i="13" s="1"/>
  <c r="AR55" i="13" s="1"/>
  <c r="AE53" i="13"/>
  <c r="AF53" i="13" s="1"/>
  <c r="AR53" i="13" s="1"/>
  <c r="AE48" i="13"/>
  <c r="AF48" i="13" s="1"/>
  <c r="AR48" i="13" s="1"/>
  <c r="AE7" i="13"/>
  <c r="AF7" i="13" s="1"/>
  <c r="AR7" i="13" s="1"/>
  <c r="AQ36" i="13"/>
  <c r="AQ34" i="13"/>
  <c r="AQ32" i="13"/>
  <c r="AQ30" i="13"/>
  <c r="AT281" i="13"/>
  <c r="BB281" i="13" s="1"/>
  <c r="AE279" i="13"/>
  <c r="AF279" i="13" s="1"/>
  <c r="AR279" i="13" s="1"/>
  <c r="S283" i="13"/>
  <c r="S277" i="13" s="1"/>
  <c r="R276" i="13"/>
  <c r="R269" i="13" s="1"/>
  <c r="T276" i="13"/>
  <c r="T273" i="13"/>
  <c r="T269" i="13" s="1"/>
  <c r="AE271" i="13"/>
  <c r="AF271" i="13" s="1"/>
  <c r="AR271" i="13" s="1"/>
  <c r="AT271" i="13" s="1"/>
  <c r="AT267" i="13"/>
  <c r="BB267" i="13" s="1"/>
  <c r="U268" i="13"/>
  <c r="U258" i="13"/>
  <c r="AS286" i="12"/>
  <c r="AN289" i="12"/>
  <c r="AN284" i="12" s="1"/>
  <c r="AF278" i="12"/>
  <c r="AF264" i="12"/>
  <c r="AQ280" i="12"/>
  <c r="AQ283" i="12" s="1"/>
  <c r="M283" i="12"/>
  <c r="M277" i="12" s="1"/>
  <c r="AS222" i="12"/>
  <c r="AN225" i="12"/>
  <c r="AN221" i="12" s="1"/>
  <c r="AQ242" i="12"/>
  <c r="M243" i="12"/>
  <c r="M238" i="12" s="1"/>
  <c r="AQ201" i="12"/>
  <c r="M203" i="12"/>
  <c r="M198" i="12" s="1"/>
  <c r="AS176" i="12"/>
  <c r="AN178" i="12"/>
  <c r="AF194" i="12"/>
  <c r="AE196" i="12"/>
  <c r="AQ18" i="12"/>
  <c r="AQ19" i="12" s="1"/>
  <c r="M19" i="12"/>
  <c r="M16" i="12" s="1"/>
  <c r="AS281" i="12"/>
  <c r="AN283" i="12"/>
  <c r="AN277" i="12" s="1"/>
  <c r="AS215" i="12"/>
  <c r="AN220" i="12"/>
  <c r="AN213" i="12" s="1"/>
  <c r="AQ218" i="12"/>
  <c r="M220" i="12"/>
  <c r="M213" i="12" s="1"/>
  <c r="AS167" i="12"/>
  <c r="AN168" i="12"/>
  <c r="AN163" i="12" s="1"/>
  <c r="AF160" i="12"/>
  <c r="AR160" i="12" s="1"/>
  <c r="AE162" i="12"/>
  <c r="AQ158" i="12"/>
  <c r="AQ159" i="12" s="1"/>
  <c r="U49" i="18" s="1"/>
  <c r="M159" i="12"/>
  <c r="AS87" i="12"/>
  <c r="AN88" i="12"/>
  <c r="AQ86" i="12"/>
  <c r="M88" i="12"/>
  <c r="AQ13" i="12"/>
  <c r="AU13" i="12" s="1"/>
  <c r="AU15" i="12" s="1"/>
  <c r="Y9" i="18" s="1"/>
  <c r="M15" i="12"/>
  <c r="Y78" i="12"/>
  <c r="AE208" i="12"/>
  <c r="AF208" i="12" s="1"/>
  <c r="AR208" i="12" s="1"/>
  <c r="U197" i="12"/>
  <c r="U182" i="12"/>
  <c r="U151" i="12"/>
  <c r="L163" i="12"/>
  <c r="AM5" i="12"/>
  <c r="AE271" i="12"/>
  <c r="AF271" i="12" s="1"/>
  <c r="AR271" i="12" s="1"/>
  <c r="AE287" i="12"/>
  <c r="AF287" i="12" s="1"/>
  <c r="AR287" i="12" s="1"/>
  <c r="AE285" i="12"/>
  <c r="AE279" i="12"/>
  <c r="AF279" i="12" s="1"/>
  <c r="AR279" i="12" s="1"/>
  <c r="AE257" i="12"/>
  <c r="AF257" i="12" s="1"/>
  <c r="AR257" i="12" s="1"/>
  <c r="AE247" i="12"/>
  <c r="AF247" i="12" s="1"/>
  <c r="AR247" i="12" s="1"/>
  <c r="AS228" i="12"/>
  <c r="AS223" i="12"/>
  <c r="AS218" i="12"/>
  <c r="AS216" i="12"/>
  <c r="AS214" i="12"/>
  <c r="AE229" i="12"/>
  <c r="AF229" i="12" s="1"/>
  <c r="AR229" i="12" s="1"/>
  <c r="AF218" i="12"/>
  <c r="AR218" i="12" s="1"/>
  <c r="AT218" i="12" s="1"/>
  <c r="AE215" i="12"/>
  <c r="AF215" i="12" s="1"/>
  <c r="AR215" i="12" s="1"/>
  <c r="AE199" i="12"/>
  <c r="AF199" i="12" s="1"/>
  <c r="AR199" i="12" s="1"/>
  <c r="AE187" i="12"/>
  <c r="AF187" i="12" s="1"/>
  <c r="AR187" i="12" s="1"/>
  <c r="AT187" i="12" s="1"/>
  <c r="BB187" i="12" s="1"/>
  <c r="AC51" i="18"/>
  <c r="Y47" i="18"/>
  <c r="AS181" i="12"/>
  <c r="W54" i="18" s="1"/>
  <c r="AE179" i="12"/>
  <c r="AF171" i="12"/>
  <c r="AR171" i="12" s="1"/>
  <c r="AE164" i="12"/>
  <c r="AF164" i="12" s="1"/>
  <c r="AR164" i="12" s="1"/>
  <c r="AF154" i="12"/>
  <c r="AR154" i="12" s="1"/>
  <c r="AE143" i="12"/>
  <c r="AF143" i="12" s="1"/>
  <c r="AR143" i="12" s="1"/>
  <c r="AE131" i="12"/>
  <c r="AF131" i="12" s="1"/>
  <c r="AR131" i="12" s="1"/>
  <c r="AE120" i="12"/>
  <c r="AF120" i="12" s="1"/>
  <c r="AR120" i="12" s="1"/>
  <c r="AE103" i="12"/>
  <c r="AF103" i="12" s="1"/>
  <c r="AR103" i="12" s="1"/>
  <c r="AE94" i="12"/>
  <c r="AF84" i="12"/>
  <c r="AR84" i="12" s="1"/>
  <c r="AE74" i="12"/>
  <c r="AF74" i="12" s="1"/>
  <c r="AR74" i="12" s="1"/>
  <c r="AF64" i="12"/>
  <c r="AR64" i="12" s="1"/>
  <c r="AE59" i="12"/>
  <c r="AF59" i="12" s="1"/>
  <c r="AR59" i="12" s="1"/>
  <c r="AE46" i="12"/>
  <c r="AF41" i="12"/>
  <c r="AE30" i="12"/>
  <c r="AE8" i="12"/>
  <c r="AQ188" i="12"/>
  <c r="AS188" i="12"/>
  <c r="T245" i="12"/>
  <c r="T244" i="12" s="1"/>
  <c r="Y198" i="12"/>
  <c r="U163" i="12"/>
  <c r="U150" i="12" s="1"/>
  <c r="L182" i="12"/>
  <c r="L151" i="12"/>
  <c r="T78" i="12"/>
  <c r="AE260" i="12"/>
  <c r="AF260" i="12" s="1"/>
  <c r="AR260" i="12" s="1"/>
  <c r="AE282" i="12"/>
  <c r="AF282" i="12" s="1"/>
  <c r="AR282" i="12" s="1"/>
  <c r="AE281" i="12"/>
  <c r="AF281" i="12" s="1"/>
  <c r="AR281" i="12" s="1"/>
  <c r="AE267" i="12"/>
  <c r="AF267" i="12" s="1"/>
  <c r="AR267" i="12" s="1"/>
  <c r="AE265" i="12"/>
  <c r="AF265" i="12" s="1"/>
  <c r="AR265" i="12" s="1"/>
  <c r="AE252" i="12"/>
  <c r="AF252" i="12" s="1"/>
  <c r="AR252" i="12" s="1"/>
  <c r="AE239" i="12"/>
  <c r="AF239" i="12" s="1"/>
  <c r="AR239" i="12" s="1"/>
  <c r="AE236" i="12"/>
  <c r="AF236" i="12" s="1"/>
  <c r="AR236" i="12" s="1"/>
  <c r="AT236" i="12" s="1"/>
  <c r="BB236" i="12" s="1"/>
  <c r="AE223" i="12"/>
  <c r="AF223" i="12" s="1"/>
  <c r="AR223" i="12" s="1"/>
  <c r="AT223" i="12" s="1"/>
  <c r="AE202" i="12"/>
  <c r="AF202" i="12" s="1"/>
  <c r="AR202" i="12" s="1"/>
  <c r="AE200" i="12"/>
  <c r="AF200" i="12" s="1"/>
  <c r="AR200" i="12" s="1"/>
  <c r="AC47" i="18"/>
  <c r="Y51" i="18"/>
  <c r="AE175" i="12"/>
  <c r="AF169" i="12"/>
  <c r="AR169" i="12" s="1"/>
  <c r="AE157" i="12"/>
  <c r="AF157" i="12" s="1"/>
  <c r="AR157" i="12" s="1"/>
  <c r="AE147" i="12"/>
  <c r="AF147" i="12" s="1"/>
  <c r="AR147" i="12" s="1"/>
  <c r="AE138" i="12"/>
  <c r="AF138" i="12" s="1"/>
  <c r="AR138" i="12" s="1"/>
  <c r="AE127" i="12"/>
  <c r="AF127" i="12" s="1"/>
  <c r="AR127" i="12" s="1"/>
  <c r="AE113" i="12"/>
  <c r="AF113" i="12" s="1"/>
  <c r="AR113" i="12" s="1"/>
  <c r="AE98" i="12"/>
  <c r="AF98" i="12" s="1"/>
  <c r="AR98" i="12" s="1"/>
  <c r="AE89" i="12"/>
  <c r="AF81" i="12"/>
  <c r="AE19" i="18"/>
  <c r="AE12" i="18"/>
  <c r="AC12" i="18"/>
  <c r="AA19" i="18"/>
  <c r="AA12" i="18"/>
  <c r="AE67" i="12"/>
  <c r="AF67" i="12" s="1"/>
  <c r="AR67" i="12" s="1"/>
  <c r="AE63" i="12"/>
  <c r="AF63" i="12" s="1"/>
  <c r="AR63" i="12" s="1"/>
  <c r="AE54" i="12"/>
  <c r="AF54" i="12" s="1"/>
  <c r="AR54" i="12" s="1"/>
  <c r="AF43" i="12"/>
  <c r="AR43" i="12" s="1"/>
  <c r="AE34" i="12"/>
  <c r="AF34" i="12" s="1"/>
  <c r="AR34" i="12" s="1"/>
  <c r="AF21" i="12"/>
  <c r="AR21" i="12" s="1"/>
  <c r="AE9" i="12"/>
  <c r="AF9" i="12" s="1"/>
  <c r="AR9" i="12" s="1"/>
  <c r="M190" i="12"/>
  <c r="AE184" i="12"/>
  <c r="AF184" i="12" s="1"/>
  <c r="AR184" i="12" s="1"/>
  <c r="AN184" i="12"/>
  <c r="AN190" i="12" s="1"/>
  <c r="AN182" i="12" s="1"/>
  <c r="AS265" i="1"/>
  <c r="AN268" i="1"/>
  <c r="AR278" i="1"/>
  <c r="AS215" i="1"/>
  <c r="AN220" i="1"/>
  <c r="AN213" i="1" s="1"/>
  <c r="AQ167" i="1"/>
  <c r="M168" i="1"/>
  <c r="AQ158" i="1"/>
  <c r="M159" i="1"/>
  <c r="AS137" i="1"/>
  <c r="AN139" i="1"/>
  <c r="AN134" i="1" s="1"/>
  <c r="AF112" i="1"/>
  <c r="AQ137" i="1"/>
  <c r="M139" i="1"/>
  <c r="M134" i="1" s="1"/>
  <c r="AQ87" i="1"/>
  <c r="M88" i="1"/>
  <c r="AS261" i="1"/>
  <c r="AN263" i="1"/>
  <c r="AF265" i="1"/>
  <c r="AQ252" i="1"/>
  <c r="M254" i="1"/>
  <c r="AS234" i="1"/>
  <c r="AN237" i="1"/>
  <c r="AN232" i="1" s="1"/>
  <c r="AS210" i="1"/>
  <c r="AS212" i="1" s="1"/>
  <c r="J63" i="18" s="1"/>
  <c r="AN212" i="1"/>
  <c r="AF210" i="1"/>
  <c r="AF195" i="1"/>
  <c r="AE196" i="1"/>
  <c r="AQ174" i="1"/>
  <c r="M178" i="1"/>
  <c r="AS130" i="1"/>
  <c r="AN133" i="1"/>
  <c r="AN123" i="1" s="1"/>
  <c r="AF107" i="1"/>
  <c r="AQ142" i="1"/>
  <c r="M149" i="1"/>
  <c r="M140" i="1" s="1"/>
  <c r="AQ130" i="1"/>
  <c r="M133" i="1"/>
  <c r="M123" i="1" s="1"/>
  <c r="L9" i="18"/>
  <c r="AU6" i="1"/>
  <c r="AQ59" i="1"/>
  <c r="M60" i="1"/>
  <c r="AB245" i="1"/>
  <c r="U269" i="1"/>
  <c r="U259" i="1"/>
  <c r="T269" i="1"/>
  <c r="AE271" i="1"/>
  <c r="AE261" i="1"/>
  <c r="AF261" i="1" s="1"/>
  <c r="AR261" i="1" s="1"/>
  <c r="R75" i="18"/>
  <c r="R74" i="18" s="1"/>
  <c r="AE287" i="1"/>
  <c r="AF287" i="1" s="1"/>
  <c r="AR287" i="1" s="1"/>
  <c r="AE286" i="1"/>
  <c r="AF286" i="1" s="1"/>
  <c r="AR286" i="1" s="1"/>
  <c r="AF279" i="1"/>
  <c r="AR279" i="1" s="1"/>
  <c r="AE267" i="1"/>
  <c r="AF267" i="1" s="1"/>
  <c r="AR267" i="1" s="1"/>
  <c r="AE266" i="1"/>
  <c r="AF266" i="1" s="1"/>
  <c r="AR266" i="1" s="1"/>
  <c r="AE248" i="1"/>
  <c r="AF248" i="1" s="1"/>
  <c r="AR248" i="1" s="1"/>
  <c r="R60" i="18"/>
  <c r="P60" i="18"/>
  <c r="M60" i="18"/>
  <c r="AE234" i="1"/>
  <c r="AF234" i="1" s="1"/>
  <c r="AR234" i="1" s="1"/>
  <c r="AE205" i="1"/>
  <c r="AF205" i="1" s="1"/>
  <c r="AR205" i="1" s="1"/>
  <c r="AE199" i="1"/>
  <c r="AF199" i="1" s="1"/>
  <c r="AR199" i="1" s="1"/>
  <c r="AE157" i="1"/>
  <c r="AF157" i="1" s="1"/>
  <c r="AR157" i="1" s="1"/>
  <c r="AT96" i="1"/>
  <c r="BB96" i="1" s="1"/>
  <c r="AE141" i="1"/>
  <c r="AF141" i="1" s="1"/>
  <c r="AR141" i="1" s="1"/>
  <c r="AE129" i="1"/>
  <c r="AF129" i="1" s="1"/>
  <c r="AR129" i="1" s="1"/>
  <c r="AE116" i="1"/>
  <c r="AF116" i="1" s="1"/>
  <c r="AR116" i="1" s="1"/>
  <c r="AT116" i="1" s="1"/>
  <c r="BB116" i="1" s="1"/>
  <c r="AE109" i="1"/>
  <c r="AF109" i="1" s="1"/>
  <c r="AR109" i="1" s="1"/>
  <c r="AE103" i="1"/>
  <c r="AF103" i="1" s="1"/>
  <c r="AR103" i="1" s="1"/>
  <c r="AE94" i="1"/>
  <c r="AF84" i="1"/>
  <c r="AR84" i="1" s="1"/>
  <c r="P7" i="18"/>
  <c r="O12" i="18"/>
  <c r="AE68" i="1"/>
  <c r="AF68" i="1" s="1"/>
  <c r="AR68" i="1" s="1"/>
  <c r="AE67" i="1"/>
  <c r="AF67" i="1" s="1"/>
  <c r="AR67" i="1" s="1"/>
  <c r="AE58" i="1"/>
  <c r="AF49" i="1"/>
  <c r="AR49" i="1" s="1"/>
  <c r="AE38" i="1"/>
  <c r="AE28" i="1"/>
  <c r="AF28" i="1" s="1"/>
  <c r="AR28" i="1" s="1"/>
  <c r="AE22" i="1"/>
  <c r="AF22" i="1" s="1"/>
  <c r="AR22" i="1" s="1"/>
  <c r="AE9" i="1"/>
  <c r="AF9" i="1" s="1"/>
  <c r="AR9" i="1" s="1"/>
  <c r="AQ188" i="1"/>
  <c r="AS188" i="1"/>
  <c r="R269" i="1"/>
  <c r="U198" i="1"/>
  <c r="S198" i="1"/>
  <c r="R6" i="1"/>
  <c r="Q75" i="18"/>
  <c r="Q74" i="18" s="1"/>
  <c r="N75" i="18"/>
  <c r="N74" i="18" s="1"/>
  <c r="AE282" i="1"/>
  <c r="AE275" i="1"/>
  <c r="AE256" i="1"/>
  <c r="AF256" i="1" s="1"/>
  <c r="AR256" i="1" s="1"/>
  <c r="AE255" i="1"/>
  <c r="AE251" i="1"/>
  <c r="AE246" i="1"/>
  <c r="Q59" i="18"/>
  <c r="AE242" i="1"/>
  <c r="AF242" i="1" s="1"/>
  <c r="AR242" i="1" s="1"/>
  <c r="AE239" i="1"/>
  <c r="AF219" i="1"/>
  <c r="AR219" i="1" s="1"/>
  <c r="AF217" i="1"/>
  <c r="AR217" i="1" s="1"/>
  <c r="AE215" i="1"/>
  <c r="AF215" i="1" s="1"/>
  <c r="AR215" i="1" s="1"/>
  <c r="AE214" i="1"/>
  <c r="AE211" i="1"/>
  <c r="AF211" i="1" s="1"/>
  <c r="AR211" i="1" s="1"/>
  <c r="AE200" i="1"/>
  <c r="AF200" i="1" s="1"/>
  <c r="AR200" i="1" s="1"/>
  <c r="P47" i="18"/>
  <c r="L47" i="18"/>
  <c r="AS181" i="1"/>
  <c r="J54" i="18" s="1"/>
  <c r="AE165" i="1"/>
  <c r="AF165" i="1" s="1"/>
  <c r="AR165" i="1" s="1"/>
  <c r="AE152" i="1"/>
  <c r="AF152" i="1" s="1"/>
  <c r="AR152" i="1" s="1"/>
  <c r="AE148" i="1"/>
  <c r="AF148" i="1" s="1"/>
  <c r="AR148" i="1" s="1"/>
  <c r="AE145" i="1"/>
  <c r="AF145" i="1" s="1"/>
  <c r="AR145" i="1" s="1"/>
  <c r="AE144" i="1"/>
  <c r="AF144" i="1" s="1"/>
  <c r="AR144" i="1" s="1"/>
  <c r="AE136" i="1"/>
  <c r="AF136" i="1" s="1"/>
  <c r="AR136" i="1" s="1"/>
  <c r="AF125" i="1"/>
  <c r="AR125" i="1" s="1"/>
  <c r="AE113" i="1"/>
  <c r="AF113" i="1" s="1"/>
  <c r="AR113" i="1" s="1"/>
  <c r="AE98" i="1"/>
  <c r="AF98" i="1" s="1"/>
  <c r="AR98" i="1" s="1"/>
  <c r="AE89" i="1"/>
  <c r="AF89" i="1" s="1"/>
  <c r="AR89" i="1" s="1"/>
  <c r="AF81" i="1"/>
  <c r="AR81" i="1" s="1"/>
  <c r="AT81" i="1" s="1"/>
  <c r="BB81" i="1" s="1"/>
  <c r="M19" i="18"/>
  <c r="M12" i="18"/>
  <c r="AF75" i="1"/>
  <c r="AR75" i="1" s="1"/>
  <c r="AE65" i="1"/>
  <c r="AF65" i="1" s="1"/>
  <c r="AR65" i="1" s="1"/>
  <c r="AT65" i="1" s="1"/>
  <c r="AE54" i="1"/>
  <c r="AF54" i="1" s="1"/>
  <c r="AR54" i="1" s="1"/>
  <c r="AE42" i="1"/>
  <c r="AE33" i="1"/>
  <c r="AF33" i="1" s="1"/>
  <c r="AR33" i="1" s="1"/>
  <c r="AE23" i="1"/>
  <c r="AF23" i="1" s="1"/>
  <c r="AR23" i="1" s="1"/>
  <c r="AE18" i="1"/>
  <c r="AF18" i="1" s="1"/>
  <c r="AR18" i="1" s="1"/>
  <c r="AE192" i="1"/>
  <c r="AE193" i="1" s="1"/>
  <c r="AE187" i="1"/>
  <c r="AF187" i="1" s="1"/>
  <c r="AR187" i="1" s="1"/>
  <c r="AE179" i="1"/>
  <c r="AF179" i="1" s="1"/>
  <c r="AF172" i="1"/>
  <c r="AR172" i="1" s="1"/>
  <c r="AF192" i="1"/>
  <c r="AR192" i="1" s="1"/>
  <c r="AQ179" i="1"/>
  <c r="M181" i="1"/>
  <c r="R51" i="18"/>
  <c r="AS191" i="1"/>
  <c r="AS193" i="1" s="1"/>
  <c r="J57" i="18" s="1"/>
  <c r="AN193" i="1"/>
  <c r="AQ185" i="1"/>
  <c r="M190" i="1"/>
  <c r="AS172" i="1"/>
  <c r="AN178" i="1"/>
  <c r="AE185" i="1"/>
  <c r="AF185" i="1" s="1"/>
  <c r="AR185" i="1" s="1"/>
  <c r="ER54" i="18"/>
  <c r="P53" i="18"/>
  <c r="N53" i="18"/>
  <c r="L51" i="18"/>
  <c r="AE180" i="1"/>
  <c r="AF180" i="1" s="1"/>
  <c r="AR180" i="1" s="1"/>
  <c r="AF175" i="1"/>
  <c r="AR175" i="1" s="1"/>
  <c r="AM150" i="1"/>
  <c r="AF191" i="1"/>
  <c r="P51" i="18"/>
  <c r="AF177" i="1"/>
  <c r="AR177" i="1" s="1"/>
  <c r="AF171" i="1"/>
  <c r="AR171" i="1" s="1"/>
  <c r="AF184" i="1"/>
  <c r="AR184" i="1" s="1"/>
  <c r="AN184" i="1"/>
  <c r="AN190" i="1" s="1"/>
  <c r="AQ155" i="23"/>
  <c r="AQ156" i="23" s="1"/>
  <c r="M156" i="23"/>
  <c r="AS136" i="23"/>
  <c r="AS139" i="23" s="1"/>
  <c r="AN139" i="23"/>
  <c r="AN134" i="23" s="1"/>
  <c r="AS127" i="23"/>
  <c r="AS133" i="23" s="1"/>
  <c r="AN133" i="23"/>
  <c r="AN123" i="23" s="1"/>
  <c r="AS108" i="23"/>
  <c r="AS110" i="23" s="1"/>
  <c r="AN110" i="23"/>
  <c r="AN106" i="23" s="1"/>
  <c r="AS96" i="23"/>
  <c r="AN99" i="23"/>
  <c r="AN93" i="23" s="1"/>
  <c r="AS82" i="23"/>
  <c r="AN85" i="23"/>
  <c r="AR141" i="23"/>
  <c r="AT141" i="23" s="1"/>
  <c r="BB141" i="23" s="1"/>
  <c r="AE92" i="23"/>
  <c r="AS30" i="23"/>
  <c r="AN37" i="23"/>
  <c r="AS14" i="23"/>
  <c r="AN15" i="23"/>
  <c r="AN6" i="23" s="1"/>
  <c r="AF17" i="23"/>
  <c r="AQ65" i="23"/>
  <c r="M77" i="23"/>
  <c r="M61" i="23" s="1"/>
  <c r="AQ51" i="23"/>
  <c r="AU51" i="23" s="1"/>
  <c r="M56" i="23"/>
  <c r="AQ43" i="23"/>
  <c r="AQ44" i="23" s="1"/>
  <c r="M44" i="23"/>
  <c r="M40" i="23" s="1"/>
  <c r="AQ31" i="23"/>
  <c r="AQ37" i="23" s="1"/>
  <c r="DU15" i="18" s="1"/>
  <c r="M37" i="23"/>
  <c r="AQ21" i="23"/>
  <c r="AQ25" i="23" s="1"/>
  <c r="M25" i="23"/>
  <c r="AQ9" i="23"/>
  <c r="M11" i="23"/>
  <c r="AE245" i="23"/>
  <c r="AE244" i="23" s="1"/>
  <c r="S245" i="23"/>
  <c r="S244" i="23" s="1"/>
  <c r="AT207" i="23"/>
  <c r="U150" i="23"/>
  <c r="T182" i="23"/>
  <c r="T151" i="23"/>
  <c r="L182" i="23"/>
  <c r="L151" i="23"/>
  <c r="AM79" i="23"/>
  <c r="U79" i="23"/>
  <c r="U78" i="23" s="1"/>
  <c r="S79" i="23"/>
  <c r="S78" i="23" s="1"/>
  <c r="L79" i="23"/>
  <c r="AS143" i="23"/>
  <c r="AT143" i="23" s="1"/>
  <c r="BB143" i="23" s="1"/>
  <c r="AN149" i="23"/>
  <c r="AN140" i="23" s="1"/>
  <c r="AS113" i="23"/>
  <c r="AT113" i="23" s="1"/>
  <c r="BB113" i="23" s="1"/>
  <c r="AN117" i="23"/>
  <c r="AN111" i="23" s="1"/>
  <c r="AS103" i="23"/>
  <c r="AS105" i="23" s="1"/>
  <c r="AN105" i="23"/>
  <c r="AN100" i="23" s="1"/>
  <c r="AS89" i="23"/>
  <c r="AS92" i="23" s="1"/>
  <c r="DW29" i="18" s="1"/>
  <c r="AN92" i="23"/>
  <c r="AR125" i="23"/>
  <c r="AT125" i="23" s="1"/>
  <c r="BB125" i="23" s="1"/>
  <c r="AF107" i="23"/>
  <c r="AF101" i="23"/>
  <c r="AE105" i="23"/>
  <c r="AE100" i="23" s="1"/>
  <c r="AF95" i="23"/>
  <c r="AE99" i="23"/>
  <c r="AE93" i="23" s="1"/>
  <c r="AS54" i="23"/>
  <c r="AN56" i="23"/>
  <c r="AN45" i="23" s="1"/>
  <c r="AS24" i="23"/>
  <c r="AN25" i="23"/>
  <c r="AF58" i="23"/>
  <c r="AE60" i="23"/>
  <c r="AF46" i="23"/>
  <c r="AE50" i="23"/>
  <c r="AQ46" i="23"/>
  <c r="M50" i="23"/>
  <c r="M45" i="23" s="1"/>
  <c r="AQ26" i="23"/>
  <c r="M29" i="23"/>
  <c r="AQ18" i="23"/>
  <c r="AU18" i="23" s="1"/>
  <c r="AU19" i="23" s="1"/>
  <c r="AU16" i="23" s="1"/>
  <c r="M19" i="23"/>
  <c r="M16" i="23" s="1"/>
  <c r="U245" i="23"/>
  <c r="U244" i="23" s="1"/>
  <c r="M245" i="23"/>
  <c r="M244" i="23" s="1"/>
  <c r="T163" i="23"/>
  <c r="R182" i="23"/>
  <c r="R151" i="23"/>
  <c r="L163" i="23"/>
  <c r="AB79" i="23"/>
  <c r="AB78" i="23" s="1"/>
  <c r="T78" i="23"/>
  <c r="R78" i="23"/>
  <c r="EE46" i="18"/>
  <c r="R20" i="23"/>
  <c r="AS273" i="23"/>
  <c r="EC75" i="18"/>
  <c r="EC74" i="18" s="1"/>
  <c r="AR268" i="23"/>
  <c r="DV81" i="18" s="1"/>
  <c r="AR254" i="23"/>
  <c r="EB60" i="18"/>
  <c r="AE241" i="23"/>
  <c r="AE222" i="23"/>
  <c r="EQ63" i="18"/>
  <c r="ED51" i="18"/>
  <c r="EC46" i="18"/>
  <c r="EB47" i="18"/>
  <c r="DZ51" i="18"/>
  <c r="AE194" i="23"/>
  <c r="AE180" i="23"/>
  <c r="AE175" i="23"/>
  <c r="AF170" i="23"/>
  <c r="AE166" i="23"/>
  <c r="AF166" i="23" s="1"/>
  <c r="AR166" i="23" s="1"/>
  <c r="AE158" i="23"/>
  <c r="AE153" i="23"/>
  <c r="EP53" i="18"/>
  <c r="EP51" i="18" s="1"/>
  <c r="EP49" i="18"/>
  <c r="AE146" i="23"/>
  <c r="AF146" i="23" s="1"/>
  <c r="AR146" i="23" s="1"/>
  <c r="AE142" i="23"/>
  <c r="AE137" i="23"/>
  <c r="AF137" i="23" s="1"/>
  <c r="AR137" i="23" s="1"/>
  <c r="AE119" i="23"/>
  <c r="AE116" i="23"/>
  <c r="AF116" i="23" s="1"/>
  <c r="AR116" i="23" s="1"/>
  <c r="AE112" i="23"/>
  <c r="AE109" i="23"/>
  <c r="AF109" i="23" s="1"/>
  <c r="AR109" i="23" s="1"/>
  <c r="AE87" i="23"/>
  <c r="AF80" i="23"/>
  <c r="EC12" i="18"/>
  <c r="EA19" i="18"/>
  <c r="EA6" i="18" s="1"/>
  <c r="EA12" i="18"/>
  <c r="AS60" i="23"/>
  <c r="DW22" i="18" s="1"/>
  <c r="AS15" i="23"/>
  <c r="DW9" i="18" s="1"/>
  <c r="AE72" i="23"/>
  <c r="AF72" i="23" s="1"/>
  <c r="AR72" i="23" s="1"/>
  <c r="AE68" i="23"/>
  <c r="AF68" i="23" s="1"/>
  <c r="AR68" i="23" s="1"/>
  <c r="AF43" i="23"/>
  <c r="AR43" i="23" s="1"/>
  <c r="AF41" i="23"/>
  <c r="AE34" i="23"/>
  <c r="AF34" i="23" s="1"/>
  <c r="AR34" i="23" s="1"/>
  <c r="AE30" i="23"/>
  <c r="AF28" i="23"/>
  <c r="AR28" i="23" s="1"/>
  <c r="AT28" i="23" s="1"/>
  <c r="AF27" i="23"/>
  <c r="AR27" i="23" s="1"/>
  <c r="AF26" i="23"/>
  <c r="AE22" i="23"/>
  <c r="AF21" i="23"/>
  <c r="AE18" i="23"/>
  <c r="AF18" i="23" s="1"/>
  <c r="AR18" i="23" s="1"/>
  <c r="AE12" i="23"/>
  <c r="AE7" i="23"/>
  <c r="AF83" i="23"/>
  <c r="AR83" i="23" s="1"/>
  <c r="AQ184" i="23"/>
  <c r="AS184" i="23"/>
  <c r="AS190" i="23" s="1"/>
  <c r="AM45" i="23"/>
  <c r="AM20" i="23"/>
  <c r="AM5" i="23" s="1"/>
  <c r="M6" i="23"/>
  <c r="AE227" i="23"/>
  <c r="AE231" i="23" s="1"/>
  <c r="AE226" i="23" s="1"/>
  <c r="AE224" i="23"/>
  <c r="AF224" i="23" s="1"/>
  <c r="AR224" i="23" s="1"/>
  <c r="ER62" i="18"/>
  <c r="EO61" i="18"/>
  <c r="AS193" i="23"/>
  <c r="DW57" i="18" s="1"/>
  <c r="AE187" i="23"/>
  <c r="EO48" i="18"/>
  <c r="EN48" i="18"/>
  <c r="ED47" i="18"/>
  <c r="EB51" i="18"/>
  <c r="DZ47" i="18"/>
  <c r="DZ46" i="18" s="1"/>
  <c r="AF176" i="23"/>
  <c r="AR176" i="23" s="1"/>
  <c r="AF167" i="23"/>
  <c r="AR167" i="23" s="1"/>
  <c r="AT167" i="23" s="1"/>
  <c r="BB167" i="23" s="1"/>
  <c r="AE164" i="23"/>
  <c r="AE155" i="23"/>
  <c r="AF155" i="23" s="1"/>
  <c r="AR155" i="23" s="1"/>
  <c r="EN50" i="18"/>
  <c r="EM54" i="18"/>
  <c r="EM49" i="18"/>
  <c r="EL53" i="18"/>
  <c r="EL49" i="18"/>
  <c r="AE121" i="23"/>
  <c r="AF121" i="23" s="1"/>
  <c r="AR121" i="23" s="1"/>
  <c r="AE114" i="23"/>
  <c r="AF114" i="23" s="1"/>
  <c r="AR114" i="23" s="1"/>
  <c r="AE84" i="23"/>
  <c r="AF82" i="23"/>
  <c r="AR82" i="23" s="1"/>
  <c r="AT82" i="23" s="1"/>
  <c r="BB82" i="23" s="1"/>
  <c r="EE19" i="18"/>
  <c r="EE12" i="18"/>
  <c r="EB7" i="18"/>
  <c r="DZ7" i="18"/>
  <c r="AE73" i="23"/>
  <c r="AF73" i="23" s="1"/>
  <c r="AR73" i="23" s="1"/>
  <c r="AY73" i="23" s="1"/>
  <c r="AE71" i="23"/>
  <c r="AF71" i="23" s="1"/>
  <c r="AR71" i="23" s="1"/>
  <c r="AF65" i="23"/>
  <c r="AR65" i="23" s="1"/>
  <c r="AE62" i="23"/>
  <c r="AE51" i="23"/>
  <c r="AE36" i="23"/>
  <c r="AF36" i="23" s="1"/>
  <c r="AR36" i="23" s="1"/>
  <c r="AE32" i="23"/>
  <c r="AF32" i="23" s="1"/>
  <c r="AR32" i="23" s="1"/>
  <c r="AE23" i="23"/>
  <c r="AF23" i="23" s="1"/>
  <c r="AR23" i="23" s="1"/>
  <c r="AE9" i="23"/>
  <c r="AF9" i="23" s="1"/>
  <c r="AR9" i="23" s="1"/>
  <c r="AQ138" i="22"/>
  <c r="AQ139" i="22" s="1"/>
  <c r="M139" i="22"/>
  <c r="M134" i="22" s="1"/>
  <c r="AQ125" i="22"/>
  <c r="M133" i="22"/>
  <c r="M123" i="22" s="1"/>
  <c r="AQ115" i="22"/>
  <c r="AQ117" i="22" s="1"/>
  <c r="M117" i="22"/>
  <c r="M111" i="22" s="1"/>
  <c r="AQ91" i="22"/>
  <c r="AQ92" i="22" s="1"/>
  <c r="DH29" i="18" s="1"/>
  <c r="M92" i="22"/>
  <c r="AS59" i="22"/>
  <c r="AS60" i="22" s="1"/>
  <c r="DJ22" i="18" s="1"/>
  <c r="AN60" i="22"/>
  <c r="AS49" i="22"/>
  <c r="AS50" i="22" s="1"/>
  <c r="AN50" i="22"/>
  <c r="AS30" i="22"/>
  <c r="AS37" i="22" s="1"/>
  <c r="DJ15" i="18" s="1"/>
  <c r="AN37" i="22"/>
  <c r="AS12" i="22"/>
  <c r="AN15" i="22"/>
  <c r="AE44" i="22"/>
  <c r="AE40" i="22" s="1"/>
  <c r="AQ46" i="22"/>
  <c r="AU46" i="22" s="1"/>
  <c r="AU50" i="22" s="1"/>
  <c r="M50" i="22"/>
  <c r="AQ35" i="22"/>
  <c r="AQ37" i="22" s="1"/>
  <c r="DH15" i="18" s="1"/>
  <c r="M37" i="22"/>
  <c r="AQ28" i="22"/>
  <c r="AQ29" i="22" s="1"/>
  <c r="DH14" i="18" s="1"/>
  <c r="M29" i="22"/>
  <c r="AQ18" i="22"/>
  <c r="AU18" i="22" s="1"/>
  <c r="AU19" i="22" s="1"/>
  <c r="AU16" i="22" s="1"/>
  <c r="M19" i="22"/>
  <c r="M16" i="22" s="1"/>
  <c r="AE245" i="22"/>
  <c r="AE244" i="22" s="1"/>
  <c r="S245" i="22"/>
  <c r="S244" i="22" s="1"/>
  <c r="U198" i="22"/>
  <c r="S198" i="22"/>
  <c r="S197" i="22" s="1"/>
  <c r="T182" i="22"/>
  <c r="T151" i="22"/>
  <c r="R163" i="22"/>
  <c r="R78" i="22"/>
  <c r="DM59" i="18"/>
  <c r="DN46" i="18"/>
  <c r="AQ268" i="22"/>
  <c r="AQ141" i="22"/>
  <c r="AQ149" i="22" s="1"/>
  <c r="M149" i="22"/>
  <c r="M140" i="22" s="1"/>
  <c r="AQ120" i="22"/>
  <c r="M122" i="22"/>
  <c r="M118" i="22" s="1"/>
  <c r="AQ101" i="22"/>
  <c r="M105" i="22"/>
  <c r="M100" i="22" s="1"/>
  <c r="AQ94" i="22"/>
  <c r="AQ99" i="22" s="1"/>
  <c r="M99" i="22"/>
  <c r="M93" i="22" s="1"/>
  <c r="AQ86" i="22"/>
  <c r="M88" i="22"/>
  <c r="AQ82" i="22"/>
  <c r="M85" i="22"/>
  <c r="AS62" i="22"/>
  <c r="AN77" i="22"/>
  <c r="AN61" i="22" s="1"/>
  <c r="AS54" i="22"/>
  <c r="AN56" i="22"/>
  <c r="AS24" i="22"/>
  <c r="AN25" i="22"/>
  <c r="AN20" i="22" s="1"/>
  <c r="AS7" i="22"/>
  <c r="AS11" i="22" s="1"/>
  <c r="AN11" i="22"/>
  <c r="AF31" i="22"/>
  <c r="AF17" i="22"/>
  <c r="AQ65" i="22"/>
  <c r="M77" i="22"/>
  <c r="M61" i="22" s="1"/>
  <c r="AQ51" i="22"/>
  <c r="AU51" i="22" s="1"/>
  <c r="AQ43" i="22"/>
  <c r="AT43" i="22" s="1"/>
  <c r="BB43" i="22" s="1"/>
  <c r="M44" i="22"/>
  <c r="M40" i="22" s="1"/>
  <c r="AQ21" i="22"/>
  <c r="M25" i="22"/>
  <c r="M20" i="22" s="1"/>
  <c r="AQ10" i="22"/>
  <c r="AU10" i="22" s="1"/>
  <c r="M11" i="22"/>
  <c r="U245" i="22"/>
  <c r="U244" i="22" s="1"/>
  <c r="M245" i="22"/>
  <c r="M244" i="22" s="1"/>
  <c r="T197" i="22"/>
  <c r="AN163" i="22"/>
  <c r="T163" i="22"/>
  <c r="S150" i="22"/>
  <c r="R182" i="22"/>
  <c r="R151" i="22"/>
  <c r="AQ273" i="22"/>
  <c r="S45" i="22"/>
  <c r="S20" i="22"/>
  <c r="R45" i="22"/>
  <c r="R20" i="22"/>
  <c r="AS263" i="22"/>
  <c r="AR263" i="22"/>
  <c r="DR59" i="18"/>
  <c r="DQ59" i="18"/>
  <c r="AE241" i="22"/>
  <c r="AF241" i="22" s="1"/>
  <c r="AR241" i="22" s="1"/>
  <c r="AE228" i="22"/>
  <c r="AF228" i="22" s="1"/>
  <c r="AR228" i="22" s="1"/>
  <c r="AE222" i="22"/>
  <c r="AE214" i="22"/>
  <c r="AF214" i="22" s="1"/>
  <c r="AE211" i="22"/>
  <c r="AE204" i="22"/>
  <c r="EQ57" i="18"/>
  <c r="EM57" i="18"/>
  <c r="ER58" i="18"/>
  <c r="ER52" i="18"/>
  <c r="EO58" i="18"/>
  <c r="EN58" i="18"/>
  <c r="DQ47" i="18"/>
  <c r="DO51" i="18"/>
  <c r="DM47" i="18"/>
  <c r="AF176" i="22"/>
  <c r="AR176" i="22" s="1"/>
  <c r="AF167" i="22"/>
  <c r="AR167" i="22" s="1"/>
  <c r="AE164" i="22"/>
  <c r="AE155" i="22"/>
  <c r="AF155" i="22" s="1"/>
  <c r="AR155" i="22" s="1"/>
  <c r="EP50" i="18"/>
  <c r="EO54" i="18"/>
  <c r="EN49" i="18"/>
  <c r="EM53" i="18"/>
  <c r="EM50" i="18"/>
  <c r="EL54" i="18"/>
  <c r="AE147" i="22"/>
  <c r="AF147" i="22" s="1"/>
  <c r="AR147" i="22" s="1"/>
  <c r="AT147" i="22" s="1"/>
  <c r="AE143" i="22"/>
  <c r="AF143" i="22" s="1"/>
  <c r="AR143" i="22" s="1"/>
  <c r="AE136" i="22"/>
  <c r="AE131" i="22"/>
  <c r="AF131" i="22" s="1"/>
  <c r="AR131" i="22" s="1"/>
  <c r="AE127" i="22"/>
  <c r="AF127" i="22" s="1"/>
  <c r="AR127" i="22" s="1"/>
  <c r="AT127" i="22" s="1"/>
  <c r="BB127" i="22" s="1"/>
  <c r="AE113" i="22"/>
  <c r="AE108" i="22"/>
  <c r="AE103" i="22"/>
  <c r="AF103" i="22" s="1"/>
  <c r="AR103" i="22" s="1"/>
  <c r="AE96" i="22"/>
  <c r="AF96" i="22" s="1"/>
  <c r="AR96" i="22" s="1"/>
  <c r="AT96" i="22" s="1"/>
  <c r="BB96" i="22" s="1"/>
  <c r="AE89" i="22"/>
  <c r="AF81" i="22"/>
  <c r="DR19" i="18"/>
  <c r="DR12" i="18"/>
  <c r="DR6" i="18" s="1"/>
  <c r="DM19" i="18"/>
  <c r="DM12" i="18"/>
  <c r="AF75" i="22"/>
  <c r="AR75" i="22" s="1"/>
  <c r="AT75" i="22" s="1"/>
  <c r="AE72" i="22"/>
  <c r="AF72" i="22" s="1"/>
  <c r="AR72" i="22" s="1"/>
  <c r="AE68" i="22"/>
  <c r="AF68" i="22" s="1"/>
  <c r="AR68" i="22" s="1"/>
  <c r="AT68" i="22" s="1"/>
  <c r="AE57" i="22"/>
  <c r="AE52" i="22"/>
  <c r="AF52" i="22" s="1"/>
  <c r="AR52" i="22" s="1"/>
  <c r="AE48" i="22"/>
  <c r="AF48" i="22" s="1"/>
  <c r="AR48" i="22" s="1"/>
  <c r="AF26" i="22"/>
  <c r="AE22" i="22"/>
  <c r="AF21" i="22"/>
  <c r="AE18" i="22"/>
  <c r="AF18" i="22" s="1"/>
  <c r="AR18" i="22" s="1"/>
  <c r="AE12" i="22"/>
  <c r="AE7" i="22"/>
  <c r="ER13" i="18"/>
  <c r="AQ184" i="22"/>
  <c r="AS184" i="22"/>
  <c r="AM45" i="22"/>
  <c r="AM20" i="22"/>
  <c r="M6" i="22"/>
  <c r="AS273" i="22"/>
  <c r="DO75" i="18"/>
  <c r="DO74" i="18" s="1"/>
  <c r="AR268" i="22"/>
  <c r="DI81" i="18" s="1"/>
  <c r="AR254" i="22"/>
  <c r="EQ71" i="18"/>
  <c r="EQ70" i="18" s="1"/>
  <c r="EQ67" i="18"/>
  <c r="EQ66" i="18" s="1"/>
  <c r="EP67" i="18"/>
  <c r="EP66" i="18" s="1"/>
  <c r="AE236" i="22"/>
  <c r="AE227" i="22"/>
  <c r="AE231" i="22" s="1"/>
  <c r="AE226" i="22" s="1"/>
  <c r="AE224" i="22"/>
  <c r="AF224" i="22" s="1"/>
  <c r="AR224" i="22" s="1"/>
  <c r="AT224" i="22" s="1"/>
  <c r="BB224" i="22" s="1"/>
  <c r="AE206" i="22"/>
  <c r="AF206" i="22" s="1"/>
  <c r="AR206" i="22" s="1"/>
  <c r="AT206" i="22" s="1"/>
  <c r="AE201" i="22"/>
  <c r="AF201" i="22" s="1"/>
  <c r="AR201" i="22" s="1"/>
  <c r="AT201" i="22" s="1"/>
  <c r="BB201" i="22" s="1"/>
  <c r="DQ51" i="18"/>
  <c r="DP46" i="18"/>
  <c r="DO47" i="18"/>
  <c r="DM51" i="18"/>
  <c r="AE194" i="22"/>
  <c r="AE180" i="22"/>
  <c r="AE175" i="22"/>
  <c r="AF170" i="22"/>
  <c r="AE166" i="22"/>
  <c r="AF166" i="22" s="1"/>
  <c r="AR166" i="22" s="1"/>
  <c r="AT166" i="22" s="1"/>
  <c r="BB166" i="22" s="1"/>
  <c r="AE158" i="22"/>
  <c r="AE153" i="22"/>
  <c r="AT161" i="22"/>
  <c r="BB161" i="22" s="1"/>
  <c r="ER53" i="18"/>
  <c r="AS110" i="22"/>
  <c r="AE148" i="22"/>
  <c r="AF148" i="22" s="1"/>
  <c r="AR148" i="22" s="1"/>
  <c r="AE145" i="22"/>
  <c r="AF145" i="22" s="1"/>
  <c r="AR145" i="22" s="1"/>
  <c r="AT145" i="22" s="1"/>
  <c r="BB145" i="22" s="1"/>
  <c r="AE141" i="22"/>
  <c r="AE138" i="22"/>
  <c r="AF138" i="22" s="1"/>
  <c r="AR138" i="22" s="1"/>
  <c r="AE129" i="22"/>
  <c r="AF129" i="22" s="1"/>
  <c r="AR129" i="22" s="1"/>
  <c r="AE125" i="22"/>
  <c r="AE120" i="22"/>
  <c r="AE115" i="22"/>
  <c r="AF115" i="22" s="1"/>
  <c r="AR115" i="22" s="1"/>
  <c r="AT115" i="22" s="1"/>
  <c r="BB115" i="22" s="1"/>
  <c r="AE101" i="22"/>
  <c r="AE98" i="22"/>
  <c r="AF98" i="22" s="1"/>
  <c r="AR98" i="22" s="1"/>
  <c r="AT98" i="22" s="1"/>
  <c r="BB98" i="22" s="1"/>
  <c r="AE94" i="22"/>
  <c r="AE91" i="22"/>
  <c r="AF91" i="22" s="1"/>
  <c r="AR91" i="22" s="1"/>
  <c r="AT91" i="22" s="1"/>
  <c r="BB91" i="22" s="1"/>
  <c r="AE86" i="22"/>
  <c r="EQ28" i="18"/>
  <c r="EM28" i="18"/>
  <c r="DQ7" i="18"/>
  <c r="DP12" i="18"/>
  <c r="DN19" i="18"/>
  <c r="DN12" i="18"/>
  <c r="AE73" i="22"/>
  <c r="AF73" i="22" s="1"/>
  <c r="AR73" i="22" s="1"/>
  <c r="AY73" i="22" s="1"/>
  <c r="AE71" i="22"/>
  <c r="AF71" i="22" s="1"/>
  <c r="AR71" i="22" s="1"/>
  <c r="AF65" i="22"/>
  <c r="AR65" i="22" s="1"/>
  <c r="AE62" i="22"/>
  <c r="AE59" i="22"/>
  <c r="AF59" i="22" s="1"/>
  <c r="AR59" i="22" s="1"/>
  <c r="AT59" i="22" s="1"/>
  <c r="BB59" i="22" s="1"/>
  <c r="AE54" i="22"/>
  <c r="AF54" i="22" s="1"/>
  <c r="AR54" i="22" s="1"/>
  <c r="AE51" i="22"/>
  <c r="AE46" i="22"/>
  <c r="AE33" i="22"/>
  <c r="AF33" i="22" s="1"/>
  <c r="AR33" i="22" s="1"/>
  <c r="AT33" i="22" s="1"/>
  <c r="BB33" i="22" s="1"/>
  <c r="AE23" i="22"/>
  <c r="AF23" i="22" s="1"/>
  <c r="AR23" i="22" s="1"/>
  <c r="AE9" i="22"/>
  <c r="AF9" i="22" s="1"/>
  <c r="AR9" i="22" s="1"/>
  <c r="AT9" i="22" s="1"/>
  <c r="BB9" i="22" s="1"/>
  <c r="AF83" i="22"/>
  <c r="AR83" i="22" s="1"/>
  <c r="CU75" i="18"/>
  <c r="DD59" i="18"/>
  <c r="DD75" i="18"/>
  <c r="DD74" i="18" s="1"/>
  <c r="CZ75" i="18"/>
  <c r="CZ74" i="18" s="1"/>
  <c r="DE60" i="18"/>
  <c r="DC60" i="18"/>
  <c r="DC59" i="18" s="1"/>
  <c r="CZ59" i="18"/>
  <c r="DB75" i="18"/>
  <c r="DD47" i="18"/>
  <c r="DB51" i="18"/>
  <c r="CZ47" i="18"/>
  <c r="DC12" i="18"/>
  <c r="DA19" i="18"/>
  <c r="DA12" i="18"/>
  <c r="EP58" i="18"/>
  <c r="EP48" i="18"/>
  <c r="EO52" i="18"/>
  <c r="EM58" i="18"/>
  <c r="EM48" i="18"/>
  <c r="EL52" i="18"/>
  <c r="DD51" i="18"/>
  <c r="DB47" i="18"/>
  <c r="DB46" i="18" s="1"/>
  <c r="CZ51" i="18"/>
  <c r="ER45" i="18"/>
  <c r="ER44" i="18" s="1"/>
  <c r="EP31" i="18"/>
  <c r="EP30" i="18" s="1"/>
  <c r="EN45" i="18"/>
  <c r="EN44" i="18" s="1"/>
  <c r="EM18" i="18"/>
  <c r="EM17" i="18" s="1"/>
  <c r="EM9" i="18"/>
  <c r="DE19" i="18"/>
  <c r="DE12" i="18"/>
  <c r="DB7" i="18"/>
  <c r="U150" i="17"/>
  <c r="AS127" i="17"/>
  <c r="AN133" i="17"/>
  <c r="AN123" i="17" s="1"/>
  <c r="AS120" i="17"/>
  <c r="AN122" i="17"/>
  <c r="AN118" i="17" s="1"/>
  <c r="AS113" i="17"/>
  <c r="AN117" i="17"/>
  <c r="AN111" i="17" s="1"/>
  <c r="AS96" i="17"/>
  <c r="AN99" i="17"/>
  <c r="AN93" i="17" s="1"/>
  <c r="AS80" i="17"/>
  <c r="AN85" i="17"/>
  <c r="AQ144" i="17"/>
  <c r="M149" i="17"/>
  <c r="M140" i="17" s="1"/>
  <c r="AQ135" i="17"/>
  <c r="M139" i="17"/>
  <c r="M134" i="17" s="1"/>
  <c r="AQ119" i="17"/>
  <c r="M122" i="17"/>
  <c r="M118" i="17" s="1"/>
  <c r="AQ107" i="17"/>
  <c r="M110" i="17"/>
  <c r="M106" i="17" s="1"/>
  <c r="AQ90" i="17"/>
  <c r="M92" i="17"/>
  <c r="CM24" i="18"/>
  <c r="CM23" i="18" s="1"/>
  <c r="AV5" i="17"/>
  <c r="AV292" i="17" s="1"/>
  <c r="AS64" i="17"/>
  <c r="AT64" i="17" s="1"/>
  <c r="AN77" i="17"/>
  <c r="AN61" i="17" s="1"/>
  <c r="AS52" i="17"/>
  <c r="AN56" i="17"/>
  <c r="AS42" i="17"/>
  <c r="AN44" i="17"/>
  <c r="AN40" i="17" s="1"/>
  <c r="AS32" i="17"/>
  <c r="AT32" i="17" s="1"/>
  <c r="AN37" i="17"/>
  <c r="AS22" i="17"/>
  <c r="AN25" i="17"/>
  <c r="AS14" i="17"/>
  <c r="AN15" i="17"/>
  <c r="AR21" i="17"/>
  <c r="AQ46" i="17"/>
  <c r="M50" i="17"/>
  <c r="AQ26" i="17"/>
  <c r="M29" i="17"/>
  <c r="AQ18" i="17"/>
  <c r="AU18" i="17" s="1"/>
  <c r="AU19" i="17" s="1"/>
  <c r="AU16" i="17" s="1"/>
  <c r="M19" i="17"/>
  <c r="M16" i="17" s="1"/>
  <c r="S245" i="17"/>
  <c r="S244" i="17" s="1"/>
  <c r="AM198" i="17"/>
  <c r="AM197" i="17" s="1"/>
  <c r="U197" i="17"/>
  <c r="S197" i="17"/>
  <c r="AM163" i="17"/>
  <c r="AB182" i="17"/>
  <c r="AB151" i="17"/>
  <c r="T163" i="17"/>
  <c r="S150" i="17"/>
  <c r="R182" i="17"/>
  <c r="R151" i="17"/>
  <c r="AB78" i="17"/>
  <c r="CR59" i="18"/>
  <c r="CM59" i="18"/>
  <c r="CN46" i="18"/>
  <c r="AS103" i="17"/>
  <c r="AN105" i="17"/>
  <c r="AN100" i="17" s="1"/>
  <c r="AS89" i="17"/>
  <c r="AN92" i="17"/>
  <c r="AS86" i="17"/>
  <c r="AN88" i="17"/>
  <c r="AQ124" i="17"/>
  <c r="M133" i="17"/>
  <c r="M123" i="17" s="1"/>
  <c r="AQ112" i="17"/>
  <c r="M117" i="17"/>
  <c r="M111" i="17" s="1"/>
  <c r="AQ102" i="17"/>
  <c r="M105" i="17"/>
  <c r="M100" i="17" s="1"/>
  <c r="AQ95" i="17"/>
  <c r="M99" i="17"/>
  <c r="M93" i="17" s="1"/>
  <c r="AQ84" i="17"/>
  <c r="M85" i="17"/>
  <c r="M79" i="17" s="1"/>
  <c r="AS57" i="17"/>
  <c r="AS60" i="17" s="1"/>
  <c r="CJ22" i="18" s="1"/>
  <c r="AN60" i="17"/>
  <c r="AS47" i="17"/>
  <c r="AT47" i="17" s="1"/>
  <c r="BB47" i="17" s="1"/>
  <c r="AN50" i="17"/>
  <c r="AS27" i="17"/>
  <c r="AT27" i="17" s="1"/>
  <c r="AN29" i="17"/>
  <c r="AS17" i="17"/>
  <c r="AS19" i="17" s="1"/>
  <c r="AN19" i="17"/>
  <c r="AN16" i="17" s="1"/>
  <c r="AS9" i="17"/>
  <c r="AN11" i="17"/>
  <c r="AR26" i="17"/>
  <c r="AF29" i="17"/>
  <c r="AQ65" i="17"/>
  <c r="M77" i="17"/>
  <c r="M61" i="17" s="1"/>
  <c r="AQ51" i="17"/>
  <c r="AU51" i="17" s="1"/>
  <c r="M56" i="17"/>
  <c r="AQ43" i="17"/>
  <c r="AT43" i="17" s="1"/>
  <c r="BB43" i="17" s="1"/>
  <c r="M44" i="17"/>
  <c r="M40" i="17" s="1"/>
  <c r="AQ31" i="17"/>
  <c r="M37" i="17"/>
  <c r="AQ21" i="17"/>
  <c r="M25" i="17"/>
  <c r="AN258" i="17"/>
  <c r="AN245" i="17" s="1"/>
  <c r="U245" i="17"/>
  <c r="U244" i="17" s="1"/>
  <c r="M245" i="17"/>
  <c r="AE208" i="17"/>
  <c r="AF208" i="17" s="1"/>
  <c r="AR208" i="17" s="1"/>
  <c r="AF212" i="17"/>
  <c r="AF203" i="17"/>
  <c r="AE212" i="17"/>
  <c r="AE203" i="17"/>
  <c r="AB198" i="17"/>
  <c r="T198" i="17"/>
  <c r="AN178" i="17"/>
  <c r="AM182" i="17"/>
  <c r="AM151" i="17"/>
  <c r="AF196" i="17"/>
  <c r="AE196" i="17"/>
  <c r="AB163" i="17"/>
  <c r="T182" i="17"/>
  <c r="T151" i="17"/>
  <c r="R163" i="17"/>
  <c r="M178" i="17"/>
  <c r="M163" i="17" s="1"/>
  <c r="L182" i="17"/>
  <c r="L151" i="17"/>
  <c r="CQ59" i="18"/>
  <c r="CR46" i="18"/>
  <c r="AQ283" i="17"/>
  <c r="AM45" i="17"/>
  <c r="AM20" i="17"/>
  <c r="R5" i="17"/>
  <c r="AE239" i="17"/>
  <c r="AE236" i="17"/>
  <c r="AF236" i="17" s="1"/>
  <c r="AR236" i="17" s="1"/>
  <c r="AE233" i="17"/>
  <c r="AE224" i="17"/>
  <c r="AF224" i="17" s="1"/>
  <c r="AR224" i="17" s="1"/>
  <c r="AT240" i="17"/>
  <c r="AT228" i="17"/>
  <c r="AE183" i="17"/>
  <c r="CQ51" i="18"/>
  <c r="CP46" i="18"/>
  <c r="CO47" i="18"/>
  <c r="CM51" i="18"/>
  <c r="AF177" i="17"/>
  <c r="AR177" i="17" s="1"/>
  <c r="AQ155" i="17"/>
  <c r="AQ153" i="17"/>
  <c r="AS139" i="17"/>
  <c r="AT91" i="17"/>
  <c r="BB91" i="17" s="1"/>
  <c r="CO7" i="18"/>
  <c r="CM7" i="18"/>
  <c r="AF75" i="17"/>
  <c r="AR75" i="17" s="1"/>
  <c r="AE72" i="17"/>
  <c r="AF72" i="17" s="1"/>
  <c r="AR72" i="17" s="1"/>
  <c r="AT72" i="17" s="1"/>
  <c r="BB72" i="17" s="1"/>
  <c r="AE68" i="17"/>
  <c r="AF68" i="17" s="1"/>
  <c r="AR68" i="17" s="1"/>
  <c r="AT68" i="17" s="1"/>
  <c r="AE57" i="17"/>
  <c r="AE52" i="17"/>
  <c r="AF52" i="17" s="1"/>
  <c r="AR52" i="17" s="1"/>
  <c r="AE48" i="17"/>
  <c r="AF48" i="17" s="1"/>
  <c r="AR48" i="17" s="1"/>
  <c r="AE42" i="17"/>
  <c r="AF38" i="17"/>
  <c r="AE33" i="17"/>
  <c r="AF33" i="17" s="1"/>
  <c r="AR33" i="17" s="1"/>
  <c r="AE9" i="17"/>
  <c r="AF9" i="17" s="1"/>
  <c r="AR9" i="17" s="1"/>
  <c r="AT58" i="17"/>
  <c r="BB58" i="17" s="1"/>
  <c r="AT23" i="17"/>
  <c r="AQ184" i="17"/>
  <c r="AS184" i="17"/>
  <c r="L163" i="17"/>
  <c r="CO60" i="18"/>
  <c r="AE241" i="17"/>
  <c r="AF241" i="17" s="1"/>
  <c r="AR241" i="17" s="1"/>
  <c r="AE222" i="17"/>
  <c r="CQ47" i="18"/>
  <c r="CO51" i="18"/>
  <c r="CM47" i="18"/>
  <c r="AQ161" i="17"/>
  <c r="AT161" i="17" s="1"/>
  <c r="BB161" i="17" s="1"/>
  <c r="AS121" i="17"/>
  <c r="AS119" i="17"/>
  <c r="AS87" i="17"/>
  <c r="AQ138" i="17"/>
  <c r="AQ136" i="17"/>
  <c r="AQ131" i="17"/>
  <c r="AQ129" i="17"/>
  <c r="AQ127" i="17"/>
  <c r="AQ125" i="17"/>
  <c r="AQ120" i="17"/>
  <c r="AQ115" i="17"/>
  <c r="AQ113" i="17"/>
  <c r="AQ108" i="17"/>
  <c r="AQ103" i="17"/>
  <c r="AQ101" i="17"/>
  <c r="AQ89" i="17"/>
  <c r="AE73" i="17"/>
  <c r="AF73" i="17" s="1"/>
  <c r="AR73" i="17" s="1"/>
  <c r="AY73" i="17" s="1"/>
  <c r="AE71" i="17"/>
  <c r="AF71" i="17" s="1"/>
  <c r="AR71" i="17" s="1"/>
  <c r="AF65" i="17"/>
  <c r="AR65" i="17" s="1"/>
  <c r="AE62" i="17"/>
  <c r="AE59" i="17"/>
  <c r="AF59" i="17" s="1"/>
  <c r="AR59" i="17" s="1"/>
  <c r="AT59" i="17" s="1"/>
  <c r="BB59" i="17" s="1"/>
  <c r="AE54" i="17"/>
  <c r="AF54" i="17" s="1"/>
  <c r="AR54" i="17" s="1"/>
  <c r="AT54" i="17" s="1"/>
  <c r="BB54" i="17" s="1"/>
  <c r="AE51" i="17"/>
  <c r="AE46" i="17"/>
  <c r="AE35" i="17"/>
  <c r="AF35" i="17" s="1"/>
  <c r="AR35" i="17" s="1"/>
  <c r="AT35" i="17" s="1"/>
  <c r="AE31" i="17"/>
  <c r="AE24" i="17"/>
  <c r="AE12" i="17"/>
  <c r="AE7" i="17"/>
  <c r="AF83" i="17"/>
  <c r="AR83" i="17" s="1"/>
  <c r="S150" i="16"/>
  <c r="M197" i="16"/>
  <c r="L150" i="16"/>
  <c r="AB78" i="16"/>
  <c r="U78" i="16"/>
  <c r="S78" i="16"/>
  <c r="AS65" i="16"/>
  <c r="AN77" i="16"/>
  <c r="AN61" i="16" s="1"/>
  <c r="AS58" i="16"/>
  <c r="AN60" i="16"/>
  <c r="AS41" i="16"/>
  <c r="AN44" i="16"/>
  <c r="AN40" i="16" s="1"/>
  <c r="AS33" i="16"/>
  <c r="AN37" i="16"/>
  <c r="AS21" i="16"/>
  <c r="AN25" i="16"/>
  <c r="AS8" i="16"/>
  <c r="AN11" i="16"/>
  <c r="AR38" i="16"/>
  <c r="AF39" i="16"/>
  <c r="BZ24" i="18"/>
  <c r="BZ23" i="18" s="1"/>
  <c r="AV5" i="16"/>
  <c r="AQ57" i="16"/>
  <c r="M60" i="16"/>
  <c r="AQ47" i="16"/>
  <c r="M50" i="16"/>
  <c r="AQ27" i="16"/>
  <c r="M29" i="16"/>
  <c r="AQ17" i="16"/>
  <c r="M19" i="16"/>
  <c r="M16" i="16" s="1"/>
  <c r="AQ7" i="16"/>
  <c r="M11" i="16"/>
  <c r="S245" i="16"/>
  <c r="S244" i="16" s="1"/>
  <c r="AM198" i="16"/>
  <c r="T197" i="16"/>
  <c r="AM182" i="16"/>
  <c r="AM151" i="16"/>
  <c r="AB163" i="16"/>
  <c r="U150" i="16"/>
  <c r="T182" i="16"/>
  <c r="T151" i="16"/>
  <c r="R163" i="16"/>
  <c r="M150" i="16"/>
  <c r="CC59" i="18"/>
  <c r="CE46" i="18"/>
  <c r="AT65" i="16"/>
  <c r="AQ250" i="16"/>
  <c r="AS283" i="16"/>
  <c r="AS289" i="16"/>
  <c r="AS51" i="16"/>
  <c r="AT51" i="16" s="1"/>
  <c r="BB51" i="16" s="1"/>
  <c r="AN56" i="16"/>
  <c r="AS46" i="16"/>
  <c r="AN50" i="16"/>
  <c r="AS38" i="16"/>
  <c r="AS39" i="16" s="1"/>
  <c r="BW16" i="18" s="1"/>
  <c r="AN39" i="16"/>
  <c r="AS26" i="16"/>
  <c r="AN29" i="16"/>
  <c r="AS18" i="16"/>
  <c r="AN19" i="16"/>
  <c r="AN16" i="16" s="1"/>
  <c r="AQ64" i="16"/>
  <c r="M77" i="16"/>
  <c r="M61" i="16" s="1"/>
  <c r="AQ52" i="16"/>
  <c r="M56" i="16"/>
  <c r="AQ42" i="16"/>
  <c r="AU42" i="16" s="1"/>
  <c r="AU44" i="16" s="1"/>
  <c r="AU40" i="16" s="1"/>
  <c r="M44" i="16"/>
  <c r="M40" i="16" s="1"/>
  <c r="AQ32" i="16"/>
  <c r="M37" i="16"/>
  <c r="AQ22" i="16"/>
  <c r="M25" i="16"/>
  <c r="AQ12" i="16"/>
  <c r="AU12" i="16" s="1"/>
  <c r="AU15" i="16" s="1"/>
  <c r="M15" i="16"/>
  <c r="AM245" i="16"/>
  <c r="AM244" i="16" s="1"/>
  <c r="U245" i="16"/>
  <c r="U244" i="16" s="1"/>
  <c r="M245" i="16"/>
  <c r="M244" i="16" s="1"/>
  <c r="AE208" i="16"/>
  <c r="AF208" i="16" s="1"/>
  <c r="AR208" i="16" s="1"/>
  <c r="AB198" i="16"/>
  <c r="Y197" i="16"/>
  <c r="R197" i="16"/>
  <c r="AM163" i="16"/>
  <c r="AB182" i="16"/>
  <c r="AB151" i="16"/>
  <c r="T163" i="16"/>
  <c r="R182" i="16"/>
  <c r="R151" i="16"/>
  <c r="Y78" i="16"/>
  <c r="CA46" i="18"/>
  <c r="AT48" i="16"/>
  <c r="BB48" i="16" s="1"/>
  <c r="AQ254" i="16"/>
  <c r="BU77" i="18" s="1"/>
  <c r="AQ258" i="16"/>
  <c r="BU78" i="18" s="1"/>
  <c r="AQ263" i="16"/>
  <c r="BU80" i="18" s="1"/>
  <c r="AS276" i="16"/>
  <c r="BW84" i="18" s="1"/>
  <c r="BW82" i="18" s="1"/>
  <c r="CE75" i="18"/>
  <c r="CE74" i="18" s="1"/>
  <c r="CB75" i="18"/>
  <c r="CB74" i="18" s="1"/>
  <c r="AR283" i="16"/>
  <c r="AE222" i="16"/>
  <c r="AE214" i="16"/>
  <c r="AE204" i="16"/>
  <c r="AE187" i="16"/>
  <c r="AF187" i="16" s="1"/>
  <c r="AR187" i="16" s="1"/>
  <c r="CD51" i="18"/>
  <c r="CC46" i="18"/>
  <c r="CB47" i="18"/>
  <c r="BZ51" i="18"/>
  <c r="AE175" i="16"/>
  <c r="AF171" i="16"/>
  <c r="AR171" i="16" s="1"/>
  <c r="AF170" i="16"/>
  <c r="AR170" i="16" s="1"/>
  <c r="AF169" i="16"/>
  <c r="AF167" i="16"/>
  <c r="AR167" i="16" s="1"/>
  <c r="AF161" i="16"/>
  <c r="AE155" i="16"/>
  <c r="AF155" i="16" s="1"/>
  <c r="AR155" i="16" s="1"/>
  <c r="AT120" i="16"/>
  <c r="BB120" i="16" s="1"/>
  <c r="AS110" i="16"/>
  <c r="AE148" i="16"/>
  <c r="AF148" i="16" s="1"/>
  <c r="AR148" i="16" s="1"/>
  <c r="AT148" i="16" s="1"/>
  <c r="BB148" i="16" s="1"/>
  <c r="AE145" i="16"/>
  <c r="AF145" i="16" s="1"/>
  <c r="AR145" i="16" s="1"/>
  <c r="AT145" i="16" s="1"/>
  <c r="BB145" i="16" s="1"/>
  <c r="AE141" i="16"/>
  <c r="AE138" i="16"/>
  <c r="AF138" i="16" s="1"/>
  <c r="AR138" i="16" s="1"/>
  <c r="AQ126" i="16"/>
  <c r="AQ124" i="16"/>
  <c r="AQ116" i="16"/>
  <c r="AQ114" i="16"/>
  <c r="AQ112" i="16"/>
  <c r="AQ97" i="16"/>
  <c r="AQ95" i="16"/>
  <c r="AQ92" i="16"/>
  <c r="BU29" i="18" s="1"/>
  <c r="AT33" i="16"/>
  <c r="BB33" i="16" s="1"/>
  <c r="AE8" i="16"/>
  <c r="AQ184" i="16"/>
  <c r="AS184" i="16"/>
  <c r="L79" i="16"/>
  <c r="AN6" i="16"/>
  <c r="AM5" i="16"/>
  <c r="AB45" i="16"/>
  <c r="AB20" i="16"/>
  <c r="Y45" i="16"/>
  <c r="Y20" i="16"/>
  <c r="U45" i="16"/>
  <c r="U20" i="16"/>
  <c r="T45" i="16"/>
  <c r="T20" i="16"/>
  <c r="S45" i="16"/>
  <c r="S20" i="16"/>
  <c r="R45" i="16"/>
  <c r="R20" i="16"/>
  <c r="ER83" i="18"/>
  <c r="ER82" i="18" s="1"/>
  <c r="CB60" i="18"/>
  <c r="AE227" i="16"/>
  <c r="AE224" i="16"/>
  <c r="AF224" i="16" s="1"/>
  <c r="AR224" i="16" s="1"/>
  <c r="AE206" i="16"/>
  <c r="AF206" i="16" s="1"/>
  <c r="AR206" i="16" s="1"/>
  <c r="AE201" i="16"/>
  <c r="AE185" i="16"/>
  <c r="CD47" i="18"/>
  <c r="CB51" i="18"/>
  <c r="BZ47" i="18"/>
  <c r="AE194" i="16"/>
  <c r="AE180" i="16"/>
  <c r="AE165" i="16"/>
  <c r="AE158" i="16"/>
  <c r="AE153" i="16"/>
  <c r="AT115" i="16"/>
  <c r="BB115" i="16" s="1"/>
  <c r="AE147" i="16"/>
  <c r="AF147" i="16" s="1"/>
  <c r="AR147" i="16" s="1"/>
  <c r="AT147" i="16" s="1"/>
  <c r="AE143" i="16"/>
  <c r="AF143" i="16" s="1"/>
  <c r="AR143" i="16" s="1"/>
  <c r="AT143" i="16" s="1"/>
  <c r="BB143" i="16" s="1"/>
  <c r="AE136" i="16"/>
  <c r="AE131" i="16"/>
  <c r="AF131" i="16" s="1"/>
  <c r="AR131" i="16" s="1"/>
  <c r="AQ139" i="16"/>
  <c r="CC7" i="18"/>
  <c r="AS59" i="16"/>
  <c r="AS57" i="16"/>
  <c r="AS49" i="16"/>
  <c r="AS47" i="16"/>
  <c r="AS42" i="16"/>
  <c r="AS27" i="16"/>
  <c r="AE10" i="16"/>
  <c r="AF10" i="16" s="1"/>
  <c r="AR10" i="16" s="1"/>
  <c r="AT10" i="16" s="1"/>
  <c r="BB10" i="16" s="1"/>
  <c r="AF83" i="16"/>
  <c r="AR83" i="16" s="1"/>
  <c r="R197" i="15"/>
  <c r="U150" i="15"/>
  <c r="AF141" i="15"/>
  <c r="AF124" i="15"/>
  <c r="AF119" i="15"/>
  <c r="AE122" i="15"/>
  <c r="AE118" i="15" s="1"/>
  <c r="AE117" i="15"/>
  <c r="AE111" i="15" s="1"/>
  <c r="AF113" i="15"/>
  <c r="AF104" i="15"/>
  <c r="AR104" i="15" s="1"/>
  <c r="AR82" i="15"/>
  <c r="AQ138" i="15"/>
  <c r="M139" i="15"/>
  <c r="M134" i="15" s="1"/>
  <c r="AQ125" i="15"/>
  <c r="M133" i="15"/>
  <c r="M123" i="15" s="1"/>
  <c r="AQ115" i="15"/>
  <c r="M117" i="15"/>
  <c r="M111" i="15" s="1"/>
  <c r="AQ95" i="15"/>
  <c r="M99" i="15"/>
  <c r="M93" i="15" s="1"/>
  <c r="BL18" i="18"/>
  <c r="BL17" i="18" s="1"/>
  <c r="AS65" i="15"/>
  <c r="AN77" i="15"/>
  <c r="AN61" i="15" s="1"/>
  <c r="AS51" i="15"/>
  <c r="AN56" i="15"/>
  <c r="AS43" i="15"/>
  <c r="AN44" i="15"/>
  <c r="AN40" i="15" s="1"/>
  <c r="AS31" i="15"/>
  <c r="AN37" i="15"/>
  <c r="AS21" i="15"/>
  <c r="AN25" i="15"/>
  <c r="AS13" i="15"/>
  <c r="AN15" i="15"/>
  <c r="AR21" i="15"/>
  <c r="AQ46" i="15"/>
  <c r="M50" i="15"/>
  <c r="AQ27" i="15"/>
  <c r="M29" i="15"/>
  <c r="S245" i="15"/>
  <c r="S244" i="15" s="1"/>
  <c r="AN237" i="15"/>
  <c r="AN232" i="15" s="1"/>
  <c r="AN220" i="15"/>
  <c r="AN213" i="15" s="1"/>
  <c r="AN212" i="15"/>
  <c r="AN198" i="15" s="1"/>
  <c r="AM198" i="15"/>
  <c r="AF212" i="15"/>
  <c r="AE212" i="15"/>
  <c r="AB198" i="15"/>
  <c r="M237" i="15"/>
  <c r="M232" i="15" s="1"/>
  <c r="M220" i="15"/>
  <c r="M213" i="15" s="1"/>
  <c r="L198" i="15"/>
  <c r="AN178" i="15"/>
  <c r="AN163" i="15" s="1"/>
  <c r="AN150" i="15" s="1"/>
  <c r="AM182" i="15"/>
  <c r="AM151" i="15"/>
  <c r="AB163" i="15"/>
  <c r="T182" i="15"/>
  <c r="T151" i="15"/>
  <c r="R163" i="15"/>
  <c r="M178" i="15"/>
  <c r="M163" i="15" s="1"/>
  <c r="L182" i="15"/>
  <c r="Y78" i="15"/>
  <c r="T78" i="15"/>
  <c r="R78" i="15"/>
  <c r="AT228" i="15"/>
  <c r="AR212" i="15"/>
  <c r="BI63" i="18" s="1"/>
  <c r="BP46" i="18"/>
  <c r="AS268" i="15"/>
  <c r="BJ81" i="18" s="1"/>
  <c r="AQ283" i="15"/>
  <c r="AF136" i="15"/>
  <c r="AE110" i="15"/>
  <c r="AE106" i="15" s="1"/>
  <c r="AF108" i="15"/>
  <c r="AF94" i="15"/>
  <c r="AE99" i="15"/>
  <c r="AE93" i="15" s="1"/>
  <c r="AF89" i="15"/>
  <c r="AE92" i="15"/>
  <c r="AF87" i="15"/>
  <c r="AE88" i="15"/>
  <c r="AQ141" i="15"/>
  <c r="M149" i="15"/>
  <c r="M140" i="15" s="1"/>
  <c r="AQ120" i="15"/>
  <c r="M122" i="15"/>
  <c r="M118" i="15" s="1"/>
  <c r="AQ102" i="15"/>
  <c r="AQ90" i="15"/>
  <c r="M92" i="15"/>
  <c r="AS46" i="15"/>
  <c r="AN50" i="15"/>
  <c r="AN45" i="15" s="1"/>
  <c r="AS26" i="15"/>
  <c r="AN29" i="15"/>
  <c r="AN20" i="15" s="1"/>
  <c r="AS18" i="15"/>
  <c r="AT18" i="15" s="1"/>
  <c r="BB18" i="15" s="1"/>
  <c r="AN19" i="15"/>
  <c r="AN16" i="15" s="1"/>
  <c r="AS8" i="15"/>
  <c r="AT8" i="15" s="1"/>
  <c r="BB8" i="15" s="1"/>
  <c r="AN11" i="15"/>
  <c r="AN6" i="15" s="1"/>
  <c r="AR26" i="15"/>
  <c r="AF29" i="15"/>
  <c r="AF12" i="15"/>
  <c r="AQ65" i="15"/>
  <c r="M77" i="15"/>
  <c r="M61" i="15" s="1"/>
  <c r="AQ51" i="15"/>
  <c r="AU51" i="15" s="1"/>
  <c r="M56" i="15"/>
  <c r="AQ43" i="15"/>
  <c r="M44" i="15"/>
  <c r="M40" i="15" s="1"/>
  <c r="AQ33" i="15"/>
  <c r="M37" i="15"/>
  <c r="AQ9" i="15"/>
  <c r="AU9" i="15" s="1"/>
  <c r="AU11" i="15" s="1"/>
  <c r="M11" i="15"/>
  <c r="M6" i="15" s="1"/>
  <c r="T197" i="15"/>
  <c r="Y182" i="15"/>
  <c r="AM163" i="15"/>
  <c r="AB182" i="15"/>
  <c r="AB151" i="15"/>
  <c r="T163" i="15"/>
  <c r="AT211" i="15"/>
  <c r="BB211" i="15" s="1"/>
  <c r="AS273" i="15"/>
  <c r="AQ276" i="15"/>
  <c r="BH84" i="18" s="1"/>
  <c r="BH82" i="18" s="1"/>
  <c r="AS243" i="15"/>
  <c r="AT235" i="15"/>
  <c r="AT230" i="15"/>
  <c r="BB230" i="15" s="1"/>
  <c r="AT216" i="15"/>
  <c r="BB216" i="15" s="1"/>
  <c r="AE202" i="15"/>
  <c r="AF202" i="15" s="1"/>
  <c r="AR202" i="15" s="1"/>
  <c r="AE199" i="15"/>
  <c r="AE187" i="15"/>
  <c r="AF187" i="15" s="1"/>
  <c r="AR187" i="15" s="1"/>
  <c r="BQ51" i="18"/>
  <c r="BO47" i="18"/>
  <c r="BM51" i="18"/>
  <c r="AE194" i="15"/>
  <c r="AE180" i="15"/>
  <c r="AF180" i="15" s="1"/>
  <c r="AE175" i="15"/>
  <c r="AF170" i="15"/>
  <c r="AE158" i="15"/>
  <c r="AE153" i="15"/>
  <c r="AE144" i="15"/>
  <c r="AF144" i="15" s="1"/>
  <c r="AR144" i="15" s="1"/>
  <c r="AE131" i="15"/>
  <c r="AF131" i="15" s="1"/>
  <c r="AR131" i="15" s="1"/>
  <c r="AE127" i="15"/>
  <c r="AF127" i="15" s="1"/>
  <c r="AR127" i="15" s="1"/>
  <c r="EL28" i="18"/>
  <c r="BR6" i="18"/>
  <c r="BQ12" i="18"/>
  <c r="BN6" i="18"/>
  <c r="AT67" i="15"/>
  <c r="AT63" i="15"/>
  <c r="BB63" i="15" s="1"/>
  <c r="AT47" i="15"/>
  <c r="BB47" i="15" s="1"/>
  <c r="AT36" i="15"/>
  <c r="AT32" i="15"/>
  <c r="AT28" i="15"/>
  <c r="AT27" i="15"/>
  <c r="AT10" i="15"/>
  <c r="BB10" i="15" s="1"/>
  <c r="AE76" i="15"/>
  <c r="AF76" i="15" s="1"/>
  <c r="AR76" i="15" s="1"/>
  <c r="AE71" i="15"/>
  <c r="AF71" i="15" s="1"/>
  <c r="AR71" i="15" s="1"/>
  <c r="AT71" i="15" s="1"/>
  <c r="BB71" i="15" s="1"/>
  <c r="AF65" i="15"/>
  <c r="AR65" i="15" s="1"/>
  <c r="AE62" i="15"/>
  <c r="AF62" i="15" s="1"/>
  <c r="AR62" i="15" s="1"/>
  <c r="AY62" i="15" s="1"/>
  <c r="AY77" i="15" s="1"/>
  <c r="AY61" i="15" s="1"/>
  <c r="AE59" i="15"/>
  <c r="AF59" i="15" s="1"/>
  <c r="AR59" i="15" s="1"/>
  <c r="AE54" i="15"/>
  <c r="AF54" i="15" s="1"/>
  <c r="AR54" i="15" s="1"/>
  <c r="AE51" i="15"/>
  <c r="AE46" i="15"/>
  <c r="AE35" i="15"/>
  <c r="AF35" i="15" s="1"/>
  <c r="AR35" i="15" s="1"/>
  <c r="AT35" i="15" s="1"/>
  <c r="AE31" i="15"/>
  <c r="AE24" i="15"/>
  <c r="AE14" i="15"/>
  <c r="AF14" i="15" s="1"/>
  <c r="AR14" i="15" s="1"/>
  <c r="AT14" i="15" s="1"/>
  <c r="BB14" i="15" s="1"/>
  <c r="AE9" i="15"/>
  <c r="AF9" i="15" s="1"/>
  <c r="AR9" i="15" s="1"/>
  <c r="ER16" i="18"/>
  <c r="ER8" i="18"/>
  <c r="AF83" i="15"/>
  <c r="AR83" i="15" s="1"/>
  <c r="AR85" i="15" s="1"/>
  <c r="BI27" i="18" s="1"/>
  <c r="AQ184" i="15"/>
  <c r="AS184" i="15"/>
  <c r="AS200" i="15"/>
  <c r="AE205" i="15"/>
  <c r="AE200" i="15"/>
  <c r="AF200" i="15" s="1"/>
  <c r="AR200" i="15" s="1"/>
  <c r="AE192" i="15"/>
  <c r="AF191" i="15"/>
  <c r="AE185" i="15"/>
  <c r="BR46" i="18"/>
  <c r="BQ47" i="18"/>
  <c r="BO51" i="18"/>
  <c r="BN46" i="18"/>
  <c r="BM47" i="18"/>
  <c r="AT161" i="15"/>
  <c r="BB161" i="15" s="1"/>
  <c r="AT155" i="15"/>
  <c r="BB155" i="15" s="1"/>
  <c r="AF176" i="15"/>
  <c r="AR176" i="15" s="1"/>
  <c r="AE146" i="15"/>
  <c r="AF146" i="15" s="1"/>
  <c r="AR146" i="15" s="1"/>
  <c r="AE142" i="15"/>
  <c r="AF142" i="15" s="1"/>
  <c r="AR142" i="15" s="1"/>
  <c r="AE137" i="15"/>
  <c r="AF137" i="15" s="1"/>
  <c r="AR137" i="15" s="1"/>
  <c r="AE129" i="15"/>
  <c r="AF129" i="15" s="1"/>
  <c r="AR129" i="15" s="1"/>
  <c r="AE125" i="15"/>
  <c r="AF125" i="15" s="1"/>
  <c r="AR125" i="15" s="1"/>
  <c r="AF98" i="15"/>
  <c r="AR98" i="15" s="1"/>
  <c r="BQ19" i="18"/>
  <c r="BO19" i="18"/>
  <c r="BO12" i="18"/>
  <c r="BM19" i="18"/>
  <c r="BM12" i="18"/>
  <c r="AT64" i="15"/>
  <c r="AT59" i="15"/>
  <c r="BB59" i="15" s="1"/>
  <c r="AT54" i="15"/>
  <c r="BB54" i="15" s="1"/>
  <c r="AE74" i="15"/>
  <c r="AF74" i="15" s="1"/>
  <c r="AR74" i="15" s="1"/>
  <c r="AE68" i="15"/>
  <c r="AF68" i="15" s="1"/>
  <c r="AR68" i="15" s="1"/>
  <c r="AT68" i="15" s="1"/>
  <c r="AE57" i="15"/>
  <c r="AE52" i="15"/>
  <c r="AF52" i="15" s="1"/>
  <c r="AR52" i="15" s="1"/>
  <c r="AT52" i="15" s="1"/>
  <c r="AE48" i="15"/>
  <c r="AF48" i="15" s="1"/>
  <c r="AR48" i="15" s="1"/>
  <c r="AT48" i="15" s="1"/>
  <c r="BB48" i="15" s="1"/>
  <c r="AE42" i="15"/>
  <c r="AF38" i="15"/>
  <c r="AE33" i="15"/>
  <c r="AF33" i="15" s="1"/>
  <c r="AR33" i="15" s="1"/>
  <c r="AT33" i="15" s="1"/>
  <c r="BB33" i="15" s="1"/>
  <c r="AE13" i="15"/>
  <c r="AF13" i="15" s="1"/>
  <c r="AR13" i="15" s="1"/>
  <c r="AE7" i="15"/>
  <c r="AQ19" i="15"/>
  <c r="EN22" i="18"/>
  <c r="AS248" i="15"/>
  <c r="AS228" i="14"/>
  <c r="AN231" i="14"/>
  <c r="AN226" i="14" s="1"/>
  <c r="AF240" i="14"/>
  <c r="AR214" i="14"/>
  <c r="AR199" i="14"/>
  <c r="U197" i="14"/>
  <c r="BA59" i="18"/>
  <c r="AS240" i="14"/>
  <c r="AN243" i="14"/>
  <c r="AN238" i="14" s="1"/>
  <c r="AS219" i="14"/>
  <c r="AN220" i="14"/>
  <c r="AN213" i="14" s="1"/>
  <c r="AF233" i="14"/>
  <c r="AE237" i="14"/>
  <c r="AE232" i="14" s="1"/>
  <c r="AF216" i="14"/>
  <c r="AR216" i="14" s="1"/>
  <c r="AE220" i="14"/>
  <c r="AE213" i="14" s="1"/>
  <c r="AR210" i="14"/>
  <c r="AF212" i="14"/>
  <c r="AF200" i="14"/>
  <c r="AR200" i="14" s="1"/>
  <c r="AE203" i="14"/>
  <c r="Y197" i="14"/>
  <c r="BE59" i="18"/>
  <c r="BC59" i="18"/>
  <c r="AQ159" i="14"/>
  <c r="AU49" i="18" s="1"/>
  <c r="AT157" i="14"/>
  <c r="BB157" i="14" s="1"/>
  <c r="BC42" i="18"/>
  <c r="EP43" i="18"/>
  <c r="EP42" i="18" s="1"/>
  <c r="BC34" i="18"/>
  <c r="BC25" i="18" s="1"/>
  <c r="EP35" i="18"/>
  <c r="EP34" i="18" s="1"/>
  <c r="AB245" i="14"/>
  <c r="AB244" i="14" s="1"/>
  <c r="Y245" i="14"/>
  <c r="Y244" i="14" s="1"/>
  <c r="R245" i="14"/>
  <c r="R244" i="14" s="1"/>
  <c r="AE207" i="14"/>
  <c r="AF207" i="14" s="1"/>
  <c r="AR207" i="14" s="1"/>
  <c r="AM197" i="14"/>
  <c r="AB198" i="14"/>
  <c r="T198" i="14"/>
  <c r="R198" i="14"/>
  <c r="T182" i="14"/>
  <c r="T151" i="14"/>
  <c r="R163" i="14"/>
  <c r="L150" i="14"/>
  <c r="AN78" i="14"/>
  <c r="AM79" i="14"/>
  <c r="AR273" i="14"/>
  <c r="BD75" i="18"/>
  <c r="BD74" i="18" s="1"/>
  <c r="BB60" i="18"/>
  <c r="BE56" i="18"/>
  <c r="BC56" i="18"/>
  <c r="BA56" i="18"/>
  <c r="AY56" i="18"/>
  <c r="AE189" i="14"/>
  <c r="AF189" i="14" s="1"/>
  <c r="AR189" i="14" s="1"/>
  <c r="AE183" i="14"/>
  <c r="BD51" i="18"/>
  <c r="BB47" i="18"/>
  <c r="AF177" i="14"/>
  <c r="AR177" i="14" s="1"/>
  <c r="AE175" i="14"/>
  <c r="AF175" i="14" s="1"/>
  <c r="AR175" i="14" s="1"/>
  <c r="AF174" i="14"/>
  <c r="AR174" i="14" s="1"/>
  <c r="AT174" i="14" s="1"/>
  <c r="BB174" i="14" s="1"/>
  <c r="AE172" i="14"/>
  <c r="AF170" i="14"/>
  <c r="AR170" i="14" s="1"/>
  <c r="AT170" i="14" s="1"/>
  <c r="BB170" i="14" s="1"/>
  <c r="AE166" i="14"/>
  <c r="AF166" i="14" s="1"/>
  <c r="AR166" i="14" s="1"/>
  <c r="AE165" i="14"/>
  <c r="AE154" i="14"/>
  <c r="AF154" i="14" s="1"/>
  <c r="AR154" i="14" s="1"/>
  <c r="AT154" i="14" s="1"/>
  <c r="BB154" i="14" s="1"/>
  <c r="AE153" i="14"/>
  <c r="AQ181" i="14"/>
  <c r="AU54" i="18" s="1"/>
  <c r="AE144" i="14"/>
  <c r="AF144" i="14" s="1"/>
  <c r="AR144" i="14" s="1"/>
  <c r="AE137" i="14"/>
  <c r="AF137" i="14" s="1"/>
  <c r="AR137" i="14" s="1"/>
  <c r="AE132" i="14"/>
  <c r="AF132" i="14" s="1"/>
  <c r="AR132" i="14" s="1"/>
  <c r="AE131" i="14"/>
  <c r="AF131" i="14" s="1"/>
  <c r="AR131" i="14" s="1"/>
  <c r="AE124" i="14"/>
  <c r="AE119" i="14"/>
  <c r="AE113" i="14"/>
  <c r="AE107" i="14"/>
  <c r="AE101" i="14"/>
  <c r="AE91" i="14"/>
  <c r="AF91" i="14" s="1"/>
  <c r="AR91" i="14" s="1"/>
  <c r="AE90" i="14"/>
  <c r="AF81" i="14"/>
  <c r="AR81" i="14" s="1"/>
  <c r="AN175" i="14"/>
  <c r="AS175" i="14" s="1"/>
  <c r="AT175" i="14" s="1"/>
  <c r="BB175" i="14" s="1"/>
  <c r="AN173" i="14"/>
  <c r="AS173" i="14" s="1"/>
  <c r="AN171" i="14"/>
  <c r="AS171" i="14" s="1"/>
  <c r="AT171" i="14" s="1"/>
  <c r="BB171" i="14" s="1"/>
  <c r="AN169" i="14"/>
  <c r="AN161" i="14"/>
  <c r="AN162" i="14" s="1"/>
  <c r="AN151" i="14" s="1"/>
  <c r="BE40" i="18"/>
  <c r="ER41" i="18"/>
  <c r="ER40" i="18" s="1"/>
  <c r="BE32" i="18"/>
  <c r="ER33" i="18"/>
  <c r="ER32" i="18" s="1"/>
  <c r="BA40" i="18"/>
  <c r="EN41" i="18"/>
  <c r="EN40" i="18" s="1"/>
  <c r="BA32" i="18"/>
  <c r="EN33" i="18"/>
  <c r="EN32" i="18" s="1"/>
  <c r="AY40" i="18"/>
  <c r="EL41" i="18"/>
  <c r="EL40" i="18" s="1"/>
  <c r="AY32" i="18"/>
  <c r="EL33" i="18"/>
  <c r="EQ56" i="18"/>
  <c r="EO56" i="18"/>
  <c r="EM56" i="18"/>
  <c r="AN245" i="14"/>
  <c r="AN244" i="14" s="1"/>
  <c r="T245" i="14"/>
  <c r="T244" i="14" s="1"/>
  <c r="L245" i="14"/>
  <c r="L244" i="14" s="1"/>
  <c r="AN198" i="14"/>
  <c r="Y182" i="14"/>
  <c r="AM151" i="14"/>
  <c r="AB151" i="14"/>
  <c r="AB150" i="14" s="1"/>
  <c r="T163" i="14"/>
  <c r="R182" i="14"/>
  <c r="R151" i="14"/>
  <c r="AB78" i="14"/>
  <c r="U78" i="14"/>
  <c r="AM5" i="14"/>
  <c r="R5" i="14"/>
  <c r="BB75" i="18"/>
  <c r="BB74" i="18" s="1"/>
  <c r="AE241" i="14"/>
  <c r="AF241" i="14" s="1"/>
  <c r="AR241" i="14" s="1"/>
  <c r="AE222" i="14"/>
  <c r="AE206" i="14"/>
  <c r="AE192" i="14"/>
  <c r="AF191" i="14"/>
  <c r="AE186" i="14"/>
  <c r="AF186" i="14" s="1"/>
  <c r="AR186" i="14" s="1"/>
  <c r="BD47" i="18"/>
  <c r="BB51" i="18"/>
  <c r="BA47" i="18"/>
  <c r="AZ51" i="18"/>
  <c r="AE195" i="14"/>
  <c r="AF195" i="14" s="1"/>
  <c r="AR195" i="14" s="1"/>
  <c r="AE194" i="14"/>
  <c r="AE180" i="14"/>
  <c r="AF173" i="14"/>
  <c r="AR173" i="14" s="1"/>
  <c r="AF169" i="14"/>
  <c r="AE160" i="14"/>
  <c r="AE158" i="14"/>
  <c r="AE148" i="14"/>
  <c r="AF148" i="14" s="1"/>
  <c r="AR148" i="14" s="1"/>
  <c r="AE147" i="14"/>
  <c r="AF147" i="14" s="1"/>
  <c r="AR147" i="14" s="1"/>
  <c r="AE143" i="14"/>
  <c r="AF143" i="14" s="1"/>
  <c r="AR143" i="14" s="1"/>
  <c r="AE136" i="14"/>
  <c r="AE128" i="14"/>
  <c r="AF128" i="14" s="1"/>
  <c r="AR128" i="14" s="1"/>
  <c r="AE127" i="14"/>
  <c r="AF127" i="14" s="1"/>
  <c r="AR127" i="14" s="1"/>
  <c r="AE114" i="14"/>
  <c r="AF114" i="14" s="1"/>
  <c r="AR114" i="14" s="1"/>
  <c r="AE109" i="14"/>
  <c r="AF109" i="14" s="1"/>
  <c r="AR109" i="14" s="1"/>
  <c r="AE103" i="14"/>
  <c r="AF103" i="14" s="1"/>
  <c r="AR103" i="14" s="1"/>
  <c r="AE96" i="14"/>
  <c r="AE86" i="14"/>
  <c r="AF82" i="14"/>
  <c r="AR82" i="14" s="1"/>
  <c r="BD19" i="18"/>
  <c r="BB19" i="18"/>
  <c r="BB12" i="18"/>
  <c r="AZ19" i="18"/>
  <c r="AZ12" i="18"/>
  <c r="AT55" i="14"/>
  <c r="BB55" i="14" s="1"/>
  <c r="AT52" i="14"/>
  <c r="AT35" i="14"/>
  <c r="AT31" i="14"/>
  <c r="AT9" i="14"/>
  <c r="BB9" i="14" s="1"/>
  <c r="AF75" i="14"/>
  <c r="AR75" i="14" s="1"/>
  <c r="AE72" i="14"/>
  <c r="AF72" i="14" s="1"/>
  <c r="AR72" i="14" s="1"/>
  <c r="AE70" i="14"/>
  <c r="AF70" i="14" s="1"/>
  <c r="AR70" i="14" s="1"/>
  <c r="AY70" i="14" s="1"/>
  <c r="AF43" i="14"/>
  <c r="AR43" i="14" s="1"/>
  <c r="AT43" i="14" s="1"/>
  <c r="BB43" i="14" s="1"/>
  <c r="AF41" i="14"/>
  <c r="AE34" i="14"/>
  <c r="AF34" i="14" s="1"/>
  <c r="AR34" i="14" s="1"/>
  <c r="AT34" i="14" s="1"/>
  <c r="AE30" i="14"/>
  <c r="AF28" i="14"/>
  <c r="AR28" i="14" s="1"/>
  <c r="AT28" i="14" s="1"/>
  <c r="AF27" i="14"/>
  <c r="AR27" i="14" s="1"/>
  <c r="AT27" i="14" s="1"/>
  <c r="AF26" i="14"/>
  <c r="AE22" i="14"/>
  <c r="AF21" i="14"/>
  <c r="AE18" i="14"/>
  <c r="AE14" i="14"/>
  <c r="AF14" i="14" s="1"/>
  <c r="AR14" i="14" s="1"/>
  <c r="AT14" i="14" s="1"/>
  <c r="BB14" i="14" s="1"/>
  <c r="AE8" i="14"/>
  <c r="AF8" i="14" s="1"/>
  <c r="AR8" i="14" s="1"/>
  <c r="AT8" i="14" s="1"/>
  <c r="BB8" i="14" s="1"/>
  <c r="AQ44" i="14"/>
  <c r="AQ184" i="14"/>
  <c r="AS184" i="14"/>
  <c r="AZ47" i="18"/>
  <c r="AF176" i="14"/>
  <c r="AR176" i="14" s="1"/>
  <c r="AT176" i="14" s="1"/>
  <c r="BB176" i="14" s="1"/>
  <c r="AF167" i="14"/>
  <c r="AR167" i="14" s="1"/>
  <c r="AT167" i="14" s="1"/>
  <c r="BB167" i="14" s="1"/>
  <c r="AF161" i="14"/>
  <c r="AR161" i="14" s="1"/>
  <c r="AE155" i="14"/>
  <c r="AF155" i="14" s="1"/>
  <c r="AR155" i="14" s="1"/>
  <c r="AT155" i="14" s="1"/>
  <c r="BB155" i="14" s="1"/>
  <c r="AE145" i="14"/>
  <c r="AF145" i="14" s="1"/>
  <c r="AR145" i="14" s="1"/>
  <c r="AE141" i="14"/>
  <c r="AE138" i="14"/>
  <c r="AF138" i="14" s="1"/>
  <c r="AR138" i="14" s="1"/>
  <c r="AE129" i="14"/>
  <c r="AF129" i="14" s="1"/>
  <c r="AR129" i="14" s="1"/>
  <c r="AE125" i="14"/>
  <c r="AF125" i="14" s="1"/>
  <c r="AR125" i="14" s="1"/>
  <c r="AE115" i="14"/>
  <c r="AF115" i="14" s="1"/>
  <c r="AR115" i="14" s="1"/>
  <c r="AE97" i="14"/>
  <c r="AF97" i="14" s="1"/>
  <c r="AR97" i="14" s="1"/>
  <c r="AE87" i="14"/>
  <c r="AF87" i="14" s="1"/>
  <c r="AR87" i="14" s="1"/>
  <c r="AF80" i="14"/>
  <c r="ER14" i="18"/>
  <c r="EQ11" i="18"/>
  <c r="EQ10" i="18" s="1"/>
  <c r="EP18" i="18"/>
  <c r="EP17" i="18" s="1"/>
  <c r="EN20" i="18"/>
  <c r="BE7" i="18"/>
  <c r="BD12" i="18"/>
  <c r="BC7" i="18"/>
  <c r="BA7" i="18"/>
  <c r="AT69" i="14"/>
  <c r="BB69" i="14" s="1"/>
  <c r="AT58" i="14"/>
  <c r="BB58" i="14" s="1"/>
  <c r="AT53" i="14"/>
  <c r="BB53" i="14" s="1"/>
  <c r="AT48" i="14"/>
  <c r="BB48" i="14" s="1"/>
  <c r="AT33" i="14"/>
  <c r="BB33" i="14" s="1"/>
  <c r="AT10" i="14"/>
  <c r="BB10" i="14" s="1"/>
  <c r="AE73" i="14"/>
  <c r="AF73" i="14" s="1"/>
  <c r="AR73" i="14" s="1"/>
  <c r="AY73" i="14" s="1"/>
  <c r="AF65" i="14"/>
  <c r="AR65" i="14" s="1"/>
  <c r="AT65" i="14" s="1"/>
  <c r="AE62" i="14"/>
  <c r="AF62" i="14" s="1"/>
  <c r="AR62" i="14" s="1"/>
  <c r="AY62" i="14" s="1"/>
  <c r="AY77" i="14" s="1"/>
  <c r="AY61" i="14" s="1"/>
  <c r="AE59" i="14"/>
  <c r="AE47" i="14"/>
  <c r="AE36" i="14"/>
  <c r="AF36" i="14" s="1"/>
  <c r="AR36" i="14" s="1"/>
  <c r="AT36" i="14" s="1"/>
  <c r="AE32" i="14"/>
  <c r="AF32" i="14" s="1"/>
  <c r="AR32" i="14" s="1"/>
  <c r="AT32" i="14" s="1"/>
  <c r="AE23" i="14"/>
  <c r="AF23" i="14" s="1"/>
  <c r="AR23" i="14" s="1"/>
  <c r="AT23" i="14" s="1"/>
  <c r="AE13" i="14"/>
  <c r="AE7" i="14"/>
  <c r="AS247" i="14"/>
  <c r="AQ253" i="14"/>
  <c r="AT253" i="14" s="1"/>
  <c r="BB253" i="14" s="1"/>
  <c r="AQ251" i="14"/>
  <c r="AS256" i="14"/>
  <c r="AS267" i="14"/>
  <c r="AS281" i="14"/>
  <c r="AS287" i="14"/>
  <c r="AF83" i="14"/>
  <c r="AR83" i="14" s="1"/>
  <c r="L197" i="13"/>
  <c r="U78" i="13"/>
  <c r="AE207" i="13"/>
  <c r="AF207" i="13" s="1"/>
  <c r="AR207" i="13" s="1"/>
  <c r="AM182" i="13"/>
  <c r="AM151" i="13"/>
  <c r="AB163" i="13"/>
  <c r="U150" i="13"/>
  <c r="T182" i="13"/>
  <c r="T151" i="13"/>
  <c r="R163" i="13"/>
  <c r="M150" i="13"/>
  <c r="L79" i="13"/>
  <c r="AM45" i="13"/>
  <c r="AM20" i="13"/>
  <c r="U5" i="13"/>
  <c r="AT240" i="13"/>
  <c r="AP46" i="18"/>
  <c r="Y163" i="13"/>
  <c r="AM163" i="13"/>
  <c r="AB182" i="13"/>
  <c r="AB151" i="13"/>
  <c r="T163" i="13"/>
  <c r="S150" i="13"/>
  <c r="R182" i="13"/>
  <c r="R151" i="13"/>
  <c r="L150" i="13"/>
  <c r="AN6" i="13"/>
  <c r="T45" i="13"/>
  <c r="T20" i="13"/>
  <c r="S45" i="13"/>
  <c r="S20" i="13"/>
  <c r="R45" i="13"/>
  <c r="R20" i="13"/>
  <c r="AT80" i="13"/>
  <c r="BB80" i="13" s="1"/>
  <c r="AP75" i="18"/>
  <c r="AP74" i="18" s="1"/>
  <c r="AE241" i="13"/>
  <c r="AF241" i="13" s="1"/>
  <c r="AR241" i="13" s="1"/>
  <c r="AE234" i="13"/>
  <c r="AF234" i="13" s="1"/>
  <c r="AR234" i="13" s="1"/>
  <c r="AE228" i="13"/>
  <c r="AF228" i="13" s="1"/>
  <c r="AR228" i="13" s="1"/>
  <c r="AT228" i="13" s="1"/>
  <c r="AE222" i="13"/>
  <c r="AE216" i="13"/>
  <c r="AF216" i="13" s="1"/>
  <c r="AR216" i="13" s="1"/>
  <c r="AT216" i="13" s="1"/>
  <c r="AE210" i="13"/>
  <c r="AE204" i="13"/>
  <c r="AE189" i="13"/>
  <c r="AF189" i="13" s="1"/>
  <c r="AR189" i="13" s="1"/>
  <c r="AE183" i="13"/>
  <c r="AR46" i="18"/>
  <c r="AQ47" i="18"/>
  <c r="AO51" i="18"/>
  <c r="AN46" i="18"/>
  <c r="AM47" i="18"/>
  <c r="AF174" i="13"/>
  <c r="AR174" i="13" s="1"/>
  <c r="AF173" i="13"/>
  <c r="AR173" i="13" s="1"/>
  <c r="AR6" i="18"/>
  <c r="AQ12" i="18"/>
  <c r="AO19" i="18"/>
  <c r="AO12" i="18"/>
  <c r="AM19" i="18"/>
  <c r="AM6" i="18" s="1"/>
  <c r="AM12" i="18"/>
  <c r="AT53" i="13"/>
  <c r="BB53" i="13" s="1"/>
  <c r="AT48" i="13"/>
  <c r="BB48" i="13" s="1"/>
  <c r="AT28" i="13"/>
  <c r="AE76" i="13"/>
  <c r="AF76" i="13" s="1"/>
  <c r="AR76" i="13" s="1"/>
  <c r="AE66" i="13"/>
  <c r="AF66" i="13" s="1"/>
  <c r="AR66" i="13" s="1"/>
  <c r="AE63" i="13"/>
  <c r="AE59" i="13"/>
  <c r="AF59" i="13" s="1"/>
  <c r="AR59" i="13" s="1"/>
  <c r="AQ24" i="13"/>
  <c r="AQ22" i="13"/>
  <c r="AQ17" i="13"/>
  <c r="AQ19" i="13" s="1"/>
  <c r="AQ9" i="13"/>
  <c r="AU9" i="13" s="1"/>
  <c r="AQ7" i="13"/>
  <c r="R289" i="13"/>
  <c r="R284" i="13" s="1"/>
  <c r="T289" i="13"/>
  <c r="T284" i="13" s="1"/>
  <c r="AE285" i="13"/>
  <c r="AE280" i="13"/>
  <c r="AF280" i="13" s="1"/>
  <c r="AR280" i="13" s="1"/>
  <c r="AE274" i="13"/>
  <c r="AE276" i="13" s="1"/>
  <c r="AE272" i="13"/>
  <c r="AF272" i="13" s="1"/>
  <c r="AR272" i="13" s="1"/>
  <c r="AE265" i="13"/>
  <c r="AF265" i="13" s="1"/>
  <c r="AR265" i="13" s="1"/>
  <c r="R268" i="13"/>
  <c r="R259" i="13" s="1"/>
  <c r="T268" i="13"/>
  <c r="T259" i="13" s="1"/>
  <c r="AE264" i="13"/>
  <c r="AE262" i="13"/>
  <c r="AE263" i="13" s="1"/>
  <c r="S263" i="13"/>
  <c r="S259" i="13" s="1"/>
  <c r="U263" i="13"/>
  <c r="U259" i="13" s="1"/>
  <c r="AB263" i="13"/>
  <c r="AB259" i="13" s="1"/>
  <c r="Y258" i="13"/>
  <c r="Y245" i="13" s="1"/>
  <c r="T258" i="13"/>
  <c r="T245" i="13" s="1"/>
  <c r="R258" i="13"/>
  <c r="R245" i="13" s="1"/>
  <c r="L254" i="13"/>
  <c r="AE249" i="13"/>
  <c r="AF249" i="13" s="1"/>
  <c r="AR249" i="13" s="1"/>
  <c r="AF83" i="13"/>
  <c r="AR83" i="13" s="1"/>
  <c r="AQ184" i="13"/>
  <c r="AS184" i="13"/>
  <c r="AR75" i="18"/>
  <c r="AR74" i="18" s="1"/>
  <c r="AT223" i="13"/>
  <c r="AE239" i="13"/>
  <c r="AE236" i="13"/>
  <c r="AF236" i="13" s="1"/>
  <c r="AR236" i="13" s="1"/>
  <c r="AE233" i="13"/>
  <c r="AE230" i="13"/>
  <c r="AF230" i="13" s="1"/>
  <c r="AR230" i="13" s="1"/>
  <c r="AT230" i="13" s="1"/>
  <c r="BB230" i="13" s="1"/>
  <c r="AE229" i="13"/>
  <c r="AF229" i="13" s="1"/>
  <c r="AR229" i="13" s="1"/>
  <c r="AT229" i="13" s="1"/>
  <c r="BB229" i="13" s="1"/>
  <c r="AE227" i="13"/>
  <c r="AE224" i="13"/>
  <c r="AF224" i="13" s="1"/>
  <c r="AR224" i="13" s="1"/>
  <c r="AF217" i="13"/>
  <c r="AR217" i="13" s="1"/>
  <c r="AE214" i="13"/>
  <c r="AE211" i="13"/>
  <c r="AF211" i="13" s="1"/>
  <c r="AR211" i="13" s="1"/>
  <c r="AT211" i="13" s="1"/>
  <c r="BB211" i="13" s="1"/>
  <c r="AE206" i="13"/>
  <c r="AF206" i="13" s="1"/>
  <c r="AR206" i="13" s="1"/>
  <c r="AT206" i="13" s="1"/>
  <c r="AE201" i="13"/>
  <c r="AE186" i="13"/>
  <c r="AF186" i="13" s="1"/>
  <c r="AR186" i="13" s="1"/>
  <c r="AT186" i="13" s="1"/>
  <c r="BB186" i="13" s="1"/>
  <c r="AQ51" i="18"/>
  <c r="AO47" i="18"/>
  <c r="AM51" i="18"/>
  <c r="AE180" i="13"/>
  <c r="AF170" i="13"/>
  <c r="AF161" i="13"/>
  <c r="AS87" i="13"/>
  <c r="AQ148" i="13"/>
  <c r="AT148" i="13" s="1"/>
  <c r="BB148" i="13" s="1"/>
  <c r="AQ146" i="13"/>
  <c r="AQ144" i="13"/>
  <c r="AQ142" i="13"/>
  <c r="AQ137" i="13"/>
  <c r="AT137" i="13" s="1"/>
  <c r="BB137" i="13" s="1"/>
  <c r="AQ135" i="13"/>
  <c r="AQ109" i="13"/>
  <c r="AT109" i="13" s="1"/>
  <c r="BB109" i="13" s="1"/>
  <c r="AQ107" i="13"/>
  <c r="AQ84" i="13"/>
  <c r="AQ81" i="13"/>
  <c r="AQ19" i="18"/>
  <c r="AP7" i="18"/>
  <c r="AN7" i="18"/>
  <c r="AN6" i="18" s="1"/>
  <c r="AE74" i="13"/>
  <c r="AF74" i="13" s="1"/>
  <c r="AR74" i="13" s="1"/>
  <c r="AF64" i="13"/>
  <c r="AR64" i="13" s="1"/>
  <c r="AT64" i="13" s="1"/>
  <c r="AQ76" i="13"/>
  <c r="AU76" i="13" s="1"/>
  <c r="AQ74" i="13"/>
  <c r="AQ72" i="13"/>
  <c r="AU72" i="13" s="1"/>
  <c r="AQ70" i="13"/>
  <c r="AU70" i="13" s="1"/>
  <c r="AQ68" i="13"/>
  <c r="AQ66" i="13"/>
  <c r="AU66" i="13" s="1"/>
  <c r="AQ64" i="13"/>
  <c r="AQ62" i="13"/>
  <c r="AU62" i="13" s="1"/>
  <c r="AQ54" i="13"/>
  <c r="AU54" i="13" s="1"/>
  <c r="AQ52" i="13"/>
  <c r="AM289" i="13"/>
  <c r="AM284" i="13" s="1"/>
  <c r="AE287" i="13"/>
  <c r="AF287" i="13" s="1"/>
  <c r="AR287" i="13" s="1"/>
  <c r="AM283" i="13"/>
  <c r="AM277" i="13" s="1"/>
  <c r="AE282" i="13"/>
  <c r="AF282" i="13" s="1"/>
  <c r="AR282" i="13" s="1"/>
  <c r="AT282" i="13" s="1"/>
  <c r="BB282" i="13" s="1"/>
  <c r="R283" i="13"/>
  <c r="R277" i="13" s="1"/>
  <c r="T283" i="13"/>
  <c r="T277" i="13" s="1"/>
  <c r="AE278" i="13"/>
  <c r="L273" i="13"/>
  <c r="S273" i="13"/>
  <c r="S269" i="13" s="1"/>
  <c r="U273" i="13"/>
  <c r="U269" i="13" s="1"/>
  <c r="AB273" i="13"/>
  <c r="AB269" i="13" s="1"/>
  <c r="AE270" i="13"/>
  <c r="AF270" i="13" s="1"/>
  <c r="AQ83" i="13"/>
  <c r="AN83" i="13"/>
  <c r="AN85" i="13" s="1"/>
  <c r="AN79" i="13" s="1"/>
  <c r="AN78" i="13" s="1"/>
  <c r="AQ191" i="12"/>
  <c r="M193" i="12"/>
  <c r="M182" i="12" s="1"/>
  <c r="AQ195" i="12"/>
  <c r="AQ196" i="12" s="1"/>
  <c r="U58" i="18" s="1"/>
  <c r="M196" i="12"/>
  <c r="AQ165" i="12"/>
  <c r="AQ168" i="12" s="1"/>
  <c r="M168" i="12"/>
  <c r="AS135" i="12"/>
  <c r="AN139" i="12"/>
  <c r="AN134" i="12" s="1"/>
  <c r="AS121" i="12"/>
  <c r="AN122" i="12"/>
  <c r="AN118" i="12" s="1"/>
  <c r="AS107" i="12"/>
  <c r="AS110" i="12" s="1"/>
  <c r="AS106" i="12" s="1"/>
  <c r="AN110" i="12"/>
  <c r="AN106" i="12" s="1"/>
  <c r="AS95" i="12"/>
  <c r="AS99" i="12" s="1"/>
  <c r="AN99" i="12"/>
  <c r="AN93" i="12" s="1"/>
  <c r="AS84" i="12"/>
  <c r="AN85" i="12"/>
  <c r="AF94" i="12"/>
  <c r="AQ138" i="12"/>
  <c r="AQ139" i="12" s="1"/>
  <c r="M139" i="12"/>
  <c r="M134" i="12" s="1"/>
  <c r="AQ125" i="12"/>
  <c r="AQ133" i="12" s="1"/>
  <c r="M133" i="12"/>
  <c r="M123" i="12" s="1"/>
  <c r="AQ115" i="12"/>
  <c r="AQ117" i="12" s="1"/>
  <c r="M117" i="12"/>
  <c r="M111" i="12" s="1"/>
  <c r="AQ91" i="12"/>
  <c r="AQ92" i="12" s="1"/>
  <c r="U29" i="18" s="1"/>
  <c r="M92" i="12"/>
  <c r="AS57" i="12"/>
  <c r="AN60" i="12"/>
  <c r="AS47" i="12"/>
  <c r="AN50" i="12"/>
  <c r="AS27" i="12"/>
  <c r="AN29" i="12"/>
  <c r="AS17" i="12"/>
  <c r="AN19" i="12"/>
  <c r="AN16" i="12" s="1"/>
  <c r="AS9" i="12"/>
  <c r="AT9" i="12" s="1"/>
  <c r="BB9" i="12" s="1"/>
  <c r="AN11" i="12"/>
  <c r="AQ63" i="12"/>
  <c r="M77" i="12"/>
  <c r="M61" i="12" s="1"/>
  <c r="AQ53" i="12"/>
  <c r="AU53" i="12" s="1"/>
  <c r="M56" i="12"/>
  <c r="AQ41" i="12"/>
  <c r="M44" i="12"/>
  <c r="M40" i="12" s="1"/>
  <c r="AQ33" i="12"/>
  <c r="AQ37" i="12" s="1"/>
  <c r="U15" i="18" s="1"/>
  <c r="M37" i="12"/>
  <c r="M25" i="12"/>
  <c r="U245" i="12"/>
  <c r="U244" i="12" s="1"/>
  <c r="T198" i="12"/>
  <c r="R198" i="12"/>
  <c r="L198" i="12"/>
  <c r="Y163" i="12"/>
  <c r="AM163" i="12"/>
  <c r="AC46" i="18"/>
  <c r="AQ179" i="12"/>
  <c r="AQ181" i="12" s="1"/>
  <c r="M181" i="12"/>
  <c r="AQ170" i="12"/>
  <c r="AQ178" i="12" s="1"/>
  <c r="U53" i="18" s="1"/>
  <c r="M178" i="12"/>
  <c r="AQ155" i="12"/>
  <c r="AQ156" i="12" s="1"/>
  <c r="M156" i="12"/>
  <c r="M151" i="12" s="1"/>
  <c r="AS144" i="12"/>
  <c r="AN149" i="12"/>
  <c r="AN140" i="12" s="1"/>
  <c r="AS124" i="12"/>
  <c r="AN133" i="12"/>
  <c r="AN123" i="12" s="1"/>
  <c r="AS114" i="12"/>
  <c r="AN117" i="12"/>
  <c r="AN111" i="12" s="1"/>
  <c r="AS104" i="12"/>
  <c r="AN105" i="12"/>
  <c r="AN100" i="12" s="1"/>
  <c r="AS90" i="12"/>
  <c r="AN92" i="12"/>
  <c r="AF89" i="12"/>
  <c r="AR81" i="12"/>
  <c r="AQ141" i="12"/>
  <c r="AQ149" i="12" s="1"/>
  <c r="M149" i="12"/>
  <c r="M140" i="12" s="1"/>
  <c r="AQ120" i="12"/>
  <c r="AQ122" i="12" s="1"/>
  <c r="M122" i="12"/>
  <c r="M118" i="12" s="1"/>
  <c r="AQ101" i="12"/>
  <c r="AQ105" i="12" s="1"/>
  <c r="M105" i="12"/>
  <c r="M100" i="12" s="1"/>
  <c r="AQ94" i="12"/>
  <c r="AQ99" i="12" s="1"/>
  <c r="M99" i="12"/>
  <c r="M93" i="12" s="1"/>
  <c r="AS64" i="12"/>
  <c r="AN77" i="12"/>
  <c r="AN61" i="12" s="1"/>
  <c r="AS52" i="12"/>
  <c r="AN56" i="12"/>
  <c r="AS42" i="12"/>
  <c r="AN44" i="12"/>
  <c r="AN40" i="12" s="1"/>
  <c r="AS32" i="12"/>
  <c r="AN37" i="12"/>
  <c r="AS22" i="12"/>
  <c r="AN25" i="12"/>
  <c r="AS14" i="12"/>
  <c r="AN15" i="12"/>
  <c r="AN6" i="12" s="1"/>
  <c r="AF46" i="12"/>
  <c r="AR41" i="12"/>
  <c r="AT41" i="12" s="1"/>
  <c r="AF30" i="12"/>
  <c r="AF8" i="12"/>
  <c r="AE11" i="12"/>
  <c r="AQ58" i="12"/>
  <c r="AQ60" i="12" s="1"/>
  <c r="U22" i="18" s="1"/>
  <c r="M60" i="12"/>
  <c r="AQ48" i="12"/>
  <c r="AQ50" i="12" s="1"/>
  <c r="M50" i="12"/>
  <c r="AQ38" i="12"/>
  <c r="M39" i="12"/>
  <c r="AQ28" i="12"/>
  <c r="AQ29" i="12" s="1"/>
  <c r="U14" i="18" s="1"/>
  <c r="M29" i="12"/>
  <c r="AQ10" i="12"/>
  <c r="AQ11" i="12" s="1"/>
  <c r="M11" i="12"/>
  <c r="AM245" i="12"/>
  <c r="AB245" i="12"/>
  <c r="AB244" i="12" s="1"/>
  <c r="S245" i="12"/>
  <c r="S244" i="12" s="1"/>
  <c r="AE207" i="12"/>
  <c r="AF207" i="12" s="1"/>
  <c r="AR207" i="12" s="1"/>
  <c r="AB198" i="12"/>
  <c r="S197" i="12"/>
  <c r="Y182" i="12"/>
  <c r="AN150" i="12"/>
  <c r="AM182" i="12"/>
  <c r="AM151" i="12"/>
  <c r="Y46" i="18"/>
  <c r="AB182" i="12"/>
  <c r="AB151" i="12"/>
  <c r="T163" i="12"/>
  <c r="S150" i="12"/>
  <c r="R182" i="12"/>
  <c r="R151" i="12"/>
  <c r="AD25" i="18"/>
  <c r="AB25" i="18"/>
  <c r="Z25" i="18"/>
  <c r="R78" i="12"/>
  <c r="Y45" i="12"/>
  <c r="Y20" i="12"/>
  <c r="Y5" i="12" s="1"/>
  <c r="T45" i="12"/>
  <c r="T20" i="12"/>
  <c r="R45" i="12"/>
  <c r="R20" i="12"/>
  <c r="AE270" i="12"/>
  <c r="Z75" i="18"/>
  <c r="Z74" i="18" s="1"/>
  <c r="AS276" i="12"/>
  <c r="W84" i="18" s="1"/>
  <c r="AE253" i="12"/>
  <c r="AE248" i="12"/>
  <c r="AF248" i="12" s="1"/>
  <c r="AR248" i="12" s="1"/>
  <c r="AD60" i="18"/>
  <c r="AB60" i="18"/>
  <c r="Z60" i="18"/>
  <c r="AS206" i="12"/>
  <c r="AS204" i="12"/>
  <c r="AQ222" i="12"/>
  <c r="AQ205" i="12"/>
  <c r="AS189" i="12"/>
  <c r="AT185" i="12"/>
  <c r="BB185" i="12" s="1"/>
  <c r="AE46" i="18"/>
  <c r="AD47" i="18"/>
  <c r="AB51" i="18"/>
  <c r="AA46" i="18"/>
  <c r="Z47" i="18"/>
  <c r="AF173" i="12"/>
  <c r="AF161" i="12"/>
  <c r="AE153" i="12"/>
  <c r="AE146" i="12"/>
  <c r="AF146" i="12" s="1"/>
  <c r="AR146" i="12" s="1"/>
  <c r="AE142" i="12"/>
  <c r="AE137" i="12"/>
  <c r="AF137" i="12" s="1"/>
  <c r="AR137" i="12" s="1"/>
  <c r="AE130" i="12"/>
  <c r="AF130" i="12" s="1"/>
  <c r="AR130" i="12" s="1"/>
  <c r="AT130" i="12" s="1"/>
  <c r="BB130" i="12" s="1"/>
  <c r="AE126" i="12"/>
  <c r="AF126" i="12" s="1"/>
  <c r="AR126" i="12" s="1"/>
  <c r="AE119" i="12"/>
  <c r="AE116" i="12"/>
  <c r="AF116" i="12" s="1"/>
  <c r="AR116" i="12" s="1"/>
  <c r="AE112" i="12"/>
  <c r="AE109" i="12"/>
  <c r="AF109" i="12" s="1"/>
  <c r="AR109" i="12" s="1"/>
  <c r="AE102" i="12"/>
  <c r="AE97" i="12"/>
  <c r="AF97" i="12" s="1"/>
  <c r="AR97" i="12" s="1"/>
  <c r="AE87" i="12"/>
  <c r="AE7" i="18"/>
  <c r="AC7" i="18"/>
  <c r="AA7" i="18"/>
  <c r="AF75" i="12"/>
  <c r="AR75" i="12" s="1"/>
  <c r="AE72" i="12"/>
  <c r="AF72" i="12" s="1"/>
  <c r="AR72" i="12" s="1"/>
  <c r="AT72" i="12" s="1"/>
  <c r="BB72" i="12" s="1"/>
  <c r="AE68" i="12"/>
  <c r="AF68" i="12" s="1"/>
  <c r="AR68" i="12" s="1"/>
  <c r="AE55" i="12"/>
  <c r="AF55" i="12" s="1"/>
  <c r="AR55" i="12" s="1"/>
  <c r="AE47" i="12"/>
  <c r="AF47" i="12" s="1"/>
  <c r="AR47" i="12" s="1"/>
  <c r="AE35" i="12"/>
  <c r="AF35" i="12" s="1"/>
  <c r="AR35" i="12" s="1"/>
  <c r="AE31" i="12"/>
  <c r="AF31" i="12" s="1"/>
  <c r="AR31" i="12" s="1"/>
  <c r="AE27" i="12"/>
  <c r="AF83" i="12"/>
  <c r="AR83" i="12" s="1"/>
  <c r="AQ184" i="12"/>
  <c r="AB163" i="12"/>
  <c r="T182" i="12"/>
  <c r="T151" i="12"/>
  <c r="R163" i="12"/>
  <c r="AM79" i="12"/>
  <c r="U5" i="12"/>
  <c r="S5" i="12"/>
  <c r="M6" i="12"/>
  <c r="AE272" i="12"/>
  <c r="AF272" i="12" s="1"/>
  <c r="AR272" i="12" s="1"/>
  <c r="AE246" i="12"/>
  <c r="AE59" i="18"/>
  <c r="AC59" i="18"/>
  <c r="AS225" i="12"/>
  <c r="AS220" i="12"/>
  <c r="AT205" i="12"/>
  <c r="AD51" i="18"/>
  <c r="AB47" i="18"/>
  <c r="Z51" i="18"/>
  <c r="AS162" i="12"/>
  <c r="W50" i="18" s="1"/>
  <c r="AF176" i="12"/>
  <c r="AR176" i="12" s="1"/>
  <c r="AE165" i="12"/>
  <c r="AE158" i="12"/>
  <c r="AE148" i="12"/>
  <c r="AF148" i="12" s="1"/>
  <c r="AR148" i="12" s="1"/>
  <c r="AE144" i="12"/>
  <c r="AF144" i="12" s="1"/>
  <c r="AR144" i="12" s="1"/>
  <c r="AE132" i="12"/>
  <c r="AF132" i="12" s="1"/>
  <c r="AR132" i="12" s="1"/>
  <c r="AE128" i="12"/>
  <c r="AF128" i="12" s="1"/>
  <c r="AR128" i="12" s="1"/>
  <c r="AT128" i="12" s="1"/>
  <c r="BB128" i="12" s="1"/>
  <c r="AE124" i="12"/>
  <c r="AE121" i="12"/>
  <c r="AF121" i="12" s="1"/>
  <c r="AR121" i="12" s="1"/>
  <c r="AT121" i="12" s="1"/>
  <c r="BB121" i="12" s="1"/>
  <c r="AE114" i="12"/>
  <c r="AF114" i="12" s="1"/>
  <c r="AR114" i="12" s="1"/>
  <c r="AE107" i="12"/>
  <c r="AE104" i="12"/>
  <c r="AF104" i="12" s="1"/>
  <c r="AR104" i="12" s="1"/>
  <c r="AE95" i="12"/>
  <c r="AF95" i="12" s="1"/>
  <c r="AR95" i="12" s="1"/>
  <c r="AE90" i="12"/>
  <c r="AF90" i="12" s="1"/>
  <c r="AR90" i="12" s="1"/>
  <c r="AD19" i="18"/>
  <c r="AD12" i="18"/>
  <c r="AB19" i="18"/>
  <c r="AB12" i="18"/>
  <c r="Z19" i="18"/>
  <c r="Z12" i="18"/>
  <c r="AT23" i="12"/>
  <c r="AS15" i="12"/>
  <c r="W9" i="18" s="1"/>
  <c r="AE73" i="12"/>
  <c r="AF73" i="12" s="1"/>
  <c r="AR73" i="12" s="1"/>
  <c r="AY73" i="12" s="1"/>
  <c r="AE71" i="12"/>
  <c r="AF71" i="12" s="1"/>
  <c r="AR71" i="12" s="1"/>
  <c r="AE66" i="12"/>
  <c r="AF66" i="12" s="1"/>
  <c r="AR66" i="12" s="1"/>
  <c r="AF65" i="12"/>
  <c r="AR65" i="12" s="1"/>
  <c r="AE62" i="12"/>
  <c r="AE58" i="12"/>
  <c r="AE53" i="12"/>
  <c r="AE42" i="12"/>
  <c r="AF38" i="12"/>
  <c r="AE33" i="12"/>
  <c r="AF33" i="12" s="1"/>
  <c r="AR33" i="12" s="1"/>
  <c r="U197" i="1"/>
  <c r="S197" i="1"/>
  <c r="AB78" i="1"/>
  <c r="R78" i="1"/>
  <c r="AQ114" i="1"/>
  <c r="M117" i="1"/>
  <c r="M111" i="1" s="1"/>
  <c r="AQ104" i="1"/>
  <c r="M105" i="1"/>
  <c r="M100" i="1" s="1"/>
  <c r="AQ90" i="1"/>
  <c r="M92" i="1"/>
  <c r="AS57" i="1"/>
  <c r="AT57" i="1" s="1"/>
  <c r="AN60" i="1"/>
  <c r="AS47" i="1"/>
  <c r="AN50" i="1"/>
  <c r="AS33" i="1"/>
  <c r="AN37" i="1"/>
  <c r="AS23" i="1"/>
  <c r="AN25" i="1"/>
  <c r="AF42" i="1"/>
  <c r="AQ52" i="1"/>
  <c r="M56" i="1"/>
  <c r="AQ47" i="1"/>
  <c r="M50" i="1"/>
  <c r="M45" i="1" s="1"/>
  <c r="AQ27" i="1"/>
  <c r="M29" i="1"/>
  <c r="AQ7" i="1"/>
  <c r="M11" i="1"/>
  <c r="AN245" i="1"/>
  <c r="AM269" i="1"/>
  <c r="Y245" i="1"/>
  <c r="T245" i="1"/>
  <c r="R245" i="1"/>
  <c r="AE208" i="1"/>
  <c r="Y198" i="1"/>
  <c r="T198" i="1"/>
  <c r="R198" i="1"/>
  <c r="Y182" i="1"/>
  <c r="AN182" i="1"/>
  <c r="AN151" i="1"/>
  <c r="U163" i="1"/>
  <c r="T150" i="1"/>
  <c r="S182" i="1"/>
  <c r="S151" i="1"/>
  <c r="M163" i="1"/>
  <c r="R59" i="18"/>
  <c r="P59" i="18"/>
  <c r="L46" i="18"/>
  <c r="AT75" i="1"/>
  <c r="AQ121" i="1"/>
  <c r="M122" i="1"/>
  <c r="M118" i="1" s="1"/>
  <c r="AQ107" i="1"/>
  <c r="AQ110" i="1" s="1"/>
  <c r="M110" i="1"/>
  <c r="M106" i="1" s="1"/>
  <c r="AQ95" i="1"/>
  <c r="AS67" i="1"/>
  <c r="AT67" i="1" s="1"/>
  <c r="AN77" i="1"/>
  <c r="AN61" i="1" s="1"/>
  <c r="AS52" i="1"/>
  <c r="AN56" i="1"/>
  <c r="AS38" i="1"/>
  <c r="AS39" i="1" s="1"/>
  <c r="J16" i="18" s="1"/>
  <c r="AN39" i="1"/>
  <c r="AS28" i="1"/>
  <c r="AN29" i="1"/>
  <c r="AS10" i="1"/>
  <c r="AN11" i="1"/>
  <c r="AF58" i="1"/>
  <c r="AF38" i="1"/>
  <c r="AE39" i="1"/>
  <c r="AQ64" i="1"/>
  <c r="M77" i="1"/>
  <c r="M61" i="1" s="1"/>
  <c r="AQ42" i="1"/>
  <c r="M44" i="1"/>
  <c r="M40" i="1" s="1"/>
  <c r="AQ32" i="1"/>
  <c r="M37" i="1"/>
  <c r="AQ22" i="1"/>
  <c r="M25" i="1"/>
  <c r="AQ12" i="1"/>
  <c r="M15" i="1"/>
  <c r="AB259" i="1"/>
  <c r="Y269" i="1"/>
  <c r="T259" i="1"/>
  <c r="R259" i="1"/>
  <c r="AB198" i="1"/>
  <c r="AN163" i="1"/>
  <c r="AB150" i="1"/>
  <c r="U182" i="1"/>
  <c r="U151" i="1"/>
  <c r="S163" i="1"/>
  <c r="R150" i="1"/>
  <c r="P46" i="18"/>
  <c r="S45" i="1"/>
  <c r="S20" i="1"/>
  <c r="R45" i="1"/>
  <c r="R20" i="1"/>
  <c r="AE260" i="1"/>
  <c r="M75" i="18"/>
  <c r="M74" i="18" s="1"/>
  <c r="AE288" i="1"/>
  <c r="M59" i="18"/>
  <c r="AS225" i="1"/>
  <c r="AE233" i="1"/>
  <c r="AE230" i="1"/>
  <c r="AF230" i="1" s="1"/>
  <c r="AR230" i="1" s="1"/>
  <c r="AE227" i="1"/>
  <c r="AE224" i="1"/>
  <c r="AF224" i="1" s="1"/>
  <c r="AR224" i="1" s="1"/>
  <c r="AE204" i="1"/>
  <c r="AE186" i="1"/>
  <c r="AF186" i="1" s="1"/>
  <c r="AR186" i="1" s="1"/>
  <c r="R46" i="18"/>
  <c r="Q47" i="18"/>
  <c r="O51" i="18"/>
  <c r="M47" i="18"/>
  <c r="AF176" i="1"/>
  <c r="AR176" i="1" s="1"/>
  <c r="AE164" i="1"/>
  <c r="AE161" i="1"/>
  <c r="AE155" i="1"/>
  <c r="AF155" i="1" s="1"/>
  <c r="AR155" i="1" s="1"/>
  <c r="AT114" i="1"/>
  <c r="BB114" i="1" s="1"/>
  <c r="AT109" i="1"/>
  <c r="BB109" i="1" s="1"/>
  <c r="AE132" i="1"/>
  <c r="AF132" i="1" s="1"/>
  <c r="AR132" i="1" s="1"/>
  <c r="AE128" i="1"/>
  <c r="AF128" i="1" s="1"/>
  <c r="AR128" i="1" s="1"/>
  <c r="AE124" i="1"/>
  <c r="AE121" i="1"/>
  <c r="AF121" i="1" s="1"/>
  <c r="AR121" i="1" s="1"/>
  <c r="AE102" i="1"/>
  <c r="AE97" i="1"/>
  <c r="AF97" i="1" s="1"/>
  <c r="AR97" i="1" s="1"/>
  <c r="AT97" i="1" s="1"/>
  <c r="BB97" i="1" s="1"/>
  <c r="AE87" i="1"/>
  <c r="R19" i="18"/>
  <c r="R12" i="18"/>
  <c r="P19" i="18"/>
  <c r="P12" i="18"/>
  <c r="M7" i="18"/>
  <c r="AE76" i="1"/>
  <c r="AF76" i="1" s="1"/>
  <c r="AR76" i="1" s="1"/>
  <c r="AT76" i="1" s="1"/>
  <c r="BB76" i="1" s="1"/>
  <c r="AE70" i="1"/>
  <c r="AF70" i="1" s="1"/>
  <c r="AR70" i="1" s="1"/>
  <c r="AT70" i="1" s="1"/>
  <c r="BB70" i="1" s="1"/>
  <c r="AE66" i="1"/>
  <c r="AF66" i="1" s="1"/>
  <c r="AR66" i="1" s="1"/>
  <c r="AT66" i="1" s="1"/>
  <c r="BB66" i="1" s="1"/>
  <c r="AE62" i="1"/>
  <c r="AE59" i="1"/>
  <c r="AF59" i="1" s="1"/>
  <c r="AR59" i="1" s="1"/>
  <c r="AT59" i="1" s="1"/>
  <c r="BB59" i="1" s="1"/>
  <c r="AE55" i="1"/>
  <c r="AF55" i="1" s="1"/>
  <c r="AR55" i="1" s="1"/>
  <c r="AT55" i="1" s="1"/>
  <c r="BB55" i="1" s="1"/>
  <c r="AE46" i="1"/>
  <c r="AE43" i="1"/>
  <c r="AF43" i="1" s="1"/>
  <c r="AR43" i="1" s="1"/>
  <c r="AE34" i="1"/>
  <c r="AF34" i="1" s="1"/>
  <c r="AR34" i="1" s="1"/>
  <c r="AE30" i="1"/>
  <c r="AE24" i="1"/>
  <c r="AF24" i="1" s="1"/>
  <c r="AR24" i="1" s="1"/>
  <c r="AE10" i="1"/>
  <c r="AF10" i="1" s="1"/>
  <c r="AR10" i="1" s="1"/>
  <c r="AQ184" i="1"/>
  <c r="AQ190" i="1" s="1"/>
  <c r="AN6" i="1"/>
  <c r="AM5" i="1"/>
  <c r="T5" i="1"/>
  <c r="AE262" i="1"/>
  <c r="AF262" i="1" s="1"/>
  <c r="AR262" i="1" s="1"/>
  <c r="O75" i="18"/>
  <c r="O74" i="18" s="1"/>
  <c r="O60" i="18"/>
  <c r="AE235" i="1"/>
  <c r="AF235" i="1" s="1"/>
  <c r="AR235" i="1" s="1"/>
  <c r="AE228" i="1"/>
  <c r="AF228" i="1" s="1"/>
  <c r="AR228" i="1" s="1"/>
  <c r="AE222" i="1"/>
  <c r="AE206" i="1"/>
  <c r="AF206" i="1" s="1"/>
  <c r="AR206" i="1" s="1"/>
  <c r="AE201" i="1"/>
  <c r="AE189" i="1"/>
  <c r="AF189" i="1" s="1"/>
  <c r="AR189" i="1" s="1"/>
  <c r="Q51" i="18"/>
  <c r="O47" i="18"/>
  <c r="M51" i="18"/>
  <c r="AS162" i="1"/>
  <c r="J50" i="18" s="1"/>
  <c r="AS159" i="1"/>
  <c r="J49" i="18" s="1"/>
  <c r="AF174" i="1"/>
  <c r="AR174" i="1" s="1"/>
  <c r="AF173" i="1"/>
  <c r="AR173" i="1" s="1"/>
  <c r="AF170" i="1"/>
  <c r="AE166" i="1"/>
  <c r="AF166" i="1" s="1"/>
  <c r="AR166" i="1" s="1"/>
  <c r="AE158" i="1"/>
  <c r="AE153" i="1"/>
  <c r="AT113" i="1"/>
  <c r="BB113" i="1" s="1"/>
  <c r="AT103" i="1"/>
  <c r="BB103" i="1" s="1"/>
  <c r="AT98" i="1"/>
  <c r="BB98" i="1" s="1"/>
  <c r="AT84" i="1"/>
  <c r="BB84" i="1" s="1"/>
  <c r="AE142" i="1"/>
  <c r="AE137" i="1"/>
  <c r="AF137" i="1" s="1"/>
  <c r="AR137" i="1" s="1"/>
  <c r="AE130" i="1"/>
  <c r="AF130" i="1" s="1"/>
  <c r="AR130" i="1" s="1"/>
  <c r="AF126" i="1"/>
  <c r="AR126" i="1" s="1"/>
  <c r="AE119" i="1"/>
  <c r="AE104" i="1"/>
  <c r="AF104" i="1" s="1"/>
  <c r="AR104" i="1" s="1"/>
  <c r="AT104" i="1" s="1"/>
  <c r="BB104" i="1" s="1"/>
  <c r="AE95" i="1"/>
  <c r="AE90" i="1"/>
  <c r="Q6" i="18"/>
  <c r="N19" i="18"/>
  <c r="N12" i="18"/>
  <c r="AT72" i="1"/>
  <c r="BB72" i="1" s="1"/>
  <c r="AT68" i="1"/>
  <c r="BB68" i="1" s="1"/>
  <c r="AT54" i="1"/>
  <c r="BB54" i="1" s="1"/>
  <c r="AS29" i="1"/>
  <c r="J14" i="18" s="1"/>
  <c r="AE74" i="1"/>
  <c r="AF74" i="1" s="1"/>
  <c r="AR74" i="1" s="1"/>
  <c r="AT74" i="1" s="1"/>
  <c r="BB74" i="1" s="1"/>
  <c r="AE64" i="1"/>
  <c r="AF64" i="1" s="1"/>
  <c r="AR64" i="1" s="1"/>
  <c r="AE53" i="1"/>
  <c r="AE48" i="1"/>
  <c r="AF48" i="1" s="1"/>
  <c r="AR48" i="1" s="1"/>
  <c r="AT48" i="1" s="1"/>
  <c r="BB48" i="1" s="1"/>
  <c r="AE36" i="1"/>
  <c r="AF36" i="1" s="1"/>
  <c r="AR36" i="1" s="1"/>
  <c r="AE32" i="1"/>
  <c r="AF32" i="1" s="1"/>
  <c r="AR32" i="1" s="1"/>
  <c r="AE27" i="1"/>
  <c r="AE21" i="1"/>
  <c r="AE17" i="1"/>
  <c r="AE14" i="1"/>
  <c r="AF13" i="1"/>
  <c r="AE8" i="1"/>
  <c r="AF83" i="1"/>
  <c r="AT208" i="23"/>
  <c r="AM78" i="1"/>
  <c r="AS239" i="23"/>
  <c r="AS243" i="23" s="1"/>
  <c r="AN243" i="23"/>
  <c r="AN238" i="23" s="1"/>
  <c r="AS234" i="23"/>
  <c r="AS237" i="23" s="1"/>
  <c r="AN237" i="23"/>
  <c r="AN232" i="23" s="1"/>
  <c r="AS227" i="23"/>
  <c r="AS231" i="23" s="1"/>
  <c r="AN231" i="23"/>
  <c r="AN226" i="23" s="1"/>
  <c r="AS214" i="23"/>
  <c r="AS220" i="23" s="1"/>
  <c r="AN220" i="23"/>
  <c r="AN213" i="23" s="1"/>
  <c r="AS210" i="23"/>
  <c r="AS212" i="23" s="1"/>
  <c r="DW63" i="18" s="1"/>
  <c r="AN212" i="23"/>
  <c r="AF236" i="23"/>
  <c r="AF227" i="23"/>
  <c r="AQ239" i="23"/>
  <c r="M243" i="23"/>
  <c r="M238" i="23" s="1"/>
  <c r="AQ234" i="23"/>
  <c r="M237" i="23"/>
  <c r="M232" i="23" s="1"/>
  <c r="AQ227" i="23"/>
  <c r="M231" i="23"/>
  <c r="M226" i="23" s="1"/>
  <c r="AQ222" i="23"/>
  <c r="M225" i="23"/>
  <c r="M221" i="23" s="1"/>
  <c r="AT217" i="23"/>
  <c r="AM198" i="23"/>
  <c r="AM197" i="23" s="1"/>
  <c r="U197" i="23"/>
  <c r="T198" i="23"/>
  <c r="T197" i="23" s="1"/>
  <c r="AM182" i="23"/>
  <c r="AM151" i="23"/>
  <c r="AM78" i="23"/>
  <c r="L78" i="23"/>
  <c r="AS283" i="23"/>
  <c r="AS276" i="23"/>
  <c r="DW84" i="18" s="1"/>
  <c r="AT216" i="23"/>
  <c r="BB216" i="23" s="1"/>
  <c r="AT215" i="23"/>
  <c r="AT206" i="23"/>
  <c r="AT201" i="23"/>
  <c r="BB201" i="23" s="1"/>
  <c r="AT200" i="23"/>
  <c r="BB200" i="23" s="1"/>
  <c r="AT240" i="23"/>
  <c r="AT235" i="23"/>
  <c r="AT228" i="23"/>
  <c r="AT223" i="23"/>
  <c r="AS222" i="23"/>
  <c r="AS225" i="23" s="1"/>
  <c r="AN225" i="23"/>
  <c r="AN221" i="23" s="1"/>
  <c r="AS199" i="23"/>
  <c r="AS203" i="23" s="1"/>
  <c r="AN203" i="23"/>
  <c r="AF241" i="23"/>
  <c r="AF222" i="23"/>
  <c r="AF214" i="23"/>
  <c r="AE220" i="23"/>
  <c r="AE213" i="23" s="1"/>
  <c r="AR204" i="23"/>
  <c r="AT233" i="23"/>
  <c r="AQ237" i="23"/>
  <c r="AT230" i="23"/>
  <c r="BB230" i="23" s="1"/>
  <c r="AT229" i="23"/>
  <c r="BB229" i="23" s="1"/>
  <c r="AQ218" i="23"/>
  <c r="AT218" i="23" s="1"/>
  <c r="M220" i="23"/>
  <c r="M213" i="23" s="1"/>
  <c r="AN79" i="1"/>
  <c r="AB198" i="23"/>
  <c r="AB197" i="23" s="1"/>
  <c r="R198" i="23"/>
  <c r="R197" i="23" s="1"/>
  <c r="L198" i="23"/>
  <c r="L197" i="23" s="1"/>
  <c r="AM163" i="23"/>
  <c r="R150" i="23"/>
  <c r="AS263" i="23"/>
  <c r="AS289" i="23"/>
  <c r="AS258" i="23"/>
  <c r="DW78" i="18" s="1"/>
  <c r="AS254" i="23"/>
  <c r="DW77" i="18" s="1"/>
  <c r="EB59" i="18"/>
  <c r="DW62" i="18"/>
  <c r="AT211" i="23"/>
  <c r="BB211" i="23" s="1"/>
  <c r="AT202" i="23"/>
  <c r="BB202" i="23" s="1"/>
  <c r="AT242" i="23"/>
  <c r="AT224" i="23"/>
  <c r="BB224" i="23" s="1"/>
  <c r="AQ193" i="23"/>
  <c r="DU57" i="18" s="1"/>
  <c r="AQ190" i="23"/>
  <c r="AT183" i="23"/>
  <c r="BB183" i="23" s="1"/>
  <c r="AQ178" i="23"/>
  <c r="DU53" i="18" s="1"/>
  <c r="AT157" i="23"/>
  <c r="BB157" i="23" s="1"/>
  <c r="AQ159" i="23"/>
  <c r="DU49" i="18" s="1"/>
  <c r="AT152" i="23"/>
  <c r="BB152" i="23" s="1"/>
  <c r="AQ122" i="23"/>
  <c r="AQ105" i="23"/>
  <c r="AQ203" i="23"/>
  <c r="AT186" i="23"/>
  <c r="BB186" i="23" s="1"/>
  <c r="AS196" i="23"/>
  <c r="DW58" i="18" s="1"/>
  <c r="AS168" i="23"/>
  <c r="AT176" i="23"/>
  <c r="BB176" i="23" s="1"/>
  <c r="AT172" i="23"/>
  <c r="BB172" i="23" s="1"/>
  <c r="AT171" i="23"/>
  <c r="BB171" i="23" s="1"/>
  <c r="AT161" i="23"/>
  <c r="BB161" i="23" s="1"/>
  <c r="AS149" i="23"/>
  <c r="AS122" i="23"/>
  <c r="AS99" i="23"/>
  <c r="AS88" i="23"/>
  <c r="DW28" i="18" s="1"/>
  <c r="AT132" i="23"/>
  <c r="BB132" i="23" s="1"/>
  <c r="AT148" i="23"/>
  <c r="BB148" i="23" s="1"/>
  <c r="AT147" i="23"/>
  <c r="AT144" i="23"/>
  <c r="BB144" i="23" s="1"/>
  <c r="AT138" i="23"/>
  <c r="BB138" i="23" s="1"/>
  <c r="AT130" i="23"/>
  <c r="BB130" i="23" s="1"/>
  <c r="AT126" i="23"/>
  <c r="BB126" i="23" s="1"/>
  <c r="AT116" i="23"/>
  <c r="BB116" i="23" s="1"/>
  <c r="AT115" i="23"/>
  <c r="BB115" i="23" s="1"/>
  <c r="AT109" i="23"/>
  <c r="BB109" i="23" s="1"/>
  <c r="AT102" i="23"/>
  <c r="BB102" i="23" s="1"/>
  <c r="AT97" i="23"/>
  <c r="BB97" i="23" s="1"/>
  <c r="AT96" i="23"/>
  <c r="BB96" i="23" s="1"/>
  <c r="EE6" i="18"/>
  <c r="DZ6" i="18"/>
  <c r="AQ196" i="23"/>
  <c r="DU58" i="18" s="1"/>
  <c r="AT179" i="23"/>
  <c r="BB179" i="23" s="1"/>
  <c r="AQ181" i="23"/>
  <c r="DU54" i="18" s="1"/>
  <c r="AQ149" i="23"/>
  <c r="AQ133" i="23"/>
  <c r="AQ110" i="23"/>
  <c r="AQ99" i="23"/>
  <c r="AT94" i="23"/>
  <c r="BB94" i="23" s="1"/>
  <c r="AT89" i="23"/>
  <c r="BB89" i="23" s="1"/>
  <c r="EP83" i="18"/>
  <c r="EP82" i="18" s="1"/>
  <c r="EP80" i="18"/>
  <c r="EP79" i="18" s="1"/>
  <c r="AQ212" i="23"/>
  <c r="DU63" i="18" s="1"/>
  <c r="AT189" i="23"/>
  <c r="BB189" i="23" s="1"/>
  <c r="AT185" i="23"/>
  <c r="BB185" i="23" s="1"/>
  <c r="ED46" i="18"/>
  <c r="AS159" i="23"/>
  <c r="DW49" i="18" s="1"/>
  <c r="AS156" i="23"/>
  <c r="AT177" i="23"/>
  <c r="BB177" i="23" s="1"/>
  <c r="AT174" i="23"/>
  <c r="BB174" i="23" s="1"/>
  <c r="AT173" i="23"/>
  <c r="BB173" i="23" s="1"/>
  <c r="AT165" i="23"/>
  <c r="BB165" i="23" s="1"/>
  <c r="AT154" i="23"/>
  <c r="BB154" i="23" s="1"/>
  <c r="AS117" i="23"/>
  <c r="AT146" i="23"/>
  <c r="BB146" i="23" s="1"/>
  <c r="AT137" i="23"/>
  <c r="BB137" i="23" s="1"/>
  <c r="AT131" i="23"/>
  <c r="BB131" i="23" s="1"/>
  <c r="AT128" i="23"/>
  <c r="BB128" i="23" s="1"/>
  <c r="AT121" i="23"/>
  <c r="BB121" i="23" s="1"/>
  <c r="AT120" i="23"/>
  <c r="BB120" i="23" s="1"/>
  <c r="AT114" i="23"/>
  <c r="BB114" i="23" s="1"/>
  <c r="AT104" i="23"/>
  <c r="BB104" i="23" s="1"/>
  <c r="AT98" i="23"/>
  <c r="BB98" i="23" s="1"/>
  <c r="AT81" i="23"/>
  <c r="BB81" i="23" s="1"/>
  <c r="AQ77" i="23"/>
  <c r="AQ60" i="23"/>
  <c r="DU22" i="18" s="1"/>
  <c r="AT57" i="23"/>
  <c r="BB57" i="23" s="1"/>
  <c r="AQ39" i="23"/>
  <c r="DU16" i="18" s="1"/>
  <c r="AT38" i="23"/>
  <c r="AT14" i="23"/>
  <c r="BB14" i="23" s="1"/>
  <c r="EP29" i="18"/>
  <c r="AS37" i="23"/>
  <c r="DW15" i="18" s="1"/>
  <c r="AT8" i="23"/>
  <c r="BB8" i="23" s="1"/>
  <c r="AT75" i="23"/>
  <c r="AT74" i="23"/>
  <c r="BB74" i="23" s="1"/>
  <c r="AT71" i="23"/>
  <c r="BB71" i="23" s="1"/>
  <c r="AT70" i="23"/>
  <c r="BB70" i="23" s="1"/>
  <c r="AT67" i="23"/>
  <c r="AT66" i="23"/>
  <c r="AT63" i="23"/>
  <c r="BB63" i="23" s="1"/>
  <c r="AT53" i="23"/>
  <c r="BB53" i="23" s="1"/>
  <c r="AT48" i="23"/>
  <c r="BB48" i="23" s="1"/>
  <c r="AT47" i="23"/>
  <c r="BB47" i="23" s="1"/>
  <c r="AT36" i="23"/>
  <c r="AT33" i="23"/>
  <c r="BB33" i="23" s="1"/>
  <c r="AT32" i="23"/>
  <c r="AT27" i="23"/>
  <c r="AT23" i="23"/>
  <c r="AT10" i="23"/>
  <c r="BB10" i="23" s="1"/>
  <c r="AQ50" i="23"/>
  <c r="AQ29" i="23"/>
  <c r="DU14" i="18" s="1"/>
  <c r="AT18" i="23"/>
  <c r="BB18" i="23" s="1"/>
  <c r="AQ19" i="23"/>
  <c r="AT13" i="23"/>
  <c r="BB13" i="23" s="1"/>
  <c r="EO28" i="18"/>
  <c r="AS122" i="1"/>
  <c r="AS56" i="23"/>
  <c r="DW21" i="18" s="1"/>
  <c r="AS50" i="23"/>
  <c r="AS44" i="23"/>
  <c r="AS29" i="23"/>
  <c r="DW14" i="18" s="1"/>
  <c r="AS25" i="23"/>
  <c r="AS11" i="23"/>
  <c r="AT76" i="23"/>
  <c r="BB76" i="23" s="1"/>
  <c r="AT72" i="23"/>
  <c r="BB72" i="23" s="1"/>
  <c r="AT69" i="23"/>
  <c r="BB69" i="23" s="1"/>
  <c r="AT68" i="23"/>
  <c r="AT64" i="23"/>
  <c r="AT59" i="23"/>
  <c r="BB59" i="23" s="1"/>
  <c r="AT55" i="23"/>
  <c r="BB55" i="23" s="1"/>
  <c r="AT54" i="23"/>
  <c r="BB54" i="23" s="1"/>
  <c r="AT49" i="23"/>
  <c r="BB49" i="23" s="1"/>
  <c r="AT42" i="23"/>
  <c r="BB42" i="23" s="1"/>
  <c r="AT34" i="23"/>
  <c r="AT24" i="23"/>
  <c r="AT248" i="23"/>
  <c r="AU248" i="23"/>
  <c r="AU247" i="23"/>
  <c r="AT247" i="23"/>
  <c r="AU252" i="23"/>
  <c r="AT252" i="23"/>
  <c r="BB252" i="23" s="1"/>
  <c r="AU255" i="23"/>
  <c r="AT255" i="23"/>
  <c r="AT260" i="23"/>
  <c r="AU260" i="23"/>
  <c r="AU272" i="23"/>
  <c r="AT272" i="23"/>
  <c r="AT271" i="23"/>
  <c r="AU271" i="23"/>
  <c r="AU270" i="23"/>
  <c r="AU275" i="23"/>
  <c r="AT275" i="23"/>
  <c r="BB275" i="23" s="1"/>
  <c r="AU282" i="23"/>
  <c r="AT282" i="23"/>
  <c r="AU280" i="23"/>
  <c r="AT280" i="23"/>
  <c r="BB280" i="23" s="1"/>
  <c r="AT251" i="23"/>
  <c r="AT257" i="23"/>
  <c r="BB257" i="23" s="1"/>
  <c r="AT256" i="23"/>
  <c r="AT266" i="23"/>
  <c r="AT265" i="23"/>
  <c r="BB265" i="23" s="1"/>
  <c r="AT278" i="23"/>
  <c r="AT287" i="23"/>
  <c r="AU246" i="23"/>
  <c r="AT253" i="23"/>
  <c r="BB253" i="23" s="1"/>
  <c r="AU253" i="23"/>
  <c r="AT262" i="23"/>
  <c r="AU262" i="23"/>
  <c r="AU261" i="23"/>
  <c r="AT261" i="23"/>
  <c r="AU281" i="23"/>
  <c r="AT281" i="23"/>
  <c r="AT249" i="23"/>
  <c r="BB249" i="23" s="1"/>
  <c r="AT267" i="23"/>
  <c r="BB267" i="23" s="1"/>
  <c r="AT274" i="23"/>
  <c r="AT288" i="23"/>
  <c r="AT286" i="23"/>
  <c r="BB286" i="23" s="1"/>
  <c r="AQ83" i="23"/>
  <c r="AS83" i="23"/>
  <c r="AS85" i="23" s="1"/>
  <c r="AT208" i="22"/>
  <c r="AT207" i="22"/>
  <c r="AS239" i="22"/>
  <c r="AS243" i="22" s="1"/>
  <c r="AN243" i="22"/>
  <c r="AN238" i="22" s="1"/>
  <c r="AN237" i="22"/>
  <c r="AN232" i="22" s="1"/>
  <c r="AS233" i="22"/>
  <c r="AS237" i="22" s="1"/>
  <c r="AS227" i="22"/>
  <c r="AS231" i="22" s="1"/>
  <c r="AN231" i="22"/>
  <c r="AN226" i="22" s="1"/>
  <c r="AN220" i="22"/>
  <c r="AN213" i="22" s="1"/>
  <c r="AS214" i="22"/>
  <c r="AS220" i="22" s="1"/>
  <c r="AS210" i="22"/>
  <c r="AS212" i="22" s="1"/>
  <c r="DJ63" i="18" s="1"/>
  <c r="AN212" i="22"/>
  <c r="AN203" i="22"/>
  <c r="AS199" i="22"/>
  <c r="AS203" i="22" s="1"/>
  <c r="AF222" i="22"/>
  <c r="AE225" i="22"/>
  <c r="AE221" i="22" s="1"/>
  <c r="AE220" i="22"/>
  <c r="AE213" i="22" s="1"/>
  <c r="AF211" i="22"/>
  <c r="AR211" i="22" s="1"/>
  <c r="AE212" i="22"/>
  <c r="AT230" i="22"/>
  <c r="BB230" i="22" s="1"/>
  <c r="M220" i="22"/>
  <c r="M213" i="22" s="1"/>
  <c r="AQ214" i="22"/>
  <c r="AF193" i="22"/>
  <c r="AR192" i="22"/>
  <c r="U197" i="22"/>
  <c r="T150" i="22"/>
  <c r="AS289" i="22"/>
  <c r="AS276" i="22"/>
  <c r="DJ84" i="18" s="1"/>
  <c r="AS258" i="22"/>
  <c r="DJ78" i="18" s="1"/>
  <c r="DO59" i="18"/>
  <c r="AT242" i="22"/>
  <c r="AT241" i="22"/>
  <c r="AT219" i="22"/>
  <c r="AT217" i="22"/>
  <c r="AT215" i="22"/>
  <c r="AT202" i="22"/>
  <c r="BB202" i="22" s="1"/>
  <c r="AN225" i="22"/>
  <c r="AN221" i="22" s="1"/>
  <c r="AS223" i="22"/>
  <c r="AS225" i="22" s="1"/>
  <c r="AS205" i="22"/>
  <c r="AS209" i="22" s="1"/>
  <c r="AF239" i="22"/>
  <c r="AF236" i="22"/>
  <c r="AR236" i="22" s="1"/>
  <c r="AT236" i="22" s="1"/>
  <c r="AR235" i="22"/>
  <c r="AF227" i="22"/>
  <c r="AE203" i="22"/>
  <c r="AQ239" i="22"/>
  <c r="M243" i="22"/>
  <c r="M238" i="22" s="1"/>
  <c r="AQ234" i="22"/>
  <c r="AT234" i="22" s="1"/>
  <c r="M237" i="22"/>
  <c r="M232" i="22" s="1"/>
  <c r="AQ227" i="22"/>
  <c r="M231" i="22"/>
  <c r="M226" i="22" s="1"/>
  <c r="AQ222" i="22"/>
  <c r="M225" i="22"/>
  <c r="M221" i="22" s="1"/>
  <c r="M212" i="22"/>
  <c r="AQ211" i="22"/>
  <c r="AQ204" i="22"/>
  <c r="AQ209" i="22" s="1"/>
  <c r="AT200" i="22"/>
  <c r="BB200" i="22" s="1"/>
  <c r="M203" i="22"/>
  <c r="AQ199" i="22"/>
  <c r="AS192" i="22"/>
  <c r="AS193" i="22" s="1"/>
  <c r="DJ57" i="18" s="1"/>
  <c r="AN193" i="22"/>
  <c r="AN182" i="22" s="1"/>
  <c r="AQ191" i="22"/>
  <c r="M193" i="22"/>
  <c r="R5" i="22"/>
  <c r="AS250" i="22"/>
  <c r="DP59" i="18"/>
  <c r="AT228" i="22"/>
  <c r="AT218" i="22"/>
  <c r="AT216" i="22"/>
  <c r="BB216" i="22" s="1"/>
  <c r="AQ159" i="22"/>
  <c r="DH49" i="18" s="1"/>
  <c r="AQ156" i="22"/>
  <c r="AQ133" i="22"/>
  <c r="AQ122" i="22"/>
  <c r="AQ105" i="22"/>
  <c r="AQ88" i="22"/>
  <c r="DH28" i="18" s="1"/>
  <c r="EQ83" i="18"/>
  <c r="EO83" i="18"/>
  <c r="EM83" i="18"/>
  <c r="EQ80" i="18"/>
  <c r="EQ79" i="18" s="1"/>
  <c r="EO80" i="18"/>
  <c r="EM80" i="18"/>
  <c r="ER77" i="18"/>
  <c r="DO46" i="18"/>
  <c r="AS196" i="22"/>
  <c r="DJ58" i="18" s="1"/>
  <c r="AS178" i="22"/>
  <c r="DJ53" i="18" s="1"/>
  <c r="AT171" i="22"/>
  <c r="BB171" i="22" s="1"/>
  <c r="AS139" i="22"/>
  <c r="AS99" i="22"/>
  <c r="AT148" i="22"/>
  <c r="BB148" i="22" s="1"/>
  <c r="AT144" i="22"/>
  <c r="BB144" i="22" s="1"/>
  <c r="AT137" i="22"/>
  <c r="BB137" i="22" s="1"/>
  <c r="AT132" i="22"/>
  <c r="BB132" i="22" s="1"/>
  <c r="AT129" i="22"/>
  <c r="BB129" i="22" s="1"/>
  <c r="AT109" i="22"/>
  <c r="BB109" i="22" s="1"/>
  <c r="AT97" i="22"/>
  <c r="BB97" i="22" s="1"/>
  <c r="AT84" i="22"/>
  <c r="BB84" i="22" s="1"/>
  <c r="DO6" i="18"/>
  <c r="AQ196" i="22"/>
  <c r="DH58" i="18" s="1"/>
  <c r="AT179" i="22"/>
  <c r="BB179" i="22" s="1"/>
  <c r="AQ181" i="22"/>
  <c r="DH54" i="18" s="1"/>
  <c r="AT169" i="22"/>
  <c r="BB169" i="22" s="1"/>
  <c r="AQ162" i="22"/>
  <c r="DH50" i="18" s="1"/>
  <c r="AT107" i="22"/>
  <c r="BB107" i="22" s="1"/>
  <c r="EP77" i="18"/>
  <c r="EP75" i="18" s="1"/>
  <c r="EO78" i="18"/>
  <c r="ER63" i="18"/>
  <c r="EP63" i="18"/>
  <c r="EN63" i="18"/>
  <c r="AT185" i="22"/>
  <c r="BB185" i="22" s="1"/>
  <c r="DQ46" i="18"/>
  <c r="DM46" i="18"/>
  <c r="AS159" i="22"/>
  <c r="DJ49" i="18" s="1"/>
  <c r="AS156" i="22"/>
  <c r="AT195" i="22"/>
  <c r="BB195" i="22" s="1"/>
  <c r="AT177" i="22"/>
  <c r="BB177" i="22" s="1"/>
  <c r="AT155" i="22"/>
  <c r="BB155" i="22" s="1"/>
  <c r="AS149" i="22"/>
  <c r="AS117" i="22"/>
  <c r="AT146" i="22"/>
  <c r="BB146" i="22" s="1"/>
  <c r="AT143" i="22"/>
  <c r="BB143" i="22" s="1"/>
  <c r="AT142" i="22"/>
  <c r="BB142" i="22" s="1"/>
  <c r="AT131" i="22"/>
  <c r="BB131" i="22" s="1"/>
  <c r="AT126" i="22"/>
  <c r="BB126" i="22" s="1"/>
  <c r="AT103" i="22"/>
  <c r="BB103" i="22" s="1"/>
  <c r="AT102" i="22"/>
  <c r="BB102" i="22" s="1"/>
  <c r="AT95" i="22"/>
  <c r="BB95" i="22" s="1"/>
  <c r="AT82" i="22"/>
  <c r="BB82" i="22" s="1"/>
  <c r="AT72" i="22"/>
  <c r="BB72" i="22" s="1"/>
  <c r="AT55" i="22"/>
  <c r="BB55" i="22" s="1"/>
  <c r="AQ56" i="22"/>
  <c r="DH21" i="18" s="1"/>
  <c r="AT30" i="22"/>
  <c r="AQ25" i="22"/>
  <c r="AQ19" i="22"/>
  <c r="AS56" i="22"/>
  <c r="DJ21" i="18" s="1"/>
  <c r="AS44" i="22"/>
  <c r="AS29" i="22"/>
  <c r="DJ14" i="18" s="1"/>
  <c r="AS25" i="22"/>
  <c r="AT69" i="22"/>
  <c r="BB69" i="22" s="1"/>
  <c r="AT64" i="22"/>
  <c r="AT49" i="22"/>
  <c r="BB49" i="22" s="1"/>
  <c r="AT35" i="22"/>
  <c r="AT34" i="22"/>
  <c r="AT24" i="22"/>
  <c r="AT71" i="22"/>
  <c r="BB71" i="22" s="1"/>
  <c r="AT70" i="22"/>
  <c r="BB70" i="22" s="1"/>
  <c r="AQ60" i="22"/>
  <c r="DH22" i="18" s="1"/>
  <c r="AT53" i="22"/>
  <c r="BB53" i="22" s="1"/>
  <c r="AQ44" i="22"/>
  <c r="AQ39" i="22"/>
  <c r="DH16" i="18" s="1"/>
  <c r="AQ15" i="22"/>
  <c r="ER43" i="18"/>
  <c r="ER42" i="18" s="1"/>
  <c r="ER39" i="18"/>
  <c r="ER38" i="18" s="1"/>
  <c r="ER35" i="18"/>
  <c r="ER34" i="18" s="1"/>
  <c r="ER31" i="18"/>
  <c r="ER30" i="18" s="1"/>
  <c r="EP45" i="18"/>
  <c r="EP44" i="18" s="1"/>
  <c r="EP41" i="18"/>
  <c r="EP40" i="18" s="1"/>
  <c r="EP37" i="18"/>
  <c r="EP36" i="18" s="1"/>
  <c r="EP33" i="18"/>
  <c r="EP32" i="18" s="1"/>
  <c r="EN43" i="18"/>
  <c r="EN42" i="18" s="1"/>
  <c r="EN39" i="18"/>
  <c r="EN38" i="18" s="1"/>
  <c r="EN35" i="18"/>
  <c r="EN34" i="18" s="1"/>
  <c r="EN31" i="18"/>
  <c r="EN30" i="18" s="1"/>
  <c r="EL43" i="18"/>
  <c r="EL39" i="18"/>
  <c r="EL38" i="18" s="1"/>
  <c r="EL35" i="18"/>
  <c r="EL34" i="18" s="1"/>
  <c r="EL31" i="18"/>
  <c r="AS77" i="22"/>
  <c r="AS15" i="22"/>
  <c r="DJ9" i="18" s="1"/>
  <c r="AT8" i="22"/>
  <c r="BB8" i="22" s="1"/>
  <c r="AT74" i="22"/>
  <c r="BB74" i="22" s="1"/>
  <c r="AT67" i="22"/>
  <c r="AT66" i="22"/>
  <c r="AT63" i="22"/>
  <c r="BB63" i="22" s="1"/>
  <c r="AT48" i="22"/>
  <c r="BB48" i="22" s="1"/>
  <c r="AT36" i="22"/>
  <c r="AT32" i="22"/>
  <c r="AT27" i="22"/>
  <c r="AT23" i="22"/>
  <c r="AT248" i="22"/>
  <c r="AU248" i="22"/>
  <c r="AT246" i="22"/>
  <c r="AU246" i="22"/>
  <c r="AU261" i="22"/>
  <c r="AT261" i="22"/>
  <c r="BB261" i="22" s="1"/>
  <c r="AT260" i="22"/>
  <c r="AU260" i="22"/>
  <c r="AU272" i="22"/>
  <c r="AT271" i="22"/>
  <c r="BB271" i="22" s="1"/>
  <c r="AU271" i="22"/>
  <c r="AU270" i="22"/>
  <c r="AT270" i="22"/>
  <c r="AU275" i="22"/>
  <c r="AT275" i="22"/>
  <c r="AU282" i="22"/>
  <c r="AT282" i="22"/>
  <c r="AU280" i="22"/>
  <c r="AT280" i="22"/>
  <c r="BB280" i="22" s="1"/>
  <c r="AT249" i="22"/>
  <c r="BB249" i="22" s="1"/>
  <c r="AT256" i="22"/>
  <c r="AT265" i="22"/>
  <c r="BB265" i="22" s="1"/>
  <c r="AT264" i="22"/>
  <c r="BB264" i="22" s="1"/>
  <c r="AU247" i="22"/>
  <c r="AT247" i="22"/>
  <c r="AT253" i="22"/>
  <c r="AU252" i="22"/>
  <c r="AT252" i="22"/>
  <c r="AU255" i="22"/>
  <c r="AT262" i="22"/>
  <c r="BB262" i="22" s="1"/>
  <c r="AU262" i="22"/>
  <c r="AU281" i="22"/>
  <c r="AT257" i="22"/>
  <c r="BB257" i="22" s="1"/>
  <c r="AT267" i="22"/>
  <c r="BB267" i="22" s="1"/>
  <c r="AT274" i="22"/>
  <c r="AT278" i="22"/>
  <c r="AT288" i="22"/>
  <c r="AT287" i="22"/>
  <c r="AT286" i="22"/>
  <c r="BB286" i="22" s="1"/>
  <c r="AQ83" i="22"/>
  <c r="AS83" i="22"/>
  <c r="AS85" i="22" s="1"/>
  <c r="CW84" i="18"/>
  <c r="CV76" i="18"/>
  <c r="CW63" i="18"/>
  <c r="DE59" i="18"/>
  <c r="CW78" i="18"/>
  <c r="CW77" i="18"/>
  <c r="CW81" i="18"/>
  <c r="CU57" i="18"/>
  <c r="CU58" i="18"/>
  <c r="CU53" i="18"/>
  <c r="CU63" i="18"/>
  <c r="CW58" i="18"/>
  <c r="CW54" i="18"/>
  <c r="CW53" i="18"/>
  <c r="CW50" i="18"/>
  <c r="CW28" i="18"/>
  <c r="CU49" i="18"/>
  <c r="EQ86" i="18"/>
  <c r="EQ85" i="18" s="1"/>
  <c r="EQ76" i="18"/>
  <c r="EO88" i="18"/>
  <c r="EO87" i="18" s="1"/>
  <c r="EO76" i="18"/>
  <c r="EM81" i="18"/>
  <c r="ER71" i="18"/>
  <c r="ER70" i="18" s="1"/>
  <c r="ER61" i="18"/>
  <c r="EP71" i="18"/>
  <c r="EP70" i="18" s="1"/>
  <c r="EP61" i="18"/>
  <c r="EN71" i="18"/>
  <c r="EN70" i="18" s="1"/>
  <c r="CZ46" i="18"/>
  <c r="CW29" i="18"/>
  <c r="DB6" i="18"/>
  <c r="CU22" i="18"/>
  <c r="CU16" i="18"/>
  <c r="CW22" i="18"/>
  <c r="CW21" i="18"/>
  <c r="CW14" i="18"/>
  <c r="CU21" i="18"/>
  <c r="CU15" i="18"/>
  <c r="CU14" i="18"/>
  <c r="ER28" i="18"/>
  <c r="EP28" i="18"/>
  <c r="EN28" i="18"/>
  <c r="CZ12" i="18"/>
  <c r="CW15" i="18"/>
  <c r="EQ21" i="18"/>
  <c r="EQ13" i="18"/>
  <c r="EP16" i="18"/>
  <c r="EO21" i="18"/>
  <c r="EO13" i="18"/>
  <c r="EM21" i="18"/>
  <c r="EM15" i="18"/>
  <c r="R197" i="17"/>
  <c r="AB150" i="17"/>
  <c r="R150" i="17"/>
  <c r="Y78" i="17"/>
  <c r="U78" i="17"/>
  <c r="AS271" i="17"/>
  <c r="AS273" i="17" s="1"/>
  <c r="AN273" i="17"/>
  <c r="AN269" i="17" s="1"/>
  <c r="AS261" i="17"/>
  <c r="AS263" i="17" s="1"/>
  <c r="AN263" i="17"/>
  <c r="AN259" i="17" s="1"/>
  <c r="AT208" i="17"/>
  <c r="AT207" i="17"/>
  <c r="AB197" i="17"/>
  <c r="Y197" i="17"/>
  <c r="T197" i="17"/>
  <c r="T150" i="17"/>
  <c r="L150" i="17"/>
  <c r="AM78" i="17"/>
  <c r="AB5" i="17"/>
  <c r="Y5" i="17"/>
  <c r="U5" i="17"/>
  <c r="T5" i="17"/>
  <c r="S5" i="17"/>
  <c r="AQ243" i="17"/>
  <c r="AT227" i="17"/>
  <c r="AQ231" i="17"/>
  <c r="AQ225" i="17"/>
  <c r="AT200" i="17"/>
  <c r="BB200" i="17" s="1"/>
  <c r="AQ190" i="17"/>
  <c r="AT179" i="17"/>
  <c r="BB179" i="17" s="1"/>
  <c r="CM75" i="18"/>
  <c r="CM74" i="18" s="1"/>
  <c r="AS268" i="17"/>
  <c r="CJ81" i="18" s="1"/>
  <c r="AS254" i="17"/>
  <c r="CJ77" i="18" s="1"/>
  <c r="AS250" i="17"/>
  <c r="AR203" i="17"/>
  <c r="AT235" i="17"/>
  <c r="AT218" i="17"/>
  <c r="AT205" i="17"/>
  <c r="AT189" i="17"/>
  <c r="BB189" i="17" s="1"/>
  <c r="AT185" i="17"/>
  <c r="BB185" i="17" s="1"/>
  <c r="CO46" i="18"/>
  <c r="AS196" i="17"/>
  <c r="CJ58" i="18" s="1"/>
  <c r="AS178" i="17"/>
  <c r="CJ53" i="18" s="1"/>
  <c r="AS168" i="17"/>
  <c r="AS162" i="17"/>
  <c r="CJ50" i="18" s="1"/>
  <c r="AS159" i="17"/>
  <c r="CJ49" i="18" s="1"/>
  <c r="AR196" i="17"/>
  <c r="CI58" i="18" s="1"/>
  <c r="AT174" i="17"/>
  <c r="BB174" i="17" s="1"/>
  <c r="AT165" i="17"/>
  <c r="BB165" i="17" s="1"/>
  <c r="AQ237" i="17"/>
  <c r="AT230" i="17"/>
  <c r="BB230" i="17" s="1"/>
  <c r="AT214" i="17"/>
  <c r="BB214" i="17" s="1"/>
  <c r="AQ193" i="17"/>
  <c r="CH57" i="18" s="1"/>
  <c r="AT191" i="17"/>
  <c r="BB191" i="17" s="1"/>
  <c r="AS289" i="17"/>
  <c r="AS283" i="17"/>
  <c r="AS276" i="17"/>
  <c r="CJ84" i="18" s="1"/>
  <c r="AS258" i="17"/>
  <c r="CJ78" i="18" s="1"/>
  <c r="CO59" i="18"/>
  <c r="AS243" i="17"/>
  <c r="AS231" i="17"/>
  <c r="AS203" i="17"/>
  <c r="AR212" i="17"/>
  <c r="CI63" i="18" s="1"/>
  <c r="AT242" i="17"/>
  <c r="AT241" i="17"/>
  <c r="AT236" i="17"/>
  <c r="AT224" i="17"/>
  <c r="BB224" i="17" s="1"/>
  <c r="AT219" i="17"/>
  <c r="AT206" i="17"/>
  <c r="AT202" i="17"/>
  <c r="BB202" i="17" s="1"/>
  <c r="AT201" i="17"/>
  <c r="BB201" i="17" s="1"/>
  <c r="AS193" i="17"/>
  <c r="CJ57" i="18" s="1"/>
  <c r="AS190" i="17"/>
  <c r="AT187" i="17"/>
  <c r="BB187" i="17" s="1"/>
  <c r="AT186" i="17"/>
  <c r="BB186" i="17" s="1"/>
  <c r="CQ46" i="18"/>
  <c r="CM46" i="18"/>
  <c r="AT172" i="17"/>
  <c r="BB172" i="17" s="1"/>
  <c r="AT154" i="17"/>
  <c r="BB154" i="17" s="1"/>
  <c r="AT171" i="17"/>
  <c r="BB171" i="17" s="1"/>
  <c r="CQ42" i="18"/>
  <c r="EQ43" i="18"/>
  <c r="EQ42" i="18" s="1"/>
  <c r="CQ38" i="18"/>
  <c r="EQ39" i="18"/>
  <c r="EQ38" i="18" s="1"/>
  <c r="CQ34" i="18"/>
  <c r="EQ35" i="18"/>
  <c r="EQ34" i="18" s="1"/>
  <c r="CQ30" i="18"/>
  <c r="EQ31" i="18"/>
  <c r="EQ30" i="18" s="1"/>
  <c r="CM42" i="18"/>
  <c r="EM43" i="18"/>
  <c r="CM38" i="18"/>
  <c r="EM39" i="18"/>
  <c r="CM34" i="18"/>
  <c r="EM35" i="18"/>
  <c r="CM30" i="18"/>
  <c r="EM31" i="18"/>
  <c r="AQ92" i="17"/>
  <c r="CH29" i="18" s="1"/>
  <c r="AT89" i="17"/>
  <c r="BB89" i="17" s="1"/>
  <c r="AS56" i="17"/>
  <c r="CJ21" i="18" s="1"/>
  <c r="AS50" i="17"/>
  <c r="AT71" i="17"/>
  <c r="BB71" i="17" s="1"/>
  <c r="AT53" i="17"/>
  <c r="BB53" i="17" s="1"/>
  <c r="AQ44" i="17"/>
  <c r="AT41" i="17"/>
  <c r="AQ39" i="17"/>
  <c r="CH16" i="18" s="1"/>
  <c r="AQ15" i="17"/>
  <c r="CH9" i="18" s="1"/>
  <c r="AF170" i="17"/>
  <c r="AE164" i="17"/>
  <c r="AE158" i="17"/>
  <c r="AE155" i="17"/>
  <c r="AF155" i="17" s="1"/>
  <c r="AR155" i="17" s="1"/>
  <c r="AQ181" i="17"/>
  <c r="CH54" i="18" s="1"/>
  <c r="AQ166" i="17"/>
  <c r="AQ164" i="17"/>
  <c r="AQ158" i="17"/>
  <c r="AS149" i="17"/>
  <c r="AS110" i="17"/>
  <c r="AE144" i="17"/>
  <c r="AF144" i="17" s="1"/>
  <c r="AR144" i="17" s="1"/>
  <c r="AT144" i="17" s="1"/>
  <c r="BB144" i="17" s="1"/>
  <c r="AE130" i="17"/>
  <c r="AF130" i="17" s="1"/>
  <c r="AR130" i="17" s="1"/>
  <c r="AE126" i="17"/>
  <c r="AF126" i="17" s="1"/>
  <c r="AR126" i="17" s="1"/>
  <c r="AE121" i="17"/>
  <c r="AF121" i="17" s="1"/>
  <c r="AR121" i="17" s="1"/>
  <c r="AE116" i="17"/>
  <c r="AF116" i="17" s="1"/>
  <c r="AR116" i="17" s="1"/>
  <c r="AE112" i="17"/>
  <c r="AE107" i="17"/>
  <c r="AE102" i="17"/>
  <c r="AE97" i="17"/>
  <c r="AF97" i="17" s="1"/>
  <c r="AR97" i="17" s="1"/>
  <c r="AF82" i="17"/>
  <c r="AR82" i="17" s="1"/>
  <c r="AF80" i="17"/>
  <c r="AT138" i="17"/>
  <c r="BB138" i="17" s="1"/>
  <c r="AT136" i="17"/>
  <c r="BB136" i="17" s="1"/>
  <c r="AQ139" i="17"/>
  <c r="AT131" i="17"/>
  <c r="BB131" i="17" s="1"/>
  <c r="AT129" i="17"/>
  <c r="BB129" i="17" s="1"/>
  <c r="AT127" i="17"/>
  <c r="BB127" i="17" s="1"/>
  <c r="AT125" i="17"/>
  <c r="BB125" i="17" s="1"/>
  <c r="AT120" i="17"/>
  <c r="BB120" i="17" s="1"/>
  <c r="AT115" i="17"/>
  <c r="BB115" i="17" s="1"/>
  <c r="AT113" i="17"/>
  <c r="BB113" i="17" s="1"/>
  <c r="AT108" i="17"/>
  <c r="BB108" i="17" s="1"/>
  <c r="AT103" i="17"/>
  <c r="BB103" i="17" s="1"/>
  <c r="AT101" i="17"/>
  <c r="BB101" i="17" s="1"/>
  <c r="AQ82" i="17"/>
  <c r="AQ80" i="17"/>
  <c r="CR19" i="18"/>
  <c r="CR12" i="18"/>
  <c r="CO6" i="18"/>
  <c r="CN19" i="18"/>
  <c r="CN12" i="18"/>
  <c r="AS44" i="17"/>
  <c r="AS29" i="17"/>
  <c r="CJ14" i="18" s="1"/>
  <c r="AS25" i="17"/>
  <c r="AT55" i="17"/>
  <c r="BB55" i="17" s="1"/>
  <c r="AR29" i="17"/>
  <c r="AT9" i="17"/>
  <c r="BB9" i="17" s="1"/>
  <c r="AT8" i="17"/>
  <c r="BB8" i="17" s="1"/>
  <c r="AT75" i="17"/>
  <c r="AT67" i="17"/>
  <c r="AT63" i="17"/>
  <c r="BB63" i="17" s="1"/>
  <c r="AQ77" i="17"/>
  <c r="AQ60" i="17"/>
  <c r="CH22" i="18" s="1"/>
  <c r="AT48" i="17"/>
  <c r="BB48" i="17" s="1"/>
  <c r="AT33" i="17"/>
  <c r="BB33" i="17" s="1"/>
  <c r="AT28" i="17"/>
  <c r="AT22" i="17"/>
  <c r="AT14" i="17"/>
  <c r="BB14" i="17" s="1"/>
  <c r="CO42" i="18"/>
  <c r="EO43" i="18"/>
  <c r="EO42" i="18" s="1"/>
  <c r="CO38" i="18"/>
  <c r="EO39" i="18"/>
  <c r="EO38" i="18" s="1"/>
  <c r="CO34" i="18"/>
  <c r="EO35" i="18"/>
  <c r="EO34" i="18" s="1"/>
  <c r="CO30" i="18"/>
  <c r="EO31" i="18"/>
  <c r="EO30" i="18" s="1"/>
  <c r="CR23" i="18"/>
  <c r="ER24" i="18"/>
  <c r="ER23" i="18" s="1"/>
  <c r="CR17" i="18"/>
  <c r="ER18" i="18"/>
  <c r="ER17" i="18" s="1"/>
  <c r="CQ7" i="18"/>
  <c r="EQ9" i="18"/>
  <c r="EP20" i="18"/>
  <c r="CN23" i="18"/>
  <c r="EN24" i="18"/>
  <c r="EN23" i="18" s="1"/>
  <c r="CN17" i="18"/>
  <c r="EN18" i="18"/>
  <c r="CM10" i="18"/>
  <c r="CM6" i="18" s="1"/>
  <c r="EM11" i="18"/>
  <c r="AF176" i="17"/>
  <c r="AR176" i="17" s="1"/>
  <c r="AT176" i="17" s="1"/>
  <c r="BB176" i="17" s="1"/>
  <c r="AE175" i="17"/>
  <c r="AF167" i="17"/>
  <c r="AR167" i="17" s="1"/>
  <c r="AT167" i="17" s="1"/>
  <c r="BB167" i="17" s="1"/>
  <c r="AE166" i="17"/>
  <c r="AF166" i="17" s="1"/>
  <c r="AR166" i="17" s="1"/>
  <c r="AE153" i="17"/>
  <c r="AQ194" i="17"/>
  <c r="AQ177" i="17"/>
  <c r="AT177" i="17" s="1"/>
  <c r="BB177" i="17" s="1"/>
  <c r="AQ175" i="17"/>
  <c r="AQ173" i="17"/>
  <c r="AT173" i="17" s="1"/>
  <c r="BB173" i="17" s="1"/>
  <c r="AQ169" i="17"/>
  <c r="AQ162" i="17"/>
  <c r="CH50" i="18" s="1"/>
  <c r="AS132" i="17"/>
  <c r="AS130" i="17"/>
  <c r="AS128" i="17"/>
  <c r="AS126" i="17"/>
  <c r="AS124" i="17"/>
  <c r="AS116" i="17"/>
  <c r="AS114" i="17"/>
  <c r="AS112" i="17"/>
  <c r="AS104" i="17"/>
  <c r="AS102" i="17"/>
  <c r="AS97" i="17"/>
  <c r="AS95" i="17"/>
  <c r="AS90" i="17"/>
  <c r="AS92" i="17" s="1"/>
  <c r="CJ29" i="18" s="1"/>
  <c r="AS84" i="17"/>
  <c r="AS81" i="17"/>
  <c r="AT81" i="17" s="1"/>
  <c r="BB81" i="17" s="1"/>
  <c r="AE146" i="17"/>
  <c r="AF146" i="17" s="1"/>
  <c r="AR146" i="17" s="1"/>
  <c r="AT146" i="17" s="1"/>
  <c r="BB146" i="17" s="1"/>
  <c r="AE142" i="17"/>
  <c r="AE137" i="17"/>
  <c r="AF137" i="17" s="1"/>
  <c r="AR137" i="17" s="1"/>
  <c r="AT137" i="17" s="1"/>
  <c r="BB137" i="17" s="1"/>
  <c r="AE132" i="17"/>
  <c r="AF132" i="17" s="1"/>
  <c r="AR132" i="17" s="1"/>
  <c r="AE128" i="17"/>
  <c r="AF128" i="17" s="1"/>
  <c r="AR128" i="17" s="1"/>
  <c r="AE124" i="17"/>
  <c r="AE119" i="17"/>
  <c r="AE114" i="17"/>
  <c r="AF114" i="17" s="1"/>
  <c r="AR114" i="17" s="1"/>
  <c r="AT114" i="17" s="1"/>
  <c r="BB114" i="17" s="1"/>
  <c r="AE109" i="17"/>
  <c r="AF109" i="17" s="1"/>
  <c r="AR109" i="17" s="1"/>
  <c r="AT109" i="17" s="1"/>
  <c r="BB109" i="17" s="1"/>
  <c r="AE104" i="17"/>
  <c r="AF104" i="17" s="1"/>
  <c r="AR104" i="17" s="1"/>
  <c r="AT104" i="17" s="1"/>
  <c r="BB104" i="17" s="1"/>
  <c r="AE95" i="17"/>
  <c r="AE90" i="17"/>
  <c r="AE87" i="17"/>
  <c r="AE84" i="17"/>
  <c r="AQ147" i="17"/>
  <c r="AT147" i="17" s="1"/>
  <c r="AQ145" i="17"/>
  <c r="AT145" i="17" s="1"/>
  <c r="BB145" i="17" s="1"/>
  <c r="AQ143" i="17"/>
  <c r="AT143" i="17" s="1"/>
  <c r="BB143" i="17" s="1"/>
  <c r="AQ141" i="17"/>
  <c r="AQ133" i="17"/>
  <c r="AQ105" i="17"/>
  <c r="AQ98" i="17"/>
  <c r="AT98" i="17" s="1"/>
  <c r="BB98" i="17" s="1"/>
  <c r="AQ96" i="17"/>
  <c r="AT96" i="17" s="1"/>
  <c r="BB96" i="17" s="1"/>
  <c r="AQ94" i="17"/>
  <c r="AQ86" i="17"/>
  <c r="CP12" i="18"/>
  <c r="AT26" i="17"/>
  <c r="AQ29" i="17"/>
  <c r="CH14" i="18" s="1"/>
  <c r="AQ25" i="17"/>
  <c r="AT21" i="17"/>
  <c r="AQ19" i="17"/>
  <c r="AT10" i="17"/>
  <c r="BB10" i="17" s="1"/>
  <c r="AQ11" i="17"/>
  <c r="AS77" i="17"/>
  <c r="AS37" i="17"/>
  <c r="CJ15" i="18" s="1"/>
  <c r="AS15" i="17"/>
  <c r="CJ9" i="18" s="1"/>
  <c r="AS11" i="17"/>
  <c r="AQ56" i="17"/>
  <c r="CH21" i="18" s="1"/>
  <c r="AQ50" i="17"/>
  <c r="AQ37" i="17"/>
  <c r="CH15" i="18" s="1"/>
  <c r="AT18" i="17"/>
  <c r="BB18" i="17" s="1"/>
  <c r="AT13" i="17"/>
  <c r="BB13" i="17" s="1"/>
  <c r="AU247" i="17"/>
  <c r="AU253" i="17"/>
  <c r="AU271" i="17"/>
  <c r="AU282" i="17"/>
  <c r="AT282" i="17"/>
  <c r="AU281" i="17"/>
  <c r="AF248" i="17"/>
  <c r="AR248" i="17" s="1"/>
  <c r="AT248" i="17" s="1"/>
  <c r="AF246" i="17"/>
  <c r="AF252" i="17"/>
  <c r="AT251" i="17"/>
  <c r="AF267" i="17"/>
  <c r="AR267" i="17" s="1"/>
  <c r="AT267" i="17" s="1"/>
  <c r="BB267" i="17" s="1"/>
  <c r="AE264" i="17"/>
  <c r="AT272" i="17"/>
  <c r="BB272" i="17" s="1"/>
  <c r="AE274" i="17"/>
  <c r="AE279" i="17"/>
  <c r="AT278" i="17"/>
  <c r="AE286" i="17"/>
  <c r="AT285" i="17"/>
  <c r="BB285" i="17" s="1"/>
  <c r="AU248" i="17"/>
  <c r="AU246" i="17"/>
  <c r="AU252" i="17"/>
  <c r="AU255" i="17"/>
  <c r="AT255" i="17"/>
  <c r="AT262" i="17"/>
  <c r="BB262" i="17" s="1"/>
  <c r="AU262" i="17"/>
  <c r="AU261" i="17"/>
  <c r="AT260" i="17"/>
  <c r="AU260" i="17"/>
  <c r="AU270" i="17"/>
  <c r="AU273" i="17" s="1"/>
  <c r="AT270" i="17"/>
  <c r="AU275" i="17"/>
  <c r="AT275" i="17"/>
  <c r="AU280" i="17"/>
  <c r="AT280" i="17"/>
  <c r="AE249" i="17"/>
  <c r="AF247" i="17"/>
  <c r="AR247" i="17" s="1"/>
  <c r="AT247" i="17" s="1"/>
  <c r="BB247" i="17" s="1"/>
  <c r="AE253" i="17"/>
  <c r="AF257" i="17"/>
  <c r="AF266" i="17"/>
  <c r="AR266" i="17" s="1"/>
  <c r="AT266" i="17" s="1"/>
  <c r="AT265" i="17"/>
  <c r="BB265" i="17" s="1"/>
  <c r="AE271" i="17"/>
  <c r="AE281" i="17"/>
  <c r="AF281" i="17" s="1"/>
  <c r="AR281" i="17" s="1"/>
  <c r="AT281" i="17" s="1"/>
  <c r="BB281" i="17" s="1"/>
  <c r="AE288" i="17"/>
  <c r="AF288" i="17" s="1"/>
  <c r="AR288" i="17" s="1"/>
  <c r="AT288" i="17" s="1"/>
  <c r="AT287" i="17"/>
  <c r="EP15" i="18"/>
  <c r="EP13" i="18"/>
  <c r="EM16" i="18"/>
  <c r="EM8" i="18"/>
  <c r="AQ83" i="17"/>
  <c r="AS83" i="17"/>
  <c r="EO16" i="18"/>
  <c r="AM197" i="16"/>
  <c r="AM150" i="16"/>
  <c r="T150" i="16"/>
  <c r="AT208" i="16"/>
  <c r="AT207" i="16"/>
  <c r="AB197" i="16"/>
  <c r="AB150" i="16"/>
  <c r="R150" i="16"/>
  <c r="AM78" i="16"/>
  <c r="T78" i="16"/>
  <c r="L78" i="16"/>
  <c r="AQ243" i="16"/>
  <c r="AQ231" i="16"/>
  <c r="AQ225" i="16"/>
  <c r="AQ220" i="16"/>
  <c r="AT211" i="16"/>
  <c r="BB211" i="16" s="1"/>
  <c r="AQ212" i="16"/>
  <c r="BU63" i="18" s="1"/>
  <c r="BY63" i="18"/>
  <c r="BU62" i="18"/>
  <c r="AQ203" i="16"/>
  <c r="AT199" i="16"/>
  <c r="AQ190" i="16"/>
  <c r="AT183" i="16"/>
  <c r="BB183" i="16" s="1"/>
  <c r="AQ196" i="16"/>
  <c r="BU58" i="18" s="1"/>
  <c r="AT179" i="16"/>
  <c r="BB179" i="16" s="1"/>
  <c r="AQ181" i="16"/>
  <c r="BU54" i="18" s="1"/>
  <c r="AQ178" i="16"/>
  <c r="BU53" i="18" s="1"/>
  <c r="AQ168" i="16"/>
  <c r="AT164" i="16"/>
  <c r="BB164" i="16" s="1"/>
  <c r="AT160" i="16"/>
  <c r="BB160" i="16" s="1"/>
  <c r="AQ162" i="16"/>
  <c r="BU50" i="18" s="1"/>
  <c r="CB59" i="18"/>
  <c r="AS243" i="16"/>
  <c r="AS231" i="16"/>
  <c r="AS225" i="16"/>
  <c r="AS220" i="16"/>
  <c r="AS203" i="16"/>
  <c r="AT240" i="16"/>
  <c r="AT235" i="16"/>
  <c r="AT234" i="16"/>
  <c r="AT228" i="16"/>
  <c r="AT223" i="16"/>
  <c r="AT218" i="16"/>
  <c r="AT217" i="16"/>
  <c r="AT202" i="16"/>
  <c r="BB202" i="16" s="1"/>
  <c r="AS190" i="16"/>
  <c r="AT186" i="16"/>
  <c r="BB186" i="16" s="1"/>
  <c r="CB46" i="18"/>
  <c r="AS196" i="16"/>
  <c r="BW58" i="18" s="1"/>
  <c r="AS178" i="16"/>
  <c r="BW53" i="18" s="1"/>
  <c r="AS168" i="16"/>
  <c r="AS162" i="16"/>
  <c r="BW50" i="18" s="1"/>
  <c r="AT195" i="16"/>
  <c r="BB195" i="16" s="1"/>
  <c r="AT177" i="16"/>
  <c r="BB177" i="16" s="1"/>
  <c r="AT174" i="16"/>
  <c r="BB174" i="16" s="1"/>
  <c r="AT173" i="16"/>
  <c r="BB173" i="16" s="1"/>
  <c r="AT170" i="16"/>
  <c r="BB170" i="16" s="1"/>
  <c r="AT155" i="16"/>
  <c r="BB155" i="16" s="1"/>
  <c r="AT154" i="16"/>
  <c r="BB154" i="16" s="1"/>
  <c r="AQ237" i="16"/>
  <c r="AT230" i="16"/>
  <c r="BB230" i="16" s="1"/>
  <c r="AT229" i="16"/>
  <c r="BB229" i="16" s="1"/>
  <c r="AT200" i="16"/>
  <c r="BB200" i="16" s="1"/>
  <c r="AQ193" i="16"/>
  <c r="BU57" i="18" s="1"/>
  <c r="AT191" i="16"/>
  <c r="BB191" i="16" s="1"/>
  <c r="AT157" i="16"/>
  <c r="BB157" i="16" s="1"/>
  <c r="AQ159" i="16"/>
  <c r="BU49" i="18" s="1"/>
  <c r="AT152" i="16"/>
  <c r="BB152" i="16" s="1"/>
  <c r="AQ156" i="16"/>
  <c r="AB5" i="16"/>
  <c r="Y5" i="16"/>
  <c r="U5" i="16"/>
  <c r="T5" i="16"/>
  <c r="S5" i="16"/>
  <c r="R5" i="16"/>
  <c r="AS237" i="16"/>
  <c r="AS212" i="16"/>
  <c r="BW63" i="18" s="1"/>
  <c r="AT242" i="16"/>
  <c r="AT241" i="16"/>
  <c r="AT236" i="16"/>
  <c r="AT224" i="16"/>
  <c r="BB224" i="16" s="1"/>
  <c r="AT219" i="16"/>
  <c r="AT216" i="16"/>
  <c r="BB216" i="16" s="1"/>
  <c r="AT215" i="16"/>
  <c r="AT206" i="16"/>
  <c r="AT205" i="16"/>
  <c r="AS193" i="16"/>
  <c r="BW57" i="18" s="1"/>
  <c r="AT189" i="16"/>
  <c r="BB189" i="16" s="1"/>
  <c r="AT187" i="16"/>
  <c r="BB187" i="16" s="1"/>
  <c r="CD46" i="18"/>
  <c r="BZ46" i="18"/>
  <c r="AS156" i="16"/>
  <c r="AT176" i="16"/>
  <c r="BB176" i="16" s="1"/>
  <c r="AT172" i="16"/>
  <c r="BB172" i="16" s="1"/>
  <c r="AT171" i="16"/>
  <c r="BB171" i="16" s="1"/>
  <c r="AT167" i="16"/>
  <c r="BB167" i="16" s="1"/>
  <c r="AT166" i="16"/>
  <c r="BB166" i="16" s="1"/>
  <c r="AT101" i="16"/>
  <c r="BB101" i="16" s="1"/>
  <c r="AT86" i="16"/>
  <c r="BB86" i="16" s="1"/>
  <c r="AT73" i="16"/>
  <c r="BB73" i="16" s="1"/>
  <c r="EQ78" i="18"/>
  <c r="AS139" i="16"/>
  <c r="AS99" i="16"/>
  <c r="AS92" i="16"/>
  <c r="BW29" i="18" s="1"/>
  <c r="AT138" i="16"/>
  <c r="BB138" i="16" s="1"/>
  <c r="AT129" i="16"/>
  <c r="BB129" i="16" s="1"/>
  <c r="AT125" i="16"/>
  <c r="BB125" i="16" s="1"/>
  <c r="AT108" i="16"/>
  <c r="BB108" i="16" s="1"/>
  <c r="AT96" i="16"/>
  <c r="BB96" i="16" s="1"/>
  <c r="AT91" i="16"/>
  <c r="BB91" i="16" s="1"/>
  <c r="AT135" i="16"/>
  <c r="BB135" i="16" s="1"/>
  <c r="AT94" i="16"/>
  <c r="BB94" i="16" s="1"/>
  <c r="AT89" i="16"/>
  <c r="BB89" i="16" s="1"/>
  <c r="AT46" i="16"/>
  <c r="BB46" i="16" s="1"/>
  <c r="EQ62" i="18"/>
  <c r="EQ60" i="18" s="1"/>
  <c r="EO62" i="18"/>
  <c r="AS149" i="16"/>
  <c r="AS133" i="16"/>
  <c r="AS122" i="16"/>
  <c r="AS117" i="16"/>
  <c r="AS105" i="16"/>
  <c r="AT131" i="16"/>
  <c r="BB131" i="16" s="1"/>
  <c r="AT127" i="16"/>
  <c r="BB127" i="16" s="1"/>
  <c r="AT113" i="16"/>
  <c r="BB113" i="16" s="1"/>
  <c r="AT103" i="16"/>
  <c r="BB103" i="16" s="1"/>
  <c r="AT98" i="16"/>
  <c r="BB98" i="16" s="1"/>
  <c r="CE7" i="18"/>
  <c r="CE6" i="18" s="1"/>
  <c r="ER9" i="18"/>
  <c r="ER7" i="18" s="1"/>
  <c r="CB12" i="18"/>
  <c r="EO14" i="18"/>
  <c r="BZ12" i="18"/>
  <c r="EM14" i="18"/>
  <c r="AQ77" i="16"/>
  <c r="AQ37" i="16"/>
  <c r="BU15" i="18" s="1"/>
  <c r="AT12" i="16"/>
  <c r="BB12" i="16" s="1"/>
  <c r="AQ15" i="16"/>
  <c r="BU9" i="18" s="1"/>
  <c r="AQ11" i="16"/>
  <c r="AE126" i="16"/>
  <c r="AF126" i="16" s="1"/>
  <c r="AR126" i="16" s="1"/>
  <c r="AT126" i="16" s="1"/>
  <c r="BB126" i="16" s="1"/>
  <c r="AE121" i="16"/>
  <c r="AF121" i="16" s="1"/>
  <c r="AR121" i="16" s="1"/>
  <c r="AE116" i="16"/>
  <c r="AF116" i="16" s="1"/>
  <c r="AR116" i="16" s="1"/>
  <c r="AT116" i="16" s="1"/>
  <c r="BB116" i="16" s="1"/>
  <c r="AE112" i="16"/>
  <c r="AE107" i="16"/>
  <c r="AE102" i="16"/>
  <c r="AE97" i="16"/>
  <c r="AF97" i="16" s="1"/>
  <c r="AR97" i="16" s="1"/>
  <c r="AT97" i="16" s="1"/>
  <c r="BB97" i="16" s="1"/>
  <c r="AF82" i="16"/>
  <c r="AR82" i="16" s="1"/>
  <c r="AT82" i="16" s="1"/>
  <c r="BB82" i="16" s="1"/>
  <c r="AF80" i="16"/>
  <c r="AQ149" i="16"/>
  <c r="AQ121" i="16"/>
  <c r="AQ119" i="16"/>
  <c r="AQ109" i="16"/>
  <c r="AQ107" i="16"/>
  <c r="AQ87" i="16"/>
  <c r="CD19" i="18"/>
  <c r="CB19" i="18"/>
  <c r="BZ19" i="18"/>
  <c r="AS60" i="16"/>
  <c r="BW22" i="18" s="1"/>
  <c r="AS50" i="16"/>
  <c r="AS15" i="16"/>
  <c r="BW9" i="18" s="1"/>
  <c r="AE76" i="16"/>
  <c r="AF76" i="16" s="1"/>
  <c r="AR76" i="16" s="1"/>
  <c r="AE70" i="16"/>
  <c r="AF70" i="16" s="1"/>
  <c r="AR70" i="16" s="1"/>
  <c r="AY70" i="16" s="1"/>
  <c r="AF66" i="16"/>
  <c r="AR66" i="16" s="1"/>
  <c r="AF64" i="16"/>
  <c r="AR64" i="16" s="1"/>
  <c r="AE63" i="16"/>
  <c r="AE58" i="16"/>
  <c r="AE55" i="16"/>
  <c r="AF55" i="16" s="1"/>
  <c r="AR55" i="16" s="1"/>
  <c r="AT55" i="16" s="1"/>
  <c r="BB55" i="16" s="1"/>
  <c r="AE49" i="16"/>
  <c r="AF49" i="16" s="1"/>
  <c r="AR49" i="16" s="1"/>
  <c r="AE36" i="16"/>
  <c r="AF36" i="16" s="1"/>
  <c r="AR36" i="16" s="1"/>
  <c r="AT36" i="16" s="1"/>
  <c r="AE32" i="16"/>
  <c r="AF32" i="16" s="1"/>
  <c r="AR32" i="16" s="1"/>
  <c r="AF27" i="16"/>
  <c r="AR27" i="16" s="1"/>
  <c r="AF21" i="16"/>
  <c r="AE14" i="16"/>
  <c r="AF14" i="16" s="1"/>
  <c r="AR14" i="16" s="1"/>
  <c r="AT14" i="16" s="1"/>
  <c r="BB14" i="16" s="1"/>
  <c r="AE13" i="16"/>
  <c r="AT59" i="16"/>
  <c r="BB59" i="16" s="1"/>
  <c r="AT49" i="16"/>
  <c r="BB49" i="16" s="1"/>
  <c r="CD23" i="18"/>
  <c r="EQ24" i="18"/>
  <c r="EQ23" i="18" s="1"/>
  <c r="CA7" i="18"/>
  <c r="CA6" i="18" s="1"/>
  <c r="EN9" i="18"/>
  <c r="EN7" i="18" s="1"/>
  <c r="AT57" i="16"/>
  <c r="BB57" i="16" s="1"/>
  <c r="AQ60" i="16"/>
  <c r="BU22" i="18" s="1"/>
  <c r="AQ50" i="16"/>
  <c r="AQ19" i="16"/>
  <c r="AE128" i="16"/>
  <c r="AF128" i="16" s="1"/>
  <c r="AR128" i="16" s="1"/>
  <c r="AE124" i="16"/>
  <c r="AE119" i="16"/>
  <c r="AE114" i="16"/>
  <c r="AF114" i="16" s="1"/>
  <c r="AR114" i="16" s="1"/>
  <c r="AT114" i="16" s="1"/>
  <c r="BB114" i="16" s="1"/>
  <c r="AE109" i="16"/>
  <c r="AF109" i="16" s="1"/>
  <c r="AR109" i="16" s="1"/>
  <c r="AE104" i="16"/>
  <c r="AF104" i="16" s="1"/>
  <c r="AR104" i="16" s="1"/>
  <c r="AE95" i="16"/>
  <c r="AE90" i="16"/>
  <c r="AE87" i="16"/>
  <c r="AE84" i="16"/>
  <c r="AF81" i="16"/>
  <c r="AR81" i="16" s="1"/>
  <c r="AT81" i="16" s="1"/>
  <c r="BB81" i="16" s="1"/>
  <c r="AQ132" i="16"/>
  <c r="AT132" i="16" s="1"/>
  <c r="BB132" i="16" s="1"/>
  <c r="AQ130" i="16"/>
  <c r="AT130" i="16" s="1"/>
  <c r="BB130" i="16" s="1"/>
  <c r="AQ128" i="16"/>
  <c r="AQ117" i="16"/>
  <c r="AQ104" i="16"/>
  <c r="AQ102" i="16"/>
  <c r="AQ84" i="16"/>
  <c r="CD12" i="18"/>
  <c r="AS76" i="16"/>
  <c r="AS74" i="16"/>
  <c r="AS72" i="16"/>
  <c r="AT72" i="16" s="1"/>
  <c r="BB72" i="16" s="1"/>
  <c r="AS70" i="16"/>
  <c r="AS68" i="16"/>
  <c r="AS66" i="16"/>
  <c r="AT66" i="16" s="1"/>
  <c r="AS64" i="16"/>
  <c r="AS62" i="16"/>
  <c r="AS54" i="16"/>
  <c r="AT54" i="16" s="1"/>
  <c r="BB54" i="16" s="1"/>
  <c r="AS52" i="16"/>
  <c r="AT52" i="16" s="1"/>
  <c r="AS36" i="16"/>
  <c r="AS34" i="16"/>
  <c r="AS32" i="16"/>
  <c r="AS30" i="16"/>
  <c r="AS24" i="16"/>
  <c r="AT24" i="16" s="1"/>
  <c r="AS22" i="16"/>
  <c r="AS17" i="16"/>
  <c r="AS19" i="16" s="1"/>
  <c r="AS9" i="16"/>
  <c r="AT9" i="16" s="1"/>
  <c r="BB9" i="16" s="1"/>
  <c r="AS7" i="16"/>
  <c r="AE74" i="16"/>
  <c r="AF74" i="16" s="1"/>
  <c r="AR74" i="16" s="1"/>
  <c r="AE67" i="16"/>
  <c r="AF67" i="16" s="1"/>
  <c r="AR67" i="16" s="1"/>
  <c r="AT67" i="16" s="1"/>
  <c r="AE53" i="16"/>
  <c r="AE47" i="16"/>
  <c r="AF43" i="16"/>
  <c r="AR43" i="16" s="1"/>
  <c r="AT43" i="16" s="1"/>
  <c r="BB43" i="16" s="1"/>
  <c r="AF41" i="16"/>
  <c r="AE34" i="16"/>
  <c r="AF34" i="16" s="1"/>
  <c r="AR34" i="16" s="1"/>
  <c r="AE30" i="16"/>
  <c r="AF28" i="16"/>
  <c r="AR28" i="16" s="1"/>
  <c r="AT28" i="16" s="1"/>
  <c r="AF26" i="16"/>
  <c r="AE23" i="16"/>
  <c r="AF23" i="16" s="1"/>
  <c r="AR23" i="16" s="1"/>
  <c r="AT23" i="16" s="1"/>
  <c r="AE22" i="16"/>
  <c r="AE18" i="16"/>
  <c r="AF18" i="16" s="1"/>
  <c r="AR18" i="16" s="1"/>
  <c r="AT18" i="16" s="1"/>
  <c r="BB18" i="16" s="1"/>
  <c r="AE17" i="16"/>
  <c r="AT68" i="16"/>
  <c r="AT64" i="16"/>
  <c r="AQ56" i="16"/>
  <c r="BU21" i="18" s="1"/>
  <c r="AQ44" i="16"/>
  <c r="AT32" i="16"/>
  <c r="AT27" i="16"/>
  <c r="AQ29" i="16"/>
  <c r="BU14" i="18" s="1"/>
  <c r="AQ25" i="16"/>
  <c r="AU246" i="16"/>
  <c r="AT246" i="16"/>
  <c r="AU275" i="16"/>
  <c r="AT275" i="16"/>
  <c r="BB275" i="16" s="1"/>
  <c r="AU282" i="16"/>
  <c r="AT282" i="16"/>
  <c r="AU281" i="16"/>
  <c r="AT281" i="16"/>
  <c r="BB281" i="16" s="1"/>
  <c r="AU280" i="16"/>
  <c r="AT280" i="16"/>
  <c r="AE249" i="16"/>
  <c r="AF247" i="16"/>
  <c r="AE253" i="16"/>
  <c r="AF253" i="16" s="1"/>
  <c r="AR253" i="16" s="1"/>
  <c r="AF252" i="16"/>
  <c r="AR252" i="16" s="1"/>
  <c r="AT252" i="16" s="1"/>
  <c r="AE251" i="16"/>
  <c r="AE257" i="16"/>
  <c r="AF257" i="16" s="1"/>
  <c r="AR257" i="16" s="1"/>
  <c r="AT257" i="16" s="1"/>
  <c r="BB257" i="16" s="1"/>
  <c r="AE256" i="16"/>
  <c r="AF262" i="16"/>
  <c r="AR262" i="16" s="1"/>
  <c r="AT262" i="16" s="1"/>
  <c r="AF260" i="16"/>
  <c r="AE267" i="16"/>
  <c r="AF270" i="16"/>
  <c r="AT274" i="16"/>
  <c r="AT279" i="16"/>
  <c r="AT278" i="16"/>
  <c r="AT288" i="16"/>
  <c r="AT287" i="16"/>
  <c r="AT286" i="16"/>
  <c r="BB286" i="16" s="1"/>
  <c r="AT285" i="16"/>
  <c r="BB285" i="16" s="1"/>
  <c r="AU248" i="16"/>
  <c r="AT248" i="16"/>
  <c r="AU247" i="16"/>
  <c r="AU253" i="16"/>
  <c r="AT253" i="16"/>
  <c r="AU252" i="16"/>
  <c r="AT255" i="16"/>
  <c r="BB255" i="16" s="1"/>
  <c r="AU255" i="16"/>
  <c r="AU262" i="16"/>
  <c r="AT261" i="16"/>
  <c r="AU261" i="16"/>
  <c r="AU260" i="16"/>
  <c r="AU270" i="16"/>
  <c r="AT266" i="16"/>
  <c r="AT265" i="16"/>
  <c r="BB265" i="16" s="1"/>
  <c r="AT264" i="16"/>
  <c r="BB264" i="16" s="1"/>
  <c r="AT271" i="16"/>
  <c r="M83" i="16"/>
  <c r="M85" i="16" s="1"/>
  <c r="M79" i="16" s="1"/>
  <c r="M78" i="16" s="1"/>
  <c r="AS83" i="16"/>
  <c r="AS85" i="16" s="1"/>
  <c r="AT233" i="15"/>
  <c r="AT214" i="15"/>
  <c r="BB214" i="15" s="1"/>
  <c r="AT208" i="15"/>
  <c r="AM197" i="15"/>
  <c r="AB197" i="15"/>
  <c r="L197" i="15"/>
  <c r="AM150" i="15"/>
  <c r="T150" i="15"/>
  <c r="AM78" i="15"/>
  <c r="AN5" i="15"/>
  <c r="BJ73" i="18"/>
  <c r="BJ72" i="18" s="1"/>
  <c r="AS238" i="15"/>
  <c r="AB150" i="15"/>
  <c r="R150" i="15"/>
  <c r="L150" i="15"/>
  <c r="U78" i="15"/>
  <c r="L78" i="15"/>
  <c r="AM5" i="15"/>
  <c r="AB5" i="15"/>
  <c r="Y5" i="15"/>
  <c r="EQ84" i="18"/>
  <c r="BM87" i="18"/>
  <c r="EM88" i="18"/>
  <c r="EM84" i="18"/>
  <c r="EU84" i="18" s="1"/>
  <c r="BP72" i="18"/>
  <c r="EP73" i="18"/>
  <c r="EP72" i="18" s="1"/>
  <c r="BP68" i="18"/>
  <c r="EP69" i="18"/>
  <c r="EP68" i="18" s="1"/>
  <c r="BP64" i="18"/>
  <c r="EP65" i="18"/>
  <c r="EP64" i="18" s="1"/>
  <c r="BN60" i="18"/>
  <c r="EN61" i="18"/>
  <c r="AQ225" i="15"/>
  <c r="AT222" i="15"/>
  <c r="AQ212" i="15"/>
  <c r="BH63" i="18" s="1"/>
  <c r="AQ193" i="15"/>
  <c r="BH57" i="18" s="1"/>
  <c r="AS168" i="15"/>
  <c r="AT164" i="15"/>
  <c r="BB164" i="15" s="1"/>
  <c r="AS162" i="15"/>
  <c r="BJ50" i="18" s="1"/>
  <c r="AT179" i="15"/>
  <c r="BB179" i="15" s="1"/>
  <c r="T45" i="15"/>
  <c r="T20" i="15"/>
  <c r="R45" i="15"/>
  <c r="R20" i="15"/>
  <c r="AR273" i="15"/>
  <c r="BQ75" i="18"/>
  <c r="BQ74" i="18" s="1"/>
  <c r="BO75" i="18"/>
  <c r="BM75" i="18"/>
  <c r="BR60" i="18"/>
  <c r="BO59" i="18"/>
  <c r="AS236" i="15"/>
  <c r="AS234" i="15"/>
  <c r="AS229" i="15"/>
  <c r="AS227" i="15"/>
  <c r="AS219" i="15"/>
  <c r="AS217" i="15"/>
  <c r="AS215" i="15"/>
  <c r="AS210" i="15"/>
  <c r="AS212" i="15" s="1"/>
  <c r="BJ63" i="18" s="1"/>
  <c r="AS202" i="15"/>
  <c r="AS203" i="15" s="1"/>
  <c r="AE239" i="15"/>
  <c r="AE234" i="15"/>
  <c r="AE229" i="15"/>
  <c r="AF218" i="15"/>
  <c r="AR218" i="15" s="1"/>
  <c r="AT218" i="15" s="1"/>
  <c r="AE215" i="15"/>
  <c r="AQ237" i="15"/>
  <c r="AQ220" i="15"/>
  <c r="AT202" i="15"/>
  <c r="BB202" i="15" s="1"/>
  <c r="AS193" i="15"/>
  <c r="BJ57" i="18" s="1"/>
  <c r="AS190" i="15"/>
  <c r="AT186" i="15"/>
  <c r="BB186" i="15" s="1"/>
  <c r="BO46" i="18"/>
  <c r="AS196" i="15"/>
  <c r="BJ58" i="18" s="1"/>
  <c r="AS178" i="15"/>
  <c r="BJ53" i="18" s="1"/>
  <c r="AT174" i="15"/>
  <c r="BB174" i="15" s="1"/>
  <c r="AT171" i="15"/>
  <c r="BB171" i="15" s="1"/>
  <c r="AT166" i="15"/>
  <c r="BB166" i="15" s="1"/>
  <c r="BO85" i="18"/>
  <c r="EO86" i="18"/>
  <c r="EO85" i="18" s="1"/>
  <c r="EO81" i="18"/>
  <c r="BR72" i="18"/>
  <c r="ER73" i="18"/>
  <c r="ER72" i="18" s="1"/>
  <c r="BR68" i="18"/>
  <c r="ER69" i="18"/>
  <c r="ER68" i="18" s="1"/>
  <c r="BR64" i="18"/>
  <c r="ER65" i="18"/>
  <c r="ER64" i="18" s="1"/>
  <c r="BN72" i="18"/>
  <c r="EN73" i="18"/>
  <c r="EN72" i="18" s="1"/>
  <c r="BN68" i="18"/>
  <c r="EN69" i="18"/>
  <c r="EN68" i="18" s="1"/>
  <c r="BN64" i="18"/>
  <c r="EN65" i="18"/>
  <c r="EN64" i="18" s="1"/>
  <c r="AQ243" i="15"/>
  <c r="AQ231" i="15"/>
  <c r="AT227" i="15"/>
  <c r="AQ190" i="15"/>
  <c r="AT183" i="15"/>
  <c r="BB183" i="15" s="1"/>
  <c r="AT157" i="15"/>
  <c r="BB157" i="15" s="1"/>
  <c r="AS159" i="15"/>
  <c r="BJ49" i="18" s="1"/>
  <c r="AT152" i="15"/>
  <c r="BB152" i="15" s="1"/>
  <c r="AS156" i="15"/>
  <c r="AT169" i="15"/>
  <c r="BB169" i="15" s="1"/>
  <c r="AQ207" i="15"/>
  <c r="AT207" i="15" s="1"/>
  <c r="U45" i="15"/>
  <c r="U20" i="15"/>
  <c r="S45" i="15"/>
  <c r="S20" i="15"/>
  <c r="L45" i="15"/>
  <c r="L20" i="15"/>
  <c r="BQ59" i="18"/>
  <c r="BP60" i="18"/>
  <c r="BP59" i="18" s="1"/>
  <c r="BM59" i="18"/>
  <c r="AS225" i="15"/>
  <c r="AE241" i="15"/>
  <c r="AF241" i="15" s="1"/>
  <c r="AR241" i="15" s="1"/>
  <c r="AT241" i="15" s="1"/>
  <c r="AE236" i="15"/>
  <c r="AF236" i="15" s="1"/>
  <c r="AR236" i="15" s="1"/>
  <c r="AT236" i="15" s="1"/>
  <c r="AE223" i="15"/>
  <c r="AF219" i="15"/>
  <c r="AR219" i="15" s="1"/>
  <c r="AT219" i="15" s="1"/>
  <c r="AT224" i="15"/>
  <c r="BB224" i="15" s="1"/>
  <c r="AT217" i="15"/>
  <c r="AT200" i="15"/>
  <c r="BB200" i="15" s="1"/>
  <c r="AQ203" i="15"/>
  <c r="AT189" i="15"/>
  <c r="BB189" i="15" s="1"/>
  <c r="AT187" i="15"/>
  <c r="BB187" i="15" s="1"/>
  <c r="BQ46" i="18"/>
  <c r="BM46" i="18"/>
  <c r="AT195" i="15"/>
  <c r="BB195" i="15" s="1"/>
  <c r="AT177" i="15"/>
  <c r="BB177" i="15" s="1"/>
  <c r="AT176" i="15"/>
  <c r="BB176" i="15" s="1"/>
  <c r="AT173" i="15"/>
  <c r="BB173" i="15" s="1"/>
  <c r="AT172" i="15"/>
  <c r="BB172" i="15" s="1"/>
  <c r="AT167" i="15"/>
  <c r="BB167" i="15" s="1"/>
  <c r="AQ149" i="15"/>
  <c r="AQ133" i="15"/>
  <c r="AQ122" i="15"/>
  <c r="AQ99" i="15"/>
  <c r="AQ92" i="15"/>
  <c r="BH29" i="18" s="1"/>
  <c r="BM23" i="18"/>
  <c r="BL10" i="18"/>
  <c r="AS77" i="15"/>
  <c r="AT62" i="15"/>
  <c r="BB62" i="15" s="1"/>
  <c r="AS60" i="15"/>
  <c r="BJ22" i="18" s="1"/>
  <c r="AS44" i="15"/>
  <c r="AT41" i="15"/>
  <c r="AS39" i="15"/>
  <c r="BJ16" i="18" s="1"/>
  <c r="AQ168" i="15"/>
  <c r="AQ162" i="15"/>
  <c r="BH50" i="18" s="1"/>
  <c r="AS139" i="15"/>
  <c r="AS117" i="15"/>
  <c r="AS110" i="15"/>
  <c r="AS99" i="15"/>
  <c r="AS88" i="15"/>
  <c r="BJ28" i="18" s="1"/>
  <c r="AT148" i="15"/>
  <c r="BB148" i="15" s="1"/>
  <c r="AT146" i="15"/>
  <c r="BB146" i="15" s="1"/>
  <c r="AT144" i="15"/>
  <c r="BB144" i="15" s="1"/>
  <c r="AT138" i="15"/>
  <c r="BB138" i="15" s="1"/>
  <c r="AT137" i="15"/>
  <c r="BB137" i="15" s="1"/>
  <c r="AT132" i="15"/>
  <c r="BB132" i="15" s="1"/>
  <c r="AT129" i="15"/>
  <c r="BB129" i="15" s="1"/>
  <c r="AT128" i="15"/>
  <c r="BB128" i="15" s="1"/>
  <c r="AT125" i="15"/>
  <c r="BB125" i="15" s="1"/>
  <c r="AT120" i="15"/>
  <c r="BB120" i="15" s="1"/>
  <c r="AT115" i="15"/>
  <c r="BB115" i="15" s="1"/>
  <c r="AT114" i="15"/>
  <c r="BB114" i="15" s="1"/>
  <c r="AT109" i="15"/>
  <c r="BB109" i="15" s="1"/>
  <c r="AT104" i="15"/>
  <c r="BB104" i="15" s="1"/>
  <c r="AT102" i="15"/>
  <c r="BB102" i="15" s="1"/>
  <c r="AT97" i="15"/>
  <c r="BB97" i="15" s="1"/>
  <c r="AT95" i="15"/>
  <c r="BB95" i="15" s="1"/>
  <c r="AT90" i="15"/>
  <c r="BB90" i="15" s="1"/>
  <c r="AT84" i="15"/>
  <c r="BB84" i="15" s="1"/>
  <c r="AT82" i="15"/>
  <c r="BB82" i="15" s="1"/>
  <c r="AT76" i="15"/>
  <c r="BB76" i="15" s="1"/>
  <c r="AT75" i="15"/>
  <c r="AQ139" i="15"/>
  <c r="AT135" i="15"/>
  <c r="BB135" i="15" s="1"/>
  <c r="AQ117" i="15"/>
  <c r="AT112" i="15"/>
  <c r="BB112" i="15" s="1"/>
  <c r="AQ110" i="15"/>
  <c r="AT107" i="15"/>
  <c r="BB107" i="15" s="1"/>
  <c r="AT86" i="15"/>
  <c r="BB86" i="15" s="1"/>
  <c r="AQ88" i="15"/>
  <c r="BH28" i="18" s="1"/>
  <c r="AS56" i="15"/>
  <c r="BJ21" i="18" s="1"/>
  <c r="AS50" i="15"/>
  <c r="AS37" i="15"/>
  <c r="BJ15" i="18" s="1"/>
  <c r="AT30" i="15"/>
  <c r="AS29" i="15"/>
  <c r="BJ14" i="18" s="1"/>
  <c r="AT26" i="15"/>
  <c r="AS25" i="15"/>
  <c r="AT21" i="15"/>
  <c r="AS19" i="15"/>
  <c r="AS15" i="15"/>
  <c r="BJ9" i="18" s="1"/>
  <c r="AS11" i="15"/>
  <c r="AT73" i="15"/>
  <c r="BB73" i="15" s="1"/>
  <c r="AQ196" i="15"/>
  <c r="BH58" i="18" s="1"/>
  <c r="AQ178" i="15"/>
  <c r="BH53" i="18" s="1"/>
  <c r="AQ159" i="15"/>
  <c r="BH49" i="18" s="1"/>
  <c r="AQ156" i="15"/>
  <c r="AS149" i="15"/>
  <c r="AS133" i="15"/>
  <c r="AS122" i="15"/>
  <c r="AT147" i="15"/>
  <c r="AT145" i="15"/>
  <c r="BB145" i="15" s="1"/>
  <c r="AT143" i="15"/>
  <c r="BB143" i="15" s="1"/>
  <c r="AT142" i="15"/>
  <c r="BB142" i="15" s="1"/>
  <c r="AT131" i="15"/>
  <c r="BB131" i="15" s="1"/>
  <c r="AT130" i="15"/>
  <c r="BB130" i="15" s="1"/>
  <c r="AT127" i="15"/>
  <c r="BB127" i="15" s="1"/>
  <c r="AT126" i="15"/>
  <c r="BB126" i="15" s="1"/>
  <c r="AT121" i="15"/>
  <c r="BB121" i="15" s="1"/>
  <c r="AT116" i="15"/>
  <c r="BB116" i="15" s="1"/>
  <c r="AT103" i="15"/>
  <c r="BB103" i="15" s="1"/>
  <c r="AT98" i="15"/>
  <c r="BB98" i="15" s="1"/>
  <c r="AT96" i="15"/>
  <c r="BB96" i="15" s="1"/>
  <c r="AT91" i="15"/>
  <c r="BB91" i="15" s="1"/>
  <c r="AT81" i="15"/>
  <c r="BB81" i="15" s="1"/>
  <c r="BO6" i="18"/>
  <c r="BM6" i="18"/>
  <c r="AT74" i="15"/>
  <c r="BB74" i="15" s="1"/>
  <c r="AQ77" i="15"/>
  <c r="AQ60" i="15"/>
  <c r="BH22" i="18" s="1"/>
  <c r="AQ44" i="15"/>
  <c r="AQ37" i="15"/>
  <c r="BH15" i="18" s="1"/>
  <c r="AQ29" i="15"/>
  <c r="BH14" i="18" s="1"/>
  <c r="AQ15" i="15"/>
  <c r="BH9" i="18" s="1"/>
  <c r="AE72" i="15"/>
  <c r="AR29" i="15"/>
  <c r="BI14" i="18" s="1"/>
  <c r="AQ56" i="15"/>
  <c r="BH21" i="18" s="1"/>
  <c r="AQ50" i="15"/>
  <c r="AQ25" i="15"/>
  <c r="AQ11" i="15"/>
  <c r="AU275" i="15"/>
  <c r="AS249" i="15"/>
  <c r="AS250" i="15" s="1"/>
  <c r="AQ246" i="15"/>
  <c r="AE253" i="15"/>
  <c r="AS252" i="15"/>
  <c r="AS254" i="15" s="1"/>
  <c r="BJ77" i="18" s="1"/>
  <c r="AQ252" i="15"/>
  <c r="AQ251" i="15"/>
  <c r="AQ257" i="15"/>
  <c r="AT257" i="15" s="1"/>
  <c r="BB257" i="15" s="1"/>
  <c r="AQ256" i="15"/>
  <c r="AE255" i="15"/>
  <c r="AF261" i="15"/>
  <c r="AF266" i="15"/>
  <c r="AT248" i="15"/>
  <c r="BB248" i="15" s="1"/>
  <c r="AU248" i="15"/>
  <c r="AU253" i="15"/>
  <c r="AU254" i="15" s="1"/>
  <c r="BL77" i="18" s="1"/>
  <c r="AE249" i="15"/>
  <c r="AF247" i="15"/>
  <c r="AT262" i="15"/>
  <c r="BB262" i="15" s="1"/>
  <c r="AT260" i="15"/>
  <c r="BB260" i="15" s="1"/>
  <c r="AT267" i="15"/>
  <c r="BB267" i="15" s="1"/>
  <c r="AT265" i="15"/>
  <c r="BB265" i="15" s="1"/>
  <c r="AT272" i="15"/>
  <c r="BB272" i="15" s="1"/>
  <c r="AT271" i="15"/>
  <c r="AT270" i="15"/>
  <c r="AE275" i="15"/>
  <c r="AF275" i="15" s="1"/>
  <c r="AR275" i="15" s="1"/>
  <c r="AT275" i="15" s="1"/>
  <c r="AE274" i="15"/>
  <c r="AE282" i="15"/>
  <c r="AF282" i="15" s="1"/>
  <c r="AR282" i="15" s="1"/>
  <c r="AT282" i="15" s="1"/>
  <c r="AE281" i="15"/>
  <c r="AF281" i="15" s="1"/>
  <c r="AR281" i="15" s="1"/>
  <c r="AT281" i="15" s="1"/>
  <c r="BB281" i="15" s="1"/>
  <c r="AE280" i="15"/>
  <c r="AF280" i="15" s="1"/>
  <c r="AR280" i="15" s="1"/>
  <c r="AT280" i="15" s="1"/>
  <c r="AE279" i="15"/>
  <c r="AF279" i="15" s="1"/>
  <c r="AR279" i="15" s="1"/>
  <c r="AT279" i="15" s="1"/>
  <c r="AE278" i="15"/>
  <c r="AE288" i="15"/>
  <c r="AF288" i="15" s="1"/>
  <c r="AR288" i="15" s="1"/>
  <c r="AT288" i="15" s="1"/>
  <c r="AE287" i="15"/>
  <c r="AF287" i="15" s="1"/>
  <c r="AR287" i="15" s="1"/>
  <c r="AT287" i="15" s="1"/>
  <c r="AE286" i="15"/>
  <c r="AF286" i="15" s="1"/>
  <c r="AR286" i="15" s="1"/>
  <c r="AT286" i="15" s="1"/>
  <c r="BB286" i="15" s="1"/>
  <c r="AE285" i="15"/>
  <c r="AQ83" i="15"/>
  <c r="AS83" i="15"/>
  <c r="AS85" i="15" s="1"/>
  <c r="AT208" i="14"/>
  <c r="AN197" i="14"/>
  <c r="AE231" i="14"/>
  <c r="AE226" i="14" s="1"/>
  <c r="AF227" i="14"/>
  <c r="AT230" i="14"/>
  <c r="BB230" i="14" s="1"/>
  <c r="AT229" i="14"/>
  <c r="BB229" i="14" s="1"/>
  <c r="AT211" i="14"/>
  <c r="BB211" i="14" s="1"/>
  <c r="AQ204" i="14"/>
  <c r="AT200" i="14"/>
  <c r="BB200" i="14" s="1"/>
  <c r="AQ199" i="14"/>
  <c r="M203" i="14"/>
  <c r="AE193" i="14"/>
  <c r="AF192" i="14"/>
  <c r="AR192" i="14" s="1"/>
  <c r="AR191" i="14"/>
  <c r="AF193" i="14"/>
  <c r="AF183" i="14"/>
  <c r="AE190" i="14"/>
  <c r="AQ183" i="14"/>
  <c r="M190" i="14"/>
  <c r="AS195" i="14"/>
  <c r="AT195" i="14" s="1"/>
  <c r="BB195" i="14" s="1"/>
  <c r="AN196" i="14"/>
  <c r="AT177" i="14"/>
  <c r="BB177" i="14" s="1"/>
  <c r="AQ207" i="14"/>
  <c r="AT207" i="14" s="1"/>
  <c r="AM150" i="14"/>
  <c r="R150" i="14"/>
  <c r="AB5" i="14"/>
  <c r="Y5" i="14"/>
  <c r="U5" i="14"/>
  <c r="T5" i="14"/>
  <c r="S5" i="14"/>
  <c r="BB59" i="18"/>
  <c r="AS225" i="14"/>
  <c r="AS212" i="14"/>
  <c r="AW63" i="18" s="1"/>
  <c r="AR212" i="14"/>
  <c r="AV63" i="18" s="1"/>
  <c r="AT241" i="14"/>
  <c r="AT236" i="14"/>
  <c r="AT234" i="14"/>
  <c r="AT224" i="14"/>
  <c r="BB224" i="14" s="1"/>
  <c r="AT219" i="14"/>
  <c r="AT216" i="14"/>
  <c r="BB216" i="14" s="1"/>
  <c r="AT215" i="14"/>
  <c r="AT192" i="14"/>
  <c r="BB192" i="14" s="1"/>
  <c r="AT189" i="14"/>
  <c r="BB189" i="14" s="1"/>
  <c r="AT185" i="14"/>
  <c r="BB185" i="14" s="1"/>
  <c r="BD46" i="18"/>
  <c r="AZ46" i="18"/>
  <c r="AE225" i="14"/>
  <c r="AE221" i="14" s="1"/>
  <c r="AF222" i="14"/>
  <c r="AF206" i="14"/>
  <c r="M243" i="14"/>
  <c r="M238" i="14" s="1"/>
  <c r="AQ239" i="14"/>
  <c r="AQ233" i="14"/>
  <c r="M237" i="14"/>
  <c r="M232" i="14" s="1"/>
  <c r="M231" i="14"/>
  <c r="M226" i="14" s="1"/>
  <c r="AQ227" i="14"/>
  <c r="M225" i="14"/>
  <c r="M221" i="14" s="1"/>
  <c r="AQ222" i="14"/>
  <c r="AQ214" i="14"/>
  <c r="M220" i="14"/>
  <c r="M213" i="14" s="1"/>
  <c r="M212" i="14"/>
  <c r="AQ210" i="14"/>
  <c r="AU210" i="14" s="1"/>
  <c r="AU212" i="14" s="1"/>
  <c r="AN193" i="14"/>
  <c r="AS191" i="14"/>
  <c r="AS193" i="14" s="1"/>
  <c r="AW57" i="18" s="1"/>
  <c r="AQ191" i="14"/>
  <c r="M193" i="14"/>
  <c r="AS183" i="14"/>
  <c r="AS190" i="14" s="1"/>
  <c r="AN190" i="14"/>
  <c r="AN182" i="14" s="1"/>
  <c r="AS196" i="14"/>
  <c r="AW58" i="18" s="1"/>
  <c r="AS179" i="14"/>
  <c r="AN181" i="14"/>
  <c r="AB197" i="14"/>
  <c r="T197" i="14"/>
  <c r="R197" i="14"/>
  <c r="T150" i="14"/>
  <c r="AM78" i="14"/>
  <c r="L78" i="14"/>
  <c r="AS243" i="14"/>
  <c r="AS237" i="14"/>
  <c r="AS231" i="14"/>
  <c r="AS220" i="14"/>
  <c r="AW62" i="18"/>
  <c r="AS203" i="14"/>
  <c r="AR220" i="14"/>
  <c r="AR203" i="14"/>
  <c r="AT242" i="14"/>
  <c r="AT235" i="14"/>
  <c r="AT228" i="14"/>
  <c r="AT223" i="14"/>
  <c r="AT218" i="14"/>
  <c r="AT217" i="14"/>
  <c r="AT205" i="14"/>
  <c r="AT202" i="14"/>
  <c r="BB202" i="14" s="1"/>
  <c r="AT201" i="14"/>
  <c r="BB201" i="14" s="1"/>
  <c r="AT187" i="14"/>
  <c r="BB187" i="14" s="1"/>
  <c r="AT186" i="14"/>
  <c r="BB186" i="14" s="1"/>
  <c r="BB46" i="18"/>
  <c r="AQ139" i="14"/>
  <c r="AT135" i="14"/>
  <c r="BB135" i="14" s="1"/>
  <c r="AQ133" i="14"/>
  <c r="AQ110" i="14"/>
  <c r="AT94" i="14"/>
  <c r="AQ88" i="14"/>
  <c r="AU28" i="18" s="1"/>
  <c r="AS60" i="14"/>
  <c r="AW22" i="18" s="1"/>
  <c r="AT57" i="14"/>
  <c r="BB57" i="14" s="1"/>
  <c r="AS56" i="14"/>
  <c r="AW21" i="18" s="1"/>
  <c r="AT46" i="14"/>
  <c r="BB46" i="14" s="1"/>
  <c r="AS50" i="14"/>
  <c r="AS44" i="14"/>
  <c r="AS29" i="14"/>
  <c r="AW14" i="18" s="1"/>
  <c r="AS25" i="14"/>
  <c r="AS19" i="14"/>
  <c r="AT17" i="14"/>
  <c r="BB17" i="14" s="1"/>
  <c r="AR254" i="14"/>
  <c r="AV77" i="18" s="1"/>
  <c r="AS166" i="14"/>
  <c r="AT166" i="14" s="1"/>
  <c r="BB166" i="14" s="1"/>
  <c r="AS164" i="14"/>
  <c r="AS158" i="14"/>
  <c r="AS159" i="14" s="1"/>
  <c r="AW49" i="18" s="1"/>
  <c r="AQ196" i="14"/>
  <c r="AU58" i="18" s="1"/>
  <c r="AQ178" i="14"/>
  <c r="AU53" i="18" s="1"/>
  <c r="AQ168" i="14"/>
  <c r="AQ162" i="14"/>
  <c r="AU50" i="18" s="1"/>
  <c r="AS139" i="14"/>
  <c r="AS117" i="14"/>
  <c r="AS110" i="14"/>
  <c r="AS92" i="14"/>
  <c r="AW29" i="18" s="1"/>
  <c r="AT148" i="14"/>
  <c r="BB148" i="14" s="1"/>
  <c r="AT147" i="14"/>
  <c r="BB147" i="14" s="1"/>
  <c r="AT144" i="14"/>
  <c r="BB144" i="14" s="1"/>
  <c r="AT143" i="14"/>
  <c r="BB143" i="14" s="1"/>
  <c r="AT138" i="14"/>
  <c r="BB138" i="14" s="1"/>
  <c r="AT132" i="14"/>
  <c r="BB132" i="14" s="1"/>
  <c r="AT131" i="14"/>
  <c r="BB131" i="14" s="1"/>
  <c r="AT128" i="14"/>
  <c r="BB128" i="14" s="1"/>
  <c r="AT127" i="14"/>
  <c r="BB127" i="14" s="1"/>
  <c r="AT121" i="14"/>
  <c r="BB121" i="14" s="1"/>
  <c r="AT120" i="14"/>
  <c r="BB120" i="14" s="1"/>
  <c r="AT114" i="14"/>
  <c r="BB114" i="14" s="1"/>
  <c r="AT104" i="14"/>
  <c r="BB104" i="14" s="1"/>
  <c r="AT103" i="14"/>
  <c r="BB103" i="14" s="1"/>
  <c r="AT98" i="14"/>
  <c r="BB98" i="14" s="1"/>
  <c r="AT95" i="14"/>
  <c r="BB95" i="14" s="1"/>
  <c r="AT87" i="14"/>
  <c r="BB87" i="14" s="1"/>
  <c r="AT81" i="14"/>
  <c r="BB81" i="14" s="1"/>
  <c r="BB6" i="18"/>
  <c r="BB90" i="18" s="1"/>
  <c r="AZ6" i="18"/>
  <c r="AZ90" i="18" s="1"/>
  <c r="AZ91" i="18" s="1"/>
  <c r="AT75" i="14"/>
  <c r="AT74" i="14"/>
  <c r="BB74" i="14" s="1"/>
  <c r="AT72" i="14"/>
  <c r="BB72" i="14" s="1"/>
  <c r="AQ149" i="14"/>
  <c r="AQ122" i="14"/>
  <c r="AT112" i="14"/>
  <c r="BB112" i="14" s="1"/>
  <c r="AQ117" i="14"/>
  <c r="AQ92" i="14"/>
  <c r="AU29" i="18" s="1"/>
  <c r="AT89" i="14"/>
  <c r="BB89" i="14" s="1"/>
  <c r="AS77" i="14"/>
  <c r="AT62" i="14"/>
  <c r="BB62" i="14" s="1"/>
  <c r="AS39" i="14"/>
  <c r="AW16" i="18" s="1"/>
  <c r="AS37" i="14"/>
  <c r="AW15" i="18" s="1"/>
  <c r="AS15" i="14"/>
  <c r="AW9" i="18" s="1"/>
  <c r="AT12" i="14"/>
  <c r="BB12" i="14" s="1"/>
  <c r="AT73" i="14"/>
  <c r="BB73" i="14" s="1"/>
  <c r="AS156" i="14"/>
  <c r="AQ156" i="14"/>
  <c r="AS149" i="14"/>
  <c r="AS133" i="14"/>
  <c r="AS122" i="14"/>
  <c r="AT146" i="14"/>
  <c r="BB146" i="14" s="1"/>
  <c r="AT145" i="14"/>
  <c r="BB145" i="14" s="1"/>
  <c r="AT142" i="14"/>
  <c r="BB142" i="14" s="1"/>
  <c r="AT137" i="14"/>
  <c r="BB137" i="14" s="1"/>
  <c r="AT130" i="14"/>
  <c r="BB130" i="14" s="1"/>
  <c r="AT129" i="14"/>
  <c r="BB129" i="14" s="1"/>
  <c r="AT126" i="14"/>
  <c r="BB126" i="14" s="1"/>
  <c r="AT125" i="14"/>
  <c r="BB125" i="14" s="1"/>
  <c r="AT116" i="14"/>
  <c r="BB116" i="14" s="1"/>
  <c r="AT115" i="14"/>
  <c r="BB115" i="14" s="1"/>
  <c r="AT109" i="14"/>
  <c r="BB109" i="14" s="1"/>
  <c r="AT108" i="14"/>
  <c r="BB108" i="14" s="1"/>
  <c r="AT102" i="14"/>
  <c r="BB102" i="14" s="1"/>
  <c r="AT97" i="14"/>
  <c r="BB97" i="14" s="1"/>
  <c r="AT91" i="14"/>
  <c r="BB91" i="14" s="1"/>
  <c r="AT84" i="14"/>
  <c r="BB84" i="14" s="1"/>
  <c r="AT82" i="14"/>
  <c r="BB82" i="14" s="1"/>
  <c r="BE6" i="18"/>
  <c r="BA6" i="18"/>
  <c r="AT76" i="14"/>
  <c r="BB76" i="14" s="1"/>
  <c r="AQ77" i="14"/>
  <c r="AQ60" i="14"/>
  <c r="AU22" i="18" s="1"/>
  <c r="EP7" i="18"/>
  <c r="AE71" i="14"/>
  <c r="AQ56" i="14"/>
  <c r="AU21" i="18" s="1"/>
  <c r="AQ50" i="14"/>
  <c r="AQ37" i="14"/>
  <c r="AU15" i="18" s="1"/>
  <c r="AQ29" i="14"/>
  <c r="AU14" i="18" s="1"/>
  <c r="AQ25" i="14"/>
  <c r="AQ19" i="14"/>
  <c r="AQ15" i="14"/>
  <c r="AU9" i="18" s="1"/>
  <c r="EQ16" i="18"/>
  <c r="EQ8" i="18"/>
  <c r="EO8" i="18"/>
  <c r="EM22" i="18"/>
  <c r="AE249" i="14"/>
  <c r="AF249" i="14" s="1"/>
  <c r="AR249" i="14" s="1"/>
  <c r="AS248" i="14"/>
  <c r="AE247" i="14"/>
  <c r="AF247" i="14" s="1"/>
  <c r="AR247" i="14" s="1"/>
  <c r="AS246" i="14"/>
  <c r="AS257" i="14"/>
  <c r="AE256" i="14"/>
  <c r="AF256" i="14" s="1"/>
  <c r="AR256" i="14" s="1"/>
  <c r="AT256" i="14" s="1"/>
  <c r="BB256" i="14" s="1"/>
  <c r="AS255" i="14"/>
  <c r="AS262" i="14"/>
  <c r="AF261" i="14"/>
  <c r="AS260" i="14"/>
  <c r="AS263" i="14" s="1"/>
  <c r="AQ260" i="14"/>
  <c r="AU260" i="14" s="1"/>
  <c r="AU263" i="14" s="1"/>
  <c r="AE267" i="14"/>
  <c r="AS266" i="14"/>
  <c r="AQ266" i="14"/>
  <c r="AF265" i="14"/>
  <c r="AQ272" i="14"/>
  <c r="AT272" i="14" s="1"/>
  <c r="BB272" i="14" s="1"/>
  <c r="AQ271" i="14"/>
  <c r="AT271" i="14" s="1"/>
  <c r="AQ270" i="14"/>
  <c r="AE275" i="14"/>
  <c r="AF275" i="14" s="1"/>
  <c r="AR275" i="14" s="1"/>
  <c r="AT275" i="14" s="1"/>
  <c r="BB275" i="14" s="1"/>
  <c r="AS274" i="14"/>
  <c r="AS276" i="14" s="1"/>
  <c r="AW84" i="18" s="1"/>
  <c r="AS282" i="14"/>
  <c r="AE281" i="14"/>
  <c r="AF281" i="14" s="1"/>
  <c r="AR281" i="14" s="1"/>
  <c r="AT281" i="14" s="1"/>
  <c r="BB281" i="14" s="1"/>
  <c r="AS280" i="14"/>
  <c r="AE279" i="14"/>
  <c r="AF279" i="14" s="1"/>
  <c r="AR279" i="14" s="1"/>
  <c r="AS278" i="14"/>
  <c r="AS288" i="14"/>
  <c r="AE287" i="14"/>
  <c r="AF287" i="14" s="1"/>
  <c r="AR287" i="14" s="1"/>
  <c r="AS286" i="14"/>
  <c r="AE285" i="14"/>
  <c r="AU247" i="14"/>
  <c r="AT247" i="14"/>
  <c r="AU275" i="14"/>
  <c r="EQ22" i="18"/>
  <c r="AT249" i="14"/>
  <c r="BB249" i="14" s="1"/>
  <c r="AE248" i="14"/>
  <c r="AF248" i="14" s="1"/>
  <c r="AR248" i="14" s="1"/>
  <c r="AE246" i="14"/>
  <c r="AE257" i="14"/>
  <c r="AF257" i="14" s="1"/>
  <c r="AR257" i="14" s="1"/>
  <c r="AT257" i="14" s="1"/>
  <c r="BB257" i="14" s="1"/>
  <c r="AE255" i="14"/>
  <c r="AE274" i="14"/>
  <c r="AE282" i="14"/>
  <c r="AF282" i="14" s="1"/>
  <c r="AR282" i="14" s="1"/>
  <c r="AT282" i="14" s="1"/>
  <c r="AE280" i="14"/>
  <c r="AF280" i="14" s="1"/>
  <c r="AR280" i="14" s="1"/>
  <c r="AT280" i="14" s="1"/>
  <c r="AT279" i="14"/>
  <c r="AE278" i="14"/>
  <c r="AE288" i="14"/>
  <c r="AF288" i="14" s="1"/>
  <c r="AR288" i="14" s="1"/>
  <c r="AT287" i="14"/>
  <c r="AE286" i="14"/>
  <c r="AF286" i="14" s="1"/>
  <c r="AR286" i="14" s="1"/>
  <c r="AT286" i="14" s="1"/>
  <c r="BB286" i="14" s="1"/>
  <c r="AQ83" i="14"/>
  <c r="AS83" i="14"/>
  <c r="AS85" i="14" s="1"/>
  <c r="AM197" i="13"/>
  <c r="AB197" i="13"/>
  <c r="AM150" i="13"/>
  <c r="AM78" i="13"/>
  <c r="Y78" i="13"/>
  <c r="T78" i="13"/>
  <c r="L78" i="13"/>
  <c r="AM5" i="13"/>
  <c r="AB5" i="13"/>
  <c r="Y5" i="13"/>
  <c r="U197" i="13"/>
  <c r="R150" i="13"/>
  <c r="T5" i="13"/>
  <c r="R5" i="13"/>
  <c r="AQ212" i="13"/>
  <c r="AH63" i="18" s="1"/>
  <c r="AT169" i="13"/>
  <c r="BB169" i="13" s="1"/>
  <c r="AQ168" i="13"/>
  <c r="AQ162" i="13"/>
  <c r="AH50" i="18" s="1"/>
  <c r="AQ159" i="13"/>
  <c r="AH49" i="18" s="1"/>
  <c r="AS122" i="13"/>
  <c r="AT119" i="13"/>
  <c r="BB119" i="13" s="1"/>
  <c r="AQ207" i="13"/>
  <c r="AT207" i="13" s="1"/>
  <c r="AR59" i="18"/>
  <c r="AQ60" i="18"/>
  <c r="AQ59" i="18" s="1"/>
  <c r="AN59" i="18"/>
  <c r="AM60" i="18"/>
  <c r="AM59" i="18" s="1"/>
  <c r="AS241" i="13"/>
  <c r="AS239" i="13"/>
  <c r="AS237" i="13"/>
  <c r="AT236" i="13"/>
  <c r="BB236" i="13" s="1"/>
  <c r="AQ237" i="13"/>
  <c r="AT224" i="13"/>
  <c r="BB224" i="13" s="1"/>
  <c r="AT217" i="13"/>
  <c r="AT215" i="13"/>
  <c r="BB215" i="13" s="1"/>
  <c r="AQ220" i="13"/>
  <c r="AT205" i="13"/>
  <c r="AT202" i="13"/>
  <c r="BB202" i="13" s="1"/>
  <c r="AT189" i="13"/>
  <c r="BB189" i="13" s="1"/>
  <c r="AT185" i="13"/>
  <c r="BB185" i="13" s="1"/>
  <c r="AQ46" i="18"/>
  <c r="AM46" i="18"/>
  <c r="AS159" i="13"/>
  <c r="AJ49" i="18" s="1"/>
  <c r="AT177" i="13"/>
  <c r="BB177" i="13" s="1"/>
  <c r="AT176" i="13"/>
  <c r="BB176" i="13" s="1"/>
  <c r="AT173" i="13"/>
  <c r="BB173" i="13" s="1"/>
  <c r="AT167" i="13"/>
  <c r="BB167" i="13" s="1"/>
  <c r="AT153" i="13"/>
  <c r="BB153" i="13" s="1"/>
  <c r="AS149" i="13"/>
  <c r="AT142" i="13"/>
  <c r="BB142" i="13" s="1"/>
  <c r="AQ243" i="13"/>
  <c r="AQ231" i="13"/>
  <c r="AQ225" i="13"/>
  <c r="AT191" i="13"/>
  <c r="BB191" i="13" s="1"/>
  <c r="AQ193" i="13"/>
  <c r="AH57" i="18" s="1"/>
  <c r="AQ190" i="13"/>
  <c r="AQ196" i="13"/>
  <c r="AH58" i="18" s="1"/>
  <c r="AT179" i="13"/>
  <c r="BB179" i="13" s="1"/>
  <c r="AQ181" i="13"/>
  <c r="AH54" i="18" s="1"/>
  <c r="AQ156" i="13"/>
  <c r="AP59" i="18"/>
  <c r="AO60" i="18"/>
  <c r="AO59" i="18" s="1"/>
  <c r="AS231" i="13"/>
  <c r="AS220" i="13"/>
  <c r="AS212" i="13"/>
  <c r="AJ63" i="18" s="1"/>
  <c r="AS203" i="13"/>
  <c r="AT234" i="13"/>
  <c r="AT200" i="13"/>
  <c r="BB200" i="13" s="1"/>
  <c r="AS193" i="13"/>
  <c r="AJ57" i="18" s="1"/>
  <c r="AS190" i="13"/>
  <c r="AT187" i="13"/>
  <c r="BB187" i="13" s="1"/>
  <c r="AO46" i="18"/>
  <c r="AS196" i="13"/>
  <c r="AJ58" i="18" s="1"/>
  <c r="AS178" i="13"/>
  <c r="AJ53" i="18" s="1"/>
  <c r="AS168" i="13"/>
  <c r="AS156" i="13"/>
  <c r="AT174" i="13"/>
  <c r="BB174" i="13" s="1"/>
  <c r="AT171" i="13"/>
  <c r="BB171" i="13" s="1"/>
  <c r="AT166" i="13"/>
  <c r="BB166" i="13" s="1"/>
  <c r="AT155" i="13"/>
  <c r="BB155" i="13" s="1"/>
  <c r="AS139" i="13"/>
  <c r="AS133" i="13"/>
  <c r="AT144" i="13"/>
  <c r="BB144" i="13" s="1"/>
  <c r="AS114" i="13"/>
  <c r="AS112" i="13"/>
  <c r="AS104" i="13"/>
  <c r="AS102" i="13"/>
  <c r="AS97" i="13"/>
  <c r="AS95" i="13"/>
  <c r="AS90" i="13"/>
  <c r="AS92" i="13" s="1"/>
  <c r="AJ29" i="18" s="1"/>
  <c r="AS84" i="13"/>
  <c r="AS81" i="13"/>
  <c r="AE145" i="13"/>
  <c r="AF145" i="13" s="1"/>
  <c r="AR145" i="13" s="1"/>
  <c r="AT145" i="13" s="1"/>
  <c r="BB145" i="13" s="1"/>
  <c r="AE141" i="13"/>
  <c r="AE136" i="13"/>
  <c r="AE131" i="13"/>
  <c r="AF131" i="13" s="1"/>
  <c r="AR131" i="13" s="1"/>
  <c r="AT131" i="13" s="1"/>
  <c r="BB131" i="13" s="1"/>
  <c r="AE127" i="13"/>
  <c r="AF127" i="13" s="1"/>
  <c r="AR127" i="13" s="1"/>
  <c r="AT127" i="13" s="1"/>
  <c r="BB127" i="13" s="1"/>
  <c r="AE113" i="13"/>
  <c r="AE108" i="13"/>
  <c r="AE103" i="13"/>
  <c r="AF103" i="13" s="1"/>
  <c r="AR103" i="13" s="1"/>
  <c r="AT103" i="13" s="1"/>
  <c r="BB103" i="13" s="1"/>
  <c r="AE98" i="13"/>
  <c r="AF98" i="13" s="1"/>
  <c r="AR98" i="13" s="1"/>
  <c r="AT98" i="13" s="1"/>
  <c r="BB98" i="13" s="1"/>
  <c r="AE94" i="13"/>
  <c r="AE89" i="13"/>
  <c r="AE86" i="13"/>
  <c r="AF84" i="13"/>
  <c r="AR84" i="13" s="1"/>
  <c r="AF81" i="13"/>
  <c r="AQ132" i="13"/>
  <c r="AT132" i="13" s="1"/>
  <c r="BB132" i="13" s="1"/>
  <c r="AQ130" i="13"/>
  <c r="AT130" i="13" s="1"/>
  <c r="BB130" i="13" s="1"/>
  <c r="AQ128" i="13"/>
  <c r="AT128" i="13" s="1"/>
  <c r="BB128" i="13" s="1"/>
  <c r="AQ126" i="13"/>
  <c r="AT126" i="13" s="1"/>
  <c r="BB126" i="13" s="1"/>
  <c r="AQ124" i="13"/>
  <c r="AQ116" i="13"/>
  <c r="AT116" i="13" s="1"/>
  <c r="BB116" i="13" s="1"/>
  <c r="AQ114" i="13"/>
  <c r="AQ112" i="13"/>
  <c r="AQ104" i="13"/>
  <c r="AQ102" i="13"/>
  <c r="AT102" i="13" s="1"/>
  <c r="BB102" i="13" s="1"/>
  <c r="AQ97" i="13"/>
  <c r="AQ95" i="13"/>
  <c r="AQ90" i="13"/>
  <c r="AS56" i="13"/>
  <c r="AJ21" i="18" s="1"/>
  <c r="AS50" i="13"/>
  <c r="AS37" i="13"/>
  <c r="AJ15" i="18" s="1"/>
  <c r="AS25" i="13"/>
  <c r="AS19" i="13"/>
  <c r="AS15" i="13"/>
  <c r="AJ9" i="18" s="1"/>
  <c r="AT71" i="13"/>
  <c r="BB71" i="13" s="1"/>
  <c r="AT67" i="13"/>
  <c r="AT65" i="13"/>
  <c r="AT55" i="13"/>
  <c r="BB55" i="13" s="1"/>
  <c r="AT76" i="13"/>
  <c r="BB76" i="13" s="1"/>
  <c r="AT74" i="13"/>
  <c r="BB74" i="13" s="1"/>
  <c r="AT70" i="13"/>
  <c r="BB70" i="13" s="1"/>
  <c r="AT66" i="13"/>
  <c r="BB66" i="13" s="1"/>
  <c r="AT36" i="13"/>
  <c r="AT32" i="13"/>
  <c r="AT41" i="13"/>
  <c r="AT46" i="13"/>
  <c r="ER57" i="18"/>
  <c r="EP57" i="18"/>
  <c r="EN57" i="18"/>
  <c r="AS110" i="13"/>
  <c r="AS88" i="13"/>
  <c r="AJ28" i="18" s="1"/>
  <c r="AE147" i="13"/>
  <c r="AF147" i="13" s="1"/>
  <c r="AR147" i="13" s="1"/>
  <c r="AT147" i="13" s="1"/>
  <c r="BB147" i="13" s="1"/>
  <c r="AE143" i="13"/>
  <c r="AF143" i="13" s="1"/>
  <c r="AR143" i="13" s="1"/>
  <c r="AT143" i="13" s="1"/>
  <c r="BB143" i="13" s="1"/>
  <c r="AE138" i="13"/>
  <c r="AF138" i="13" s="1"/>
  <c r="AR138" i="13" s="1"/>
  <c r="AT138" i="13" s="1"/>
  <c r="BB138" i="13" s="1"/>
  <c r="AF135" i="13"/>
  <c r="AE129" i="13"/>
  <c r="AF129" i="13" s="1"/>
  <c r="AR129" i="13" s="1"/>
  <c r="AT129" i="13" s="1"/>
  <c r="BB129" i="13" s="1"/>
  <c r="AE125" i="13"/>
  <c r="AE120" i="13"/>
  <c r="AE115" i="13"/>
  <c r="AF115" i="13" s="1"/>
  <c r="AR115" i="13" s="1"/>
  <c r="AT115" i="13" s="1"/>
  <c r="BB115" i="13" s="1"/>
  <c r="AE101" i="13"/>
  <c r="AE96" i="13"/>
  <c r="AF96" i="13" s="1"/>
  <c r="AR96" i="13" s="1"/>
  <c r="AE91" i="13"/>
  <c r="AF91" i="13" s="1"/>
  <c r="AR91" i="13" s="1"/>
  <c r="AT91" i="13" s="1"/>
  <c r="BB91" i="13" s="1"/>
  <c r="AQ122" i="13"/>
  <c r="AQ87" i="13"/>
  <c r="AT87" i="13" s="1"/>
  <c r="BB87" i="13" s="1"/>
  <c r="AO6" i="18"/>
  <c r="AS77" i="13"/>
  <c r="AS60" i="13"/>
  <c r="AJ22" i="18" s="1"/>
  <c r="AT75" i="13"/>
  <c r="AT58" i="13"/>
  <c r="BB58" i="13" s="1"/>
  <c r="AT24" i="13"/>
  <c r="AZ289" i="13"/>
  <c r="AU287" i="13"/>
  <c r="AU289" i="13" s="1"/>
  <c r="AT287" i="13"/>
  <c r="BB287" i="13" s="1"/>
  <c r="AS285" i="13"/>
  <c r="AS289" i="13" s="1"/>
  <c r="AN289" i="13"/>
  <c r="AN284" i="13" s="1"/>
  <c r="AF278" i="13"/>
  <c r="AE283" i="13"/>
  <c r="AE277" i="13" s="1"/>
  <c r="AQ278" i="13"/>
  <c r="M283" i="13"/>
  <c r="M277" i="13" s="1"/>
  <c r="AU275" i="13"/>
  <c r="AT275" i="13"/>
  <c r="BB275" i="13" s="1"/>
  <c r="AS274" i="13"/>
  <c r="AS276" i="13" s="1"/>
  <c r="AJ84" i="18" s="1"/>
  <c r="AN276" i="13"/>
  <c r="AE273" i="13"/>
  <c r="AE269" i="13" s="1"/>
  <c r="AQ270" i="13"/>
  <c r="M273" i="13"/>
  <c r="AS265" i="13"/>
  <c r="AN268" i="13"/>
  <c r="AS260" i="13"/>
  <c r="AT260" i="13" s="1"/>
  <c r="BB260" i="13" s="1"/>
  <c r="AN263" i="13"/>
  <c r="AQ263" i="13"/>
  <c r="AS255" i="13"/>
  <c r="AS258" i="13" s="1"/>
  <c r="AJ78" i="18" s="1"/>
  <c r="AN258" i="13"/>
  <c r="AQ255" i="13"/>
  <c r="M258" i="13"/>
  <c r="AF253" i="13"/>
  <c r="AR253" i="13" s="1"/>
  <c r="AT253" i="13" s="1"/>
  <c r="BB253" i="13" s="1"/>
  <c r="AE254" i="13"/>
  <c r="AS252" i="13"/>
  <c r="AS254" i="13" s="1"/>
  <c r="AJ77" i="18" s="1"/>
  <c r="AN254" i="13"/>
  <c r="AF247" i="13"/>
  <c r="AR247" i="13" s="1"/>
  <c r="AT247" i="13" s="1"/>
  <c r="AU247" i="13"/>
  <c r="AS246" i="13"/>
  <c r="AS250" i="13" s="1"/>
  <c r="AN250" i="13"/>
  <c r="AQ246" i="13"/>
  <c r="M250" i="13"/>
  <c r="AE57" i="13"/>
  <c r="AE54" i="13"/>
  <c r="AF54" i="13" s="1"/>
  <c r="AR54" i="13" s="1"/>
  <c r="AT54" i="13" s="1"/>
  <c r="BB54" i="13" s="1"/>
  <c r="AE49" i="13"/>
  <c r="AF49" i="13" s="1"/>
  <c r="AR49" i="13" s="1"/>
  <c r="AE42" i="13"/>
  <c r="AF38" i="13"/>
  <c r="AE35" i="13"/>
  <c r="AF35" i="13" s="1"/>
  <c r="AR35" i="13" s="1"/>
  <c r="AT35" i="13" s="1"/>
  <c r="AE31" i="13"/>
  <c r="AF26" i="13"/>
  <c r="AE23" i="13"/>
  <c r="AF23" i="13" s="1"/>
  <c r="AR23" i="13" s="1"/>
  <c r="AT23" i="13" s="1"/>
  <c r="AE22" i="13"/>
  <c r="AE18" i="13"/>
  <c r="AE10" i="13"/>
  <c r="AF10" i="13" s="1"/>
  <c r="AR10" i="13" s="1"/>
  <c r="AT10" i="13" s="1"/>
  <c r="BB10" i="13" s="1"/>
  <c r="AE9" i="13"/>
  <c r="AQ77" i="13"/>
  <c r="AQ25" i="13"/>
  <c r="AT266" i="13"/>
  <c r="AT256" i="13"/>
  <c r="BB256" i="13" s="1"/>
  <c r="AT252" i="13"/>
  <c r="ER11" i="18"/>
  <c r="ER10" i="18" s="1"/>
  <c r="EQ20" i="18"/>
  <c r="EQ14" i="18"/>
  <c r="EP11" i="18"/>
  <c r="EP10" i="18" s="1"/>
  <c r="EO24" i="18"/>
  <c r="EO23" i="18" s="1"/>
  <c r="EO18" i="18"/>
  <c r="EO17" i="18" s="1"/>
  <c r="EN12" i="18"/>
  <c r="EN11" i="18"/>
  <c r="EN10" i="18" s="1"/>
  <c r="EM20" i="18"/>
  <c r="AT30" i="13"/>
  <c r="AT17" i="13"/>
  <c r="BB17" i="13" s="1"/>
  <c r="AT7" i="13"/>
  <c r="AE52" i="13"/>
  <c r="AF52" i="13" s="1"/>
  <c r="AR52" i="13" s="1"/>
  <c r="AE51" i="13"/>
  <c r="AE47" i="13"/>
  <c r="AE33" i="13"/>
  <c r="AF33" i="13" s="1"/>
  <c r="AR33" i="13" s="1"/>
  <c r="AT33" i="13" s="1"/>
  <c r="BB33" i="13" s="1"/>
  <c r="AE27" i="13"/>
  <c r="AF21" i="13"/>
  <c r="AE12" i="13"/>
  <c r="AQ59" i="13"/>
  <c r="AT59" i="13" s="1"/>
  <c r="BB59" i="13" s="1"/>
  <c r="AQ57" i="13"/>
  <c r="AQ49" i="13"/>
  <c r="AT49" i="13" s="1"/>
  <c r="BB49" i="13" s="1"/>
  <c r="AQ47" i="13"/>
  <c r="AQ42" i="13"/>
  <c r="AU42" i="13" s="1"/>
  <c r="AU44" i="13" s="1"/>
  <c r="AU40" i="13" s="1"/>
  <c r="AQ27" i="13"/>
  <c r="AQ14" i="13"/>
  <c r="AU14" i="13" s="1"/>
  <c r="AQ12" i="13"/>
  <c r="AU12" i="13" s="1"/>
  <c r="EJ16" i="18"/>
  <c r="AF285" i="13"/>
  <c r="AQ285" i="13"/>
  <c r="M289" i="13"/>
  <c r="M284" i="13" s="1"/>
  <c r="AS278" i="13"/>
  <c r="AS283" i="13" s="1"/>
  <c r="AN283" i="13"/>
  <c r="AN277" i="13" s="1"/>
  <c r="AF274" i="13"/>
  <c r="AQ274" i="13"/>
  <c r="M276" i="13"/>
  <c r="AS270" i="13"/>
  <c r="AS273" i="13" s="1"/>
  <c r="AN273" i="13"/>
  <c r="AN269" i="13" s="1"/>
  <c r="AF264" i="13"/>
  <c r="AQ264" i="13"/>
  <c r="M268" i="13"/>
  <c r="AF262" i="13"/>
  <c r="AR262" i="13" s="1"/>
  <c r="AT262" i="13" s="1"/>
  <c r="AU262" i="13"/>
  <c r="AR255" i="13"/>
  <c r="AR258" i="13" s="1"/>
  <c r="AI78" i="18" s="1"/>
  <c r="AR246" i="13"/>
  <c r="AF250" i="13"/>
  <c r="AT280" i="13"/>
  <c r="AT279" i="13"/>
  <c r="AT272" i="13"/>
  <c r="BB272" i="13" s="1"/>
  <c r="AT265" i="13"/>
  <c r="BB265" i="13" s="1"/>
  <c r="AT257" i="13"/>
  <c r="BB257" i="13" s="1"/>
  <c r="AR254" i="13"/>
  <c r="AI77" i="18" s="1"/>
  <c r="M254" i="13"/>
  <c r="AT249" i="13"/>
  <c r="BB249" i="13" s="1"/>
  <c r="AT248" i="13"/>
  <c r="BB248" i="13" s="1"/>
  <c r="Y289" i="13"/>
  <c r="Y284" i="13" s="1"/>
  <c r="L289" i="13"/>
  <c r="L284" i="13" s="1"/>
  <c r="Y283" i="13"/>
  <c r="Y277" i="13" s="1"/>
  <c r="L283" i="13"/>
  <c r="L277" i="13" s="1"/>
  <c r="Y276" i="13"/>
  <c r="Y269" i="13" s="1"/>
  <c r="L276" i="13"/>
  <c r="AM273" i="13"/>
  <c r="AM269" i="13" s="1"/>
  <c r="Y268" i="13"/>
  <c r="Y259" i="13" s="1"/>
  <c r="L268" i="13"/>
  <c r="L259" i="13" s="1"/>
  <c r="AM263" i="13"/>
  <c r="AM259" i="13" s="1"/>
  <c r="AF263" i="13"/>
  <c r="M263" i="13"/>
  <c r="AE258" i="13"/>
  <c r="L258" i="13"/>
  <c r="L245" i="13" s="1"/>
  <c r="AM254" i="13"/>
  <c r="AB254" i="13"/>
  <c r="AQ251" i="13"/>
  <c r="AM250" i="13"/>
  <c r="AB250" i="13"/>
  <c r="AE263" i="12"/>
  <c r="AF261" i="12"/>
  <c r="AS252" i="12"/>
  <c r="AT252" i="12" s="1"/>
  <c r="BB252" i="12" s="1"/>
  <c r="AN254" i="12"/>
  <c r="AN250" i="12"/>
  <c r="AS247" i="12"/>
  <c r="AR264" i="12"/>
  <c r="AT264" i="12" s="1"/>
  <c r="BB264" i="12" s="1"/>
  <c r="AF256" i="12"/>
  <c r="AR256" i="12" s="1"/>
  <c r="AE258" i="12"/>
  <c r="AR255" i="12"/>
  <c r="AE250" i="12"/>
  <c r="AF246" i="12"/>
  <c r="AQ256" i="12"/>
  <c r="M258" i="12"/>
  <c r="M254" i="12"/>
  <c r="AQ251" i="12"/>
  <c r="AQ254" i="12" s="1"/>
  <c r="AQ246" i="12"/>
  <c r="AQ250" i="12" s="1"/>
  <c r="M250" i="12"/>
  <c r="AS230" i="12"/>
  <c r="AS231" i="12" s="1"/>
  <c r="AN231" i="12"/>
  <c r="AN226" i="12" s="1"/>
  <c r="AB197" i="12"/>
  <c r="Y197" i="12"/>
  <c r="AM150" i="12"/>
  <c r="AB150" i="12"/>
  <c r="R150" i="12"/>
  <c r="L78" i="12"/>
  <c r="T5" i="12"/>
  <c r="R5" i="12"/>
  <c r="AT271" i="12"/>
  <c r="BB271" i="12" s="1"/>
  <c r="AS289" i="12"/>
  <c r="AT280" i="12"/>
  <c r="BB280" i="12" s="1"/>
  <c r="AT279" i="12"/>
  <c r="BB279" i="12" s="1"/>
  <c r="AT257" i="12"/>
  <c r="BB257" i="12" s="1"/>
  <c r="AT247" i="12"/>
  <c r="BB247" i="12" s="1"/>
  <c r="AD59" i="18"/>
  <c r="AB59" i="18"/>
  <c r="Z59" i="18"/>
  <c r="AS270" i="12"/>
  <c r="AS273" i="12" s="1"/>
  <c r="AN273" i="12"/>
  <c r="AN269" i="12" s="1"/>
  <c r="AF270" i="12"/>
  <c r="AE273" i="12"/>
  <c r="AE269" i="12" s="1"/>
  <c r="AS262" i="12"/>
  <c r="AS263" i="12" s="1"/>
  <c r="AN263" i="12"/>
  <c r="AN259" i="12" s="1"/>
  <c r="AQ261" i="12"/>
  <c r="AQ263" i="12" s="1"/>
  <c r="M263" i="12"/>
  <c r="AN258" i="12"/>
  <c r="AS255" i="12"/>
  <c r="AS258" i="12" s="1"/>
  <c r="W78" i="18" s="1"/>
  <c r="AF253" i="12"/>
  <c r="AR253" i="12" s="1"/>
  <c r="AT253" i="12" s="1"/>
  <c r="BB253" i="12" s="1"/>
  <c r="AE254" i="12"/>
  <c r="U88" i="18"/>
  <c r="U87" i="18" s="1"/>
  <c r="AT287" i="12"/>
  <c r="BB287" i="12" s="1"/>
  <c r="U84" i="18"/>
  <c r="M268" i="12"/>
  <c r="AQ265" i="12"/>
  <c r="AT265" i="12" s="1"/>
  <c r="BB265" i="12" s="1"/>
  <c r="AQ258" i="12"/>
  <c r="U78" i="18" s="1"/>
  <c r="AS240" i="12"/>
  <c r="AS243" i="12" s="1"/>
  <c r="AN243" i="12"/>
  <c r="AN238" i="12" s="1"/>
  <c r="AS233" i="12"/>
  <c r="AS237" i="12" s="1"/>
  <c r="AN237" i="12"/>
  <c r="AN232" i="12" s="1"/>
  <c r="W67" i="18"/>
  <c r="W66" i="18" s="1"/>
  <c r="AS221" i="12"/>
  <c r="W65" i="18"/>
  <c r="W64" i="18" s="1"/>
  <c r="AS213" i="12"/>
  <c r="AT208" i="12"/>
  <c r="AM197" i="12"/>
  <c r="T197" i="12"/>
  <c r="R197" i="12"/>
  <c r="L197" i="12"/>
  <c r="T150" i="12"/>
  <c r="AM78" i="12"/>
  <c r="AB5" i="12"/>
  <c r="AT272" i="12"/>
  <c r="BB272" i="12" s="1"/>
  <c r="AT262" i="12"/>
  <c r="BB262" i="12" s="1"/>
  <c r="AS283" i="12"/>
  <c r="AS268" i="12"/>
  <c r="W81" i="18" s="1"/>
  <c r="AS250" i="12"/>
  <c r="AT282" i="12"/>
  <c r="BB282" i="12" s="1"/>
  <c r="AT281" i="12"/>
  <c r="BB281" i="12" s="1"/>
  <c r="AT267" i="12"/>
  <c r="BB267" i="12" s="1"/>
  <c r="AT249" i="12"/>
  <c r="BB249" i="12" s="1"/>
  <c r="AT248" i="12"/>
  <c r="BB248" i="12" s="1"/>
  <c r="AT234" i="12"/>
  <c r="BB234" i="12" s="1"/>
  <c r="U54" i="18"/>
  <c r="AT169" i="12"/>
  <c r="BB169" i="12" s="1"/>
  <c r="AT164" i="12"/>
  <c r="BB164" i="12" s="1"/>
  <c r="U50" i="18"/>
  <c r="AT160" i="12"/>
  <c r="BB160" i="12" s="1"/>
  <c r="AS211" i="12"/>
  <c r="AS212" i="12" s="1"/>
  <c r="W63" i="18" s="1"/>
  <c r="AS201" i="12"/>
  <c r="AS199" i="12"/>
  <c r="AE240" i="12"/>
  <c r="AE235" i="12"/>
  <c r="AF235" i="12" s="1"/>
  <c r="AR235" i="12" s="1"/>
  <c r="AT235" i="12" s="1"/>
  <c r="BB235" i="12" s="1"/>
  <c r="AE230" i="12"/>
  <c r="AF230" i="12" s="1"/>
  <c r="AR230" i="12" s="1"/>
  <c r="AE224" i="12"/>
  <c r="AF224" i="12" s="1"/>
  <c r="AR224" i="12" s="1"/>
  <c r="AE214" i="12"/>
  <c r="AE206" i="12"/>
  <c r="AF206" i="12" s="1"/>
  <c r="AR206" i="12" s="1"/>
  <c r="AT206" i="12" s="1"/>
  <c r="AQ241" i="12"/>
  <c r="AT241" i="12" s="1"/>
  <c r="AQ239" i="12"/>
  <c r="AQ224" i="12"/>
  <c r="AS191" i="12"/>
  <c r="AS193" i="12" s="1"/>
  <c r="W57" i="18" s="1"/>
  <c r="AE192" i="12"/>
  <c r="AQ192" i="12"/>
  <c r="AE189" i="12"/>
  <c r="AF189" i="12" s="1"/>
  <c r="AR189" i="12" s="1"/>
  <c r="AE183" i="12"/>
  <c r="EQ51" i="18"/>
  <c r="AB46" i="18"/>
  <c r="AS196" i="12"/>
  <c r="W58" i="18" s="1"/>
  <c r="AS178" i="12"/>
  <c r="W53" i="18" s="1"/>
  <c r="AS168" i="12"/>
  <c r="AS159" i="12"/>
  <c r="W49" i="18" s="1"/>
  <c r="AS156" i="12"/>
  <c r="AT195" i="12"/>
  <c r="BB195" i="12" s="1"/>
  <c r="AT177" i="12"/>
  <c r="BB177" i="12" s="1"/>
  <c r="AT170" i="12"/>
  <c r="BB170" i="12" s="1"/>
  <c r="AT155" i="12"/>
  <c r="BB155" i="12" s="1"/>
  <c r="AT154" i="12"/>
  <c r="BB154" i="12" s="1"/>
  <c r="AS139" i="12"/>
  <c r="AS133" i="12"/>
  <c r="AS92" i="12"/>
  <c r="W29" i="18" s="1"/>
  <c r="AT144" i="12"/>
  <c r="BB144" i="12" s="1"/>
  <c r="AT143" i="12"/>
  <c r="BB143" i="12" s="1"/>
  <c r="AT138" i="12"/>
  <c r="BB138" i="12" s="1"/>
  <c r="AT132" i="12"/>
  <c r="BB132" i="12" s="1"/>
  <c r="AT131" i="12"/>
  <c r="BB131" i="12" s="1"/>
  <c r="AT127" i="12"/>
  <c r="BB127" i="12" s="1"/>
  <c r="AT120" i="12"/>
  <c r="BB120" i="12" s="1"/>
  <c r="AT114" i="12"/>
  <c r="BB114" i="12" s="1"/>
  <c r="AT113" i="12"/>
  <c r="BB113" i="12" s="1"/>
  <c r="AT104" i="12"/>
  <c r="BB104" i="12" s="1"/>
  <c r="AT103" i="12"/>
  <c r="BB103" i="12" s="1"/>
  <c r="AT98" i="12"/>
  <c r="BB98" i="12" s="1"/>
  <c r="AT95" i="12"/>
  <c r="BB95" i="12" s="1"/>
  <c r="AT90" i="12"/>
  <c r="BB90" i="12" s="1"/>
  <c r="AT84" i="12"/>
  <c r="BB84" i="12" s="1"/>
  <c r="AT81" i="12"/>
  <c r="BB81" i="12" s="1"/>
  <c r="AT148" i="12"/>
  <c r="BB148" i="12" s="1"/>
  <c r="AT147" i="12"/>
  <c r="BB147" i="12" s="1"/>
  <c r="AT157" i="12"/>
  <c r="BB157" i="12" s="1"/>
  <c r="AT152" i="12"/>
  <c r="BB152" i="12" s="1"/>
  <c r="AT141" i="12"/>
  <c r="BB141" i="12" s="1"/>
  <c r="AT101" i="12"/>
  <c r="BB101" i="12" s="1"/>
  <c r="AT86" i="12"/>
  <c r="BB86" i="12" s="1"/>
  <c r="AR85" i="12"/>
  <c r="AT80" i="12"/>
  <c r="BB80" i="12" s="1"/>
  <c r="AT146" i="12"/>
  <c r="BB146" i="12" s="1"/>
  <c r="AQ207" i="12"/>
  <c r="AT207" i="12" s="1"/>
  <c r="AF288" i="12"/>
  <c r="AF274" i="12"/>
  <c r="AF266" i="12"/>
  <c r="AR266" i="12" s="1"/>
  <c r="AF251" i="12"/>
  <c r="AE242" i="12"/>
  <c r="AF242" i="12" s="1"/>
  <c r="AR242" i="12" s="1"/>
  <c r="AT242" i="12" s="1"/>
  <c r="BB242" i="12" s="1"/>
  <c r="AE233" i="12"/>
  <c r="AE228" i="12"/>
  <c r="AF228" i="12" s="1"/>
  <c r="AR228" i="12" s="1"/>
  <c r="AT228" i="12" s="1"/>
  <c r="AE227" i="12"/>
  <c r="AE222" i="12"/>
  <c r="AF217" i="12"/>
  <c r="AR217" i="12" s="1"/>
  <c r="AE216" i="12"/>
  <c r="AF216" i="12" s="1"/>
  <c r="AR216" i="12" s="1"/>
  <c r="AT216" i="12" s="1"/>
  <c r="BB216" i="12" s="1"/>
  <c r="AE211" i="12"/>
  <c r="AF211" i="12" s="1"/>
  <c r="AR211" i="12" s="1"/>
  <c r="AT211" i="12" s="1"/>
  <c r="BB211" i="12" s="1"/>
  <c r="AE210" i="12"/>
  <c r="AE204" i="12"/>
  <c r="AE209" i="12" s="1"/>
  <c r="AE201" i="12"/>
  <c r="AQ229" i="12"/>
  <c r="AT229" i="12" s="1"/>
  <c r="BB229" i="12" s="1"/>
  <c r="AQ227" i="12"/>
  <c r="AQ219" i="12"/>
  <c r="AT219" i="12" s="1"/>
  <c r="AQ217" i="12"/>
  <c r="AT217" i="12" s="1"/>
  <c r="AQ215" i="12"/>
  <c r="AT215" i="12" s="1"/>
  <c r="BB215" i="12" s="1"/>
  <c r="AQ210" i="12"/>
  <c r="AQ202" i="12"/>
  <c r="AT202" i="12" s="1"/>
  <c r="BB202" i="12" s="1"/>
  <c r="AQ200" i="12"/>
  <c r="AU200" i="12" s="1"/>
  <c r="AF191" i="12"/>
  <c r="AE186" i="12"/>
  <c r="AF186" i="12" s="1"/>
  <c r="AR186" i="12" s="1"/>
  <c r="AQ189" i="12"/>
  <c r="AQ186" i="12"/>
  <c r="AQ183" i="12"/>
  <c r="AQ190" i="12" s="1"/>
  <c r="EM51" i="18"/>
  <c r="AD46" i="18"/>
  <c r="Z46" i="18"/>
  <c r="AT180" i="12"/>
  <c r="BB180" i="12" s="1"/>
  <c r="AT176" i="12"/>
  <c r="BB176" i="12" s="1"/>
  <c r="AT172" i="12"/>
  <c r="BB172" i="12" s="1"/>
  <c r="AT171" i="12"/>
  <c r="BB171" i="12" s="1"/>
  <c r="AT167" i="12"/>
  <c r="BB167" i="12" s="1"/>
  <c r="AT166" i="12"/>
  <c r="BB166" i="12" s="1"/>
  <c r="AS149" i="12"/>
  <c r="AS122" i="12"/>
  <c r="AS117" i="12"/>
  <c r="AS111" i="12" s="1"/>
  <c r="AS105" i="12"/>
  <c r="AS88" i="12"/>
  <c r="W28" i="18" s="1"/>
  <c r="AT145" i="12"/>
  <c r="BB145" i="12" s="1"/>
  <c r="AT137" i="12"/>
  <c r="BB137" i="12" s="1"/>
  <c r="AT136" i="12"/>
  <c r="BB136" i="12" s="1"/>
  <c r="AT129" i="12"/>
  <c r="BB129" i="12" s="1"/>
  <c r="AT126" i="12"/>
  <c r="BB126" i="12" s="1"/>
  <c r="AT125" i="12"/>
  <c r="BB125" i="12" s="1"/>
  <c r="AT116" i="12"/>
  <c r="BB116" i="12" s="1"/>
  <c r="AT115" i="12"/>
  <c r="BB115" i="12" s="1"/>
  <c r="AT109" i="12"/>
  <c r="BB109" i="12" s="1"/>
  <c r="AT108" i="12"/>
  <c r="BB108" i="12" s="1"/>
  <c r="AT97" i="12"/>
  <c r="BB97" i="12" s="1"/>
  <c r="AT96" i="12"/>
  <c r="BB96" i="12" s="1"/>
  <c r="AT91" i="12"/>
  <c r="BB91" i="12" s="1"/>
  <c r="AT82" i="12"/>
  <c r="BB82" i="12" s="1"/>
  <c r="AT7" i="12"/>
  <c r="AT73" i="12"/>
  <c r="BB73" i="12" s="1"/>
  <c r="AT70" i="12"/>
  <c r="BB70" i="12" s="1"/>
  <c r="AT57" i="12"/>
  <c r="BB57" i="12" s="1"/>
  <c r="AT51" i="12"/>
  <c r="BB51" i="12" s="1"/>
  <c r="AT22" i="12"/>
  <c r="AD6" i="18"/>
  <c r="Z6" i="18"/>
  <c r="Z90" i="18" s="1"/>
  <c r="AS77" i="12"/>
  <c r="AS37" i="12"/>
  <c r="W15" i="18" s="1"/>
  <c r="AT71" i="12"/>
  <c r="BB71" i="12" s="1"/>
  <c r="AT69" i="12"/>
  <c r="BB69" i="12" s="1"/>
  <c r="AT66" i="12"/>
  <c r="BB66" i="12" s="1"/>
  <c r="AT65" i="12"/>
  <c r="AT52" i="12"/>
  <c r="AT49" i="12"/>
  <c r="BB49" i="12" s="1"/>
  <c r="AT48" i="12"/>
  <c r="BB48" i="12" s="1"/>
  <c r="AT36" i="12"/>
  <c r="AT33" i="12"/>
  <c r="BB33" i="12" s="1"/>
  <c r="AT32" i="12"/>
  <c r="AT28" i="12"/>
  <c r="AT18" i="12"/>
  <c r="BB18" i="12" s="1"/>
  <c r="AS29" i="12"/>
  <c r="W14" i="18" s="1"/>
  <c r="AT26" i="12"/>
  <c r="BB26" i="12" s="1"/>
  <c r="AT21" i="12"/>
  <c r="AS25" i="12"/>
  <c r="AE6" i="18"/>
  <c r="AA6" i="18"/>
  <c r="AS60" i="12"/>
  <c r="W22" i="18" s="1"/>
  <c r="AS56" i="12"/>
  <c r="W21" i="18" s="1"/>
  <c r="AS50" i="12"/>
  <c r="AS44" i="12"/>
  <c r="AS19" i="12"/>
  <c r="AT75" i="12"/>
  <c r="AT68" i="12"/>
  <c r="BB68" i="12" s="1"/>
  <c r="AT64" i="12"/>
  <c r="AT63" i="12"/>
  <c r="BB63" i="12" s="1"/>
  <c r="AT59" i="12"/>
  <c r="BB59" i="12" s="1"/>
  <c r="AT55" i="12"/>
  <c r="BB55" i="12" s="1"/>
  <c r="AT54" i="12"/>
  <c r="BB54" i="12" s="1"/>
  <c r="AT47" i="12"/>
  <c r="BB47" i="12" s="1"/>
  <c r="AT43" i="12"/>
  <c r="BB43" i="12" s="1"/>
  <c r="AT35" i="12"/>
  <c r="AT34" i="12"/>
  <c r="AT31" i="12"/>
  <c r="AE24" i="12"/>
  <c r="AE17" i="12"/>
  <c r="AE10" i="12"/>
  <c r="AF10" i="12" s="1"/>
  <c r="AR10" i="12" s="1"/>
  <c r="AT10" i="12" s="1"/>
  <c r="BB10" i="12" s="1"/>
  <c r="EN19" i="18"/>
  <c r="AE14" i="12"/>
  <c r="AF14" i="12" s="1"/>
  <c r="AR14" i="12" s="1"/>
  <c r="AT14" i="12" s="1"/>
  <c r="BB14" i="12" s="1"/>
  <c r="AE13" i="12"/>
  <c r="AF13" i="12" s="1"/>
  <c r="AR13" i="12" s="1"/>
  <c r="AT13" i="12" s="1"/>
  <c r="AE12" i="12"/>
  <c r="AQ76" i="12"/>
  <c r="AU76" i="12" s="1"/>
  <c r="AQ74" i="12"/>
  <c r="AT74" i="12" s="1"/>
  <c r="BB74" i="12" s="1"/>
  <c r="AT260" i="12"/>
  <c r="BB260" i="12" s="1"/>
  <c r="AT266" i="12"/>
  <c r="BB266" i="12" s="1"/>
  <c r="AT275" i="12"/>
  <c r="BB275" i="12" s="1"/>
  <c r="AT286" i="12"/>
  <c r="BB286" i="12" s="1"/>
  <c r="M83" i="12"/>
  <c r="M85" i="12" s="1"/>
  <c r="M79" i="12" s="1"/>
  <c r="M78" i="12" s="1"/>
  <c r="AS83" i="12"/>
  <c r="AS85" i="12" s="1"/>
  <c r="AS79" i="12" s="1"/>
  <c r="EL22" i="18"/>
  <c r="AS270" i="1"/>
  <c r="AS273" i="1" s="1"/>
  <c r="AN273" i="1"/>
  <c r="AN269" i="1" s="1"/>
  <c r="AR270" i="1"/>
  <c r="AF208" i="1"/>
  <c r="AR208" i="1" s="1"/>
  <c r="AQ270" i="1"/>
  <c r="M273" i="1"/>
  <c r="M269" i="1" s="1"/>
  <c r="AM244" i="1"/>
  <c r="AB244" i="1"/>
  <c r="AM198" i="1"/>
  <c r="AM197" i="1" s="1"/>
  <c r="AB197" i="1"/>
  <c r="U150" i="1"/>
  <c r="S5" i="1"/>
  <c r="R5" i="1"/>
  <c r="Y244" i="1"/>
  <c r="U244" i="1"/>
  <c r="T244" i="1"/>
  <c r="S244" i="1"/>
  <c r="R244" i="1"/>
  <c r="Y197" i="1"/>
  <c r="T197" i="1"/>
  <c r="R197" i="1"/>
  <c r="AN150" i="1"/>
  <c r="S150" i="1"/>
  <c r="Y78" i="1"/>
  <c r="T78" i="1"/>
  <c r="AB5" i="1"/>
  <c r="Y5" i="1"/>
  <c r="U5" i="1"/>
  <c r="AT272" i="1"/>
  <c r="BB272" i="1" s="1"/>
  <c r="R26" i="18"/>
  <c r="R25" i="18" s="1"/>
  <c r="ER27" i="18"/>
  <c r="P26" i="18"/>
  <c r="P25" i="18" s="1"/>
  <c r="EP27" i="18"/>
  <c r="N26" i="18"/>
  <c r="N25" i="18" s="1"/>
  <c r="EN27" i="18"/>
  <c r="L26" i="18"/>
  <c r="L25" i="18" s="1"/>
  <c r="EL27" i="18"/>
  <c r="AQ208" i="1"/>
  <c r="AQ207" i="1"/>
  <c r="AT207" i="1" s="1"/>
  <c r="BB207" i="1" s="1"/>
  <c r="AN208" i="1"/>
  <c r="AS262" i="1"/>
  <c r="AT262" i="1" s="1"/>
  <c r="BB262" i="1" s="1"/>
  <c r="AS260" i="1"/>
  <c r="AS289" i="1"/>
  <c r="AS258" i="1"/>
  <c r="J78" i="18" s="1"/>
  <c r="AT286" i="1"/>
  <c r="BB286" i="1" s="1"/>
  <c r="AT281" i="1"/>
  <c r="BB281" i="1" s="1"/>
  <c r="AT280" i="1"/>
  <c r="BB280" i="1" s="1"/>
  <c r="AT253" i="1"/>
  <c r="BB253" i="1" s="1"/>
  <c r="AT249" i="1"/>
  <c r="BB249" i="1" s="1"/>
  <c r="AT248" i="1"/>
  <c r="BB248" i="1" s="1"/>
  <c r="O59" i="18"/>
  <c r="AS203" i="1"/>
  <c r="AT240" i="1"/>
  <c r="AT235" i="1"/>
  <c r="BB235" i="1" s="1"/>
  <c r="AT229" i="1"/>
  <c r="BB229" i="1" s="1"/>
  <c r="AT223" i="1"/>
  <c r="AT219" i="1"/>
  <c r="AT217" i="1"/>
  <c r="AT215" i="1"/>
  <c r="BB215" i="1" s="1"/>
  <c r="AT206" i="1"/>
  <c r="BB206" i="1" s="1"/>
  <c r="AT202" i="1"/>
  <c r="BB202" i="1" s="1"/>
  <c r="AT189" i="1"/>
  <c r="BB189" i="1" s="1"/>
  <c r="AT185" i="1"/>
  <c r="BB185" i="1" s="1"/>
  <c r="EQ27" i="18"/>
  <c r="Q26" i="18"/>
  <c r="Q25" i="18" s="1"/>
  <c r="EO27" i="18"/>
  <c r="O26" i="18"/>
  <c r="O25" i="18" s="1"/>
  <c r="EM27" i="18"/>
  <c r="M26" i="18"/>
  <c r="M25" i="18" s="1"/>
  <c r="EJ84" i="18"/>
  <c r="AT274" i="1"/>
  <c r="BB274" i="1" s="1"/>
  <c r="AQ276" i="1"/>
  <c r="H84" i="18" s="1"/>
  <c r="AQ268" i="1"/>
  <c r="H81" i="18" s="1"/>
  <c r="AT264" i="1"/>
  <c r="BB264" i="1" s="1"/>
  <c r="AQ254" i="1"/>
  <c r="H77" i="18" s="1"/>
  <c r="AT200" i="1"/>
  <c r="BB200" i="1" s="1"/>
  <c r="AS283" i="1"/>
  <c r="AS268" i="1"/>
  <c r="J81" i="18" s="1"/>
  <c r="AS254" i="1"/>
  <c r="J77" i="18" s="1"/>
  <c r="AS250" i="1"/>
  <c r="AT287" i="1"/>
  <c r="BB287" i="1" s="1"/>
  <c r="AT279" i="1"/>
  <c r="BB279" i="1" s="1"/>
  <c r="AT267" i="1"/>
  <c r="BB267" i="1" s="1"/>
  <c r="AT266" i="1"/>
  <c r="BB266" i="1" s="1"/>
  <c r="AT257" i="1"/>
  <c r="BB257" i="1" s="1"/>
  <c r="AT256" i="1"/>
  <c r="BB256" i="1" s="1"/>
  <c r="AT252" i="1"/>
  <c r="BB252" i="1" s="1"/>
  <c r="AT247" i="1"/>
  <c r="BB247" i="1" s="1"/>
  <c r="AS243" i="1"/>
  <c r="AS237" i="1"/>
  <c r="AS231" i="1"/>
  <c r="AS220" i="1"/>
  <c r="AT242" i="1"/>
  <c r="BB242" i="1" s="1"/>
  <c r="AT241" i="1"/>
  <c r="AT236" i="1"/>
  <c r="BB236" i="1" s="1"/>
  <c r="AT234" i="1"/>
  <c r="BB234" i="1" s="1"/>
  <c r="AT230" i="1"/>
  <c r="BB230" i="1" s="1"/>
  <c r="AT228" i="1"/>
  <c r="AT224" i="1"/>
  <c r="BB224" i="1" s="1"/>
  <c r="AT218" i="1"/>
  <c r="AT216" i="1"/>
  <c r="BB216" i="1" s="1"/>
  <c r="AT211" i="1"/>
  <c r="BB211" i="1" s="1"/>
  <c r="AT205" i="1"/>
  <c r="AT192" i="1"/>
  <c r="BB192" i="1" s="1"/>
  <c r="AT187" i="1"/>
  <c r="BB187" i="1" s="1"/>
  <c r="AT186" i="1"/>
  <c r="BB186" i="1" s="1"/>
  <c r="AQ159" i="1"/>
  <c r="H49" i="18" s="1"/>
  <c r="AT157" i="1"/>
  <c r="BB157" i="1" s="1"/>
  <c r="AS117" i="1"/>
  <c r="AS105" i="1"/>
  <c r="AS100" i="1" s="1"/>
  <c r="AT101" i="1"/>
  <c r="BB101" i="1" s="1"/>
  <c r="AS88" i="1"/>
  <c r="J28" i="18" s="1"/>
  <c r="AT86" i="1"/>
  <c r="BB86" i="1" s="1"/>
  <c r="AT80" i="1"/>
  <c r="BB80" i="1" s="1"/>
  <c r="AT141" i="1"/>
  <c r="BB141" i="1" s="1"/>
  <c r="O46" i="18"/>
  <c r="AS196" i="1"/>
  <c r="J58" i="18" s="1"/>
  <c r="AS178" i="1"/>
  <c r="J53" i="18" s="1"/>
  <c r="AS168" i="1"/>
  <c r="AS156" i="1"/>
  <c r="J48" i="18" s="1"/>
  <c r="AT180" i="1"/>
  <c r="BB180" i="1" s="1"/>
  <c r="AT176" i="1"/>
  <c r="BB176" i="1" s="1"/>
  <c r="AT175" i="1"/>
  <c r="BB175" i="1" s="1"/>
  <c r="AT172" i="1"/>
  <c r="BB172" i="1" s="1"/>
  <c r="AT171" i="1"/>
  <c r="BB171" i="1" s="1"/>
  <c r="AT167" i="1"/>
  <c r="BB167" i="1" s="1"/>
  <c r="AT166" i="1"/>
  <c r="BB166" i="1" s="1"/>
  <c r="AS149" i="1"/>
  <c r="AT146" i="1"/>
  <c r="BB146" i="1" s="1"/>
  <c r="AT145" i="1"/>
  <c r="BB145" i="1" s="1"/>
  <c r="AT137" i="1"/>
  <c r="BB137" i="1" s="1"/>
  <c r="AT136" i="1"/>
  <c r="BB136" i="1" s="1"/>
  <c r="AT130" i="1"/>
  <c r="BB130" i="1" s="1"/>
  <c r="AT129" i="1"/>
  <c r="BB129" i="1" s="1"/>
  <c r="AT126" i="1"/>
  <c r="BB126" i="1" s="1"/>
  <c r="AT125" i="1"/>
  <c r="BB125" i="1" s="1"/>
  <c r="AQ181" i="1"/>
  <c r="H54" i="18" s="1"/>
  <c r="AT169" i="1"/>
  <c r="BB169" i="1" s="1"/>
  <c r="AQ178" i="1"/>
  <c r="H53" i="18" s="1"/>
  <c r="AQ168" i="1"/>
  <c r="AS110" i="1"/>
  <c r="AS92" i="1"/>
  <c r="J29" i="18" s="1"/>
  <c r="AT89" i="1"/>
  <c r="BB89" i="1" s="1"/>
  <c r="Q46" i="18"/>
  <c r="M46" i="18"/>
  <c r="AT177" i="1"/>
  <c r="BB177" i="1" s="1"/>
  <c r="AT174" i="1"/>
  <c r="BB174" i="1" s="1"/>
  <c r="AT173" i="1"/>
  <c r="BB173" i="1" s="1"/>
  <c r="AT165" i="1"/>
  <c r="BB165" i="1" s="1"/>
  <c r="AT155" i="1"/>
  <c r="BB155" i="1" s="1"/>
  <c r="AT154" i="1"/>
  <c r="BB154" i="1" s="1"/>
  <c r="AS139" i="1"/>
  <c r="AS133" i="1"/>
  <c r="AT148" i="1"/>
  <c r="BB148" i="1" s="1"/>
  <c r="AT147" i="1"/>
  <c r="BB147" i="1" s="1"/>
  <c r="AT144" i="1"/>
  <c r="BB144" i="1" s="1"/>
  <c r="AT143" i="1"/>
  <c r="BB143" i="1" s="1"/>
  <c r="AT138" i="1"/>
  <c r="BB138" i="1" s="1"/>
  <c r="AT132" i="1"/>
  <c r="BB132" i="1" s="1"/>
  <c r="AT131" i="1"/>
  <c r="BB131" i="1" s="1"/>
  <c r="AT128" i="1"/>
  <c r="BB128" i="1" s="1"/>
  <c r="AT127" i="1"/>
  <c r="BB127" i="1" s="1"/>
  <c r="AT121" i="1"/>
  <c r="BB121" i="1" s="1"/>
  <c r="AT120" i="1"/>
  <c r="BB120" i="1" s="1"/>
  <c r="P23" i="18"/>
  <c r="L17" i="18"/>
  <c r="L7" i="18"/>
  <c r="AQ139" i="1"/>
  <c r="AQ133" i="1"/>
  <c r="AQ92" i="1"/>
  <c r="H29" i="18" s="1"/>
  <c r="N6" i="18"/>
  <c r="AQ149" i="1"/>
  <c r="AQ122" i="1"/>
  <c r="AQ117" i="1"/>
  <c r="AQ105" i="1"/>
  <c r="AQ100" i="1" s="1"/>
  <c r="AQ88" i="1"/>
  <c r="H28" i="18" s="1"/>
  <c r="R6" i="18"/>
  <c r="R90" i="18" s="1"/>
  <c r="P6" i="18"/>
  <c r="P90" i="18" s="1"/>
  <c r="M6" i="18"/>
  <c r="M90" i="18" s="1"/>
  <c r="AQ39" i="1"/>
  <c r="H16" i="18" s="1"/>
  <c r="AQ37" i="1"/>
  <c r="H15" i="18" s="1"/>
  <c r="AQ15" i="1"/>
  <c r="H9" i="18" s="1"/>
  <c r="AT12" i="1"/>
  <c r="BB12" i="1" s="1"/>
  <c r="AQ11" i="1"/>
  <c r="AT7" i="1"/>
  <c r="BB7" i="1" s="1"/>
  <c r="AS44" i="1"/>
  <c r="AS37" i="1"/>
  <c r="J15" i="18" s="1"/>
  <c r="AS25" i="1"/>
  <c r="AS19" i="1"/>
  <c r="AS15" i="1"/>
  <c r="J9" i="18" s="1"/>
  <c r="AS11" i="1"/>
  <c r="AQ77" i="1"/>
  <c r="AT49" i="1"/>
  <c r="BB49" i="1" s="1"/>
  <c r="AT43" i="1"/>
  <c r="BB43" i="1" s="1"/>
  <c r="AT34" i="1"/>
  <c r="AT33" i="1"/>
  <c r="BB33" i="1" s="1"/>
  <c r="AT28" i="1"/>
  <c r="AT24" i="1"/>
  <c r="AT23" i="1"/>
  <c r="AT18" i="1"/>
  <c r="BB18" i="1" s="1"/>
  <c r="AT10" i="1"/>
  <c r="BB10" i="1" s="1"/>
  <c r="AT41" i="1"/>
  <c r="BB41" i="1" s="1"/>
  <c r="AQ44" i="1"/>
  <c r="AT26" i="1"/>
  <c r="BB26" i="1" s="1"/>
  <c r="AQ29" i="1"/>
  <c r="H14" i="18" s="1"/>
  <c r="AQ25" i="1"/>
  <c r="AQ19" i="1"/>
  <c r="AS77" i="1"/>
  <c r="AS60" i="1"/>
  <c r="J22" i="18" s="1"/>
  <c r="AS56" i="1"/>
  <c r="J21" i="18" s="1"/>
  <c r="AS50" i="1"/>
  <c r="AQ60" i="1"/>
  <c r="H22" i="18" s="1"/>
  <c r="AQ56" i="1"/>
  <c r="H21" i="18" s="1"/>
  <c r="AT47" i="1"/>
  <c r="AQ50" i="1"/>
  <c r="AT36" i="1"/>
  <c r="AT35" i="1"/>
  <c r="AT32" i="1"/>
  <c r="AT31" i="1"/>
  <c r="AT22" i="1"/>
  <c r="AT9" i="1"/>
  <c r="BB9" i="1" s="1"/>
  <c r="M83" i="1"/>
  <c r="M85" i="1" s="1"/>
  <c r="M79" i="1" s="1"/>
  <c r="AS83" i="1"/>
  <c r="AS85" i="1" s="1"/>
  <c r="AQ269" i="12" l="1"/>
  <c r="U83" i="18"/>
  <c r="AM244" i="12"/>
  <c r="AX292" i="22"/>
  <c r="AJ244" i="15"/>
  <c r="R5" i="23"/>
  <c r="AS254" i="12"/>
  <c r="W77" i="18" s="1"/>
  <c r="AT76" i="16"/>
  <c r="BB76" i="16" s="1"/>
  <c r="AT104" i="16"/>
  <c r="BB104" i="16" s="1"/>
  <c r="AU254" i="17"/>
  <c r="CL77" i="18" s="1"/>
  <c r="BB260" i="22"/>
  <c r="BB246" i="22"/>
  <c r="T150" i="13"/>
  <c r="AT9" i="15"/>
  <c r="BB9" i="15" s="1"/>
  <c r="M6" i="16"/>
  <c r="EP47" i="18"/>
  <c r="M5" i="13"/>
  <c r="AN163" i="16"/>
  <c r="AN150" i="16" s="1"/>
  <c r="DC46" i="18"/>
  <c r="AE209" i="23"/>
  <c r="AZ292" i="12"/>
  <c r="AZ5" i="12"/>
  <c r="M259" i="15"/>
  <c r="M244" i="15" s="1"/>
  <c r="AE19" i="15"/>
  <c r="AE16" i="15" s="1"/>
  <c r="AS181" i="22"/>
  <c r="DJ54" i="18" s="1"/>
  <c r="L45" i="1"/>
  <c r="BA5" i="1"/>
  <c r="AY244" i="23"/>
  <c r="AC6" i="13"/>
  <c r="AC5" i="13" s="1"/>
  <c r="AJ244" i="22"/>
  <c r="AY244" i="1"/>
  <c r="AC150" i="22"/>
  <c r="U5" i="23"/>
  <c r="AJ150" i="17"/>
  <c r="AS264" i="14"/>
  <c r="AT264" i="14" s="1"/>
  <c r="BB264" i="14" s="1"/>
  <c r="AM268" i="14"/>
  <c r="AM259" i="14" s="1"/>
  <c r="AM244" i="14" s="1"/>
  <c r="AT189" i="12"/>
  <c r="BB189" i="12" s="1"/>
  <c r="AT230" i="12"/>
  <c r="BB230" i="12" s="1"/>
  <c r="AT255" i="12"/>
  <c r="BB255" i="12" s="1"/>
  <c r="AT256" i="12"/>
  <c r="BB256" i="12" s="1"/>
  <c r="AT248" i="14"/>
  <c r="BB248" i="14" s="1"/>
  <c r="AS289" i="14"/>
  <c r="AS250" i="14"/>
  <c r="AN163" i="14"/>
  <c r="AT74" i="16"/>
  <c r="BB74" i="16" s="1"/>
  <c r="AN20" i="12"/>
  <c r="AQ149" i="13"/>
  <c r="AY25" i="18"/>
  <c r="BA25" i="18"/>
  <c r="BE25" i="18"/>
  <c r="AN178" i="14"/>
  <c r="M79" i="22"/>
  <c r="M78" i="22" s="1"/>
  <c r="AT261" i="1"/>
  <c r="BB261" i="1" s="1"/>
  <c r="AT34" i="13"/>
  <c r="AY292" i="1"/>
  <c r="L198" i="17"/>
  <c r="L197" i="17" s="1"/>
  <c r="T244" i="23"/>
  <c r="L182" i="1"/>
  <c r="BA244" i="22"/>
  <c r="BA292" i="22" s="1"/>
  <c r="L151" i="1"/>
  <c r="AK244" i="23"/>
  <c r="T244" i="16"/>
  <c r="U5" i="22"/>
  <c r="T5" i="22"/>
  <c r="AT292" i="21"/>
  <c r="BB5" i="21"/>
  <c r="BB292" i="21" s="1"/>
  <c r="AX244" i="14"/>
  <c r="AX292" i="14" s="1"/>
  <c r="BB91" i="18" s="1"/>
  <c r="AQ50" i="13"/>
  <c r="AT97" i="13"/>
  <c r="BB97" i="13" s="1"/>
  <c r="AT288" i="14"/>
  <c r="BB247" i="14"/>
  <c r="AT121" i="16"/>
  <c r="BB121" i="16" s="1"/>
  <c r="AT132" i="17"/>
  <c r="BB132" i="17" s="1"/>
  <c r="BB247" i="22"/>
  <c r="BB282" i="22"/>
  <c r="BB270" i="22"/>
  <c r="M6" i="1"/>
  <c r="S5" i="13"/>
  <c r="AS88" i="17"/>
  <c r="CJ28" i="18" s="1"/>
  <c r="AT52" i="17"/>
  <c r="DE6" i="18"/>
  <c r="DA6" i="18"/>
  <c r="AM5" i="22"/>
  <c r="AN20" i="23"/>
  <c r="M20" i="14"/>
  <c r="M5" i="14" s="1"/>
  <c r="AD74" i="18"/>
  <c r="AD90" i="18" s="1"/>
  <c r="AD91" i="18" s="1"/>
  <c r="BA292" i="15"/>
  <c r="AB244" i="16"/>
  <c r="Y74" i="18"/>
  <c r="AZ150" i="1"/>
  <c r="AZ292" i="1" s="1"/>
  <c r="AX244" i="23"/>
  <c r="AX292" i="23" s="1"/>
  <c r="AB78" i="22"/>
  <c r="AZ244" i="1"/>
  <c r="AL244" i="12"/>
  <c r="AV244" i="1"/>
  <c r="AB20" i="22"/>
  <c r="AB5" i="22" s="1"/>
  <c r="AX150" i="17"/>
  <c r="AX292" i="17" s="1"/>
  <c r="AU5" i="21"/>
  <c r="EO51" i="18"/>
  <c r="EU50" i="18"/>
  <c r="EP74" i="18"/>
  <c r="CZ25" i="18"/>
  <c r="EO82" i="18"/>
  <c r="EL51" i="18"/>
  <c r="AU244" i="21"/>
  <c r="DD25" i="18"/>
  <c r="DE46" i="18"/>
  <c r="DA46" i="18"/>
  <c r="DD46" i="18"/>
  <c r="EM26" i="18"/>
  <c r="CZ6" i="18"/>
  <c r="ER75" i="18"/>
  <c r="EQ55" i="18"/>
  <c r="DB74" i="18"/>
  <c r="DB90" i="18" s="1"/>
  <c r="DB91" i="18" s="1"/>
  <c r="EM75" i="18"/>
  <c r="DE25" i="18"/>
  <c r="EL26" i="18"/>
  <c r="EQ59" i="18"/>
  <c r="EO55" i="18"/>
  <c r="ER79" i="18"/>
  <c r="ER47" i="18"/>
  <c r="DC25" i="18"/>
  <c r="EO71" i="18"/>
  <c r="EO70" i="18" s="1"/>
  <c r="EQ12" i="18"/>
  <c r="EM47" i="18"/>
  <c r="DA25" i="18"/>
  <c r="BB280" i="17"/>
  <c r="BB270" i="17"/>
  <c r="M20" i="17"/>
  <c r="BB260" i="17"/>
  <c r="BB255" i="17"/>
  <c r="BB268" i="12"/>
  <c r="S5" i="15"/>
  <c r="BB248" i="16"/>
  <c r="BB280" i="16"/>
  <c r="BB282" i="16"/>
  <c r="BB246" i="16"/>
  <c r="AT34" i="16"/>
  <c r="EU13" i="18"/>
  <c r="AT261" i="13"/>
  <c r="BB261" i="13" s="1"/>
  <c r="L79" i="17"/>
  <c r="L78" i="17" s="1"/>
  <c r="S6" i="23"/>
  <c r="S5" i="23" s="1"/>
  <c r="EU58" i="18"/>
  <c r="AF42" i="16"/>
  <c r="AR42" i="16" s="1"/>
  <c r="AT42" i="16" s="1"/>
  <c r="BB42" i="16" s="1"/>
  <c r="AE44" i="16"/>
  <c r="AE40" i="16" s="1"/>
  <c r="AN245" i="13"/>
  <c r="AQ99" i="13"/>
  <c r="BB252" i="22"/>
  <c r="EU83" i="18"/>
  <c r="BB262" i="23"/>
  <c r="AQ209" i="12"/>
  <c r="AQ77" i="12"/>
  <c r="AN244" i="17"/>
  <c r="R150" i="22"/>
  <c r="AT262" i="14"/>
  <c r="BB262" i="14" s="1"/>
  <c r="AB6" i="23"/>
  <c r="AB5" i="23" s="1"/>
  <c r="T79" i="22"/>
  <c r="T78" i="22" s="1"/>
  <c r="M259" i="12"/>
  <c r="AR258" i="12"/>
  <c r="V78" i="18" s="1"/>
  <c r="BB247" i="13"/>
  <c r="BB248" i="22"/>
  <c r="AQ37" i="13"/>
  <c r="AH15" i="18" s="1"/>
  <c r="AT188" i="14"/>
  <c r="BB188" i="14" s="1"/>
  <c r="AS268" i="13"/>
  <c r="AJ81" i="18" s="1"/>
  <c r="AT67" i="12"/>
  <c r="AU67" i="12" s="1"/>
  <c r="AC6" i="12"/>
  <c r="AC5" i="12" s="1"/>
  <c r="T6" i="23"/>
  <c r="T5" i="23" s="1"/>
  <c r="BV88" i="18"/>
  <c r="BV87" i="18" s="1"/>
  <c r="AR284" i="16"/>
  <c r="AQ277" i="12"/>
  <c r="U86" i="18"/>
  <c r="U85" i="18" s="1"/>
  <c r="AU32" i="1"/>
  <c r="BB32" i="1" s="1"/>
  <c r="AX47" i="1"/>
  <c r="AX50" i="1" s="1"/>
  <c r="AU24" i="1"/>
  <c r="BB24" i="1" s="1"/>
  <c r="AU219" i="1"/>
  <c r="BB219" i="1" s="1"/>
  <c r="AU240" i="1"/>
  <c r="BB240" i="1" s="1"/>
  <c r="AU34" i="12"/>
  <c r="BB34" i="12" s="1"/>
  <c r="AU64" i="12"/>
  <c r="BB64" i="12"/>
  <c r="AU36" i="12"/>
  <c r="BB36" i="12"/>
  <c r="AU65" i="12"/>
  <c r="BB65" i="12"/>
  <c r="AU22" i="12"/>
  <c r="BB22" i="12"/>
  <c r="AU219" i="12"/>
  <c r="BB219" i="12"/>
  <c r="AU208" i="12"/>
  <c r="BB208" i="12"/>
  <c r="W83" i="18"/>
  <c r="W82" i="18" s="1"/>
  <c r="AS269" i="12"/>
  <c r="AQ88" i="18"/>
  <c r="AZ284" i="13"/>
  <c r="AU36" i="13"/>
  <c r="BB36" i="13" s="1"/>
  <c r="AU234" i="13"/>
  <c r="BB234" i="13" s="1"/>
  <c r="AU207" i="13"/>
  <c r="BB207" i="13" s="1"/>
  <c r="AU223" i="14"/>
  <c r="BB223" i="14" s="1"/>
  <c r="AU236" i="14"/>
  <c r="BB236" i="14" s="1"/>
  <c r="AU241" i="15"/>
  <c r="BB241" i="15" s="1"/>
  <c r="BI83" i="18"/>
  <c r="AU233" i="15"/>
  <c r="BB233" i="15" s="1"/>
  <c r="AU36" i="16"/>
  <c r="BB36" i="16"/>
  <c r="AU64" i="16"/>
  <c r="BB64" i="16" s="1"/>
  <c r="AU24" i="16"/>
  <c r="BB24" i="16"/>
  <c r="AU205" i="16"/>
  <c r="BB205" i="16" s="1"/>
  <c r="AU219" i="16"/>
  <c r="BB219" i="16" s="1"/>
  <c r="AU242" i="16"/>
  <c r="BB242" i="16" s="1"/>
  <c r="AU223" i="16"/>
  <c r="BB223" i="16"/>
  <c r="AU240" i="16"/>
  <c r="BB240" i="16" s="1"/>
  <c r="AU67" i="17"/>
  <c r="BB67" i="17" s="1"/>
  <c r="AZ41" i="17"/>
  <c r="AZ44" i="17" s="1"/>
  <c r="AZ40" i="17" s="1"/>
  <c r="EM38" i="18"/>
  <c r="EU38" i="18" s="1"/>
  <c r="EU39" i="18"/>
  <c r="AU206" i="17"/>
  <c r="BB206" i="17" s="1"/>
  <c r="AU236" i="17"/>
  <c r="BB236" i="17" s="1"/>
  <c r="CJ86" i="18"/>
  <c r="CJ85" i="18" s="1"/>
  <c r="AS277" i="17"/>
  <c r="AU235" i="17"/>
  <c r="BB235" i="17" s="1"/>
  <c r="AU208" i="17"/>
  <c r="BB208" i="17" s="1"/>
  <c r="CJ83" i="18"/>
  <c r="AS269" i="17"/>
  <c r="AF204" i="1"/>
  <c r="AF209" i="1" s="1"/>
  <c r="AE209" i="1"/>
  <c r="AQ39" i="12"/>
  <c r="U16" i="18" s="1"/>
  <c r="EH16" i="18" s="1"/>
  <c r="AU41" i="12"/>
  <c r="AU44" i="12" s="1"/>
  <c r="AU40" i="12" s="1"/>
  <c r="AQ44" i="12"/>
  <c r="AU64" i="13"/>
  <c r="BB64" i="13"/>
  <c r="AU206" i="13"/>
  <c r="BB206" i="13"/>
  <c r="AU28" i="13"/>
  <c r="BB28" i="13"/>
  <c r="AU216" i="13"/>
  <c r="BB216" i="13"/>
  <c r="AU240" i="13"/>
  <c r="BB240" i="13"/>
  <c r="AU35" i="14"/>
  <c r="BB35" i="14"/>
  <c r="AV83" i="18"/>
  <c r="AU64" i="15"/>
  <c r="BB64" i="15" s="1"/>
  <c r="AU36" i="15"/>
  <c r="BB36" i="15"/>
  <c r="BV86" i="18"/>
  <c r="BV85" i="18" s="1"/>
  <c r="AR277" i="16"/>
  <c r="AU65" i="16"/>
  <c r="BB65" i="16"/>
  <c r="AU23" i="17"/>
  <c r="BB23" i="17" s="1"/>
  <c r="AU228" i="17"/>
  <c r="BB228" i="17" s="1"/>
  <c r="DJ80" i="18"/>
  <c r="AF94" i="1"/>
  <c r="AE99" i="1"/>
  <c r="AQ88" i="12"/>
  <c r="U28" i="18" s="1"/>
  <c r="AU199" i="13"/>
  <c r="AU203" i="13" s="1"/>
  <c r="BB199" i="13"/>
  <c r="CH88" i="18"/>
  <c r="CH87" i="18" s="1"/>
  <c r="AQ284" i="17"/>
  <c r="EM66" i="18"/>
  <c r="EU66" i="18" s="1"/>
  <c r="EU67" i="18"/>
  <c r="AX57" i="1"/>
  <c r="AX60" i="1" s="1"/>
  <c r="O22" i="18" s="1"/>
  <c r="EO22" i="18" s="1"/>
  <c r="EU22" i="18" s="1"/>
  <c r="EM44" i="18"/>
  <c r="EU44" i="18" s="1"/>
  <c r="EU45" i="18"/>
  <c r="AU30" i="17"/>
  <c r="BB30" i="17" s="1"/>
  <c r="EM40" i="18"/>
  <c r="EU40" i="18" s="1"/>
  <c r="EU41" i="18"/>
  <c r="DH88" i="18"/>
  <c r="DH87" i="18" s="1"/>
  <c r="AQ284" i="22"/>
  <c r="AQ94" i="1"/>
  <c r="M99" i="1"/>
  <c r="M93" i="1" s="1"/>
  <c r="AQ160" i="1"/>
  <c r="M162" i="1"/>
  <c r="AQ199" i="1"/>
  <c r="M203" i="1"/>
  <c r="AQ233" i="1"/>
  <c r="AQ237" i="1" s="1"/>
  <c r="M237" i="1"/>
  <c r="M232" i="1" s="1"/>
  <c r="AQ214" i="1"/>
  <c r="AQ220" i="1" s="1"/>
  <c r="M220" i="1"/>
  <c r="M213" i="1" s="1"/>
  <c r="AQ255" i="1"/>
  <c r="AQ258" i="1" s="1"/>
  <c r="H78" i="18" s="1"/>
  <c r="M258" i="1"/>
  <c r="AS94" i="1"/>
  <c r="AS99" i="1" s="1"/>
  <c r="AN99" i="1"/>
  <c r="AN93" i="1" s="1"/>
  <c r="AN78" i="1" s="1"/>
  <c r="AQ80" i="15"/>
  <c r="AT80" i="15" s="1"/>
  <c r="BB80" i="15" s="1"/>
  <c r="M85" i="15"/>
  <c r="AQ160" i="23"/>
  <c r="AQ162" i="23" s="1"/>
  <c r="DU50" i="18" s="1"/>
  <c r="M162" i="23"/>
  <c r="M151" i="23" s="1"/>
  <c r="AS264" i="23"/>
  <c r="AN268" i="23"/>
  <c r="AF272" i="16"/>
  <c r="AR272" i="16" s="1"/>
  <c r="AT272" i="16" s="1"/>
  <c r="BB272" i="16" s="1"/>
  <c r="AE273" i="16"/>
  <c r="AE269" i="16" s="1"/>
  <c r="AR272" i="22"/>
  <c r="AF273" i="22"/>
  <c r="AF269" i="22" s="1"/>
  <c r="AR270" i="23"/>
  <c r="AF273" i="23"/>
  <c r="AF269" i="23" s="1"/>
  <c r="EU27" i="18"/>
  <c r="M259" i="13"/>
  <c r="AU15" i="13"/>
  <c r="AF254" i="13"/>
  <c r="AS283" i="14"/>
  <c r="BB275" i="15"/>
  <c r="BB261" i="16"/>
  <c r="BB252" i="16"/>
  <c r="BB248" i="17"/>
  <c r="BB57" i="1"/>
  <c r="BB41" i="12"/>
  <c r="Y244" i="13"/>
  <c r="AE289" i="13"/>
  <c r="AE284" i="13" s="1"/>
  <c r="AT241" i="13"/>
  <c r="AB150" i="13"/>
  <c r="M244" i="17"/>
  <c r="S244" i="13"/>
  <c r="AS99" i="13"/>
  <c r="BB252" i="14"/>
  <c r="EU48" i="18"/>
  <c r="BA292" i="16"/>
  <c r="L20" i="1"/>
  <c r="AS11" i="12"/>
  <c r="W8" i="18" s="1"/>
  <c r="AU11" i="14"/>
  <c r="AY8" i="18" s="1"/>
  <c r="L79" i="1"/>
  <c r="L78" i="1" s="1"/>
  <c r="AN259" i="23"/>
  <c r="L259" i="1"/>
  <c r="AB244" i="23"/>
  <c r="AF245" i="23"/>
  <c r="AQ203" i="12"/>
  <c r="AB244" i="22"/>
  <c r="AX244" i="1"/>
  <c r="AU31" i="1"/>
  <c r="BB31" i="1" s="1"/>
  <c r="AU23" i="1"/>
  <c r="BB23" i="1" s="1"/>
  <c r="AU34" i="1"/>
  <c r="BB34" i="1" s="1"/>
  <c r="BB228" i="1"/>
  <c r="AU228" i="1"/>
  <c r="AU241" i="1"/>
  <c r="BB241" i="1" s="1"/>
  <c r="BB217" i="1"/>
  <c r="AU217" i="1"/>
  <c r="AU31" i="12"/>
  <c r="BB31" i="12" s="1"/>
  <c r="AU52" i="12"/>
  <c r="AU56" i="12" s="1"/>
  <c r="AU45" i="12" s="1"/>
  <c r="AU217" i="12"/>
  <c r="BB217" i="12" s="1"/>
  <c r="AU228" i="12"/>
  <c r="BB228" i="12" s="1"/>
  <c r="AU206" i="12"/>
  <c r="BB206" i="12" s="1"/>
  <c r="AJ86" i="18"/>
  <c r="AJ85" i="18" s="1"/>
  <c r="AS277" i="13"/>
  <c r="AU23" i="13"/>
  <c r="BB23" i="13" s="1"/>
  <c r="AL88" i="18"/>
  <c r="AU284" i="13"/>
  <c r="AU32" i="13"/>
  <c r="BB32" i="13" s="1"/>
  <c r="AU67" i="13"/>
  <c r="BB67" i="13" s="1"/>
  <c r="AU218" i="14"/>
  <c r="BB218" i="14" s="1"/>
  <c r="AU242" i="14"/>
  <c r="BB242" i="14" s="1"/>
  <c r="AU215" i="14"/>
  <c r="BB215" i="14" s="1"/>
  <c r="AU234" i="14"/>
  <c r="BB234" i="14" s="1"/>
  <c r="AU208" i="14"/>
  <c r="BB208" i="14" s="1"/>
  <c r="AU147" i="15"/>
  <c r="AU149" i="15" s="1"/>
  <c r="AU140" i="15" s="1"/>
  <c r="AU78" i="15" s="1"/>
  <c r="AU21" i="15"/>
  <c r="BB21" i="15" s="1"/>
  <c r="AU30" i="15"/>
  <c r="BB30" i="15" s="1"/>
  <c r="AU217" i="15"/>
  <c r="BB217" i="15" s="1"/>
  <c r="AU236" i="15"/>
  <c r="BB236" i="15" s="1"/>
  <c r="AU207" i="15"/>
  <c r="BB207" i="15" s="1"/>
  <c r="AU227" i="15"/>
  <c r="AU222" i="15"/>
  <c r="BB222" i="15" s="1"/>
  <c r="AU32" i="16"/>
  <c r="BB32" i="16" s="1"/>
  <c r="AU52" i="16"/>
  <c r="AU56" i="16" s="1"/>
  <c r="AU45" i="16" s="1"/>
  <c r="AU28" i="16"/>
  <c r="BB28" i="16" s="1"/>
  <c r="AU241" i="16"/>
  <c r="BB241" i="16" s="1"/>
  <c r="AU218" i="16"/>
  <c r="BB218" i="16" s="1"/>
  <c r="AU235" i="16"/>
  <c r="BB235" i="16" s="1"/>
  <c r="AU21" i="17"/>
  <c r="BB21" i="17" s="1"/>
  <c r="EM10" i="18"/>
  <c r="EU10" i="18" s="1"/>
  <c r="EU11" i="18"/>
  <c r="AU205" i="17"/>
  <c r="BB205" i="17" s="1"/>
  <c r="AU207" i="17"/>
  <c r="BB207" i="17" s="1"/>
  <c r="CW88" i="18"/>
  <c r="CW87" i="18" s="1"/>
  <c r="CW83" i="18"/>
  <c r="CW82" i="18" s="1"/>
  <c r="DJ88" i="18"/>
  <c r="DJ87" i="18" s="1"/>
  <c r="AS284" i="22"/>
  <c r="AU223" i="13"/>
  <c r="BB223" i="13" s="1"/>
  <c r="AU7" i="13"/>
  <c r="AU11" i="13" s="1"/>
  <c r="AL8" i="18" s="1"/>
  <c r="AQ11" i="13"/>
  <c r="AU28" i="14"/>
  <c r="BB28" i="14" s="1"/>
  <c r="AU31" i="14"/>
  <c r="BB31" i="14" s="1"/>
  <c r="AU32" i="15"/>
  <c r="BB32" i="15" s="1"/>
  <c r="AU67" i="15"/>
  <c r="BB67" i="15" s="1"/>
  <c r="AU147" i="16"/>
  <c r="AU149" i="16" s="1"/>
  <c r="AU140" i="16" s="1"/>
  <c r="AU78" i="16" s="1"/>
  <c r="AU52" i="17"/>
  <c r="BB52" i="17" s="1"/>
  <c r="AU65" i="1"/>
  <c r="BB65" i="1" s="1"/>
  <c r="AU242" i="13"/>
  <c r="BB242" i="13" s="1"/>
  <c r="AU219" i="13"/>
  <c r="BB219" i="13" s="1"/>
  <c r="AU208" i="13"/>
  <c r="BB208" i="13" s="1"/>
  <c r="AU67" i="14"/>
  <c r="BB67" i="14" s="1"/>
  <c r="EM85" i="18"/>
  <c r="EU85" i="18" s="1"/>
  <c r="EU86" i="18"/>
  <c r="AU88" i="18"/>
  <c r="AU87" i="18" s="1"/>
  <c r="AQ284" i="14"/>
  <c r="AU66" i="15"/>
  <c r="BB66" i="15" s="1"/>
  <c r="CU86" i="18"/>
  <c r="CU85" i="18" s="1"/>
  <c r="EM36" i="18"/>
  <c r="EU36" i="18" s="1"/>
  <c r="EU37" i="18"/>
  <c r="AU34" i="17"/>
  <c r="BB34" i="17" s="1"/>
  <c r="AF101" i="15"/>
  <c r="AE105" i="15"/>
  <c r="AE100" i="15" s="1"/>
  <c r="AQ101" i="15"/>
  <c r="M105" i="15"/>
  <c r="M100" i="15" s="1"/>
  <c r="AQ194" i="1"/>
  <c r="M196" i="1"/>
  <c r="AQ210" i="1"/>
  <c r="AQ212" i="1" s="1"/>
  <c r="H63" i="18" s="1"/>
  <c r="M212" i="1"/>
  <c r="AS204" i="1"/>
  <c r="AN209" i="1"/>
  <c r="CU28" i="18"/>
  <c r="AQ157" i="17"/>
  <c r="AT157" i="17" s="1"/>
  <c r="BB157" i="17" s="1"/>
  <c r="M159" i="17"/>
  <c r="AQ195" i="17"/>
  <c r="AT195" i="17" s="1"/>
  <c r="BB195" i="17" s="1"/>
  <c r="M196" i="17"/>
  <c r="AQ199" i="17"/>
  <c r="M203" i="17"/>
  <c r="AQ216" i="17"/>
  <c r="M220" i="17"/>
  <c r="M213" i="17" s="1"/>
  <c r="AS86" i="22"/>
  <c r="AS88" i="22" s="1"/>
  <c r="DJ28" i="18" s="1"/>
  <c r="AN88" i="22"/>
  <c r="AQ90" i="23"/>
  <c r="M92" i="23"/>
  <c r="AQ136" i="23"/>
  <c r="AQ139" i="23" s="1"/>
  <c r="M139" i="23"/>
  <c r="M134" i="23" s="1"/>
  <c r="AS217" i="17"/>
  <c r="AN220" i="17"/>
  <c r="AN213" i="17" s="1"/>
  <c r="AR285" i="22"/>
  <c r="AF289" i="22"/>
  <c r="AF284" i="22" s="1"/>
  <c r="AS251" i="22"/>
  <c r="AN254" i="22"/>
  <c r="AN245" i="22" s="1"/>
  <c r="AR279" i="23"/>
  <c r="AF283" i="23"/>
  <c r="AF277" i="23" s="1"/>
  <c r="AS246" i="23"/>
  <c r="AN250" i="23"/>
  <c r="AN245" i="23" s="1"/>
  <c r="AN244" i="23" s="1"/>
  <c r="AN198" i="1"/>
  <c r="AN197" i="1" s="1"/>
  <c r="AT186" i="12"/>
  <c r="BB186" i="12" s="1"/>
  <c r="AT83" i="14"/>
  <c r="BB83" i="14" s="1"/>
  <c r="AS258" i="14"/>
  <c r="AW78" i="18" s="1"/>
  <c r="AU250" i="17"/>
  <c r="EU15" i="18"/>
  <c r="EU61" i="18"/>
  <c r="BB275" i="22"/>
  <c r="BB261" i="23"/>
  <c r="AQ193" i="12"/>
  <c r="T244" i="13"/>
  <c r="EU28" i="18"/>
  <c r="S5" i="22"/>
  <c r="M259" i="14"/>
  <c r="AT233" i="22"/>
  <c r="AT187" i="22"/>
  <c r="BB187" i="22" s="1"/>
  <c r="AT107" i="13"/>
  <c r="BB107" i="13" s="1"/>
  <c r="AN45" i="13"/>
  <c r="AT52" i="22"/>
  <c r="AT104" i="22"/>
  <c r="BB104" i="22" s="1"/>
  <c r="AN151" i="22"/>
  <c r="L5" i="1"/>
  <c r="AY150" i="23"/>
  <c r="AQ56" i="12"/>
  <c r="U21" i="18" s="1"/>
  <c r="AQ11" i="14"/>
  <c r="L198" i="1"/>
  <c r="L197" i="1" s="1"/>
  <c r="AQ220" i="12"/>
  <c r="AS269" i="16"/>
  <c r="AQ268" i="12"/>
  <c r="AQ259" i="12" s="1"/>
  <c r="EU76" i="18"/>
  <c r="AM259" i="17"/>
  <c r="AU22" i="1"/>
  <c r="BB22" i="1" s="1"/>
  <c r="AU36" i="1"/>
  <c r="BB36" i="1" s="1"/>
  <c r="AU205" i="1"/>
  <c r="AU209" i="1" s="1"/>
  <c r="AX13" i="12"/>
  <c r="AX15" i="12" s="1"/>
  <c r="AU32" i="12"/>
  <c r="BB32" i="12" s="1"/>
  <c r="AU207" i="12"/>
  <c r="BB207" i="12" s="1"/>
  <c r="AU241" i="12"/>
  <c r="BB241" i="12" s="1"/>
  <c r="W86" i="18"/>
  <c r="W85" i="18" s="1"/>
  <c r="AS277" i="12"/>
  <c r="AJ83" i="18"/>
  <c r="AJ82" i="18" s="1"/>
  <c r="AS269" i="13"/>
  <c r="AU30" i="13"/>
  <c r="BB30" i="13" s="1"/>
  <c r="AU35" i="13"/>
  <c r="BB35" i="13" s="1"/>
  <c r="AH80" i="18"/>
  <c r="AZ41" i="13"/>
  <c r="AZ44" i="13" s="1"/>
  <c r="AZ40" i="13" s="1"/>
  <c r="AU65" i="13"/>
  <c r="BB65" i="13" s="1"/>
  <c r="AU205" i="13"/>
  <c r="BB205" i="13" s="1"/>
  <c r="AY80" i="18"/>
  <c r="BB94" i="14"/>
  <c r="AU217" i="14"/>
  <c r="BB217" i="14" s="1"/>
  <c r="AU235" i="14"/>
  <c r="BB235" i="14" s="1"/>
  <c r="AU218" i="15"/>
  <c r="BB218" i="15" s="1"/>
  <c r="EM87" i="18"/>
  <c r="AU208" i="15"/>
  <c r="BB208" i="15" s="1"/>
  <c r="AU27" i="16"/>
  <c r="BB27" i="16" s="1"/>
  <c r="AU67" i="16"/>
  <c r="BB67" i="16" s="1"/>
  <c r="AU215" i="16"/>
  <c r="BB215" i="16" s="1"/>
  <c r="AU236" i="16"/>
  <c r="BB236" i="16" s="1"/>
  <c r="AU217" i="16"/>
  <c r="BB217" i="16" s="1"/>
  <c r="AU234" i="16"/>
  <c r="BB234" i="16" s="1"/>
  <c r="AU208" i="16"/>
  <c r="BB208" i="16" s="1"/>
  <c r="AU26" i="17"/>
  <c r="AU28" i="17"/>
  <c r="BB28" i="17" s="1"/>
  <c r="EM34" i="18"/>
  <c r="EU34" i="18" s="1"/>
  <c r="EU35" i="18"/>
  <c r="AU219" i="17"/>
  <c r="BB219" i="17" s="1"/>
  <c r="AU242" i="17"/>
  <c r="BB242" i="17" s="1"/>
  <c r="AU227" i="17"/>
  <c r="AU231" i="17" s="1"/>
  <c r="AU226" i="17" s="1"/>
  <c r="CJ80" i="18"/>
  <c r="AS259" i="17"/>
  <c r="DW80" i="18"/>
  <c r="AU67" i="1"/>
  <c r="BB67" i="1" s="1"/>
  <c r="AU52" i="15"/>
  <c r="BB52" i="15" s="1"/>
  <c r="AU28" i="15"/>
  <c r="BB28" i="15" s="1"/>
  <c r="BW86" i="18"/>
  <c r="BW85" i="18" s="1"/>
  <c r="AS277" i="16"/>
  <c r="AU86" i="18"/>
  <c r="AU85" i="18" s="1"/>
  <c r="AQ277" i="14"/>
  <c r="AU206" i="15"/>
  <c r="BB206" i="15" s="1"/>
  <c r="AU35" i="16"/>
  <c r="BB35" i="16" s="1"/>
  <c r="BU83" i="18"/>
  <c r="BU82" i="18" s="1"/>
  <c r="AQ269" i="16"/>
  <c r="AU36" i="17"/>
  <c r="BB36" i="17" s="1"/>
  <c r="AU66" i="17"/>
  <c r="BB66" i="17" s="1"/>
  <c r="EM68" i="18"/>
  <c r="EU68" i="18" s="1"/>
  <c r="EU69" i="18"/>
  <c r="AU24" i="14"/>
  <c r="BB24" i="14" s="1"/>
  <c r="AU34" i="15"/>
  <c r="BB34" i="15" s="1"/>
  <c r="AU242" i="15"/>
  <c r="BB242" i="15" s="1"/>
  <c r="DH86" i="18"/>
  <c r="DH85" i="18" s="1"/>
  <c r="AQ277" i="22"/>
  <c r="AQ191" i="1"/>
  <c r="AQ193" i="1" s="1"/>
  <c r="H57" i="18" s="1"/>
  <c r="M193" i="1"/>
  <c r="M182" i="1" s="1"/>
  <c r="AQ227" i="1"/>
  <c r="AQ231" i="1" s="1"/>
  <c r="M231" i="1"/>
  <c r="M226" i="1" s="1"/>
  <c r="AQ239" i="1"/>
  <c r="AQ243" i="1" s="1"/>
  <c r="M243" i="1"/>
  <c r="M238" i="1" s="1"/>
  <c r="AQ278" i="1"/>
  <c r="M283" i="1"/>
  <c r="M277" i="1" s="1"/>
  <c r="AQ246" i="1"/>
  <c r="AQ250" i="1" s="1"/>
  <c r="M250" i="1"/>
  <c r="M245" i="1" s="1"/>
  <c r="EM72" i="18"/>
  <c r="EU72" i="18" s="1"/>
  <c r="EU73" i="18"/>
  <c r="AS155" i="17"/>
  <c r="AS156" i="17" s="1"/>
  <c r="AN156" i="17"/>
  <c r="AN151" i="17" s="1"/>
  <c r="AQ166" i="23"/>
  <c r="M168" i="23"/>
  <c r="M163" i="23" s="1"/>
  <c r="AR261" i="17"/>
  <c r="AF263" i="17"/>
  <c r="AQ245" i="12"/>
  <c r="AN150" i="14"/>
  <c r="BO74" i="18"/>
  <c r="BB253" i="16"/>
  <c r="EU16" i="18"/>
  <c r="BB275" i="17"/>
  <c r="BB282" i="17"/>
  <c r="AQ159" i="17"/>
  <c r="CH49" i="18" s="1"/>
  <c r="AT205" i="22"/>
  <c r="BB282" i="23"/>
  <c r="BB272" i="23"/>
  <c r="BB255" i="23"/>
  <c r="BB247" i="23"/>
  <c r="AN198" i="23"/>
  <c r="AN197" i="23" s="1"/>
  <c r="M20" i="1"/>
  <c r="M5" i="1" s="1"/>
  <c r="L269" i="13"/>
  <c r="L244" i="13" s="1"/>
  <c r="AQ56" i="13"/>
  <c r="AH21" i="18" s="1"/>
  <c r="AQ85" i="13"/>
  <c r="R244" i="13"/>
  <c r="M79" i="15"/>
  <c r="AE79" i="15"/>
  <c r="AM150" i="17"/>
  <c r="AN45" i="17"/>
  <c r="M78" i="17"/>
  <c r="AE250" i="13"/>
  <c r="AT68" i="13"/>
  <c r="BB68" i="13" s="1"/>
  <c r="AN245" i="16"/>
  <c r="AN244" i="16" s="1"/>
  <c r="M182" i="17"/>
  <c r="AN79" i="22"/>
  <c r="AN78" i="22" s="1"/>
  <c r="S150" i="23"/>
  <c r="EU52" i="18"/>
  <c r="L45" i="16"/>
  <c r="AV292" i="12"/>
  <c r="Y197" i="13"/>
  <c r="AM244" i="17"/>
  <c r="AW150" i="17"/>
  <c r="L269" i="1"/>
  <c r="AJ244" i="23"/>
  <c r="AF264" i="15"/>
  <c r="AR264" i="15" s="1"/>
  <c r="AT264" i="15" s="1"/>
  <c r="BB264" i="15" s="1"/>
  <c r="BA244" i="1"/>
  <c r="BA292" i="1" s="1"/>
  <c r="R91" i="18" s="1"/>
  <c r="AN168" i="17"/>
  <c r="AN163" i="17" s="1"/>
  <c r="AU244" i="1"/>
  <c r="AU35" i="1"/>
  <c r="BB35" i="1" s="1"/>
  <c r="AU28" i="1"/>
  <c r="AU29" i="1" s="1"/>
  <c r="AU218" i="1"/>
  <c r="BB218" i="1" s="1"/>
  <c r="AU223" i="1"/>
  <c r="BB223" i="1" s="1"/>
  <c r="AU35" i="12"/>
  <c r="BB35" i="12" s="1"/>
  <c r="AU21" i="12"/>
  <c r="BB21" i="12" s="1"/>
  <c r="AU28" i="12"/>
  <c r="AU29" i="12" s="1"/>
  <c r="BB7" i="12"/>
  <c r="AU210" i="12"/>
  <c r="AU212" i="12" s="1"/>
  <c r="AQ212" i="12"/>
  <c r="W88" i="18"/>
  <c r="W87" i="18" s="1"/>
  <c r="AS284" i="12"/>
  <c r="AJ88" i="18"/>
  <c r="AJ87" i="18" s="1"/>
  <c r="AS284" i="13"/>
  <c r="AU24" i="13"/>
  <c r="BB24" i="13" s="1"/>
  <c r="AU217" i="13"/>
  <c r="BB217" i="13" s="1"/>
  <c r="AW88" i="18"/>
  <c r="AW87" i="18" s="1"/>
  <c r="AS284" i="14"/>
  <c r="AU205" i="14"/>
  <c r="BB205" i="14" s="1"/>
  <c r="AU228" i="14"/>
  <c r="BB228" i="14" s="1"/>
  <c r="AU219" i="14"/>
  <c r="BB219" i="14" s="1"/>
  <c r="AU241" i="14"/>
  <c r="BB241" i="14" s="1"/>
  <c r="AU207" i="14"/>
  <c r="BB207" i="14" s="1"/>
  <c r="AU26" i="15"/>
  <c r="BB26" i="15" s="1"/>
  <c r="AZ41" i="15"/>
  <c r="AZ44" i="15" s="1"/>
  <c r="AZ40" i="15" s="1"/>
  <c r="AU219" i="15"/>
  <c r="BB219" i="15" s="1"/>
  <c r="AU68" i="16"/>
  <c r="BB68" i="16" s="1"/>
  <c r="AU23" i="16"/>
  <c r="BB23" i="16" s="1"/>
  <c r="AU34" i="16"/>
  <c r="BB34" i="16" s="1"/>
  <c r="AU66" i="16"/>
  <c r="BB66" i="16" s="1"/>
  <c r="EM12" i="18"/>
  <c r="EU14" i="18"/>
  <c r="AU206" i="16"/>
  <c r="BB206" i="16" s="1"/>
  <c r="AU228" i="16"/>
  <c r="BB228" i="16" s="1"/>
  <c r="AU199" i="16"/>
  <c r="AU203" i="16" s="1"/>
  <c r="AU207" i="16"/>
  <c r="BB207" i="16" s="1"/>
  <c r="AU147" i="17"/>
  <c r="AU149" i="17" s="1"/>
  <c r="AU140" i="17" s="1"/>
  <c r="AU78" i="17" s="1"/>
  <c r="AU22" i="17"/>
  <c r="BB22" i="17" s="1"/>
  <c r="AU241" i="17"/>
  <c r="BB241" i="17" s="1"/>
  <c r="CJ88" i="18"/>
  <c r="CJ87" i="18" s="1"/>
  <c r="AS284" i="17"/>
  <c r="AU218" i="17"/>
  <c r="BB218" i="17" s="1"/>
  <c r="CW86" i="18"/>
  <c r="CW85" i="18" s="1"/>
  <c r="CW80" i="18"/>
  <c r="DW88" i="18"/>
  <c r="DW87" i="18" s="1"/>
  <c r="AS284" i="23"/>
  <c r="DW86" i="18"/>
  <c r="DW85" i="18" s="1"/>
  <c r="AS277" i="23"/>
  <c r="AU75" i="1"/>
  <c r="BB75" i="1" s="1"/>
  <c r="AU52" i="14"/>
  <c r="AU56" i="14" s="1"/>
  <c r="AU45" i="14" s="1"/>
  <c r="AU27" i="15"/>
  <c r="BB27" i="15" s="1"/>
  <c r="AU235" i="15"/>
  <c r="BB235" i="15" s="1"/>
  <c r="BJ83" i="18"/>
  <c r="BJ82" i="18" s="1"/>
  <c r="AS269" i="15"/>
  <c r="BH86" i="18"/>
  <c r="BH85" i="18" s="1"/>
  <c r="AQ277" i="15"/>
  <c r="AU228" i="15"/>
  <c r="BB228" i="15" s="1"/>
  <c r="BW88" i="18"/>
  <c r="BW87" i="18" s="1"/>
  <c r="AS284" i="16"/>
  <c r="AU240" i="17"/>
  <c r="BB240" i="17" s="1"/>
  <c r="CH86" i="18"/>
  <c r="CH85" i="18" s="1"/>
  <c r="AQ277" i="17"/>
  <c r="AU27" i="17"/>
  <c r="BB27" i="17" s="1"/>
  <c r="DJ83" i="18"/>
  <c r="AS269" i="22"/>
  <c r="DH83" i="18"/>
  <c r="DH82" i="18" s="1"/>
  <c r="AQ269" i="22"/>
  <c r="DW83" i="18"/>
  <c r="AS269" i="23"/>
  <c r="AU223" i="12"/>
  <c r="BB223" i="12" s="1"/>
  <c r="AU218" i="12"/>
  <c r="BB218" i="12" s="1"/>
  <c r="AU34" i="13"/>
  <c r="BB34" i="13" s="1"/>
  <c r="AU64" i="14"/>
  <c r="BB64" i="14" s="1"/>
  <c r="AW83" i="18"/>
  <c r="AS269" i="14"/>
  <c r="BH88" i="18"/>
  <c r="BH87" i="18" s="1"/>
  <c r="AQ284" i="15"/>
  <c r="AU22" i="15"/>
  <c r="BB22" i="15" s="1"/>
  <c r="AU240" i="15"/>
  <c r="BB240" i="15" s="1"/>
  <c r="AU31" i="16"/>
  <c r="BB31" i="16" s="1"/>
  <c r="BW80" i="18"/>
  <c r="BW79" i="18" s="1"/>
  <c r="AS259" i="16"/>
  <c r="CH83" i="18"/>
  <c r="CH82" i="18" s="1"/>
  <c r="AQ269" i="17"/>
  <c r="EM70" i="18"/>
  <c r="EU70" i="18" s="1"/>
  <c r="EU71" i="18"/>
  <c r="AU218" i="13"/>
  <c r="BB218" i="13" s="1"/>
  <c r="AU23" i="15"/>
  <c r="BB23" i="15" s="1"/>
  <c r="BJ80" i="18"/>
  <c r="AS259" i="15"/>
  <c r="AQ152" i="1"/>
  <c r="M156" i="1"/>
  <c r="M151" i="1" s="1"/>
  <c r="AQ204" i="1"/>
  <c r="AQ209" i="1" s="1"/>
  <c r="H62" i="18" s="1"/>
  <c r="M209" i="1"/>
  <c r="AQ222" i="1"/>
  <c r="AQ225" i="1" s="1"/>
  <c r="M225" i="1"/>
  <c r="M221" i="1" s="1"/>
  <c r="AQ152" i="17"/>
  <c r="M156" i="17"/>
  <c r="M151" i="17" s="1"/>
  <c r="M150" i="17" s="1"/>
  <c r="CW57" i="18"/>
  <c r="AQ210" i="17"/>
  <c r="M212" i="17"/>
  <c r="AQ285" i="1"/>
  <c r="M289" i="1"/>
  <c r="M284" i="1" s="1"/>
  <c r="AF256" i="17"/>
  <c r="AR256" i="17" s="1"/>
  <c r="AT256" i="17" s="1"/>
  <c r="AE258" i="17"/>
  <c r="AQ86" i="23"/>
  <c r="AQ88" i="23" s="1"/>
  <c r="DU28" i="18" s="1"/>
  <c r="M88" i="23"/>
  <c r="M79" i="23" s="1"/>
  <c r="M78" i="23" s="1"/>
  <c r="AS211" i="17"/>
  <c r="AN212" i="17"/>
  <c r="AN198" i="17" s="1"/>
  <c r="AS223" i="17"/>
  <c r="AN225" i="17"/>
  <c r="AN221" i="17" s="1"/>
  <c r="AS234" i="17"/>
  <c r="AN237" i="17"/>
  <c r="AN232" i="17" s="1"/>
  <c r="AQ260" i="1"/>
  <c r="AQ263" i="1" s="1"/>
  <c r="M263" i="1"/>
  <c r="M259" i="1" s="1"/>
  <c r="AS87" i="16"/>
  <c r="AS88" i="16" s="1"/>
  <c r="BW28" i="18" s="1"/>
  <c r="AN88" i="16"/>
  <c r="AN79" i="16" s="1"/>
  <c r="AN78" i="16" s="1"/>
  <c r="AR279" i="22"/>
  <c r="AF283" i="22"/>
  <c r="AF277" i="22" s="1"/>
  <c r="AS266" i="22"/>
  <c r="AN268" i="22"/>
  <c r="AN259" i="22" s="1"/>
  <c r="AS281" i="22"/>
  <c r="AN283" i="22"/>
  <c r="AN277" i="22" s="1"/>
  <c r="AR285" i="23"/>
  <c r="AF289" i="23"/>
  <c r="AF284" i="23" s="1"/>
  <c r="EM64" i="18"/>
  <c r="EU64" i="18" s="1"/>
  <c r="EU65" i="18"/>
  <c r="AQ231" i="12"/>
  <c r="U57" i="18"/>
  <c r="AQ243" i="12"/>
  <c r="AS263" i="13"/>
  <c r="M269" i="13"/>
  <c r="AU254" i="16"/>
  <c r="BY77" i="18" s="1"/>
  <c r="BB262" i="16"/>
  <c r="CO25" i="18"/>
  <c r="CM25" i="18"/>
  <c r="CM90" i="18" s="1"/>
  <c r="CM91" i="18" s="1"/>
  <c r="CQ25" i="18"/>
  <c r="DO90" i="18"/>
  <c r="DO91" i="18" s="1"/>
  <c r="AT192" i="22"/>
  <c r="BB281" i="23"/>
  <c r="AU250" i="23"/>
  <c r="BB271" i="23"/>
  <c r="BB260" i="23"/>
  <c r="BB248" i="23"/>
  <c r="AQ225" i="12"/>
  <c r="M45" i="12"/>
  <c r="AN5" i="13"/>
  <c r="M20" i="16"/>
  <c r="AN45" i="16"/>
  <c r="EU57" i="18"/>
  <c r="EU54" i="18"/>
  <c r="AT72" i="13"/>
  <c r="BB72" i="13" s="1"/>
  <c r="AT121" i="13"/>
  <c r="BB121" i="13" s="1"/>
  <c r="M244" i="14"/>
  <c r="AN245" i="15"/>
  <c r="AN244" i="15" s="1"/>
  <c r="AR212" i="22"/>
  <c r="DI63" i="18" s="1"/>
  <c r="EU63" i="18"/>
  <c r="AT86" i="23"/>
  <c r="BB86" i="23" s="1"/>
  <c r="AT223" i="22"/>
  <c r="AT124" i="22"/>
  <c r="BB124" i="22" s="1"/>
  <c r="AB150" i="22"/>
  <c r="AF258" i="13"/>
  <c r="AQ209" i="13"/>
  <c r="AH62" i="18" s="1"/>
  <c r="AV292" i="1"/>
  <c r="AY150" i="17"/>
  <c r="AQ15" i="12"/>
  <c r="U9" i="18" s="1"/>
  <c r="BA150" i="17"/>
  <c r="BA292" i="17" s="1"/>
  <c r="L45" i="23"/>
  <c r="L5" i="23" s="1"/>
  <c r="L245" i="1"/>
  <c r="L244" i="1" s="1"/>
  <c r="EU78" i="18"/>
  <c r="AM259" i="22"/>
  <c r="AM244" i="22" s="1"/>
  <c r="AW244" i="1"/>
  <c r="L163" i="1"/>
  <c r="L150" i="1" s="1"/>
  <c r="AQ269" i="15"/>
  <c r="AN269" i="22"/>
  <c r="DU81" i="18"/>
  <c r="DU79" i="18" s="1"/>
  <c r="AQ259" i="23"/>
  <c r="DH81" i="18"/>
  <c r="AQ259" i="22"/>
  <c r="CU81" i="18"/>
  <c r="CU79" i="18" s="1"/>
  <c r="CU74" i="18" s="1"/>
  <c r="CH81" i="18"/>
  <c r="CH79" i="18" s="1"/>
  <c r="AQ259" i="17"/>
  <c r="BU81" i="18"/>
  <c r="BU79" i="18" s="1"/>
  <c r="AQ259" i="16"/>
  <c r="BH81" i="18"/>
  <c r="AQ259" i="15"/>
  <c r="AW80" i="18"/>
  <c r="AN259" i="13"/>
  <c r="AN244" i="13" s="1"/>
  <c r="BB262" i="13"/>
  <c r="BB263" i="13"/>
  <c r="AJ80" i="18"/>
  <c r="AS259" i="13"/>
  <c r="EN79" i="18"/>
  <c r="EU80" i="18"/>
  <c r="W80" i="18"/>
  <c r="AS259" i="12"/>
  <c r="AU24" i="23"/>
  <c r="BB24" i="23"/>
  <c r="AU68" i="23"/>
  <c r="BB68" i="23" s="1"/>
  <c r="AU23" i="23"/>
  <c r="BB23" i="23"/>
  <c r="AU32" i="23"/>
  <c r="BB32" i="23" s="1"/>
  <c r="AU36" i="23"/>
  <c r="BB36" i="23"/>
  <c r="AU67" i="23"/>
  <c r="BB67" i="23" s="1"/>
  <c r="AU147" i="23"/>
  <c r="AU149" i="23" s="1"/>
  <c r="AU140" i="23" s="1"/>
  <c r="AU78" i="23" s="1"/>
  <c r="BB147" i="23"/>
  <c r="AU218" i="23"/>
  <c r="BB218" i="23" s="1"/>
  <c r="AU233" i="23"/>
  <c r="BB233" i="23" s="1"/>
  <c r="AU223" i="23"/>
  <c r="BB223" i="23"/>
  <c r="AU235" i="23"/>
  <c r="BB235" i="23" s="1"/>
  <c r="AU206" i="23"/>
  <c r="BB206" i="23"/>
  <c r="AU217" i="23"/>
  <c r="BB217" i="23" s="1"/>
  <c r="AU208" i="23"/>
  <c r="BB208" i="23" s="1"/>
  <c r="AU28" i="23"/>
  <c r="BB28" i="23" s="1"/>
  <c r="AU35" i="23"/>
  <c r="BB35" i="23" s="1"/>
  <c r="AU219" i="23"/>
  <c r="BB219" i="23" s="1"/>
  <c r="AU34" i="23"/>
  <c r="BB34" i="23" s="1"/>
  <c r="AU64" i="23"/>
  <c r="BB64" i="23" s="1"/>
  <c r="AU27" i="23"/>
  <c r="BB27" i="23" s="1"/>
  <c r="AU66" i="23"/>
  <c r="BB66" i="23" s="1"/>
  <c r="AU38" i="23"/>
  <c r="AU39" i="23" s="1"/>
  <c r="AU242" i="23"/>
  <c r="BB242" i="23" s="1"/>
  <c r="AU228" i="23"/>
  <c r="BB228" i="23" s="1"/>
  <c r="AU240" i="23"/>
  <c r="BB240" i="23" s="1"/>
  <c r="AU215" i="23"/>
  <c r="BB215" i="23" s="1"/>
  <c r="DV79" i="18"/>
  <c r="AU207" i="23"/>
  <c r="BB207" i="23" s="1"/>
  <c r="AU52" i="23"/>
  <c r="AU56" i="23" s="1"/>
  <c r="AU192" i="23"/>
  <c r="AU193" i="23" s="1"/>
  <c r="AU182" i="23" s="1"/>
  <c r="AU150" i="23" s="1"/>
  <c r="BB263" i="23"/>
  <c r="AR259" i="23"/>
  <c r="AU206" i="22"/>
  <c r="BB206" i="22" s="1"/>
  <c r="AU240" i="22"/>
  <c r="BB240" i="22" s="1"/>
  <c r="AU223" i="22"/>
  <c r="BB223" i="22" s="1"/>
  <c r="AU23" i="22"/>
  <c r="BB23" i="22" s="1"/>
  <c r="AU32" i="22"/>
  <c r="BB32" i="22" s="1"/>
  <c r="AU67" i="22"/>
  <c r="BB67" i="22" s="1"/>
  <c r="AU24" i="22"/>
  <c r="BB24" i="22" s="1"/>
  <c r="AU35" i="22"/>
  <c r="BB35" i="22" s="1"/>
  <c r="AU64" i="22"/>
  <c r="BB64" i="22" s="1"/>
  <c r="AU30" i="22"/>
  <c r="BB30" i="22" s="1"/>
  <c r="AU192" i="22"/>
  <c r="AU193" i="22" s="1"/>
  <c r="AU182" i="22" s="1"/>
  <c r="AU150" i="22" s="1"/>
  <c r="AU228" i="22"/>
  <c r="BB228" i="22" s="1"/>
  <c r="AU236" i="22"/>
  <c r="BB236" i="22" s="1"/>
  <c r="AU215" i="22"/>
  <c r="BB215" i="22" s="1"/>
  <c r="AU219" i="22"/>
  <c r="BB219" i="22" s="1"/>
  <c r="AU242" i="22"/>
  <c r="BB242" i="22" s="1"/>
  <c r="AU208" i="22"/>
  <c r="BB208" i="22" s="1"/>
  <c r="AU147" i="22"/>
  <c r="AU149" i="22" s="1"/>
  <c r="AU140" i="22" s="1"/>
  <c r="AU78" i="22" s="1"/>
  <c r="DI80" i="18"/>
  <c r="DI79" i="18" s="1"/>
  <c r="AR259" i="22"/>
  <c r="AU233" i="22"/>
  <c r="BB233" i="22" s="1"/>
  <c r="AU52" i="22"/>
  <c r="BB52" i="22" s="1"/>
  <c r="AU27" i="22"/>
  <c r="BB27" i="22" s="1"/>
  <c r="AU36" i="22"/>
  <c r="BB36" i="22" s="1"/>
  <c r="AU66" i="22"/>
  <c r="BB66" i="22" s="1"/>
  <c r="AU34" i="22"/>
  <c r="BB34" i="22" s="1"/>
  <c r="AU205" i="22"/>
  <c r="BB205" i="22" s="1"/>
  <c r="AU218" i="22"/>
  <c r="BB218" i="22" s="1"/>
  <c r="AU234" i="22"/>
  <c r="BB234" i="22" s="1"/>
  <c r="AU217" i="22"/>
  <c r="BB217" i="22" s="1"/>
  <c r="AU241" i="22"/>
  <c r="BB241" i="22" s="1"/>
  <c r="AU207" i="22"/>
  <c r="BB207" i="22" s="1"/>
  <c r="AU68" i="22"/>
  <c r="BB68" i="22" s="1"/>
  <c r="AE209" i="22"/>
  <c r="AE198" i="22" s="1"/>
  <c r="AT65" i="22"/>
  <c r="AF44" i="22"/>
  <c r="AF40" i="22" s="1"/>
  <c r="AT176" i="22"/>
  <c r="BB176" i="22" s="1"/>
  <c r="BB263" i="22"/>
  <c r="BB250" i="22"/>
  <c r="AR237" i="22"/>
  <c r="AE243" i="22"/>
  <c r="AE238" i="22" s="1"/>
  <c r="AF204" i="22"/>
  <c r="AF209" i="22" s="1"/>
  <c r="AR41" i="22"/>
  <c r="AT54" i="22"/>
  <c r="BB54" i="22" s="1"/>
  <c r="AT138" i="22"/>
  <c r="BB138" i="22" s="1"/>
  <c r="AR193" i="22"/>
  <c r="DI57" i="18" s="1"/>
  <c r="AR38" i="22"/>
  <c r="AR39" i="22" s="1"/>
  <c r="DI16" i="18" s="1"/>
  <c r="AT167" i="22"/>
  <c r="BB167" i="22" s="1"/>
  <c r="AT128" i="16"/>
  <c r="BB128" i="16" s="1"/>
  <c r="EU81" i="18"/>
  <c r="P91" i="18"/>
  <c r="EU29" i="18"/>
  <c r="EU49" i="18"/>
  <c r="M91" i="18"/>
  <c r="M78" i="1"/>
  <c r="EN17" i="18"/>
  <c r="EM55" i="18"/>
  <c r="EM42" i="18"/>
  <c r="EU42" i="18" s="1"/>
  <c r="EU43" i="18"/>
  <c r="EL42" i="18"/>
  <c r="EL32" i="18"/>
  <c r="EM32" i="18"/>
  <c r="EU32" i="18" s="1"/>
  <c r="EU33" i="18"/>
  <c r="EL30" i="18"/>
  <c r="EM30" i="18"/>
  <c r="EU30" i="18" s="1"/>
  <c r="EU31" i="18"/>
  <c r="EM7" i="18"/>
  <c r="EU8" i="18"/>
  <c r="EL56" i="18"/>
  <c r="AY55" i="18"/>
  <c r="AY46" i="18" s="1"/>
  <c r="EP56" i="18"/>
  <c r="EP55" i="18" s="1"/>
  <c r="BC55" i="18"/>
  <c r="BC46" i="18" s="1"/>
  <c r="U82" i="18"/>
  <c r="AJ79" i="18"/>
  <c r="BM74" i="18"/>
  <c r="CJ79" i="18"/>
  <c r="CJ82" i="18"/>
  <c r="EO79" i="18"/>
  <c r="EM82" i="18"/>
  <c r="EQ82" i="18"/>
  <c r="DW82" i="18"/>
  <c r="AL46" i="18"/>
  <c r="AW82" i="18"/>
  <c r="EN82" i="18"/>
  <c r="DN6" i="18"/>
  <c r="Z91" i="18"/>
  <c r="BJ79" i="18"/>
  <c r="DH79" i="18"/>
  <c r="EN56" i="18"/>
  <c r="EN55" i="18" s="1"/>
  <c r="BA55" i="18"/>
  <c r="ER56" i="18"/>
  <c r="ER55" i="18" s="1"/>
  <c r="BE55" i="18"/>
  <c r="BE46" i="18" s="1"/>
  <c r="W79" i="18"/>
  <c r="BM90" i="18"/>
  <c r="BM91" i="18" s="1"/>
  <c r="CW79" i="18"/>
  <c r="EM79" i="18"/>
  <c r="AN90" i="18"/>
  <c r="AN91" i="18" s="1"/>
  <c r="BA46" i="18"/>
  <c r="DJ82" i="18"/>
  <c r="Y7" i="18"/>
  <c r="DR46" i="18"/>
  <c r="DR90" i="18" s="1"/>
  <c r="DR91" i="18" s="1"/>
  <c r="BH79" i="18"/>
  <c r="AM90" i="18"/>
  <c r="AM91" i="18" s="1"/>
  <c r="AU75" i="23"/>
  <c r="BB75" i="23" s="1"/>
  <c r="AU46" i="23"/>
  <c r="AU50" i="23" s="1"/>
  <c r="AU9" i="23"/>
  <c r="AU11" i="23" s="1"/>
  <c r="DY8" i="18" s="1"/>
  <c r="AC5" i="23"/>
  <c r="AU75" i="22"/>
  <c r="BB75" i="22" s="1"/>
  <c r="AR203" i="22"/>
  <c r="AU56" i="22"/>
  <c r="AU45" i="22"/>
  <c r="AQ212" i="22"/>
  <c r="DH63" i="18" s="1"/>
  <c r="AU211" i="22"/>
  <c r="AU212" i="22" s="1"/>
  <c r="EJ22" i="18"/>
  <c r="AU220" i="22"/>
  <c r="AU213" i="22" s="1"/>
  <c r="EO26" i="18"/>
  <c r="EO25" i="18" s="1"/>
  <c r="EQ26" i="18"/>
  <c r="AT255" i="22"/>
  <c r="BB255" i="22" s="1"/>
  <c r="AU253" i="22"/>
  <c r="BB253" i="22" s="1"/>
  <c r="AT28" i="22"/>
  <c r="AQ77" i="22"/>
  <c r="AT10" i="22"/>
  <c r="BB10" i="22" s="1"/>
  <c r="AT18" i="22"/>
  <c r="BB18" i="22" s="1"/>
  <c r="AQ50" i="22"/>
  <c r="AT73" i="22"/>
  <c r="BB73" i="22" s="1"/>
  <c r="AT165" i="22"/>
  <c r="BB165" i="22" s="1"/>
  <c r="AQ168" i="22"/>
  <c r="AQ178" i="22"/>
  <c r="DH53" i="18" s="1"/>
  <c r="AQ190" i="22"/>
  <c r="AT90" i="22"/>
  <c r="BB90" i="22" s="1"/>
  <c r="M182" i="22"/>
  <c r="AN150" i="22"/>
  <c r="AE237" i="22"/>
  <c r="AE232" i="22" s="1"/>
  <c r="DJ62" i="18"/>
  <c r="ER12" i="18"/>
  <c r="M56" i="22"/>
  <c r="U150" i="22"/>
  <c r="EQ47" i="18"/>
  <c r="L79" i="22"/>
  <c r="L78" i="22" s="1"/>
  <c r="L151" i="22"/>
  <c r="ER19" i="18"/>
  <c r="CW62" i="18"/>
  <c r="AU75" i="17"/>
  <c r="BB75" i="17" s="1"/>
  <c r="AU68" i="17"/>
  <c r="BB68" i="17" s="1"/>
  <c r="AU32" i="17"/>
  <c r="BB32" i="17" s="1"/>
  <c r="AU64" i="17"/>
  <c r="BB64" i="17" s="1"/>
  <c r="AR17" i="17"/>
  <c r="AF19" i="17"/>
  <c r="AF16" i="17" s="1"/>
  <c r="AT184" i="17"/>
  <c r="BB184" i="17" s="1"/>
  <c r="AM5" i="17"/>
  <c r="AU56" i="17"/>
  <c r="AE209" i="17"/>
  <c r="AT70" i="17"/>
  <c r="BB70" i="17" s="1"/>
  <c r="AU35" i="17"/>
  <c r="BB35" i="17" s="1"/>
  <c r="AU46" i="17"/>
  <c r="AU50" i="17" s="1"/>
  <c r="AU45" i="17" s="1"/>
  <c r="AS85" i="17"/>
  <c r="AT128" i="17"/>
  <c r="BB128" i="17" s="1"/>
  <c r="AT82" i="17"/>
  <c r="BB82" i="17" s="1"/>
  <c r="AS122" i="17"/>
  <c r="AF209" i="17"/>
  <c r="AU209" i="17"/>
  <c r="AU75" i="16"/>
  <c r="BB75" i="16" s="1"/>
  <c r="AU209" i="16"/>
  <c r="AU198" i="16" s="1"/>
  <c r="AU7" i="16"/>
  <c r="AU11" i="16" s="1"/>
  <c r="BY8" i="18" s="1"/>
  <c r="AS11" i="16"/>
  <c r="AQ105" i="16"/>
  <c r="AE209" i="16"/>
  <c r="AY77" i="16"/>
  <c r="AY61" i="16" s="1"/>
  <c r="AV292" i="16"/>
  <c r="AU75" i="15"/>
  <c r="BB75" i="15" s="1"/>
  <c r="AU68" i="15"/>
  <c r="BB68" i="15" s="1"/>
  <c r="AU46" i="15"/>
  <c r="AU50" i="15" s="1"/>
  <c r="BL20" i="18" s="1"/>
  <c r="AU210" i="15"/>
  <c r="AU212" i="15" s="1"/>
  <c r="BL63" i="18" s="1"/>
  <c r="AR17" i="15"/>
  <c r="AF19" i="15"/>
  <c r="AF16" i="15" s="1"/>
  <c r="AU56" i="15"/>
  <c r="AS209" i="15"/>
  <c r="BJ62" i="18" s="1"/>
  <c r="AQ209" i="15"/>
  <c r="BH62" i="18" s="1"/>
  <c r="AU35" i="15"/>
  <c r="BB35" i="15" s="1"/>
  <c r="AF204" i="15"/>
  <c r="AE209" i="15"/>
  <c r="AT252" i="15"/>
  <c r="BB252" i="15" s="1"/>
  <c r="AU29" i="15"/>
  <c r="AU23" i="14"/>
  <c r="BB23" i="14" s="1"/>
  <c r="AU36" i="14"/>
  <c r="BB36" i="14" s="1"/>
  <c r="AU65" i="14"/>
  <c r="BB65" i="14" s="1"/>
  <c r="AU34" i="14"/>
  <c r="BB34" i="14" s="1"/>
  <c r="AF204" i="14"/>
  <c r="AE209" i="14"/>
  <c r="AE198" i="14" s="1"/>
  <c r="EO12" i="18"/>
  <c r="AU75" i="14"/>
  <c r="BB75" i="14" s="1"/>
  <c r="AU32" i="14"/>
  <c r="BB32" i="14" s="1"/>
  <c r="AU27" i="14"/>
  <c r="BB27" i="14" s="1"/>
  <c r="AU220" i="14"/>
  <c r="AU213" i="14" s="1"/>
  <c r="AQ209" i="14"/>
  <c r="EN47" i="18"/>
  <c r="EQ46" i="18"/>
  <c r="EL47" i="18"/>
  <c r="AU228" i="13"/>
  <c r="BB228" i="13" s="1"/>
  <c r="AR90" i="18"/>
  <c r="AR91" i="18" s="1"/>
  <c r="AE209" i="13"/>
  <c r="AU75" i="13"/>
  <c r="AU77" i="13" s="1"/>
  <c r="AU61" i="13" s="1"/>
  <c r="AU46" i="13"/>
  <c r="AU50" i="13" s="1"/>
  <c r="AL20" i="18" s="1"/>
  <c r="AO90" i="18"/>
  <c r="AO91" i="18" s="1"/>
  <c r="AU220" i="13"/>
  <c r="AU213" i="13" s="1"/>
  <c r="EJ29" i="18"/>
  <c r="AT288" i="13"/>
  <c r="BB288" i="13" s="1"/>
  <c r="AR250" i="13"/>
  <c r="AE268" i="13"/>
  <c r="AE259" i="13" s="1"/>
  <c r="AT52" i="13"/>
  <c r="AT62" i="13"/>
  <c r="BB62" i="13" s="1"/>
  <c r="AQ110" i="13"/>
  <c r="AT96" i="13"/>
  <c r="BB96" i="13" s="1"/>
  <c r="AQ105" i="13"/>
  <c r="AT104" i="13"/>
  <c r="BB104" i="13" s="1"/>
  <c r="AT114" i="13"/>
  <c r="BB114" i="13" s="1"/>
  <c r="AT84" i="13"/>
  <c r="BB84" i="13" s="1"/>
  <c r="AT73" i="13"/>
  <c r="BB73" i="13" s="1"/>
  <c r="EO60" i="18"/>
  <c r="EO59" i="18" s="1"/>
  <c r="EP60" i="18"/>
  <c r="EP59" i="18" s="1"/>
  <c r="AT146" i="13"/>
  <c r="BB146" i="13" s="1"/>
  <c r="ER51" i="18"/>
  <c r="ER46" i="18" s="1"/>
  <c r="EO47" i="18"/>
  <c r="EO46" i="18" s="1"/>
  <c r="AN163" i="13"/>
  <c r="AN150" i="13" s="1"/>
  <c r="AN198" i="13"/>
  <c r="AN197" i="13" s="1"/>
  <c r="AY77" i="13"/>
  <c r="AY61" i="13" s="1"/>
  <c r="M198" i="13"/>
  <c r="M197" i="13" s="1"/>
  <c r="AU75" i="12"/>
  <c r="BB75" i="12" s="1"/>
  <c r="AU23" i="12"/>
  <c r="BB23" i="12" s="1"/>
  <c r="AU205" i="12"/>
  <c r="AU209" i="12" s="1"/>
  <c r="AU220" i="12"/>
  <c r="AU213" i="12" s="1"/>
  <c r="AS209" i="12"/>
  <c r="W62" i="18" s="1"/>
  <c r="AW292" i="12"/>
  <c r="U62" i="18"/>
  <c r="AA75" i="18"/>
  <c r="AE90" i="18"/>
  <c r="AE91" i="18" s="1"/>
  <c r="ER60" i="18"/>
  <c r="ER59" i="18" s="1"/>
  <c r="EB46" i="18"/>
  <c r="EB6" i="18"/>
  <c r="EA46" i="18"/>
  <c r="AT108" i="23"/>
  <c r="BB108" i="23" s="1"/>
  <c r="AT136" i="23"/>
  <c r="BB136" i="23" s="1"/>
  <c r="AN150" i="23"/>
  <c r="T150" i="23"/>
  <c r="AT65" i="23"/>
  <c r="AE225" i="23"/>
  <c r="AE221" i="23" s="1"/>
  <c r="M197" i="23"/>
  <c r="AS188" i="22"/>
  <c r="AS190" i="22" s="1"/>
  <c r="L45" i="22"/>
  <c r="L5" i="22" s="1"/>
  <c r="M198" i="22"/>
  <c r="M197" i="22" s="1"/>
  <c r="L163" i="22"/>
  <c r="L182" i="22"/>
  <c r="AT121" i="17"/>
  <c r="BB121" i="17" s="1"/>
  <c r="AF192" i="17"/>
  <c r="AE193" i="17"/>
  <c r="L5" i="16"/>
  <c r="R5" i="15"/>
  <c r="AS161" i="14"/>
  <c r="AS162" i="14" s="1"/>
  <c r="AW50" i="18" s="1"/>
  <c r="EJ50" i="18" s="1"/>
  <c r="AS169" i="14"/>
  <c r="AS178" i="14" s="1"/>
  <c r="AW53" i="18" s="1"/>
  <c r="AT173" i="14"/>
  <c r="BB173" i="14" s="1"/>
  <c r="AR39" i="14"/>
  <c r="AV16" i="18" s="1"/>
  <c r="AT38" i="14"/>
  <c r="AT224" i="12"/>
  <c r="BB224" i="12" s="1"/>
  <c r="L150" i="12"/>
  <c r="EP46" i="18"/>
  <c r="AT188" i="1"/>
  <c r="BB188" i="1" s="1"/>
  <c r="DU76" i="18"/>
  <c r="DU75" i="18" s="1"/>
  <c r="DU74" i="18" s="1"/>
  <c r="AQ245" i="23"/>
  <c r="AR191" i="23"/>
  <c r="AF193" i="23"/>
  <c r="AF199" i="23"/>
  <c r="AE203" i="23"/>
  <c r="AF210" i="23"/>
  <c r="AE212" i="23"/>
  <c r="AN5" i="23"/>
  <c r="AF160" i="23"/>
  <c r="AE162" i="23"/>
  <c r="AF205" i="23"/>
  <c r="AF209" i="23" s="1"/>
  <c r="DW11" i="18"/>
  <c r="DW10" i="18" s="1"/>
  <c r="AS16" i="23"/>
  <c r="AF124" i="23"/>
  <c r="AE133" i="23"/>
  <c r="AE123" i="23" s="1"/>
  <c r="EE90" i="18"/>
  <c r="EE91" i="18" s="1"/>
  <c r="EH15" i="18"/>
  <c r="EP26" i="18"/>
  <c r="EP25" i="18" s="1"/>
  <c r="EQ7" i="18"/>
  <c r="EP12" i="18"/>
  <c r="EO75" i="18"/>
  <c r="EO74" i="18" s="1"/>
  <c r="AQ11" i="23"/>
  <c r="AT31" i="23"/>
  <c r="AT43" i="23"/>
  <c r="BB43" i="23" s="1"/>
  <c r="AT73" i="23"/>
  <c r="BB73" i="23" s="1"/>
  <c r="AQ15" i="23"/>
  <c r="DU9" i="18" s="1"/>
  <c r="AQ56" i="23"/>
  <c r="DU21" i="18" s="1"/>
  <c r="AT9" i="23"/>
  <c r="BB9" i="23" s="1"/>
  <c r="AT103" i="23"/>
  <c r="BB103" i="23" s="1"/>
  <c r="AT127" i="23"/>
  <c r="BB127" i="23" s="1"/>
  <c r="AT155" i="23"/>
  <c r="BB155" i="23" s="1"/>
  <c r="DU62" i="18"/>
  <c r="AE243" i="23"/>
  <c r="AE238" i="23" s="1"/>
  <c r="AT234" i="23"/>
  <c r="AE237" i="23"/>
  <c r="AE232" i="23" s="1"/>
  <c r="AT184" i="23"/>
  <c r="BB184" i="23" s="1"/>
  <c r="AB150" i="23"/>
  <c r="AF160" i="22"/>
  <c r="AE162" i="22"/>
  <c r="DH76" i="18"/>
  <c r="DH75" i="18" s="1"/>
  <c r="DH74" i="18" s="1"/>
  <c r="AQ245" i="22"/>
  <c r="AQ244" i="22" s="1"/>
  <c r="DJ11" i="18"/>
  <c r="DJ10" i="18" s="1"/>
  <c r="AS16" i="22"/>
  <c r="AR183" i="22"/>
  <c r="AF190" i="22"/>
  <c r="EJ9" i="18"/>
  <c r="EJ53" i="18"/>
  <c r="EJ28" i="18"/>
  <c r="EM25" i="18"/>
  <c r="EQ25" i="18"/>
  <c r="EN26" i="18"/>
  <c r="EN25" i="18" s="1"/>
  <c r="ER26" i="18"/>
  <c r="ER25" i="18" s="1"/>
  <c r="EM46" i="18"/>
  <c r="EQ19" i="18"/>
  <c r="AT83" i="22"/>
  <c r="BB83" i="22" s="1"/>
  <c r="AT235" i="22"/>
  <c r="AT210" i="22"/>
  <c r="BB210" i="22" s="1"/>
  <c r="AT184" i="22"/>
  <c r="BB184" i="22" s="1"/>
  <c r="M163" i="22"/>
  <c r="M150" i="22" s="1"/>
  <c r="AE190" i="22"/>
  <c r="AR229" i="17"/>
  <c r="AF231" i="17"/>
  <c r="AF226" i="17" s="1"/>
  <c r="AR204" i="17"/>
  <c r="AR209" i="17" s="1"/>
  <c r="AR215" i="17"/>
  <c r="AF220" i="17"/>
  <c r="AF213" i="17" s="1"/>
  <c r="AS105" i="17"/>
  <c r="AE198" i="17"/>
  <c r="AF198" i="17"/>
  <c r="AT148" i="17"/>
  <c r="BB148" i="17" s="1"/>
  <c r="CH76" i="18"/>
  <c r="CH75" i="18" s="1"/>
  <c r="CH74" i="18" s="1"/>
  <c r="AQ245" i="17"/>
  <c r="AQ244" i="17" s="1"/>
  <c r="AF160" i="17"/>
  <c r="AE162" i="17"/>
  <c r="AF180" i="17"/>
  <c r="AE181" i="17"/>
  <c r="AE231" i="17"/>
  <c r="AE226" i="17" s="1"/>
  <c r="AN182" i="17"/>
  <c r="AE220" i="17"/>
  <c r="AE213" i="17" s="1"/>
  <c r="AF210" i="16"/>
  <c r="AE212" i="16"/>
  <c r="AF233" i="16"/>
  <c r="AE237" i="16"/>
  <c r="AE232" i="16" s="1"/>
  <c r="AF239" i="16"/>
  <c r="AE243" i="16"/>
  <c r="AE238" i="16" s="1"/>
  <c r="AR192" i="16"/>
  <c r="AF193" i="16"/>
  <c r="AQ133" i="16"/>
  <c r="AQ99" i="16"/>
  <c r="BW76" i="18"/>
  <c r="BW75" i="18" s="1"/>
  <c r="BW74" i="18" s="1"/>
  <c r="AS245" i="16"/>
  <c r="AS244" i="16" s="1"/>
  <c r="CE90" i="18"/>
  <c r="CE91" i="18" s="1"/>
  <c r="AT188" i="16"/>
  <c r="BB188" i="16" s="1"/>
  <c r="AT146" i="16"/>
  <c r="BB146" i="16" s="1"/>
  <c r="AR165" i="15"/>
  <c r="AF168" i="15"/>
  <c r="AR160" i="15"/>
  <c r="AF162" i="15"/>
  <c r="AS220" i="15"/>
  <c r="AT184" i="15"/>
  <c r="BB184" i="15" s="1"/>
  <c r="AT188" i="15"/>
  <c r="BB188" i="15" s="1"/>
  <c r="M150" i="15"/>
  <c r="M197" i="15"/>
  <c r="AE168" i="15"/>
  <c r="AN79" i="15"/>
  <c r="AN78" i="15" s="1"/>
  <c r="AR51" i="14"/>
  <c r="AY51" i="14" s="1"/>
  <c r="AY56" i="14" s="1"/>
  <c r="AY45" i="14" s="1"/>
  <c r="AF56" i="14"/>
  <c r="AQ254" i="14"/>
  <c r="AT184" i="14"/>
  <c r="BB184" i="14" s="1"/>
  <c r="AR193" i="14"/>
  <c r="AV57" i="18" s="1"/>
  <c r="U150" i="14"/>
  <c r="AE56" i="14"/>
  <c r="AN20" i="14"/>
  <c r="AN5" i="14" s="1"/>
  <c r="M78" i="14"/>
  <c r="AF152" i="13"/>
  <c r="AE156" i="13"/>
  <c r="AF160" i="13"/>
  <c r="AR160" i="13" s="1"/>
  <c r="AT160" i="13" s="1"/>
  <c r="BB160" i="13" s="1"/>
  <c r="AE162" i="13"/>
  <c r="AR164" i="13"/>
  <c r="AF168" i="13"/>
  <c r="AR194" i="13"/>
  <c r="AF196" i="13"/>
  <c r="AT188" i="13"/>
  <c r="BB188" i="13" s="1"/>
  <c r="AF158" i="13"/>
  <c r="AE159" i="13"/>
  <c r="AF192" i="13"/>
  <c r="AE193" i="13"/>
  <c r="AS105" i="13"/>
  <c r="AQ139" i="13"/>
  <c r="U245" i="13"/>
  <c r="U244" i="13" s="1"/>
  <c r="AE178" i="13"/>
  <c r="AE168" i="13"/>
  <c r="AR194" i="12"/>
  <c r="AF196" i="12"/>
  <c r="AR278" i="12"/>
  <c r="AF283" i="12"/>
  <c r="AF277" i="12" s="1"/>
  <c r="AT188" i="12"/>
  <c r="BB188" i="12" s="1"/>
  <c r="AF175" i="12"/>
  <c r="AR175" i="12" s="1"/>
  <c r="AT175" i="12" s="1"/>
  <c r="BB175" i="12" s="1"/>
  <c r="AE178" i="12"/>
  <c r="AF179" i="12"/>
  <c r="AE181" i="12"/>
  <c r="AF285" i="12"/>
  <c r="AR285" i="12" s="1"/>
  <c r="AT285" i="12" s="1"/>
  <c r="BB285" i="12" s="1"/>
  <c r="AE289" i="12"/>
  <c r="AE284" i="12" s="1"/>
  <c r="EN6" i="18"/>
  <c r="AS203" i="12"/>
  <c r="AS184" i="12"/>
  <c r="AS190" i="12" s="1"/>
  <c r="M197" i="12"/>
  <c r="AE268" i="12"/>
  <c r="AE259" i="12" s="1"/>
  <c r="AE283" i="12"/>
  <c r="AE277" i="12" s="1"/>
  <c r="AF214" i="1"/>
  <c r="AE220" i="1"/>
  <c r="AE213" i="1" s="1"/>
  <c r="AF239" i="1"/>
  <c r="AE243" i="1"/>
  <c r="AE238" i="1" s="1"/>
  <c r="AF251" i="1"/>
  <c r="AE254" i="1"/>
  <c r="AF282" i="1"/>
  <c r="AR282" i="1" s="1"/>
  <c r="AE283" i="1"/>
  <c r="AE277" i="1" s="1"/>
  <c r="AR107" i="1"/>
  <c r="AF110" i="1"/>
  <c r="AF106" i="1" s="1"/>
  <c r="AR195" i="1"/>
  <c r="AF196" i="1"/>
  <c r="AR210" i="1"/>
  <c r="AF212" i="1"/>
  <c r="AR265" i="1"/>
  <c r="AF268" i="1"/>
  <c r="AR112" i="1"/>
  <c r="AF117" i="1"/>
  <c r="AF111" i="1" s="1"/>
  <c r="AF246" i="1"/>
  <c r="AE250" i="1"/>
  <c r="AF255" i="1"/>
  <c r="AE258" i="1"/>
  <c r="AF275" i="1"/>
  <c r="AE276" i="1"/>
  <c r="AF271" i="1"/>
  <c r="AE273" i="1"/>
  <c r="AE269" i="1" s="1"/>
  <c r="AE110" i="1"/>
  <c r="AE106" i="1" s="1"/>
  <c r="AE212" i="1"/>
  <c r="AE268" i="1"/>
  <c r="AE117" i="1"/>
  <c r="AE111" i="1" s="1"/>
  <c r="AF283" i="1"/>
  <c r="AF277" i="1" s="1"/>
  <c r="AN259" i="1"/>
  <c r="AN244" i="1" s="1"/>
  <c r="AR191" i="1"/>
  <c r="AF193" i="1"/>
  <c r="AR179" i="1"/>
  <c r="AF181" i="1"/>
  <c r="N51" i="18"/>
  <c r="N46" i="18" s="1"/>
  <c r="EN53" i="18"/>
  <c r="EN51" i="18" s="1"/>
  <c r="EN46" i="18" s="1"/>
  <c r="AS184" i="1"/>
  <c r="AS190" i="1" s="1"/>
  <c r="AE181" i="1"/>
  <c r="AF62" i="23"/>
  <c r="AE77" i="23"/>
  <c r="AE61" i="23" s="1"/>
  <c r="DY18" i="18"/>
  <c r="DY17" i="18" s="1"/>
  <c r="AF84" i="23"/>
  <c r="AR84" i="23" s="1"/>
  <c r="AT84" i="23" s="1"/>
  <c r="BB84" i="23" s="1"/>
  <c r="AE85" i="23"/>
  <c r="AF164" i="23"/>
  <c r="AE168" i="23"/>
  <c r="AF187" i="23"/>
  <c r="AE190" i="23"/>
  <c r="AF12" i="23"/>
  <c r="AE15" i="23"/>
  <c r="AR21" i="23"/>
  <c r="AR26" i="23"/>
  <c r="AF29" i="23"/>
  <c r="AF87" i="23"/>
  <c r="AE88" i="23"/>
  <c r="AF112" i="23"/>
  <c r="AE117" i="23"/>
  <c r="AE111" i="23" s="1"/>
  <c r="AF119" i="23"/>
  <c r="AE122" i="23"/>
  <c r="AE118" i="23" s="1"/>
  <c r="AF142" i="23"/>
  <c r="AE149" i="23"/>
  <c r="AE140" i="23" s="1"/>
  <c r="AF153" i="23"/>
  <c r="AE156" i="23"/>
  <c r="AF175" i="23"/>
  <c r="AR175" i="23" s="1"/>
  <c r="AT175" i="23" s="1"/>
  <c r="BB175" i="23" s="1"/>
  <c r="AE178" i="23"/>
  <c r="AF194" i="23"/>
  <c r="AE196" i="23"/>
  <c r="DV77" i="18"/>
  <c r="AR245" i="23"/>
  <c r="AR46" i="23"/>
  <c r="AF50" i="23"/>
  <c r="AR58" i="23"/>
  <c r="AF60" i="23"/>
  <c r="AR95" i="23"/>
  <c r="AF99" i="23"/>
  <c r="AF93" i="23" s="1"/>
  <c r="AR101" i="23"/>
  <c r="AF105" i="23"/>
  <c r="AF100" i="23" s="1"/>
  <c r="AR107" i="23"/>
  <c r="AF110" i="23"/>
  <c r="AF106" i="23" s="1"/>
  <c r="AR17" i="23"/>
  <c r="AF19" i="23"/>
  <c r="AF16" i="23" s="1"/>
  <c r="AR91" i="23"/>
  <c r="AF92" i="23"/>
  <c r="AF51" i="23"/>
  <c r="AE56" i="23"/>
  <c r="AE45" i="23" s="1"/>
  <c r="AF135" i="23"/>
  <c r="AE139" i="23"/>
  <c r="AE134" i="23" s="1"/>
  <c r="AF7" i="23"/>
  <c r="AE11" i="23"/>
  <c r="AF22" i="23"/>
  <c r="AR22" i="23" s="1"/>
  <c r="AT22" i="23" s="1"/>
  <c r="AE25" i="23"/>
  <c r="AF30" i="23"/>
  <c r="AE37" i="23"/>
  <c r="AR41" i="23"/>
  <c r="AF44" i="23"/>
  <c r="AF40" i="23" s="1"/>
  <c r="AR80" i="23"/>
  <c r="AF85" i="23"/>
  <c r="AF158" i="23"/>
  <c r="AE159" i="23"/>
  <c r="AR170" i="23"/>
  <c r="AF180" i="23"/>
  <c r="AE181" i="23"/>
  <c r="AE110" i="23"/>
  <c r="AE106" i="23" s="1"/>
  <c r="L150" i="23"/>
  <c r="M20" i="23"/>
  <c r="M5" i="23" s="1"/>
  <c r="AE19" i="23"/>
  <c r="AE16" i="23" s="1"/>
  <c r="AN79" i="23"/>
  <c r="AN78" i="23" s="1"/>
  <c r="AF51" i="22"/>
  <c r="AE56" i="22"/>
  <c r="AF125" i="22"/>
  <c r="AE133" i="22"/>
  <c r="AE123" i="22" s="1"/>
  <c r="DJ35" i="18"/>
  <c r="DJ34" i="18" s="1"/>
  <c r="AS106" i="22"/>
  <c r="AF153" i="22"/>
  <c r="AE156" i="22"/>
  <c r="AF175" i="22"/>
  <c r="AR175" i="22" s="1"/>
  <c r="AT175" i="22" s="1"/>
  <c r="BB175" i="22" s="1"/>
  <c r="AE178" i="22"/>
  <c r="AF194" i="22"/>
  <c r="AE196" i="22"/>
  <c r="AE182" i="22" s="1"/>
  <c r="DI77" i="18"/>
  <c r="AR245" i="22"/>
  <c r="AF12" i="22"/>
  <c r="AE15" i="22"/>
  <c r="AR21" i="22"/>
  <c r="AR26" i="22"/>
  <c r="AF29" i="22"/>
  <c r="AR81" i="22"/>
  <c r="AF85" i="22"/>
  <c r="AF108" i="22"/>
  <c r="AE110" i="22"/>
  <c r="AE106" i="22" s="1"/>
  <c r="AF136" i="22"/>
  <c r="AE139" i="22"/>
  <c r="AE134" i="22" s="1"/>
  <c r="AF164" i="22"/>
  <c r="AE168" i="22"/>
  <c r="AQ11" i="22"/>
  <c r="DH8" i="18" s="1"/>
  <c r="AR17" i="22"/>
  <c r="AF19" i="22"/>
  <c r="AF16" i="22" s="1"/>
  <c r="AE37" i="22"/>
  <c r="AF46" i="22"/>
  <c r="AE50" i="22"/>
  <c r="AF62" i="22"/>
  <c r="AE77" i="22"/>
  <c r="AE61" i="22" s="1"/>
  <c r="AF86" i="22"/>
  <c r="AE88" i="22"/>
  <c r="AF94" i="22"/>
  <c r="AE99" i="22"/>
  <c r="AE93" i="22" s="1"/>
  <c r="AF101" i="22"/>
  <c r="AE105" i="22"/>
  <c r="AE100" i="22" s="1"/>
  <c r="AF120" i="22"/>
  <c r="AE122" i="22"/>
  <c r="AE118" i="22" s="1"/>
  <c r="AF141" i="22"/>
  <c r="AE149" i="22"/>
  <c r="AE140" i="22" s="1"/>
  <c r="AF158" i="22"/>
  <c r="AE159" i="22"/>
  <c r="AR170" i="22"/>
  <c r="AF178" i="22"/>
  <c r="AF180" i="22"/>
  <c r="AE181" i="22"/>
  <c r="AF7" i="22"/>
  <c r="AE11" i="22"/>
  <c r="AF22" i="22"/>
  <c r="AR22" i="22" s="1"/>
  <c r="AT22" i="22" s="1"/>
  <c r="AE25" i="22"/>
  <c r="AE20" i="22" s="1"/>
  <c r="AF57" i="22"/>
  <c r="AE60" i="22"/>
  <c r="AF89" i="22"/>
  <c r="AE92" i="22"/>
  <c r="AF113" i="22"/>
  <c r="AE117" i="22"/>
  <c r="AE111" i="22" s="1"/>
  <c r="AR31" i="22"/>
  <c r="AF37" i="22"/>
  <c r="EM19" i="18"/>
  <c r="AU254" i="22"/>
  <c r="DL77" i="18" s="1"/>
  <c r="AU273" i="22"/>
  <c r="AE19" i="22"/>
  <c r="AE16" i="22" s="1"/>
  <c r="M45" i="22"/>
  <c r="M5" i="22" s="1"/>
  <c r="AN6" i="22"/>
  <c r="AN45" i="22"/>
  <c r="CW35" i="18"/>
  <c r="CW34" i="18" s="1"/>
  <c r="CY77" i="18"/>
  <c r="AF12" i="17"/>
  <c r="AE15" i="17"/>
  <c r="AF31" i="17"/>
  <c r="AE37" i="17"/>
  <c r="AF46" i="17"/>
  <c r="AE50" i="17"/>
  <c r="AF62" i="17"/>
  <c r="AE77" i="17"/>
  <c r="AE61" i="17" s="1"/>
  <c r="AR38" i="17"/>
  <c r="AF39" i="17"/>
  <c r="AF57" i="17"/>
  <c r="AE60" i="17"/>
  <c r="AF183" i="17"/>
  <c r="AE190" i="17"/>
  <c r="AE182" i="17" s="1"/>
  <c r="AF233" i="17"/>
  <c r="AE237" i="17"/>
  <c r="AE232" i="17" s="1"/>
  <c r="AF239" i="17"/>
  <c r="AE243" i="17"/>
  <c r="AE238" i="17" s="1"/>
  <c r="AS99" i="17"/>
  <c r="AS133" i="17"/>
  <c r="M45" i="17"/>
  <c r="M5" i="17" s="1"/>
  <c r="AN6" i="17"/>
  <c r="AN20" i="17"/>
  <c r="AN79" i="17"/>
  <c r="AN78" i="17" s="1"/>
  <c r="AF7" i="17"/>
  <c r="AE11" i="17"/>
  <c r="AF24" i="17"/>
  <c r="AE25" i="17"/>
  <c r="AE20" i="17" s="1"/>
  <c r="AF51" i="17"/>
  <c r="AE56" i="17"/>
  <c r="AT73" i="17"/>
  <c r="BB73" i="17" s="1"/>
  <c r="AF222" i="17"/>
  <c r="AE225" i="17"/>
  <c r="AE221" i="17" s="1"/>
  <c r="AE197" i="17" s="1"/>
  <c r="AF42" i="17"/>
  <c r="AE44" i="17"/>
  <c r="AE40" i="17" s="1"/>
  <c r="CJ43" i="18"/>
  <c r="CJ42" i="18" s="1"/>
  <c r="AS134" i="17"/>
  <c r="CJ11" i="18"/>
  <c r="CJ10" i="18" s="1"/>
  <c r="AS16" i="17"/>
  <c r="CL11" i="18"/>
  <c r="CL10" i="18" s="1"/>
  <c r="AT65" i="17"/>
  <c r="AQ117" i="17"/>
  <c r="AQ110" i="17"/>
  <c r="AQ122" i="17"/>
  <c r="BU31" i="18"/>
  <c r="BU30" i="18" s="1"/>
  <c r="AQ93" i="16"/>
  <c r="AF158" i="16"/>
  <c r="AE159" i="16"/>
  <c r="AF180" i="16"/>
  <c r="AE181" i="16"/>
  <c r="AF201" i="16"/>
  <c r="AE203" i="16"/>
  <c r="AF8" i="16"/>
  <c r="AE11" i="16"/>
  <c r="BW35" i="18"/>
  <c r="BW34" i="18" s="1"/>
  <c r="AS106" i="16"/>
  <c r="AF175" i="16"/>
  <c r="AR175" i="16" s="1"/>
  <c r="AT175" i="16" s="1"/>
  <c r="BB175" i="16" s="1"/>
  <c r="AE178" i="16"/>
  <c r="AF214" i="16"/>
  <c r="AE220" i="16"/>
  <c r="AE213" i="16" s="1"/>
  <c r="BU76" i="18"/>
  <c r="BU75" i="18" s="1"/>
  <c r="AQ245" i="16"/>
  <c r="AQ244" i="16" s="1"/>
  <c r="AR39" i="16"/>
  <c r="BV16" i="18" s="1"/>
  <c r="AT38" i="16"/>
  <c r="CC21" i="18"/>
  <c r="CC19" i="18" s="1"/>
  <c r="AS44" i="16"/>
  <c r="BU43" i="18"/>
  <c r="BU42" i="18" s="1"/>
  <c r="AQ134" i="16"/>
  <c r="AF136" i="16"/>
  <c r="AE139" i="16"/>
  <c r="AE134" i="16" s="1"/>
  <c r="BY45" i="18"/>
  <c r="BY44" i="18" s="1"/>
  <c r="BY25" i="18" s="1"/>
  <c r="AF153" i="16"/>
  <c r="AE156" i="16"/>
  <c r="AE151" i="16" s="1"/>
  <c r="AF165" i="16"/>
  <c r="AE168" i="16"/>
  <c r="AE163" i="16" s="1"/>
  <c r="AF194" i="16"/>
  <c r="AE196" i="16"/>
  <c r="AF185" i="16"/>
  <c r="AE190" i="16"/>
  <c r="AF227" i="16"/>
  <c r="AE231" i="16"/>
  <c r="AE226" i="16" s="1"/>
  <c r="AF141" i="16"/>
  <c r="AE149" i="16"/>
  <c r="AE140" i="16" s="1"/>
  <c r="AR161" i="16"/>
  <c r="AF162" i="16"/>
  <c r="AR169" i="16"/>
  <c r="AF204" i="16"/>
  <c r="AF209" i="16" s="1"/>
  <c r="AF222" i="16"/>
  <c r="AE225" i="16"/>
  <c r="AE221" i="16" s="1"/>
  <c r="AS25" i="16"/>
  <c r="AS37" i="16"/>
  <c r="BW15" i="18" s="1"/>
  <c r="EJ15" i="18" s="1"/>
  <c r="AS56" i="16"/>
  <c r="BW21" i="18" s="1"/>
  <c r="EJ21" i="18" s="1"/>
  <c r="AS77" i="16"/>
  <c r="BZ6" i="18"/>
  <c r="BZ90" i="18" s="1"/>
  <c r="BZ91" i="18" s="1"/>
  <c r="AT184" i="16"/>
  <c r="BB184" i="16" s="1"/>
  <c r="AS29" i="16"/>
  <c r="BW14" i="18" s="1"/>
  <c r="EJ14" i="18" s="1"/>
  <c r="M45" i="16"/>
  <c r="M5" i="16" s="1"/>
  <c r="AN20" i="16"/>
  <c r="AN5" i="16" s="1"/>
  <c r="AF7" i="15"/>
  <c r="AE11" i="15"/>
  <c r="AF42" i="15"/>
  <c r="AE44" i="15"/>
  <c r="AE40" i="15" s="1"/>
  <c r="AR191" i="15"/>
  <c r="AF24" i="15"/>
  <c r="AE25" i="15"/>
  <c r="AF51" i="15"/>
  <c r="AE56" i="15"/>
  <c r="BL8" i="18"/>
  <c r="BL7" i="18" s="1"/>
  <c r="AU6" i="15"/>
  <c r="AF158" i="15"/>
  <c r="AE159" i="15"/>
  <c r="AF175" i="15"/>
  <c r="AR175" i="15" s="1"/>
  <c r="AT175" i="15" s="1"/>
  <c r="BB175" i="15" s="1"/>
  <c r="AE178" i="15"/>
  <c r="AF194" i="15"/>
  <c r="AE196" i="15"/>
  <c r="AR12" i="15"/>
  <c r="AF15" i="15"/>
  <c r="AR87" i="15"/>
  <c r="AF88" i="15"/>
  <c r="AR89" i="15"/>
  <c r="AF92" i="15"/>
  <c r="AR94" i="15"/>
  <c r="AF99" i="15"/>
  <c r="AF93" i="15" s="1"/>
  <c r="AR136" i="15"/>
  <c r="AF139" i="15"/>
  <c r="AF134" i="15" s="1"/>
  <c r="AR119" i="15"/>
  <c r="AF122" i="15"/>
  <c r="AF118" i="15" s="1"/>
  <c r="AR124" i="15"/>
  <c r="AF133" i="15"/>
  <c r="AF123" i="15" s="1"/>
  <c r="AR141" i="15"/>
  <c r="AF149" i="15"/>
  <c r="AF140" i="15" s="1"/>
  <c r="AT13" i="15"/>
  <c r="BB13" i="15" s="1"/>
  <c r="AT43" i="15"/>
  <c r="BB43" i="15" s="1"/>
  <c r="AT65" i="15"/>
  <c r="BH11" i="18"/>
  <c r="BH10" i="18" s="1"/>
  <c r="AQ16" i="15"/>
  <c r="AR38" i="15"/>
  <c r="AF39" i="15"/>
  <c r="AF57" i="15"/>
  <c r="AE60" i="15"/>
  <c r="AF185" i="15"/>
  <c r="AE190" i="15"/>
  <c r="AF192" i="15"/>
  <c r="AR192" i="15" s="1"/>
  <c r="AT192" i="15" s="1"/>
  <c r="AE193" i="15"/>
  <c r="AF205" i="15"/>
  <c r="AF31" i="15"/>
  <c r="AE37" i="15"/>
  <c r="AF46" i="15"/>
  <c r="AE50" i="15"/>
  <c r="AF153" i="15"/>
  <c r="AE156" i="15"/>
  <c r="AE151" i="15" s="1"/>
  <c r="AR170" i="15"/>
  <c r="AR180" i="15"/>
  <c r="AF181" i="15"/>
  <c r="AF199" i="15"/>
  <c r="AE203" i="15"/>
  <c r="AE198" i="15" s="1"/>
  <c r="AR108" i="15"/>
  <c r="AF110" i="15"/>
  <c r="AF106" i="15" s="1"/>
  <c r="AR113" i="15"/>
  <c r="AF117" i="15"/>
  <c r="AF111" i="15" s="1"/>
  <c r="U5" i="15"/>
  <c r="AS237" i="15"/>
  <c r="T5" i="15"/>
  <c r="AE15" i="15"/>
  <c r="M78" i="15"/>
  <c r="AE139" i="15"/>
  <c r="AE134" i="15" s="1"/>
  <c r="AE181" i="15"/>
  <c r="AN197" i="15"/>
  <c r="M20" i="15"/>
  <c r="M45" i="15"/>
  <c r="AF85" i="15"/>
  <c r="AF79" i="15" s="1"/>
  <c r="AE133" i="15"/>
  <c r="AE123" i="15" s="1"/>
  <c r="AE149" i="15"/>
  <c r="AE140" i="15" s="1"/>
  <c r="AY18" i="18"/>
  <c r="AY17" i="18" s="1"/>
  <c r="AF7" i="14"/>
  <c r="AE11" i="14"/>
  <c r="AF59" i="14"/>
  <c r="AE60" i="14"/>
  <c r="AF141" i="14"/>
  <c r="AE149" i="14"/>
  <c r="AE140" i="14" s="1"/>
  <c r="AF18" i="14"/>
  <c r="AE19" i="14"/>
  <c r="AE16" i="14" s="1"/>
  <c r="AF22" i="14"/>
  <c r="AR22" i="14" s="1"/>
  <c r="AT22" i="14" s="1"/>
  <c r="AE25" i="14"/>
  <c r="AF30" i="14"/>
  <c r="AE37" i="14"/>
  <c r="AR41" i="14"/>
  <c r="AF44" i="14"/>
  <c r="AF40" i="14" s="1"/>
  <c r="AF96" i="14"/>
  <c r="AE99" i="14"/>
  <c r="AE93" i="14" s="1"/>
  <c r="AE139" i="14"/>
  <c r="AE134" i="14" s="1"/>
  <c r="AF136" i="14"/>
  <c r="AF160" i="14"/>
  <c r="AE162" i="14"/>
  <c r="AF194" i="14"/>
  <c r="AE196" i="14"/>
  <c r="AF90" i="14"/>
  <c r="AE92" i="14"/>
  <c r="AF101" i="14"/>
  <c r="AE105" i="14"/>
  <c r="AE100" i="14" s="1"/>
  <c r="AF113" i="14"/>
  <c r="AE117" i="14"/>
  <c r="AE111" i="14" s="1"/>
  <c r="AF124" i="14"/>
  <c r="AE133" i="14"/>
  <c r="AE123" i="14" s="1"/>
  <c r="AF153" i="14"/>
  <c r="AE156" i="14"/>
  <c r="AF165" i="14"/>
  <c r="AE168" i="14"/>
  <c r="AR240" i="14"/>
  <c r="AF243" i="14"/>
  <c r="AF238" i="14" s="1"/>
  <c r="BE90" i="18"/>
  <c r="BE91" i="18" s="1"/>
  <c r="AT70" i="14"/>
  <c r="BB70" i="14" s="1"/>
  <c r="AT251" i="14"/>
  <c r="AU77" i="18"/>
  <c r="AU75" i="18" s="1"/>
  <c r="AQ245" i="14"/>
  <c r="AF13" i="14"/>
  <c r="AE15" i="14"/>
  <c r="AF47" i="14"/>
  <c r="AE50" i="14"/>
  <c r="AE45" i="14" s="1"/>
  <c r="AY9" i="18"/>
  <c r="AY7" i="18" s="1"/>
  <c r="AU6" i="14"/>
  <c r="AR80" i="14"/>
  <c r="AF85" i="14"/>
  <c r="AU18" i="18"/>
  <c r="AU17" i="18" s="1"/>
  <c r="AQ40" i="14"/>
  <c r="AR21" i="14"/>
  <c r="AF25" i="14"/>
  <c r="AR26" i="14"/>
  <c r="AF29" i="14"/>
  <c r="AF86" i="14"/>
  <c r="AE88" i="14"/>
  <c r="AE79" i="14" s="1"/>
  <c r="AF158" i="14"/>
  <c r="AE159" i="14"/>
  <c r="AR169" i="14"/>
  <c r="AF180" i="14"/>
  <c r="AE181" i="14"/>
  <c r="AF107" i="14"/>
  <c r="AE110" i="14"/>
  <c r="AE106" i="14" s="1"/>
  <c r="AF119" i="14"/>
  <c r="AE122" i="14"/>
  <c r="AE118" i="14" s="1"/>
  <c r="AF172" i="14"/>
  <c r="AR172" i="14" s="1"/>
  <c r="AT172" i="14" s="1"/>
  <c r="BB172" i="14" s="1"/>
  <c r="AE178" i="14"/>
  <c r="AR233" i="14"/>
  <c r="AR237" i="14" s="1"/>
  <c r="AF237" i="14"/>
  <c r="AF232" i="14" s="1"/>
  <c r="AF203" i="14"/>
  <c r="AF220" i="14"/>
  <c r="AF213" i="14" s="1"/>
  <c r="AE243" i="14"/>
  <c r="AE238" i="14" s="1"/>
  <c r="AE197" i="14" s="1"/>
  <c r="AR161" i="13"/>
  <c r="AF162" i="13"/>
  <c r="AF180" i="13"/>
  <c r="AE181" i="13"/>
  <c r="AE163" i="13" s="1"/>
  <c r="AF214" i="13"/>
  <c r="AE220" i="13"/>
  <c r="AE213" i="13" s="1"/>
  <c r="AF233" i="13"/>
  <c r="AE237" i="13"/>
  <c r="AE232" i="13" s="1"/>
  <c r="AF239" i="13"/>
  <c r="AE243" i="13"/>
  <c r="AE238" i="13" s="1"/>
  <c r="AH8" i="18"/>
  <c r="AH11" i="18"/>
  <c r="AH10" i="18" s="1"/>
  <c r="AQ16" i="13"/>
  <c r="AF63" i="13"/>
  <c r="AE77" i="13"/>
  <c r="AE61" i="13" s="1"/>
  <c r="AF210" i="13"/>
  <c r="AE212" i="13"/>
  <c r="AF222" i="13"/>
  <c r="AE225" i="13"/>
  <c r="AE221" i="13" s="1"/>
  <c r="EH21" i="18"/>
  <c r="AT184" i="13"/>
  <c r="BB184" i="13" s="1"/>
  <c r="AH43" i="18"/>
  <c r="AH42" i="18" s="1"/>
  <c r="AQ134" i="13"/>
  <c r="AR170" i="13"/>
  <c r="AF178" i="13"/>
  <c r="AF201" i="13"/>
  <c r="AE203" i="13"/>
  <c r="AF227" i="13"/>
  <c r="AE231" i="13"/>
  <c r="AE226" i="13" s="1"/>
  <c r="AF183" i="13"/>
  <c r="AE190" i="13"/>
  <c r="AE182" i="13" s="1"/>
  <c r="AF204" i="13"/>
  <c r="AF209" i="13" s="1"/>
  <c r="AB245" i="13"/>
  <c r="AB244" i="13" s="1"/>
  <c r="AR263" i="13"/>
  <c r="AQ88" i="13"/>
  <c r="AH28" i="18" s="1"/>
  <c r="AS117" i="13"/>
  <c r="AS83" i="13"/>
  <c r="AT83" i="13" s="1"/>
  <c r="BB83" i="13" s="1"/>
  <c r="AF42" i="12"/>
  <c r="AE44" i="12"/>
  <c r="AE40" i="12" s="1"/>
  <c r="AF58" i="12"/>
  <c r="AE60" i="12"/>
  <c r="AF124" i="12"/>
  <c r="AE133" i="12"/>
  <c r="AE123" i="12" s="1"/>
  <c r="AF158" i="12"/>
  <c r="AE159" i="12"/>
  <c r="AR161" i="12"/>
  <c r="AF162" i="12"/>
  <c r="AR94" i="12"/>
  <c r="AR99" i="12" s="1"/>
  <c r="AF99" i="12"/>
  <c r="AF93" i="12" s="1"/>
  <c r="W35" i="18"/>
  <c r="W34" i="18" s="1"/>
  <c r="EJ57" i="18"/>
  <c r="AE37" i="12"/>
  <c r="AE50" i="12"/>
  <c r="AU6" i="12"/>
  <c r="AF85" i="12"/>
  <c r="AE92" i="12"/>
  <c r="AR38" i="12"/>
  <c r="AF39" i="12"/>
  <c r="AF53" i="12"/>
  <c r="AE56" i="12"/>
  <c r="AF62" i="12"/>
  <c r="AE77" i="12"/>
  <c r="AE61" i="12" s="1"/>
  <c r="Y18" i="18"/>
  <c r="Y17" i="18" s="1"/>
  <c r="AF107" i="12"/>
  <c r="AE110" i="12"/>
  <c r="AE106" i="12" s="1"/>
  <c r="AF135" i="12"/>
  <c r="AE139" i="12"/>
  <c r="AE134" i="12" s="1"/>
  <c r="AF165" i="12"/>
  <c r="AE168" i="12"/>
  <c r="AE163" i="12" s="1"/>
  <c r="AF27" i="12"/>
  <c r="AE29" i="12"/>
  <c r="AF87" i="12"/>
  <c r="AE88" i="12"/>
  <c r="AF102" i="12"/>
  <c r="AE105" i="12"/>
  <c r="AE100" i="12" s="1"/>
  <c r="AF112" i="12"/>
  <c r="AE117" i="12"/>
  <c r="AE111" i="12" s="1"/>
  <c r="AF119" i="12"/>
  <c r="AE122" i="12"/>
  <c r="AE118" i="12" s="1"/>
  <c r="AF142" i="12"/>
  <c r="AE149" i="12"/>
  <c r="AE140" i="12" s="1"/>
  <c r="AF153" i="12"/>
  <c r="AE156" i="12"/>
  <c r="AR173" i="12"/>
  <c r="AF178" i="12"/>
  <c r="AR8" i="12"/>
  <c r="AT8" i="12" s="1"/>
  <c r="BB8" i="12" s="1"/>
  <c r="AF11" i="12"/>
  <c r="AR30" i="12"/>
  <c r="AF37" i="12"/>
  <c r="AR46" i="12"/>
  <c r="AF50" i="12"/>
  <c r="AR89" i="12"/>
  <c r="AF92" i="12"/>
  <c r="M5" i="12"/>
  <c r="M20" i="12"/>
  <c r="AN45" i="12"/>
  <c r="AN5" i="12" s="1"/>
  <c r="AE99" i="12"/>
  <c r="AE93" i="12" s="1"/>
  <c r="AN79" i="12"/>
  <c r="AN78" i="12" s="1"/>
  <c r="M163" i="12"/>
  <c r="M150" i="12" s="1"/>
  <c r="AR83" i="1"/>
  <c r="AR85" i="1" s="1"/>
  <c r="AF85" i="1"/>
  <c r="AR13" i="1"/>
  <c r="AX13" i="1" s="1"/>
  <c r="AX15" i="1" s="1"/>
  <c r="AF17" i="1"/>
  <c r="AE19" i="1"/>
  <c r="AE16" i="1" s="1"/>
  <c r="AF27" i="1"/>
  <c r="AE29" i="1"/>
  <c r="AF95" i="1"/>
  <c r="AE93" i="1"/>
  <c r="AF119" i="1"/>
  <c r="AE122" i="1"/>
  <c r="AE118" i="1" s="1"/>
  <c r="AF142" i="1"/>
  <c r="AE149" i="1"/>
  <c r="AE140" i="1" s="1"/>
  <c r="AF153" i="1"/>
  <c r="AE156" i="1"/>
  <c r="AF30" i="1"/>
  <c r="AE37" i="1"/>
  <c r="AF62" i="1"/>
  <c r="AE77" i="1"/>
  <c r="AE61" i="1" s="1"/>
  <c r="AF135" i="1"/>
  <c r="AE139" i="1"/>
  <c r="AE134" i="1" s="1"/>
  <c r="AF164" i="1"/>
  <c r="AE168" i="1"/>
  <c r="AE163" i="1" s="1"/>
  <c r="AR204" i="1"/>
  <c r="AR209" i="1" s="1"/>
  <c r="AF227" i="1"/>
  <c r="AE231" i="1"/>
  <c r="AE226" i="1" s="1"/>
  <c r="AF233" i="1"/>
  <c r="AE237" i="1"/>
  <c r="AE232" i="1" s="1"/>
  <c r="AF260" i="1"/>
  <c r="AE263" i="1"/>
  <c r="AE259" i="1" s="1"/>
  <c r="AR38" i="1"/>
  <c r="AF39" i="1"/>
  <c r="AR58" i="1"/>
  <c r="AF60" i="1"/>
  <c r="H35" i="18"/>
  <c r="H34" i="18" s="1"/>
  <c r="AQ106" i="1"/>
  <c r="AR42" i="1"/>
  <c r="AF44" i="1"/>
  <c r="AF40" i="1" s="1"/>
  <c r="AQ83" i="1"/>
  <c r="AT64" i="1"/>
  <c r="AT52" i="1"/>
  <c r="AF8" i="1"/>
  <c r="AE11" i="1"/>
  <c r="AF14" i="1"/>
  <c r="AR14" i="1" s="1"/>
  <c r="AT14" i="1" s="1"/>
  <c r="BB14" i="1" s="1"/>
  <c r="AE15" i="1"/>
  <c r="AF21" i="1"/>
  <c r="AE25" i="1"/>
  <c r="AF53" i="1"/>
  <c r="AE56" i="1"/>
  <c r="AF90" i="1"/>
  <c r="AE92" i="1"/>
  <c r="AF158" i="1"/>
  <c r="AE159" i="1"/>
  <c r="AR170" i="1"/>
  <c r="AF178" i="1"/>
  <c r="AF183" i="1"/>
  <c r="AE190" i="1"/>
  <c r="AE182" i="1" s="1"/>
  <c r="AF201" i="1"/>
  <c r="AE203" i="1"/>
  <c r="AE198" i="1" s="1"/>
  <c r="AF222" i="1"/>
  <c r="AE225" i="1"/>
  <c r="AE221" i="1" s="1"/>
  <c r="AF46" i="1"/>
  <c r="AE50" i="1"/>
  <c r="AF87" i="1"/>
  <c r="AE88" i="1"/>
  <c r="AE79" i="1" s="1"/>
  <c r="AF102" i="1"/>
  <c r="AE105" i="1"/>
  <c r="AE100" i="1" s="1"/>
  <c r="AF124" i="1"/>
  <c r="AE133" i="1"/>
  <c r="AE123" i="1" s="1"/>
  <c r="AF161" i="1"/>
  <c r="AE162" i="1"/>
  <c r="J67" i="18"/>
  <c r="J66" i="18" s="1"/>
  <c r="AS221" i="1"/>
  <c r="AF288" i="1"/>
  <c r="AE289" i="1"/>
  <c r="AE284" i="1" s="1"/>
  <c r="AE60" i="1"/>
  <c r="AE44" i="1"/>
  <c r="AE40" i="1" s="1"/>
  <c r="AN20" i="1"/>
  <c r="AN45" i="1"/>
  <c r="DW27" i="18"/>
  <c r="DW26" i="18" s="1"/>
  <c r="AS79" i="23"/>
  <c r="DY9" i="18"/>
  <c r="AU6" i="23"/>
  <c r="AU288" i="23"/>
  <c r="BB288" i="23" s="1"/>
  <c r="AU274" i="23"/>
  <c r="AU276" i="23" s="1"/>
  <c r="AT276" i="23"/>
  <c r="DX84" i="18" s="1"/>
  <c r="AU287" i="23"/>
  <c r="AU266" i="23"/>
  <c r="AU268" i="23" s="1"/>
  <c r="DU8" i="18"/>
  <c r="DU7" i="18" s="1"/>
  <c r="AQ6" i="23"/>
  <c r="AT263" i="23"/>
  <c r="DW13" i="18"/>
  <c r="DW12" i="18" s="1"/>
  <c r="AS20" i="23"/>
  <c r="DW18" i="18"/>
  <c r="DW17" i="18" s="1"/>
  <c r="AS40" i="23"/>
  <c r="J39" i="18"/>
  <c r="J38" i="18" s="1"/>
  <c r="AS118" i="1"/>
  <c r="DY11" i="18"/>
  <c r="DY10" i="18" s="1"/>
  <c r="DU13" i="18"/>
  <c r="DU12" i="18" s="1"/>
  <c r="AQ20" i="23"/>
  <c r="DU20" i="18"/>
  <c r="DU19" i="18" s="1"/>
  <c r="AQ45" i="23"/>
  <c r="AT39" i="23"/>
  <c r="DX16" i="18" s="1"/>
  <c r="DY16" i="18"/>
  <c r="DW37" i="18"/>
  <c r="DW36" i="18" s="1"/>
  <c r="AS111" i="23"/>
  <c r="DW48" i="18"/>
  <c r="DW47" i="18" s="1"/>
  <c r="AS151" i="23"/>
  <c r="DU45" i="18"/>
  <c r="DU44" i="18" s="1"/>
  <c r="AQ140" i="23"/>
  <c r="DW33" i="18"/>
  <c r="DW32" i="18" s="1"/>
  <c r="AS100" i="23"/>
  <c r="DW41" i="18"/>
  <c r="DW40" i="18" s="1"/>
  <c r="AS123" i="23"/>
  <c r="DW52" i="18"/>
  <c r="DW51" i="18" s="1"/>
  <c r="AS163" i="23"/>
  <c r="DU33" i="18"/>
  <c r="DU32" i="18" s="1"/>
  <c r="AQ100" i="23"/>
  <c r="DU48" i="18"/>
  <c r="DU47" i="18" s="1"/>
  <c r="AQ151" i="23"/>
  <c r="DW71" i="18"/>
  <c r="DW70" i="18" s="1"/>
  <c r="AS232" i="23"/>
  <c r="DU71" i="18"/>
  <c r="DU70" i="18" s="1"/>
  <c r="AQ232" i="23"/>
  <c r="AQ225" i="23"/>
  <c r="AQ231" i="23"/>
  <c r="AQ243" i="23"/>
  <c r="AT239" i="23"/>
  <c r="AR227" i="23"/>
  <c r="AR231" i="23" s="1"/>
  <c r="AF231" i="23"/>
  <c r="AF226" i="23" s="1"/>
  <c r="AR236" i="23"/>
  <c r="AF237" i="23"/>
  <c r="AF232" i="23" s="1"/>
  <c r="DW65" i="18"/>
  <c r="DW64" i="18" s="1"/>
  <c r="AS213" i="23"/>
  <c r="DW69" i="18"/>
  <c r="DW68" i="18" s="1"/>
  <c r="AS226" i="23"/>
  <c r="DW73" i="18"/>
  <c r="DW72" i="18" s="1"/>
  <c r="AS238" i="23"/>
  <c r="AT83" i="23"/>
  <c r="BB83" i="23" s="1"/>
  <c r="AU273" i="23"/>
  <c r="AU254" i="23"/>
  <c r="DY77" i="18" s="1"/>
  <c r="DZ90" i="18"/>
  <c r="DZ91" i="18" s="1"/>
  <c r="AQ85" i="23"/>
  <c r="AM150" i="23"/>
  <c r="AQ220" i="23"/>
  <c r="DY76" i="18"/>
  <c r="AU278" i="23"/>
  <c r="BB278" i="23" s="1"/>
  <c r="AU256" i="23"/>
  <c r="AU258" i="23" s="1"/>
  <c r="AW251" i="23"/>
  <c r="AW254" i="23" s="1"/>
  <c r="AT254" i="23"/>
  <c r="DX77" i="18" s="1"/>
  <c r="AT258" i="23"/>
  <c r="DX78" i="18" s="1"/>
  <c r="DW8" i="18"/>
  <c r="DW7" i="18" s="1"/>
  <c r="AS6" i="23"/>
  <c r="DW20" i="18"/>
  <c r="DW19" i="18" s="1"/>
  <c r="AS45" i="23"/>
  <c r="DU11" i="18"/>
  <c r="DU10" i="18" s="1"/>
  <c r="AQ16" i="23"/>
  <c r="DW24" i="18"/>
  <c r="DW23" i="18" s="1"/>
  <c r="AS61" i="23"/>
  <c r="DU18" i="18"/>
  <c r="DU17" i="18" s="1"/>
  <c r="AQ40" i="23"/>
  <c r="DU24" i="18"/>
  <c r="DU23" i="18" s="1"/>
  <c r="AQ61" i="23"/>
  <c r="DW35" i="18"/>
  <c r="DW34" i="18" s="1"/>
  <c r="AS106" i="23"/>
  <c r="DW43" i="18"/>
  <c r="DW42" i="18" s="1"/>
  <c r="AS134" i="23"/>
  <c r="DW56" i="18"/>
  <c r="DW55" i="18" s="1"/>
  <c r="AS182" i="23"/>
  <c r="DU31" i="18"/>
  <c r="DU30" i="18" s="1"/>
  <c r="AQ93" i="23"/>
  <c r="DU35" i="18"/>
  <c r="DU34" i="18" s="1"/>
  <c r="AQ106" i="23"/>
  <c r="DU41" i="18"/>
  <c r="DU40" i="18" s="1"/>
  <c r="AQ123" i="23"/>
  <c r="DU43" i="18"/>
  <c r="DU42" i="18" s="1"/>
  <c r="AQ134" i="23"/>
  <c r="DW31" i="18"/>
  <c r="DW30" i="18" s="1"/>
  <c r="AS93" i="23"/>
  <c r="DW39" i="18"/>
  <c r="DW38" i="18" s="1"/>
  <c r="AS118" i="23"/>
  <c r="DW45" i="18"/>
  <c r="DW44" i="18" s="1"/>
  <c r="AS140" i="23"/>
  <c r="DU61" i="18"/>
  <c r="DU60" i="18" s="1"/>
  <c r="AQ198" i="23"/>
  <c r="DU37" i="18"/>
  <c r="DU36" i="18" s="1"/>
  <c r="AQ111" i="23"/>
  <c r="DU39" i="18"/>
  <c r="DU38" i="18" s="1"/>
  <c r="AQ118" i="23"/>
  <c r="DU56" i="18"/>
  <c r="DU55" i="18" s="1"/>
  <c r="AQ182" i="23"/>
  <c r="AT204" i="23"/>
  <c r="AR214" i="23"/>
  <c r="AF220" i="23"/>
  <c r="AF213" i="23" s="1"/>
  <c r="AR222" i="23"/>
  <c r="AR225" i="23" s="1"/>
  <c r="AF225" i="23"/>
  <c r="AF221" i="23" s="1"/>
  <c r="AR241" i="23"/>
  <c r="AF243" i="23"/>
  <c r="AF238" i="23" s="1"/>
  <c r="DW61" i="18"/>
  <c r="DW60" i="18" s="1"/>
  <c r="AS198" i="23"/>
  <c r="DW67" i="18"/>
  <c r="DW66" i="18" s="1"/>
  <c r="AS221" i="23"/>
  <c r="AU263" i="23"/>
  <c r="DJ27" i="18"/>
  <c r="DJ26" i="18" s="1"/>
  <c r="AS79" i="22"/>
  <c r="DJ67" i="18"/>
  <c r="DJ66" i="18" s="1"/>
  <c r="AS221" i="22"/>
  <c r="AU288" i="22"/>
  <c r="BB288" i="22" s="1"/>
  <c r="AT258" i="22"/>
  <c r="DK78" i="18" s="1"/>
  <c r="DJ8" i="18"/>
  <c r="DJ7" i="18" s="1"/>
  <c r="AS6" i="22"/>
  <c r="DL9" i="18"/>
  <c r="DL7" i="18" s="1"/>
  <c r="AU6" i="22"/>
  <c r="DH9" i="18"/>
  <c r="DH7" i="18" s="1"/>
  <c r="AQ6" i="22"/>
  <c r="DJ20" i="18"/>
  <c r="DJ19" i="18" s="1"/>
  <c r="AS45" i="22"/>
  <c r="DH11" i="18"/>
  <c r="DH10" i="18" s="1"/>
  <c r="AQ16" i="22"/>
  <c r="DL20" i="18"/>
  <c r="DJ37" i="18"/>
  <c r="DJ36" i="18" s="1"/>
  <c r="AS111" i="22"/>
  <c r="DJ45" i="18"/>
  <c r="DJ44" i="18" s="1"/>
  <c r="AS140" i="22"/>
  <c r="DJ48" i="18"/>
  <c r="DJ47" i="18" s="1"/>
  <c r="AS151" i="22"/>
  <c r="DH35" i="18"/>
  <c r="DH34" i="18" s="1"/>
  <c r="AQ106" i="22"/>
  <c r="DH37" i="18"/>
  <c r="DH36" i="18" s="1"/>
  <c r="AQ111" i="22"/>
  <c r="DH52" i="18"/>
  <c r="DH51" i="18" s="1"/>
  <c r="AQ163" i="22"/>
  <c r="DH56" i="18"/>
  <c r="DJ31" i="18"/>
  <c r="DJ30" i="18" s="1"/>
  <c r="AS93" i="22"/>
  <c r="DJ43" i="18"/>
  <c r="DJ42" i="18" s="1"/>
  <c r="AS134" i="22"/>
  <c r="DJ52" i="18"/>
  <c r="DJ51" i="18" s="1"/>
  <c r="AS163" i="22"/>
  <c r="DH48" i="18"/>
  <c r="DH47" i="18" s="1"/>
  <c r="AQ151" i="22"/>
  <c r="AQ193" i="22"/>
  <c r="DH57" i="18" s="1"/>
  <c r="AT191" i="22"/>
  <c r="BB191" i="22" s="1"/>
  <c r="DH62" i="18"/>
  <c r="AQ225" i="22"/>
  <c r="AQ231" i="22"/>
  <c r="AQ243" i="22"/>
  <c r="DI61" i="18"/>
  <c r="AR227" i="22"/>
  <c r="AR231" i="22" s="1"/>
  <c r="AF231" i="22"/>
  <c r="AF226" i="22" s="1"/>
  <c r="AR239" i="22"/>
  <c r="AR243" i="22" s="1"/>
  <c r="AF243" i="22"/>
  <c r="AF238" i="22" s="1"/>
  <c r="AT237" i="22"/>
  <c r="AR204" i="22"/>
  <c r="AR214" i="22"/>
  <c r="AR220" i="22" s="1"/>
  <c r="AF220" i="22"/>
  <c r="AF213" i="22" s="1"/>
  <c r="AR222" i="22"/>
  <c r="AR225" i="22" s="1"/>
  <c r="AF225" i="22"/>
  <c r="AF221" i="22" s="1"/>
  <c r="AS226" i="22"/>
  <c r="DJ69" i="18"/>
  <c r="DJ68" i="18" s="1"/>
  <c r="AS238" i="22"/>
  <c r="DJ73" i="18"/>
  <c r="DJ72" i="18" s="1"/>
  <c r="AU263" i="22"/>
  <c r="AU250" i="22"/>
  <c r="AN198" i="22"/>
  <c r="AN197" i="22" s="1"/>
  <c r="AU287" i="22"/>
  <c r="AU289" i="22" s="1"/>
  <c r="AU284" i="22" s="1"/>
  <c r="AU278" i="22"/>
  <c r="AU274" i="22"/>
  <c r="AU276" i="22" s="1"/>
  <c r="AT276" i="22"/>
  <c r="DK84" i="18" s="1"/>
  <c r="AU256" i="22"/>
  <c r="BB256" i="22" s="1"/>
  <c r="DL83" i="18"/>
  <c r="AT263" i="22"/>
  <c r="AT250" i="22"/>
  <c r="DJ24" i="18"/>
  <c r="DJ23" i="18" s="1"/>
  <c r="AS61" i="22"/>
  <c r="DL18" i="18"/>
  <c r="DL17" i="18" s="1"/>
  <c r="DH18" i="18"/>
  <c r="DH17" i="18" s="1"/>
  <c r="AQ40" i="22"/>
  <c r="DH24" i="18"/>
  <c r="DH23" i="18" s="1"/>
  <c r="AQ61" i="22"/>
  <c r="DJ13" i="18"/>
  <c r="DJ12" i="18" s="1"/>
  <c r="AS20" i="22"/>
  <c r="DJ18" i="18"/>
  <c r="DJ17" i="18" s="1"/>
  <c r="AS40" i="22"/>
  <c r="DL11" i="18"/>
  <c r="DL10" i="18" s="1"/>
  <c r="DH13" i="18"/>
  <c r="DH12" i="18" s="1"/>
  <c r="AQ20" i="22"/>
  <c r="DH20" i="18"/>
  <c r="DH19" i="18" s="1"/>
  <c r="AQ45" i="22"/>
  <c r="DM24" i="18"/>
  <c r="AV5" i="22"/>
  <c r="AV292" i="22" s="1"/>
  <c r="DJ33" i="18"/>
  <c r="DJ32" i="18" s="1"/>
  <c r="AS100" i="22"/>
  <c r="DJ39" i="18"/>
  <c r="DJ38" i="18" s="1"/>
  <c r="AS118" i="22"/>
  <c r="DH43" i="18"/>
  <c r="DH42" i="18" s="1"/>
  <c r="AQ134" i="22"/>
  <c r="DJ41" i="18"/>
  <c r="DJ40" i="18" s="1"/>
  <c r="AS123" i="22"/>
  <c r="DJ56" i="18"/>
  <c r="DJ55" i="18" s="1"/>
  <c r="AS182" i="22"/>
  <c r="DH31" i="18"/>
  <c r="DH30" i="18" s="1"/>
  <c r="AQ93" i="22"/>
  <c r="DH33" i="18"/>
  <c r="DH32" i="18" s="1"/>
  <c r="AQ100" i="22"/>
  <c r="DH39" i="18"/>
  <c r="DH38" i="18" s="1"/>
  <c r="AQ118" i="22"/>
  <c r="DH41" i="18"/>
  <c r="DH40" i="18" s="1"/>
  <c r="AQ123" i="22"/>
  <c r="DH45" i="18"/>
  <c r="DH44" i="18" s="1"/>
  <c r="AQ140" i="22"/>
  <c r="AR232" i="22"/>
  <c r="DI71" i="18"/>
  <c r="DJ76" i="18"/>
  <c r="AT199" i="22"/>
  <c r="AQ203" i="22"/>
  <c r="AT211" i="22"/>
  <c r="BB211" i="22" s="1"/>
  <c r="AT214" i="22"/>
  <c r="BB214" i="22" s="1"/>
  <c r="AQ220" i="22"/>
  <c r="DJ61" i="18"/>
  <c r="DJ60" i="18" s="1"/>
  <c r="AS198" i="22"/>
  <c r="DJ65" i="18"/>
  <c r="DJ64" i="18" s="1"/>
  <c r="AS213" i="22"/>
  <c r="DJ71" i="18"/>
  <c r="DJ70" i="18" s="1"/>
  <c r="AS232" i="22"/>
  <c r="AU258" i="22"/>
  <c r="DL78" i="18" s="1"/>
  <c r="AQ85" i="22"/>
  <c r="AF203" i="22"/>
  <c r="AF237" i="22"/>
  <c r="AF232" i="22" s="1"/>
  <c r="DL63" i="18"/>
  <c r="AQ237" i="22"/>
  <c r="AF212" i="22"/>
  <c r="CW27" i="18"/>
  <c r="CW26" i="18" s="1"/>
  <c r="CW65" i="18"/>
  <c r="CW64" i="18" s="1"/>
  <c r="CY80" i="18"/>
  <c r="CY11" i="18"/>
  <c r="CU13" i="18"/>
  <c r="CU12" i="18" s="1"/>
  <c r="CU20" i="18"/>
  <c r="CU19" i="18" s="1"/>
  <c r="CW11" i="18"/>
  <c r="CW10" i="18" s="1"/>
  <c r="CW20" i="18"/>
  <c r="CW19" i="18" s="1"/>
  <c r="CU18" i="18"/>
  <c r="CU17" i="18" s="1"/>
  <c r="CU24" i="18"/>
  <c r="CU23" i="18" s="1"/>
  <c r="CW31" i="18"/>
  <c r="CW30" i="18" s="1"/>
  <c r="CW43" i="18"/>
  <c r="CW42" i="18" s="1"/>
  <c r="CW48" i="18"/>
  <c r="CU61" i="18"/>
  <c r="CU60" i="18" s="1"/>
  <c r="CU71" i="18"/>
  <c r="CU70" i="18" s="1"/>
  <c r="CU39" i="18"/>
  <c r="CU38" i="18" s="1"/>
  <c r="CU41" i="18"/>
  <c r="CU40" i="18" s="1"/>
  <c r="CU48" i="18"/>
  <c r="CU56" i="18"/>
  <c r="CU55" i="18" s="1"/>
  <c r="CW33" i="18"/>
  <c r="CW32" i="18" s="1"/>
  <c r="CW41" i="18"/>
  <c r="CW40" i="18" s="1"/>
  <c r="CW52" i="18"/>
  <c r="CW51" i="18" s="1"/>
  <c r="CU65" i="18"/>
  <c r="CU64" i="18" s="1"/>
  <c r="CU31" i="18"/>
  <c r="CU30" i="18" s="1"/>
  <c r="CU35" i="18"/>
  <c r="CU34" i="18" s="1"/>
  <c r="CU43" i="18"/>
  <c r="CU42" i="18" s="1"/>
  <c r="CW76" i="18"/>
  <c r="CW75" i="18" s="1"/>
  <c r="CW74" i="18" s="1"/>
  <c r="DF63" i="18"/>
  <c r="CX63" i="18"/>
  <c r="CU8" i="18"/>
  <c r="CY76" i="18"/>
  <c r="CU9" i="18"/>
  <c r="CW8" i="18"/>
  <c r="CW7" i="18" s="1"/>
  <c r="CW24" i="18"/>
  <c r="CW23" i="18" s="1"/>
  <c r="CU11" i="18"/>
  <c r="CU10" i="18" s="1"/>
  <c r="CY20" i="18"/>
  <c r="CW13" i="18"/>
  <c r="CW12" i="18" s="1"/>
  <c r="CW18" i="18"/>
  <c r="CW17" i="18" s="1"/>
  <c r="CW39" i="18"/>
  <c r="CW38" i="18" s="1"/>
  <c r="CU69" i="18"/>
  <c r="CU68" i="18" s="1"/>
  <c r="CW37" i="18"/>
  <c r="CW36" i="18" s="1"/>
  <c r="CW45" i="18"/>
  <c r="CW44" i="18" s="1"/>
  <c r="CW56" i="18"/>
  <c r="CW55" i="18" s="1"/>
  <c r="CU73" i="18"/>
  <c r="CU72" i="18" s="1"/>
  <c r="CU45" i="18"/>
  <c r="CU44" i="18" s="1"/>
  <c r="CU52" i="18"/>
  <c r="CW71" i="18"/>
  <c r="CW70" i="18" s="1"/>
  <c r="CW67" i="18"/>
  <c r="CW66" i="18" s="1"/>
  <c r="CW69" i="18"/>
  <c r="CW68" i="18" s="1"/>
  <c r="CW73" i="18"/>
  <c r="CW72" i="18" s="1"/>
  <c r="EJ78" i="18"/>
  <c r="CY78" i="18"/>
  <c r="CY21" i="18"/>
  <c r="CV63" i="18"/>
  <c r="AU288" i="17"/>
  <c r="BB288" i="17" s="1"/>
  <c r="AU266" i="17"/>
  <c r="AU268" i="17" s="1"/>
  <c r="CJ27" i="18"/>
  <c r="CJ26" i="18" s="1"/>
  <c r="AS79" i="17"/>
  <c r="AF271" i="17"/>
  <c r="AE273" i="17"/>
  <c r="AR257" i="17"/>
  <c r="AF258" i="17"/>
  <c r="AF279" i="17"/>
  <c r="AE283" i="17"/>
  <c r="AE277" i="17" s="1"/>
  <c r="AR252" i="17"/>
  <c r="CJ8" i="18"/>
  <c r="CJ7" i="18" s="1"/>
  <c r="AS6" i="17"/>
  <c r="CH8" i="18"/>
  <c r="CH7" i="18" s="1"/>
  <c r="AQ6" i="17"/>
  <c r="AQ99" i="17"/>
  <c r="AT94" i="17"/>
  <c r="BB94" i="17" s="1"/>
  <c r="CH41" i="18"/>
  <c r="CH40" i="18" s="1"/>
  <c r="AQ123" i="17"/>
  <c r="AF87" i="17"/>
  <c r="AE88" i="17"/>
  <c r="AF95" i="17"/>
  <c r="AE99" i="17"/>
  <c r="AE93" i="17" s="1"/>
  <c r="AF119" i="17"/>
  <c r="AE122" i="17"/>
  <c r="AE118" i="17" s="1"/>
  <c r="AQ178" i="17"/>
  <c r="CH53" i="18" s="1"/>
  <c r="AT169" i="17"/>
  <c r="BB169" i="17" s="1"/>
  <c r="AT194" i="17"/>
  <c r="BB194" i="17" s="1"/>
  <c r="BB196" i="17" s="1"/>
  <c r="AQ196" i="17"/>
  <c r="CH58" i="18" s="1"/>
  <c r="AF175" i="17"/>
  <c r="AR175" i="17" s="1"/>
  <c r="AE178" i="17"/>
  <c r="CH24" i="18"/>
  <c r="CH23" i="18" s="1"/>
  <c r="AQ61" i="17"/>
  <c r="CJ18" i="18"/>
  <c r="CJ17" i="18" s="1"/>
  <c r="AS40" i="17"/>
  <c r="AR80" i="17"/>
  <c r="AT80" i="17" s="1"/>
  <c r="BB80" i="17" s="1"/>
  <c r="AF107" i="17"/>
  <c r="AE110" i="17"/>
  <c r="AE106" i="17" s="1"/>
  <c r="AF135" i="17"/>
  <c r="AE139" i="17"/>
  <c r="AE134" i="17" s="1"/>
  <c r="CJ39" i="18"/>
  <c r="CJ38" i="18" s="1"/>
  <c r="AS118" i="17"/>
  <c r="AQ168" i="17"/>
  <c r="AF158" i="17"/>
  <c r="AE159" i="17"/>
  <c r="AR170" i="17"/>
  <c r="AF178" i="17"/>
  <c r="CJ56" i="18"/>
  <c r="CJ55" i="18" s="1"/>
  <c r="AS182" i="17"/>
  <c r="CJ61" i="18"/>
  <c r="CJ52" i="18"/>
  <c r="CJ51" i="18" s="1"/>
  <c r="AS163" i="17"/>
  <c r="CH69" i="18"/>
  <c r="CH68" i="18" s="1"/>
  <c r="AQ226" i="17"/>
  <c r="CH73" i="18"/>
  <c r="CH72" i="18" s="1"/>
  <c r="AQ238" i="17"/>
  <c r="AU263" i="17"/>
  <c r="AS117" i="17"/>
  <c r="AT175" i="17"/>
  <c r="BB175" i="17" s="1"/>
  <c r="CN6" i="18"/>
  <c r="CO90" i="18"/>
  <c r="AT97" i="17"/>
  <c r="BB97" i="17" s="1"/>
  <c r="AT116" i="17"/>
  <c r="BB116" i="17" s="1"/>
  <c r="AT126" i="17"/>
  <c r="BB126" i="17" s="1"/>
  <c r="AU287" i="17"/>
  <c r="AU289" i="17" s="1"/>
  <c r="AU256" i="17"/>
  <c r="AF253" i="17"/>
  <c r="AR253" i="17" s="1"/>
  <c r="AT253" i="17" s="1"/>
  <c r="BB253" i="17" s="1"/>
  <c r="AE254" i="17"/>
  <c r="AF249" i="17"/>
  <c r="AR249" i="17" s="1"/>
  <c r="AT249" i="17" s="1"/>
  <c r="BB249" i="17" s="1"/>
  <c r="AE250" i="17"/>
  <c r="CL83" i="18"/>
  <c r="CL76" i="18"/>
  <c r="AF286" i="17"/>
  <c r="AE289" i="17"/>
  <c r="AE284" i="17" s="1"/>
  <c r="AU278" i="17"/>
  <c r="BB278" i="17" s="1"/>
  <c r="AF274" i="17"/>
  <c r="AE276" i="17"/>
  <c r="AF264" i="17"/>
  <c r="AE268" i="17"/>
  <c r="AE259" i="17" s="1"/>
  <c r="AW251" i="17"/>
  <c r="AW254" i="17" s="1"/>
  <c r="AR246" i="17"/>
  <c r="AF250" i="17"/>
  <c r="CH20" i="18"/>
  <c r="CH19" i="18" s="1"/>
  <c r="AQ45" i="17"/>
  <c r="CJ24" i="18"/>
  <c r="CJ23" i="18" s="1"/>
  <c r="AS61" i="17"/>
  <c r="CH11" i="18"/>
  <c r="CH10" i="18" s="1"/>
  <c r="AQ16" i="17"/>
  <c r="CH13" i="18"/>
  <c r="CH12" i="18" s="1"/>
  <c r="AQ20" i="17"/>
  <c r="AT29" i="17"/>
  <c r="CK14" i="18" s="1"/>
  <c r="AT86" i="17"/>
  <c r="BB86" i="17" s="1"/>
  <c r="AQ88" i="17"/>
  <c r="CH28" i="18" s="1"/>
  <c r="CH33" i="18"/>
  <c r="CH32" i="18" s="1"/>
  <c r="AQ100" i="17"/>
  <c r="AT141" i="17"/>
  <c r="BB141" i="17" s="1"/>
  <c r="AQ149" i="17"/>
  <c r="AF84" i="17"/>
  <c r="AR84" i="17" s="1"/>
  <c r="AT84" i="17" s="1"/>
  <c r="BB84" i="17" s="1"/>
  <c r="AE85" i="17"/>
  <c r="AF90" i="17"/>
  <c r="AE92" i="17"/>
  <c r="AF124" i="17"/>
  <c r="AE133" i="17"/>
  <c r="AE123" i="17" s="1"/>
  <c r="AF142" i="17"/>
  <c r="AE149" i="17"/>
  <c r="AE140" i="17" s="1"/>
  <c r="CJ31" i="18"/>
  <c r="CJ30" i="18" s="1"/>
  <c r="AS93" i="17"/>
  <c r="CJ33" i="18"/>
  <c r="CJ32" i="18" s="1"/>
  <c r="AS100" i="17"/>
  <c r="CJ41" i="18"/>
  <c r="CJ40" i="18" s="1"/>
  <c r="AS123" i="17"/>
  <c r="AF153" i="17"/>
  <c r="AE156" i="17"/>
  <c r="AE151" i="17" s="1"/>
  <c r="CI14" i="18"/>
  <c r="CJ13" i="18"/>
  <c r="CJ12" i="18" s="1"/>
  <c r="AS20" i="17"/>
  <c r="CL9" i="18"/>
  <c r="CL7" i="18" s="1"/>
  <c r="AU6" i="17"/>
  <c r="AQ85" i="17"/>
  <c r="CH43" i="18"/>
  <c r="CH42" i="18" s="1"/>
  <c r="AQ134" i="17"/>
  <c r="AF102" i="17"/>
  <c r="AE105" i="17"/>
  <c r="AE100" i="17" s="1"/>
  <c r="AF112" i="17"/>
  <c r="AE117" i="17"/>
  <c r="AE111" i="17" s="1"/>
  <c r="CJ35" i="18"/>
  <c r="CJ34" i="18" s="1"/>
  <c r="AS106" i="17"/>
  <c r="CJ45" i="18"/>
  <c r="CJ44" i="18" s="1"/>
  <c r="AS140" i="17"/>
  <c r="AF164" i="17"/>
  <c r="AE168" i="17"/>
  <c r="CL18" i="18"/>
  <c r="CL17" i="18" s="1"/>
  <c r="CH18" i="18"/>
  <c r="CH17" i="18" s="1"/>
  <c r="AQ40" i="17"/>
  <c r="CJ20" i="18"/>
  <c r="CJ19" i="18" s="1"/>
  <c r="AS45" i="17"/>
  <c r="CJ69" i="18"/>
  <c r="CJ68" i="18" s="1"/>
  <c r="AS226" i="17"/>
  <c r="CJ73" i="18"/>
  <c r="CJ72" i="18" s="1"/>
  <c r="AS238" i="17"/>
  <c r="CH71" i="18"/>
  <c r="CH70" i="18" s="1"/>
  <c r="AQ232" i="17"/>
  <c r="CJ48" i="18"/>
  <c r="CJ47" i="18" s="1"/>
  <c r="CJ46" i="18" s="1"/>
  <c r="AS151" i="17"/>
  <c r="AS150" i="17" s="1"/>
  <c r="CL62" i="18"/>
  <c r="CI61" i="18"/>
  <c r="CJ76" i="18"/>
  <c r="CJ75" i="18" s="1"/>
  <c r="CJ74" i="18" s="1"/>
  <c r="AS245" i="17"/>
  <c r="AS244" i="17" s="1"/>
  <c r="CH56" i="18"/>
  <c r="CH55" i="18" s="1"/>
  <c r="CH67" i="18"/>
  <c r="CH66" i="18" s="1"/>
  <c r="AQ221" i="17"/>
  <c r="EH53" i="18"/>
  <c r="EH49" i="18"/>
  <c r="AT83" i="17"/>
  <c r="BB83" i="17" s="1"/>
  <c r="BB85" i="17" s="1"/>
  <c r="AU258" i="17"/>
  <c r="CL78" i="18" s="1"/>
  <c r="CR6" i="18"/>
  <c r="CR90" i="18" s="1"/>
  <c r="AT130" i="17"/>
  <c r="BB130" i="17" s="1"/>
  <c r="AT166" i="17"/>
  <c r="BB166" i="17" s="1"/>
  <c r="BW13" i="18"/>
  <c r="BW12" i="18" s="1"/>
  <c r="AS20" i="16"/>
  <c r="BW27" i="18"/>
  <c r="BW26" i="18" s="1"/>
  <c r="AS79" i="16"/>
  <c r="AU271" i="16"/>
  <c r="BB271" i="16" s="1"/>
  <c r="AU266" i="16"/>
  <c r="AU268" i="16" s="1"/>
  <c r="AT289" i="16"/>
  <c r="AU287" i="16"/>
  <c r="BB287" i="16" s="1"/>
  <c r="AU278" i="16"/>
  <c r="BB278" i="16" s="1"/>
  <c r="AT283" i="16"/>
  <c r="AU274" i="16"/>
  <c r="AU276" i="16" s="1"/>
  <c r="BY84" i="18" s="1"/>
  <c r="AT276" i="16"/>
  <c r="BX84" i="18" s="1"/>
  <c r="AF267" i="16"/>
  <c r="AE268" i="16"/>
  <c r="AE259" i="16" s="1"/>
  <c r="AR247" i="16"/>
  <c r="BY21" i="18"/>
  <c r="AF53" i="16"/>
  <c r="AE56" i="16"/>
  <c r="BU33" i="18"/>
  <c r="BU32" i="18" s="1"/>
  <c r="AQ100" i="16"/>
  <c r="BU41" i="18"/>
  <c r="BU40" i="18" s="1"/>
  <c r="AQ123" i="16"/>
  <c r="AF87" i="16"/>
  <c r="AE88" i="16"/>
  <c r="AF95" i="16"/>
  <c r="AE99" i="16"/>
  <c r="AE93" i="16" s="1"/>
  <c r="AF119" i="16"/>
  <c r="AE122" i="16"/>
  <c r="AE118" i="16" s="1"/>
  <c r="BU11" i="18"/>
  <c r="BU10" i="18" s="1"/>
  <c r="AQ16" i="16"/>
  <c r="BY20" i="18"/>
  <c r="AF13" i="16"/>
  <c r="AE15" i="16"/>
  <c r="AE6" i="16" s="1"/>
  <c r="AR21" i="16"/>
  <c r="AF63" i="16"/>
  <c r="AE77" i="16"/>
  <c r="AE61" i="16" s="1"/>
  <c r="BW20" i="18"/>
  <c r="BW19" i="18" s="1"/>
  <c r="AS45" i="16"/>
  <c r="AR80" i="16"/>
  <c r="AF107" i="16"/>
  <c r="AE110" i="16"/>
  <c r="AE106" i="16" s="1"/>
  <c r="BU8" i="18"/>
  <c r="BU7" i="18" s="1"/>
  <c r="AQ6" i="16"/>
  <c r="BU24" i="18"/>
  <c r="BU23" i="18" s="1"/>
  <c r="AQ61" i="16"/>
  <c r="BW37" i="18"/>
  <c r="BW36" i="18" s="1"/>
  <c r="AS111" i="16"/>
  <c r="BW41" i="18"/>
  <c r="BW40" i="18" s="1"/>
  <c r="AS123" i="16"/>
  <c r="BW43" i="18"/>
  <c r="BW42" i="18" s="1"/>
  <c r="AS134" i="16"/>
  <c r="BW48" i="18"/>
  <c r="BW47" i="18" s="1"/>
  <c r="AS151" i="16"/>
  <c r="BU48" i="18"/>
  <c r="BU47" i="18" s="1"/>
  <c r="AQ151" i="16"/>
  <c r="BW61" i="18"/>
  <c r="BW60" i="18" s="1"/>
  <c r="AS198" i="16"/>
  <c r="BW67" i="18"/>
  <c r="BW66" i="18" s="1"/>
  <c r="AS221" i="16"/>
  <c r="BW73" i="18"/>
  <c r="BW72" i="18" s="1"/>
  <c r="AS238" i="16"/>
  <c r="BU52" i="18"/>
  <c r="BU51" i="18" s="1"/>
  <c r="AQ163" i="16"/>
  <c r="BU56" i="18"/>
  <c r="BU55" i="18" s="1"/>
  <c r="AQ182" i="16"/>
  <c r="BU61" i="18"/>
  <c r="BU60" i="18" s="1"/>
  <c r="AQ198" i="16"/>
  <c r="BU67" i="18"/>
  <c r="BU66" i="18" s="1"/>
  <c r="AQ221" i="16"/>
  <c r="AT109" i="16"/>
  <c r="BB109" i="16" s="1"/>
  <c r="AT62" i="16"/>
  <c r="BB62" i="16" s="1"/>
  <c r="AT70" i="16"/>
  <c r="BB70" i="16" s="1"/>
  <c r="CB6" i="18"/>
  <c r="CB90" i="18" s="1"/>
  <c r="CB91" i="18" s="1"/>
  <c r="AU288" i="16"/>
  <c r="BB288" i="16" s="1"/>
  <c r="AU279" i="16"/>
  <c r="BB279" i="16" s="1"/>
  <c r="AR270" i="16"/>
  <c r="AF273" i="16"/>
  <c r="AF269" i="16" s="1"/>
  <c r="AR260" i="16"/>
  <c r="AF263" i="16"/>
  <c r="AF256" i="16"/>
  <c r="AE258" i="16"/>
  <c r="AF251" i="16"/>
  <c r="AE254" i="16"/>
  <c r="AF249" i="16"/>
  <c r="AR249" i="16" s="1"/>
  <c r="AT249" i="16" s="1"/>
  <c r="BB249" i="16" s="1"/>
  <c r="AE250" i="16"/>
  <c r="AE245" i="16" s="1"/>
  <c r="BU13" i="18"/>
  <c r="BU12" i="18" s="1"/>
  <c r="AQ20" i="16"/>
  <c r="BU18" i="18"/>
  <c r="BU17" i="18" s="1"/>
  <c r="AQ40" i="16"/>
  <c r="AF17" i="16"/>
  <c r="AE19" i="16"/>
  <c r="AE16" i="16" s="1"/>
  <c r="AF22" i="16"/>
  <c r="AR22" i="16" s="1"/>
  <c r="AT22" i="16" s="1"/>
  <c r="AE25" i="16"/>
  <c r="AR26" i="16"/>
  <c r="AF29" i="16"/>
  <c r="AF30" i="16"/>
  <c r="AE37" i="16"/>
  <c r="AR41" i="16"/>
  <c r="AF44" i="16"/>
  <c r="AF40" i="16" s="1"/>
  <c r="AF47" i="16"/>
  <c r="AE50" i="16"/>
  <c r="BW8" i="18"/>
  <c r="BW7" i="18" s="1"/>
  <c r="AS6" i="16"/>
  <c r="BW11" i="18"/>
  <c r="BW10" i="18" s="1"/>
  <c r="AS16" i="16"/>
  <c r="BW24" i="18"/>
  <c r="BW23" i="18" s="1"/>
  <c r="AS61" i="16"/>
  <c r="BU37" i="18"/>
  <c r="BU36" i="18" s="1"/>
  <c r="AQ111" i="16"/>
  <c r="AF84" i="16"/>
  <c r="AR84" i="16" s="1"/>
  <c r="AE85" i="16"/>
  <c r="AF90" i="16"/>
  <c r="AE92" i="16"/>
  <c r="AF124" i="16"/>
  <c r="AE133" i="16"/>
  <c r="AE123" i="16" s="1"/>
  <c r="BY18" i="18"/>
  <c r="BY17" i="18" s="1"/>
  <c r="BU20" i="18"/>
  <c r="BU19" i="18" s="1"/>
  <c r="AQ45" i="16"/>
  <c r="AF58" i="16"/>
  <c r="AE60" i="16"/>
  <c r="CC24" i="18"/>
  <c r="CC23" i="18" s="1"/>
  <c r="CC6" i="18" s="1"/>
  <c r="CC90" i="18" s="1"/>
  <c r="AY5" i="16"/>
  <c r="AY292" i="16" s="1"/>
  <c r="AQ110" i="16"/>
  <c r="AQ122" i="16"/>
  <c r="BU45" i="18"/>
  <c r="BU44" i="18" s="1"/>
  <c r="AQ140" i="16"/>
  <c r="AF102" i="16"/>
  <c r="AE105" i="16"/>
  <c r="AE100" i="16" s="1"/>
  <c r="AF112" i="16"/>
  <c r="AE117" i="16"/>
  <c r="AE111" i="16" s="1"/>
  <c r="BW33" i="18"/>
  <c r="BW32" i="18" s="1"/>
  <c r="AS100" i="16"/>
  <c r="BW39" i="18"/>
  <c r="BW38" i="18" s="1"/>
  <c r="AS118" i="16"/>
  <c r="BW45" i="18"/>
  <c r="BW44" i="18" s="1"/>
  <c r="AS140" i="16"/>
  <c r="BW31" i="18"/>
  <c r="BW30" i="18" s="1"/>
  <c r="AS93" i="16"/>
  <c r="BY62" i="18"/>
  <c r="BW71" i="18"/>
  <c r="BW70" i="18" s="1"/>
  <c r="AS232" i="16"/>
  <c r="BU71" i="18"/>
  <c r="BU70" i="18" s="1"/>
  <c r="AQ232" i="16"/>
  <c r="BW52" i="18"/>
  <c r="BW51" i="18" s="1"/>
  <c r="AS163" i="16"/>
  <c r="BW56" i="18"/>
  <c r="BW55" i="18" s="1"/>
  <c r="AS182" i="16"/>
  <c r="BW65" i="18"/>
  <c r="BW64" i="18" s="1"/>
  <c r="AS213" i="16"/>
  <c r="BW69" i="18"/>
  <c r="BW68" i="18" s="1"/>
  <c r="AS226" i="16"/>
  <c r="BU65" i="18"/>
  <c r="BU64" i="18" s="1"/>
  <c r="AQ213" i="16"/>
  <c r="BU69" i="18"/>
  <c r="BU68" i="18" s="1"/>
  <c r="AQ226" i="16"/>
  <c r="BU73" i="18"/>
  <c r="BU72" i="18" s="1"/>
  <c r="AQ238" i="16"/>
  <c r="AQ83" i="16"/>
  <c r="AU273" i="16"/>
  <c r="AU269" i="16" s="1"/>
  <c r="AU263" i="16"/>
  <c r="AU250" i="16"/>
  <c r="AT84" i="16"/>
  <c r="BB84" i="16" s="1"/>
  <c r="AQ88" i="16"/>
  <c r="BU28" i="18" s="1"/>
  <c r="AT7" i="16"/>
  <c r="BB7" i="16" s="1"/>
  <c r="AU288" i="15"/>
  <c r="BB288" i="15" s="1"/>
  <c r="AU279" i="15"/>
  <c r="BB279" i="15" s="1"/>
  <c r="BJ65" i="18"/>
  <c r="BJ64" i="18" s="1"/>
  <c r="AS213" i="15"/>
  <c r="BJ27" i="18"/>
  <c r="BJ26" i="18" s="1"/>
  <c r="AS79" i="15"/>
  <c r="AU287" i="15"/>
  <c r="AU280" i="15"/>
  <c r="BB280" i="15" s="1"/>
  <c r="AU282" i="15"/>
  <c r="BB282" i="15" s="1"/>
  <c r="BJ71" i="18"/>
  <c r="BJ70" i="18" s="1"/>
  <c r="AS232" i="15"/>
  <c r="AF285" i="15"/>
  <c r="AE289" i="15"/>
  <c r="AE284" i="15" s="1"/>
  <c r="AF278" i="15"/>
  <c r="AE283" i="15"/>
  <c r="AE277" i="15" s="1"/>
  <c r="AU271" i="15"/>
  <c r="BB271" i="15" s="1"/>
  <c r="AF249" i="15"/>
  <c r="AR249" i="15" s="1"/>
  <c r="AT249" i="15" s="1"/>
  <c r="BB249" i="15" s="1"/>
  <c r="AE250" i="15"/>
  <c r="AR261" i="15"/>
  <c r="AF263" i="15"/>
  <c r="AF253" i="15"/>
  <c r="AE254" i="15"/>
  <c r="BH8" i="18"/>
  <c r="BH7" i="18" s="1"/>
  <c r="AQ6" i="15"/>
  <c r="BH20" i="18"/>
  <c r="BH19" i="18" s="1"/>
  <c r="AQ45" i="15"/>
  <c r="BJ39" i="18"/>
  <c r="BJ38" i="18" s="1"/>
  <c r="AS118" i="15"/>
  <c r="BJ45" i="18"/>
  <c r="BJ44" i="18" s="1"/>
  <c r="AS140" i="15"/>
  <c r="BJ8" i="18"/>
  <c r="BJ7" i="18" s="1"/>
  <c r="AS6" i="15"/>
  <c r="BJ11" i="18"/>
  <c r="BJ10" i="18" s="1"/>
  <c r="AS16" i="15"/>
  <c r="AT29" i="15"/>
  <c r="BK14" i="18" s="1"/>
  <c r="BL14" i="18"/>
  <c r="BJ33" i="18"/>
  <c r="AS100" i="15"/>
  <c r="BJ37" i="18"/>
  <c r="BJ36" i="18" s="1"/>
  <c r="AS111" i="15"/>
  <c r="BJ18" i="18"/>
  <c r="BJ17" i="18" s="1"/>
  <c r="AS40" i="15"/>
  <c r="BJ24" i="18"/>
  <c r="BJ23" i="18" s="1"/>
  <c r="AS61" i="15"/>
  <c r="BH31" i="18"/>
  <c r="BH30" i="18" s="1"/>
  <c r="AQ93" i="15"/>
  <c r="BH39" i="18"/>
  <c r="BH38" i="18" s="1"/>
  <c r="AQ118" i="15"/>
  <c r="BH41" i="18"/>
  <c r="BH40" i="18" s="1"/>
  <c r="AQ123" i="15"/>
  <c r="AF223" i="15"/>
  <c r="AE225" i="15"/>
  <c r="AE221" i="15" s="1"/>
  <c r="AS221" i="15"/>
  <c r="BJ67" i="18"/>
  <c r="BJ66" i="18" s="1"/>
  <c r="BJ48" i="18"/>
  <c r="BJ47" i="18" s="1"/>
  <c r="AS151" i="15"/>
  <c r="BH71" i="18"/>
  <c r="BH70" i="18" s="1"/>
  <c r="AQ232" i="15"/>
  <c r="AF215" i="15"/>
  <c r="AE220" i="15"/>
  <c r="AE213" i="15" s="1"/>
  <c r="AF229" i="15"/>
  <c r="AE231" i="15"/>
  <c r="AE226" i="15" s="1"/>
  <c r="AF239" i="15"/>
  <c r="AE243" i="15"/>
  <c r="AE238" i="15" s="1"/>
  <c r="BJ52" i="18"/>
  <c r="BJ51" i="18" s="1"/>
  <c r="AS163" i="15"/>
  <c r="BH67" i="18"/>
  <c r="BH66" i="18" s="1"/>
  <c r="AQ221" i="15"/>
  <c r="AS231" i="15"/>
  <c r="BO90" i="18"/>
  <c r="BO91" i="18" s="1"/>
  <c r="BN59" i="18"/>
  <c r="AF274" i="15"/>
  <c r="AE276" i="15"/>
  <c r="AE269" i="15" s="1"/>
  <c r="AU270" i="15"/>
  <c r="AU273" i="15" s="1"/>
  <c r="AT273" i="15"/>
  <c r="AR247" i="15"/>
  <c r="AF250" i="15"/>
  <c r="AR266" i="15"/>
  <c r="AF268" i="15"/>
  <c r="AF255" i="15"/>
  <c r="AE258" i="15"/>
  <c r="AT256" i="15"/>
  <c r="BB256" i="15" s="1"/>
  <c r="AQ258" i="15"/>
  <c r="BH78" i="18" s="1"/>
  <c r="AT251" i="15"/>
  <c r="AQ254" i="15"/>
  <c r="BH77" i="18" s="1"/>
  <c r="AT246" i="15"/>
  <c r="AU246" i="15"/>
  <c r="AU250" i="15" s="1"/>
  <c r="AQ250" i="15"/>
  <c r="BJ76" i="18"/>
  <c r="BJ75" i="18" s="1"/>
  <c r="BJ74" i="18" s="1"/>
  <c r="AS245" i="15"/>
  <c r="AS244" i="15" s="1"/>
  <c r="BH13" i="18"/>
  <c r="BH12" i="18" s="1"/>
  <c r="AQ20" i="15"/>
  <c r="AF72" i="15"/>
  <c r="AE77" i="15"/>
  <c r="AE61" i="15" s="1"/>
  <c r="BH18" i="18"/>
  <c r="BH17" i="18" s="1"/>
  <c r="AQ40" i="15"/>
  <c r="BH24" i="18"/>
  <c r="BH23" i="18" s="1"/>
  <c r="AQ61" i="15"/>
  <c r="BJ41" i="18"/>
  <c r="BJ40" i="18" s="1"/>
  <c r="AS123" i="15"/>
  <c r="BH48" i="18"/>
  <c r="BH47" i="18" s="1"/>
  <c r="AQ151" i="15"/>
  <c r="BP24" i="18"/>
  <c r="BP23" i="18" s="1"/>
  <c r="BJ13" i="18"/>
  <c r="BJ12" i="18" s="1"/>
  <c r="AS20" i="15"/>
  <c r="BJ20" i="18"/>
  <c r="BJ19" i="18" s="1"/>
  <c r="AS45" i="15"/>
  <c r="BH35" i="18"/>
  <c r="BH34" i="18" s="1"/>
  <c r="AQ106" i="15"/>
  <c r="BH37" i="18"/>
  <c r="BH36" i="18" s="1"/>
  <c r="AQ111" i="15"/>
  <c r="BH43" i="18"/>
  <c r="BH42" i="18" s="1"/>
  <c r="AQ134" i="15"/>
  <c r="BL21" i="18"/>
  <c r="BJ31" i="18"/>
  <c r="BJ30" i="18" s="1"/>
  <c r="AS93" i="15"/>
  <c r="BJ35" i="18"/>
  <c r="BJ34" i="18" s="1"/>
  <c r="AS106" i="15"/>
  <c r="BJ43" i="18"/>
  <c r="BJ42" i="18" s="1"/>
  <c r="AS134" i="15"/>
  <c r="BH52" i="18"/>
  <c r="BH51" i="18" s="1"/>
  <c r="AQ163" i="15"/>
  <c r="BH45" i="18"/>
  <c r="BH44" i="18" s="1"/>
  <c r="AQ140" i="15"/>
  <c r="BH61" i="18"/>
  <c r="BH60" i="18" s="1"/>
  <c r="AQ198" i="15"/>
  <c r="BH56" i="18"/>
  <c r="BH55" i="18" s="1"/>
  <c r="AQ182" i="15"/>
  <c r="BH69" i="18"/>
  <c r="BH68" i="18" s="1"/>
  <c r="AQ226" i="15"/>
  <c r="BH73" i="18"/>
  <c r="BH72" i="18" s="1"/>
  <c r="AQ238" i="15"/>
  <c r="BJ56" i="18"/>
  <c r="BJ55" i="18" s="1"/>
  <c r="AS182" i="15"/>
  <c r="BH65" i="18"/>
  <c r="BH64" i="18" s="1"/>
  <c r="AQ213" i="15"/>
  <c r="AF234" i="15"/>
  <c r="AE237" i="15"/>
  <c r="AE232" i="15" s="1"/>
  <c r="BJ61" i="18"/>
  <c r="AS198" i="15"/>
  <c r="AT83" i="15"/>
  <c r="BB83" i="15" s="1"/>
  <c r="BB85" i="15" s="1"/>
  <c r="AQ85" i="15"/>
  <c r="L5" i="15"/>
  <c r="BR59" i="18"/>
  <c r="BR90" i="18" s="1"/>
  <c r="BR91" i="18" s="1"/>
  <c r="AT210" i="15"/>
  <c r="BB210" i="15" s="1"/>
  <c r="BB212" i="15" s="1"/>
  <c r="AW27" i="18"/>
  <c r="AW26" i="18" s="1"/>
  <c r="AS79" i="14"/>
  <c r="AU288" i="14"/>
  <c r="BB288" i="14" s="1"/>
  <c r="AU280" i="14"/>
  <c r="BB280" i="14" s="1"/>
  <c r="AU282" i="14"/>
  <c r="BB282" i="14" s="1"/>
  <c r="AU287" i="14"/>
  <c r="AF278" i="14"/>
  <c r="AE283" i="14"/>
  <c r="AE277" i="14" s="1"/>
  <c r="AF246" i="14"/>
  <c r="AE250" i="14"/>
  <c r="AF285" i="14"/>
  <c r="AE289" i="14"/>
  <c r="AE284" i="14" s="1"/>
  <c r="AU271" i="14"/>
  <c r="BB271" i="14" s="1"/>
  <c r="AR265" i="14"/>
  <c r="AT260" i="14"/>
  <c r="BB260" i="14" s="1"/>
  <c r="AQ263" i="14"/>
  <c r="AR261" i="14"/>
  <c r="AT261" i="14" s="1"/>
  <c r="BB261" i="14" s="1"/>
  <c r="AF263" i="14"/>
  <c r="AU11" i="18"/>
  <c r="AU10" i="18" s="1"/>
  <c r="AQ16" i="14"/>
  <c r="AU20" i="18"/>
  <c r="AU19" i="18" s="1"/>
  <c r="AQ45" i="14"/>
  <c r="AF71" i="14"/>
  <c r="AE77" i="14"/>
  <c r="AE61" i="14" s="1"/>
  <c r="AW31" i="18"/>
  <c r="AS93" i="14"/>
  <c r="AW41" i="18"/>
  <c r="AW40" i="18" s="1"/>
  <c r="AS123" i="14"/>
  <c r="AU48" i="18"/>
  <c r="AU47" i="18" s="1"/>
  <c r="AQ151" i="14"/>
  <c r="AS151" i="14"/>
  <c r="AW48" i="18"/>
  <c r="AW47" i="18" s="1"/>
  <c r="AW7" i="18"/>
  <c r="AS6" i="14"/>
  <c r="AW24" i="18"/>
  <c r="AW23" i="18" s="1"/>
  <c r="AS61" i="14"/>
  <c r="AU33" i="18"/>
  <c r="AU32" i="18" s="1"/>
  <c r="AQ100" i="14"/>
  <c r="AU45" i="18"/>
  <c r="AU44" i="18" s="1"/>
  <c r="AQ140" i="14"/>
  <c r="AW33" i="18"/>
  <c r="AS100" i="14"/>
  <c r="AW37" i="18"/>
  <c r="AW36" i="18" s="1"/>
  <c r="AS111" i="14"/>
  <c r="AS168" i="14"/>
  <c r="AT164" i="14"/>
  <c r="BB164" i="14" s="1"/>
  <c r="AW11" i="18"/>
  <c r="AW10" i="18" s="1"/>
  <c r="AS16" i="14"/>
  <c r="AW18" i="18"/>
  <c r="AW17" i="18" s="1"/>
  <c r="AS40" i="14"/>
  <c r="AU31" i="18"/>
  <c r="AQ93" i="14"/>
  <c r="AU43" i="18"/>
  <c r="AU42" i="18" s="1"/>
  <c r="AQ134" i="14"/>
  <c r="AV65" i="18"/>
  <c r="AV64" i="18" s="1"/>
  <c r="AR213" i="14"/>
  <c r="AW69" i="18"/>
  <c r="AW68" i="18" s="1"/>
  <c r="AS226" i="14"/>
  <c r="AW73" i="18"/>
  <c r="AW72" i="18" s="1"/>
  <c r="AS238" i="14"/>
  <c r="AT210" i="14"/>
  <c r="BB210" i="14" s="1"/>
  <c r="BB212" i="14" s="1"/>
  <c r="AY63" i="18"/>
  <c r="AQ212" i="14"/>
  <c r="AU63" i="18" s="1"/>
  <c r="AQ225" i="14"/>
  <c r="AQ231" i="14"/>
  <c r="AT239" i="14"/>
  <c r="AQ243" i="14"/>
  <c r="AR222" i="14"/>
  <c r="AR225" i="14" s="1"/>
  <c r="AF225" i="14"/>
  <c r="AF221" i="14" s="1"/>
  <c r="AW67" i="18"/>
  <c r="AW66" i="18" s="1"/>
  <c r="AS221" i="14"/>
  <c r="AQ190" i="14"/>
  <c r="AF190" i="14"/>
  <c r="AR183" i="14"/>
  <c r="AR190" i="14" s="1"/>
  <c r="AQ203" i="14"/>
  <c r="AT199" i="14"/>
  <c r="AU62" i="18"/>
  <c r="AQ85" i="14"/>
  <c r="AU279" i="14"/>
  <c r="BB279" i="14" s="1"/>
  <c r="AF274" i="14"/>
  <c r="AE276" i="14"/>
  <c r="AE269" i="14" s="1"/>
  <c r="AF255" i="14"/>
  <c r="AE258" i="14"/>
  <c r="AT270" i="14"/>
  <c r="AQ273" i="14"/>
  <c r="AT266" i="14"/>
  <c r="AQ268" i="14"/>
  <c r="AU81" i="18" s="1"/>
  <c r="AF267" i="14"/>
  <c r="AR267" i="14" s="1"/>
  <c r="AT267" i="14" s="1"/>
  <c r="BB267" i="14" s="1"/>
  <c r="AE268" i="14"/>
  <c r="AE259" i="14" s="1"/>
  <c r="AW76" i="18"/>
  <c r="AW75" i="18" s="1"/>
  <c r="AS245" i="14"/>
  <c r="AU13" i="18"/>
  <c r="AU12" i="18" s="1"/>
  <c r="AQ20" i="14"/>
  <c r="AU8" i="18"/>
  <c r="AU7" i="18" s="1"/>
  <c r="AQ6" i="14"/>
  <c r="AU24" i="18"/>
  <c r="AU23" i="18" s="1"/>
  <c r="AQ61" i="14"/>
  <c r="AW39" i="18"/>
  <c r="AW38" i="18" s="1"/>
  <c r="AS118" i="14"/>
  <c r="AW45" i="18"/>
  <c r="AW44" i="18" s="1"/>
  <c r="AS140" i="14"/>
  <c r="BC24" i="18"/>
  <c r="BC23" i="18" s="1"/>
  <c r="AT39" i="14"/>
  <c r="AX16" i="18" s="1"/>
  <c r="AU37" i="18"/>
  <c r="AU36" i="18" s="1"/>
  <c r="AQ111" i="14"/>
  <c r="AU39" i="18"/>
  <c r="AU38" i="18" s="1"/>
  <c r="AQ118" i="14"/>
  <c r="AW35" i="18"/>
  <c r="AW34" i="18" s="1"/>
  <c r="AS106" i="14"/>
  <c r="AW43" i="18"/>
  <c r="AW42" i="18" s="1"/>
  <c r="AS134" i="14"/>
  <c r="AU52" i="18"/>
  <c r="AU51" i="18" s="1"/>
  <c r="AQ163" i="14"/>
  <c r="AW13" i="18"/>
  <c r="AW12" i="18" s="1"/>
  <c r="AS20" i="14"/>
  <c r="AW20" i="18"/>
  <c r="AW19" i="18" s="1"/>
  <c r="AS45" i="14"/>
  <c r="AY21" i="18"/>
  <c r="AY19" i="18" s="1"/>
  <c r="AU35" i="18"/>
  <c r="AU34" i="18" s="1"/>
  <c r="AQ106" i="14"/>
  <c r="AU41" i="18"/>
  <c r="AU40" i="18" s="1"/>
  <c r="AQ123" i="14"/>
  <c r="AV61" i="18"/>
  <c r="AW61" i="18"/>
  <c r="AW60" i="18" s="1"/>
  <c r="AS198" i="14"/>
  <c r="AW65" i="18"/>
  <c r="AW64" i="18" s="1"/>
  <c r="AS213" i="14"/>
  <c r="AW71" i="18"/>
  <c r="AW70" i="18" s="1"/>
  <c r="AS232" i="14"/>
  <c r="AS181" i="14"/>
  <c r="AW54" i="18" s="1"/>
  <c r="EJ54" i="18" s="1"/>
  <c r="AT179" i="14"/>
  <c r="BB179" i="14" s="1"/>
  <c r="AW56" i="18"/>
  <c r="AW55" i="18" s="1"/>
  <c r="AS182" i="14"/>
  <c r="AQ193" i="14"/>
  <c r="AU57" i="18" s="1"/>
  <c r="EH57" i="18" s="1"/>
  <c r="AT191" i="14"/>
  <c r="BB191" i="14" s="1"/>
  <c r="BB193" i="14" s="1"/>
  <c r="AQ220" i="14"/>
  <c r="AT214" i="14"/>
  <c r="BB214" i="14" s="1"/>
  <c r="AQ237" i="14"/>
  <c r="AT233" i="14"/>
  <c r="AR206" i="14"/>
  <c r="AV71" i="18"/>
  <c r="AV70" i="18" s="1"/>
  <c r="AR232" i="14"/>
  <c r="AR227" i="14"/>
  <c r="AR231" i="14" s="1"/>
  <c r="AF231" i="14"/>
  <c r="AF226" i="14" s="1"/>
  <c r="M182" i="14"/>
  <c r="M150" i="14" s="1"/>
  <c r="AE182" i="14"/>
  <c r="M198" i="14"/>
  <c r="M197" i="14" s="1"/>
  <c r="AJ33" i="18"/>
  <c r="AJ32" i="18" s="1"/>
  <c r="AS100" i="13"/>
  <c r="AU280" i="13"/>
  <c r="BB280" i="13" s="1"/>
  <c r="AT14" i="13"/>
  <c r="BB14" i="13" s="1"/>
  <c r="AQ44" i="13"/>
  <c r="AQ60" i="13"/>
  <c r="AH22" i="18" s="1"/>
  <c r="AF12" i="13"/>
  <c r="AE15" i="13"/>
  <c r="AF27" i="13"/>
  <c r="AR27" i="13" s="1"/>
  <c r="AT27" i="13" s="1"/>
  <c r="BB27" i="13" s="1"/>
  <c r="AE29" i="13"/>
  <c r="AF47" i="13"/>
  <c r="AE50" i="13"/>
  <c r="AF9" i="13"/>
  <c r="AE11" i="13"/>
  <c r="AE6" i="13" s="1"/>
  <c r="AF18" i="13"/>
  <c r="AE19" i="13"/>
  <c r="AE16" i="13" s="1"/>
  <c r="AF42" i="13"/>
  <c r="AE44" i="13"/>
  <c r="AE40" i="13" s="1"/>
  <c r="AQ273" i="13"/>
  <c r="AR270" i="13"/>
  <c r="AR273" i="13" s="1"/>
  <c r="AF273" i="13"/>
  <c r="AQ283" i="13"/>
  <c r="AF283" i="13"/>
  <c r="AF277" i="13" s="1"/>
  <c r="AR278" i="13"/>
  <c r="AR283" i="13" s="1"/>
  <c r="AL87" i="18"/>
  <c r="AH39" i="18"/>
  <c r="AH38" i="18" s="1"/>
  <c r="AQ118" i="13"/>
  <c r="AF120" i="13"/>
  <c r="AE122" i="13"/>
  <c r="AE118" i="13" s="1"/>
  <c r="AF125" i="13"/>
  <c r="AE133" i="13"/>
  <c r="AE123" i="13" s="1"/>
  <c r="AR135" i="13"/>
  <c r="AP24" i="18"/>
  <c r="AP23" i="18" s="1"/>
  <c r="AJ18" i="18"/>
  <c r="AJ17" i="18" s="1"/>
  <c r="AS40" i="13"/>
  <c r="AJ7" i="18"/>
  <c r="AS6" i="13"/>
  <c r="AJ11" i="18"/>
  <c r="AJ10" i="18" s="1"/>
  <c r="AS16" i="13"/>
  <c r="AQ92" i="13"/>
  <c r="AH29" i="18" s="1"/>
  <c r="AT90" i="13"/>
  <c r="BB90" i="13" s="1"/>
  <c r="AQ117" i="13"/>
  <c r="AT112" i="13"/>
  <c r="BB112" i="13" s="1"/>
  <c r="AR81" i="13"/>
  <c r="AF85" i="13"/>
  <c r="AF86" i="13"/>
  <c r="AE88" i="13"/>
  <c r="AF94" i="13"/>
  <c r="AE99" i="13"/>
  <c r="AE93" i="13" s="1"/>
  <c r="AF113" i="13"/>
  <c r="AE117" i="13"/>
  <c r="AE111" i="13" s="1"/>
  <c r="AF141" i="13"/>
  <c r="AE149" i="13"/>
  <c r="AE140" i="13" s="1"/>
  <c r="AJ41" i="18"/>
  <c r="AJ40" i="18" s="1"/>
  <c r="AS123" i="13"/>
  <c r="AJ52" i="18"/>
  <c r="AJ51" i="18" s="1"/>
  <c r="AS163" i="13"/>
  <c r="AJ56" i="18"/>
  <c r="AJ55" i="18" s="1"/>
  <c r="AS182" i="13"/>
  <c r="AJ61" i="18"/>
  <c r="AJ60" i="18" s="1"/>
  <c r="AS198" i="13"/>
  <c r="AJ65" i="18"/>
  <c r="AJ64" i="18" s="1"/>
  <c r="AS213" i="13"/>
  <c r="AJ69" i="18"/>
  <c r="AJ68" i="18" s="1"/>
  <c r="AS226" i="13"/>
  <c r="AH56" i="18"/>
  <c r="AH55" i="18" s="1"/>
  <c r="AQ182" i="13"/>
  <c r="AH69" i="18"/>
  <c r="AH68" i="18" s="1"/>
  <c r="AQ226" i="13"/>
  <c r="AH73" i="18"/>
  <c r="AH72" i="18" s="1"/>
  <c r="AQ238" i="13"/>
  <c r="AH65" i="18"/>
  <c r="AH64" i="18" s="1"/>
  <c r="AQ213" i="13"/>
  <c r="AJ39" i="18"/>
  <c r="AJ38" i="18" s="1"/>
  <c r="AS118" i="13"/>
  <c r="AH52" i="18"/>
  <c r="AH51" i="18" s="1"/>
  <c r="AQ163" i="13"/>
  <c r="AM245" i="13"/>
  <c r="AM244" i="13" s="1"/>
  <c r="AF245" i="13"/>
  <c r="M245" i="13"/>
  <c r="M244" i="13" s="1"/>
  <c r="AE245" i="13"/>
  <c r="AU263" i="13"/>
  <c r="AS243" i="13"/>
  <c r="AT251" i="13"/>
  <c r="AQ254" i="13"/>
  <c r="AH77" i="18" s="1"/>
  <c r="AU271" i="13"/>
  <c r="BB271" i="13" s="1"/>
  <c r="AU279" i="13"/>
  <c r="BB279" i="13" s="1"/>
  <c r="AR245" i="13"/>
  <c r="AI76" i="18"/>
  <c r="AI75" i="18" s="1"/>
  <c r="AQ268" i="13"/>
  <c r="AH81" i="18" s="1"/>
  <c r="AH79" i="18" s="1"/>
  <c r="AF268" i="13"/>
  <c r="AF259" i="13" s="1"/>
  <c r="AR264" i="13"/>
  <c r="AR268" i="13" s="1"/>
  <c r="AI81" i="18" s="1"/>
  <c r="AQ276" i="13"/>
  <c r="AH84" i="18" s="1"/>
  <c r="AF276" i="13"/>
  <c r="AR274" i="13"/>
  <c r="AR276" i="13" s="1"/>
  <c r="AI84" i="18" s="1"/>
  <c r="AQ289" i="13"/>
  <c r="AF289" i="13"/>
  <c r="AF284" i="13" s="1"/>
  <c r="AR285" i="13"/>
  <c r="AR289" i="13" s="1"/>
  <c r="AQ15" i="13"/>
  <c r="AQ29" i="13"/>
  <c r="AH14" i="18" s="1"/>
  <c r="AH20" i="18"/>
  <c r="AH19" i="18" s="1"/>
  <c r="AQ45" i="13"/>
  <c r="AR21" i="13"/>
  <c r="AF51" i="13"/>
  <c r="AE56" i="13"/>
  <c r="AU252" i="13"/>
  <c r="AU254" i="13" s="1"/>
  <c r="AL77" i="18" s="1"/>
  <c r="EL77" i="18" s="1"/>
  <c r="AU266" i="13"/>
  <c r="AU268" i="13" s="1"/>
  <c r="AL81" i="18" s="1"/>
  <c r="AH13" i="18"/>
  <c r="AH12" i="18" s="1"/>
  <c r="AH24" i="18"/>
  <c r="AH23" i="18" s="1"/>
  <c r="AQ61" i="13"/>
  <c r="AF22" i="13"/>
  <c r="AR22" i="13" s="1"/>
  <c r="AT22" i="13" s="1"/>
  <c r="AE25" i="13"/>
  <c r="AR26" i="13"/>
  <c r="AF31" i="13"/>
  <c r="AE37" i="13"/>
  <c r="AR38" i="13"/>
  <c r="AF39" i="13"/>
  <c r="AF57" i="13"/>
  <c r="AE60" i="13"/>
  <c r="AT246" i="13"/>
  <c r="AQ250" i="13"/>
  <c r="AJ76" i="18"/>
  <c r="AJ75" i="18" s="1"/>
  <c r="AJ74" i="18" s="1"/>
  <c r="AS245" i="13"/>
  <c r="AS244" i="13" s="1"/>
  <c r="AQ258" i="13"/>
  <c r="AH78" i="18" s="1"/>
  <c r="EH78" i="18" s="1"/>
  <c r="AT255" i="13"/>
  <c r="BB255" i="13" s="1"/>
  <c r="BB258" i="13" s="1"/>
  <c r="AT263" i="13"/>
  <c r="AQ87" i="18"/>
  <c r="EQ88" i="18"/>
  <c r="EQ87" i="18" s="1"/>
  <c r="AJ24" i="18"/>
  <c r="AJ23" i="18" s="1"/>
  <c r="AS61" i="13"/>
  <c r="AH35" i="18"/>
  <c r="AH34" i="18" s="1"/>
  <c r="AQ106" i="13"/>
  <c r="AH45" i="18"/>
  <c r="AH44" i="18" s="1"/>
  <c r="AQ140" i="13"/>
  <c r="AF101" i="13"/>
  <c r="AE105" i="13"/>
  <c r="AE100" i="13" s="1"/>
  <c r="AJ35" i="18"/>
  <c r="AJ34" i="18" s="1"/>
  <c r="AS106" i="13"/>
  <c r="AJ13" i="18"/>
  <c r="AJ12" i="18" s="1"/>
  <c r="AS20" i="13"/>
  <c r="AJ20" i="18"/>
  <c r="AJ19" i="18" s="1"/>
  <c r="AS45" i="13"/>
  <c r="AH27" i="18"/>
  <c r="AH26" i="18" s="1"/>
  <c r="AQ79" i="13"/>
  <c r="AT95" i="13"/>
  <c r="BB95" i="13" s="1"/>
  <c r="AH33" i="18"/>
  <c r="AH32" i="18" s="1"/>
  <c r="AQ100" i="13"/>
  <c r="AQ133" i="13"/>
  <c r="AT124" i="13"/>
  <c r="BB124" i="13" s="1"/>
  <c r="AF89" i="13"/>
  <c r="AE92" i="13"/>
  <c r="AF108" i="13"/>
  <c r="AE110" i="13"/>
  <c r="AE106" i="13" s="1"/>
  <c r="AF136" i="13"/>
  <c r="AR136" i="13" s="1"/>
  <c r="AT136" i="13" s="1"/>
  <c r="BB136" i="13" s="1"/>
  <c r="AE139" i="13"/>
  <c r="AE134" i="13" s="1"/>
  <c r="AJ37" i="18"/>
  <c r="AJ36" i="18" s="1"/>
  <c r="AS111" i="13"/>
  <c r="AJ43" i="18"/>
  <c r="AJ42" i="18" s="1"/>
  <c r="AS134" i="13"/>
  <c r="AJ48" i="18"/>
  <c r="AJ47" i="18" s="1"/>
  <c r="AJ46" i="18" s="1"/>
  <c r="AS151" i="13"/>
  <c r="AJ67" i="18"/>
  <c r="AS221" i="13"/>
  <c r="AH48" i="18"/>
  <c r="AH47" i="18" s="1"/>
  <c r="AQ151" i="13"/>
  <c r="AQ150" i="13" s="1"/>
  <c r="AH67" i="18"/>
  <c r="AH66" i="18" s="1"/>
  <c r="AQ221" i="13"/>
  <c r="AL61" i="18"/>
  <c r="AJ45" i="18"/>
  <c r="AJ44" i="18" s="1"/>
  <c r="AS140" i="13"/>
  <c r="AH61" i="18"/>
  <c r="AH60" i="18" s="1"/>
  <c r="AQ198" i="13"/>
  <c r="AH71" i="18"/>
  <c r="AH70" i="18" s="1"/>
  <c r="AQ232" i="13"/>
  <c r="AJ71" i="18"/>
  <c r="AJ70" i="18" s="1"/>
  <c r="AS232" i="13"/>
  <c r="EH22" i="18"/>
  <c r="EH14" i="18"/>
  <c r="W27" i="18"/>
  <c r="W26" i="18" s="1"/>
  <c r="U61" i="18"/>
  <c r="W73" i="18"/>
  <c r="W72" i="18" s="1"/>
  <c r="AS238" i="12"/>
  <c r="U18" i="18"/>
  <c r="U17" i="18" s="1"/>
  <c r="AQ40" i="12"/>
  <c r="AT76" i="12"/>
  <c r="BB76" i="12" s="1"/>
  <c r="U8" i="18"/>
  <c r="AQ6" i="12"/>
  <c r="U11" i="18"/>
  <c r="U10" i="18" s="1"/>
  <c r="AQ16" i="12"/>
  <c r="AF17" i="12"/>
  <c r="AE19" i="12"/>
  <c r="AE16" i="12" s="1"/>
  <c r="W18" i="18"/>
  <c r="W17" i="18" s="1"/>
  <c r="AS40" i="12"/>
  <c r="U35" i="18"/>
  <c r="U34" i="18" s="1"/>
  <c r="AQ106" i="12"/>
  <c r="U43" i="18"/>
  <c r="U42" i="18" s="1"/>
  <c r="AQ134" i="12"/>
  <c r="W13" i="18"/>
  <c r="W12" i="18" s="1"/>
  <c r="AS20" i="12"/>
  <c r="W24" i="18"/>
  <c r="W23" i="18" s="1"/>
  <c r="AS61" i="12"/>
  <c r="U33" i="18"/>
  <c r="U32" i="18" s="1"/>
  <c r="AQ100" i="12"/>
  <c r="U41" i="18"/>
  <c r="U40" i="18" s="1"/>
  <c r="AQ123" i="12"/>
  <c r="W7" i="18"/>
  <c r="AS6" i="12"/>
  <c r="W37" i="18"/>
  <c r="W36" i="18" s="1"/>
  <c r="W45" i="18"/>
  <c r="W44" i="18" s="1"/>
  <c r="AS140" i="12"/>
  <c r="AR191" i="12"/>
  <c r="U71" i="18"/>
  <c r="U70" i="18" s="1"/>
  <c r="AQ232" i="12"/>
  <c r="AF204" i="12"/>
  <c r="AF209" i="12" s="1"/>
  <c r="AE231" i="12"/>
  <c r="AE226" i="12" s="1"/>
  <c r="AF227" i="12"/>
  <c r="AE237" i="12"/>
  <c r="AE232" i="12" s="1"/>
  <c r="AF233" i="12"/>
  <c r="AR288" i="12"/>
  <c r="AF289" i="12"/>
  <c r="AF284" i="12" s="1"/>
  <c r="U45" i="18"/>
  <c r="U44" i="18" s="1"/>
  <c r="AQ140" i="12"/>
  <c r="V27" i="18"/>
  <c r="U48" i="18"/>
  <c r="U47" i="18" s="1"/>
  <c r="AQ151" i="12"/>
  <c r="W31" i="18"/>
  <c r="AS93" i="12"/>
  <c r="W43" i="18"/>
  <c r="W42" i="18" s="1"/>
  <c r="AS134" i="12"/>
  <c r="W48" i="18"/>
  <c r="W47" i="18" s="1"/>
  <c r="AS151" i="12"/>
  <c r="W52" i="18"/>
  <c r="W51" i="18" s="1"/>
  <c r="AS163" i="12"/>
  <c r="AF214" i="12"/>
  <c r="AE220" i="12"/>
  <c r="AE213" i="12" s="1"/>
  <c r="AF240" i="12"/>
  <c r="AE243" i="12"/>
  <c r="AE238" i="12" s="1"/>
  <c r="W76" i="18"/>
  <c r="W75" i="18" s="1"/>
  <c r="W74" i="18" s="1"/>
  <c r="AS245" i="12"/>
  <c r="AS244" i="12" s="1"/>
  <c r="AT258" i="12"/>
  <c r="X78" i="18" s="1"/>
  <c r="U81" i="18"/>
  <c r="AE245" i="12"/>
  <c r="AR268" i="12"/>
  <c r="V81" i="18" s="1"/>
  <c r="AN245" i="12"/>
  <c r="AN244" i="12" s="1"/>
  <c r="AF12" i="12"/>
  <c r="AE15" i="12"/>
  <c r="AE6" i="12" s="1"/>
  <c r="U13" i="18"/>
  <c r="AQ20" i="12"/>
  <c r="U20" i="18"/>
  <c r="U19" i="18" s="1"/>
  <c r="AQ45" i="12"/>
  <c r="AF24" i="12"/>
  <c r="AE25" i="12"/>
  <c r="AE20" i="12" s="1"/>
  <c r="W11" i="18"/>
  <c r="W10" i="18" s="1"/>
  <c r="AS16" i="12"/>
  <c r="W20" i="18"/>
  <c r="W19" i="18" s="1"/>
  <c r="AS45" i="12"/>
  <c r="U37" i="18"/>
  <c r="U36" i="18" s="1"/>
  <c r="AQ111" i="12"/>
  <c r="Y14" i="18"/>
  <c r="U31" i="18"/>
  <c r="U30" i="18" s="1"/>
  <c r="AQ93" i="12"/>
  <c r="U39" i="18"/>
  <c r="U38" i="18" s="1"/>
  <c r="AQ118" i="12"/>
  <c r="AC21" i="18"/>
  <c r="W33" i="18"/>
  <c r="W32" i="18" s="1"/>
  <c r="AS100" i="12"/>
  <c r="W39" i="18"/>
  <c r="AS118" i="12"/>
  <c r="AT200" i="12"/>
  <c r="BB200" i="12" s="1"/>
  <c r="Y63" i="18"/>
  <c r="U63" i="18"/>
  <c r="AE203" i="12"/>
  <c r="AF201" i="12"/>
  <c r="AE212" i="12"/>
  <c r="AF210" i="12"/>
  <c r="AE225" i="12"/>
  <c r="AE221" i="12" s="1"/>
  <c r="AF222" i="12"/>
  <c r="AR251" i="12"/>
  <c r="AR254" i="12" s="1"/>
  <c r="V77" i="18" s="1"/>
  <c r="AF254" i="12"/>
  <c r="AR274" i="12"/>
  <c r="AF276" i="12"/>
  <c r="W41" i="18"/>
  <c r="W40" i="18" s="1"/>
  <c r="AS123" i="12"/>
  <c r="AF183" i="12"/>
  <c r="AE190" i="12"/>
  <c r="AF192" i="12"/>
  <c r="AR192" i="12" s="1"/>
  <c r="AT192" i="12" s="1"/>
  <c r="BB192" i="12" s="1"/>
  <c r="AE193" i="12"/>
  <c r="U67" i="18"/>
  <c r="U66" i="18" s="1"/>
  <c r="AQ221" i="12"/>
  <c r="AT239" i="12"/>
  <c r="Y62" i="18"/>
  <c r="W61" i="18"/>
  <c r="W60" i="18" s="1"/>
  <c r="AS198" i="12"/>
  <c r="U52" i="18"/>
  <c r="U51" i="18" s="1"/>
  <c r="AQ163" i="12"/>
  <c r="W69" i="18"/>
  <c r="W68" i="18" s="1"/>
  <c r="AS226" i="12"/>
  <c r="W71" i="18"/>
  <c r="W70" i="18" s="1"/>
  <c r="AS232" i="12"/>
  <c r="U80" i="18"/>
  <c r="U79" i="18" s="1"/>
  <c r="AR270" i="12"/>
  <c r="AF273" i="12"/>
  <c r="AT251" i="12"/>
  <c r="BB251" i="12" s="1"/>
  <c r="BB254" i="12" s="1"/>
  <c r="U77" i="18"/>
  <c r="EH77" i="18" s="1"/>
  <c r="AF81" i="18"/>
  <c r="AT268" i="12"/>
  <c r="X81" i="18" s="1"/>
  <c r="AR246" i="12"/>
  <c r="AR250" i="12" s="1"/>
  <c r="AF250" i="12"/>
  <c r="AR261" i="12"/>
  <c r="AR263" i="12" s="1"/>
  <c r="AF263" i="12"/>
  <c r="AQ83" i="12"/>
  <c r="AQ85" i="12" s="1"/>
  <c r="AT199" i="12"/>
  <c r="AN197" i="12"/>
  <c r="M245" i="12"/>
  <c r="M244" i="12" s="1"/>
  <c r="AF258" i="12"/>
  <c r="AF268" i="12"/>
  <c r="J27" i="18"/>
  <c r="AS79" i="1"/>
  <c r="H20" i="18"/>
  <c r="H19" i="18" s="1"/>
  <c r="AQ45" i="1"/>
  <c r="J20" i="18"/>
  <c r="AS45" i="1"/>
  <c r="H18" i="18"/>
  <c r="H17" i="18" s="1"/>
  <c r="AQ40" i="1"/>
  <c r="L14" i="18"/>
  <c r="J13" i="18"/>
  <c r="AS20" i="1"/>
  <c r="J18" i="18"/>
  <c r="AS40" i="1"/>
  <c r="H8" i="18"/>
  <c r="H7" i="18" s="1"/>
  <c r="AQ6" i="1"/>
  <c r="H37" i="18"/>
  <c r="H36" i="18" s="1"/>
  <c r="AQ111" i="1"/>
  <c r="H45" i="18"/>
  <c r="H44" i="18" s="1"/>
  <c r="AQ140" i="1"/>
  <c r="H43" i="18"/>
  <c r="H42" i="18" s="1"/>
  <c r="AQ134" i="1"/>
  <c r="J43" i="18"/>
  <c r="AS134" i="1"/>
  <c r="J35" i="18"/>
  <c r="AS106" i="1"/>
  <c r="J52" i="18"/>
  <c r="AS163" i="1"/>
  <c r="EJ58" i="18"/>
  <c r="J33" i="18"/>
  <c r="J69" i="18"/>
  <c r="AS226" i="1"/>
  <c r="J73" i="18"/>
  <c r="AS238" i="1"/>
  <c r="J76" i="18"/>
  <c r="AS245" i="1"/>
  <c r="H67" i="18"/>
  <c r="H66" i="18" s="1"/>
  <c r="AQ221" i="1"/>
  <c r="J61" i="18"/>
  <c r="H80" i="18"/>
  <c r="H79" i="18" s="1"/>
  <c r="AQ259" i="1"/>
  <c r="H56" i="18"/>
  <c r="H65" i="18"/>
  <c r="H64" i="18" s="1"/>
  <c r="AQ213" i="1"/>
  <c r="H69" i="18"/>
  <c r="H68" i="18" s="1"/>
  <c r="AQ226" i="1"/>
  <c r="H71" i="18"/>
  <c r="H70" i="18" s="1"/>
  <c r="AQ232" i="1"/>
  <c r="H73" i="18"/>
  <c r="H72" i="18" s="1"/>
  <c r="AQ238" i="1"/>
  <c r="AQ273" i="1"/>
  <c r="AT270" i="1"/>
  <c r="BB270" i="1" s="1"/>
  <c r="J83" i="18"/>
  <c r="AS269" i="1"/>
  <c r="AT83" i="1"/>
  <c r="BB83" i="1" s="1"/>
  <c r="AS208" i="1"/>
  <c r="J24" i="18"/>
  <c r="AS61" i="1"/>
  <c r="H11" i="18"/>
  <c r="H10" i="18" s="1"/>
  <c r="AQ16" i="1"/>
  <c r="H13" i="18"/>
  <c r="H12" i="18" s="1"/>
  <c r="AQ20" i="1"/>
  <c r="H24" i="18"/>
  <c r="H23" i="18" s="1"/>
  <c r="AQ61" i="1"/>
  <c r="J8" i="18"/>
  <c r="AS6" i="1"/>
  <c r="J11" i="18"/>
  <c r="AS16" i="1"/>
  <c r="H33" i="18"/>
  <c r="H32" i="18" s="1"/>
  <c r="H39" i="18"/>
  <c r="H38" i="18" s="1"/>
  <c r="AQ118" i="1"/>
  <c r="I27" i="18"/>
  <c r="H41" i="18"/>
  <c r="H40" i="18" s="1"/>
  <c r="AQ123" i="1"/>
  <c r="J41" i="18"/>
  <c r="AS123" i="1"/>
  <c r="J31" i="18"/>
  <c r="AS93" i="1"/>
  <c r="H52" i="18"/>
  <c r="H51" i="18" s="1"/>
  <c r="AQ163" i="1"/>
  <c r="J45" i="18"/>
  <c r="AS140" i="1"/>
  <c r="AS151" i="1"/>
  <c r="BB85" i="1"/>
  <c r="J37" i="18"/>
  <c r="AS111" i="1"/>
  <c r="J56" i="18"/>
  <c r="AS182" i="1"/>
  <c r="L62" i="18"/>
  <c r="J65" i="18"/>
  <c r="AS213" i="1"/>
  <c r="J71" i="18"/>
  <c r="AS232" i="1"/>
  <c r="J86" i="18"/>
  <c r="AS277" i="1"/>
  <c r="H76" i="18"/>
  <c r="H75" i="18" s="1"/>
  <c r="AQ245" i="1"/>
  <c r="EH84" i="18"/>
  <c r="J88" i="18"/>
  <c r="AS284" i="1"/>
  <c r="AS263" i="1"/>
  <c r="AQ85" i="1"/>
  <c r="Q90" i="18"/>
  <c r="AT208" i="1"/>
  <c r="BB208" i="1" s="1"/>
  <c r="BB67" i="12" l="1"/>
  <c r="AU77" i="12"/>
  <c r="AU61" i="12" s="1"/>
  <c r="Q91" i="18"/>
  <c r="AS5" i="12"/>
  <c r="AU289" i="15"/>
  <c r="CO91" i="18"/>
  <c r="AE20" i="1"/>
  <c r="AE6" i="14"/>
  <c r="BB205" i="1"/>
  <c r="AS268" i="14"/>
  <c r="M150" i="23"/>
  <c r="EB90" i="18"/>
  <c r="EB91" i="18" s="1"/>
  <c r="BB28" i="1"/>
  <c r="AE151" i="12"/>
  <c r="AF178" i="16"/>
  <c r="AE182" i="16"/>
  <c r="DE90" i="18"/>
  <c r="DE91" i="18" s="1"/>
  <c r="AU292" i="21"/>
  <c r="BB258" i="12"/>
  <c r="AF78" i="18" s="1"/>
  <c r="CZ90" i="18"/>
  <c r="CZ91" i="18" s="1"/>
  <c r="EM74" i="18"/>
  <c r="ER74" i="18"/>
  <c r="CR91" i="18"/>
  <c r="ER6" i="18"/>
  <c r="AU289" i="23"/>
  <c r="AU284" i="23" s="1"/>
  <c r="BB41" i="17"/>
  <c r="BL19" i="18"/>
  <c r="BB246" i="15"/>
  <c r="AU77" i="16"/>
  <c r="AU61" i="16" s="1"/>
  <c r="AF259" i="12"/>
  <c r="AT188" i="22"/>
  <c r="BB188" i="22" s="1"/>
  <c r="DY7" i="18"/>
  <c r="AN197" i="17"/>
  <c r="BB29" i="15"/>
  <c r="BB289" i="16"/>
  <c r="BB284" i="16" s="1"/>
  <c r="BB283" i="16"/>
  <c r="BB277" i="16" s="1"/>
  <c r="AS182" i="12"/>
  <c r="W56" i="18"/>
  <c r="AU199" i="12"/>
  <c r="AU203" i="12" s="1"/>
  <c r="AU198" i="12" s="1"/>
  <c r="AH88" i="18"/>
  <c r="AH87" i="18" s="1"/>
  <c r="AQ284" i="13"/>
  <c r="AI86" i="18"/>
  <c r="AI85" i="18" s="1"/>
  <c r="AR277" i="13"/>
  <c r="AI83" i="18"/>
  <c r="AR269" i="13"/>
  <c r="AU233" i="14"/>
  <c r="AU237" i="14" s="1"/>
  <c r="AU232" i="14" s="1"/>
  <c r="AU199" i="14"/>
  <c r="AU203" i="14" s="1"/>
  <c r="AU80" i="18"/>
  <c r="AQ259" i="14"/>
  <c r="BK83" i="18"/>
  <c r="AT272" i="22"/>
  <c r="AR273" i="22"/>
  <c r="AT264" i="23"/>
  <c r="AS268" i="23"/>
  <c r="AT160" i="1"/>
  <c r="BB160" i="1" s="1"/>
  <c r="AQ162" i="1"/>
  <c r="H50" i="18" s="1"/>
  <c r="AE244" i="12"/>
  <c r="AS78" i="12"/>
  <c r="CC91" i="18"/>
  <c r="AE244" i="16"/>
  <c r="AN5" i="1"/>
  <c r="AE79" i="12"/>
  <c r="AE6" i="15"/>
  <c r="AF178" i="15"/>
  <c r="AE45" i="15"/>
  <c r="AN150" i="17"/>
  <c r="CL20" i="18"/>
  <c r="AU209" i="22"/>
  <c r="BB270" i="15"/>
  <c r="BB273" i="15" s="1"/>
  <c r="BB147" i="17"/>
  <c r="BB199" i="16"/>
  <c r="AT11" i="12"/>
  <c r="X8" i="18" s="1"/>
  <c r="BB227" i="17"/>
  <c r="EU88" i="18"/>
  <c r="BB41" i="13"/>
  <c r="BB75" i="13"/>
  <c r="AN244" i="22"/>
  <c r="BB52" i="16"/>
  <c r="BB205" i="12"/>
  <c r="BB287" i="15"/>
  <c r="V80" i="18"/>
  <c r="V79" i="18" s="1"/>
  <c r="AR259" i="12"/>
  <c r="AU83" i="18"/>
  <c r="AU82" i="18" s="1"/>
  <c r="AQ269" i="14"/>
  <c r="BX86" i="18"/>
  <c r="BX85" i="18" s="1"/>
  <c r="AT277" i="16"/>
  <c r="CL88" i="18"/>
  <c r="CL87" i="18" s="1"/>
  <c r="AU284" i="17"/>
  <c r="AU38" i="14"/>
  <c r="AU39" i="14" s="1"/>
  <c r="AY16" i="18" s="1"/>
  <c r="AR289" i="23"/>
  <c r="AT285" i="23"/>
  <c r="AS268" i="22"/>
  <c r="AT266" i="22"/>
  <c r="CV77" i="18"/>
  <c r="AT234" i="17"/>
  <c r="AS237" i="17"/>
  <c r="AS212" i="17"/>
  <c r="AT211" i="17"/>
  <c r="BB211" i="17" s="1"/>
  <c r="AU210" i="17"/>
  <c r="AU212" i="17" s="1"/>
  <c r="CL63" i="18" s="1"/>
  <c r="AQ212" i="17"/>
  <c r="CH63" i="18" s="1"/>
  <c r="EH63" i="18" s="1"/>
  <c r="AT210" i="17"/>
  <c r="AQ156" i="17"/>
  <c r="AT152" i="17"/>
  <c r="BB152" i="17" s="1"/>
  <c r="AT152" i="1"/>
  <c r="BB152" i="1" s="1"/>
  <c r="AQ156" i="1"/>
  <c r="AT166" i="23"/>
  <c r="BB166" i="23" s="1"/>
  <c r="AQ168" i="23"/>
  <c r="AT279" i="23"/>
  <c r="AR283" i="23"/>
  <c r="AR289" i="22"/>
  <c r="AT285" i="22"/>
  <c r="AT217" i="17"/>
  <c r="AS220" i="17"/>
  <c r="AT90" i="23"/>
  <c r="BB90" i="23" s="1"/>
  <c r="AQ92" i="23"/>
  <c r="DU29" i="18" s="1"/>
  <c r="AQ203" i="17"/>
  <c r="AT199" i="17"/>
  <c r="AQ105" i="15"/>
  <c r="AU241" i="13"/>
  <c r="BB241" i="13" s="1"/>
  <c r="U12" i="18"/>
  <c r="AE244" i="13"/>
  <c r="AF269" i="13"/>
  <c r="EU47" i="18"/>
  <c r="EU79" i="18"/>
  <c r="BB251" i="17"/>
  <c r="BB256" i="17"/>
  <c r="EU12" i="18"/>
  <c r="AU29" i="17"/>
  <c r="AR11" i="12"/>
  <c r="V8" i="18" s="1"/>
  <c r="EM59" i="18"/>
  <c r="AU231" i="15"/>
  <c r="AU226" i="15" s="1"/>
  <c r="BB266" i="13"/>
  <c r="AF244" i="22"/>
  <c r="AU239" i="12"/>
  <c r="BB239" i="12" s="1"/>
  <c r="AI88" i="18"/>
  <c r="AI87" i="18" s="1"/>
  <c r="AR284" i="13"/>
  <c r="AH86" i="18"/>
  <c r="AH85" i="18" s="1"/>
  <c r="AQ277" i="13"/>
  <c r="AU239" i="14"/>
  <c r="BB239" i="14" s="1"/>
  <c r="BL88" i="18"/>
  <c r="BL87" i="18" s="1"/>
  <c r="AU284" i="15"/>
  <c r="BX88" i="18"/>
  <c r="BX87" i="18" s="1"/>
  <c r="AT284" i="16"/>
  <c r="AU64" i="1"/>
  <c r="AU77" i="1" s="1"/>
  <c r="AU61" i="1" s="1"/>
  <c r="AU192" i="15"/>
  <c r="AU193" i="15" s="1"/>
  <c r="AU182" i="15" s="1"/>
  <c r="AU150" i="15" s="1"/>
  <c r="AU38" i="16"/>
  <c r="AU39" i="16" s="1"/>
  <c r="BB38" i="16"/>
  <c r="BB39" i="16" s="1"/>
  <c r="AU52" i="13"/>
  <c r="AU56" i="13" s="1"/>
  <c r="CY62" i="18"/>
  <c r="AT270" i="23"/>
  <c r="AR273" i="23"/>
  <c r="AT199" i="1"/>
  <c r="AQ203" i="1"/>
  <c r="AQ99" i="1"/>
  <c r="AR94" i="1"/>
  <c r="AT94" i="1" s="1"/>
  <c r="AF99" i="1"/>
  <c r="AU259" i="13"/>
  <c r="BB220" i="14"/>
  <c r="BB213" i="14" s="1"/>
  <c r="AU289" i="14"/>
  <c r="EH28" i="18"/>
  <c r="AE245" i="17"/>
  <c r="AE269" i="17"/>
  <c r="AN5" i="22"/>
  <c r="AU77" i="14"/>
  <c r="AU61" i="14" s="1"/>
  <c r="EU82" i="18"/>
  <c r="BB274" i="23"/>
  <c r="BB276" i="23" s="1"/>
  <c r="BB287" i="17"/>
  <c r="BB287" i="14"/>
  <c r="BB46" i="13"/>
  <c r="BB52" i="14"/>
  <c r="BB41" i="15"/>
  <c r="BB28" i="12"/>
  <c r="AT155" i="17"/>
  <c r="BB155" i="17" s="1"/>
  <c r="BB266" i="17"/>
  <c r="AQ244" i="12"/>
  <c r="M244" i="1"/>
  <c r="M150" i="1"/>
  <c r="BB26" i="17"/>
  <c r="BB29" i="17" s="1"/>
  <c r="AQ259" i="13"/>
  <c r="BB13" i="12"/>
  <c r="M198" i="17"/>
  <c r="M197" i="17" s="1"/>
  <c r="BB147" i="16"/>
  <c r="BB227" i="15"/>
  <c r="BB147" i="15"/>
  <c r="BB52" i="12"/>
  <c r="AU220" i="1"/>
  <c r="AU213" i="1" s="1"/>
  <c r="BB47" i="1"/>
  <c r="AU22" i="13"/>
  <c r="BB22" i="13" s="1"/>
  <c r="AH83" i="18"/>
  <c r="AQ269" i="13"/>
  <c r="AU22" i="16"/>
  <c r="BB22" i="16" s="1"/>
  <c r="AU52" i="1"/>
  <c r="AU56" i="1" s="1"/>
  <c r="AU45" i="1" s="1"/>
  <c r="AS283" i="22"/>
  <c r="AT281" i="22"/>
  <c r="BB281" i="22" s="1"/>
  <c r="AR283" i="22"/>
  <c r="AT279" i="22"/>
  <c r="AT223" i="17"/>
  <c r="AS225" i="17"/>
  <c r="AQ289" i="1"/>
  <c r="AT285" i="1"/>
  <c r="BB285" i="1" s="1"/>
  <c r="CU29" i="18"/>
  <c r="EH29" i="18" s="1"/>
  <c r="AR263" i="17"/>
  <c r="CI80" i="18" s="1"/>
  <c r="AT261" i="17"/>
  <c r="AT278" i="1"/>
  <c r="BB278" i="1" s="1"/>
  <c r="AQ283" i="1"/>
  <c r="AS250" i="23"/>
  <c r="AT246" i="23"/>
  <c r="AT251" i="22"/>
  <c r="AS254" i="22"/>
  <c r="AT216" i="17"/>
  <c r="BB216" i="17" s="1"/>
  <c r="AQ220" i="17"/>
  <c r="AT194" i="1"/>
  <c r="BB194" i="1" s="1"/>
  <c r="AQ196" i="1"/>
  <c r="AF105" i="15"/>
  <c r="AF100" i="15" s="1"/>
  <c r="AF78" i="15" s="1"/>
  <c r="AR101" i="15"/>
  <c r="AR105" i="15" s="1"/>
  <c r="AW86" i="18"/>
  <c r="AW85" i="18" s="1"/>
  <c r="AS277" i="14"/>
  <c r="AF269" i="12"/>
  <c r="AF244" i="13"/>
  <c r="BB263" i="14"/>
  <c r="AE6" i="1"/>
  <c r="AQ244" i="14"/>
  <c r="BB274" i="16"/>
  <c r="BB276" i="16" s="1"/>
  <c r="BB252" i="13"/>
  <c r="BB11" i="12"/>
  <c r="AU220" i="16"/>
  <c r="AU213" i="16" s="1"/>
  <c r="EU87" i="18"/>
  <c r="BB266" i="16"/>
  <c r="AS209" i="1"/>
  <c r="AF244" i="23"/>
  <c r="M198" i="1"/>
  <c r="M197" i="1" s="1"/>
  <c r="BB7" i="13"/>
  <c r="AX45" i="1"/>
  <c r="AQ244" i="23"/>
  <c r="CY81" i="18"/>
  <c r="CY79" i="18" s="1"/>
  <c r="CL81" i="18"/>
  <c r="AU259" i="17"/>
  <c r="BY81" i="18"/>
  <c r="AU259" i="16"/>
  <c r="BU74" i="18"/>
  <c r="AF259" i="15"/>
  <c r="AI80" i="18"/>
  <c r="AR259" i="13"/>
  <c r="AR244" i="13" s="1"/>
  <c r="AK80" i="18"/>
  <c r="AU239" i="23"/>
  <c r="BB239" i="23" s="1"/>
  <c r="DY81" i="18"/>
  <c r="AU259" i="23"/>
  <c r="AU22" i="23"/>
  <c r="AU25" i="23" s="1"/>
  <c r="DV75" i="18"/>
  <c r="AU234" i="23"/>
  <c r="BB234" i="23" s="1"/>
  <c r="DX80" i="18"/>
  <c r="DY84" i="18"/>
  <c r="AU269" i="23"/>
  <c r="AU31" i="23"/>
  <c r="BB31" i="23" s="1"/>
  <c r="AU65" i="23"/>
  <c r="AU77" i="23" s="1"/>
  <c r="AU61" i="23" s="1"/>
  <c r="AU45" i="23"/>
  <c r="BB251" i="23"/>
  <c r="BB254" i="23" s="1"/>
  <c r="BB266" i="23"/>
  <c r="BB287" i="23"/>
  <c r="AF178" i="23"/>
  <c r="AU220" i="23"/>
  <c r="AU213" i="23" s="1"/>
  <c r="BB256" i="23"/>
  <c r="BB258" i="23" s="1"/>
  <c r="BB192" i="23"/>
  <c r="BB52" i="23"/>
  <c r="BB38" i="23"/>
  <c r="BB39" i="23" s="1"/>
  <c r="AU199" i="22"/>
  <c r="AU203" i="22" s="1"/>
  <c r="AU198" i="22" s="1"/>
  <c r="DK80" i="18"/>
  <c r="DL84" i="18"/>
  <c r="DL82" i="18" s="1"/>
  <c r="AU269" i="22"/>
  <c r="AU22" i="22"/>
  <c r="AU25" i="22" s="1"/>
  <c r="AU235" i="22"/>
  <c r="AU237" i="22" s="1"/>
  <c r="AU232" i="22" s="1"/>
  <c r="AU28" i="22"/>
  <c r="BB28" i="22" s="1"/>
  <c r="AT41" i="22"/>
  <c r="AR44" i="22"/>
  <c r="AU65" i="22"/>
  <c r="BB65" i="22"/>
  <c r="BB258" i="22"/>
  <c r="BB278" i="22"/>
  <c r="BB147" i="22"/>
  <c r="BB192" i="22"/>
  <c r="DI70" i="18"/>
  <c r="DI75" i="18"/>
  <c r="BB220" i="22"/>
  <c r="BB213" i="22" s="1"/>
  <c r="BB193" i="22"/>
  <c r="BB212" i="22"/>
  <c r="AE197" i="22"/>
  <c r="BB274" i="22"/>
  <c r="BB276" i="22" s="1"/>
  <c r="BB287" i="22"/>
  <c r="AT38" i="22"/>
  <c r="EU26" i="18"/>
  <c r="EU53" i="18"/>
  <c r="EU51" i="18"/>
  <c r="W55" i="18"/>
  <c r="EU55" i="18"/>
  <c r="EU46" i="18"/>
  <c r="EU56" i="18"/>
  <c r="BJ32" i="18"/>
  <c r="AW32" i="18"/>
  <c r="AW30" i="18"/>
  <c r="AU30" i="18"/>
  <c r="W30" i="18"/>
  <c r="EU25" i="18"/>
  <c r="U7" i="18"/>
  <c r="EJ56" i="18"/>
  <c r="EJ55" i="18" s="1"/>
  <c r="J55" i="18"/>
  <c r="EJ83" i="18"/>
  <c r="EJ82" i="18" s="1"/>
  <c r="J82" i="18"/>
  <c r="H6" i="18"/>
  <c r="AH82" i="18"/>
  <c r="DH55" i="18"/>
  <c r="DH46" i="18" s="1"/>
  <c r="AA74" i="18"/>
  <c r="AA90" i="18" s="1"/>
  <c r="AA91" i="18" s="1"/>
  <c r="AI82" i="18"/>
  <c r="AU79" i="18"/>
  <c r="AI79" i="18"/>
  <c r="AI74" i="18" s="1"/>
  <c r="AU74" i="18"/>
  <c r="U60" i="18"/>
  <c r="AW204" i="23"/>
  <c r="BB204" i="23" s="1"/>
  <c r="DY20" i="18"/>
  <c r="L150" i="22"/>
  <c r="AU77" i="22"/>
  <c r="AU61" i="22" s="1"/>
  <c r="AR209" i="22"/>
  <c r="DI62" i="18" s="1"/>
  <c r="AU65" i="17"/>
  <c r="AU77" i="17" s="1"/>
  <c r="AT17" i="17"/>
  <c r="BB17" i="17" s="1"/>
  <c r="BB19" i="17" s="1"/>
  <c r="BB16" i="17" s="1"/>
  <c r="AR19" i="17"/>
  <c r="EL8" i="18"/>
  <c r="AU65" i="15"/>
  <c r="AU77" i="15" s="1"/>
  <c r="AU61" i="15" s="1"/>
  <c r="EL63" i="18"/>
  <c r="BJ60" i="18"/>
  <c r="M5" i="15"/>
  <c r="AU45" i="15"/>
  <c r="AR204" i="15"/>
  <c r="AF209" i="15"/>
  <c r="AR19" i="15"/>
  <c r="AT17" i="15"/>
  <c r="BB17" i="15" s="1"/>
  <c r="BB19" i="15" s="1"/>
  <c r="BB16" i="15" s="1"/>
  <c r="EH62" i="18"/>
  <c r="AU22" i="14"/>
  <c r="BB22" i="14" s="1"/>
  <c r="AR204" i="14"/>
  <c r="AF209" i="14"/>
  <c r="AF198" i="14" s="1"/>
  <c r="AU45" i="13"/>
  <c r="ER90" i="18"/>
  <c r="CV54" i="18"/>
  <c r="AR192" i="17"/>
  <c r="AF193" i="17"/>
  <c r="AT161" i="14"/>
  <c r="BB161" i="14" s="1"/>
  <c r="AR210" i="23"/>
  <c r="AF212" i="23"/>
  <c r="AR199" i="23"/>
  <c r="AF203" i="23"/>
  <c r="AR193" i="23"/>
  <c r="DV57" i="18" s="1"/>
  <c r="AT191" i="23"/>
  <c r="BB191" i="23" s="1"/>
  <c r="BB193" i="23" s="1"/>
  <c r="AR124" i="23"/>
  <c r="AF133" i="23"/>
  <c r="AF123" i="23" s="1"/>
  <c r="AR205" i="23"/>
  <c r="AR209" i="23" s="1"/>
  <c r="AR160" i="23"/>
  <c r="AF162" i="23"/>
  <c r="AE198" i="23"/>
  <c r="AE197" i="23" s="1"/>
  <c r="AR190" i="22"/>
  <c r="DI56" i="18" s="1"/>
  <c r="AT183" i="22"/>
  <c r="BB183" i="22" s="1"/>
  <c r="BB190" i="22" s="1"/>
  <c r="AR160" i="22"/>
  <c r="AF162" i="22"/>
  <c r="CV61" i="18"/>
  <c r="CV53" i="18"/>
  <c r="CV14" i="18"/>
  <c r="AT215" i="17"/>
  <c r="AR220" i="17"/>
  <c r="AT204" i="17"/>
  <c r="AR231" i="17"/>
  <c r="AT229" i="17"/>
  <c r="BB229" i="17" s="1"/>
  <c r="AQ182" i="17"/>
  <c r="AE163" i="17"/>
  <c r="CL14" i="18"/>
  <c r="AR180" i="17"/>
  <c r="AF181" i="17"/>
  <c r="AR160" i="17"/>
  <c r="AF162" i="17"/>
  <c r="AT192" i="16"/>
  <c r="AR193" i="16"/>
  <c r="BV57" i="18" s="1"/>
  <c r="AR239" i="16"/>
  <c r="AF243" i="16"/>
  <c r="AF238" i="16" s="1"/>
  <c r="AR233" i="16"/>
  <c r="AF237" i="16"/>
  <c r="AF232" i="16" s="1"/>
  <c r="AR210" i="16"/>
  <c r="AF212" i="16"/>
  <c r="AT160" i="15"/>
  <c r="BB160" i="15" s="1"/>
  <c r="BB162" i="15" s="1"/>
  <c r="AR162" i="15"/>
  <c r="BI50" i="18" s="1"/>
  <c r="AT165" i="15"/>
  <c r="BB165" i="15" s="1"/>
  <c r="BB168" i="15" s="1"/>
  <c r="AR168" i="15"/>
  <c r="BI52" i="18" s="1"/>
  <c r="AT51" i="14"/>
  <c r="AR56" i="14"/>
  <c r="AV21" i="18" s="1"/>
  <c r="AR196" i="13"/>
  <c r="AI58" i="18" s="1"/>
  <c r="AT194" i="13"/>
  <c r="BB194" i="13" s="1"/>
  <c r="BB196" i="13" s="1"/>
  <c r="AR168" i="13"/>
  <c r="AI52" i="18" s="1"/>
  <c r="AT164" i="13"/>
  <c r="BB164" i="13" s="1"/>
  <c r="BB168" i="13" s="1"/>
  <c r="AR152" i="13"/>
  <c r="AF156" i="13"/>
  <c r="AR192" i="13"/>
  <c r="AF193" i="13"/>
  <c r="AR158" i="13"/>
  <c r="AF159" i="13"/>
  <c r="AF151" i="13" s="1"/>
  <c r="AE151" i="13"/>
  <c r="AR179" i="12"/>
  <c r="AF181" i="12"/>
  <c r="AR283" i="12"/>
  <c r="AT278" i="12"/>
  <c r="BB278" i="12" s="1"/>
  <c r="BB283" i="12" s="1"/>
  <c r="BB277" i="12" s="1"/>
  <c r="AT194" i="12"/>
  <c r="BB194" i="12" s="1"/>
  <c r="BB196" i="12" s="1"/>
  <c r="AR196" i="12"/>
  <c r="V58" i="18" s="1"/>
  <c r="AE45" i="12"/>
  <c r="AT184" i="12"/>
  <c r="BB184" i="12" s="1"/>
  <c r="AR271" i="1"/>
  <c r="AF273" i="1"/>
  <c r="AR275" i="1"/>
  <c r="AF276" i="1"/>
  <c r="AR255" i="1"/>
  <c r="AF258" i="1"/>
  <c r="AR246" i="1"/>
  <c r="AF250" i="1"/>
  <c r="AT112" i="1"/>
  <c r="BB112" i="1" s="1"/>
  <c r="AR117" i="1"/>
  <c r="AR268" i="1"/>
  <c r="I81" i="18" s="1"/>
  <c r="AT265" i="1"/>
  <c r="BB265" i="1" s="1"/>
  <c r="AT210" i="1"/>
  <c r="BB210" i="1" s="1"/>
  <c r="AR212" i="1"/>
  <c r="I63" i="18" s="1"/>
  <c r="AT195" i="1"/>
  <c r="BB195" i="1" s="1"/>
  <c r="AR196" i="1"/>
  <c r="I58" i="18" s="1"/>
  <c r="AT107" i="1"/>
  <c r="BB107" i="1" s="1"/>
  <c r="AR110" i="1"/>
  <c r="AR283" i="1"/>
  <c r="AT282" i="1"/>
  <c r="BB282" i="1" s="1"/>
  <c r="AR251" i="1"/>
  <c r="AF254" i="1"/>
  <c r="AR239" i="1"/>
  <c r="AF243" i="1"/>
  <c r="AF238" i="1" s="1"/>
  <c r="AR214" i="1"/>
  <c r="AF220" i="1"/>
  <c r="AF213" i="1" s="1"/>
  <c r="AE197" i="1"/>
  <c r="AT85" i="1"/>
  <c r="AE245" i="1"/>
  <c r="AT179" i="1"/>
  <c r="BB179" i="1" s="1"/>
  <c r="AR181" i="1"/>
  <c r="I54" i="18" s="1"/>
  <c r="AR193" i="1"/>
  <c r="I57" i="18" s="1"/>
  <c r="AT191" i="1"/>
  <c r="BB191" i="1" s="1"/>
  <c r="AT184" i="1"/>
  <c r="BB184" i="1" s="1"/>
  <c r="AR92" i="23"/>
  <c r="DV29" i="18" s="1"/>
  <c r="AT91" i="23"/>
  <c r="BB91" i="23" s="1"/>
  <c r="BB92" i="23" s="1"/>
  <c r="AT17" i="23"/>
  <c r="BB17" i="23" s="1"/>
  <c r="BB19" i="23" s="1"/>
  <c r="BB16" i="23" s="1"/>
  <c r="AR19" i="23"/>
  <c r="AR110" i="23"/>
  <c r="AT107" i="23"/>
  <c r="BB107" i="23" s="1"/>
  <c r="BB110" i="23" s="1"/>
  <c r="BB106" i="23" s="1"/>
  <c r="AT101" i="23"/>
  <c r="BB101" i="23" s="1"/>
  <c r="BB105" i="23" s="1"/>
  <c r="BB100" i="23" s="1"/>
  <c r="AR105" i="23"/>
  <c r="AT95" i="23"/>
  <c r="BB95" i="23" s="1"/>
  <c r="AR99" i="23"/>
  <c r="AR60" i="23"/>
  <c r="DV22" i="18" s="1"/>
  <c r="AT58" i="23"/>
  <c r="BB58" i="23" s="1"/>
  <c r="BB60" i="23" s="1"/>
  <c r="AR50" i="23"/>
  <c r="AT46" i="23"/>
  <c r="BB46" i="23" s="1"/>
  <c r="BB50" i="23" s="1"/>
  <c r="AR194" i="23"/>
  <c r="AF196" i="23"/>
  <c r="AR153" i="23"/>
  <c r="AF156" i="23"/>
  <c r="AR142" i="23"/>
  <c r="AF149" i="23"/>
  <c r="AF140" i="23" s="1"/>
  <c r="AR119" i="23"/>
  <c r="AF122" i="23"/>
  <c r="AF118" i="23" s="1"/>
  <c r="AR112" i="23"/>
  <c r="AF117" i="23"/>
  <c r="AF111" i="23" s="1"/>
  <c r="AR87" i="23"/>
  <c r="AF88" i="23"/>
  <c r="AF79" i="23" s="1"/>
  <c r="AT26" i="23"/>
  <c r="AR29" i="23"/>
  <c r="DV14" i="18" s="1"/>
  <c r="AR25" i="23"/>
  <c r="AT21" i="23"/>
  <c r="BB21" i="23" s="1"/>
  <c r="AR12" i="23"/>
  <c r="AF15" i="23"/>
  <c r="AR187" i="23"/>
  <c r="AF190" i="23"/>
  <c r="AF182" i="23" s="1"/>
  <c r="AR164" i="23"/>
  <c r="AF168" i="23"/>
  <c r="AR62" i="23"/>
  <c r="AY62" i="23" s="1"/>
  <c r="AY77" i="23" s="1"/>
  <c r="AY61" i="23" s="1"/>
  <c r="AF77" i="23"/>
  <c r="AF61" i="23" s="1"/>
  <c r="AE20" i="23"/>
  <c r="AR180" i="23"/>
  <c r="AF181" i="23"/>
  <c r="AR178" i="23"/>
  <c r="DV53" i="18" s="1"/>
  <c r="AT170" i="23"/>
  <c r="BB170" i="23" s="1"/>
  <c r="BB178" i="23" s="1"/>
  <c r="AR158" i="23"/>
  <c r="AF159" i="23"/>
  <c r="AT80" i="23"/>
  <c r="BB80" i="23" s="1"/>
  <c r="BB85" i="23" s="1"/>
  <c r="AR85" i="23"/>
  <c r="AT41" i="23"/>
  <c r="AR44" i="23"/>
  <c r="AR30" i="23"/>
  <c r="AF37" i="23"/>
  <c r="AR7" i="23"/>
  <c r="AF11" i="23"/>
  <c r="AR135" i="23"/>
  <c r="AF139" i="23"/>
  <c r="AF134" i="23" s="1"/>
  <c r="AR51" i="23"/>
  <c r="AY51" i="23" s="1"/>
  <c r="AY56" i="23" s="1"/>
  <c r="AY45" i="23" s="1"/>
  <c r="AF56" i="23"/>
  <c r="AF45" i="23" s="1"/>
  <c r="EF77" i="18"/>
  <c r="AE151" i="23"/>
  <c r="AF25" i="23"/>
  <c r="AE6" i="23"/>
  <c r="AE182" i="23"/>
  <c r="AE163" i="23"/>
  <c r="AE79" i="23"/>
  <c r="AE78" i="23" s="1"/>
  <c r="AR19" i="22"/>
  <c r="AT17" i="22"/>
  <c r="BB17" i="22" s="1"/>
  <c r="BB19" i="22" s="1"/>
  <c r="BB16" i="22" s="1"/>
  <c r="AR164" i="22"/>
  <c r="AF168" i="22"/>
  <c r="AR136" i="22"/>
  <c r="AF139" i="22"/>
  <c r="AF134" i="22" s="1"/>
  <c r="AR108" i="22"/>
  <c r="AF110" i="22"/>
  <c r="AF106" i="22" s="1"/>
  <c r="AT81" i="22"/>
  <c r="BB81" i="22" s="1"/>
  <c r="BB85" i="22" s="1"/>
  <c r="AR85" i="22"/>
  <c r="AR29" i="22"/>
  <c r="DI14" i="18" s="1"/>
  <c r="AT26" i="22"/>
  <c r="AT21" i="22"/>
  <c r="BB21" i="22" s="1"/>
  <c r="AR25" i="22"/>
  <c r="AR12" i="22"/>
  <c r="AF15" i="22"/>
  <c r="AR194" i="22"/>
  <c r="AF196" i="22"/>
  <c r="AF182" i="22" s="1"/>
  <c r="AR153" i="22"/>
  <c r="AF156" i="22"/>
  <c r="AR125" i="22"/>
  <c r="AF133" i="22"/>
  <c r="AF123" i="22" s="1"/>
  <c r="AR51" i="22"/>
  <c r="AY51" i="22" s="1"/>
  <c r="AY56" i="22" s="1"/>
  <c r="AY45" i="22" s="1"/>
  <c r="AF56" i="22"/>
  <c r="AE79" i="22"/>
  <c r="AE78" i="22" s="1"/>
  <c r="AE45" i="22"/>
  <c r="AR37" i="22"/>
  <c r="DI15" i="18" s="1"/>
  <c r="AT31" i="22"/>
  <c r="AR113" i="22"/>
  <c r="AF117" i="22"/>
  <c r="AF111" i="22" s="1"/>
  <c r="AR89" i="22"/>
  <c r="AF92" i="22"/>
  <c r="AR57" i="22"/>
  <c r="AF60" i="22"/>
  <c r="AR7" i="22"/>
  <c r="AF11" i="22"/>
  <c r="AF6" i="22" s="1"/>
  <c r="AR180" i="22"/>
  <c r="AF181" i="22"/>
  <c r="AT170" i="22"/>
  <c r="BB170" i="22" s="1"/>
  <c r="BB178" i="22" s="1"/>
  <c r="AR178" i="22"/>
  <c r="DI53" i="18" s="1"/>
  <c r="AR158" i="22"/>
  <c r="AF159" i="22"/>
  <c r="AR141" i="22"/>
  <c r="AF149" i="22"/>
  <c r="AF140" i="22" s="1"/>
  <c r="AR120" i="22"/>
  <c r="AF122" i="22"/>
  <c r="AF118" i="22" s="1"/>
  <c r="AR101" i="22"/>
  <c r="AF105" i="22"/>
  <c r="AF100" i="22" s="1"/>
  <c r="AR94" i="22"/>
  <c r="AF99" i="22"/>
  <c r="AF93" i="22" s="1"/>
  <c r="AR86" i="22"/>
  <c r="AF88" i="22"/>
  <c r="AR62" i="22"/>
  <c r="AY62" i="22" s="1"/>
  <c r="AY77" i="22" s="1"/>
  <c r="AY61" i="22" s="1"/>
  <c r="AF77" i="22"/>
  <c r="AF61" i="22" s="1"/>
  <c r="AR46" i="22"/>
  <c r="AF50" i="22"/>
  <c r="AF45" i="22" s="1"/>
  <c r="AE163" i="22"/>
  <c r="AF79" i="22"/>
  <c r="AF78" i="22" s="1"/>
  <c r="AF25" i="22"/>
  <c r="AF20" i="22" s="1"/>
  <c r="AE6" i="22"/>
  <c r="AE5" i="22" s="1"/>
  <c r="AE151" i="22"/>
  <c r="AE150" i="22" s="1"/>
  <c r="CV16" i="18"/>
  <c r="CH39" i="18"/>
  <c r="CH38" i="18" s="1"/>
  <c r="AQ118" i="17"/>
  <c r="AR42" i="17"/>
  <c r="AF44" i="17"/>
  <c r="AF40" i="17" s="1"/>
  <c r="AR222" i="17"/>
  <c r="AF225" i="17"/>
  <c r="AF221" i="17" s="1"/>
  <c r="AR51" i="17"/>
  <c r="AY51" i="17" s="1"/>
  <c r="AY56" i="17" s="1"/>
  <c r="AY45" i="17" s="1"/>
  <c r="AF56" i="17"/>
  <c r="AR24" i="17"/>
  <c r="AF25" i="17"/>
  <c r="AR7" i="17"/>
  <c r="AF11" i="17"/>
  <c r="AE45" i="17"/>
  <c r="AE6" i="17"/>
  <c r="CH35" i="18"/>
  <c r="CH34" i="18" s="1"/>
  <c r="AQ106" i="17"/>
  <c r="CH37" i="18"/>
  <c r="CH36" i="18" s="1"/>
  <c r="AQ111" i="17"/>
  <c r="AR239" i="17"/>
  <c r="AF243" i="17"/>
  <c r="AF238" i="17" s="1"/>
  <c r="AR233" i="17"/>
  <c r="AF237" i="17"/>
  <c r="AF232" i="17" s="1"/>
  <c r="AR183" i="17"/>
  <c r="AF190" i="17"/>
  <c r="AF182" i="17" s="1"/>
  <c r="AR57" i="17"/>
  <c r="AF60" i="17"/>
  <c r="AR39" i="17"/>
  <c r="CI16" i="18" s="1"/>
  <c r="AT38" i="17"/>
  <c r="AR62" i="17"/>
  <c r="AY62" i="17" s="1"/>
  <c r="AY77" i="17" s="1"/>
  <c r="AY61" i="17" s="1"/>
  <c r="AF77" i="17"/>
  <c r="AF61" i="17" s="1"/>
  <c r="AR46" i="17"/>
  <c r="AF50" i="17"/>
  <c r="AF45" i="17" s="1"/>
  <c r="AR31" i="17"/>
  <c r="AF37" i="17"/>
  <c r="AR12" i="17"/>
  <c r="AF15" i="17"/>
  <c r="AN5" i="17"/>
  <c r="AR222" i="16"/>
  <c r="AF225" i="16"/>
  <c r="AF221" i="16" s="1"/>
  <c r="AR204" i="16"/>
  <c r="AR209" i="16" s="1"/>
  <c r="AT169" i="16"/>
  <c r="BB169" i="16" s="1"/>
  <c r="BB178" i="16" s="1"/>
  <c r="AR178" i="16"/>
  <c r="BV53" i="18" s="1"/>
  <c r="AR162" i="16"/>
  <c r="BV50" i="18" s="1"/>
  <c r="AT161" i="16"/>
  <c r="BB161" i="16" s="1"/>
  <c r="BB162" i="16" s="1"/>
  <c r="AR141" i="16"/>
  <c r="AF149" i="16"/>
  <c r="AF140" i="16" s="1"/>
  <c r="AR227" i="16"/>
  <c r="AF231" i="16"/>
  <c r="AF226" i="16" s="1"/>
  <c r="AR185" i="16"/>
  <c r="AF190" i="16"/>
  <c r="AR194" i="16"/>
  <c r="AF196" i="16"/>
  <c r="AR165" i="16"/>
  <c r="AF168" i="16"/>
  <c r="AR153" i="16"/>
  <c r="AF156" i="16"/>
  <c r="AR136" i="16"/>
  <c r="AF139" i="16"/>
  <c r="AF134" i="16" s="1"/>
  <c r="AR214" i="16"/>
  <c r="AF220" i="16"/>
  <c r="AF213" i="16" s="1"/>
  <c r="AR8" i="16"/>
  <c r="AF11" i="16"/>
  <c r="AR201" i="16"/>
  <c r="AF203" i="16"/>
  <c r="AF198" i="16" s="1"/>
  <c r="AF197" i="16" s="1"/>
  <c r="AR180" i="16"/>
  <c r="AF181" i="16"/>
  <c r="AR158" i="16"/>
  <c r="AF159" i="16"/>
  <c r="BU46" i="18"/>
  <c r="BW18" i="18"/>
  <c r="BW17" i="18" s="1"/>
  <c r="AS40" i="16"/>
  <c r="AT39" i="16"/>
  <c r="BX16" i="18" s="1"/>
  <c r="AE150" i="16"/>
  <c r="AE198" i="16"/>
  <c r="AE197" i="16" s="1"/>
  <c r="AR117" i="15"/>
  <c r="AT113" i="15"/>
  <c r="BB113" i="15" s="1"/>
  <c r="BB117" i="15" s="1"/>
  <c r="BB111" i="15" s="1"/>
  <c r="AT108" i="15"/>
  <c r="BB108" i="15" s="1"/>
  <c r="BB110" i="15" s="1"/>
  <c r="BB106" i="15" s="1"/>
  <c r="AR110" i="15"/>
  <c r="AR199" i="15"/>
  <c r="AF203" i="15"/>
  <c r="AR181" i="15"/>
  <c r="BI54" i="18" s="1"/>
  <c r="AT180" i="15"/>
  <c r="BB180" i="15" s="1"/>
  <c r="BB181" i="15" s="1"/>
  <c r="AT170" i="15"/>
  <c r="BB170" i="15" s="1"/>
  <c r="BB178" i="15" s="1"/>
  <c r="AR178" i="15"/>
  <c r="AR153" i="15"/>
  <c r="AF156" i="15"/>
  <c r="AR46" i="15"/>
  <c r="AF50" i="15"/>
  <c r="AR31" i="15"/>
  <c r="AF37" i="15"/>
  <c r="AR205" i="15"/>
  <c r="AR185" i="15"/>
  <c r="AF190" i="15"/>
  <c r="AR57" i="15"/>
  <c r="AF60" i="15"/>
  <c r="AR39" i="15"/>
  <c r="BI16" i="18" s="1"/>
  <c r="AT38" i="15"/>
  <c r="AR149" i="15"/>
  <c r="AT141" i="15"/>
  <c r="BB141" i="15" s="1"/>
  <c r="BB149" i="15" s="1"/>
  <c r="BB140" i="15" s="1"/>
  <c r="AT124" i="15"/>
  <c r="BB124" i="15" s="1"/>
  <c r="BB133" i="15" s="1"/>
  <c r="BB123" i="15" s="1"/>
  <c r="AR133" i="15"/>
  <c r="AT119" i="15"/>
  <c r="BB119" i="15" s="1"/>
  <c r="BB122" i="15" s="1"/>
  <c r="BB118" i="15" s="1"/>
  <c r="AR122" i="15"/>
  <c r="AT136" i="15"/>
  <c r="BB136" i="15" s="1"/>
  <c r="BB139" i="15" s="1"/>
  <c r="BB134" i="15" s="1"/>
  <c r="AR139" i="15"/>
  <c r="AT94" i="15"/>
  <c r="BB94" i="15" s="1"/>
  <c r="AR99" i="15"/>
  <c r="AT89" i="15"/>
  <c r="BB89" i="15" s="1"/>
  <c r="BB92" i="15" s="1"/>
  <c r="AR92" i="15"/>
  <c r="BI29" i="18" s="1"/>
  <c r="AR88" i="15"/>
  <c r="AT87" i="15"/>
  <c r="BB87" i="15" s="1"/>
  <c r="BB88" i="15" s="1"/>
  <c r="AT12" i="15"/>
  <c r="BB12" i="15" s="1"/>
  <c r="BB15" i="15" s="1"/>
  <c r="AR15" i="15"/>
  <c r="BI9" i="18" s="1"/>
  <c r="AR194" i="15"/>
  <c r="AF196" i="15"/>
  <c r="AR158" i="15"/>
  <c r="AF159" i="15"/>
  <c r="AR51" i="15"/>
  <c r="AY51" i="15" s="1"/>
  <c r="AY56" i="15" s="1"/>
  <c r="AY45" i="15" s="1"/>
  <c r="AF56" i="15"/>
  <c r="AR24" i="15"/>
  <c r="AF25" i="15"/>
  <c r="AT191" i="15"/>
  <c r="BB191" i="15" s="1"/>
  <c r="AR193" i="15"/>
  <c r="BI57" i="18" s="1"/>
  <c r="AR42" i="15"/>
  <c r="AF44" i="15"/>
  <c r="AF40" i="15" s="1"/>
  <c r="AR7" i="15"/>
  <c r="AF11" i="15"/>
  <c r="AF6" i="15" s="1"/>
  <c r="AE78" i="15"/>
  <c r="AF163" i="15"/>
  <c r="AE182" i="15"/>
  <c r="AE163" i="15"/>
  <c r="AE20" i="15"/>
  <c r="AE5" i="15" s="1"/>
  <c r="AF193" i="15"/>
  <c r="AR119" i="14"/>
  <c r="AF122" i="14"/>
  <c r="AF118" i="14" s="1"/>
  <c r="AR107" i="14"/>
  <c r="AF110" i="14"/>
  <c r="AF106" i="14" s="1"/>
  <c r="AR180" i="14"/>
  <c r="AF181" i="14"/>
  <c r="AT169" i="14"/>
  <c r="BB169" i="14" s="1"/>
  <c r="BB178" i="14" s="1"/>
  <c r="AR178" i="14"/>
  <c r="AV53" i="18" s="1"/>
  <c r="AR158" i="14"/>
  <c r="AF159" i="14"/>
  <c r="AR86" i="14"/>
  <c r="AF88" i="14"/>
  <c r="AR29" i="14"/>
  <c r="AV14" i="18" s="1"/>
  <c r="AT26" i="14"/>
  <c r="AT21" i="14"/>
  <c r="AR25" i="14"/>
  <c r="AT80" i="14"/>
  <c r="BB80" i="14" s="1"/>
  <c r="BB85" i="14" s="1"/>
  <c r="AR85" i="14"/>
  <c r="AR47" i="14"/>
  <c r="AF50" i="14"/>
  <c r="AR13" i="14"/>
  <c r="AF15" i="14"/>
  <c r="AR243" i="14"/>
  <c r="AT240" i="14"/>
  <c r="AR165" i="14"/>
  <c r="AF168" i="14"/>
  <c r="AR153" i="14"/>
  <c r="AF156" i="14"/>
  <c r="AR124" i="14"/>
  <c r="AF133" i="14"/>
  <c r="AF123" i="14" s="1"/>
  <c r="AR113" i="14"/>
  <c r="AF117" i="14"/>
  <c r="AF111" i="14" s="1"/>
  <c r="AR101" i="14"/>
  <c r="AR105" i="14" s="1"/>
  <c r="AF105" i="14"/>
  <c r="AF100" i="14" s="1"/>
  <c r="AR90" i="14"/>
  <c r="AF92" i="14"/>
  <c r="AR194" i="14"/>
  <c r="AF196" i="14"/>
  <c r="AF182" i="14" s="1"/>
  <c r="AR160" i="14"/>
  <c r="AF162" i="14"/>
  <c r="AF151" i="14" s="1"/>
  <c r="AR96" i="14"/>
  <c r="AR99" i="14" s="1"/>
  <c r="AF99" i="14"/>
  <c r="AF93" i="14" s="1"/>
  <c r="AT41" i="14"/>
  <c r="AR44" i="14"/>
  <c r="AR30" i="14"/>
  <c r="AF37" i="14"/>
  <c r="AF20" i="14" s="1"/>
  <c r="AR18" i="14"/>
  <c r="AF19" i="14"/>
  <c r="AF16" i="14" s="1"/>
  <c r="AR141" i="14"/>
  <c r="AF149" i="14"/>
  <c r="AF140" i="14" s="1"/>
  <c r="AR59" i="14"/>
  <c r="AF60" i="14"/>
  <c r="AR7" i="14"/>
  <c r="AR11" i="14" s="1"/>
  <c r="AV8" i="18" s="1"/>
  <c r="AF11" i="14"/>
  <c r="AT254" i="14"/>
  <c r="AX77" i="18" s="1"/>
  <c r="AW251" i="14"/>
  <c r="BB251" i="14" s="1"/>
  <c r="BB254" i="14" s="1"/>
  <c r="AR136" i="14"/>
  <c r="AF139" i="14"/>
  <c r="AF134" i="14" s="1"/>
  <c r="AE78" i="14"/>
  <c r="AF178" i="14"/>
  <c r="AF79" i="14"/>
  <c r="AE163" i="14"/>
  <c r="AE151" i="14"/>
  <c r="AE20" i="14"/>
  <c r="AE5" i="14" s="1"/>
  <c r="AR204" i="13"/>
  <c r="AR209" i="13" s="1"/>
  <c r="AR183" i="13"/>
  <c r="AF190" i="13"/>
  <c r="AF182" i="13" s="1"/>
  <c r="AR227" i="13"/>
  <c r="AF231" i="13"/>
  <c r="AF226" i="13" s="1"/>
  <c r="AR201" i="13"/>
  <c r="AF203" i="13"/>
  <c r="AR178" i="13"/>
  <c r="AT170" i="13"/>
  <c r="BB170" i="13" s="1"/>
  <c r="BB178" i="13" s="1"/>
  <c r="AR222" i="13"/>
  <c r="AF225" i="13"/>
  <c r="AF221" i="13" s="1"/>
  <c r="AR210" i="13"/>
  <c r="AF212" i="13"/>
  <c r="AR63" i="13"/>
  <c r="AF77" i="13"/>
  <c r="AF61" i="13" s="1"/>
  <c r="AR239" i="13"/>
  <c r="AF243" i="13"/>
  <c r="AF238" i="13" s="1"/>
  <c r="AR233" i="13"/>
  <c r="AF237" i="13"/>
  <c r="AF232" i="13" s="1"/>
  <c r="AR214" i="13"/>
  <c r="AF220" i="13"/>
  <c r="AF213" i="13" s="1"/>
  <c r="AR180" i="13"/>
  <c r="AF181" i="13"/>
  <c r="AF163" i="13" s="1"/>
  <c r="AR162" i="13"/>
  <c r="AT161" i="13"/>
  <c r="BB161" i="13" s="1"/>
  <c r="BB162" i="13" s="1"/>
  <c r="AS85" i="13"/>
  <c r="EH81" i="18"/>
  <c r="AH46" i="18"/>
  <c r="AS150" i="13"/>
  <c r="AF29" i="13"/>
  <c r="AQ20" i="13"/>
  <c r="AE198" i="13"/>
  <c r="AE197" i="13" s="1"/>
  <c r="AE150" i="13"/>
  <c r="AT89" i="12"/>
  <c r="BB89" i="12" s="1"/>
  <c r="BB92" i="12" s="1"/>
  <c r="AR92" i="12"/>
  <c r="V29" i="18" s="1"/>
  <c r="AT46" i="12"/>
  <c r="BB46" i="12" s="1"/>
  <c r="BB50" i="12" s="1"/>
  <c r="AR50" i="12"/>
  <c r="AT30" i="12"/>
  <c r="AR37" i="12"/>
  <c r="V15" i="18" s="1"/>
  <c r="AR178" i="12"/>
  <c r="V53" i="18" s="1"/>
  <c r="AT173" i="12"/>
  <c r="BB173" i="12" s="1"/>
  <c r="BB178" i="12" s="1"/>
  <c r="AR153" i="12"/>
  <c r="AF156" i="12"/>
  <c r="AR142" i="12"/>
  <c r="AF149" i="12"/>
  <c r="AF140" i="12" s="1"/>
  <c r="AR119" i="12"/>
  <c r="AF122" i="12"/>
  <c r="AF118" i="12" s="1"/>
  <c r="AR112" i="12"/>
  <c r="AF117" i="12"/>
  <c r="AF111" i="12" s="1"/>
  <c r="AR102" i="12"/>
  <c r="AF105" i="12"/>
  <c r="AF100" i="12" s="1"/>
  <c r="AR87" i="12"/>
  <c r="AF88" i="12"/>
  <c r="AR27" i="12"/>
  <c r="AF29" i="12"/>
  <c r="AR165" i="12"/>
  <c r="AF168" i="12"/>
  <c r="AF163" i="12" s="1"/>
  <c r="AR135" i="12"/>
  <c r="AF139" i="12"/>
  <c r="AF134" i="12" s="1"/>
  <c r="AR107" i="12"/>
  <c r="AF110" i="12"/>
  <c r="AF106" i="12" s="1"/>
  <c r="AR62" i="12"/>
  <c r="AY62" i="12" s="1"/>
  <c r="AY77" i="12" s="1"/>
  <c r="AY61" i="12" s="1"/>
  <c r="AY5" i="12" s="1"/>
  <c r="AF77" i="12"/>
  <c r="AF61" i="12" s="1"/>
  <c r="AR53" i="12"/>
  <c r="AF56" i="12"/>
  <c r="AF45" i="12" s="1"/>
  <c r="AT38" i="12"/>
  <c r="BB38" i="12" s="1"/>
  <c r="BB39" i="12" s="1"/>
  <c r="AR39" i="12"/>
  <c r="V16" i="18" s="1"/>
  <c r="AT94" i="12"/>
  <c r="AT161" i="12"/>
  <c r="BB161" i="12" s="1"/>
  <c r="BB162" i="12" s="1"/>
  <c r="AR162" i="12"/>
  <c r="V50" i="18" s="1"/>
  <c r="AR158" i="12"/>
  <c r="AF159" i="12"/>
  <c r="AR124" i="12"/>
  <c r="AF133" i="12"/>
  <c r="AF123" i="12" s="1"/>
  <c r="AR58" i="12"/>
  <c r="AF60" i="12"/>
  <c r="AR42" i="12"/>
  <c r="AF44" i="12"/>
  <c r="AF40" i="12" s="1"/>
  <c r="AF79" i="12"/>
  <c r="AE78" i="12"/>
  <c r="AR288" i="1"/>
  <c r="AF289" i="1"/>
  <c r="AF284" i="1" s="1"/>
  <c r="AR161" i="1"/>
  <c r="AF162" i="1"/>
  <c r="AR124" i="1"/>
  <c r="AF133" i="1"/>
  <c r="AF123" i="1" s="1"/>
  <c r="AR102" i="1"/>
  <c r="AF105" i="1"/>
  <c r="AF100" i="1" s="1"/>
  <c r="AR87" i="1"/>
  <c r="AF88" i="1"/>
  <c r="AR46" i="1"/>
  <c r="AF50" i="1"/>
  <c r="AR222" i="1"/>
  <c r="AF225" i="1"/>
  <c r="AF221" i="1" s="1"/>
  <c r="AR201" i="1"/>
  <c r="AF203" i="1"/>
  <c r="AF198" i="1" s="1"/>
  <c r="AR183" i="1"/>
  <c r="AF190" i="1"/>
  <c r="AF182" i="1" s="1"/>
  <c r="AT170" i="1"/>
  <c r="BB170" i="1" s="1"/>
  <c r="AR178" i="1"/>
  <c r="I53" i="18" s="1"/>
  <c r="AR158" i="1"/>
  <c r="AF159" i="1"/>
  <c r="AR90" i="1"/>
  <c r="AF92" i="1"/>
  <c r="AR53" i="1"/>
  <c r="AF56" i="1"/>
  <c r="AR21" i="1"/>
  <c r="AF25" i="1"/>
  <c r="AR8" i="1"/>
  <c r="AF11" i="1"/>
  <c r="AR44" i="1"/>
  <c r="AT42" i="1"/>
  <c r="BB42" i="1" s="1"/>
  <c r="AT58" i="1"/>
  <c r="BB58" i="1" s="1"/>
  <c r="AR60" i="1"/>
  <c r="I22" i="18" s="1"/>
  <c r="AR39" i="1"/>
  <c r="I16" i="18" s="1"/>
  <c r="AT38" i="1"/>
  <c r="BB38" i="1" s="1"/>
  <c r="AR260" i="1"/>
  <c r="AF263" i="1"/>
  <c r="AF259" i="1" s="1"/>
  <c r="AR233" i="1"/>
  <c r="AF237" i="1"/>
  <c r="AF232" i="1" s="1"/>
  <c r="AR227" i="1"/>
  <c r="AF231" i="1"/>
  <c r="AF226" i="1" s="1"/>
  <c r="AT204" i="1"/>
  <c r="I62" i="18"/>
  <c r="AR164" i="1"/>
  <c r="AF168" i="1"/>
  <c r="AF163" i="1" s="1"/>
  <c r="AR135" i="1"/>
  <c r="AF139" i="1"/>
  <c r="AF134" i="1" s="1"/>
  <c r="AR62" i="1"/>
  <c r="AF77" i="1"/>
  <c r="AF61" i="1" s="1"/>
  <c r="AR30" i="1"/>
  <c r="AF37" i="1"/>
  <c r="AR153" i="1"/>
  <c r="AF156" i="1"/>
  <c r="AF151" i="1" s="1"/>
  <c r="AF150" i="1" s="1"/>
  <c r="AR142" i="1"/>
  <c r="AF149" i="1"/>
  <c r="AF140" i="1" s="1"/>
  <c r="AR119" i="1"/>
  <c r="AF122" i="1"/>
  <c r="AF118" i="1" s="1"/>
  <c r="AR95" i="1"/>
  <c r="AF93" i="1"/>
  <c r="AR27" i="1"/>
  <c r="AF29" i="1"/>
  <c r="AF20" i="1" s="1"/>
  <c r="AR17" i="1"/>
  <c r="AF19" i="1"/>
  <c r="AF16" i="1" s="1"/>
  <c r="AT13" i="1"/>
  <c r="BB13" i="1" s="1"/>
  <c r="AR15" i="1"/>
  <c r="I9" i="18" s="1"/>
  <c r="AE78" i="1"/>
  <c r="AE45" i="1"/>
  <c r="AE5" i="1" s="1"/>
  <c r="AE244" i="1"/>
  <c r="AE151" i="1"/>
  <c r="AE150" i="1" s="1"/>
  <c r="AF15" i="1"/>
  <c r="AF79" i="1"/>
  <c r="DY78" i="18"/>
  <c r="AU245" i="23"/>
  <c r="EA77" i="18"/>
  <c r="EA75" i="18" s="1"/>
  <c r="EA74" i="18" s="1"/>
  <c r="AW245" i="23"/>
  <c r="AW244" i="23" s="1"/>
  <c r="DU65" i="18"/>
  <c r="DU64" i="18" s="1"/>
  <c r="AQ213" i="23"/>
  <c r="DY83" i="18"/>
  <c r="DY82" i="18" s="1"/>
  <c r="DY57" i="18"/>
  <c r="DY55" i="18" s="1"/>
  <c r="DY46" i="18" s="1"/>
  <c r="AS197" i="23"/>
  <c r="DW6" i="18"/>
  <c r="EF78" i="18"/>
  <c r="DY75" i="18"/>
  <c r="AT227" i="23"/>
  <c r="AT222" i="23"/>
  <c r="AS150" i="23"/>
  <c r="AQ5" i="23"/>
  <c r="EF84" i="18"/>
  <c r="DW25" i="18"/>
  <c r="DY80" i="18"/>
  <c r="DY79" i="18" s="1"/>
  <c r="AR243" i="23"/>
  <c r="AT241" i="23"/>
  <c r="DV67" i="18"/>
  <c r="AR221" i="23"/>
  <c r="AR220" i="23"/>
  <c r="AT214" i="23"/>
  <c r="BB214" i="23" s="1"/>
  <c r="BB220" i="23" s="1"/>
  <c r="BB213" i="23" s="1"/>
  <c r="DY45" i="18"/>
  <c r="DY44" i="18" s="1"/>
  <c r="DY25" i="18" s="1"/>
  <c r="DY21" i="18"/>
  <c r="DY19" i="18" s="1"/>
  <c r="DU27" i="18"/>
  <c r="DU26" i="18" s="1"/>
  <c r="DU25" i="18" s="1"/>
  <c r="AQ79" i="23"/>
  <c r="AQ78" i="23" s="1"/>
  <c r="AR237" i="23"/>
  <c r="AT236" i="23"/>
  <c r="DV69" i="18"/>
  <c r="AR226" i="23"/>
  <c r="DU73" i="18"/>
  <c r="DU72" i="18" s="1"/>
  <c r="AQ238" i="23"/>
  <c r="DU69" i="18"/>
  <c r="DU68" i="18" s="1"/>
  <c r="AQ226" i="23"/>
  <c r="DU67" i="18"/>
  <c r="DU66" i="18" s="1"/>
  <c r="AQ221" i="23"/>
  <c r="AQ197" i="23" s="1"/>
  <c r="DY88" i="18"/>
  <c r="DY87" i="18" s="1"/>
  <c r="DW59" i="18"/>
  <c r="AS5" i="23"/>
  <c r="DW46" i="18"/>
  <c r="EF16" i="18"/>
  <c r="DU6" i="18"/>
  <c r="AS78" i="23"/>
  <c r="DL21" i="18"/>
  <c r="DH27" i="18"/>
  <c r="DH26" i="18" s="1"/>
  <c r="DH25" i="18" s="1"/>
  <c r="AQ79" i="22"/>
  <c r="AQ78" i="22" s="1"/>
  <c r="DH65" i="18"/>
  <c r="DH64" i="18" s="1"/>
  <c r="AQ213" i="22"/>
  <c r="DH61" i="18"/>
  <c r="DH60" i="18" s="1"/>
  <c r="AQ198" i="22"/>
  <c r="DS76" i="18"/>
  <c r="DS80" i="18"/>
  <c r="DL88" i="18"/>
  <c r="DL76" i="18"/>
  <c r="DL75" i="18" s="1"/>
  <c r="AU245" i="22"/>
  <c r="DI73" i="18"/>
  <c r="AR238" i="22"/>
  <c r="DI69" i="18"/>
  <c r="AR226" i="22"/>
  <c r="AQ238" i="22"/>
  <c r="DH73" i="18"/>
  <c r="DH72" i="18" s="1"/>
  <c r="AQ226" i="22"/>
  <c r="DH69" i="18"/>
  <c r="DH68" i="18" s="1"/>
  <c r="DH67" i="18"/>
  <c r="DH66" i="18" s="1"/>
  <c r="AQ221" i="22"/>
  <c r="AF198" i="22"/>
  <c r="AF197" i="22" s="1"/>
  <c r="AS197" i="22"/>
  <c r="DJ46" i="18"/>
  <c r="DL19" i="18"/>
  <c r="AQ5" i="22"/>
  <c r="AS5" i="22"/>
  <c r="DS78" i="18"/>
  <c r="DJ25" i="18"/>
  <c r="DH71" i="18"/>
  <c r="DH70" i="18" s="1"/>
  <c r="AQ232" i="22"/>
  <c r="AT220" i="22"/>
  <c r="AT203" i="22"/>
  <c r="DM23" i="18"/>
  <c r="DM6" i="18" s="1"/>
  <c r="DM90" i="18" s="1"/>
  <c r="DM91" i="18" s="1"/>
  <c r="EM24" i="18"/>
  <c r="EM23" i="18" s="1"/>
  <c r="EM6" i="18" s="1"/>
  <c r="DK76" i="18"/>
  <c r="DL80" i="18"/>
  <c r="AR221" i="22"/>
  <c r="DI67" i="18"/>
  <c r="DI65" i="18"/>
  <c r="AR213" i="22"/>
  <c r="DK71" i="18"/>
  <c r="DK70" i="18" s="1"/>
  <c r="AT232" i="22"/>
  <c r="DS57" i="18"/>
  <c r="AT193" i="22"/>
  <c r="DK57" i="18" s="1"/>
  <c r="DL57" i="18"/>
  <c r="DL45" i="18"/>
  <c r="DJ59" i="18"/>
  <c r="DS63" i="18"/>
  <c r="DS84" i="18"/>
  <c r="AT212" i="22"/>
  <c r="DK63" i="18" s="1"/>
  <c r="AR198" i="22"/>
  <c r="AT239" i="22"/>
  <c r="AT227" i="22"/>
  <c r="AT222" i="22"/>
  <c r="AT204" i="22"/>
  <c r="DL62" i="18"/>
  <c r="AQ182" i="22"/>
  <c r="AQ150" i="22" s="1"/>
  <c r="AS150" i="22"/>
  <c r="DH6" i="18"/>
  <c r="DJ6" i="18"/>
  <c r="AS78" i="22"/>
  <c r="CY24" i="18"/>
  <c r="CY23" i="18" s="1"/>
  <c r="CY83" i="18"/>
  <c r="DD18" i="18"/>
  <c r="DD17" i="18" s="1"/>
  <c r="DD6" i="18" s="1"/>
  <c r="DD90" i="18" s="1"/>
  <c r="CY18" i="18"/>
  <c r="CY17" i="18" s="1"/>
  <c r="CY10" i="18"/>
  <c r="EL11" i="18"/>
  <c r="EL10" i="18" s="1"/>
  <c r="CY19" i="18"/>
  <c r="CW6" i="18"/>
  <c r="CW25" i="18"/>
  <c r="CU27" i="18"/>
  <c r="CU26" i="18" s="1"/>
  <c r="CY9" i="18"/>
  <c r="CY7" i="18" s="1"/>
  <c r="DA77" i="18"/>
  <c r="DA75" i="18" s="1"/>
  <c r="DA74" i="18" s="1"/>
  <c r="CW61" i="18"/>
  <c r="CW60" i="18" s="1"/>
  <c r="CW59" i="18" s="1"/>
  <c r="CV65" i="18"/>
  <c r="CV64" i="18" s="1"/>
  <c r="CX76" i="18"/>
  <c r="CY75" i="18"/>
  <c r="CU7" i="18"/>
  <c r="CU6" i="18" s="1"/>
  <c r="CL69" i="18"/>
  <c r="CL68" i="18" s="1"/>
  <c r="CH27" i="18"/>
  <c r="CH26" i="18" s="1"/>
  <c r="AQ79" i="17"/>
  <c r="CH45" i="18"/>
  <c r="CH44" i="18" s="1"/>
  <c r="AQ140" i="17"/>
  <c r="AR250" i="17"/>
  <c r="AT246" i="17"/>
  <c r="BB246" i="17" s="1"/>
  <c r="BB250" i="17" s="1"/>
  <c r="CN77" i="18"/>
  <c r="CN75" i="18" s="1"/>
  <c r="CN74" i="18" s="1"/>
  <c r="AW245" i="17"/>
  <c r="AW244" i="17" s="1"/>
  <c r="AR286" i="17"/>
  <c r="AF289" i="17"/>
  <c r="AF284" i="17" s="1"/>
  <c r="CL21" i="18"/>
  <c r="CL19" i="18" s="1"/>
  <c r="CJ37" i="18"/>
  <c r="CJ36" i="18" s="1"/>
  <c r="CJ25" i="18" s="1"/>
  <c r="AS111" i="17"/>
  <c r="AS78" i="17" s="1"/>
  <c r="CL80" i="18"/>
  <c r="CL79" i="18" s="1"/>
  <c r="CQ18" i="18"/>
  <c r="CQ17" i="18" s="1"/>
  <c r="CQ6" i="18" s="1"/>
  <c r="CQ90" i="18" s="1"/>
  <c r="AZ5" i="17"/>
  <c r="AZ292" i="17" s="1"/>
  <c r="CL45" i="18"/>
  <c r="CL44" i="18" s="1"/>
  <c r="CL25" i="18" s="1"/>
  <c r="AR254" i="17"/>
  <c r="CI77" i="18" s="1"/>
  <c r="AT252" i="17"/>
  <c r="BB252" i="17" s="1"/>
  <c r="AR279" i="17"/>
  <c r="AF283" i="17"/>
  <c r="AF277" i="17" s="1"/>
  <c r="AR258" i="17"/>
  <c r="CI78" i="18" s="1"/>
  <c r="AT257" i="17"/>
  <c r="BB257" i="17" s="1"/>
  <c r="AR271" i="17"/>
  <c r="AF273" i="17"/>
  <c r="AE150" i="17"/>
  <c r="AE79" i="17"/>
  <c r="AE78" i="17" s="1"/>
  <c r="CS14" i="18"/>
  <c r="CL75" i="18"/>
  <c r="AF85" i="17"/>
  <c r="CH6" i="18"/>
  <c r="CJ6" i="18"/>
  <c r="AR164" i="17"/>
  <c r="AF168" i="17"/>
  <c r="AF163" i="17" s="1"/>
  <c r="AR112" i="17"/>
  <c r="AF117" i="17"/>
  <c r="AF111" i="17" s="1"/>
  <c r="AR102" i="17"/>
  <c r="AF105" i="17"/>
  <c r="AF100" i="17" s="1"/>
  <c r="AT85" i="17"/>
  <c r="AR153" i="17"/>
  <c r="AF156" i="17"/>
  <c r="AR142" i="17"/>
  <c r="AF149" i="17"/>
  <c r="AF140" i="17" s="1"/>
  <c r="AR124" i="17"/>
  <c r="AF133" i="17"/>
  <c r="AF123" i="17" s="1"/>
  <c r="AR90" i="17"/>
  <c r="AF92" i="17"/>
  <c r="AR264" i="17"/>
  <c r="AF268" i="17"/>
  <c r="AF259" i="17" s="1"/>
  <c r="AR274" i="17"/>
  <c r="AF276" i="17"/>
  <c r="AR178" i="17"/>
  <c r="CI53" i="18" s="1"/>
  <c r="AT170" i="17"/>
  <c r="BB170" i="17" s="1"/>
  <c r="BB178" i="17" s="1"/>
  <c r="AR158" i="17"/>
  <c r="AF159" i="17"/>
  <c r="CH52" i="18"/>
  <c r="CH51" i="18" s="1"/>
  <c r="AQ163" i="17"/>
  <c r="AR135" i="17"/>
  <c r="AF139" i="17"/>
  <c r="AF134" i="17" s="1"/>
  <c r="AR107" i="17"/>
  <c r="AF110" i="17"/>
  <c r="AF106" i="17" s="1"/>
  <c r="CS58" i="18"/>
  <c r="AT196" i="17"/>
  <c r="CK58" i="18" s="1"/>
  <c r="AR119" i="17"/>
  <c r="AF122" i="17"/>
  <c r="AF118" i="17" s="1"/>
  <c r="AR95" i="17"/>
  <c r="AF99" i="17"/>
  <c r="AF93" i="17" s="1"/>
  <c r="AR87" i="17"/>
  <c r="AF88" i="17"/>
  <c r="CH31" i="18"/>
  <c r="CH30" i="18" s="1"/>
  <c r="AQ93" i="17"/>
  <c r="AU245" i="17"/>
  <c r="AR85" i="17"/>
  <c r="AQ5" i="17"/>
  <c r="AS5" i="17"/>
  <c r="AF254" i="17"/>
  <c r="AF245" i="17" s="1"/>
  <c r="BY24" i="18"/>
  <c r="BY23" i="18" s="1"/>
  <c r="BY76" i="18"/>
  <c r="BY80" i="18"/>
  <c r="BY79" i="18" s="1"/>
  <c r="AT83" i="16"/>
  <c r="BB83" i="16" s="1"/>
  <c r="AQ85" i="16"/>
  <c r="AR112" i="16"/>
  <c r="AF117" i="16"/>
  <c r="AF111" i="16" s="1"/>
  <c r="AR102" i="16"/>
  <c r="AF105" i="16"/>
  <c r="AF100" i="16" s="1"/>
  <c r="BU39" i="18"/>
  <c r="BU38" i="18" s="1"/>
  <c r="AQ118" i="16"/>
  <c r="BU35" i="18"/>
  <c r="BU34" i="18" s="1"/>
  <c r="AQ106" i="16"/>
  <c r="AR58" i="16"/>
  <c r="AF60" i="16"/>
  <c r="AR124" i="16"/>
  <c r="AF133" i="16"/>
  <c r="AF123" i="16" s="1"/>
  <c r="AR90" i="16"/>
  <c r="AF92" i="16"/>
  <c r="AR47" i="16"/>
  <c r="AF50" i="16"/>
  <c r="AR44" i="16"/>
  <c r="AT41" i="16"/>
  <c r="AR30" i="16"/>
  <c r="AF37" i="16"/>
  <c r="AR29" i="16"/>
  <c r="BV14" i="18" s="1"/>
  <c r="AT26" i="16"/>
  <c r="AR17" i="16"/>
  <c r="AF19" i="16"/>
  <c r="AF16" i="16" s="1"/>
  <c r="AR251" i="16"/>
  <c r="AF254" i="16"/>
  <c r="AR256" i="16"/>
  <c r="AF258" i="16"/>
  <c r="AR263" i="16"/>
  <c r="AT260" i="16"/>
  <c r="BB260" i="16" s="1"/>
  <c r="BB263" i="16" s="1"/>
  <c r="AR273" i="16"/>
  <c r="AT270" i="16"/>
  <c r="BB270" i="16" s="1"/>
  <c r="BB273" i="16" s="1"/>
  <c r="BB269" i="16" s="1"/>
  <c r="AR107" i="16"/>
  <c r="AF110" i="16"/>
  <c r="AF106" i="16" s="1"/>
  <c r="AR85" i="16"/>
  <c r="AT80" i="16"/>
  <c r="BB80" i="16" s="1"/>
  <c r="AR63" i="16"/>
  <c r="AF77" i="16"/>
  <c r="AF61" i="16" s="1"/>
  <c r="AR25" i="16"/>
  <c r="AT21" i="16"/>
  <c r="AR13" i="16"/>
  <c r="AF15" i="16"/>
  <c r="BY19" i="18"/>
  <c r="EL20" i="18"/>
  <c r="AR119" i="16"/>
  <c r="AF122" i="16"/>
  <c r="AF118" i="16" s="1"/>
  <c r="AR95" i="16"/>
  <c r="AF99" i="16"/>
  <c r="AF93" i="16" s="1"/>
  <c r="AR87" i="16"/>
  <c r="AF88" i="16"/>
  <c r="AR53" i="16"/>
  <c r="AF56" i="16"/>
  <c r="AR250" i="16"/>
  <c r="AT247" i="16"/>
  <c r="BB247" i="16" s="1"/>
  <c r="BB250" i="16" s="1"/>
  <c r="AR267" i="16"/>
  <c r="AF268" i="16"/>
  <c r="AF259" i="16" s="1"/>
  <c r="BW6" i="18"/>
  <c r="AQ197" i="16"/>
  <c r="AS197" i="16"/>
  <c r="BW46" i="18"/>
  <c r="BU6" i="18"/>
  <c r="AU283" i="16"/>
  <c r="AU277" i="16" s="1"/>
  <c r="AU289" i="16"/>
  <c r="AU284" i="16" s="1"/>
  <c r="BW25" i="18"/>
  <c r="BY83" i="18"/>
  <c r="BY82" i="18" s="1"/>
  <c r="BY61" i="18"/>
  <c r="BY60" i="18" s="1"/>
  <c r="BY9" i="18"/>
  <c r="BY7" i="18" s="1"/>
  <c r="AU6" i="16"/>
  <c r="AE79" i="16"/>
  <c r="AE78" i="16" s="1"/>
  <c r="AS5" i="16"/>
  <c r="AE45" i="16"/>
  <c r="AE20" i="16"/>
  <c r="BU59" i="18"/>
  <c r="BW59" i="18"/>
  <c r="AQ150" i="16"/>
  <c r="AS150" i="16"/>
  <c r="AQ5" i="16"/>
  <c r="AF85" i="16"/>
  <c r="AF79" i="16" s="1"/>
  <c r="AF78" i="16" s="1"/>
  <c r="AF25" i="16"/>
  <c r="AE5" i="16"/>
  <c r="AF250" i="16"/>
  <c r="CF84" i="18"/>
  <c r="AS78" i="16"/>
  <c r="AR234" i="15"/>
  <c r="AF237" i="15"/>
  <c r="AF232" i="15" s="1"/>
  <c r="AR72" i="15"/>
  <c r="AF77" i="15"/>
  <c r="AF61" i="15" s="1"/>
  <c r="BL76" i="18"/>
  <c r="BL75" i="18" s="1"/>
  <c r="AU245" i="15"/>
  <c r="BL83" i="18"/>
  <c r="AR274" i="15"/>
  <c r="AF276" i="15"/>
  <c r="AF269" i="15" s="1"/>
  <c r="BJ69" i="18"/>
  <c r="BJ68" i="18" s="1"/>
  <c r="AS226" i="15"/>
  <c r="AR239" i="15"/>
  <c r="AF243" i="15"/>
  <c r="AF238" i="15" s="1"/>
  <c r="AR229" i="15"/>
  <c r="AF231" i="15"/>
  <c r="AF226" i="15" s="1"/>
  <c r="AR215" i="15"/>
  <c r="AF220" i="15"/>
  <c r="AF213" i="15" s="1"/>
  <c r="AR253" i="15"/>
  <c r="AF254" i="15"/>
  <c r="AR263" i="15"/>
  <c r="AT261" i="15"/>
  <c r="BB261" i="15" s="1"/>
  <c r="BB263" i="15" s="1"/>
  <c r="AR278" i="15"/>
  <c r="AF283" i="15"/>
  <c r="AF277" i="15" s="1"/>
  <c r="AR285" i="15"/>
  <c r="AF289" i="15"/>
  <c r="AF284" i="15" s="1"/>
  <c r="BJ59" i="18"/>
  <c r="BH59" i="18"/>
  <c r="BH46" i="18"/>
  <c r="AS150" i="15"/>
  <c r="AT85" i="15"/>
  <c r="BJ6" i="18"/>
  <c r="BH6" i="18"/>
  <c r="BJ25" i="18"/>
  <c r="BS63" i="18"/>
  <c r="AT212" i="15"/>
  <c r="BK63" i="18" s="1"/>
  <c r="BH27" i="18"/>
  <c r="BH26" i="18" s="1"/>
  <c r="AQ79" i="15"/>
  <c r="BQ18" i="18"/>
  <c r="BQ17" i="18" s="1"/>
  <c r="BQ6" i="18" s="1"/>
  <c r="BQ90" i="18" s="1"/>
  <c r="AZ5" i="15"/>
  <c r="AZ292" i="15" s="1"/>
  <c r="BL45" i="18"/>
  <c r="BH76" i="18"/>
  <c r="BH75" i="18" s="1"/>
  <c r="BH74" i="18" s="1"/>
  <c r="AQ245" i="15"/>
  <c r="AQ244" i="15" s="1"/>
  <c r="AW251" i="15"/>
  <c r="AW254" i="15" s="1"/>
  <c r="AR255" i="15"/>
  <c r="AF258" i="15"/>
  <c r="AR268" i="15"/>
  <c r="BI81" i="18" s="1"/>
  <c r="AT266" i="15"/>
  <c r="AT247" i="15"/>
  <c r="BB247" i="15" s="1"/>
  <c r="BB250" i="15" s="1"/>
  <c r="AR250" i="15"/>
  <c r="BL57" i="18"/>
  <c r="BL55" i="18" s="1"/>
  <c r="BL46" i="18" s="1"/>
  <c r="BL69" i="18"/>
  <c r="BL68" i="18" s="1"/>
  <c r="AR223" i="15"/>
  <c r="AF225" i="15"/>
  <c r="AF221" i="15" s="1"/>
  <c r="AS197" i="15"/>
  <c r="AQ197" i="15"/>
  <c r="AQ150" i="15"/>
  <c r="AE197" i="15"/>
  <c r="BJ46" i="18"/>
  <c r="BS14" i="18"/>
  <c r="AS5" i="15"/>
  <c r="AQ5" i="15"/>
  <c r="AE245" i="15"/>
  <c r="AE244" i="15" s="1"/>
  <c r="AS78" i="15"/>
  <c r="AT237" i="14"/>
  <c r="AT220" i="14"/>
  <c r="BF57" i="18"/>
  <c r="AT193" i="14"/>
  <c r="AX57" i="18" s="1"/>
  <c r="AU27" i="18"/>
  <c r="AU26" i="18" s="1"/>
  <c r="AU25" i="18" s="1"/>
  <c r="AQ79" i="14"/>
  <c r="AQ78" i="14" s="1"/>
  <c r="AU61" i="18"/>
  <c r="AU60" i="18" s="1"/>
  <c r="AQ198" i="14"/>
  <c r="AU56" i="18"/>
  <c r="AU55" i="18" s="1"/>
  <c r="AQ182" i="14"/>
  <c r="AV67" i="18"/>
  <c r="AV66" i="18" s="1"/>
  <c r="AR221" i="14"/>
  <c r="AT243" i="14"/>
  <c r="AU67" i="18"/>
  <c r="AU66" i="18" s="1"/>
  <c r="AQ221" i="14"/>
  <c r="AW52" i="18"/>
  <c r="AW51" i="18" s="1"/>
  <c r="AS163" i="14"/>
  <c r="AS150" i="14" s="1"/>
  <c r="AR71" i="14"/>
  <c r="AF77" i="14"/>
  <c r="AF61" i="14" s="1"/>
  <c r="AR263" i="14"/>
  <c r="AT263" i="14"/>
  <c r="AT265" i="14"/>
  <c r="BB265" i="14" s="1"/>
  <c r="AR268" i="14"/>
  <c r="AV81" i="18" s="1"/>
  <c r="AR285" i="14"/>
  <c r="AF289" i="14"/>
  <c r="AF284" i="14" s="1"/>
  <c r="AR246" i="14"/>
  <c r="AF250" i="14"/>
  <c r="AR278" i="14"/>
  <c r="AF283" i="14"/>
  <c r="AF277" i="14" s="1"/>
  <c r="AF197" i="14"/>
  <c r="AS197" i="14"/>
  <c r="AQ5" i="14"/>
  <c r="AT227" i="14"/>
  <c r="AW6" i="18"/>
  <c r="AU46" i="18"/>
  <c r="AW25" i="18"/>
  <c r="AY24" i="18"/>
  <c r="AY23" i="18" s="1"/>
  <c r="AV69" i="18"/>
  <c r="AV68" i="18" s="1"/>
  <c r="AR226" i="14"/>
  <c r="AT206" i="14"/>
  <c r="AU71" i="18"/>
  <c r="AU70" i="18" s="1"/>
  <c r="AQ232" i="14"/>
  <c r="AU65" i="18"/>
  <c r="AU64" i="18" s="1"/>
  <c r="AQ213" i="14"/>
  <c r="AU266" i="14"/>
  <c r="AU268" i="14" s="1"/>
  <c r="AU259" i="14" s="1"/>
  <c r="AU270" i="14"/>
  <c r="AU273" i="14" s="1"/>
  <c r="AT273" i="14"/>
  <c r="AR255" i="14"/>
  <c r="AF258" i="14"/>
  <c r="AR274" i="14"/>
  <c r="AF276" i="14"/>
  <c r="AF269" i="14" s="1"/>
  <c r="AT203" i="14"/>
  <c r="AV56" i="18"/>
  <c r="AU73" i="18"/>
  <c r="AU72" i="18" s="1"/>
  <c r="AQ238" i="14"/>
  <c r="AU69" i="18"/>
  <c r="AU68" i="18" s="1"/>
  <c r="AQ226" i="14"/>
  <c r="BF63" i="18"/>
  <c r="AT212" i="14"/>
  <c r="AX63" i="18" s="1"/>
  <c r="AW59" i="18"/>
  <c r="AU6" i="18"/>
  <c r="AT183" i="14"/>
  <c r="BB183" i="14" s="1"/>
  <c r="BB190" i="14" s="1"/>
  <c r="AT222" i="14"/>
  <c r="AS5" i="14"/>
  <c r="AW46" i="18"/>
  <c r="AQ150" i="14"/>
  <c r="AF268" i="14"/>
  <c r="AF259" i="14" s="1"/>
  <c r="AE245" i="14"/>
  <c r="AE244" i="14" s="1"/>
  <c r="AS78" i="14"/>
  <c r="AL65" i="18"/>
  <c r="AL64" i="18" s="1"/>
  <c r="AL21" i="18"/>
  <c r="AL19" i="18" s="1"/>
  <c r="AQ18" i="18"/>
  <c r="AZ5" i="13"/>
  <c r="AR101" i="13"/>
  <c r="AF105" i="13"/>
  <c r="AF100" i="13" s="1"/>
  <c r="AT250" i="13"/>
  <c r="AU246" i="13"/>
  <c r="AU250" i="13" s="1"/>
  <c r="AR57" i="13"/>
  <c r="AF60" i="13"/>
  <c r="AR39" i="13"/>
  <c r="AI16" i="18" s="1"/>
  <c r="EI16" i="18" s="1"/>
  <c r="AT38" i="13"/>
  <c r="AR31" i="13"/>
  <c r="AF37" i="13"/>
  <c r="AR29" i="13"/>
  <c r="AI14" i="18" s="1"/>
  <c r="AT26" i="13"/>
  <c r="AL9" i="18"/>
  <c r="AU6" i="13"/>
  <c r="AH9" i="18"/>
  <c r="AQ6" i="13"/>
  <c r="AT254" i="13"/>
  <c r="AK77" i="18" s="1"/>
  <c r="AZ251" i="13"/>
  <c r="AZ254" i="13" s="1"/>
  <c r="AJ73" i="18"/>
  <c r="AJ72" i="18" s="1"/>
  <c r="AS238" i="13"/>
  <c r="AS197" i="13" s="1"/>
  <c r="AJ31" i="18"/>
  <c r="AS93" i="13"/>
  <c r="AL18" i="18"/>
  <c r="AQ197" i="13"/>
  <c r="AF25" i="13"/>
  <c r="AT264" i="13"/>
  <c r="BB264" i="13" s="1"/>
  <c r="BB268" i="13" s="1"/>
  <c r="BB259" i="13" s="1"/>
  <c r="AE79" i="13"/>
  <c r="AE78" i="13" s="1"/>
  <c r="AS5" i="13"/>
  <c r="AF139" i="13"/>
  <c r="AF134" i="13" s="1"/>
  <c r="AT278" i="13"/>
  <c r="AE45" i="13"/>
  <c r="AJ66" i="18"/>
  <c r="AJ59" i="18" s="1"/>
  <c r="AR108" i="13"/>
  <c r="AF110" i="13"/>
  <c r="AF106" i="13" s="1"/>
  <c r="AR89" i="13"/>
  <c r="AF92" i="13"/>
  <c r="AH41" i="18"/>
  <c r="AH40" i="18" s="1"/>
  <c r="AQ123" i="13"/>
  <c r="AH31" i="18"/>
  <c r="AQ93" i="13"/>
  <c r="AS78" i="18"/>
  <c r="AT258" i="13"/>
  <c r="AK78" i="18" s="1"/>
  <c r="AH76" i="18"/>
  <c r="AH75" i="18" s="1"/>
  <c r="AH74" i="18" s="1"/>
  <c r="AQ245" i="13"/>
  <c r="AQ244" i="13" s="1"/>
  <c r="AR51" i="13"/>
  <c r="AY51" i="13" s="1"/>
  <c r="AY56" i="13" s="1"/>
  <c r="AY45" i="13" s="1"/>
  <c r="AF56" i="13"/>
  <c r="AR25" i="13"/>
  <c r="AT21" i="13"/>
  <c r="AL80" i="18"/>
  <c r="AR141" i="13"/>
  <c r="AF149" i="13"/>
  <c r="AF140" i="13" s="1"/>
  <c r="AR113" i="13"/>
  <c r="AF117" i="13"/>
  <c r="AF111" i="13" s="1"/>
  <c r="AR94" i="13"/>
  <c r="AR99" i="13" s="1"/>
  <c r="AF99" i="13"/>
  <c r="AF93" i="13" s="1"/>
  <c r="AR86" i="13"/>
  <c r="AF88" i="13"/>
  <c r="AT81" i="13"/>
  <c r="BB81" i="13" s="1"/>
  <c r="BB85" i="13" s="1"/>
  <c r="AR85" i="13"/>
  <c r="AH37" i="18"/>
  <c r="AH36" i="18" s="1"/>
  <c r="AQ111" i="13"/>
  <c r="AR139" i="13"/>
  <c r="AT135" i="13"/>
  <c r="BB135" i="13" s="1"/>
  <c r="BB139" i="13" s="1"/>
  <c r="BB134" i="13" s="1"/>
  <c r="AR125" i="13"/>
  <c r="AF133" i="13"/>
  <c r="AF123" i="13" s="1"/>
  <c r="AR120" i="13"/>
  <c r="AF122" i="13"/>
  <c r="AF118" i="13" s="1"/>
  <c r="AR42" i="13"/>
  <c r="AF44" i="13"/>
  <c r="AF40" i="13" s="1"/>
  <c r="AR18" i="13"/>
  <c r="AF19" i="13"/>
  <c r="AF16" i="13" s="1"/>
  <c r="AR9" i="13"/>
  <c r="AR11" i="13" s="1"/>
  <c r="AI8" i="18" s="1"/>
  <c r="AF11" i="13"/>
  <c r="AR47" i="13"/>
  <c r="AF50" i="13"/>
  <c r="AR12" i="13"/>
  <c r="AF15" i="13"/>
  <c r="AH18" i="18"/>
  <c r="AH17" i="18" s="1"/>
  <c r="AQ40" i="13"/>
  <c r="AH59" i="18"/>
  <c r="AE20" i="13"/>
  <c r="AE5" i="13" s="1"/>
  <c r="AT285" i="13"/>
  <c r="BB285" i="13" s="1"/>
  <c r="BB289" i="13" s="1"/>
  <c r="BB284" i="13" s="1"/>
  <c r="AT274" i="13"/>
  <c r="AJ6" i="18"/>
  <c r="AT270" i="13"/>
  <c r="AR222" i="12"/>
  <c r="AF225" i="12"/>
  <c r="AF221" i="12" s="1"/>
  <c r="AR210" i="12"/>
  <c r="AF212" i="12"/>
  <c r="AR201" i="12"/>
  <c r="AF203" i="12"/>
  <c r="W38" i="18"/>
  <c r="EJ39" i="18"/>
  <c r="EJ38" i="18" s="1"/>
  <c r="AC19" i="18"/>
  <c r="AQ213" i="12"/>
  <c r="U65" i="18"/>
  <c r="U64" i="18" s="1"/>
  <c r="U24" i="18"/>
  <c r="U23" i="18" s="1"/>
  <c r="U6" i="18" s="1"/>
  <c r="AQ61" i="12"/>
  <c r="AQ5" i="12" s="1"/>
  <c r="AR233" i="12"/>
  <c r="AF237" i="12"/>
  <c r="AF232" i="12" s="1"/>
  <c r="AR227" i="12"/>
  <c r="AF231" i="12"/>
  <c r="AF226" i="12" s="1"/>
  <c r="U69" i="18"/>
  <c r="U68" i="18" s="1"/>
  <c r="AQ226" i="12"/>
  <c r="AR193" i="12"/>
  <c r="V57" i="18" s="1"/>
  <c r="AT191" i="12"/>
  <c r="BB191" i="12" s="1"/>
  <c r="BB193" i="12" s="1"/>
  <c r="Y21" i="18"/>
  <c r="EH35" i="18"/>
  <c r="EH34" i="18" s="1"/>
  <c r="AR17" i="12"/>
  <c r="AF19" i="12"/>
  <c r="AF16" i="12" s="1"/>
  <c r="EH80" i="18"/>
  <c r="AF245" i="12"/>
  <c r="AF244" i="12" s="1"/>
  <c r="AT261" i="12"/>
  <c r="BB261" i="12" s="1"/>
  <c r="BB263" i="12" s="1"/>
  <c r="BB259" i="12" s="1"/>
  <c r="AS197" i="12"/>
  <c r="AE182" i="12"/>
  <c r="AE150" i="12" s="1"/>
  <c r="AE5" i="12"/>
  <c r="AT246" i="12"/>
  <c r="BB246" i="12" s="1"/>
  <c r="BB250" i="12" s="1"/>
  <c r="BB245" i="12" s="1"/>
  <c r="AS150" i="12"/>
  <c r="W25" i="18"/>
  <c r="AT83" i="12"/>
  <c r="BB83" i="12" s="1"/>
  <c r="BB85" i="12" s="1"/>
  <c r="V76" i="18"/>
  <c r="V75" i="18" s="1"/>
  <c r="AR245" i="12"/>
  <c r="AF77" i="18"/>
  <c r="AT254" i="12"/>
  <c r="X77" i="18" s="1"/>
  <c r="AR273" i="12"/>
  <c r="V83" i="18" s="1"/>
  <c r="AT270" i="12"/>
  <c r="BB270" i="12" s="1"/>
  <c r="BB273" i="12" s="1"/>
  <c r="U73" i="18"/>
  <c r="U72" i="18" s="1"/>
  <c r="AQ238" i="12"/>
  <c r="AR183" i="12"/>
  <c r="AR190" i="12" s="1"/>
  <c r="AF190" i="12"/>
  <c r="AR276" i="12"/>
  <c r="AT274" i="12"/>
  <c r="BB274" i="12" s="1"/>
  <c r="BB276" i="12" s="1"/>
  <c r="AR24" i="12"/>
  <c r="AF25" i="12"/>
  <c r="AF20" i="12" s="1"/>
  <c r="AR12" i="12"/>
  <c r="AF15" i="12"/>
  <c r="AF6" i="12" s="1"/>
  <c r="U76" i="18"/>
  <c r="U75" i="18" s="1"/>
  <c r="U74" i="18" s="1"/>
  <c r="AR240" i="12"/>
  <c r="AF243" i="12"/>
  <c r="AF238" i="12" s="1"/>
  <c r="AR214" i="12"/>
  <c r="AF220" i="12"/>
  <c r="AF213" i="12" s="1"/>
  <c r="AR289" i="12"/>
  <c r="AT288" i="12"/>
  <c r="BB288" i="12" s="1"/>
  <c r="BB289" i="12" s="1"/>
  <c r="BB284" i="12" s="1"/>
  <c r="AR204" i="12"/>
  <c r="AR209" i="12" s="1"/>
  <c r="U56" i="18"/>
  <c r="AQ182" i="12"/>
  <c r="AQ150" i="12" s="1"/>
  <c r="AB9" i="18"/>
  <c r="AX6" i="12"/>
  <c r="W59" i="18"/>
  <c r="AE198" i="12"/>
  <c r="AE197" i="12" s="1"/>
  <c r="W46" i="18"/>
  <c r="AF193" i="12"/>
  <c r="W6" i="18"/>
  <c r="AQ198" i="12"/>
  <c r="AQ197" i="12" s="1"/>
  <c r="H27" i="18"/>
  <c r="H26" i="18" s="1"/>
  <c r="AQ79" i="1"/>
  <c r="K27" i="18"/>
  <c r="J10" i="18"/>
  <c r="EJ11" i="18"/>
  <c r="EJ10" i="18" s="1"/>
  <c r="J7" i="18"/>
  <c r="EJ8" i="18"/>
  <c r="EJ7" i="18" s="1"/>
  <c r="EH24" i="18"/>
  <c r="EH23" i="18" s="1"/>
  <c r="EH13" i="18"/>
  <c r="EH12" i="18" s="1"/>
  <c r="EH11" i="18"/>
  <c r="EH10" i="18" s="1"/>
  <c r="J23" i="18"/>
  <c r="EJ24" i="18"/>
  <c r="EJ23" i="18" s="1"/>
  <c r="J75" i="18"/>
  <c r="J72" i="18"/>
  <c r="EJ73" i="18"/>
  <c r="EJ72" i="18" s="1"/>
  <c r="J68" i="18"/>
  <c r="EJ69" i="18"/>
  <c r="EJ68" i="18" s="1"/>
  <c r="J32" i="18"/>
  <c r="EJ33" i="18"/>
  <c r="EJ32" i="18" s="1"/>
  <c r="J51" i="18"/>
  <c r="EJ52" i="18"/>
  <c r="EJ51" i="18" s="1"/>
  <c r="J34" i="18"/>
  <c r="EJ35" i="18"/>
  <c r="EJ34" i="18" s="1"/>
  <c r="J42" i="18"/>
  <c r="EJ43" i="18"/>
  <c r="EJ42" i="18" s="1"/>
  <c r="EH43" i="18"/>
  <c r="EH42" i="18" s="1"/>
  <c r="EH45" i="18"/>
  <c r="EH44" i="18" s="1"/>
  <c r="EH8" i="18"/>
  <c r="J17" i="18"/>
  <c r="J12" i="18"/>
  <c r="EJ13" i="18"/>
  <c r="EJ12" i="18" s="1"/>
  <c r="EH18" i="18"/>
  <c r="EH17" i="18" s="1"/>
  <c r="O20" i="18"/>
  <c r="EH20" i="18"/>
  <c r="EH19" i="18" s="1"/>
  <c r="J26" i="18"/>
  <c r="AS150" i="1"/>
  <c r="J80" i="18"/>
  <c r="AS259" i="1"/>
  <c r="J87" i="18"/>
  <c r="EJ88" i="18"/>
  <c r="EJ87" i="18" s="1"/>
  <c r="L65" i="18"/>
  <c r="J85" i="18"/>
  <c r="J70" i="18"/>
  <c r="J64" i="18"/>
  <c r="J36" i="18"/>
  <c r="EJ37" i="18"/>
  <c r="EJ36" i="18" s="1"/>
  <c r="S27" i="18"/>
  <c r="J47" i="18"/>
  <c r="EJ48" i="18"/>
  <c r="J44" i="18"/>
  <c r="EJ45" i="18"/>
  <c r="EJ44" i="18" s="1"/>
  <c r="J30" i="18"/>
  <c r="EJ31" i="18"/>
  <c r="EJ30" i="18" s="1"/>
  <c r="J40" i="18"/>
  <c r="EJ41" i="18"/>
  <c r="EJ40" i="18" s="1"/>
  <c r="EH41" i="18"/>
  <c r="EH40" i="18" s="1"/>
  <c r="EH39" i="18"/>
  <c r="EH38" i="18" s="1"/>
  <c r="H83" i="18"/>
  <c r="AQ269" i="1"/>
  <c r="EH73" i="18"/>
  <c r="EH72" i="18" s="1"/>
  <c r="EH71" i="18"/>
  <c r="EH70" i="18" s="1"/>
  <c r="EH69" i="18"/>
  <c r="EH68" i="18" s="1"/>
  <c r="EJ61" i="18"/>
  <c r="J19" i="18"/>
  <c r="EJ20" i="18"/>
  <c r="EJ19" i="18" s="1"/>
  <c r="AS5" i="1"/>
  <c r="AS244" i="1"/>
  <c r="AQ5" i="1"/>
  <c r="AS78" i="1"/>
  <c r="AF45" i="13" l="1"/>
  <c r="AF20" i="15"/>
  <c r="BB38" i="14"/>
  <c r="BB39" i="14" s="1"/>
  <c r="BF16" i="18" s="1"/>
  <c r="AW81" i="18"/>
  <c r="AW79" i="18" s="1"/>
  <c r="AS259" i="14"/>
  <c r="AS244" i="14" s="1"/>
  <c r="AF79" i="13"/>
  <c r="AF6" i="23"/>
  <c r="AW74" i="18"/>
  <c r="BB192" i="15"/>
  <c r="AX292" i="12"/>
  <c r="AX5" i="12"/>
  <c r="BB193" i="15"/>
  <c r="AE244" i="17"/>
  <c r="BB79" i="15"/>
  <c r="BB52" i="1"/>
  <c r="AF245" i="15"/>
  <c r="AF244" i="15" s="1"/>
  <c r="AR197" i="22"/>
  <c r="BB269" i="12"/>
  <c r="BB52" i="13"/>
  <c r="AU26" i="13"/>
  <c r="AU29" i="13" s="1"/>
  <c r="AU38" i="13"/>
  <c r="AU39" i="13" s="1"/>
  <c r="AU21" i="16"/>
  <c r="AU25" i="16" s="1"/>
  <c r="AR100" i="15"/>
  <c r="BI33" i="18"/>
  <c r="BI32" i="18" s="1"/>
  <c r="AQ213" i="17"/>
  <c r="CH65" i="18"/>
  <c r="BB246" i="23"/>
  <c r="BB250" i="23" s="1"/>
  <c r="AT250" i="23"/>
  <c r="CU67" i="18"/>
  <c r="AT283" i="22"/>
  <c r="AU279" i="22"/>
  <c r="AY88" i="18"/>
  <c r="AY87" i="18" s="1"/>
  <c r="AU284" i="14"/>
  <c r="AU199" i="1"/>
  <c r="AU203" i="1" s="1"/>
  <c r="BB285" i="22"/>
  <c r="AT289" i="22"/>
  <c r="AQ163" i="23"/>
  <c r="AQ150" i="23" s="1"/>
  <c r="DU52" i="18"/>
  <c r="DU51" i="18" s="1"/>
  <c r="DU46" i="18" s="1"/>
  <c r="BB210" i="17"/>
  <c r="BB212" i="17" s="1"/>
  <c r="CS63" i="18" s="1"/>
  <c r="AT212" i="17"/>
  <c r="CK63" i="18" s="1"/>
  <c r="CJ63" i="18"/>
  <c r="AS198" i="17"/>
  <c r="DJ81" i="18"/>
  <c r="AS259" i="22"/>
  <c r="DI83" i="18"/>
  <c r="DI82" i="18" s="1"/>
  <c r="AR269" i="22"/>
  <c r="AF20" i="23"/>
  <c r="BB163" i="15"/>
  <c r="BB235" i="22"/>
  <c r="BB237" i="22" s="1"/>
  <c r="BB232" i="22" s="1"/>
  <c r="BB199" i="22"/>
  <c r="BB203" i="22" s="1"/>
  <c r="BB245" i="23"/>
  <c r="AR99" i="1"/>
  <c r="BB64" i="1"/>
  <c r="BB254" i="17"/>
  <c r="BB251" i="15"/>
  <c r="AT101" i="15"/>
  <c r="BB251" i="13"/>
  <c r="BB254" i="13" s="1"/>
  <c r="BB233" i="14"/>
  <c r="BB237" i="14" s="1"/>
  <c r="BB232" i="14" s="1"/>
  <c r="BB199" i="12"/>
  <c r="V88" i="18"/>
  <c r="V87" i="18" s="1"/>
  <c r="AR284" i="12"/>
  <c r="AU21" i="13"/>
  <c r="AU25" i="13" s="1"/>
  <c r="AU30" i="12"/>
  <c r="AU37" i="12" s="1"/>
  <c r="AU26" i="14"/>
  <c r="AU29" i="14" s="1"/>
  <c r="V86" i="18"/>
  <c r="V85" i="18" s="1"/>
  <c r="AR277" i="12"/>
  <c r="AF8" i="18"/>
  <c r="AT254" i="22"/>
  <c r="AW251" i="22"/>
  <c r="CU37" i="18"/>
  <c r="AU223" i="17"/>
  <c r="BB223" i="17" s="1"/>
  <c r="CU54" i="18"/>
  <c r="DJ86" i="18"/>
  <c r="AS277" i="22"/>
  <c r="AQ198" i="1"/>
  <c r="AQ197" i="1" s="1"/>
  <c r="H61" i="18"/>
  <c r="AQ198" i="17"/>
  <c r="CH61" i="18"/>
  <c r="CH60" i="18" s="1"/>
  <c r="AU217" i="17"/>
  <c r="BB217" i="17" s="1"/>
  <c r="AU279" i="23"/>
  <c r="AT283" i="23"/>
  <c r="AQ151" i="17"/>
  <c r="AQ150" i="17" s="1"/>
  <c r="CH48" i="18"/>
  <c r="CH47" i="18" s="1"/>
  <c r="CH46" i="18" s="1"/>
  <c r="CU50" i="18"/>
  <c r="CU47" i="18" s="1"/>
  <c r="AT268" i="22"/>
  <c r="AU266" i="22"/>
  <c r="BB264" i="23"/>
  <c r="BB268" i="23" s="1"/>
  <c r="AT268" i="23"/>
  <c r="J46" i="18"/>
  <c r="AF20" i="13"/>
  <c r="AF269" i="17"/>
  <c r="AF244" i="17" s="1"/>
  <c r="DD91" i="18"/>
  <c r="BB266" i="14"/>
  <c r="BB268" i="14" s="1"/>
  <c r="BB258" i="17"/>
  <c r="AU222" i="14"/>
  <c r="AU225" i="14" s="1"/>
  <c r="AU221" i="14" s="1"/>
  <c r="AX83" i="18"/>
  <c r="AU26" i="16"/>
  <c r="AU29" i="16" s="1"/>
  <c r="AZ41" i="16"/>
  <c r="AZ44" i="16" s="1"/>
  <c r="AZ40" i="16" s="1"/>
  <c r="AZ41" i="14"/>
  <c r="AZ44" i="14" s="1"/>
  <c r="AZ40" i="14" s="1"/>
  <c r="AU21" i="14"/>
  <c r="AU25" i="14" s="1"/>
  <c r="AU38" i="17"/>
  <c r="AU39" i="17" s="1"/>
  <c r="AT56" i="14"/>
  <c r="AX21" i="18" s="1"/>
  <c r="BB51" i="14"/>
  <c r="BB56" i="14" s="1"/>
  <c r="BF21" i="18" s="1"/>
  <c r="AU192" i="16"/>
  <c r="AU193" i="16" s="1"/>
  <c r="AU182" i="16" s="1"/>
  <c r="AU150" i="16" s="1"/>
  <c r="AU215" i="17"/>
  <c r="H58" i="18"/>
  <c r="AQ182" i="1"/>
  <c r="DJ77" i="18"/>
  <c r="AS245" i="22"/>
  <c r="AS244" i="22" s="1"/>
  <c r="AQ277" i="1"/>
  <c r="H86" i="18"/>
  <c r="BB261" i="17"/>
  <c r="BB263" i="17" s="1"/>
  <c r="CS80" i="18" s="1"/>
  <c r="AT263" i="17"/>
  <c r="CK80" i="18" s="1"/>
  <c r="AS221" i="17"/>
  <c r="CJ67" i="18"/>
  <c r="AQ93" i="1"/>
  <c r="AQ78" i="1" s="1"/>
  <c r="H31" i="18"/>
  <c r="BB270" i="23"/>
  <c r="BB273" i="23" s="1"/>
  <c r="BB269" i="23" s="1"/>
  <c r="AT273" i="23"/>
  <c r="AU199" i="17"/>
  <c r="AU203" i="17" s="1"/>
  <c r="AT203" i="17"/>
  <c r="CK61" i="18" s="1"/>
  <c r="AS213" i="17"/>
  <c r="CJ65" i="18"/>
  <c r="AR277" i="23"/>
  <c r="DV86" i="18"/>
  <c r="DV85" i="18" s="1"/>
  <c r="AQ151" i="1"/>
  <c r="H48" i="18"/>
  <c r="AU234" i="17"/>
  <c r="BB234" i="17" s="1"/>
  <c r="AR284" i="23"/>
  <c r="DV88" i="18"/>
  <c r="DV87" i="18" s="1"/>
  <c r="DW81" i="18"/>
  <c r="DW79" i="18" s="1"/>
  <c r="AS259" i="23"/>
  <c r="AQ292" i="23"/>
  <c r="DU59" i="18"/>
  <c r="BB289" i="22"/>
  <c r="BB284" i="22" s="1"/>
  <c r="BB22" i="22"/>
  <c r="BB25" i="22" s="1"/>
  <c r="DS13" i="18" s="1"/>
  <c r="BB231" i="17"/>
  <c r="BB226" i="17" s="1"/>
  <c r="BB270" i="14"/>
  <c r="BB273" i="14" s="1"/>
  <c r="BB199" i="14"/>
  <c r="BB203" i="14" s="1"/>
  <c r="AU227" i="14"/>
  <c r="AU231" i="14" s="1"/>
  <c r="AU226" i="14" s="1"/>
  <c r="BV83" i="18"/>
  <c r="BV82" i="18" s="1"/>
  <c r="AR269" i="16"/>
  <c r="AT209" i="1"/>
  <c r="AW204" i="1"/>
  <c r="AW209" i="1" s="1"/>
  <c r="AW198" i="1" s="1"/>
  <c r="AW197" i="1" s="1"/>
  <c r="AW292" i="1" s="1"/>
  <c r="BB94" i="12"/>
  <c r="AT99" i="12"/>
  <c r="BB99" i="12" s="1"/>
  <c r="BB93" i="12" s="1"/>
  <c r="AU38" i="15"/>
  <c r="AU39" i="15" s="1"/>
  <c r="J62" i="18"/>
  <c r="AS198" i="1"/>
  <c r="AS197" i="1" s="1"/>
  <c r="DW76" i="18"/>
  <c r="AS245" i="23"/>
  <c r="CW49" i="18"/>
  <c r="AQ284" i="1"/>
  <c r="H88" i="18"/>
  <c r="AR277" i="22"/>
  <c r="DI86" i="18"/>
  <c r="DI85" i="18" s="1"/>
  <c r="BB94" i="1"/>
  <c r="DV83" i="18"/>
  <c r="DV82" i="18" s="1"/>
  <c r="AR269" i="23"/>
  <c r="AQ100" i="15"/>
  <c r="AQ78" i="15" s="1"/>
  <c r="AQ292" i="15" s="1"/>
  <c r="BH33" i="18"/>
  <c r="DI88" i="18"/>
  <c r="DI87" i="18" s="1"/>
  <c r="AR284" i="22"/>
  <c r="CU33" i="18"/>
  <c r="CU32" i="18" s="1"/>
  <c r="AS232" i="17"/>
  <c r="CJ71" i="18"/>
  <c r="CX77" i="18"/>
  <c r="BB285" i="23"/>
  <c r="BB289" i="23" s="1"/>
  <c r="AT289" i="23"/>
  <c r="BB272" i="22"/>
  <c r="BB273" i="22" s="1"/>
  <c r="BB269" i="22" s="1"/>
  <c r="AT273" i="22"/>
  <c r="EH76" i="18"/>
  <c r="EH75" i="18" s="1"/>
  <c r="AF5" i="12"/>
  <c r="BB244" i="12"/>
  <c r="BB85" i="16"/>
  <c r="CQ91" i="18"/>
  <c r="BB65" i="17"/>
  <c r="BB65" i="15"/>
  <c r="BB246" i="13"/>
  <c r="BB250" i="13" s="1"/>
  <c r="BB245" i="13" s="1"/>
  <c r="CV80" i="18"/>
  <c r="EH79" i="18"/>
  <c r="BV80" i="18"/>
  <c r="BI80" i="18"/>
  <c r="AR259" i="15"/>
  <c r="AX80" i="18"/>
  <c r="AV80" i="18"/>
  <c r="AV79" i="18" s="1"/>
  <c r="AR259" i="14"/>
  <c r="V84" i="18"/>
  <c r="AR269" i="12"/>
  <c r="AR244" i="12" s="1"/>
  <c r="AU236" i="23"/>
  <c r="AU237" i="23" s="1"/>
  <c r="AU232" i="23" s="1"/>
  <c r="AU222" i="23"/>
  <c r="AU225" i="23" s="1"/>
  <c r="AU221" i="23" s="1"/>
  <c r="AU26" i="23"/>
  <c r="AU29" i="23" s="1"/>
  <c r="BB65" i="23"/>
  <c r="BB22" i="23"/>
  <c r="BB25" i="23" s="1"/>
  <c r="EF13" i="18" s="1"/>
  <c r="DV68" i="18"/>
  <c r="DV66" i="18"/>
  <c r="AU227" i="23"/>
  <c r="AU231" i="23" s="1"/>
  <c r="AU226" i="23" s="1"/>
  <c r="AZ41" i="23"/>
  <c r="AZ44" i="23" s="1"/>
  <c r="AZ40" i="23" s="1"/>
  <c r="DV74" i="18"/>
  <c r="AU227" i="22"/>
  <c r="AU231" i="22" s="1"/>
  <c r="AU226" i="22" s="1"/>
  <c r="DL55" i="18"/>
  <c r="DL46" i="18" s="1"/>
  <c r="DI64" i="18"/>
  <c r="DI68" i="18"/>
  <c r="DI72" i="18"/>
  <c r="AU38" i="22"/>
  <c r="AU39" i="22" s="1"/>
  <c r="DL16" i="18" s="1"/>
  <c r="AT39" i="22"/>
  <c r="DK16" i="18" s="1"/>
  <c r="DI18" i="18"/>
  <c r="AR40" i="22"/>
  <c r="AU222" i="22"/>
  <c r="AU225" i="22" s="1"/>
  <c r="AU221" i="22" s="1"/>
  <c r="AU239" i="22"/>
  <c r="AU243" i="22" s="1"/>
  <c r="AU238" i="22" s="1"/>
  <c r="DI66" i="18"/>
  <c r="DL87" i="18"/>
  <c r="AU31" i="22"/>
  <c r="AU37" i="22" s="1"/>
  <c r="AU26" i="22"/>
  <c r="AU29" i="22" s="1"/>
  <c r="DI60" i="18"/>
  <c r="AZ41" i="22"/>
  <c r="AZ44" i="22" s="1"/>
  <c r="AT44" i="22"/>
  <c r="DI74" i="18"/>
  <c r="DL44" i="18"/>
  <c r="DL25" i="18" s="1"/>
  <c r="U55" i="18"/>
  <c r="U46" i="18" s="1"/>
  <c r="BQ91" i="18"/>
  <c r="AJ30" i="18"/>
  <c r="AH30" i="18"/>
  <c r="AH25" i="18" s="1"/>
  <c r="EM90" i="18"/>
  <c r="EL80" i="18"/>
  <c r="AL79" i="18"/>
  <c r="BI79" i="18"/>
  <c r="EH83" i="18"/>
  <c r="EH82" i="18" s="1"/>
  <c r="H82" i="18"/>
  <c r="EJ80" i="18"/>
  <c r="J79" i="18"/>
  <c r="J74" i="18" s="1"/>
  <c r="V82" i="18"/>
  <c r="V74" i="18" s="1"/>
  <c r="U59" i="18"/>
  <c r="AT243" i="23"/>
  <c r="AU241" i="23"/>
  <c r="AU243" i="23" s="1"/>
  <c r="AU238" i="23" s="1"/>
  <c r="AW209" i="23"/>
  <c r="AW198" i="23" s="1"/>
  <c r="AW197" i="23" s="1"/>
  <c r="AW292" i="23" s="1"/>
  <c r="AS292" i="1"/>
  <c r="AW204" i="22"/>
  <c r="BB204" i="22" s="1"/>
  <c r="BB209" i="22" s="1"/>
  <c r="BB198" i="22" s="1"/>
  <c r="AT209" i="22"/>
  <c r="AS292" i="22"/>
  <c r="AU61" i="17"/>
  <c r="CL24" i="18"/>
  <c r="CL23" i="18" s="1"/>
  <c r="AT209" i="17"/>
  <c r="AW204" i="17"/>
  <c r="BB204" i="17" s="1"/>
  <c r="BB209" i="17" s="1"/>
  <c r="AT19" i="17"/>
  <c r="CI11" i="18"/>
  <c r="CI10" i="18" s="1"/>
  <c r="AR16" i="17"/>
  <c r="AS292" i="16"/>
  <c r="AR16" i="15"/>
  <c r="BI11" i="18"/>
  <c r="BI10" i="18" s="1"/>
  <c r="AT204" i="15"/>
  <c r="BB204" i="15" s="1"/>
  <c r="AR209" i="15"/>
  <c r="AS292" i="15"/>
  <c r="AE150" i="15"/>
  <c r="AT19" i="15"/>
  <c r="AU240" i="14"/>
  <c r="AU243" i="14" s="1"/>
  <c r="AU238" i="14" s="1"/>
  <c r="AR209" i="14"/>
  <c r="AT204" i="14"/>
  <c r="BB204" i="14" s="1"/>
  <c r="AS292" i="14"/>
  <c r="AU206" i="14"/>
  <c r="AU209" i="14" s="1"/>
  <c r="AU198" i="14" s="1"/>
  <c r="AU197" i="14" s="1"/>
  <c r="AS292" i="12"/>
  <c r="AE5" i="23"/>
  <c r="CX54" i="18"/>
  <c r="DF54" i="18"/>
  <c r="AR193" i="17"/>
  <c r="CI57" i="18" s="1"/>
  <c r="AT192" i="17"/>
  <c r="EH56" i="18"/>
  <c r="AT160" i="23"/>
  <c r="BB160" i="23" s="1"/>
  <c r="BB162" i="23" s="1"/>
  <c r="AR162" i="23"/>
  <c r="DV50" i="18" s="1"/>
  <c r="DV62" i="18"/>
  <c r="AT205" i="23"/>
  <c r="AR133" i="23"/>
  <c r="AT124" i="23"/>
  <c r="BB124" i="23" s="1"/>
  <c r="BB133" i="23" s="1"/>
  <c r="BB123" i="23" s="1"/>
  <c r="AR203" i="23"/>
  <c r="AT199" i="23"/>
  <c r="AT210" i="23"/>
  <c r="BB210" i="23" s="1"/>
  <c r="BB212" i="23" s="1"/>
  <c r="AR212" i="23"/>
  <c r="DV63" i="18" s="1"/>
  <c r="AT193" i="23"/>
  <c r="DX57" i="18" s="1"/>
  <c r="EF57" i="18"/>
  <c r="AF198" i="23"/>
  <c r="AF197" i="23" s="1"/>
  <c r="AT160" i="22"/>
  <c r="BB160" i="22" s="1"/>
  <c r="BB162" i="22" s="1"/>
  <c r="AR162" i="22"/>
  <c r="DI50" i="18" s="1"/>
  <c r="AT190" i="22"/>
  <c r="DK56" i="18" s="1"/>
  <c r="DS56" i="18"/>
  <c r="CX14" i="18"/>
  <c r="CV29" i="18"/>
  <c r="DF53" i="18"/>
  <c r="CX53" i="18"/>
  <c r="CV57" i="18"/>
  <c r="CV28" i="18"/>
  <c r="CV58" i="18"/>
  <c r="CV39" i="18"/>
  <c r="CV38" i="18" s="1"/>
  <c r="CI69" i="18"/>
  <c r="CI68" i="18" s="1"/>
  <c r="AR226" i="17"/>
  <c r="AT220" i="17"/>
  <c r="EH52" i="18"/>
  <c r="AR162" i="17"/>
  <c r="CI50" i="18" s="1"/>
  <c r="AT160" i="17"/>
  <c r="BB160" i="17" s="1"/>
  <c r="BB162" i="17" s="1"/>
  <c r="AR181" i="17"/>
  <c r="CI54" i="18" s="1"/>
  <c r="AT180" i="17"/>
  <c r="BB180" i="17" s="1"/>
  <c r="BB181" i="17" s="1"/>
  <c r="AT231" i="17"/>
  <c r="CI62" i="18"/>
  <c r="CI60" i="18" s="1"/>
  <c r="AR198" i="17"/>
  <c r="CI65" i="18"/>
  <c r="CI64" i="18" s="1"/>
  <c r="AR213" i="17"/>
  <c r="AR212" i="16"/>
  <c r="BV63" i="18" s="1"/>
  <c r="AT210" i="16"/>
  <c r="BB210" i="16" s="1"/>
  <c r="BB212" i="16" s="1"/>
  <c r="AT233" i="16"/>
  <c r="AR237" i="16"/>
  <c r="AT239" i="16"/>
  <c r="AR243" i="16"/>
  <c r="AT193" i="16"/>
  <c r="BX57" i="18" s="1"/>
  <c r="EJ18" i="18"/>
  <c r="EJ17" i="18" s="1"/>
  <c r="AF6" i="16"/>
  <c r="BS52" i="18"/>
  <c r="AT168" i="15"/>
  <c r="BK52" i="18" s="1"/>
  <c r="AT162" i="15"/>
  <c r="BK50" i="18" s="1"/>
  <c r="BS50" i="18"/>
  <c r="AE150" i="14"/>
  <c r="AF78" i="14"/>
  <c r="AF150" i="13"/>
  <c r="AT152" i="13"/>
  <c r="BB152" i="13" s="1"/>
  <c r="BB156" i="13" s="1"/>
  <c r="BB151" i="13" s="1"/>
  <c r="AR156" i="13"/>
  <c r="AI48" i="18" s="1"/>
  <c r="AR159" i="13"/>
  <c r="AI49" i="18" s="1"/>
  <c r="AT158" i="13"/>
  <c r="BB158" i="13" s="1"/>
  <c r="BB159" i="13" s="1"/>
  <c r="AT192" i="13"/>
  <c r="BB192" i="13" s="1"/>
  <c r="BB193" i="13" s="1"/>
  <c r="AR193" i="13"/>
  <c r="AI57" i="18" s="1"/>
  <c r="AT168" i="13"/>
  <c r="AK52" i="18" s="1"/>
  <c r="AS52" i="18"/>
  <c r="AS58" i="18"/>
  <c r="AT196" i="13"/>
  <c r="AK58" i="18" s="1"/>
  <c r="AT196" i="12"/>
  <c r="X58" i="18" s="1"/>
  <c r="AF58" i="18"/>
  <c r="AT179" i="12"/>
  <c r="BB179" i="12" s="1"/>
  <c r="BB181" i="12" s="1"/>
  <c r="AR181" i="12"/>
  <c r="V54" i="18" s="1"/>
  <c r="AT283" i="12"/>
  <c r="AR220" i="1"/>
  <c r="AT214" i="1"/>
  <c r="BB214" i="1" s="1"/>
  <c r="AT239" i="1"/>
  <c r="AR243" i="1"/>
  <c r="AT251" i="1"/>
  <c r="BB251" i="1" s="1"/>
  <c r="AR254" i="1"/>
  <c r="I77" i="18" s="1"/>
  <c r="I86" i="18"/>
  <c r="I85" i="18" s="1"/>
  <c r="AR277" i="1"/>
  <c r="AT110" i="1"/>
  <c r="BB110" i="1"/>
  <c r="BB196" i="1"/>
  <c r="S58" i="18" s="1"/>
  <c r="AT196" i="1"/>
  <c r="K58" i="18" s="1"/>
  <c r="AT212" i="1"/>
  <c r="K63" i="18" s="1"/>
  <c r="BB212" i="1"/>
  <c r="S63" i="18" s="1"/>
  <c r="BB117" i="1"/>
  <c r="AT117" i="1"/>
  <c r="AR250" i="1"/>
  <c r="AT246" i="1"/>
  <c r="BB246" i="1" s="1"/>
  <c r="AT255" i="1"/>
  <c r="BB255" i="1" s="1"/>
  <c r="AR258" i="1"/>
  <c r="I78" i="18" s="1"/>
  <c r="AT275" i="1"/>
  <c r="BB275" i="1" s="1"/>
  <c r="AR276" i="1"/>
  <c r="I84" i="18" s="1"/>
  <c r="AT271" i="1"/>
  <c r="BB271" i="1" s="1"/>
  <c r="AR273" i="1"/>
  <c r="BB283" i="1"/>
  <c r="AT283" i="1"/>
  <c r="AR106" i="1"/>
  <c r="I35" i="18"/>
  <c r="I34" i="18" s="1"/>
  <c r="BB268" i="1"/>
  <c r="S81" i="18" s="1"/>
  <c r="AT268" i="1"/>
  <c r="K81" i="18" s="1"/>
  <c r="I37" i="18"/>
  <c r="I36" i="18" s="1"/>
  <c r="AR111" i="1"/>
  <c r="AF245" i="1"/>
  <c r="AF269" i="1"/>
  <c r="BB181" i="1"/>
  <c r="S54" i="18" s="1"/>
  <c r="AT181" i="1"/>
  <c r="K54" i="18" s="1"/>
  <c r="AT193" i="1"/>
  <c r="K57" i="18" s="1"/>
  <c r="BB193" i="1"/>
  <c r="S57" i="18" s="1"/>
  <c r="AR56" i="23"/>
  <c r="DV21" i="18" s="1"/>
  <c r="AT51" i="23"/>
  <c r="AR139" i="23"/>
  <c r="AT135" i="23"/>
  <c r="AR11" i="23"/>
  <c r="AT7" i="23"/>
  <c r="BB7" i="23" s="1"/>
  <c r="BB11" i="23" s="1"/>
  <c r="AR37" i="23"/>
  <c r="DV15" i="18" s="1"/>
  <c r="AT30" i="23"/>
  <c r="AT44" i="23"/>
  <c r="AT85" i="23"/>
  <c r="AR159" i="23"/>
  <c r="DV49" i="18" s="1"/>
  <c r="AT158" i="23"/>
  <c r="BB158" i="23" s="1"/>
  <c r="BB159" i="23" s="1"/>
  <c r="AT180" i="23"/>
  <c r="BB180" i="23" s="1"/>
  <c r="BB181" i="23" s="1"/>
  <c r="AR181" i="23"/>
  <c r="DV54" i="18" s="1"/>
  <c r="AT62" i="23"/>
  <c r="AR77" i="23"/>
  <c r="AT164" i="23"/>
  <c r="BB164" i="23" s="1"/>
  <c r="BB168" i="23" s="1"/>
  <c r="BB163" i="23" s="1"/>
  <c r="AR168" i="23"/>
  <c r="AT187" i="23"/>
  <c r="BB187" i="23" s="1"/>
  <c r="BB190" i="23" s="1"/>
  <c r="AR190" i="23"/>
  <c r="AR15" i="23"/>
  <c r="DV9" i="18" s="1"/>
  <c r="AT12" i="23"/>
  <c r="BB12" i="23" s="1"/>
  <c r="BB15" i="23" s="1"/>
  <c r="AR20" i="23"/>
  <c r="DV13" i="18"/>
  <c r="AT29" i="23"/>
  <c r="DX14" i="18" s="1"/>
  <c r="AR88" i="23"/>
  <c r="DV28" i="18" s="1"/>
  <c r="AT87" i="23"/>
  <c r="BB87" i="23" s="1"/>
  <c r="BB88" i="23" s="1"/>
  <c r="BB79" i="23" s="1"/>
  <c r="AT112" i="23"/>
  <c r="BB112" i="23" s="1"/>
  <c r="BB117" i="23" s="1"/>
  <c r="BB111" i="23" s="1"/>
  <c r="AR117" i="23"/>
  <c r="AR122" i="23"/>
  <c r="AT119" i="23"/>
  <c r="BB119" i="23" s="1"/>
  <c r="BB122" i="23" s="1"/>
  <c r="BB118" i="23" s="1"/>
  <c r="AT142" i="23"/>
  <c r="BB142" i="23" s="1"/>
  <c r="BB149" i="23" s="1"/>
  <c r="BB140" i="23" s="1"/>
  <c r="AR149" i="23"/>
  <c r="AT153" i="23"/>
  <c r="BB153" i="23" s="1"/>
  <c r="BB156" i="23" s="1"/>
  <c r="BB151" i="23" s="1"/>
  <c r="AR156" i="23"/>
  <c r="AR196" i="23"/>
  <c r="DV58" i="18" s="1"/>
  <c r="AT194" i="23"/>
  <c r="BB194" i="23" s="1"/>
  <c r="BB196" i="23" s="1"/>
  <c r="AR45" i="23"/>
  <c r="DV20" i="18"/>
  <c r="AT99" i="23"/>
  <c r="BB99" i="23" s="1"/>
  <c r="BB93" i="23" s="1"/>
  <c r="AT105" i="23"/>
  <c r="DV35" i="18"/>
  <c r="AR106" i="23"/>
  <c r="AT19" i="23"/>
  <c r="AE150" i="23"/>
  <c r="AR40" i="23"/>
  <c r="DV18" i="18"/>
  <c r="DV27" i="18"/>
  <c r="EF53" i="18"/>
  <c r="AT178" i="23"/>
  <c r="DX53" i="18" s="1"/>
  <c r="AT25" i="23"/>
  <c r="AT50" i="23"/>
  <c r="EF20" i="18"/>
  <c r="EF22" i="18"/>
  <c r="AT60" i="23"/>
  <c r="DX22" i="18" s="1"/>
  <c r="AR93" i="23"/>
  <c r="DV31" i="18"/>
  <c r="AR100" i="23"/>
  <c r="DV33" i="18"/>
  <c r="AT110" i="23"/>
  <c r="AR16" i="23"/>
  <c r="DV11" i="18"/>
  <c r="EF29" i="18"/>
  <c r="AT92" i="23"/>
  <c r="DX29" i="18" s="1"/>
  <c r="AF5" i="23"/>
  <c r="AF163" i="23"/>
  <c r="AF78" i="23"/>
  <c r="AF151" i="23"/>
  <c r="AF150" i="23" s="1"/>
  <c r="AT37" i="22"/>
  <c r="DK15" i="18" s="1"/>
  <c r="AT51" i="22"/>
  <c r="AR56" i="22"/>
  <c r="DI21" i="18" s="1"/>
  <c r="AT125" i="22"/>
  <c r="BB125" i="22" s="1"/>
  <c r="BB133" i="22" s="1"/>
  <c r="BB123" i="22" s="1"/>
  <c r="AR133" i="22"/>
  <c r="AR156" i="22"/>
  <c r="AT153" i="22"/>
  <c r="BB153" i="22" s="1"/>
  <c r="BB156" i="22" s="1"/>
  <c r="AR196" i="22"/>
  <c r="AT194" i="22"/>
  <c r="BB194" i="22" s="1"/>
  <c r="BB196" i="22" s="1"/>
  <c r="BB182" i="22" s="1"/>
  <c r="AT12" i="22"/>
  <c r="BB12" i="22" s="1"/>
  <c r="BB15" i="22" s="1"/>
  <c r="AR15" i="22"/>
  <c r="DI9" i="18" s="1"/>
  <c r="AT25" i="22"/>
  <c r="AT85" i="22"/>
  <c r="AR110" i="22"/>
  <c r="AT108" i="22"/>
  <c r="BB108" i="22" s="1"/>
  <c r="BB110" i="22" s="1"/>
  <c r="BB106" i="22" s="1"/>
  <c r="AR139" i="22"/>
  <c r="AT136" i="22"/>
  <c r="BB136" i="22" s="1"/>
  <c r="BB139" i="22" s="1"/>
  <c r="BB134" i="22" s="1"/>
  <c r="AT164" i="22"/>
  <c r="BB164" i="22" s="1"/>
  <c r="BB168" i="22" s="1"/>
  <c r="AR168" i="22"/>
  <c r="AR16" i="22"/>
  <c r="DI11" i="18"/>
  <c r="AF5" i="22"/>
  <c r="AR50" i="22"/>
  <c r="AT46" i="22"/>
  <c r="BB46" i="22" s="1"/>
  <c r="BB50" i="22" s="1"/>
  <c r="AR77" i="22"/>
  <c r="AT62" i="22"/>
  <c r="AR88" i="22"/>
  <c r="DI28" i="18" s="1"/>
  <c r="AT86" i="22"/>
  <c r="BB86" i="22" s="1"/>
  <c r="BB88" i="22" s="1"/>
  <c r="BB79" i="22" s="1"/>
  <c r="AR99" i="22"/>
  <c r="AT94" i="22"/>
  <c r="BB94" i="22" s="1"/>
  <c r="AT101" i="22"/>
  <c r="BB101" i="22" s="1"/>
  <c r="BB105" i="22" s="1"/>
  <c r="BB100" i="22" s="1"/>
  <c r="AR105" i="22"/>
  <c r="AR122" i="22"/>
  <c r="AT120" i="22"/>
  <c r="BB120" i="22" s="1"/>
  <c r="BB122" i="22" s="1"/>
  <c r="BB118" i="22" s="1"/>
  <c r="AR149" i="22"/>
  <c r="AT141" i="22"/>
  <c r="BB141" i="22" s="1"/>
  <c r="BB149" i="22" s="1"/>
  <c r="BB140" i="22" s="1"/>
  <c r="AR159" i="22"/>
  <c r="DI49" i="18" s="1"/>
  <c r="AT158" i="22"/>
  <c r="BB158" i="22" s="1"/>
  <c r="BB159" i="22" s="1"/>
  <c r="DS53" i="18"/>
  <c r="AT178" i="22"/>
  <c r="DK53" i="18" s="1"/>
  <c r="AT180" i="22"/>
  <c r="BB180" i="22" s="1"/>
  <c r="BB181" i="22" s="1"/>
  <c r="AR181" i="22"/>
  <c r="DI54" i="18" s="1"/>
  <c r="AR11" i="22"/>
  <c r="AT7" i="22"/>
  <c r="BB7" i="22" s="1"/>
  <c r="BB11" i="22" s="1"/>
  <c r="BB6" i="22" s="1"/>
  <c r="AR60" i="22"/>
  <c r="DI22" i="18" s="1"/>
  <c r="AT57" i="22"/>
  <c r="BB57" i="22" s="1"/>
  <c r="BB60" i="22" s="1"/>
  <c r="AT89" i="22"/>
  <c r="BB89" i="22" s="1"/>
  <c r="BB92" i="22" s="1"/>
  <c r="AR92" i="22"/>
  <c r="DI29" i="18" s="1"/>
  <c r="AR117" i="22"/>
  <c r="AT113" i="22"/>
  <c r="BB113" i="22" s="1"/>
  <c r="BB117" i="22" s="1"/>
  <c r="BB111" i="22" s="1"/>
  <c r="DI13" i="18"/>
  <c r="AR20" i="22"/>
  <c r="AT29" i="22"/>
  <c r="DK14" i="18" s="1"/>
  <c r="DI27" i="18"/>
  <c r="AT19" i="22"/>
  <c r="AF151" i="22"/>
  <c r="AF163" i="22"/>
  <c r="CV15" i="18"/>
  <c r="CV50" i="18"/>
  <c r="CV9" i="18"/>
  <c r="CV21" i="18"/>
  <c r="CV22" i="18"/>
  <c r="CV49" i="18"/>
  <c r="CV27" i="18"/>
  <c r="CV26" i="18" s="1"/>
  <c r="CV13" i="18"/>
  <c r="CX16" i="18"/>
  <c r="AT39" i="17"/>
  <c r="CK16" i="18" s="1"/>
  <c r="AT7" i="17"/>
  <c r="BB7" i="17" s="1"/>
  <c r="BB11" i="17" s="1"/>
  <c r="AR11" i="17"/>
  <c r="AT24" i="17"/>
  <c r="AR25" i="17"/>
  <c r="AT51" i="17"/>
  <c r="AR56" i="17"/>
  <c r="CI21" i="18" s="1"/>
  <c r="AT222" i="17"/>
  <c r="AR225" i="17"/>
  <c r="AT42" i="17"/>
  <c r="BB42" i="17" s="1"/>
  <c r="BB44" i="17" s="1"/>
  <c r="BB40" i="17" s="1"/>
  <c r="AR44" i="17"/>
  <c r="AE5" i="17"/>
  <c r="AT12" i="17"/>
  <c r="BB12" i="17" s="1"/>
  <c r="BB15" i="17" s="1"/>
  <c r="AR15" i="17"/>
  <c r="CI9" i="18" s="1"/>
  <c r="AT31" i="17"/>
  <c r="AR37" i="17"/>
  <c r="CI15" i="18" s="1"/>
  <c r="AT46" i="17"/>
  <c r="BB46" i="17" s="1"/>
  <c r="BB50" i="17" s="1"/>
  <c r="AR50" i="17"/>
  <c r="AT62" i="17"/>
  <c r="AR77" i="17"/>
  <c r="AR60" i="17"/>
  <c r="CI22" i="18" s="1"/>
  <c r="AT57" i="17"/>
  <c r="BB57" i="17" s="1"/>
  <c r="BB60" i="17" s="1"/>
  <c r="AT183" i="17"/>
  <c r="BB183" i="17" s="1"/>
  <c r="BB190" i="17" s="1"/>
  <c r="AR190" i="17"/>
  <c r="AR237" i="17"/>
  <c r="AT233" i="17"/>
  <c r="AT239" i="17"/>
  <c r="AR243" i="17"/>
  <c r="AF6" i="17"/>
  <c r="AF20" i="17"/>
  <c r="AF197" i="17"/>
  <c r="BY16" i="18"/>
  <c r="CF16" i="18"/>
  <c r="AR159" i="16"/>
  <c r="BV49" i="18" s="1"/>
  <c r="AT158" i="16"/>
  <c r="BB158" i="16" s="1"/>
  <c r="BB159" i="16" s="1"/>
  <c r="AR181" i="16"/>
  <c r="BV54" i="18" s="1"/>
  <c r="AT180" i="16"/>
  <c r="BB180" i="16" s="1"/>
  <c r="BB181" i="16" s="1"/>
  <c r="AT201" i="16"/>
  <c r="BB201" i="16" s="1"/>
  <c r="BB203" i="16" s="1"/>
  <c r="AR203" i="16"/>
  <c r="AT8" i="16"/>
  <c r="BB8" i="16" s="1"/>
  <c r="BB11" i="16" s="1"/>
  <c r="AR11" i="16"/>
  <c r="BV8" i="18" s="1"/>
  <c r="AT214" i="16"/>
  <c r="BB214" i="16" s="1"/>
  <c r="BB220" i="16" s="1"/>
  <c r="BB213" i="16" s="1"/>
  <c r="AR220" i="16"/>
  <c r="AT136" i="16"/>
  <c r="BB136" i="16" s="1"/>
  <c r="BB139" i="16" s="1"/>
  <c r="BB134" i="16" s="1"/>
  <c r="AR139" i="16"/>
  <c r="AR156" i="16"/>
  <c r="AT153" i="16"/>
  <c r="BB153" i="16" s="1"/>
  <c r="BB156" i="16" s="1"/>
  <c r="BB151" i="16" s="1"/>
  <c r="AT165" i="16"/>
  <c r="BB165" i="16" s="1"/>
  <c r="BB168" i="16" s="1"/>
  <c r="AR168" i="16"/>
  <c r="AT194" i="16"/>
  <c r="BB194" i="16" s="1"/>
  <c r="BB196" i="16" s="1"/>
  <c r="AR196" i="16"/>
  <c r="BV58" i="18" s="1"/>
  <c r="AR190" i="16"/>
  <c r="AT185" i="16"/>
  <c r="BB185" i="16" s="1"/>
  <c r="BB190" i="16" s="1"/>
  <c r="AT227" i="16"/>
  <c r="AR231" i="16"/>
  <c r="AR149" i="16"/>
  <c r="AT141" i="16"/>
  <c r="BB141" i="16" s="1"/>
  <c r="BB149" i="16" s="1"/>
  <c r="BB140" i="16" s="1"/>
  <c r="CF53" i="18"/>
  <c r="AT178" i="16"/>
  <c r="BX53" i="18" s="1"/>
  <c r="BV62" i="18"/>
  <c r="AT204" i="16"/>
  <c r="AT222" i="16"/>
  <c r="AR225" i="16"/>
  <c r="CF50" i="18"/>
  <c r="AT162" i="16"/>
  <c r="BX50" i="18" s="1"/>
  <c r="AF245" i="16"/>
  <c r="AF244" i="16" s="1"/>
  <c r="AF20" i="16"/>
  <c r="AF151" i="16"/>
  <c r="AF163" i="16"/>
  <c r="AF182" i="16"/>
  <c r="AT7" i="15"/>
  <c r="BB7" i="15" s="1"/>
  <c r="BB11" i="15" s="1"/>
  <c r="BB6" i="15" s="1"/>
  <c r="AR11" i="15"/>
  <c r="AT42" i="15"/>
  <c r="BB42" i="15" s="1"/>
  <c r="BB44" i="15" s="1"/>
  <c r="BB40" i="15" s="1"/>
  <c r="AR44" i="15"/>
  <c r="BS57" i="18"/>
  <c r="AT193" i="15"/>
  <c r="BK57" i="18" s="1"/>
  <c r="AR25" i="15"/>
  <c r="AT24" i="15"/>
  <c r="AR56" i="15"/>
  <c r="BI21" i="18" s="1"/>
  <c r="AT51" i="15"/>
  <c r="AT158" i="15"/>
  <c r="BB158" i="15" s="1"/>
  <c r="BB159" i="15" s="1"/>
  <c r="AR159" i="15"/>
  <c r="BI49" i="18" s="1"/>
  <c r="AR196" i="15"/>
  <c r="BI58" i="18" s="1"/>
  <c r="AT194" i="15"/>
  <c r="BB194" i="15" s="1"/>
  <c r="BB196" i="15" s="1"/>
  <c r="BS9" i="18"/>
  <c r="AT15" i="15"/>
  <c r="BK9" i="18" s="1"/>
  <c r="AR79" i="15"/>
  <c r="BI28" i="18"/>
  <c r="BI26" i="18" s="1"/>
  <c r="BS29" i="18"/>
  <c r="AT92" i="15"/>
  <c r="BK29" i="18" s="1"/>
  <c r="AT99" i="15"/>
  <c r="BB99" i="15" s="1"/>
  <c r="BB93" i="15" s="1"/>
  <c r="AT139" i="15"/>
  <c r="AT122" i="15"/>
  <c r="AT133" i="15"/>
  <c r="AR140" i="15"/>
  <c r="BI45" i="18"/>
  <c r="BI44" i="18" s="1"/>
  <c r="AR60" i="15"/>
  <c r="BI22" i="18" s="1"/>
  <c r="AT57" i="15"/>
  <c r="BB57" i="15" s="1"/>
  <c r="BB60" i="15" s="1"/>
  <c r="AT185" i="15"/>
  <c r="BB185" i="15" s="1"/>
  <c r="BB190" i="15" s="1"/>
  <c r="BB182" i="15" s="1"/>
  <c r="AR190" i="15"/>
  <c r="BI62" i="18"/>
  <c r="AT205" i="15"/>
  <c r="AR37" i="15"/>
  <c r="BI15" i="18" s="1"/>
  <c r="AT31" i="15"/>
  <c r="AT46" i="15"/>
  <c r="BB46" i="15" s="1"/>
  <c r="BB50" i="15" s="1"/>
  <c r="AR50" i="15"/>
  <c r="AT153" i="15"/>
  <c r="BB153" i="15" s="1"/>
  <c r="BB156" i="15" s="1"/>
  <c r="BB151" i="15" s="1"/>
  <c r="AR156" i="15"/>
  <c r="AT178" i="15"/>
  <c r="AT199" i="15"/>
  <c r="AR203" i="15"/>
  <c r="AT110" i="15"/>
  <c r="AR111" i="15"/>
  <c r="BI37" i="18"/>
  <c r="BI36" i="18" s="1"/>
  <c r="BL24" i="18"/>
  <c r="BL23" i="18" s="1"/>
  <c r="BS28" i="18"/>
  <c r="AT88" i="15"/>
  <c r="BK28" i="18" s="1"/>
  <c r="AR93" i="15"/>
  <c r="BI31" i="18"/>
  <c r="BI30" i="18" s="1"/>
  <c r="AR134" i="15"/>
  <c r="BI43" i="18"/>
  <c r="BI42" i="18" s="1"/>
  <c r="AR118" i="15"/>
  <c r="BI39" i="18"/>
  <c r="BI38" i="18" s="1"/>
  <c r="BI41" i="18"/>
  <c r="BI40" i="18" s="1"/>
  <c r="AR123" i="15"/>
  <c r="AT149" i="15"/>
  <c r="AT39" i="15"/>
  <c r="BK16" i="18" s="1"/>
  <c r="BI53" i="18"/>
  <c r="BI51" i="18" s="1"/>
  <c r="AR163" i="15"/>
  <c r="BS54" i="18"/>
  <c r="AT181" i="15"/>
  <c r="BK54" i="18" s="1"/>
  <c r="AR106" i="15"/>
  <c r="BI35" i="18"/>
  <c r="BI34" i="18" s="1"/>
  <c r="AT117" i="15"/>
  <c r="AF182" i="15"/>
  <c r="AF45" i="15"/>
  <c r="AF5" i="15" s="1"/>
  <c r="AF151" i="15"/>
  <c r="AF198" i="15"/>
  <c r="AW254" i="14"/>
  <c r="BF77" i="18"/>
  <c r="AT7" i="14"/>
  <c r="AT59" i="14"/>
  <c r="BB59" i="14" s="1"/>
  <c r="BB60" i="14" s="1"/>
  <c r="AR60" i="14"/>
  <c r="AV22" i="18" s="1"/>
  <c r="AT141" i="14"/>
  <c r="BB141" i="14" s="1"/>
  <c r="BB149" i="14" s="1"/>
  <c r="BB140" i="14" s="1"/>
  <c r="AR149" i="14"/>
  <c r="AT18" i="14"/>
  <c r="BB18" i="14" s="1"/>
  <c r="BB19" i="14" s="1"/>
  <c r="BB16" i="14" s="1"/>
  <c r="AR19" i="14"/>
  <c r="AT30" i="14"/>
  <c r="AR37" i="14"/>
  <c r="AV15" i="18" s="1"/>
  <c r="AT44" i="14"/>
  <c r="AT96" i="14"/>
  <c r="AT160" i="14"/>
  <c r="BB160" i="14" s="1"/>
  <c r="BB162" i="14" s="1"/>
  <c r="AR162" i="14"/>
  <c r="AV50" i="18" s="1"/>
  <c r="AT194" i="14"/>
  <c r="BB194" i="14" s="1"/>
  <c r="BB196" i="14" s="1"/>
  <c r="BB182" i="14" s="1"/>
  <c r="AR196" i="14"/>
  <c r="AR92" i="14"/>
  <c r="AV29" i="18" s="1"/>
  <c r="AT90" i="14"/>
  <c r="BB90" i="14" s="1"/>
  <c r="BB92" i="14" s="1"/>
  <c r="AT101" i="14"/>
  <c r="AR117" i="14"/>
  <c r="AT113" i="14"/>
  <c r="BB113" i="14" s="1"/>
  <c r="BB117" i="14" s="1"/>
  <c r="BB111" i="14" s="1"/>
  <c r="AT124" i="14"/>
  <c r="BB124" i="14" s="1"/>
  <c r="BB133" i="14" s="1"/>
  <c r="BB123" i="14" s="1"/>
  <c r="AR133" i="14"/>
  <c r="AT153" i="14"/>
  <c r="BB153" i="14" s="1"/>
  <c r="BB156" i="14" s="1"/>
  <c r="AR156" i="14"/>
  <c r="AT165" i="14"/>
  <c r="BB165" i="14" s="1"/>
  <c r="BB168" i="14" s="1"/>
  <c r="AR168" i="14"/>
  <c r="AV73" i="18"/>
  <c r="AV72" i="18" s="1"/>
  <c r="AR238" i="14"/>
  <c r="AT13" i="14"/>
  <c r="BB13" i="14" s="1"/>
  <c r="BB15" i="14" s="1"/>
  <c r="AR15" i="14"/>
  <c r="AV9" i="18" s="1"/>
  <c r="AT47" i="14"/>
  <c r="BB47" i="14" s="1"/>
  <c r="BB50" i="14" s="1"/>
  <c r="AR50" i="14"/>
  <c r="AT85" i="14"/>
  <c r="AT25" i="14"/>
  <c r="AR88" i="14"/>
  <c r="AV28" i="18" s="1"/>
  <c r="AT86" i="14"/>
  <c r="BB86" i="14" s="1"/>
  <c r="BB88" i="14" s="1"/>
  <c r="AR159" i="14"/>
  <c r="AV49" i="18" s="1"/>
  <c r="AT158" i="14"/>
  <c r="BB158" i="14" s="1"/>
  <c r="BB159" i="14" s="1"/>
  <c r="BF53" i="18"/>
  <c r="AT178" i="14"/>
  <c r="AX53" i="18" s="1"/>
  <c r="AT180" i="14"/>
  <c r="BB180" i="14" s="1"/>
  <c r="BB181" i="14" s="1"/>
  <c r="AR181" i="14"/>
  <c r="AV54" i="18" s="1"/>
  <c r="AT107" i="14"/>
  <c r="BB107" i="14" s="1"/>
  <c r="BB110" i="14" s="1"/>
  <c r="BB106" i="14" s="1"/>
  <c r="AR110" i="14"/>
  <c r="AT119" i="14"/>
  <c r="BB119" i="14" s="1"/>
  <c r="BB122" i="14" s="1"/>
  <c r="BB118" i="14" s="1"/>
  <c r="AR122" i="14"/>
  <c r="AT136" i="14"/>
  <c r="BB136" i="14" s="1"/>
  <c r="BB139" i="14" s="1"/>
  <c r="BB134" i="14" s="1"/>
  <c r="AR139" i="14"/>
  <c r="AV18" i="18"/>
  <c r="AV17" i="18" s="1"/>
  <c r="AR40" i="14"/>
  <c r="AV27" i="18"/>
  <c r="AV26" i="18" s="1"/>
  <c r="AV13" i="18"/>
  <c r="AT29" i="14"/>
  <c r="AX14" i="18" s="1"/>
  <c r="AF163" i="14"/>
  <c r="AF150" i="14" s="1"/>
  <c r="AF6" i="14"/>
  <c r="AF45" i="14"/>
  <c r="AT162" i="13"/>
  <c r="AT178" i="13"/>
  <c r="AF78" i="13"/>
  <c r="AF198" i="13"/>
  <c r="AF197" i="13" s="1"/>
  <c r="AJ27" i="18"/>
  <c r="AS79" i="13"/>
  <c r="AS78" i="13" s="1"/>
  <c r="AS292" i="13" s="1"/>
  <c r="AI50" i="18"/>
  <c r="AR151" i="13"/>
  <c r="AT180" i="13"/>
  <c r="BB180" i="13" s="1"/>
  <c r="BB181" i="13" s="1"/>
  <c r="BB163" i="13" s="1"/>
  <c r="AR181" i="13"/>
  <c r="AI54" i="18" s="1"/>
  <c r="AT214" i="13"/>
  <c r="BB214" i="13" s="1"/>
  <c r="BB220" i="13" s="1"/>
  <c r="BB213" i="13" s="1"/>
  <c r="AR220" i="13"/>
  <c r="AT233" i="13"/>
  <c r="AR237" i="13"/>
  <c r="AT239" i="13"/>
  <c r="AR243" i="13"/>
  <c r="AR77" i="13"/>
  <c r="AT63" i="13"/>
  <c r="BB63" i="13" s="1"/>
  <c r="BB77" i="13" s="1"/>
  <c r="BB61" i="13" s="1"/>
  <c r="AT210" i="13"/>
  <c r="BB210" i="13" s="1"/>
  <c r="BB212" i="13" s="1"/>
  <c r="AR212" i="13"/>
  <c r="AI63" i="18" s="1"/>
  <c r="AR225" i="13"/>
  <c r="AT222" i="13"/>
  <c r="AI53" i="18"/>
  <c r="EI53" i="18" s="1"/>
  <c r="AT201" i="13"/>
  <c r="BB201" i="13" s="1"/>
  <c r="BB203" i="13" s="1"/>
  <c r="AR203" i="13"/>
  <c r="AT227" i="13"/>
  <c r="AR231" i="13"/>
  <c r="AR190" i="13"/>
  <c r="AT183" i="13"/>
  <c r="BB183" i="13" s="1"/>
  <c r="BB190" i="13" s="1"/>
  <c r="BB182" i="13" s="1"/>
  <c r="AT204" i="13"/>
  <c r="AI62" i="18"/>
  <c r="AQ78" i="13"/>
  <c r="AR44" i="12"/>
  <c r="AT42" i="12"/>
  <c r="BB42" i="12" s="1"/>
  <c r="BB44" i="12" s="1"/>
  <c r="BB40" i="12" s="1"/>
  <c r="AR60" i="12"/>
  <c r="V22" i="18" s="1"/>
  <c r="AT58" i="12"/>
  <c r="BB58" i="12" s="1"/>
  <c r="BB60" i="12" s="1"/>
  <c r="AR133" i="12"/>
  <c r="AT124" i="12"/>
  <c r="BB124" i="12" s="1"/>
  <c r="BB133" i="12" s="1"/>
  <c r="BB123" i="12" s="1"/>
  <c r="AR159" i="12"/>
  <c r="V49" i="18" s="1"/>
  <c r="AT158" i="12"/>
  <c r="BB158" i="12" s="1"/>
  <c r="BB159" i="12" s="1"/>
  <c r="AF50" i="18"/>
  <c r="AT162" i="12"/>
  <c r="X50" i="18" s="1"/>
  <c r="AT39" i="12"/>
  <c r="X16" i="18" s="1"/>
  <c r="AF16" i="18"/>
  <c r="AR56" i="12"/>
  <c r="V21" i="18" s="1"/>
  <c r="AT53" i="12"/>
  <c r="BB53" i="12" s="1"/>
  <c r="BB56" i="12" s="1"/>
  <c r="BB45" i="12" s="1"/>
  <c r="AR77" i="12"/>
  <c r="AT62" i="12"/>
  <c r="AR110" i="12"/>
  <c r="AR106" i="12" s="1"/>
  <c r="AT107" i="12"/>
  <c r="BB107" i="12" s="1"/>
  <c r="BB110" i="12" s="1"/>
  <c r="BB106" i="12" s="1"/>
  <c r="AR139" i="12"/>
  <c r="AT135" i="12"/>
  <c r="BB135" i="12" s="1"/>
  <c r="BB139" i="12" s="1"/>
  <c r="BB134" i="12" s="1"/>
  <c r="AT165" i="12"/>
  <c r="BB165" i="12" s="1"/>
  <c r="BB168" i="12" s="1"/>
  <c r="BB163" i="12" s="1"/>
  <c r="AR168" i="12"/>
  <c r="AT27" i="12"/>
  <c r="BB27" i="12" s="1"/>
  <c r="BB29" i="12" s="1"/>
  <c r="AR29" i="12"/>
  <c r="V14" i="18" s="1"/>
  <c r="AT87" i="12"/>
  <c r="BB87" i="12" s="1"/>
  <c r="BB88" i="12" s="1"/>
  <c r="BB79" i="12" s="1"/>
  <c r="AR88" i="12"/>
  <c r="AR79" i="12" s="1"/>
  <c r="AT102" i="12"/>
  <c r="BB102" i="12" s="1"/>
  <c r="BB105" i="12" s="1"/>
  <c r="BB100" i="12" s="1"/>
  <c r="AR105" i="12"/>
  <c r="AT112" i="12"/>
  <c r="BB112" i="12" s="1"/>
  <c r="BB117" i="12" s="1"/>
  <c r="BB111" i="12" s="1"/>
  <c r="AR117" i="12"/>
  <c r="AR111" i="12" s="1"/>
  <c r="AT119" i="12"/>
  <c r="BB119" i="12" s="1"/>
  <c r="BB122" i="12" s="1"/>
  <c r="BB118" i="12" s="1"/>
  <c r="AR122" i="12"/>
  <c r="AR149" i="12"/>
  <c r="AT142" i="12"/>
  <c r="BB142" i="12" s="1"/>
  <c r="BB149" i="12" s="1"/>
  <c r="BB140" i="12" s="1"/>
  <c r="AR156" i="12"/>
  <c r="AT153" i="12"/>
  <c r="BB153" i="12" s="1"/>
  <c r="BB156" i="12" s="1"/>
  <c r="BB151" i="12" s="1"/>
  <c r="AT37" i="12"/>
  <c r="X15" i="18" s="1"/>
  <c r="AT50" i="12"/>
  <c r="AF29" i="18"/>
  <c r="AT92" i="12"/>
  <c r="X29" i="18" s="1"/>
  <c r="AF78" i="12"/>
  <c r="V31" i="18"/>
  <c r="AR93" i="12"/>
  <c r="AF53" i="18"/>
  <c r="AT178" i="12"/>
  <c r="X53" i="18" s="1"/>
  <c r="V20" i="18"/>
  <c r="AF151" i="12"/>
  <c r="O9" i="18"/>
  <c r="O7" i="18" s="1"/>
  <c r="AX6" i="1"/>
  <c r="AR19" i="1"/>
  <c r="AT17" i="1"/>
  <c r="BB17" i="1" s="1"/>
  <c r="AR29" i="1"/>
  <c r="I14" i="18" s="1"/>
  <c r="EI14" i="18" s="1"/>
  <c r="AT27" i="1"/>
  <c r="BB27" i="1" s="1"/>
  <c r="AT95" i="1"/>
  <c r="BB95" i="1" s="1"/>
  <c r="AT119" i="1"/>
  <c r="BB119" i="1" s="1"/>
  <c r="AR122" i="1"/>
  <c r="AR149" i="1"/>
  <c r="AT142" i="1"/>
  <c r="BB142" i="1" s="1"/>
  <c r="AR156" i="1"/>
  <c r="AT153" i="1"/>
  <c r="BB153" i="1" s="1"/>
  <c r="AT30" i="1"/>
  <c r="AU30" i="1" s="1"/>
  <c r="AU37" i="1" s="1"/>
  <c r="AR37" i="1"/>
  <c r="I15" i="18" s="1"/>
  <c r="AT62" i="1"/>
  <c r="AR77" i="1"/>
  <c r="AT135" i="1"/>
  <c r="BB135" i="1" s="1"/>
  <c r="AR139" i="1"/>
  <c r="AT164" i="1"/>
  <c r="BB164" i="1" s="1"/>
  <c r="AR168" i="1"/>
  <c r="K62" i="18"/>
  <c r="AT227" i="1"/>
  <c r="AR231" i="1"/>
  <c r="AT233" i="1"/>
  <c r="BB233" i="1" s="1"/>
  <c r="AR237" i="1"/>
  <c r="AR263" i="1"/>
  <c r="AT260" i="1"/>
  <c r="BB260" i="1" s="1"/>
  <c r="BB60" i="1"/>
  <c r="S22" i="18" s="1"/>
  <c r="AT60" i="1"/>
  <c r="K22" i="18" s="1"/>
  <c r="I18" i="18"/>
  <c r="I17" i="18" s="1"/>
  <c r="AR40" i="1"/>
  <c r="AR11" i="1"/>
  <c r="AT8" i="1"/>
  <c r="BB8" i="1" s="1"/>
  <c r="AR25" i="1"/>
  <c r="AT21" i="1"/>
  <c r="AT53" i="1"/>
  <c r="BB53" i="1" s="1"/>
  <c r="AR56" i="1"/>
  <c r="I21" i="18" s="1"/>
  <c r="AR92" i="1"/>
  <c r="I29" i="18" s="1"/>
  <c r="AT90" i="1"/>
  <c r="BB90" i="1" s="1"/>
  <c r="AR159" i="1"/>
  <c r="I49" i="18" s="1"/>
  <c r="AT158" i="1"/>
  <c r="BB158" i="1" s="1"/>
  <c r="BB178" i="1"/>
  <c r="S53" i="18" s="1"/>
  <c r="AT178" i="1"/>
  <c r="K53" i="18" s="1"/>
  <c r="AT183" i="1"/>
  <c r="BB183" i="1" s="1"/>
  <c r="AR190" i="1"/>
  <c r="AR203" i="1"/>
  <c r="AT201" i="1"/>
  <c r="BB201" i="1" s="1"/>
  <c r="AR225" i="1"/>
  <c r="AT222" i="1"/>
  <c r="AT46" i="1"/>
  <c r="BB46" i="1" s="1"/>
  <c r="AR50" i="1"/>
  <c r="AT87" i="1"/>
  <c r="BB87" i="1" s="1"/>
  <c r="AR88" i="1"/>
  <c r="AR105" i="1"/>
  <c r="AR100" i="1" s="1"/>
  <c r="AT102" i="1"/>
  <c r="BB102" i="1" s="1"/>
  <c r="AR133" i="1"/>
  <c r="AT124" i="1"/>
  <c r="BB124" i="1" s="1"/>
  <c r="AT161" i="1"/>
  <c r="BB161" i="1" s="1"/>
  <c r="AR162" i="1"/>
  <c r="I50" i="18" s="1"/>
  <c r="EI50" i="18" s="1"/>
  <c r="AR289" i="1"/>
  <c r="AT288" i="1"/>
  <c r="BB288" i="1" s="1"/>
  <c r="AF78" i="1"/>
  <c r="BB15" i="1"/>
  <c r="S9" i="18" s="1"/>
  <c r="AT15" i="1"/>
  <c r="K9" i="18" s="1"/>
  <c r="AT39" i="1"/>
  <c r="K16" i="18" s="1"/>
  <c r="BB39" i="1"/>
  <c r="S16" i="18" s="1"/>
  <c r="BB44" i="1"/>
  <c r="AT44" i="1"/>
  <c r="L24" i="18"/>
  <c r="L23" i="18" s="1"/>
  <c r="AX5" i="1"/>
  <c r="AX292" i="1" s="1"/>
  <c r="AF6" i="1"/>
  <c r="AF197" i="1"/>
  <c r="AF45" i="1"/>
  <c r="DX73" i="18"/>
  <c r="DX72" i="18" s="1"/>
  <c r="AT238" i="23"/>
  <c r="EF76" i="18"/>
  <c r="EF75" i="18" s="1"/>
  <c r="AT237" i="23"/>
  <c r="DV65" i="18"/>
  <c r="AR213" i="23"/>
  <c r="DV73" i="18"/>
  <c r="AR238" i="23"/>
  <c r="AT225" i="23"/>
  <c r="EA62" i="18"/>
  <c r="EA60" i="18" s="1"/>
  <c r="EA59" i="18" s="1"/>
  <c r="EA90" i="18" s="1"/>
  <c r="EA91" i="18" s="1"/>
  <c r="DU90" i="18"/>
  <c r="DU91" i="18" s="1"/>
  <c r="EF80" i="18"/>
  <c r="DY24" i="18"/>
  <c r="DY23" i="18" s="1"/>
  <c r="DV71" i="18"/>
  <c r="AR232" i="23"/>
  <c r="AT220" i="23"/>
  <c r="DY13" i="18"/>
  <c r="DY65" i="18"/>
  <c r="DY64" i="18" s="1"/>
  <c r="AT231" i="23"/>
  <c r="EF83" i="18"/>
  <c r="EF82" i="18" s="1"/>
  <c r="DS88" i="18"/>
  <c r="DS87" i="18" s="1"/>
  <c r="AT225" i="22"/>
  <c r="AT243" i="22"/>
  <c r="DL61" i="18"/>
  <c r="DL13" i="18"/>
  <c r="DL71" i="18"/>
  <c r="DL65" i="18"/>
  <c r="DH59" i="18"/>
  <c r="DH90" i="18" s="1"/>
  <c r="DS83" i="18"/>
  <c r="DS82" i="18" s="1"/>
  <c r="DK62" i="18"/>
  <c r="AT231" i="22"/>
  <c r="AT198" i="22"/>
  <c r="DK61" i="18"/>
  <c r="DK60" i="18" s="1"/>
  <c r="DK65" i="18"/>
  <c r="DK64" i="18" s="1"/>
  <c r="AT213" i="22"/>
  <c r="DS71" i="18"/>
  <c r="DS70" i="18" s="1"/>
  <c r="DL24" i="18"/>
  <c r="DI59" i="18"/>
  <c r="AQ197" i="22"/>
  <c r="AQ292" i="22" s="1"/>
  <c r="DF27" i="18"/>
  <c r="CV67" i="18"/>
  <c r="CV66" i="18" s="1"/>
  <c r="CX80" i="18"/>
  <c r="CV69" i="18"/>
  <c r="CV68" i="18" s="1"/>
  <c r="CX27" i="18"/>
  <c r="DF13" i="18"/>
  <c r="DF78" i="18"/>
  <c r="CX65" i="18"/>
  <c r="CX64" i="18" s="1"/>
  <c r="CY65" i="18"/>
  <c r="CY64" i="18" s="1"/>
  <c r="CY13" i="18"/>
  <c r="CV71" i="18"/>
  <c r="CV70" i="18" s="1"/>
  <c r="CV73" i="18"/>
  <c r="CV72" i="18" s="1"/>
  <c r="DF76" i="18"/>
  <c r="CV84" i="18"/>
  <c r="CV81" i="18"/>
  <c r="CV79" i="18" s="1"/>
  <c r="CV78" i="18"/>
  <c r="CV75" i="18" s="1"/>
  <c r="CK27" i="18"/>
  <c r="AR273" i="17"/>
  <c r="AT271" i="17"/>
  <c r="BB271" i="17" s="1"/>
  <c r="BB273" i="17" s="1"/>
  <c r="AR283" i="17"/>
  <c r="AT279" i="17"/>
  <c r="AR289" i="17"/>
  <c r="AT286" i="17"/>
  <c r="BB286" i="17" s="1"/>
  <c r="BB289" i="17" s="1"/>
  <c r="BB284" i="17" s="1"/>
  <c r="CI76" i="18"/>
  <c r="CI75" i="18" s="1"/>
  <c r="AR245" i="17"/>
  <c r="AF151" i="17"/>
  <c r="AF150" i="17" s="1"/>
  <c r="CS53" i="18"/>
  <c r="CH25" i="18"/>
  <c r="CI27" i="18"/>
  <c r="AT87" i="17"/>
  <c r="BB87" i="17" s="1"/>
  <c r="BB88" i="17" s="1"/>
  <c r="AR88" i="17"/>
  <c r="CI28" i="18" s="1"/>
  <c r="AT95" i="17"/>
  <c r="BB95" i="17" s="1"/>
  <c r="AR99" i="17"/>
  <c r="AT119" i="17"/>
  <c r="BB119" i="17" s="1"/>
  <c r="BB122" i="17" s="1"/>
  <c r="BB118" i="17" s="1"/>
  <c r="AR122" i="17"/>
  <c r="AR110" i="17"/>
  <c r="AT107" i="17"/>
  <c r="BB107" i="17" s="1"/>
  <c r="BB110" i="17" s="1"/>
  <c r="BB106" i="17" s="1"/>
  <c r="AR139" i="17"/>
  <c r="AT135" i="17"/>
  <c r="BB135" i="17" s="1"/>
  <c r="BB139" i="17" s="1"/>
  <c r="BB134" i="17" s="1"/>
  <c r="AR159" i="17"/>
  <c r="CI49" i="18" s="1"/>
  <c r="AT158" i="17"/>
  <c r="BB158" i="17" s="1"/>
  <c r="BB159" i="17" s="1"/>
  <c r="AR276" i="17"/>
  <c r="CI84" i="18" s="1"/>
  <c r="AT274" i="17"/>
  <c r="AR268" i="17"/>
  <c r="AT264" i="17"/>
  <c r="BB264" i="17" s="1"/>
  <c r="BB268" i="17" s="1"/>
  <c r="BB259" i="17" s="1"/>
  <c r="AT90" i="17"/>
  <c r="BB90" i="17" s="1"/>
  <c r="BB92" i="17" s="1"/>
  <c r="AR92" i="17"/>
  <c r="CI29" i="18" s="1"/>
  <c r="AR133" i="17"/>
  <c r="AT124" i="17"/>
  <c r="BB124" i="17" s="1"/>
  <c r="BB133" i="17" s="1"/>
  <c r="BB123" i="17" s="1"/>
  <c r="AT142" i="17"/>
  <c r="BB142" i="17" s="1"/>
  <c r="BB149" i="17" s="1"/>
  <c r="BB140" i="17" s="1"/>
  <c r="AR149" i="17"/>
  <c r="AT153" i="17"/>
  <c r="BB153" i="17" s="1"/>
  <c r="BB156" i="17" s="1"/>
  <c r="AR156" i="17"/>
  <c r="CS27" i="18"/>
  <c r="AR105" i="17"/>
  <c r="AT102" i="17"/>
  <c r="BB102" i="17" s="1"/>
  <c r="BB105" i="17" s="1"/>
  <c r="BB100" i="17" s="1"/>
  <c r="AT112" i="17"/>
  <c r="BB112" i="17" s="1"/>
  <c r="BB117" i="17" s="1"/>
  <c r="BB111" i="17" s="1"/>
  <c r="AR117" i="17"/>
  <c r="AR168" i="17"/>
  <c r="AT164" i="17"/>
  <c r="BB164" i="17" s="1"/>
  <c r="BB168" i="17" s="1"/>
  <c r="BB163" i="17" s="1"/>
  <c r="CS69" i="18"/>
  <c r="CS68" i="18" s="1"/>
  <c r="CS78" i="18"/>
  <c r="AT258" i="17"/>
  <c r="CK78" i="18" s="1"/>
  <c r="AT254" i="17"/>
  <c r="CK77" i="18" s="1"/>
  <c r="AT250" i="17"/>
  <c r="CS77" i="18"/>
  <c r="AF79" i="17"/>
  <c r="AF78" i="17" s="1"/>
  <c r="AT178" i="17"/>
  <c r="CK53" i="18" s="1"/>
  <c r="AQ78" i="17"/>
  <c r="CF88" i="18"/>
  <c r="CF87" i="18" s="1"/>
  <c r="CF86" i="18"/>
  <c r="CF85" i="18" s="1"/>
  <c r="BY65" i="18"/>
  <c r="BY64" i="18" s="1"/>
  <c r="BY88" i="18"/>
  <c r="AR268" i="16"/>
  <c r="BV81" i="18" s="1"/>
  <c r="BV79" i="18" s="1"/>
  <c r="AT267" i="16"/>
  <c r="BB267" i="16" s="1"/>
  <c r="BB268" i="16" s="1"/>
  <c r="BB259" i="16" s="1"/>
  <c r="BV76" i="18"/>
  <c r="AT53" i="16"/>
  <c r="BB53" i="16" s="1"/>
  <c r="BB56" i="16" s="1"/>
  <c r="AR56" i="16"/>
  <c r="BV21" i="18" s="1"/>
  <c r="AR88" i="16"/>
  <c r="BV28" i="18" s="1"/>
  <c r="AT87" i="16"/>
  <c r="BB87" i="16" s="1"/>
  <c r="BB88" i="16" s="1"/>
  <c r="AT95" i="16"/>
  <c r="BB95" i="16" s="1"/>
  <c r="AR99" i="16"/>
  <c r="AR122" i="16"/>
  <c r="AT119" i="16"/>
  <c r="BB119" i="16" s="1"/>
  <c r="BB122" i="16" s="1"/>
  <c r="BB118" i="16" s="1"/>
  <c r="AT13" i="16"/>
  <c r="BB13" i="16" s="1"/>
  <c r="BB15" i="16" s="1"/>
  <c r="AR15" i="16"/>
  <c r="BV13" i="18"/>
  <c r="AT63" i="16"/>
  <c r="BB63" i="16" s="1"/>
  <c r="BB77" i="16" s="1"/>
  <c r="BB61" i="16" s="1"/>
  <c r="AR77" i="16"/>
  <c r="BV27" i="18"/>
  <c r="AR110" i="16"/>
  <c r="AT107" i="16"/>
  <c r="BB107" i="16" s="1"/>
  <c r="BB110" i="16" s="1"/>
  <c r="BB106" i="16" s="1"/>
  <c r="AR258" i="16"/>
  <c r="BV78" i="18" s="1"/>
  <c r="AT256" i="16"/>
  <c r="AR254" i="16"/>
  <c r="BV77" i="18" s="1"/>
  <c r="AT251" i="16"/>
  <c r="AR19" i="16"/>
  <c r="AT17" i="16"/>
  <c r="BB17" i="16" s="1"/>
  <c r="BB19" i="16" s="1"/>
  <c r="BB16" i="16" s="1"/>
  <c r="AR37" i="16"/>
  <c r="BV15" i="18" s="1"/>
  <c r="AT30" i="16"/>
  <c r="BV18" i="18"/>
  <c r="BV17" i="18" s="1"/>
  <c r="AR40" i="16"/>
  <c r="AR50" i="16"/>
  <c r="AT47" i="16"/>
  <c r="BB47" i="16" s="1"/>
  <c r="BB50" i="16" s="1"/>
  <c r="AT90" i="16"/>
  <c r="BB90" i="16" s="1"/>
  <c r="BB92" i="16" s="1"/>
  <c r="AR92" i="16"/>
  <c r="BV29" i="18" s="1"/>
  <c r="AR133" i="16"/>
  <c r="AT124" i="16"/>
  <c r="BB124" i="16" s="1"/>
  <c r="BB133" i="16" s="1"/>
  <c r="BB123" i="16" s="1"/>
  <c r="AT58" i="16"/>
  <c r="BB58" i="16" s="1"/>
  <c r="BB60" i="16" s="1"/>
  <c r="AR60" i="16"/>
  <c r="BV22" i="18" s="1"/>
  <c r="AR105" i="16"/>
  <c r="AT102" i="16"/>
  <c r="BB102" i="16" s="1"/>
  <c r="BB105" i="16" s="1"/>
  <c r="BB100" i="16" s="1"/>
  <c r="AR117" i="16"/>
  <c r="AT112" i="16"/>
  <c r="BB112" i="16" s="1"/>
  <c r="BB117" i="16" s="1"/>
  <c r="BB111" i="16" s="1"/>
  <c r="BW90" i="18"/>
  <c r="BW91" i="18" s="1"/>
  <c r="BY86" i="18"/>
  <c r="BY85" i="18" s="1"/>
  <c r="AT250" i="16"/>
  <c r="AT25" i="16"/>
  <c r="AT85" i="16"/>
  <c r="AT273" i="16"/>
  <c r="AT263" i="16"/>
  <c r="AT29" i="16"/>
  <c r="BX14" i="18" s="1"/>
  <c r="BY14" i="18"/>
  <c r="AT44" i="16"/>
  <c r="BU27" i="18"/>
  <c r="BU26" i="18" s="1"/>
  <c r="BU25" i="18" s="1"/>
  <c r="BU90" i="18" s="1"/>
  <c r="AQ79" i="16"/>
  <c r="AQ78" i="16" s="1"/>
  <c r="AQ292" i="16" s="1"/>
  <c r="AF45" i="16"/>
  <c r="BS27" i="18"/>
  <c r="BS26" i="18" s="1"/>
  <c r="BS83" i="18"/>
  <c r="AT223" i="15"/>
  <c r="AR225" i="15"/>
  <c r="AR258" i="15"/>
  <c r="BI78" i="18" s="1"/>
  <c r="AT255" i="15"/>
  <c r="BB255" i="15" s="1"/>
  <c r="BB258" i="15" s="1"/>
  <c r="BK27" i="18"/>
  <c r="BK26" i="18" s="1"/>
  <c r="AT79" i="15"/>
  <c r="AR289" i="15"/>
  <c r="AT285" i="15"/>
  <c r="BB285" i="15" s="1"/>
  <c r="BB289" i="15" s="1"/>
  <c r="BB284" i="15" s="1"/>
  <c r="AR283" i="15"/>
  <c r="AT278" i="15"/>
  <c r="AR254" i="15"/>
  <c r="BI77" i="18" s="1"/>
  <c r="EI77" i="18" s="1"/>
  <c r="AT253" i="15"/>
  <c r="BB253" i="15" s="1"/>
  <c r="AR220" i="15"/>
  <c r="AT215" i="15"/>
  <c r="AR231" i="15"/>
  <c r="AT229" i="15"/>
  <c r="BB229" i="15" s="1"/>
  <c r="BB231" i="15" s="1"/>
  <c r="BB226" i="15" s="1"/>
  <c r="AR243" i="15"/>
  <c r="AT239" i="15"/>
  <c r="AR276" i="15"/>
  <c r="AT274" i="15"/>
  <c r="AT72" i="15"/>
  <c r="BB72" i="15" s="1"/>
  <c r="AR77" i="15"/>
  <c r="AT234" i="15"/>
  <c r="AR237" i="15"/>
  <c r="AT250" i="15"/>
  <c r="BS45" i="18"/>
  <c r="BS44" i="18" s="1"/>
  <c r="BI76" i="18"/>
  <c r="BI75" i="18" s="1"/>
  <c r="AR245" i="15"/>
  <c r="AU266" i="15"/>
  <c r="AU268" i="15" s="1"/>
  <c r="AU259" i="15" s="1"/>
  <c r="AT268" i="15"/>
  <c r="BK81" i="18" s="1"/>
  <c r="BN77" i="18"/>
  <c r="AW245" i="15"/>
  <c r="AW244" i="15" s="1"/>
  <c r="AW292" i="15" s="1"/>
  <c r="BS76" i="18"/>
  <c r="BL44" i="18"/>
  <c r="BL25" i="18" s="1"/>
  <c r="AT263" i="15"/>
  <c r="BJ90" i="18"/>
  <c r="BJ91" i="18" s="1"/>
  <c r="AF197" i="15"/>
  <c r="AY65" i="18"/>
  <c r="AY64" i="18" s="1"/>
  <c r="AY61" i="18"/>
  <c r="AY81" i="18"/>
  <c r="AY79" i="18" s="1"/>
  <c r="AV62" i="18"/>
  <c r="AV60" i="18" s="1"/>
  <c r="AV59" i="18" s="1"/>
  <c r="AR198" i="14"/>
  <c r="AR197" i="14" s="1"/>
  <c r="AT231" i="14"/>
  <c r="AR283" i="14"/>
  <c r="AT278" i="14"/>
  <c r="AR250" i="14"/>
  <c r="AT246" i="14"/>
  <c r="AR289" i="14"/>
  <c r="AT285" i="14"/>
  <c r="BB285" i="14" s="1"/>
  <c r="BB289" i="14" s="1"/>
  <c r="BB284" i="14" s="1"/>
  <c r="AT268" i="14"/>
  <c r="AX81" i="18" s="1"/>
  <c r="AR77" i="14"/>
  <c r="AT71" i="14"/>
  <c r="BB71" i="14" s="1"/>
  <c r="BB77" i="14" s="1"/>
  <c r="BB61" i="14" s="1"/>
  <c r="AX73" i="18"/>
  <c r="AX72" i="18" s="1"/>
  <c r="AT238" i="14"/>
  <c r="AX65" i="18"/>
  <c r="AX64" i="18" s="1"/>
  <c r="AT213" i="14"/>
  <c r="AX71" i="18"/>
  <c r="AX70" i="18" s="1"/>
  <c r="AT232" i="14"/>
  <c r="BF71" i="18"/>
  <c r="BF70" i="18" s="1"/>
  <c r="AQ197" i="14"/>
  <c r="AQ292" i="14" s="1"/>
  <c r="AT225" i="14"/>
  <c r="AT190" i="14"/>
  <c r="AX61" i="18"/>
  <c r="BF61" i="18"/>
  <c r="AR276" i="14"/>
  <c r="AT274" i="14"/>
  <c r="AR258" i="14"/>
  <c r="AV78" i="18" s="1"/>
  <c r="AT255" i="14"/>
  <c r="BB255" i="14" s="1"/>
  <c r="BB258" i="14" s="1"/>
  <c r="AY83" i="18"/>
  <c r="AY62" i="18"/>
  <c r="AY73" i="18"/>
  <c r="AY72" i="18" s="1"/>
  <c r="BF65" i="18"/>
  <c r="BF64" i="18" s="1"/>
  <c r="AY71" i="18"/>
  <c r="AY70" i="18" s="1"/>
  <c r="AW90" i="18"/>
  <c r="AW91" i="18" s="1"/>
  <c r="AF245" i="14"/>
  <c r="AF244" i="14" s="1"/>
  <c r="AU59" i="18"/>
  <c r="AU90" i="18" s="1"/>
  <c r="AU91" i="18" s="1"/>
  <c r="AU270" i="13"/>
  <c r="AU273" i="13" s="1"/>
  <c r="AT273" i="13"/>
  <c r="AT289" i="13"/>
  <c r="AR15" i="13"/>
  <c r="AI9" i="18" s="1"/>
  <c r="AT12" i="13"/>
  <c r="BB12" i="13" s="1"/>
  <c r="BB15" i="13" s="1"/>
  <c r="AR50" i="13"/>
  <c r="AT47" i="13"/>
  <c r="BB47" i="13" s="1"/>
  <c r="BB50" i="13" s="1"/>
  <c r="AT9" i="13"/>
  <c r="AR19" i="13"/>
  <c r="AT18" i="13"/>
  <c r="BB18" i="13" s="1"/>
  <c r="BB19" i="13" s="1"/>
  <c r="BB16" i="13" s="1"/>
  <c r="AR44" i="13"/>
  <c r="AT42" i="13"/>
  <c r="BB42" i="13" s="1"/>
  <c r="BB44" i="13" s="1"/>
  <c r="BB40" i="13" s="1"/>
  <c r="AT120" i="13"/>
  <c r="BB120" i="13" s="1"/>
  <c r="BB122" i="13" s="1"/>
  <c r="BB118" i="13" s="1"/>
  <c r="AR122" i="13"/>
  <c r="AT125" i="13"/>
  <c r="BB125" i="13" s="1"/>
  <c r="BB133" i="13" s="1"/>
  <c r="BB123" i="13" s="1"/>
  <c r="AR133" i="13"/>
  <c r="AI43" i="18"/>
  <c r="AR134" i="13"/>
  <c r="AT85" i="13"/>
  <c r="AR88" i="13"/>
  <c r="AI28" i="18" s="1"/>
  <c r="AT86" i="13"/>
  <c r="BB86" i="13" s="1"/>
  <c r="BB88" i="13" s="1"/>
  <c r="AT94" i="13"/>
  <c r="AT113" i="13"/>
  <c r="BB113" i="13" s="1"/>
  <c r="BB117" i="13" s="1"/>
  <c r="BB111" i="13" s="1"/>
  <c r="AR117" i="13"/>
  <c r="AR149" i="13"/>
  <c r="AT141" i="13"/>
  <c r="BB141" i="13" s="1"/>
  <c r="BB149" i="13" s="1"/>
  <c r="BB140" i="13" s="1"/>
  <c r="AI13" i="18"/>
  <c r="AR56" i="13"/>
  <c r="AI21" i="18" s="1"/>
  <c r="EI21" i="18" s="1"/>
  <c r="AT51" i="13"/>
  <c r="BB51" i="13" s="1"/>
  <c r="BB56" i="13" s="1"/>
  <c r="AR92" i="13"/>
  <c r="AI29" i="18" s="1"/>
  <c r="AT89" i="13"/>
  <c r="BB89" i="13" s="1"/>
  <c r="BB92" i="13" s="1"/>
  <c r="AT108" i="13"/>
  <c r="BB108" i="13" s="1"/>
  <c r="BB110" i="13" s="1"/>
  <c r="BB106" i="13" s="1"/>
  <c r="AR110" i="13"/>
  <c r="AS81" i="18"/>
  <c r="AT268" i="13"/>
  <c r="AS80" i="18"/>
  <c r="AS79" i="18" s="1"/>
  <c r="AL17" i="18"/>
  <c r="EL18" i="18"/>
  <c r="EL17" i="18" s="1"/>
  <c r="AQ77" i="18"/>
  <c r="AZ245" i="13"/>
  <c r="AZ244" i="13" s="1"/>
  <c r="AZ292" i="13" s="1"/>
  <c r="AT29" i="13"/>
  <c r="AK14" i="18" s="1"/>
  <c r="AL14" i="18"/>
  <c r="AT39" i="13"/>
  <c r="AK16" i="18" s="1"/>
  <c r="EK16" i="18" s="1"/>
  <c r="AL16" i="18"/>
  <c r="AL76" i="18"/>
  <c r="AU245" i="13"/>
  <c r="AR105" i="13"/>
  <c r="AT101" i="13"/>
  <c r="BB101" i="13" s="1"/>
  <c r="BB105" i="13" s="1"/>
  <c r="BB100" i="13" s="1"/>
  <c r="AQ17" i="18"/>
  <c r="AQ6" i="18" s="1"/>
  <c r="AQ5" i="13"/>
  <c r="AQ292" i="13" s="1"/>
  <c r="AU274" i="13"/>
  <c r="AU276" i="13" s="1"/>
  <c r="AL84" i="18" s="1"/>
  <c r="AT276" i="13"/>
  <c r="AK84" i="18" s="1"/>
  <c r="AT139" i="13"/>
  <c r="AI27" i="18"/>
  <c r="AT25" i="13"/>
  <c r="AU278" i="13"/>
  <c r="AU283" i="13" s="1"/>
  <c r="AU277" i="13" s="1"/>
  <c r="AT283" i="13"/>
  <c r="AL24" i="18"/>
  <c r="AL23" i="18" s="1"/>
  <c r="AH7" i="18"/>
  <c r="AH6" i="18" s="1"/>
  <c r="AH90" i="18" s="1"/>
  <c r="AH91" i="18" s="1"/>
  <c r="EH9" i="18"/>
  <c r="EH7" i="18" s="1"/>
  <c r="EH6" i="18" s="1"/>
  <c r="EL9" i="18"/>
  <c r="EL7" i="18" s="1"/>
  <c r="AL7" i="18"/>
  <c r="AT31" i="13"/>
  <c r="AR37" i="13"/>
  <c r="AI15" i="18" s="1"/>
  <c r="AR60" i="13"/>
  <c r="AI22" i="18" s="1"/>
  <c r="AT57" i="13"/>
  <c r="BB57" i="13" s="1"/>
  <c r="BB60" i="13" s="1"/>
  <c r="AT245" i="13"/>
  <c r="AK76" i="18"/>
  <c r="AK75" i="18" s="1"/>
  <c r="AF6" i="13"/>
  <c r="AF5" i="13" s="1"/>
  <c r="AS77" i="18"/>
  <c r="AB7" i="18"/>
  <c r="AB6" i="18" s="1"/>
  <c r="AB90" i="18" s="1"/>
  <c r="AB91" i="18" s="1"/>
  <c r="EO9" i="18"/>
  <c r="V62" i="18"/>
  <c r="AT204" i="12"/>
  <c r="AR220" i="12"/>
  <c r="AT214" i="12"/>
  <c r="BB214" i="12" s="1"/>
  <c r="BB220" i="12" s="1"/>
  <c r="BB213" i="12" s="1"/>
  <c r="AT240" i="12"/>
  <c r="AR243" i="12"/>
  <c r="AR15" i="12"/>
  <c r="AT12" i="12"/>
  <c r="BB12" i="12" s="1"/>
  <c r="BB15" i="12" s="1"/>
  <c r="BB6" i="12" s="1"/>
  <c r="AT24" i="12"/>
  <c r="AR25" i="12"/>
  <c r="AT183" i="12"/>
  <c r="AT85" i="12"/>
  <c r="Y65" i="18"/>
  <c r="Y64" i="18" s="1"/>
  <c r="AT250" i="12"/>
  <c r="Y24" i="18"/>
  <c r="AR19" i="12"/>
  <c r="AT17" i="12"/>
  <c r="BB17" i="12" s="1"/>
  <c r="BB19" i="12" s="1"/>
  <c r="BB16" i="12" s="1"/>
  <c r="Y19" i="18"/>
  <c r="AR231" i="12"/>
  <c r="AT227" i="12"/>
  <c r="AR237" i="12"/>
  <c r="AT233" i="12"/>
  <c r="BB233" i="12" s="1"/>
  <c r="BB237" i="12" s="1"/>
  <c r="BB232" i="12" s="1"/>
  <c r="AT201" i="12"/>
  <c r="BB201" i="12" s="1"/>
  <c r="AR203" i="12"/>
  <c r="AR212" i="12"/>
  <c r="V63" i="18" s="1"/>
  <c r="EI63" i="18" s="1"/>
  <c r="AT210" i="12"/>
  <c r="BB210" i="12" s="1"/>
  <c r="BB212" i="12" s="1"/>
  <c r="AT222" i="12"/>
  <c r="AR225" i="12"/>
  <c r="W90" i="18"/>
  <c r="AT289" i="12"/>
  <c r="AF84" i="18"/>
  <c r="AT276" i="12"/>
  <c r="AT273" i="12"/>
  <c r="X83" i="18" s="1"/>
  <c r="U27" i="18"/>
  <c r="U26" i="18" s="1"/>
  <c r="U25" i="18" s="1"/>
  <c r="U90" i="18" s="1"/>
  <c r="AQ79" i="12"/>
  <c r="AQ78" i="12" s="1"/>
  <c r="AQ292" i="12" s="1"/>
  <c r="AT263" i="12"/>
  <c r="AF57" i="18"/>
  <c r="AT193" i="12"/>
  <c r="X57" i="18" s="1"/>
  <c r="Y61" i="18"/>
  <c r="Y60" i="18" s="1"/>
  <c r="AF182" i="12"/>
  <c r="AF150" i="12" s="1"/>
  <c r="AF198" i="12"/>
  <c r="AF197" i="12" s="1"/>
  <c r="EJ6" i="18"/>
  <c r="L64" i="18"/>
  <c r="EO20" i="18"/>
  <c r="O19" i="18"/>
  <c r="O6" i="18" s="1"/>
  <c r="O90" i="18" s="1"/>
  <c r="J25" i="18"/>
  <c r="J6" i="18"/>
  <c r="BB284" i="23" l="1"/>
  <c r="EF88" i="18"/>
  <c r="EF87" i="18" s="1"/>
  <c r="BB151" i="14"/>
  <c r="BB38" i="13"/>
  <c r="BB39" i="13" s="1"/>
  <c r="BB151" i="17"/>
  <c r="AQ150" i="1"/>
  <c r="AQ292" i="1" s="1"/>
  <c r="AQ244" i="1"/>
  <c r="BB21" i="16"/>
  <c r="BB25" i="16" s="1"/>
  <c r="BB26" i="13"/>
  <c r="BB29" i="13" s="1"/>
  <c r="AQ197" i="17"/>
  <c r="CV12" i="18"/>
  <c r="BB259" i="14"/>
  <c r="BF81" i="18"/>
  <c r="V19" i="18"/>
  <c r="BB6" i="17"/>
  <c r="BB38" i="22"/>
  <c r="BB39" i="22" s="1"/>
  <c r="DS16" i="18" s="1"/>
  <c r="BB41" i="23"/>
  <c r="BB44" i="23" s="1"/>
  <c r="BB40" i="23" s="1"/>
  <c r="BB26" i="23"/>
  <c r="BB29" i="23" s="1"/>
  <c r="BB236" i="23"/>
  <c r="BB237" i="23" s="1"/>
  <c r="BB232" i="23" s="1"/>
  <c r="AR244" i="23"/>
  <c r="O91" i="18"/>
  <c r="EI22" i="18"/>
  <c r="BB79" i="13"/>
  <c r="BB45" i="14"/>
  <c r="EI29" i="18"/>
  <c r="AV12" i="18"/>
  <c r="BB79" i="14"/>
  <c r="BB163" i="16"/>
  <c r="BB227" i="23"/>
  <c r="BB231" i="23" s="1"/>
  <c r="BB226" i="23" s="1"/>
  <c r="BB222" i="23"/>
  <c r="BB225" i="23" s="1"/>
  <c r="BB221" i="23" s="1"/>
  <c r="BB227" i="14"/>
  <c r="BB231" i="14" s="1"/>
  <c r="BB226" i="14" s="1"/>
  <c r="AU220" i="17"/>
  <c r="AU213" i="17" s="1"/>
  <c r="BB245" i="17"/>
  <c r="BB45" i="13"/>
  <c r="BU91" i="18"/>
  <c r="BB78" i="12"/>
  <c r="BB163" i="14"/>
  <c r="AR79" i="22"/>
  <c r="BB259" i="23"/>
  <c r="EF81" i="18"/>
  <c r="BB150" i="14"/>
  <c r="AT209" i="12"/>
  <c r="BB204" i="12"/>
  <c r="BB209" i="12" s="1"/>
  <c r="AK88" i="18"/>
  <c r="AK87" i="18" s="1"/>
  <c r="AT284" i="13"/>
  <c r="AV88" i="18"/>
  <c r="AR284" i="14"/>
  <c r="AV86" i="18"/>
  <c r="AR277" i="14"/>
  <c r="BI86" i="18"/>
  <c r="BI85" i="18" s="1"/>
  <c r="AR277" i="15"/>
  <c r="AU223" i="15"/>
  <c r="AU225" i="15" s="1"/>
  <c r="AU221" i="15" s="1"/>
  <c r="CI86" i="18"/>
  <c r="CI85" i="18" s="1"/>
  <c r="AR277" i="17"/>
  <c r="CV86" i="18"/>
  <c r="CV85" i="18" s="1"/>
  <c r="CV88" i="18"/>
  <c r="CV87" i="18" s="1"/>
  <c r="CV83" i="18"/>
  <c r="CV82" i="18" s="1"/>
  <c r="AU222" i="1"/>
  <c r="AU225" i="1" s="1"/>
  <c r="AU221" i="1" s="1"/>
  <c r="AT105" i="14"/>
  <c r="BB101" i="14"/>
  <c r="AU199" i="15"/>
  <c r="AU203" i="15" s="1"/>
  <c r="AU198" i="15" s="1"/>
  <c r="AU205" i="15"/>
  <c r="AU209" i="15" s="1"/>
  <c r="BB205" i="15"/>
  <c r="AU24" i="15"/>
  <c r="AU25" i="15" s="1"/>
  <c r="AU239" i="17"/>
  <c r="AU243" i="17" s="1"/>
  <c r="AU238" i="17" s="1"/>
  <c r="AT77" i="17"/>
  <c r="BB62" i="17"/>
  <c r="BB77" i="17" s="1"/>
  <c r="BB61" i="17" s="1"/>
  <c r="AU31" i="17"/>
  <c r="AU37" i="17" s="1"/>
  <c r="CX21" i="18"/>
  <c r="AU239" i="1"/>
  <c r="AU243" i="1" s="1"/>
  <c r="AU238" i="1" s="1"/>
  <c r="AU233" i="16"/>
  <c r="AU237" i="16" s="1"/>
  <c r="AU232" i="16" s="1"/>
  <c r="DX88" i="18"/>
  <c r="DX87" i="18" s="1"/>
  <c r="AT284" i="23"/>
  <c r="CJ70" i="18"/>
  <c r="EJ71" i="18"/>
  <c r="EJ70" i="18" s="1"/>
  <c r="EH31" i="18"/>
  <c r="EH30" i="18" s="1"/>
  <c r="H30" i="18"/>
  <c r="H25" i="18" s="1"/>
  <c r="AU268" i="22"/>
  <c r="BB266" i="22"/>
  <c r="BB268" i="22" s="1"/>
  <c r="H60" i="18"/>
  <c r="H59" i="18" s="1"/>
  <c r="EH61" i="18"/>
  <c r="EH60" i="18" s="1"/>
  <c r="EJ63" i="18"/>
  <c r="CJ60" i="18"/>
  <c r="AT277" i="22"/>
  <c r="DK86" i="18"/>
  <c r="DK85" i="18" s="1"/>
  <c r="AR79" i="13"/>
  <c r="EF79" i="18"/>
  <c r="AR45" i="12"/>
  <c r="AR163" i="13"/>
  <c r="AR20" i="14"/>
  <c r="BB209" i="15"/>
  <c r="AU20" i="22"/>
  <c r="BB77" i="15"/>
  <c r="BB61" i="15" s="1"/>
  <c r="BB79" i="16"/>
  <c r="BB270" i="13"/>
  <c r="BB273" i="13" s="1"/>
  <c r="BB204" i="1"/>
  <c r="BB209" i="1" s="1"/>
  <c r="BB199" i="17"/>
  <c r="BB203" i="17" s="1"/>
  <c r="BB215" i="17"/>
  <c r="BB220" i="17" s="1"/>
  <c r="BB213" i="17" s="1"/>
  <c r="BB21" i="14"/>
  <c r="BB25" i="14" s="1"/>
  <c r="BB26" i="16"/>
  <c r="BB29" i="16" s="1"/>
  <c r="BB222" i="14"/>
  <c r="BB225" i="14" s="1"/>
  <c r="BB221" i="14" s="1"/>
  <c r="BB30" i="12"/>
  <c r="BB37" i="12" s="1"/>
  <c r="BB21" i="13"/>
  <c r="BB25" i="13" s="1"/>
  <c r="BB203" i="12"/>
  <c r="BB198" i="12" s="1"/>
  <c r="BB254" i="15"/>
  <c r="BB245" i="15" s="1"/>
  <c r="BB266" i="15"/>
  <c r="BB268" i="15" s="1"/>
  <c r="BB259" i="15" s="1"/>
  <c r="BB199" i="1"/>
  <c r="BB9" i="13"/>
  <c r="BB11" i="13" s="1"/>
  <c r="AT11" i="13"/>
  <c r="AK8" i="18" s="1"/>
  <c r="AU239" i="15"/>
  <c r="AU243" i="15" s="1"/>
  <c r="AU238" i="15" s="1"/>
  <c r="AU215" i="15"/>
  <c r="AU220" i="15" s="1"/>
  <c r="AU213" i="15" s="1"/>
  <c r="BB227" i="1"/>
  <c r="AU227" i="1"/>
  <c r="AU231" i="1" s="1"/>
  <c r="AU226" i="1" s="1"/>
  <c r="AU233" i="13"/>
  <c r="AU237" i="13" s="1"/>
  <c r="AU232" i="13" s="1"/>
  <c r="BB96" i="14"/>
  <c r="AT99" i="14"/>
  <c r="BB99" i="14" s="1"/>
  <c r="BB93" i="14" s="1"/>
  <c r="AU222" i="17"/>
  <c r="AU225" i="17" s="1"/>
  <c r="AU221" i="17" s="1"/>
  <c r="AU24" i="17"/>
  <c r="AU25" i="17" s="1"/>
  <c r="X86" i="18"/>
  <c r="X85" i="18" s="1"/>
  <c r="AT277" i="12"/>
  <c r="AU192" i="17"/>
  <c r="AU193" i="17" s="1"/>
  <c r="AU182" i="17" s="1"/>
  <c r="AU150" i="17" s="1"/>
  <c r="DF77" i="18"/>
  <c r="DF75" i="18" s="1"/>
  <c r="DW75" i="18"/>
  <c r="DW74" i="18" s="1"/>
  <c r="DW90" i="18" s="1"/>
  <c r="EJ76" i="18"/>
  <c r="EH58" i="18"/>
  <c r="EH55" i="18" s="1"/>
  <c r="H55" i="18"/>
  <c r="BB279" i="23"/>
  <c r="BB283" i="23" s="1"/>
  <c r="AU283" i="23"/>
  <c r="DJ85" i="18"/>
  <c r="EJ86" i="18"/>
  <c r="EJ85" i="18" s="1"/>
  <c r="DK77" i="18"/>
  <c r="DK75" i="18" s="1"/>
  <c r="AT245" i="22"/>
  <c r="AT105" i="15"/>
  <c r="BB101" i="15"/>
  <c r="AU198" i="1"/>
  <c r="AU197" i="1" s="1"/>
  <c r="L61" i="18"/>
  <c r="L60" i="18" s="1"/>
  <c r="BB279" i="22"/>
  <c r="BB283" i="22" s="1"/>
  <c r="AU283" i="22"/>
  <c r="AT245" i="23"/>
  <c r="DX76" i="18"/>
  <c r="DX75" i="18" s="1"/>
  <c r="BB150" i="15"/>
  <c r="BB6" i="16"/>
  <c r="BB240" i="14"/>
  <c r="BB243" i="14" s="1"/>
  <c r="BB238" i="14" s="1"/>
  <c r="AR244" i="22"/>
  <c r="AS197" i="17"/>
  <c r="AS292" i="17" s="1"/>
  <c r="X88" i="18"/>
  <c r="X87" i="18" s="1"/>
  <c r="AT284" i="12"/>
  <c r="AU31" i="13"/>
  <c r="AU37" i="13" s="1"/>
  <c r="AU20" i="13" s="1"/>
  <c r="AU222" i="12"/>
  <c r="AU225" i="12" s="1"/>
  <c r="AU221" i="12" s="1"/>
  <c r="EO7" i="18"/>
  <c r="EU7" i="18" s="1"/>
  <c r="EU9" i="18"/>
  <c r="AV84" i="18"/>
  <c r="AR269" i="14"/>
  <c r="AU234" i="15"/>
  <c r="AU237" i="15" s="1"/>
  <c r="AU232" i="15" s="1"/>
  <c r="BI84" i="18"/>
  <c r="BI82" i="18" s="1"/>
  <c r="BI74" i="18" s="1"/>
  <c r="AR269" i="15"/>
  <c r="BI88" i="18"/>
  <c r="BI87" i="18" s="1"/>
  <c r="AR284" i="15"/>
  <c r="BX83" i="18"/>
  <c r="BX82" i="18" s="1"/>
  <c r="AT269" i="16"/>
  <c r="AU30" i="16"/>
  <c r="AU37" i="16" s="1"/>
  <c r="AU20" i="16" s="1"/>
  <c r="CI88" i="18"/>
  <c r="CI87" i="18" s="1"/>
  <c r="AR284" i="17"/>
  <c r="CI83" i="18"/>
  <c r="AR269" i="17"/>
  <c r="AU21" i="1"/>
  <c r="AU25" i="1" s="1"/>
  <c r="AU20" i="1" s="1"/>
  <c r="AT77" i="12"/>
  <c r="BB62" i="12"/>
  <c r="BB77" i="12" s="1"/>
  <c r="BB61" i="12" s="1"/>
  <c r="AU222" i="13"/>
  <c r="AU225" i="13" s="1"/>
  <c r="AU221" i="13" s="1"/>
  <c r="AU30" i="14"/>
  <c r="AU37" i="14" s="1"/>
  <c r="AU20" i="14" s="1"/>
  <c r="AU31" i="15"/>
  <c r="AU37" i="15" s="1"/>
  <c r="AT56" i="15"/>
  <c r="BK21" i="18" s="1"/>
  <c r="BB51" i="15"/>
  <c r="BB56" i="15" s="1"/>
  <c r="AU239" i="16"/>
  <c r="AU243" i="16" s="1"/>
  <c r="AU238" i="16" s="1"/>
  <c r="DK83" i="18"/>
  <c r="DK82" i="18" s="1"/>
  <c r="AT269" i="22"/>
  <c r="EH33" i="18"/>
  <c r="EH32" i="18" s="1"/>
  <c r="BH32" i="18"/>
  <c r="BH25" i="18" s="1"/>
  <c r="BH90" i="18" s="1"/>
  <c r="BH91" i="18" s="1"/>
  <c r="H87" i="18"/>
  <c r="EH88" i="18"/>
  <c r="EH87" i="18" s="1"/>
  <c r="DX83" i="18"/>
  <c r="DX82" i="18" s="1"/>
  <c r="AT269" i="23"/>
  <c r="CJ66" i="18"/>
  <c r="EJ67" i="18"/>
  <c r="EJ66" i="18" s="1"/>
  <c r="H85" i="18"/>
  <c r="EH86" i="18"/>
  <c r="EH85" i="18" s="1"/>
  <c r="DX81" i="18"/>
  <c r="DX79" i="18" s="1"/>
  <c r="AT259" i="23"/>
  <c r="AT277" i="23"/>
  <c r="DX86" i="18"/>
  <c r="DX85" i="18" s="1"/>
  <c r="AW254" i="22"/>
  <c r="BB251" i="22"/>
  <c r="BB254" i="22" s="1"/>
  <c r="DJ79" i="18"/>
  <c r="EJ81" i="18"/>
  <c r="EJ79" i="18" s="1"/>
  <c r="CU66" i="18"/>
  <c r="CU59" i="18" s="1"/>
  <c r="EH67" i="18"/>
  <c r="EH66" i="18" s="1"/>
  <c r="AU269" i="13"/>
  <c r="BB45" i="16"/>
  <c r="BB150" i="13"/>
  <c r="AR79" i="14"/>
  <c r="AF244" i="1"/>
  <c r="BB206" i="14"/>
  <c r="BB209" i="14" s="1"/>
  <c r="BB198" i="14" s="1"/>
  <c r="BB197" i="14" s="1"/>
  <c r="AT99" i="1"/>
  <c r="BB99" i="1" s="1"/>
  <c r="AS244" i="23"/>
  <c r="AS292" i="23" s="1"/>
  <c r="BB38" i="15"/>
  <c r="BB39" i="15" s="1"/>
  <c r="BB192" i="16"/>
  <c r="BB193" i="16" s="1"/>
  <c r="BB182" i="16" s="1"/>
  <c r="BB150" i="16" s="1"/>
  <c r="BB38" i="17"/>
  <c r="BB39" i="17" s="1"/>
  <c r="BB41" i="14"/>
  <c r="BB44" i="14" s="1"/>
  <c r="BB40" i="14" s="1"/>
  <c r="BB41" i="16"/>
  <c r="BB44" i="16" s="1"/>
  <c r="BB40" i="16" s="1"/>
  <c r="BB26" i="14"/>
  <c r="BB29" i="14" s="1"/>
  <c r="EH50" i="18"/>
  <c r="AU227" i="12"/>
  <c r="AU231" i="12" s="1"/>
  <c r="AU226" i="12" s="1"/>
  <c r="AU24" i="12"/>
  <c r="AU25" i="12" s="1"/>
  <c r="AU20" i="12" s="1"/>
  <c r="AU5" i="12" s="1"/>
  <c r="AU240" i="12"/>
  <c r="AU243" i="12" s="1"/>
  <c r="AU238" i="12" s="1"/>
  <c r="AK86" i="18"/>
  <c r="AK85" i="18" s="1"/>
  <c r="AT277" i="13"/>
  <c r="BB94" i="13"/>
  <c r="AT99" i="13"/>
  <c r="BB99" i="13" s="1"/>
  <c r="BB93" i="13" s="1"/>
  <c r="BB78" i="13" s="1"/>
  <c r="AK83" i="18"/>
  <c r="AT269" i="13"/>
  <c r="AU227" i="13"/>
  <c r="AU231" i="13" s="1"/>
  <c r="AU226" i="13" s="1"/>
  <c r="AU239" i="13"/>
  <c r="AU243" i="13" s="1"/>
  <c r="AU238" i="13" s="1"/>
  <c r="BB7" i="14"/>
  <c r="BB11" i="14" s="1"/>
  <c r="AT11" i="14"/>
  <c r="AX8" i="18" s="1"/>
  <c r="AU222" i="16"/>
  <c r="AU225" i="16" s="1"/>
  <c r="AU221" i="16" s="1"/>
  <c r="AU227" i="16"/>
  <c r="AU231" i="16" s="1"/>
  <c r="AU226" i="16" s="1"/>
  <c r="AU233" i="17"/>
  <c r="AU237" i="17" s="1"/>
  <c r="AU232" i="17" s="1"/>
  <c r="AT56" i="17"/>
  <c r="CK21" i="18" s="1"/>
  <c r="BB51" i="17"/>
  <c r="BB56" i="17" s="1"/>
  <c r="BB45" i="17" s="1"/>
  <c r="EJ49" i="18"/>
  <c r="EJ47" i="18" s="1"/>
  <c r="EJ46" i="18" s="1"/>
  <c r="CW47" i="18"/>
  <c r="CW46" i="18" s="1"/>
  <c r="CW90" i="18" s="1"/>
  <c r="CW91" i="18" s="1"/>
  <c r="J60" i="18"/>
  <c r="J59" i="18" s="1"/>
  <c r="EJ62" i="18"/>
  <c r="H47" i="18"/>
  <c r="H46" i="18" s="1"/>
  <c r="EH48" i="18"/>
  <c r="CJ64" i="18"/>
  <c r="EJ65" i="18"/>
  <c r="EJ64" i="18" s="1"/>
  <c r="AU198" i="17"/>
  <c r="CL61" i="18"/>
  <c r="CL60" i="18" s="1"/>
  <c r="EJ77" i="18"/>
  <c r="DJ75" i="18"/>
  <c r="DJ74" i="18" s="1"/>
  <c r="DJ90" i="18" s="1"/>
  <c r="DJ91" i="18" s="1"/>
  <c r="DK81" i="18"/>
  <c r="DK79" i="18" s="1"/>
  <c r="AT259" i="22"/>
  <c r="EH54" i="18"/>
  <c r="EH51" i="18" s="1"/>
  <c r="CU51" i="18"/>
  <c r="CU46" i="18" s="1"/>
  <c r="CU36" i="18"/>
  <c r="CU25" i="18" s="1"/>
  <c r="EH37" i="18"/>
  <c r="EH36" i="18" s="1"/>
  <c r="AT284" i="22"/>
  <c r="DK88" i="18"/>
  <c r="DK87" i="18" s="1"/>
  <c r="CH64" i="18"/>
  <c r="CH59" i="18" s="1"/>
  <c r="CH90" i="18" s="1"/>
  <c r="CH91" i="18" s="1"/>
  <c r="EH65" i="18"/>
  <c r="EH64" i="18" s="1"/>
  <c r="AR244" i="15"/>
  <c r="AQ292" i="17"/>
  <c r="BB79" i="17"/>
  <c r="AF150" i="15"/>
  <c r="BB45" i="15"/>
  <c r="AT259" i="14"/>
  <c r="BB278" i="13"/>
  <c r="BB283" i="13" s="1"/>
  <c r="BB277" i="13" s="1"/>
  <c r="BB274" i="13"/>
  <c r="BB276" i="13" s="1"/>
  <c r="CI81" i="18"/>
  <c r="AR259" i="17"/>
  <c r="AR244" i="17" s="1"/>
  <c r="AR259" i="16"/>
  <c r="BX80" i="18"/>
  <c r="BK80" i="18"/>
  <c r="BK79" i="18" s="1"/>
  <c r="AT259" i="15"/>
  <c r="AX79" i="18"/>
  <c r="AK81" i="18"/>
  <c r="AK79" i="18" s="1"/>
  <c r="AT259" i="13"/>
  <c r="AT244" i="13" s="1"/>
  <c r="X80" i="18"/>
  <c r="X79" i="18" s="1"/>
  <c r="AT259" i="12"/>
  <c r="X84" i="18"/>
  <c r="X82" i="18" s="1"/>
  <c r="AT269" i="12"/>
  <c r="DV70" i="18"/>
  <c r="DV32" i="18"/>
  <c r="DV30" i="18"/>
  <c r="DV17" i="18"/>
  <c r="DV19" i="18"/>
  <c r="AT77" i="23"/>
  <c r="BB62" i="23"/>
  <c r="BB77" i="23" s="1"/>
  <c r="BB61" i="23" s="1"/>
  <c r="AU199" i="23"/>
  <c r="AU203" i="23" s="1"/>
  <c r="BB182" i="23"/>
  <c r="BB150" i="23" s="1"/>
  <c r="BB241" i="23"/>
  <c r="BB243" i="23" s="1"/>
  <c r="BB238" i="23" s="1"/>
  <c r="DV72" i="18"/>
  <c r="DV64" i="18"/>
  <c r="DV10" i="18"/>
  <c r="DV26" i="18"/>
  <c r="DV34" i="18"/>
  <c r="DV12" i="18"/>
  <c r="AU30" i="23"/>
  <c r="AU37" i="23" s="1"/>
  <c r="AU20" i="23" s="1"/>
  <c r="EF8" i="18"/>
  <c r="BB6" i="23"/>
  <c r="AT139" i="23"/>
  <c r="BB135" i="23"/>
  <c r="AT56" i="23"/>
  <c r="DX21" i="18" s="1"/>
  <c r="BB51" i="23"/>
  <c r="BB56" i="23" s="1"/>
  <c r="BB45" i="23" s="1"/>
  <c r="DL64" i="18"/>
  <c r="DI26" i="18"/>
  <c r="DI12" i="18"/>
  <c r="DI10" i="18"/>
  <c r="DI17" i="18"/>
  <c r="BB151" i="22"/>
  <c r="BB41" i="22"/>
  <c r="BB44" i="22" s="1"/>
  <c r="BB26" i="22"/>
  <c r="BB29" i="22" s="1"/>
  <c r="BB31" i="22"/>
  <c r="BB37" i="22" s="1"/>
  <c r="BB239" i="22"/>
  <c r="BB243" i="22" s="1"/>
  <c r="BB238" i="22" s="1"/>
  <c r="BB222" i="22"/>
  <c r="BB225" i="22" s="1"/>
  <c r="BB221" i="22" s="1"/>
  <c r="BB227" i="22"/>
  <c r="BB231" i="22" s="1"/>
  <c r="BB226" i="22" s="1"/>
  <c r="DL23" i="18"/>
  <c r="DL70" i="18"/>
  <c r="DL60" i="18"/>
  <c r="AT77" i="22"/>
  <c r="BB62" i="22"/>
  <c r="BB77" i="22" s="1"/>
  <c r="BB61" i="22" s="1"/>
  <c r="AT56" i="22"/>
  <c r="DK21" i="18" s="1"/>
  <c r="BB51" i="22"/>
  <c r="BB56" i="22" s="1"/>
  <c r="BB45" i="22" s="1"/>
  <c r="AT40" i="22"/>
  <c r="DK18" i="18"/>
  <c r="DK17" i="18" s="1"/>
  <c r="AZ40" i="22"/>
  <c r="AZ5" i="22" s="1"/>
  <c r="AZ292" i="22" s="1"/>
  <c r="DQ18" i="18"/>
  <c r="DQ17" i="18" s="1"/>
  <c r="DQ6" i="18" s="1"/>
  <c r="DQ90" i="18" s="1"/>
  <c r="BB163" i="22"/>
  <c r="AU197" i="22"/>
  <c r="DH91" i="18"/>
  <c r="BB183" i="12"/>
  <c r="BB190" i="12" s="1"/>
  <c r="BB182" i="12" s="1"/>
  <c r="BB150" i="12" s="1"/>
  <c r="AT190" i="12"/>
  <c r="EO19" i="18"/>
  <c r="EU20" i="18"/>
  <c r="V30" i="18"/>
  <c r="CI82" i="18"/>
  <c r="AK82" i="18"/>
  <c r="AK74" i="18" s="1"/>
  <c r="W91" i="18"/>
  <c r="U91" i="18"/>
  <c r="AU205" i="23"/>
  <c r="AU209" i="23" s="1"/>
  <c r="AT209" i="23"/>
  <c r="DX62" i="18" s="1"/>
  <c r="AW209" i="22"/>
  <c r="AW198" i="22" s="1"/>
  <c r="AW197" i="22" s="1"/>
  <c r="CX62" i="18"/>
  <c r="CV62" i="18"/>
  <c r="CV60" i="18" s="1"/>
  <c r="CV59" i="18" s="1"/>
  <c r="CK11" i="18"/>
  <c r="CK10" i="18" s="1"/>
  <c r="AT16" i="17"/>
  <c r="AW209" i="17"/>
  <c r="AW198" i="17" s="1"/>
  <c r="AW197" i="17" s="1"/>
  <c r="AW292" i="17" s="1"/>
  <c r="AU20" i="17"/>
  <c r="CS11" i="18"/>
  <c r="CS10" i="18" s="1"/>
  <c r="AT209" i="16"/>
  <c r="AW204" i="16"/>
  <c r="AW209" i="16" s="1"/>
  <c r="AW198" i="16" s="1"/>
  <c r="AW197" i="16" s="1"/>
  <c r="BS11" i="18"/>
  <c r="BS10" i="18" s="1"/>
  <c r="AT209" i="15"/>
  <c r="AU20" i="15"/>
  <c r="AT16" i="15"/>
  <c r="BK11" i="18"/>
  <c r="BK10" i="18" s="1"/>
  <c r="AU197" i="15"/>
  <c r="AT209" i="14"/>
  <c r="AU204" i="13"/>
  <c r="AU209" i="13" s="1"/>
  <c r="AU198" i="13" s="1"/>
  <c r="AU197" i="13" s="1"/>
  <c r="AT209" i="13"/>
  <c r="AR79" i="23"/>
  <c r="EI57" i="18"/>
  <c r="AT193" i="17"/>
  <c r="CK57" i="18" s="1"/>
  <c r="AI51" i="18"/>
  <c r="AI47" i="18"/>
  <c r="AT212" i="23"/>
  <c r="DX63" i="18" s="1"/>
  <c r="EF63" i="18"/>
  <c r="DV61" i="18"/>
  <c r="AR198" i="23"/>
  <c r="AR197" i="23" s="1"/>
  <c r="AR123" i="23"/>
  <c r="DV41" i="18"/>
  <c r="AT162" i="23"/>
  <c r="DX50" i="18" s="1"/>
  <c r="EF50" i="18"/>
  <c r="AT203" i="23"/>
  <c r="AT133" i="23"/>
  <c r="AT162" i="22"/>
  <c r="DK50" i="18" s="1"/>
  <c r="DS50" i="18"/>
  <c r="AF150" i="22"/>
  <c r="DF58" i="18"/>
  <c r="CX58" i="18"/>
  <c r="CX39" i="18"/>
  <c r="CX38" i="18" s="1"/>
  <c r="DF61" i="18"/>
  <c r="CV43" i="18"/>
  <c r="CV42" i="18" s="1"/>
  <c r="CX57" i="18"/>
  <c r="CX29" i="18"/>
  <c r="DF29" i="18"/>
  <c r="DF39" i="18"/>
  <c r="DF38" i="18" s="1"/>
  <c r="CX61" i="18"/>
  <c r="DF14" i="18"/>
  <c r="CY14" i="18"/>
  <c r="CK69" i="18"/>
  <c r="CK68" i="18" s="1"/>
  <c r="AT226" i="17"/>
  <c r="CS54" i="18"/>
  <c r="AT181" i="17"/>
  <c r="CK54" i="18" s="1"/>
  <c r="CS50" i="18"/>
  <c r="AT162" i="17"/>
  <c r="CK50" i="18" s="1"/>
  <c r="CK62" i="18"/>
  <c r="CK60" i="18" s="1"/>
  <c r="AT198" i="17"/>
  <c r="CK65" i="18"/>
  <c r="CK64" i="18" s="1"/>
  <c r="AT213" i="17"/>
  <c r="CF57" i="18"/>
  <c r="AR238" i="16"/>
  <c r="BV73" i="18"/>
  <c r="BV72" i="18" s="1"/>
  <c r="AR232" i="16"/>
  <c r="BV71" i="18"/>
  <c r="BV70" i="18" s="1"/>
  <c r="CF63" i="18"/>
  <c r="AT212" i="16"/>
  <c r="BX63" i="18" s="1"/>
  <c r="AF5" i="16"/>
  <c r="AT243" i="16"/>
  <c r="AT237" i="16"/>
  <c r="AF150" i="16"/>
  <c r="BC21" i="18"/>
  <c r="BC19" i="18" s="1"/>
  <c r="BC6" i="18" s="1"/>
  <c r="BC90" i="18" s="1"/>
  <c r="AY5" i="14"/>
  <c r="AY292" i="14" s="1"/>
  <c r="AF5" i="14"/>
  <c r="AS57" i="18"/>
  <c r="AT193" i="13"/>
  <c r="AK57" i="18" s="1"/>
  <c r="AS49" i="18"/>
  <c r="AT159" i="13"/>
  <c r="AK49" i="18" s="1"/>
  <c r="AS48" i="18"/>
  <c r="AT156" i="13"/>
  <c r="AK48" i="18" s="1"/>
  <c r="AT181" i="12"/>
  <c r="X54" i="18" s="1"/>
  <c r="AF54" i="18"/>
  <c r="AF86" i="18"/>
  <c r="AF85" i="18" s="1"/>
  <c r="S86" i="18"/>
  <c r="S85" i="18" s="1"/>
  <c r="BB277" i="1"/>
  <c r="BB273" i="1"/>
  <c r="AT273" i="1"/>
  <c r="BB276" i="1"/>
  <c r="S84" i="18" s="1"/>
  <c r="AT276" i="1"/>
  <c r="K84" i="18" s="1"/>
  <c r="BB258" i="1"/>
  <c r="S78" i="18" s="1"/>
  <c r="AT258" i="1"/>
  <c r="K78" i="18" s="1"/>
  <c r="AR245" i="1"/>
  <c r="I76" i="18"/>
  <c r="I75" i="18" s="1"/>
  <c r="BB111" i="1"/>
  <c r="S37" i="18"/>
  <c r="S36" i="18" s="1"/>
  <c r="K35" i="18"/>
  <c r="K34" i="18" s="1"/>
  <c r="AT106" i="1"/>
  <c r="AT254" i="1"/>
  <c r="K77" i="18" s="1"/>
  <c r="BB254" i="1"/>
  <c r="S77" i="18" s="1"/>
  <c r="AT243" i="1"/>
  <c r="I65" i="18"/>
  <c r="I64" i="18" s="1"/>
  <c r="AR213" i="1"/>
  <c r="K86" i="18"/>
  <c r="K85" i="18" s="1"/>
  <c r="AT277" i="1"/>
  <c r="AR269" i="1"/>
  <c r="I83" i="18"/>
  <c r="AT250" i="1"/>
  <c r="BB250" i="1"/>
  <c r="K37" i="18"/>
  <c r="K36" i="18" s="1"/>
  <c r="AT111" i="1"/>
  <c r="S35" i="18"/>
  <c r="S34" i="18" s="1"/>
  <c r="BB106" i="1"/>
  <c r="AR238" i="1"/>
  <c r="I73" i="18"/>
  <c r="I72" i="18" s="1"/>
  <c r="BB220" i="1"/>
  <c r="AT220" i="1"/>
  <c r="EF35" i="18"/>
  <c r="EF34" i="18" s="1"/>
  <c r="DX11" i="18"/>
  <c r="DX10" i="18" s="1"/>
  <c r="AT16" i="23"/>
  <c r="EF33" i="18"/>
  <c r="EF32" i="18" s="1"/>
  <c r="EF31" i="18"/>
  <c r="EF30" i="18" s="1"/>
  <c r="AT156" i="23"/>
  <c r="AT149" i="23"/>
  <c r="DV39" i="18"/>
  <c r="AR118" i="23"/>
  <c r="AT117" i="23"/>
  <c r="AT190" i="23"/>
  <c r="AT168" i="23"/>
  <c r="DX24" i="18"/>
  <c r="DX23" i="18" s="1"/>
  <c r="AT61" i="23"/>
  <c r="EF49" i="18"/>
  <c r="AT159" i="23"/>
  <c r="DX49" i="18" s="1"/>
  <c r="DX27" i="18"/>
  <c r="DX18" i="18"/>
  <c r="DX17" i="18" s="1"/>
  <c r="AT40" i="23"/>
  <c r="AT37" i="23"/>
  <c r="DX15" i="18" s="1"/>
  <c r="AT11" i="23"/>
  <c r="DX35" i="18"/>
  <c r="DX34" i="18" s="1"/>
  <c r="AT106" i="23"/>
  <c r="DX20" i="18"/>
  <c r="DX19" i="18" s="1"/>
  <c r="AT45" i="23"/>
  <c r="DX13" i="18"/>
  <c r="EF11" i="18"/>
  <c r="EF10" i="18" s="1"/>
  <c r="DX33" i="18"/>
  <c r="DX32" i="18" s="1"/>
  <c r="AT100" i="23"/>
  <c r="DX31" i="18"/>
  <c r="DX30" i="18" s="1"/>
  <c r="AT93" i="23"/>
  <c r="AT196" i="23"/>
  <c r="DX58" i="18" s="1"/>
  <c r="EF58" i="18"/>
  <c r="DV48" i="18"/>
  <c r="AR151" i="23"/>
  <c r="AR140" i="23"/>
  <c r="DV45" i="18"/>
  <c r="AT122" i="23"/>
  <c r="AR111" i="23"/>
  <c r="AR78" i="23" s="1"/>
  <c r="DV37" i="18"/>
  <c r="EF28" i="18"/>
  <c r="AT88" i="23"/>
  <c r="DX28" i="18" s="1"/>
  <c r="AT15" i="23"/>
  <c r="DX9" i="18" s="1"/>
  <c r="EF9" i="18"/>
  <c r="DV56" i="18"/>
  <c r="AR182" i="23"/>
  <c r="AR163" i="23"/>
  <c r="DV52" i="18"/>
  <c r="AR61" i="23"/>
  <c r="DV24" i="18"/>
  <c r="EF54" i="18"/>
  <c r="AT181" i="23"/>
  <c r="DX54" i="18" s="1"/>
  <c r="EF27" i="18"/>
  <c r="EF26" i="18" s="1"/>
  <c r="AR6" i="23"/>
  <c r="DV8" i="18"/>
  <c r="AR134" i="23"/>
  <c r="DV43" i="18"/>
  <c r="DK11" i="18"/>
  <c r="DK10" i="18" s="1"/>
  <c r="AT16" i="22"/>
  <c r="AR111" i="22"/>
  <c r="DI37" i="18"/>
  <c r="AT92" i="22"/>
  <c r="DK29" i="18" s="1"/>
  <c r="DS29" i="18"/>
  <c r="DI8" i="18"/>
  <c r="AR6" i="22"/>
  <c r="DS54" i="18"/>
  <c r="AT181" i="22"/>
  <c r="DK54" i="18" s="1"/>
  <c r="DI45" i="18"/>
  <c r="AR140" i="22"/>
  <c r="DI39" i="18"/>
  <c r="AR118" i="22"/>
  <c r="AT105" i="22"/>
  <c r="DI31" i="18"/>
  <c r="AR93" i="22"/>
  <c r="DI24" i="18"/>
  <c r="AR61" i="22"/>
  <c r="AT50" i="22"/>
  <c r="AR163" i="22"/>
  <c r="DI52" i="18"/>
  <c r="AT139" i="22"/>
  <c r="AT110" i="22"/>
  <c r="DK27" i="18"/>
  <c r="DK13" i="18"/>
  <c r="DK12" i="18" s="1"/>
  <c r="AT20" i="22"/>
  <c r="AT196" i="22"/>
  <c r="AT156" i="22"/>
  <c r="AR123" i="22"/>
  <c r="DI41" i="18"/>
  <c r="DS21" i="18"/>
  <c r="DS15" i="18"/>
  <c r="DL15" i="18"/>
  <c r="DS11" i="18"/>
  <c r="DS10" i="18" s="1"/>
  <c r="AT117" i="22"/>
  <c r="AT60" i="22"/>
  <c r="DK22" i="18" s="1"/>
  <c r="DS22" i="18"/>
  <c r="AT11" i="22"/>
  <c r="DS49" i="18"/>
  <c r="AT159" i="22"/>
  <c r="DK49" i="18" s="1"/>
  <c r="AT149" i="22"/>
  <c r="AT122" i="22"/>
  <c r="AR100" i="22"/>
  <c r="DI33" i="18"/>
  <c r="AT99" i="22"/>
  <c r="BB99" i="22" s="1"/>
  <c r="BB93" i="22" s="1"/>
  <c r="BB78" i="22" s="1"/>
  <c r="DS28" i="18"/>
  <c r="AT88" i="22"/>
  <c r="DK28" i="18" s="1"/>
  <c r="DK24" i="18"/>
  <c r="DK23" i="18" s="1"/>
  <c r="AT61" i="22"/>
  <c r="DI20" i="18"/>
  <c r="AR45" i="22"/>
  <c r="AT168" i="22"/>
  <c r="AR134" i="22"/>
  <c r="DI43" i="18"/>
  <c r="AR106" i="22"/>
  <c r="DI35" i="18"/>
  <c r="DS27" i="18"/>
  <c r="DS9" i="18"/>
  <c r="AT15" i="22"/>
  <c r="DK9" i="18" s="1"/>
  <c r="DI58" i="18"/>
  <c r="AR182" i="22"/>
  <c r="AR151" i="22"/>
  <c r="DI48" i="18"/>
  <c r="AT133" i="22"/>
  <c r="CX13" i="18"/>
  <c r="DF9" i="18"/>
  <c r="CX9" i="18"/>
  <c r="DF50" i="18"/>
  <c r="CX50" i="18"/>
  <c r="CV41" i="18"/>
  <c r="CV40" i="18" s="1"/>
  <c r="CV24" i="18"/>
  <c r="CV23" i="18" s="1"/>
  <c r="CX15" i="18"/>
  <c r="CV8" i="18"/>
  <c r="CV7" i="18" s="1"/>
  <c r="CY16" i="18"/>
  <c r="DF16" i="18"/>
  <c r="DF49" i="18"/>
  <c r="CX49" i="18"/>
  <c r="CV33" i="18"/>
  <c r="CV32" i="18" s="1"/>
  <c r="CX22" i="18"/>
  <c r="DF22" i="18"/>
  <c r="CV56" i="18"/>
  <c r="CV55" i="18" s="1"/>
  <c r="CV52" i="18"/>
  <c r="CV51" i="18" s="1"/>
  <c r="CV45" i="18"/>
  <c r="CV44" i="18" s="1"/>
  <c r="CV37" i="18"/>
  <c r="CV36" i="18" s="1"/>
  <c r="DF21" i="18"/>
  <c r="CV48" i="18"/>
  <c r="CV47" i="18" s="1"/>
  <c r="CV18" i="18"/>
  <c r="CV17" i="18" s="1"/>
  <c r="CV35" i="18"/>
  <c r="CV34" i="18" s="1"/>
  <c r="CV31" i="18"/>
  <c r="CV30" i="18" s="1"/>
  <c r="CX24" i="18"/>
  <c r="CX23" i="18" s="1"/>
  <c r="CV20" i="18"/>
  <c r="CV19" i="18" s="1"/>
  <c r="CV11" i="18"/>
  <c r="CV10" i="18" s="1"/>
  <c r="CI73" i="18"/>
  <c r="CI72" i="18" s="1"/>
  <c r="AR238" i="17"/>
  <c r="AT237" i="17"/>
  <c r="CI56" i="18"/>
  <c r="CI55" i="18" s="1"/>
  <c r="AR182" i="17"/>
  <c r="AT60" i="17"/>
  <c r="CK22" i="18" s="1"/>
  <c r="CS22" i="18"/>
  <c r="CI24" i="18"/>
  <c r="CI23" i="18" s="1"/>
  <c r="AR61" i="17"/>
  <c r="AT50" i="17"/>
  <c r="AT37" i="17"/>
  <c r="CK15" i="18" s="1"/>
  <c r="AT15" i="17"/>
  <c r="CK9" i="18" s="1"/>
  <c r="CS9" i="18"/>
  <c r="AR40" i="17"/>
  <c r="CI18" i="18"/>
  <c r="CI17" i="18" s="1"/>
  <c r="CI67" i="18"/>
  <c r="CI66" i="18" s="1"/>
  <c r="AR221" i="17"/>
  <c r="CS21" i="18"/>
  <c r="AT25" i="17"/>
  <c r="AT11" i="17"/>
  <c r="CL16" i="18"/>
  <c r="CS16" i="18"/>
  <c r="AF5" i="17"/>
  <c r="AT243" i="17"/>
  <c r="CI71" i="18"/>
  <c r="CI70" i="18" s="1"/>
  <c r="AR232" i="17"/>
  <c r="AT190" i="17"/>
  <c r="CK24" i="18"/>
  <c r="CK23" i="18" s="1"/>
  <c r="AT61" i="17"/>
  <c r="CI20" i="18"/>
  <c r="CI19" i="18" s="1"/>
  <c r="AR45" i="17"/>
  <c r="AT44" i="17"/>
  <c r="AT225" i="17"/>
  <c r="CI13" i="18"/>
  <c r="CI12" i="18" s="1"/>
  <c r="AR20" i="17"/>
  <c r="CI8" i="18"/>
  <c r="CI7" i="18" s="1"/>
  <c r="AR6" i="17"/>
  <c r="AT225" i="16"/>
  <c r="AR140" i="16"/>
  <c r="BV45" i="18"/>
  <c r="BV44" i="18" s="1"/>
  <c r="AT231" i="16"/>
  <c r="AR182" i="16"/>
  <c r="BV56" i="18"/>
  <c r="BV55" i="18" s="1"/>
  <c r="CF58" i="18"/>
  <c r="AT196" i="16"/>
  <c r="BX58" i="18" s="1"/>
  <c r="AT168" i="16"/>
  <c r="BV48" i="18"/>
  <c r="BV47" i="18" s="1"/>
  <c r="AR151" i="16"/>
  <c r="AT139" i="16"/>
  <c r="AT220" i="16"/>
  <c r="CF8" i="18"/>
  <c r="AT11" i="16"/>
  <c r="BX8" i="18" s="1"/>
  <c r="AT203" i="16"/>
  <c r="BV67" i="18"/>
  <c r="BV66" i="18" s="1"/>
  <c r="AR221" i="16"/>
  <c r="BX62" i="18"/>
  <c r="AT149" i="16"/>
  <c r="BV69" i="18"/>
  <c r="BV68" i="18" s="1"/>
  <c r="AR226" i="16"/>
  <c r="AT190" i="16"/>
  <c r="BV52" i="18"/>
  <c r="BV51" i="18" s="1"/>
  <c r="AR163" i="16"/>
  <c r="AT156" i="16"/>
  <c r="BV43" i="18"/>
  <c r="BV42" i="18" s="1"/>
  <c r="AR134" i="16"/>
  <c r="AR213" i="16"/>
  <c r="BV65" i="18"/>
  <c r="BV64" i="18" s="1"/>
  <c r="BV61" i="18"/>
  <c r="BV60" i="18" s="1"/>
  <c r="AR198" i="16"/>
  <c r="CF54" i="18"/>
  <c r="AT181" i="16"/>
  <c r="BX54" i="18" s="1"/>
  <c r="CF49" i="18"/>
  <c r="AT159" i="16"/>
  <c r="BX49" i="18" s="1"/>
  <c r="EH27" i="18"/>
  <c r="EH26" i="18" s="1"/>
  <c r="EH25" i="18" s="1"/>
  <c r="EI15" i="18"/>
  <c r="EI78" i="18"/>
  <c r="EI49" i="18"/>
  <c r="EI54" i="18"/>
  <c r="BS37" i="18"/>
  <c r="BS36" i="18" s="1"/>
  <c r="BL16" i="18"/>
  <c r="BS16" i="18"/>
  <c r="AT106" i="15"/>
  <c r="BK35" i="18"/>
  <c r="BK34" i="18" s="1"/>
  <c r="AR198" i="15"/>
  <c r="BI61" i="18"/>
  <c r="BI60" i="18" s="1"/>
  <c r="BK53" i="18"/>
  <c r="BK51" i="18" s="1"/>
  <c r="AT163" i="15"/>
  <c r="AR151" i="15"/>
  <c r="BI48" i="18"/>
  <c r="BI47" i="18" s="1"/>
  <c r="AR45" i="15"/>
  <c r="BI20" i="18"/>
  <c r="BI19" i="18" s="1"/>
  <c r="AT37" i="15"/>
  <c r="BK15" i="18" s="1"/>
  <c r="BK62" i="18"/>
  <c r="BI56" i="18"/>
  <c r="BI55" i="18" s="1"/>
  <c r="AR182" i="15"/>
  <c r="AT60" i="15"/>
  <c r="BK22" i="18" s="1"/>
  <c r="BS22" i="18"/>
  <c r="AT123" i="15"/>
  <c r="BK41" i="18"/>
  <c r="BK40" i="18" s="1"/>
  <c r="AT118" i="15"/>
  <c r="BK39" i="18"/>
  <c r="BK38" i="18" s="1"/>
  <c r="AT134" i="15"/>
  <c r="BK43" i="18"/>
  <c r="BK42" i="18" s="1"/>
  <c r="AT93" i="15"/>
  <c r="BK31" i="18"/>
  <c r="BK30" i="18" s="1"/>
  <c r="BS58" i="18"/>
  <c r="AT196" i="15"/>
  <c r="BK58" i="18" s="1"/>
  <c r="BS21" i="18"/>
  <c r="BI13" i="18"/>
  <c r="BI12" i="18" s="1"/>
  <c r="AR20" i="15"/>
  <c r="AT44" i="15"/>
  <c r="AT11" i="15"/>
  <c r="BI25" i="18"/>
  <c r="AT111" i="15"/>
  <c r="BK37" i="18"/>
  <c r="BK36" i="18" s="1"/>
  <c r="AT140" i="15"/>
  <c r="BK45" i="18"/>
  <c r="BK44" i="18" s="1"/>
  <c r="BS35" i="18"/>
  <c r="BS34" i="18" s="1"/>
  <c r="AT203" i="15"/>
  <c r="BS53" i="18"/>
  <c r="BS51" i="18" s="1"/>
  <c r="AT156" i="15"/>
  <c r="AT50" i="15"/>
  <c r="AT190" i="15"/>
  <c r="BS41" i="18"/>
  <c r="BS40" i="18" s="1"/>
  <c r="BS39" i="18"/>
  <c r="BS38" i="18" s="1"/>
  <c r="BS43" i="18"/>
  <c r="BS42" i="18" s="1"/>
  <c r="BS31" i="18"/>
  <c r="BS30" i="18" s="1"/>
  <c r="BS49" i="18"/>
  <c r="AT159" i="15"/>
  <c r="BK49" i="18" s="1"/>
  <c r="AT25" i="15"/>
  <c r="BI18" i="18"/>
  <c r="BI17" i="18" s="1"/>
  <c r="AR40" i="15"/>
  <c r="BI8" i="18"/>
  <c r="BI7" i="18" s="1"/>
  <c r="AR6" i="15"/>
  <c r="BS81" i="18"/>
  <c r="AR78" i="15"/>
  <c r="AY14" i="18"/>
  <c r="BF14" i="18"/>
  <c r="AT139" i="14"/>
  <c r="AV39" i="18"/>
  <c r="AV38" i="18" s="1"/>
  <c r="AR118" i="14"/>
  <c r="AV35" i="18"/>
  <c r="AV34" i="18" s="1"/>
  <c r="AR106" i="14"/>
  <c r="AT159" i="14"/>
  <c r="AX49" i="18" s="1"/>
  <c r="BF49" i="18"/>
  <c r="AT88" i="14"/>
  <c r="AX28" i="18" s="1"/>
  <c r="BF28" i="18"/>
  <c r="AX13" i="18"/>
  <c r="BF27" i="18"/>
  <c r="AV20" i="18"/>
  <c r="AV19" i="18" s="1"/>
  <c r="AR45" i="14"/>
  <c r="AV52" i="18"/>
  <c r="AV51" i="18" s="1"/>
  <c r="AR163" i="14"/>
  <c r="AV48" i="18"/>
  <c r="AV47" i="18" s="1"/>
  <c r="AR151" i="14"/>
  <c r="AV41" i="18"/>
  <c r="AV40" i="18" s="1"/>
  <c r="AR123" i="14"/>
  <c r="AT117" i="14"/>
  <c r="AV33" i="18"/>
  <c r="AR100" i="14"/>
  <c r="BF29" i="18"/>
  <c r="AT92" i="14"/>
  <c r="AX29" i="18" s="1"/>
  <c r="AV58" i="18"/>
  <c r="AV55" i="18" s="1"/>
  <c r="AR182" i="14"/>
  <c r="AX18" i="18"/>
  <c r="AX17" i="18" s="1"/>
  <c r="AT40" i="14"/>
  <c r="AV11" i="18"/>
  <c r="AV10" i="18" s="1"/>
  <c r="AR16" i="14"/>
  <c r="AV45" i="18"/>
  <c r="AV44" i="18" s="1"/>
  <c r="AR140" i="14"/>
  <c r="AV7" i="18"/>
  <c r="AR6" i="14"/>
  <c r="AV43" i="18"/>
  <c r="AV42" i="18" s="1"/>
  <c r="AR134" i="14"/>
  <c r="AT122" i="14"/>
  <c r="AT110" i="14"/>
  <c r="BF54" i="18"/>
  <c r="AT181" i="14"/>
  <c r="AX54" i="18" s="1"/>
  <c r="AX27" i="18"/>
  <c r="AT79" i="14"/>
  <c r="AT50" i="14"/>
  <c r="BF9" i="18"/>
  <c r="AT15" i="14"/>
  <c r="AX9" i="18" s="1"/>
  <c r="AT168" i="14"/>
  <c r="AT156" i="14"/>
  <c r="AT133" i="14"/>
  <c r="AR111" i="14"/>
  <c r="AV37" i="18"/>
  <c r="AV36" i="18" s="1"/>
  <c r="BF58" i="18"/>
  <c r="AT196" i="14"/>
  <c r="AX58" i="18" s="1"/>
  <c r="BF50" i="18"/>
  <c r="AT162" i="14"/>
  <c r="AX50" i="18" s="1"/>
  <c r="AV31" i="18"/>
  <c r="AR93" i="14"/>
  <c r="AT37" i="14"/>
  <c r="AX15" i="18" s="1"/>
  <c r="AT19" i="14"/>
  <c r="AT149" i="14"/>
  <c r="BF22" i="18"/>
  <c r="AT60" i="14"/>
  <c r="AX22" i="18" s="1"/>
  <c r="BA77" i="18"/>
  <c r="BA75" i="18" s="1"/>
  <c r="AW245" i="14"/>
  <c r="AW244" i="14" s="1"/>
  <c r="AW292" i="14" s="1"/>
  <c r="AT190" i="13"/>
  <c r="AR226" i="13"/>
  <c r="AI69" i="18"/>
  <c r="AI68" i="18" s="1"/>
  <c r="AR198" i="13"/>
  <c r="AI61" i="18"/>
  <c r="AI60" i="18" s="1"/>
  <c r="AT225" i="13"/>
  <c r="AT77" i="13"/>
  <c r="AR238" i="13"/>
  <c r="AI73" i="18"/>
  <c r="AI72" i="18" s="1"/>
  <c r="AI71" i="18"/>
  <c r="AI70" i="18" s="1"/>
  <c r="AR232" i="13"/>
  <c r="AI65" i="18"/>
  <c r="AI64" i="18" s="1"/>
  <c r="AR213" i="13"/>
  <c r="AS53" i="18"/>
  <c r="ES53" i="18" s="1"/>
  <c r="AS50" i="18"/>
  <c r="AS47" i="18" s="1"/>
  <c r="AS84" i="18"/>
  <c r="AK62" i="18"/>
  <c r="AI56" i="18"/>
  <c r="AI55" i="18" s="1"/>
  <c r="AI46" i="18" s="1"/>
  <c r="AR182" i="13"/>
  <c r="AR150" i="13" s="1"/>
  <c r="AT231" i="13"/>
  <c r="AT203" i="13"/>
  <c r="AI67" i="18"/>
  <c r="AI66" i="18" s="1"/>
  <c r="AR221" i="13"/>
  <c r="AS63" i="18"/>
  <c r="AT212" i="13"/>
  <c r="AK63" i="18" s="1"/>
  <c r="AI24" i="18"/>
  <c r="AI23" i="18" s="1"/>
  <c r="AR61" i="13"/>
  <c r="AT243" i="13"/>
  <c r="AT237" i="13"/>
  <c r="AT220" i="13"/>
  <c r="AS54" i="18"/>
  <c r="AT181" i="13"/>
  <c r="AK54" i="18" s="1"/>
  <c r="EK54" i="18" s="1"/>
  <c r="EW54" i="18" s="1"/>
  <c r="AJ26" i="18"/>
  <c r="AJ25" i="18" s="1"/>
  <c r="AJ90" i="18" s="1"/>
  <c r="AJ91" i="18" s="1"/>
  <c r="EJ27" i="18"/>
  <c r="EJ26" i="18" s="1"/>
  <c r="EJ25" i="18" s="1"/>
  <c r="AK53" i="18"/>
  <c r="AT163" i="13"/>
  <c r="AK50" i="18"/>
  <c r="AK47" i="18" s="1"/>
  <c r="AT151" i="13"/>
  <c r="AF20" i="18"/>
  <c r="AT156" i="12"/>
  <c r="AT149" i="12"/>
  <c r="V39" i="18"/>
  <c r="V38" i="18" s="1"/>
  <c r="AR118" i="12"/>
  <c r="V37" i="18"/>
  <c r="V36" i="18" s="1"/>
  <c r="V33" i="18"/>
  <c r="V32" i="18" s="1"/>
  <c r="AR100" i="12"/>
  <c r="V28" i="18"/>
  <c r="V26" i="18" s="1"/>
  <c r="V52" i="18"/>
  <c r="V51" i="18" s="1"/>
  <c r="AR163" i="12"/>
  <c r="AT139" i="12"/>
  <c r="AT110" i="12"/>
  <c r="AT106" i="12" s="1"/>
  <c r="AT61" i="12"/>
  <c r="X24" i="18"/>
  <c r="X23" i="18" s="1"/>
  <c r="AF31" i="18"/>
  <c r="AF30" i="18" s="1"/>
  <c r="V41" i="18"/>
  <c r="V40" i="18" s="1"/>
  <c r="AR123" i="12"/>
  <c r="AR40" i="12"/>
  <c r="V18" i="18"/>
  <c r="V17" i="18" s="1"/>
  <c r="X20" i="18"/>
  <c r="AF15" i="18"/>
  <c r="Y15" i="18"/>
  <c r="AR151" i="12"/>
  <c r="V48" i="18"/>
  <c r="V47" i="18" s="1"/>
  <c r="V45" i="18"/>
  <c r="V44" i="18" s="1"/>
  <c r="AR140" i="12"/>
  <c r="AT122" i="12"/>
  <c r="AT117" i="12"/>
  <c r="AT111" i="12" s="1"/>
  <c r="AT105" i="12"/>
  <c r="AF28" i="18"/>
  <c r="AT88" i="12"/>
  <c r="X28" i="18" s="1"/>
  <c r="AF14" i="18"/>
  <c r="AT29" i="12"/>
  <c r="X14" i="18" s="1"/>
  <c r="AT168" i="12"/>
  <c r="V43" i="18"/>
  <c r="V42" i="18" s="1"/>
  <c r="AR134" i="12"/>
  <c r="V35" i="18"/>
  <c r="V34" i="18" s="1"/>
  <c r="AR61" i="12"/>
  <c r="V24" i="18"/>
  <c r="V23" i="18" s="1"/>
  <c r="AF21" i="18"/>
  <c r="AT56" i="12"/>
  <c r="X21" i="18" s="1"/>
  <c r="X31" i="18"/>
  <c r="X30" i="18" s="1"/>
  <c r="AT93" i="12"/>
  <c r="AF49" i="18"/>
  <c r="AT159" i="12"/>
  <c r="X49" i="18" s="1"/>
  <c r="AT133" i="12"/>
  <c r="AF22" i="18"/>
  <c r="AT60" i="12"/>
  <c r="X22" i="18" s="1"/>
  <c r="AT44" i="12"/>
  <c r="K18" i="18"/>
  <c r="K17" i="18" s="1"/>
  <c r="AT40" i="1"/>
  <c r="AR284" i="1"/>
  <c r="I88" i="18"/>
  <c r="I87" i="18" s="1"/>
  <c r="BB162" i="1"/>
  <c r="S50" i="18" s="1"/>
  <c r="AT162" i="1"/>
  <c r="K50" i="18" s="1"/>
  <c r="I41" i="18"/>
  <c r="I40" i="18" s="1"/>
  <c r="AR123" i="1"/>
  <c r="I33" i="18"/>
  <c r="I32" i="18" s="1"/>
  <c r="BB88" i="1"/>
  <c r="AT88" i="1"/>
  <c r="BB50" i="1"/>
  <c r="AT50" i="1"/>
  <c r="I67" i="18"/>
  <c r="I66" i="18" s="1"/>
  <c r="AR221" i="1"/>
  <c r="I61" i="18"/>
  <c r="I60" i="18" s="1"/>
  <c r="AR198" i="1"/>
  <c r="AT190" i="1"/>
  <c r="BB190" i="1"/>
  <c r="AT56" i="1"/>
  <c r="K21" i="18" s="1"/>
  <c r="I13" i="18"/>
  <c r="I12" i="18" s="1"/>
  <c r="AR20" i="1"/>
  <c r="I8" i="18"/>
  <c r="I7" i="18" s="1"/>
  <c r="AR6" i="1"/>
  <c r="AR259" i="1"/>
  <c r="AR244" i="1" s="1"/>
  <c r="I80" i="18"/>
  <c r="BB237" i="1"/>
  <c r="AT237" i="1"/>
  <c r="AT231" i="1"/>
  <c r="AT168" i="1"/>
  <c r="BB168" i="1"/>
  <c r="AT139" i="1"/>
  <c r="BB139" i="1"/>
  <c r="BB62" i="1"/>
  <c r="BB77" i="1" s="1"/>
  <c r="BB61" i="1" s="1"/>
  <c r="AT77" i="1"/>
  <c r="AT37" i="1"/>
  <c r="K15" i="18" s="1"/>
  <c r="I48" i="18"/>
  <c r="I47" i="18" s="1"/>
  <c r="AR151" i="1"/>
  <c r="I45" i="18"/>
  <c r="I44" i="18" s="1"/>
  <c r="AR140" i="1"/>
  <c r="BB122" i="1"/>
  <c r="AT122" i="1"/>
  <c r="I11" i="18"/>
  <c r="I10" i="18" s="1"/>
  <c r="AR16" i="1"/>
  <c r="AF5" i="1"/>
  <c r="BB56" i="1"/>
  <c r="S21" i="18" s="1"/>
  <c r="BB40" i="1"/>
  <c r="S18" i="18"/>
  <c r="S17" i="18" s="1"/>
  <c r="BB289" i="1"/>
  <c r="AT289" i="1"/>
  <c r="BB133" i="1"/>
  <c r="AT133" i="1"/>
  <c r="BB105" i="1"/>
  <c r="BB100" i="1" s="1"/>
  <c r="AT105" i="1"/>
  <c r="AT100" i="1" s="1"/>
  <c r="I28" i="18"/>
  <c r="I26" i="18" s="1"/>
  <c r="AR79" i="1"/>
  <c r="AR45" i="1"/>
  <c r="I20" i="18"/>
  <c r="I19" i="18" s="1"/>
  <c r="AT225" i="1"/>
  <c r="BB203" i="1"/>
  <c r="AT203" i="1"/>
  <c r="I56" i="18"/>
  <c r="I55" i="18" s="1"/>
  <c r="AR182" i="1"/>
  <c r="BB159" i="1"/>
  <c r="S49" i="18" s="1"/>
  <c r="AT159" i="1"/>
  <c r="K49" i="18" s="1"/>
  <c r="BB92" i="1"/>
  <c r="S29" i="18" s="1"/>
  <c r="AT92" i="1"/>
  <c r="K29" i="18" s="1"/>
  <c r="AT25" i="1"/>
  <c r="BB11" i="1"/>
  <c r="AT11" i="1"/>
  <c r="AT263" i="1"/>
  <c r="BB263" i="1"/>
  <c r="I71" i="18"/>
  <c r="I70" i="18" s="1"/>
  <c r="AR232" i="1"/>
  <c r="I69" i="18"/>
  <c r="I68" i="18" s="1"/>
  <c r="AR226" i="1"/>
  <c r="S62" i="18"/>
  <c r="I52" i="18"/>
  <c r="I51" i="18" s="1"/>
  <c r="AR163" i="1"/>
  <c r="I43" i="18"/>
  <c r="I42" i="18" s="1"/>
  <c r="AR134" i="1"/>
  <c r="I24" i="18"/>
  <c r="I23" i="18" s="1"/>
  <c r="AR61" i="1"/>
  <c r="BB156" i="1"/>
  <c r="AT156" i="1"/>
  <c r="BB149" i="1"/>
  <c r="AT149" i="1"/>
  <c r="I39" i="18"/>
  <c r="I38" i="18" s="1"/>
  <c r="AR118" i="1"/>
  <c r="I31" i="18"/>
  <c r="AR93" i="1"/>
  <c r="BB29" i="1"/>
  <c r="S14" i="18" s="1"/>
  <c r="AT29" i="1"/>
  <c r="K14" i="18" s="1"/>
  <c r="EK14" i="18" s="1"/>
  <c r="BB19" i="1"/>
  <c r="AT19" i="1"/>
  <c r="L21" i="18"/>
  <c r="EI28" i="18"/>
  <c r="EF73" i="18"/>
  <c r="EF72" i="18" s="1"/>
  <c r="DY69" i="18"/>
  <c r="DY68" i="18" s="1"/>
  <c r="EF65" i="18"/>
  <c r="EF64" i="18" s="1"/>
  <c r="DX67" i="18"/>
  <c r="DX66" i="18" s="1"/>
  <c r="AT221" i="23"/>
  <c r="DX71" i="18"/>
  <c r="DX70" i="18" s="1"/>
  <c r="AT232" i="23"/>
  <c r="J90" i="18"/>
  <c r="J91" i="18" s="1"/>
  <c r="DY73" i="18"/>
  <c r="DY72" i="18" s="1"/>
  <c r="DX69" i="18"/>
  <c r="DX68" i="18" s="1"/>
  <c r="AT226" i="23"/>
  <c r="DX65" i="18"/>
  <c r="DX64" i="18" s="1"/>
  <c r="AT213" i="23"/>
  <c r="DY67" i="18"/>
  <c r="DY66" i="18" s="1"/>
  <c r="DY71" i="18"/>
  <c r="DY70" i="18" s="1"/>
  <c r="DK69" i="18"/>
  <c r="DK68" i="18" s="1"/>
  <c r="AT226" i="22"/>
  <c r="DN62" i="18"/>
  <c r="DS61" i="18"/>
  <c r="DK73" i="18"/>
  <c r="DK72" i="18" s="1"/>
  <c r="AT238" i="22"/>
  <c r="DL67" i="18"/>
  <c r="DL69" i="18"/>
  <c r="DS65" i="18"/>
  <c r="DS64" i="18" s="1"/>
  <c r="DL73" i="18"/>
  <c r="AT221" i="22"/>
  <c r="DK67" i="18"/>
  <c r="DK66" i="18" s="1"/>
  <c r="DF65" i="18"/>
  <c r="DF64" i="18" s="1"/>
  <c r="CX69" i="18"/>
  <c r="CX68" i="18" s="1"/>
  <c r="CY67" i="18"/>
  <c r="CY66" i="18" s="1"/>
  <c r="CX78" i="18"/>
  <c r="CX75" i="18" s="1"/>
  <c r="CY73" i="18"/>
  <c r="CY72" i="18" s="1"/>
  <c r="CX71" i="18"/>
  <c r="CX70" i="18" s="1"/>
  <c r="DF81" i="18"/>
  <c r="CX84" i="18"/>
  <c r="CY69" i="18"/>
  <c r="CY68" i="18" s="1"/>
  <c r="CX67" i="18"/>
  <c r="CX66" i="18" s="1"/>
  <c r="CX73" i="18"/>
  <c r="CX72" i="18" s="1"/>
  <c r="CY71" i="18"/>
  <c r="CY70" i="18" s="1"/>
  <c r="DF80" i="18"/>
  <c r="CS76" i="18"/>
  <c r="CS75" i="18" s="1"/>
  <c r="CI52" i="18"/>
  <c r="AR163" i="17"/>
  <c r="AT117" i="17"/>
  <c r="CI33" i="18"/>
  <c r="CI32" i="18" s="1"/>
  <c r="AR100" i="17"/>
  <c r="AT156" i="17"/>
  <c r="AT149" i="17"/>
  <c r="CI41" i="18"/>
  <c r="CI40" i="18" s="1"/>
  <c r="AR123" i="17"/>
  <c r="CS29" i="18"/>
  <c r="AT92" i="17"/>
  <c r="CK29" i="18" s="1"/>
  <c r="CI43" i="18"/>
  <c r="CI42" i="18" s="1"/>
  <c r="AR134" i="17"/>
  <c r="CI35" i="18"/>
  <c r="CI34" i="18" s="1"/>
  <c r="AR106" i="17"/>
  <c r="AT122" i="17"/>
  <c r="AT99" i="17"/>
  <c r="BB99" i="17" s="1"/>
  <c r="BB93" i="17" s="1"/>
  <c r="AT88" i="17"/>
  <c r="CI26" i="18"/>
  <c r="CK76" i="18"/>
  <c r="CK75" i="18" s="1"/>
  <c r="AT245" i="17"/>
  <c r="AT168" i="17"/>
  <c r="CI37" i="18"/>
  <c r="CI36" i="18" s="1"/>
  <c r="AR111" i="17"/>
  <c r="AT105" i="17"/>
  <c r="CI48" i="18"/>
  <c r="AR151" i="17"/>
  <c r="CI45" i="18"/>
  <c r="CI44" i="18" s="1"/>
  <c r="AR140" i="17"/>
  <c r="AT133" i="17"/>
  <c r="AT268" i="17"/>
  <c r="AU274" i="17"/>
  <c r="AU276" i="17" s="1"/>
  <c r="AU269" i="17" s="1"/>
  <c r="AT276" i="17"/>
  <c r="CK84" i="18" s="1"/>
  <c r="CS49" i="18"/>
  <c r="AT159" i="17"/>
  <c r="CK49" i="18" s="1"/>
  <c r="AT139" i="17"/>
  <c r="AT110" i="17"/>
  <c r="CI39" i="18"/>
  <c r="CI38" i="18" s="1"/>
  <c r="AR118" i="17"/>
  <c r="CI31" i="18"/>
  <c r="CI30" i="18" s="1"/>
  <c r="AR93" i="17"/>
  <c r="AT289" i="17"/>
  <c r="AU279" i="17"/>
  <c r="AU283" i="17" s="1"/>
  <c r="AU277" i="17" s="1"/>
  <c r="AT283" i="17"/>
  <c r="AT273" i="17"/>
  <c r="AR79" i="17"/>
  <c r="BX18" i="18"/>
  <c r="BX17" i="18" s="1"/>
  <c r="AT40" i="16"/>
  <c r="CF80" i="18"/>
  <c r="CF83" i="18"/>
  <c r="CF82" i="18" s="1"/>
  <c r="CF27" i="18"/>
  <c r="BY13" i="18"/>
  <c r="BX76" i="18"/>
  <c r="AT117" i="16"/>
  <c r="AT105" i="16"/>
  <c r="AT133" i="16"/>
  <c r="AT50" i="16"/>
  <c r="AT37" i="16"/>
  <c r="BX15" i="18" s="1"/>
  <c r="BY15" i="18"/>
  <c r="AT19" i="16"/>
  <c r="AW251" i="16"/>
  <c r="AW254" i="16" s="1"/>
  <c r="AT254" i="16"/>
  <c r="BX77" i="18" s="1"/>
  <c r="AU256" i="16"/>
  <c r="AU258" i="16" s="1"/>
  <c r="AT258" i="16"/>
  <c r="BX78" i="18" s="1"/>
  <c r="AT110" i="16"/>
  <c r="BV24" i="18"/>
  <c r="BV23" i="18" s="1"/>
  <c r="AR61" i="16"/>
  <c r="BV9" i="18"/>
  <c r="BV7" i="18" s="1"/>
  <c r="AR6" i="16"/>
  <c r="AT122" i="16"/>
  <c r="BV31" i="18"/>
  <c r="BV30" i="18" s="1"/>
  <c r="AR93" i="16"/>
  <c r="CF28" i="18"/>
  <c r="AT88" i="16"/>
  <c r="BX28" i="18" s="1"/>
  <c r="CF81" i="18"/>
  <c r="AT268" i="16"/>
  <c r="BX81" i="18" s="1"/>
  <c r="BX79" i="18" s="1"/>
  <c r="BY87" i="18"/>
  <c r="CF14" i="18"/>
  <c r="AR79" i="16"/>
  <c r="AR20" i="16"/>
  <c r="AR245" i="16"/>
  <c r="AR244" i="16" s="1"/>
  <c r="CD18" i="18"/>
  <c r="AZ5" i="16"/>
  <c r="AZ292" i="16" s="1"/>
  <c r="BX27" i="18"/>
  <c r="BX13" i="18"/>
  <c r="AT20" i="16"/>
  <c r="CF76" i="18"/>
  <c r="BV37" i="18"/>
  <c r="BV36" i="18" s="1"/>
  <c r="AR111" i="16"/>
  <c r="BV33" i="18"/>
  <c r="BV32" i="18" s="1"/>
  <c r="AR100" i="16"/>
  <c r="CF22" i="18"/>
  <c r="AT60" i="16"/>
  <c r="BX22" i="18" s="1"/>
  <c r="BV41" i="18"/>
  <c r="BV40" i="18" s="1"/>
  <c r="AR123" i="16"/>
  <c r="CF29" i="18"/>
  <c r="AT92" i="16"/>
  <c r="BX29" i="18" s="1"/>
  <c r="BV20" i="18"/>
  <c r="BV19" i="18" s="1"/>
  <c r="AR45" i="16"/>
  <c r="BV11" i="18"/>
  <c r="BV10" i="18" s="1"/>
  <c r="AR16" i="16"/>
  <c r="BV35" i="18"/>
  <c r="BV34" i="18" s="1"/>
  <c r="AR106" i="16"/>
  <c r="AT77" i="16"/>
  <c r="AT15" i="16"/>
  <c r="BV39" i="18"/>
  <c r="BV38" i="18" s="1"/>
  <c r="AR118" i="16"/>
  <c r="AT99" i="16"/>
  <c r="BB99" i="16" s="1"/>
  <c r="BB93" i="16" s="1"/>
  <c r="CF21" i="18"/>
  <c r="AT56" i="16"/>
  <c r="BX21" i="18" s="1"/>
  <c r="BV26" i="18"/>
  <c r="BV12" i="18"/>
  <c r="BV75" i="18"/>
  <c r="BV74" i="18" s="1"/>
  <c r="BS80" i="18"/>
  <c r="BS79" i="18" s="1"/>
  <c r="BN75" i="18"/>
  <c r="BK76" i="18"/>
  <c r="AT237" i="15"/>
  <c r="AT77" i="15"/>
  <c r="BI73" i="18"/>
  <c r="BI72" i="18" s="1"/>
  <c r="AR238" i="15"/>
  <c r="AR226" i="15"/>
  <c r="BI69" i="18"/>
  <c r="BI68" i="18" s="1"/>
  <c r="BI65" i="18"/>
  <c r="BI64" i="18" s="1"/>
  <c r="AR213" i="15"/>
  <c r="AT225" i="15"/>
  <c r="BL81" i="18"/>
  <c r="BL79" i="18" s="1"/>
  <c r="BI71" i="18"/>
  <c r="BI70" i="18" s="1"/>
  <c r="AR232" i="15"/>
  <c r="BI24" i="18"/>
  <c r="BI23" i="18" s="1"/>
  <c r="BI6" i="18" s="1"/>
  <c r="AR61" i="15"/>
  <c r="AR5" i="15" s="1"/>
  <c r="AU274" i="15"/>
  <c r="AU276" i="15" s="1"/>
  <c r="AU269" i="15" s="1"/>
  <c r="AT276" i="15"/>
  <c r="AT243" i="15"/>
  <c r="AT231" i="15"/>
  <c r="AT220" i="15"/>
  <c r="AT254" i="15"/>
  <c r="BK77" i="18" s="1"/>
  <c r="AU278" i="15"/>
  <c r="AU283" i="15" s="1"/>
  <c r="AU277" i="15" s="1"/>
  <c r="AT283" i="15"/>
  <c r="AT289" i="15"/>
  <c r="BS78" i="18"/>
  <c r="AT258" i="15"/>
  <c r="BK78" i="18" s="1"/>
  <c r="BI67" i="18"/>
  <c r="BI66" i="18" s="1"/>
  <c r="AR221" i="15"/>
  <c r="BF78" i="18"/>
  <c r="AT258" i="14"/>
  <c r="AX78" i="18" s="1"/>
  <c r="AU274" i="14"/>
  <c r="AU276" i="14" s="1"/>
  <c r="AU269" i="14" s="1"/>
  <c r="AT276" i="14"/>
  <c r="AT182" i="14"/>
  <c r="AX56" i="18"/>
  <c r="AX55" i="18" s="1"/>
  <c r="AX67" i="18"/>
  <c r="AX66" i="18" s="1"/>
  <c r="AT221" i="14"/>
  <c r="BF80" i="18"/>
  <c r="BF79" i="18" s="1"/>
  <c r="BF83" i="18"/>
  <c r="AT77" i="14"/>
  <c r="AT289" i="14"/>
  <c r="AU246" i="14"/>
  <c r="AU250" i="14" s="1"/>
  <c r="AT250" i="14"/>
  <c r="AU278" i="14"/>
  <c r="AU283" i="14" s="1"/>
  <c r="AU277" i="14" s="1"/>
  <c r="AT283" i="14"/>
  <c r="AY69" i="18"/>
  <c r="AY68" i="18" s="1"/>
  <c r="AY60" i="18"/>
  <c r="BF56" i="18"/>
  <c r="BF55" i="18" s="1"/>
  <c r="AY67" i="18"/>
  <c r="AY66" i="18" s="1"/>
  <c r="AV24" i="18"/>
  <c r="AR61" i="14"/>
  <c r="AR5" i="14" s="1"/>
  <c r="AV87" i="18"/>
  <c r="EI88" i="18"/>
  <c r="EI87" i="18" s="1"/>
  <c r="AV76" i="18"/>
  <c r="AR245" i="14"/>
  <c r="AR244" i="14" s="1"/>
  <c r="AV85" i="18"/>
  <c r="AX69" i="18"/>
  <c r="AX68" i="18" s="1"/>
  <c r="AT226" i="14"/>
  <c r="AL15" i="18"/>
  <c r="AT37" i="13"/>
  <c r="AK15" i="18" s="1"/>
  <c r="EK15" i="18" s="1"/>
  <c r="AK13" i="18"/>
  <c r="AI26" i="18"/>
  <c r="EI27" i="18"/>
  <c r="EI26" i="18" s="1"/>
  <c r="AS43" i="18"/>
  <c r="AI33" i="18"/>
  <c r="AR100" i="13"/>
  <c r="AL75" i="18"/>
  <c r="AQ75" i="18"/>
  <c r="AQ74" i="18" s="1"/>
  <c r="AQ90" i="18" s="1"/>
  <c r="AQ91" i="18" s="1"/>
  <c r="EQ77" i="18"/>
  <c r="EQ75" i="18" s="1"/>
  <c r="EQ74" i="18" s="1"/>
  <c r="AT110" i="13"/>
  <c r="AS21" i="18"/>
  <c r="AT56" i="13"/>
  <c r="AK21" i="18" s="1"/>
  <c r="AT149" i="13"/>
  <c r="AI37" i="18"/>
  <c r="AR111" i="13"/>
  <c r="AI31" i="18"/>
  <c r="AR93" i="13"/>
  <c r="AS28" i="18"/>
  <c r="AT88" i="13"/>
  <c r="AK28" i="18" s="1"/>
  <c r="AK27" i="18"/>
  <c r="AI41" i="18"/>
  <c r="AR123" i="13"/>
  <c r="AI39" i="18"/>
  <c r="AR118" i="13"/>
  <c r="AT44" i="13"/>
  <c r="AT19" i="13"/>
  <c r="AT50" i="13"/>
  <c r="AS9" i="18"/>
  <c r="AT15" i="13"/>
  <c r="AK9" i="18" s="1"/>
  <c r="AL83" i="18"/>
  <c r="AS14" i="18"/>
  <c r="AR20" i="13"/>
  <c r="AS22" i="18"/>
  <c r="AT60" i="13"/>
  <c r="AK22" i="18" s="1"/>
  <c r="AL86" i="18"/>
  <c r="AL13" i="18"/>
  <c r="AU5" i="13"/>
  <c r="AK43" i="18"/>
  <c r="AT134" i="13"/>
  <c r="AS76" i="18"/>
  <c r="AS75" i="18" s="1"/>
  <c r="AT105" i="13"/>
  <c r="AI35" i="18"/>
  <c r="AR106" i="13"/>
  <c r="AS29" i="18"/>
  <c r="AT92" i="13"/>
  <c r="AK29" i="18" s="1"/>
  <c r="AP21" i="18"/>
  <c r="AY5" i="13"/>
  <c r="AY292" i="13" s="1"/>
  <c r="AI45" i="18"/>
  <c r="AR140" i="13"/>
  <c r="AT117" i="13"/>
  <c r="AS27" i="18"/>
  <c r="AI42" i="18"/>
  <c r="AT133" i="13"/>
  <c r="AT122" i="13"/>
  <c r="AI18" i="18"/>
  <c r="AR40" i="13"/>
  <c r="AI11" i="18"/>
  <c r="AI10" i="18" s="1"/>
  <c r="AR16" i="13"/>
  <c r="AR6" i="13"/>
  <c r="AI20" i="18"/>
  <c r="AR45" i="13"/>
  <c r="AS88" i="18"/>
  <c r="AS87" i="18" s="1"/>
  <c r="AS83" i="18"/>
  <c r="AS82" i="18" s="1"/>
  <c r="AU244" i="13"/>
  <c r="AS16" i="18"/>
  <c r="AI12" i="18"/>
  <c r="V11" i="18"/>
  <c r="AR16" i="12"/>
  <c r="Y23" i="18"/>
  <c r="EL24" i="18"/>
  <c r="EL23" i="18" s="1"/>
  <c r="AF76" i="18"/>
  <c r="AF27" i="18"/>
  <c r="V56" i="18"/>
  <c r="AR182" i="12"/>
  <c r="AR150" i="12" s="1"/>
  <c r="AT25" i="12"/>
  <c r="V9" i="18"/>
  <c r="AR6" i="12"/>
  <c r="AT243" i="12"/>
  <c r="V65" i="18"/>
  <c r="AR213" i="12"/>
  <c r="AT225" i="12"/>
  <c r="AT203" i="12"/>
  <c r="AR232" i="12"/>
  <c r="V71" i="18"/>
  <c r="V69" i="18"/>
  <c r="AR226" i="12"/>
  <c r="AF80" i="18"/>
  <c r="AF79" i="18" s="1"/>
  <c r="AF83" i="18"/>
  <c r="AF82" i="18" s="1"/>
  <c r="AF88" i="18"/>
  <c r="V67" i="18"/>
  <c r="AR221" i="12"/>
  <c r="AF63" i="18"/>
  <c r="ES63" i="18" s="1"/>
  <c r="AT212" i="12"/>
  <c r="X63" i="18" s="1"/>
  <c r="EK63" i="18" s="1"/>
  <c r="EW63" i="18" s="1"/>
  <c r="V61" i="18"/>
  <c r="AR198" i="12"/>
  <c r="AT237" i="12"/>
  <c r="AT231" i="12"/>
  <c r="AT19" i="12"/>
  <c r="X76" i="18"/>
  <c r="AT245" i="12"/>
  <c r="AT244" i="12" s="1"/>
  <c r="X27" i="18"/>
  <c r="V13" i="18"/>
  <c r="AR20" i="12"/>
  <c r="AT15" i="12"/>
  <c r="V73" i="18"/>
  <c r="AR238" i="12"/>
  <c r="AT220" i="12"/>
  <c r="X62" i="18"/>
  <c r="AU198" i="23" l="1"/>
  <c r="AU197" i="23" s="1"/>
  <c r="BB24" i="15"/>
  <c r="BB25" i="15" s="1"/>
  <c r="BB199" i="15"/>
  <c r="BB203" i="15" s="1"/>
  <c r="AR5" i="12"/>
  <c r="AR150" i="17"/>
  <c r="AR78" i="14"/>
  <c r="EL16" i="18"/>
  <c r="EW16" i="18" s="1"/>
  <c r="BB233" i="17"/>
  <c r="BB237" i="17" s="1"/>
  <c r="BB232" i="17" s="1"/>
  <c r="BB222" i="16"/>
  <c r="BB225" i="16" s="1"/>
  <c r="BB221" i="16" s="1"/>
  <c r="BB239" i="13"/>
  <c r="BB243" i="13" s="1"/>
  <c r="BB238" i="13" s="1"/>
  <c r="BB24" i="12"/>
  <c r="BB25" i="12" s="1"/>
  <c r="BB20" i="12" s="1"/>
  <c r="BB5" i="12" s="1"/>
  <c r="BB227" i="16"/>
  <c r="BB231" i="16" s="1"/>
  <c r="BB226" i="16" s="1"/>
  <c r="BB227" i="13"/>
  <c r="BB231" i="13" s="1"/>
  <c r="BB226" i="13" s="1"/>
  <c r="BB240" i="12"/>
  <c r="BB243" i="12" s="1"/>
  <c r="BB238" i="12" s="1"/>
  <c r="BB227" i="12"/>
  <c r="BB231" i="12" s="1"/>
  <c r="BB226" i="12" s="1"/>
  <c r="H74" i="18"/>
  <c r="BB31" i="17"/>
  <c r="BB37" i="17" s="1"/>
  <c r="BB239" i="17"/>
  <c r="BB243" i="17" s="1"/>
  <c r="BB238" i="17" s="1"/>
  <c r="CV74" i="18"/>
  <c r="EH74" i="18"/>
  <c r="EK21" i="18"/>
  <c r="EI86" i="18"/>
  <c r="EI85" i="18" s="1"/>
  <c r="EK49" i="18"/>
  <c r="EW49" i="18" s="1"/>
  <c r="DF79" i="18"/>
  <c r="EO6" i="18"/>
  <c r="EO90" i="18" s="1"/>
  <c r="EJ60" i="18"/>
  <c r="EJ59" i="18" s="1"/>
  <c r="EI43" i="18"/>
  <c r="EI42" i="18" s="1"/>
  <c r="CX60" i="18"/>
  <c r="EH47" i="18"/>
  <c r="AK12" i="18"/>
  <c r="BB21" i="1"/>
  <c r="AR78" i="13"/>
  <c r="EI62" i="18"/>
  <c r="AX26" i="18"/>
  <c r="BB233" i="16"/>
  <c r="BB237" i="16" s="1"/>
  <c r="BB232" i="16" s="1"/>
  <c r="BB223" i="15"/>
  <c r="BB225" i="15" s="1"/>
  <c r="BB221" i="15" s="1"/>
  <c r="H90" i="18"/>
  <c r="H91" i="18" s="1"/>
  <c r="BK84" i="18"/>
  <c r="BK82" i="18" s="1"/>
  <c r="AT269" i="15"/>
  <c r="CK88" i="18"/>
  <c r="CK87" i="18" s="1"/>
  <c r="AT284" i="17"/>
  <c r="CX86" i="18"/>
  <c r="CX85" i="18" s="1"/>
  <c r="CX83" i="18"/>
  <c r="CX82" i="18" s="1"/>
  <c r="AU277" i="23"/>
  <c r="AU244" i="23" s="1"/>
  <c r="DY86" i="18"/>
  <c r="DY85" i="18" s="1"/>
  <c r="DY74" i="18" s="1"/>
  <c r="AU259" i="22"/>
  <c r="DL81" i="18"/>
  <c r="AL12" i="18"/>
  <c r="AL6" i="18" s="1"/>
  <c r="AT20" i="13"/>
  <c r="AR78" i="17"/>
  <c r="AR78" i="12"/>
  <c r="AR150" i="14"/>
  <c r="AR5" i="23"/>
  <c r="AT20" i="23"/>
  <c r="BB199" i="23"/>
  <c r="BB203" i="23" s="1"/>
  <c r="BB204" i="13"/>
  <c r="BB209" i="13" s="1"/>
  <c r="BB198" i="13" s="1"/>
  <c r="BB274" i="14"/>
  <c r="BB276" i="14" s="1"/>
  <c r="AU197" i="16"/>
  <c r="BB239" i="16"/>
  <c r="BB243" i="16" s="1"/>
  <c r="BB238" i="16" s="1"/>
  <c r="BB31" i="15"/>
  <c r="BB37" i="15" s="1"/>
  <c r="BB20" i="15" s="1"/>
  <c r="BB5" i="15" s="1"/>
  <c r="BB222" i="13"/>
  <c r="BB225" i="13" s="1"/>
  <c r="BB221" i="13" s="1"/>
  <c r="BB222" i="12"/>
  <c r="BB225" i="12" s="1"/>
  <c r="BB221" i="12" s="1"/>
  <c r="DX74" i="18"/>
  <c r="AT244" i="22"/>
  <c r="EJ75" i="18"/>
  <c r="EJ74" i="18" s="1"/>
  <c r="BB192" i="17"/>
  <c r="BB193" i="17" s="1"/>
  <c r="BB182" i="17" s="1"/>
  <c r="BB150" i="17" s="1"/>
  <c r="BB24" i="17"/>
  <c r="BB25" i="17" s="1"/>
  <c r="BB20" i="17" s="1"/>
  <c r="BB5" i="17" s="1"/>
  <c r="BB239" i="15"/>
  <c r="BB243" i="15" s="1"/>
  <c r="BB238" i="15" s="1"/>
  <c r="BB269" i="13"/>
  <c r="BB244" i="13" s="1"/>
  <c r="AT79" i="12"/>
  <c r="BB239" i="1"/>
  <c r="BB243" i="1" s="1"/>
  <c r="AX86" i="18"/>
  <c r="AT277" i="14"/>
  <c r="AX88" i="18"/>
  <c r="AT284" i="14"/>
  <c r="AX84" i="18"/>
  <c r="AT269" i="14"/>
  <c r="CY88" i="18"/>
  <c r="AW245" i="22"/>
  <c r="AW244" i="22" s="1"/>
  <c r="DN77" i="18"/>
  <c r="DN75" i="18" s="1"/>
  <c r="DN74" i="18" s="1"/>
  <c r="BB277" i="22"/>
  <c r="DS86" i="18"/>
  <c r="DS85" i="18" s="1"/>
  <c r="AT100" i="15"/>
  <c r="AT78" i="15" s="1"/>
  <c r="BK33" i="18"/>
  <c r="BK32" i="18" s="1"/>
  <c r="AS8" i="18"/>
  <c r="BB6" i="13"/>
  <c r="BB259" i="22"/>
  <c r="DS81" i="18"/>
  <c r="DS79" i="18" s="1"/>
  <c r="BB105" i="14"/>
  <c r="BB100" i="14" s="1"/>
  <c r="BB78" i="14" s="1"/>
  <c r="AW292" i="22"/>
  <c r="BB78" i="17"/>
  <c r="BB246" i="14"/>
  <c r="BB250" i="14" s="1"/>
  <c r="BB245" i="14" s="1"/>
  <c r="BB278" i="14"/>
  <c r="BB283" i="14" s="1"/>
  <c r="BB277" i="14" s="1"/>
  <c r="AU197" i="17"/>
  <c r="BB197" i="12"/>
  <c r="CJ59" i="18"/>
  <c r="CJ90" i="18" s="1"/>
  <c r="CJ91" i="18" s="1"/>
  <c r="BK86" i="18"/>
  <c r="BK85" i="18" s="1"/>
  <c r="AT277" i="15"/>
  <c r="CK86" i="18"/>
  <c r="CK85" i="18" s="1"/>
  <c r="AT277" i="17"/>
  <c r="CX88" i="18"/>
  <c r="CX87" i="18" s="1"/>
  <c r="BB6" i="14"/>
  <c r="BF8" i="18"/>
  <c r="BB245" i="22"/>
  <c r="BB244" i="22" s="1"/>
  <c r="DS77" i="18"/>
  <c r="DS75" i="18" s="1"/>
  <c r="AU277" i="22"/>
  <c r="DL86" i="18"/>
  <c r="DL85" i="18" s="1"/>
  <c r="BB105" i="15"/>
  <c r="BS33" i="18" s="1"/>
  <c r="BS32" i="18" s="1"/>
  <c r="BS25" i="18" s="1"/>
  <c r="EK78" i="18"/>
  <c r="AT197" i="22"/>
  <c r="AK51" i="18"/>
  <c r="ES54" i="18"/>
  <c r="EX54" i="18" s="1"/>
  <c r="CI6" i="18"/>
  <c r="CV25" i="18"/>
  <c r="DS26" i="18"/>
  <c r="DQ91" i="18"/>
  <c r="BB197" i="22"/>
  <c r="CU90" i="18"/>
  <c r="CU91" i="18" s="1"/>
  <c r="BB204" i="16"/>
  <c r="BB209" i="16" s="1"/>
  <c r="BB198" i="16" s="1"/>
  <c r="BB197" i="16" s="1"/>
  <c r="BB251" i="16"/>
  <c r="BB254" i="16" s="1"/>
  <c r="BB30" i="14"/>
  <c r="BB37" i="14" s="1"/>
  <c r="BB20" i="14" s="1"/>
  <c r="BB30" i="16"/>
  <c r="BB37" i="16" s="1"/>
  <c r="BB20" i="16" s="1"/>
  <c r="BB5" i="16" s="1"/>
  <c r="BB234" i="15"/>
  <c r="BB237" i="15" s="1"/>
  <c r="BB232" i="15" s="1"/>
  <c r="BB31" i="13"/>
  <c r="BB37" i="13" s="1"/>
  <c r="BB20" i="13" s="1"/>
  <c r="BB278" i="15"/>
  <c r="BB283" i="15" s="1"/>
  <c r="BB277" i="15" s="1"/>
  <c r="BB222" i="17"/>
  <c r="BB225" i="17" s="1"/>
  <c r="BB221" i="17" s="1"/>
  <c r="BB233" i="13"/>
  <c r="BB237" i="13" s="1"/>
  <c r="BB232" i="13" s="1"/>
  <c r="BB215" i="15"/>
  <c r="BB220" i="15" s="1"/>
  <c r="BB213" i="15" s="1"/>
  <c r="BB256" i="16"/>
  <c r="BB258" i="16" s="1"/>
  <c r="CF78" i="18" s="1"/>
  <c r="ES78" i="18" s="1"/>
  <c r="BB222" i="1"/>
  <c r="BK88" i="18"/>
  <c r="BK87" i="18" s="1"/>
  <c r="AT284" i="15"/>
  <c r="CK83" i="18"/>
  <c r="CK82" i="18" s="1"/>
  <c r="AT269" i="17"/>
  <c r="AV82" i="18"/>
  <c r="EI84" i="18"/>
  <c r="BB277" i="23"/>
  <c r="BB244" i="23" s="1"/>
  <c r="EF86" i="18"/>
  <c r="EF85" i="18" s="1"/>
  <c r="EF74" i="18" s="1"/>
  <c r="BB198" i="17"/>
  <c r="CS61" i="18"/>
  <c r="BB292" i="12"/>
  <c r="BB274" i="15"/>
  <c r="BB276" i="15" s="1"/>
  <c r="BB269" i="15" s="1"/>
  <c r="EH46" i="18"/>
  <c r="AU197" i="12"/>
  <c r="BB279" i="17"/>
  <c r="BB283" i="17" s="1"/>
  <c r="BB277" i="17" s="1"/>
  <c r="AT244" i="23"/>
  <c r="DK74" i="18"/>
  <c r="DW91" i="18"/>
  <c r="BB78" i="16"/>
  <c r="BB274" i="17"/>
  <c r="BB276" i="17" s="1"/>
  <c r="BB269" i="17" s="1"/>
  <c r="BB244" i="17" s="1"/>
  <c r="EH59" i="18"/>
  <c r="BB198" i="15"/>
  <c r="CX81" i="18"/>
  <c r="CX79" i="18" s="1"/>
  <c r="CI79" i="18"/>
  <c r="CI74" i="18" s="1"/>
  <c r="EI81" i="18"/>
  <c r="CK81" i="18"/>
  <c r="AT259" i="17"/>
  <c r="AT244" i="17" s="1"/>
  <c r="AT259" i="16"/>
  <c r="BB150" i="22"/>
  <c r="DV23" i="18"/>
  <c r="DV51" i="18"/>
  <c r="DV36" i="18"/>
  <c r="DV47" i="18"/>
  <c r="DV40" i="18"/>
  <c r="BB139" i="23"/>
  <c r="BB134" i="23" s="1"/>
  <c r="BB78" i="23" s="1"/>
  <c r="BB30" i="23"/>
  <c r="BB37" i="23" s="1"/>
  <c r="BB20" i="23" s="1"/>
  <c r="BB5" i="23" s="1"/>
  <c r="BB205" i="23"/>
  <c r="BB209" i="23" s="1"/>
  <c r="BB198" i="23" s="1"/>
  <c r="BB197" i="23" s="1"/>
  <c r="DV42" i="18"/>
  <c r="DV7" i="18"/>
  <c r="DV6" i="18" s="1"/>
  <c r="DV55" i="18"/>
  <c r="DV44" i="18"/>
  <c r="DV38" i="18"/>
  <c r="DV60" i="18"/>
  <c r="DV59" i="18" s="1"/>
  <c r="DL66" i="18"/>
  <c r="DI47" i="18"/>
  <c r="DI51" i="18"/>
  <c r="DI23" i="18"/>
  <c r="DI30" i="18"/>
  <c r="DI36" i="18"/>
  <c r="DL72" i="18"/>
  <c r="DL68" i="18"/>
  <c r="DI55" i="18"/>
  <c r="DI34" i="18"/>
  <c r="DI42" i="18"/>
  <c r="DI19" i="18"/>
  <c r="DI32" i="18"/>
  <c r="DI40" i="18"/>
  <c r="DI38" i="18"/>
  <c r="DI7" i="18"/>
  <c r="BB40" i="22"/>
  <c r="DS18" i="18"/>
  <c r="DS17" i="18" s="1"/>
  <c r="EX63" i="18"/>
  <c r="BB20" i="22"/>
  <c r="DI44" i="18"/>
  <c r="BV25" i="18"/>
  <c r="BI46" i="18"/>
  <c r="AV32" i="18"/>
  <c r="BC91" i="18"/>
  <c r="AV30" i="18"/>
  <c r="I30" i="18"/>
  <c r="EI56" i="18"/>
  <c r="V55" i="18"/>
  <c r="V46" i="18" s="1"/>
  <c r="EL83" i="18"/>
  <c r="AL82" i="18"/>
  <c r="BN74" i="18"/>
  <c r="BN90" i="18" s="1"/>
  <c r="BN91" i="18" s="1"/>
  <c r="EI83" i="18"/>
  <c r="I82" i="18"/>
  <c r="CV46" i="18"/>
  <c r="EI80" i="18"/>
  <c r="I79" i="18"/>
  <c r="BA74" i="18"/>
  <c r="BA90" i="18" s="1"/>
  <c r="BA91" i="18" s="1"/>
  <c r="CF79" i="18"/>
  <c r="AR292" i="14"/>
  <c r="DS62" i="18"/>
  <c r="DA62" i="18"/>
  <c r="DA60" i="18" s="1"/>
  <c r="DA59" i="18" s="1"/>
  <c r="DA90" i="18" s="1"/>
  <c r="BV59" i="18"/>
  <c r="BF73" i="18"/>
  <c r="BF72" i="18" s="1"/>
  <c r="AX62" i="18"/>
  <c r="AX60" i="18" s="1"/>
  <c r="AX59" i="18" s="1"/>
  <c r="AT198" i="14"/>
  <c r="AT197" i="14" s="1"/>
  <c r="BF62" i="18"/>
  <c r="BF60" i="18" s="1"/>
  <c r="AU292" i="13"/>
  <c r="AF62" i="18"/>
  <c r="AR150" i="22"/>
  <c r="EK57" i="18"/>
  <c r="ES16" i="18"/>
  <c r="EX16" i="18" s="1"/>
  <c r="ES29" i="18"/>
  <c r="ES22" i="18"/>
  <c r="ES50" i="18"/>
  <c r="AR5" i="17"/>
  <c r="CS57" i="18"/>
  <c r="AS26" i="18"/>
  <c r="ES49" i="18"/>
  <c r="EX49" i="18" s="1"/>
  <c r="DY62" i="18"/>
  <c r="AT123" i="23"/>
  <c r="DX41" i="18"/>
  <c r="DX40" i="18" s="1"/>
  <c r="AT198" i="23"/>
  <c r="AT197" i="23" s="1"/>
  <c r="DX61" i="18"/>
  <c r="DX60" i="18" s="1"/>
  <c r="DX59" i="18" s="1"/>
  <c r="EF41" i="18"/>
  <c r="EF40" i="18" s="1"/>
  <c r="DV25" i="18"/>
  <c r="AR78" i="22"/>
  <c r="DF57" i="18"/>
  <c r="CX28" i="18"/>
  <c r="CX26" i="18" s="1"/>
  <c r="CY61" i="18"/>
  <c r="CY60" i="18" s="1"/>
  <c r="DF43" i="18"/>
  <c r="DF42" i="18" s="1"/>
  <c r="DF28" i="18"/>
  <c r="DF26" i="18" s="1"/>
  <c r="CX43" i="18"/>
  <c r="CX42" i="18" s="1"/>
  <c r="CS62" i="18"/>
  <c r="CS60" i="18" s="1"/>
  <c r="CS65" i="18"/>
  <c r="CS64" i="18" s="1"/>
  <c r="CN62" i="18"/>
  <c r="CN60" i="18" s="1"/>
  <c r="CN59" i="18" s="1"/>
  <c r="CN90" i="18" s="1"/>
  <c r="CN91" i="18" s="1"/>
  <c r="CL65" i="18"/>
  <c r="CL64" i="18" s="1"/>
  <c r="BX71" i="18"/>
  <c r="BX70" i="18" s="1"/>
  <c r="AT232" i="16"/>
  <c r="BY57" i="18"/>
  <c r="BY55" i="18" s="1"/>
  <c r="BY46" i="18" s="1"/>
  <c r="BX73" i="18"/>
  <c r="BX72" i="18" s="1"/>
  <c r="AT238" i="16"/>
  <c r="BK25" i="18"/>
  <c r="AY59" i="18"/>
  <c r="S65" i="18"/>
  <c r="S64" i="18" s="1"/>
  <c r="BB213" i="1"/>
  <c r="K76" i="18"/>
  <c r="K75" i="18" s="1"/>
  <c r="AT245" i="1"/>
  <c r="K73" i="18"/>
  <c r="K72" i="18" s="1"/>
  <c r="AT238" i="1"/>
  <c r="S83" i="18"/>
  <c r="S82" i="18" s="1"/>
  <c r="BB269" i="1"/>
  <c r="K65" i="18"/>
  <c r="K64" i="18" s="1"/>
  <c r="AT213" i="1"/>
  <c r="BB245" i="1"/>
  <c r="S76" i="18"/>
  <c r="S75" i="18" s="1"/>
  <c r="K83" i="18"/>
  <c r="AT269" i="1"/>
  <c r="ED18" i="18"/>
  <c r="ED17" i="18" s="1"/>
  <c r="ED6" i="18" s="1"/>
  <c r="ED90" i="18" s="1"/>
  <c r="AZ5" i="23"/>
  <c r="AZ292" i="23" s="1"/>
  <c r="EC24" i="18"/>
  <c r="EC23" i="18" s="1"/>
  <c r="DX39" i="18"/>
  <c r="DX38" i="18" s="1"/>
  <c r="AT118" i="23"/>
  <c r="EC21" i="18"/>
  <c r="EC19" i="18" s="1"/>
  <c r="DX43" i="18"/>
  <c r="DX42" i="18" s="1"/>
  <c r="AT134" i="23"/>
  <c r="DX8" i="18"/>
  <c r="DX7" i="18" s="1"/>
  <c r="AT6" i="23"/>
  <c r="DY15" i="18"/>
  <c r="EF15" i="18"/>
  <c r="DX52" i="18"/>
  <c r="DX51" i="18" s="1"/>
  <c r="AT163" i="23"/>
  <c r="EF56" i="18"/>
  <c r="EF55" i="18" s="1"/>
  <c r="DY14" i="18"/>
  <c r="DX37" i="18"/>
  <c r="DX36" i="18" s="1"/>
  <c r="AT111" i="23"/>
  <c r="EF45" i="18"/>
  <c r="EF44" i="18" s="1"/>
  <c r="EF48" i="18"/>
  <c r="EF47" i="18" s="1"/>
  <c r="DX12" i="18"/>
  <c r="DX26" i="18"/>
  <c r="EF18" i="18"/>
  <c r="EF17" i="18" s="1"/>
  <c r="EF24" i="18"/>
  <c r="EF23" i="18" s="1"/>
  <c r="EF39" i="18"/>
  <c r="EF38" i="18" s="1"/>
  <c r="EF21" i="18"/>
  <c r="EF19" i="18" s="1"/>
  <c r="EF43" i="18"/>
  <c r="EF42" i="18" s="1"/>
  <c r="EF52" i="18"/>
  <c r="EF51" i="18" s="1"/>
  <c r="DX56" i="18"/>
  <c r="DX55" i="18" s="1"/>
  <c r="AT182" i="23"/>
  <c r="EF14" i="18"/>
  <c r="EF37" i="18"/>
  <c r="EF36" i="18" s="1"/>
  <c r="DX45" i="18"/>
  <c r="DX44" i="18" s="1"/>
  <c r="AT140" i="23"/>
  <c r="DX48" i="18"/>
  <c r="DX47" i="18" s="1"/>
  <c r="AT151" i="23"/>
  <c r="AR150" i="23"/>
  <c r="AR292" i="23" s="1"/>
  <c r="AT79" i="23"/>
  <c r="DS41" i="18"/>
  <c r="DS40" i="18" s="1"/>
  <c r="DK52" i="18"/>
  <c r="DK51" i="18" s="1"/>
  <c r="AT163" i="22"/>
  <c r="DP24" i="18"/>
  <c r="DP23" i="18" s="1"/>
  <c r="DS31" i="18"/>
  <c r="DS30" i="18" s="1"/>
  <c r="DS39" i="18"/>
  <c r="DS38" i="18" s="1"/>
  <c r="DS45" i="18"/>
  <c r="DS44" i="18" s="1"/>
  <c r="DK8" i="18"/>
  <c r="DK7" i="18" s="1"/>
  <c r="AT6" i="22"/>
  <c r="DS37" i="18"/>
  <c r="DS36" i="18" s="1"/>
  <c r="DL14" i="18"/>
  <c r="AU5" i="22"/>
  <c r="DP21" i="18"/>
  <c r="DP19" i="18" s="1"/>
  <c r="DS48" i="18"/>
  <c r="DS47" i="18" s="1"/>
  <c r="DK58" i="18"/>
  <c r="DK55" i="18" s="1"/>
  <c r="AT182" i="22"/>
  <c r="DS35" i="18"/>
  <c r="DS34" i="18" s="1"/>
  <c r="DS43" i="18"/>
  <c r="DS42" i="18" s="1"/>
  <c r="DK20" i="18"/>
  <c r="DK19" i="18" s="1"/>
  <c r="AT45" i="22"/>
  <c r="DS33" i="18"/>
  <c r="DS32" i="18" s="1"/>
  <c r="DK59" i="18"/>
  <c r="DK26" i="18"/>
  <c r="DI6" i="18"/>
  <c r="DK41" i="18"/>
  <c r="DK40" i="18" s="1"/>
  <c r="AT123" i="22"/>
  <c r="DS52" i="18"/>
  <c r="DS51" i="18" s="1"/>
  <c r="DS24" i="18"/>
  <c r="DS23" i="18" s="1"/>
  <c r="DK31" i="18"/>
  <c r="DK30" i="18" s="1"/>
  <c r="AT93" i="22"/>
  <c r="DK39" i="18"/>
  <c r="DK38" i="18" s="1"/>
  <c r="AT118" i="22"/>
  <c r="DK45" i="18"/>
  <c r="DK44" i="18" s="1"/>
  <c r="AT140" i="22"/>
  <c r="DS8" i="18"/>
  <c r="DS7" i="18" s="1"/>
  <c r="DK37" i="18"/>
  <c r="DK36" i="18" s="1"/>
  <c r="AT111" i="22"/>
  <c r="DS14" i="18"/>
  <c r="DS12" i="18" s="1"/>
  <c r="AT151" i="22"/>
  <c r="DK48" i="18"/>
  <c r="DK47" i="18" s="1"/>
  <c r="DS58" i="18"/>
  <c r="DS55" i="18" s="1"/>
  <c r="DK35" i="18"/>
  <c r="DK34" i="18" s="1"/>
  <c r="AT106" i="22"/>
  <c r="DK43" i="18"/>
  <c r="DK42" i="18" s="1"/>
  <c r="AT134" i="22"/>
  <c r="DS20" i="18"/>
  <c r="DS19" i="18" s="1"/>
  <c r="DK33" i="18"/>
  <c r="DK32" i="18" s="1"/>
  <c r="AT100" i="22"/>
  <c r="DI46" i="18"/>
  <c r="AT79" i="22"/>
  <c r="AR5" i="22"/>
  <c r="AR292" i="22" s="1"/>
  <c r="CX8" i="18"/>
  <c r="CX7" i="18" s="1"/>
  <c r="DF41" i="18"/>
  <c r="DF40" i="18" s="1"/>
  <c r="DC21" i="18"/>
  <c r="DC19" i="18" s="1"/>
  <c r="DF11" i="18"/>
  <c r="DF10" i="18" s="1"/>
  <c r="CX20" i="18"/>
  <c r="CX19" i="18" s="1"/>
  <c r="DC24" i="18"/>
  <c r="DC23" i="18" s="1"/>
  <c r="DF31" i="18"/>
  <c r="DF30" i="18" s="1"/>
  <c r="DF35" i="18"/>
  <c r="DF34" i="18" s="1"/>
  <c r="DF18" i="18"/>
  <c r="DF17" i="18" s="1"/>
  <c r="DF48" i="18"/>
  <c r="DF47" i="18" s="1"/>
  <c r="DF37" i="18"/>
  <c r="DF36" i="18" s="1"/>
  <c r="CX45" i="18"/>
  <c r="CX44" i="18" s="1"/>
  <c r="CX52" i="18"/>
  <c r="CX51" i="18" s="1"/>
  <c r="DF56" i="18"/>
  <c r="DF55" i="18" s="1"/>
  <c r="CX33" i="18"/>
  <c r="CX32" i="18" s="1"/>
  <c r="CX12" i="18"/>
  <c r="DF8" i="18"/>
  <c r="DF7" i="18" s="1"/>
  <c r="CX41" i="18"/>
  <c r="CX40" i="18" s="1"/>
  <c r="CX11" i="18"/>
  <c r="CX10" i="18" s="1"/>
  <c r="DF20" i="18"/>
  <c r="DF19" i="18" s="1"/>
  <c r="DF24" i="18"/>
  <c r="DF23" i="18" s="1"/>
  <c r="CX31" i="18"/>
  <c r="CX30" i="18" s="1"/>
  <c r="CX35" i="18"/>
  <c r="CX34" i="18" s="1"/>
  <c r="CX18" i="18"/>
  <c r="CX17" i="18" s="1"/>
  <c r="CX48" i="18"/>
  <c r="CX47" i="18" s="1"/>
  <c r="CX37" i="18"/>
  <c r="CX36" i="18" s="1"/>
  <c r="DF52" i="18"/>
  <c r="DF51" i="18" s="1"/>
  <c r="CX56" i="18"/>
  <c r="CX55" i="18" s="1"/>
  <c r="DF33" i="18"/>
  <c r="DF32" i="18" s="1"/>
  <c r="CX59" i="18"/>
  <c r="CV6" i="18"/>
  <c r="CV90" i="18" s="1"/>
  <c r="CV91" i="18" s="1"/>
  <c r="AT40" i="17"/>
  <c r="CK18" i="18"/>
  <c r="CK17" i="18" s="1"/>
  <c r="CK56" i="18"/>
  <c r="CK55" i="18" s="1"/>
  <c r="AT182" i="17"/>
  <c r="CK8" i="18"/>
  <c r="CK7" i="18" s="1"/>
  <c r="AT6" i="17"/>
  <c r="CP21" i="18"/>
  <c r="CP19" i="18" s="1"/>
  <c r="CS15" i="18"/>
  <c r="CL15" i="18"/>
  <c r="AT45" i="17"/>
  <c r="CK20" i="18"/>
  <c r="CK19" i="18" s="1"/>
  <c r="CS24" i="18"/>
  <c r="CS23" i="18" s="1"/>
  <c r="AT232" i="17"/>
  <c r="CK71" i="18"/>
  <c r="CK70" i="18" s="1"/>
  <c r="CI59" i="18"/>
  <c r="CK67" i="18"/>
  <c r="CK66" i="18" s="1"/>
  <c r="AT221" i="17"/>
  <c r="CS18" i="18"/>
  <c r="CS17" i="18" s="1"/>
  <c r="CS56" i="18"/>
  <c r="AT238" i="17"/>
  <c r="CK73" i="18"/>
  <c r="CK72" i="18" s="1"/>
  <c r="CS8" i="18"/>
  <c r="CS7" i="18" s="1"/>
  <c r="AT20" i="17"/>
  <c r="CK13" i="18"/>
  <c r="CK12" i="18" s="1"/>
  <c r="CS20" i="18"/>
  <c r="CS19" i="18" s="1"/>
  <c r="AY5" i="17"/>
  <c r="AY292" i="17" s="1"/>
  <c r="CP24" i="18"/>
  <c r="CP23" i="18" s="1"/>
  <c r="AR197" i="17"/>
  <c r="CF48" i="18"/>
  <c r="CF47" i="18" s="1"/>
  <c r="CF56" i="18"/>
  <c r="CF55" i="18" s="1"/>
  <c r="CF45" i="18"/>
  <c r="CF44" i="18" s="1"/>
  <c r="CF61" i="18"/>
  <c r="CF65" i="18"/>
  <c r="CF64" i="18" s="1"/>
  <c r="CF43" i="18"/>
  <c r="CF42" i="18" s="1"/>
  <c r="CF52" i="18"/>
  <c r="CF51" i="18" s="1"/>
  <c r="AT226" i="16"/>
  <c r="BX69" i="18"/>
  <c r="BX68" i="18" s="1"/>
  <c r="AU5" i="16"/>
  <c r="BV46" i="18"/>
  <c r="BX48" i="18"/>
  <c r="BX47" i="18" s="1"/>
  <c r="AT151" i="16"/>
  <c r="BX56" i="18"/>
  <c r="BX55" i="18" s="1"/>
  <c r="AT182" i="16"/>
  <c r="BX45" i="18"/>
  <c r="BX44" i="18" s="1"/>
  <c r="AT140" i="16"/>
  <c r="BX61" i="18"/>
  <c r="BX60" i="18" s="1"/>
  <c r="AT198" i="16"/>
  <c r="AT213" i="16"/>
  <c r="BX65" i="18"/>
  <c r="BX64" i="18" s="1"/>
  <c r="BX43" i="18"/>
  <c r="BX42" i="18" s="1"/>
  <c r="AT134" i="16"/>
  <c r="BX52" i="18"/>
  <c r="BX51" i="18" s="1"/>
  <c r="AT163" i="16"/>
  <c r="BX67" i="18"/>
  <c r="BX66" i="18" s="1"/>
  <c r="AT221" i="16"/>
  <c r="BV6" i="18"/>
  <c r="AR197" i="16"/>
  <c r="AR150" i="16"/>
  <c r="AT20" i="15"/>
  <c r="BK13" i="18"/>
  <c r="BK12" i="18" s="1"/>
  <c r="BK56" i="18"/>
  <c r="BK55" i="18" s="1"/>
  <c r="AT182" i="15"/>
  <c r="BS20" i="18"/>
  <c r="BS19" i="18" s="1"/>
  <c r="AT151" i="15"/>
  <c r="BK48" i="18"/>
  <c r="BK47" i="18" s="1"/>
  <c r="BK46" i="18" s="1"/>
  <c r="BK61" i="18"/>
  <c r="BK60" i="18" s="1"/>
  <c r="AT198" i="15"/>
  <c r="AT6" i="15"/>
  <c r="BK8" i="18"/>
  <c r="BK7" i="18" s="1"/>
  <c r="BS18" i="18"/>
  <c r="BS17" i="18" s="1"/>
  <c r="BP21" i="18"/>
  <c r="BP19" i="18" s="1"/>
  <c r="BP6" i="18" s="1"/>
  <c r="BP90" i="18" s="1"/>
  <c r="AY5" i="15"/>
  <c r="AY292" i="15" s="1"/>
  <c r="BL62" i="18"/>
  <c r="BL15" i="18"/>
  <c r="AR150" i="15"/>
  <c r="BS56" i="18"/>
  <c r="BS55" i="18" s="1"/>
  <c r="AT45" i="15"/>
  <c r="BK20" i="18"/>
  <c r="BK19" i="18" s="1"/>
  <c r="BS48" i="18"/>
  <c r="BS47" i="18" s="1"/>
  <c r="BS8" i="18"/>
  <c r="BS7" i="18" s="1"/>
  <c r="BK18" i="18"/>
  <c r="BK17" i="18" s="1"/>
  <c r="AT40" i="15"/>
  <c r="AX7" i="18"/>
  <c r="AT6" i="14"/>
  <c r="BF45" i="18"/>
  <c r="BF44" i="18" s="1"/>
  <c r="AX11" i="18"/>
  <c r="AX10" i="18" s="1"/>
  <c r="AT16" i="14"/>
  <c r="AY15" i="18"/>
  <c r="BF15" i="18"/>
  <c r="BF18" i="18"/>
  <c r="BF17" i="18" s="1"/>
  <c r="EK58" i="18"/>
  <c r="EW58" i="18" s="1"/>
  <c r="BF33" i="18"/>
  <c r="BF32" i="18" s="1"/>
  <c r="BF41" i="18"/>
  <c r="BF40" i="18" s="1"/>
  <c r="AX48" i="18"/>
  <c r="AX47" i="18" s="1"/>
  <c r="AT151" i="14"/>
  <c r="AX52" i="18"/>
  <c r="AX51" i="18" s="1"/>
  <c r="AT163" i="14"/>
  <c r="AX20" i="18"/>
  <c r="AX19" i="18" s="1"/>
  <c r="AT45" i="14"/>
  <c r="BF13" i="18"/>
  <c r="BF12" i="18" s="1"/>
  <c r="BF35" i="18"/>
  <c r="BF34" i="18" s="1"/>
  <c r="AT118" i="14"/>
  <c r="AX39" i="18"/>
  <c r="AX38" i="18" s="1"/>
  <c r="BF31" i="18"/>
  <c r="BF30" i="18" s="1"/>
  <c r="EI58" i="18"/>
  <c r="BF37" i="18"/>
  <c r="BF36" i="18" s="1"/>
  <c r="BF43" i="18"/>
  <c r="BF42" i="18" s="1"/>
  <c r="AT150" i="14"/>
  <c r="AV46" i="18"/>
  <c r="AT20" i="14"/>
  <c r="BF7" i="18"/>
  <c r="AX45" i="18"/>
  <c r="AX44" i="18" s="1"/>
  <c r="AT140" i="14"/>
  <c r="BF11" i="18"/>
  <c r="BF10" i="18" s="1"/>
  <c r="BD18" i="18"/>
  <c r="BD17" i="18" s="1"/>
  <c r="BD6" i="18" s="1"/>
  <c r="BD90" i="18" s="1"/>
  <c r="AZ5" i="14"/>
  <c r="AZ292" i="14" s="1"/>
  <c r="ES58" i="18"/>
  <c r="AX33" i="18"/>
  <c r="AX32" i="18" s="1"/>
  <c r="AT100" i="14"/>
  <c r="AX41" i="18"/>
  <c r="AX40" i="18" s="1"/>
  <c r="AT123" i="14"/>
  <c r="BF48" i="18"/>
  <c r="BF47" i="18" s="1"/>
  <c r="BF52" i="18"/>
  <c r="BF51" i="18" s="1"/>
  <c r="BF20" i="18"/>
  <c r="BF19" i="18" s="1"/>
  <c r="AY13" i="18"/>
  <c r="AU5" i="14"/>
  <c r="AX35" i="18"/>
  <c r="AX34" i="18" s="1"/>
  <c r="AT106" i="14"/>
  <c r="BF39" i="18"/>
  <c r="BF38" i="18" s="1"/>
  <c r="AX31" i="18"/>
  <c r="AX30" i="18" s="1"/>
  <c r="AT93" i="14"/>
  <c r="AT111" i="14"/>
  <c r="AX37" i="18"/>
  <c r="AX36" i="18" s="1"/>
  <c r="AX43" i="18"/>
  <c r="AX42" i="18" s="1"/>
  <c r="AT134" i="14"/>
  <c r="BF26" i="18"/>
  <c r="AX12" i="18"/>
  <c r="AS65" i="18"/>
  <c r="AS64" i="18" s="1"/>
  <c r="AT238" i="13"/>
  <c r="AK73" i="18"/>
  <c r="AK72" i="18" s="1"/>
  <c r="AS61" i="18"/>
  <c r="AK69" i="18"/>
  <c r="AK68" i="18" s="1"/>
  <c r="AT226" i="13"/>
  <c r="AS24" i="18"/>
  <c r="AS23" i="18" s="1"/>
  <c r="AK67" i="18"/>
  <c r="AK66" i="18" s="1"/>
  <c r="AT221" i="13"/>
  <c r="AS56" i="18"/>
  <c r="AS55" i="18" s="1"/>
  <c r="AS51" i="18"/>
  <c r="AR197" i="13"/>
  <c r="AT213" i="13"/>
  <c r="AK65" i="18"/>
  <c r="AK64" i="18" s="1"/>
  <c r="AT232" i="13"/>
  <c r="AK71" i="18"/>
  <c r="AK70" i="18" s="1"/>
  <c r="AT198" i="13"/>
  <c r="AK61" i="18"/>
  <c r="AK60" i="18" s="1"/>
  <c r="AK24" i="18"/>
  <c r="AK23" i="18" s="1"/>
  <c r="AT61" i="13"/>
  <c r="AK56" i="18"/>
  <c r="AK55" i="18" s="1"/>
  <c r="AK46" i="18" s="1"/>
  <c r="AT182" i="13"/>
  <c r="AT150" i="13" s="1"/>
  <c r="EK50" i="18"/>
  <c r="EW50" i="18" s="1"/>
  <c r="EK53" i="18"/>
  <c r="EW53" i="18" s="1"/>
  <c r="EX53" i="18" s="1"/>
  <c r="AI59" i="18"/>
  <c r="AF18" i="18"/>
  <c r="AF17" i="18" s="1"/>
  <c r="AF41" i="18"/>
  <c r="AF40" i="18" s="1"/>
  <c r="AF52" i="18"/>
  <c r="AF51" i="18" s="1"/>
  <c r="AF33" i="18"/>
  <c r="AF32" i="18" s="1"/>
  <c r="AF37" i="18"/>
  <c r="AF36" i="18" s="1"/>
  <c r="AF39" i="18"/>
  <c r="AF38" i="18" s="1"/>
  <c r="AY292" i="12"/>
  <c r="AC24" i="18"/>
  <c r="AF35" i="18"/>
  <c r="AF34" i="18" s="1"/>
  <c r="AF43" i="18"/>
  <c r="AF42" i="18" s="1"/>
  <c r="AF45" i="18"/>
  <c r="AF44" i="18" s="1"/>
  <c r="AF48" i="18"/>
  <c r="AF47" i="18" s="1"/>
  <c r="AR197" i="12"/>
  <c r="AT45" i="12"/>
  <c r="V25" i="18"/>
  <c r="AF19" i="18"/>
  <c r="AT40" i="12"/>
  <c r="X18" i="18"/>
  <c r="X17" i="18" s="1"/>
  <c r="AT123" i="12"/>
  <c r="X41" i="18"/>
  <c r="X40" i="18" s="1"/>
  <c r="AT163" i="12"/>
  <c r="X52" i="18"/>
  <c r="X51" i="18" s="1"/>
  <c r="AT100" i="12"/>
  <c r="X33" i="18"/>
  <c r="X32" i="18" s="1"/>
  <c r="X37" i="18"/>
  <c r="X36" i="18" s="1"/>
  <c r="AT118" i="12"/>
  <c r="X39" i="18"/>
  <c r="X38" i="18" s="1"/>
  <c r="AF24" i="18"/>
  <c r="AF23" i="18" s="1"/>
  <c r="X35" i="18"/>
  <c r="X34" i="18" s="1"/>
  <c r="AT134" i="12"/>
  <c r="X43" i="18"/>
  <c r="X42" i="18" s="1"/>
  <c r="AT140" i="12"/>
  <c r="X45" i="18"/>
  <c r="X44" i="18" s="1"/>
  <c r="AT151" i="12"/>
  <c r="X48" i="18"/>
  <c r="X47" i="18" s="1"/>
  <c r="X19" i="18"/>
  <c r="AT16" i="1"/>
  <c r="K11" i="18"/>
  <c r="K10" i="18" s="1"/>
  <c r="AT140" i="1"/>
  <c r="K45" i="18"/>
  <c r="K44" i="18" s="1"/>
  <c r="AT151" i="1"/>
  <c r="K48" i="18"/>
  <c r="K47" i="18" s="1"/>
  <c r="BB259" i="1"/>
  <c r="S80" i="18"/>
  <c r="K8" i="18"/>
  <c r="K7" i="18" s="1"/>
  <c r="AT6" i="1"/>
  <c r="AT20" i="1"/>
  <c r="K13" i="18"/>
  <c r="K12" i="18" s="1"/>
  <c r="AT198" i="1"/>
  <c r="K61" i="18"/>
  <c r="K60" i="18" s="1"/>
  <c r="BB225" i="1"/>
  <c r="K33" i="18"/>
  <c r="K32" i="18" s="1"/>
  <c r="K41" i="18"/>
  <c r="K40" i="18" s="1"/>
  <c r="AT123" i="1"/>
  <c r="AT284" i="1"/>
  <c r="K88" i="18"/>
  <c r="K87" i="18" s="1"/>
  <c r="BB93" i="1"/>
  <c r="S31" i="18"/>
  <c r="S30" i="18" s="1"/>
  <c r="S39" i="18"/>
  <c r="S38" i="18" s="1"/>
  <c r="BB118" i="1"/>
  <c r="S24" i="18"/>
  <c r="S23" i="18" s="1"/>
  <c r="AT134" i="1"/>
  <c r="K43" i="18"/>
  <c r="K42" i="18" s="1"/>
  <c r="AT163" i="1"/>
  <c r="K52" i="18"/>
  <c r="K51" i="18" s="1"/>
  <c r="BB231" i="1"/>
  <c r="BB232" i="1"/>
  <c r="S71" i="18"/>
  <c r="S70" i="18" s="1"/>
  <c r="AT182" i="1"/>
  <c r="K56" i="18"/>
  <c r="K55" i="18" s="1"/>
  <c r="S20" i="18"/>
  <c r="S19" i="18" s="1"/>
  <c r="BB45" i="1"/>
  <c r="S28" i="18"/>
  <c r="S26" i="18" s="1"/>
  <c r="BB79" i="1"/>
  <c r="AR78" i="1"/>
  <c r="I46" i="18"/>
  <c r="I6" i="18"/>
  <c r="I59" i="18"/>
  <c r="L19" i="18"/>
  <c r="EL21" i="18"/>
  <c r="EL19" i="18" s="1"/>
  <c r="BB16" i="1"/>
  <c r="S11" i="18"/>
  <c r="S10" i="18" s="1"/>
  <c r="S45" i="18"/>
  <c r="S44" i="18" s="1"/>
  <c r="BB140" i="1"/>
  <c r="S48" i="18"/>
  <c r="S47" i="18" s="1"/>
  <c r="BB151" i="1"/>
  <c r="N62" i="18"/>
  <c r="N60" i="18" s="1"/>
  <c r="N59" i="18" s="1"/>
  <c r="N90" i="18" s="1"/>
  <c r="N91" i="18" s="1"/>
  <c r="K80" i="18"/>
  <c r="AT259" i="1"/>
  <c r="BB6" i="1"/>
  <c r="S8" i="18"/>
  <c r="BB25" i="1"/>
  <c r="BB198" i="1"/>
  <c r="S61" i="18"/>
  <c r="S60" i="18" s="1"/>
  <c r="K67" i="18"/>
  <c r="K66" i="18" s="1"/>
  <c r="AT221" i="1"/>
  <c r="S33" i="18"/>
  <c r="S32" i="18" s="1"/>
  <c r="BB123" i="1"/>
  <c r="S41" i="18"/>
  <c r="S40" i="18" s="1"/>
  <c r="BB284" i="1"/>
  <c r="S88" i="18"/>
  <c r="S87" i="18" s="1"/>
  <c r="AT93" i="1"/>
  <c r="K31" i="18"/>
  <c r="K30" i="18" s="1"/>
  <c r="AT118" i="1"/>
  <c r="K39" i="18"/>
  <c r="K38" i="18" s="1"/>
  <c r="L15" i="18"/>
  <c r="BB30" i="1"/>
  <c r="BB37" i="1" s="1"/>
  <c r="S15" i="18" s="1"/>
  <c r="K24" i="18"/>
  <c r="K23" i="18" s="1"/>
  <c r="AT61" i="1"/>
  <c r="BB134" i="1"/>
  <c r="S43" i="18"/>
  <c r="S42" i="18" s="1"/>
  <c r="BB163" i="1"/>
  <c r="S52" i="18"/>
  <c r="S51" i="18" s="1"/>
  <c r="AT226" i="1"/>
  <c r="K69" i="18"/>
  <c r="K68" i="18" s="1"/>
  <c r="AT232" i="1"/>
  <c r="K71" i="18"/>
  <c r="K70" i="18" s="1"/>
  <c r="BB182" i="1"/>
  <c r="S56" i="18"/>
  <c r="S55" i="18" s="1"/>
  <c r="AT45" i="1"/>
  <c r="K20" i="18"/>
  <c r="K19" i="18" s="1"/>
  <c r="K28" i="18"/>
  <c r="K26" i="18" s="1"/>
  <c r="AT79" i="1"/>
  <c r="I25" i="18"/>
  <c r="AR150" i="1"/>
  <c r="AR5" i="1"/>
  <c r="AR197" i="1"/>
  <c r="AR292" i="1" s="1"/>
  <c r="EF67" i="18"/>
  <c r="EF66" i="18" s="1"/>
  <c r="EF71" i="18"/>
  <c r="EF70" i="18" s="1"/>
  <c r="EF69" i="18"/>
  <c r="EF68" i="18" s="1"/>
  <c r="DS73" i="18"/>
  <c r="DS72" i="18" s="1"/>
  <c r="DS69" i="18"/>
  <c r="DS68" i="18" s="1"/>
  <c r="DS67" i="18"/>
  <c r="DS66" i="18" s="1"/>
  <c r="DN60" i="18"/>
  <c r="DN59" i="18" s="1"/>
  <c r="DN90" i="18" s="1"/>
  <c r="DN91" i="18" s="1"/>
  <c r="DS60" i="18"/>
  <c r="DF71" i="18"/>
  <c r="DF70" i="18" s="1"/>
  <c r="CY86" i="18"/>
  <c r="CY85" i="18" s="1"/>
  <c r="DF73" i="18"/>
  <c r="DF72" i="18" s="1"/>
  <c r="DF83" i="18"/>
  <c r="DF84" i="18"/>
  <c r="CY59" i="18"/>
  <c r="DF69" i="18"/>
  <c r="DF68" i="18" s="1"/>
  <c r="CY84" i="18"/>
  <c r="CY82" i="18" s="1"/>
  <c r="DF86" i="18"/>
  <c r="DF85" i="18" s="1"/>
  <c r="DF67" i="18"/>
  <c r="DF66" i="18" s="1"/>
  <c r="CL86" i="18"/>
  <c r="CL85" i="18" s="1"/>
  <c r="CS88" i="18"/>
  <c r="CS87" i="18" s="1"/>
  <c r="CS35" i="18"/>
  <c r="CS34" i="18" s="1"/>
  <c r="CS43" i="18"/>
  <c r="CS42" i="18" s="1"/>
  <c r="CK41" i="18"/>
  <c r="CK40" i="18" s="1"/>
  <c r="AT123" i="17"/>
  <c r="CK33" i="18"/>
  <c r="CK32" i="18" s="1"/>
  <c r="AT100" i="17"/>
  <c r="CK52" i="18"/>
  <c r="AT163" i="17"/>
  <c r="CK28" i="18"/>
  <c r="CK26" i="18" s="1"/>
  <c r="AT79" i="17"/>
  <c r="CK31" i="18"/>
  <c r="CK30" i="18" s="1"/>
  <c r="AT93" i="17"/>
  <c r="CK39" i="18"/>
  <c r="CK38" i="18" s="1"/>
  <c r="AT118" i="17"/>
  <c r="CK45" i="18"/>
  <c r="CK44" i="18" s="1"/>
  <c r="AT140" i="17"/>
  <c r="CK48" i="18"/>
  <c r="AT151" i="17"/>
  <c r="CK37" i="18"/>
  <c r="CK36" i="18" s="1"/>
  <c r="AT111" i="17"/>
  <c r="CS84" i="18"/>
  <c r="CI25" i="18"/>
  <c r="CS83" i="18"/>
  <c r="CS86" i="18"/>
  <c r="CS85" i="18" s="1"/>
  <c r="CK35" i="18"/>
  <c r="CK34" i="18" s="1"/>
  <c r="AT106" i="17"/>
  <c r="CK43" i="18"/>
  <c r="CK42" i="18" s="1"/>
  <c r="AT134" i="17"/>
  <c r="CL84" i="18"/>
  <c r="CL82" i="18" s="1"/>
  <c r="AU244" i="17"/>
  <c r="CS81" i="18"/>
  <c r="CS79" i="18" s="1"/>
  <c r="CS41" i="18"/>
  <c r="CS40" i="18" s="1"/>
  <c r="CI47" i="18"/>
  <c r="EI48" i="18"/>
  <c r="EI47" i="18" s="1"/>
  <c r="CS33" i="18"/>
  <c r="CS32" i="18" s="1"/>
  <c r="CS52" i="18"/>
  <c r="CS28" i="18"/>
  <c r="CS26" i="18" s="1"/>
  <c r="CS31" i="18"/>
  <c r="CS30" i="18" s="1"/>
  <c r="CS39" i="18"/>
  <c r="CS38" i="18" s="1"/>
  <c r="CS45" i="18"/>
  <c r="CS44" i="18" s="1"/>
  <c r="CS48" i="18"/>
  <c r="CS37" i="18"/>
  <c r="CS36" i="18" s="1"/>
  <c r="CI51" i="18"/>
  <c r="EI52" i="18"/>
  <c r="EI51" i="18" s="1"/>
  <c r="CF13" i="18"/>
  <c r="BX31" i="18"/>
  <c r="BX30" i="18" s="1"/>
  <c r="AT93" i="16"/>
  <c r="BX9" i="18"/>
  <c r="BX7" i="18" s="1"/>
  <c r="AT6" i="16"/>
  <c r="BX24" i="18"/>
  <c r="BX23" i="18" s="1"/>
  <c r="AT61" i="16"/>
  <c r="CF39" i="18"/>
  <c r="CF38" i="18" s="1"/>
  <c r="CF35" i="18"/>
  <c r="CF34" i="18" s="1"/>
  <c r="CA77" i="18"/>
  <c r="AW245" i="16"/>
  <c r="AW244" i="16" s="1"/>
  <c r="AW292" i="16" s="1"/>
  <c r="CF11" i="18"/>
  <c r="CF10" i="18" s="1"/>
  <c r="BX20" i="18"/>
  <c r="BX19" i="18" s="1"/>
  <c r="AT45" i="16"/>
  <c r="BX41" i="18"/>
  <c r="BX40" i="18" s="1"/>
  <c r="AT123" i="16"/>
  <c r="BX33" i="18"/>
  <c r="BX32" i="18" s="1"/>
  <c r="AT100" i="16"/>
  <c r="BX37" i="18"/>
  <c r="BX36" i="18" s="1"/>
  <c r="AT111" i="16"/>
  <c r="CF18" i="18"/>
  <c r="CF17" i="18" s="1"/>
  <c r="CF31" i="18"/>
  <c r="CF30" i="18" s="1"/>
  <c r="CF9" i="18"/>
  <c r="CF7" i="18" s="1"/>
  <c r="CF24" i="18"/>
  <c r="CF23" i="18" s="1"/>
  <c r="CD17" i="18"/>
  <c r="CD6" i="18" s="1"/>
  <c r="CD90" i="18" s="1"/>
  <c r="CD91" i="18" s="1"/>
  <c r="EQ18" i="18"/>
  <c r="BX39" i="18"/>
  <c r="BX38" i="18" s="1"/>
  <c r="AT118" i="16"/>
  <c r="BX35" i="18"/>
  <c r="BX34" i="18" s="1"/>
  <c r="AT106" i="16"/>
  <c r="BY78" i="18"/>
  <c r="AU245" i="16"/>
  <c r="AU244" i="16" s="1"/>
  <c r="BX11" i="18"/>
  <c r="BX10" i="18" s="1"/>
  <c r="AT16" i="16"/>
  <c r="CF20" i="18"/>
  <c r="CF19" i="18" s="1"/>
  <c r="CF41" i="18"/>
  <c r="CF40" i="18" s="1"/>
  <c r="CF33" i="18"/>
  <c r="CF32" i="18" s="1"/>
  <c r="CF37" i="18"/>
  <c r="CF36" i="18" s="1"/>
  <c r="AT79" i="16"/>
  <c r="AR78" i="16"/>
  <c r="BV90" i="18"/>
  <c r="AT245" i="16"/>
  <c r="AT244" i="16" s="1"/>
  <c r="CF26" i="18"/>
  <c r="EK29" i="18"/>
  <c r="EW29" i="18" s="1"/>
  <c r="EK22" i="18"/>
  <c r="EW22" i="18" s="1"/>
  <c r="EK77" i="18"/>
  <c r="BX12" i="18"/>
  <c r="BX26" i="18"/>
  <c r="AR5" i="16"/>
  <c r="CF15" i="18"/>
  <c r="BX75" i="18"/>
  <c r="BX74" i="18" s="1"/>
  <c r="BY12" i="18"/>
  <c r="BY6" i="18" s="1"/>
  <c r="BS88" i="18"/>
  <c r="BS87" i="18" s="1"/>
  <c r="BK65" i="18"/>
  <c r="BK64" i="18" s="1"/>
  <c r="AT213" i="15"/>
  <c r="BS69" i="18"/>
  <c r="BS68" i="18" s="1"/>
  <c r="BK73" i="18"/>
  <c r="BK72" i="18" s="1"/>
  <c r="AT238" i="15"/>
  <c r="BL84" i="18"/>
  <c r="BL82" i="18" s="1"/>
  <c r="BL67" i="18"/>
  <c r="BL66" i="18" s="1"/>
  <c r="BK24" i="18"/>
  <c r="BK23" i="18" s="1"/>
  <c r="AT61" i="15"/>
  <c r="AT5" i="15" s="1"/>
  <c r="BK71" i="18"/>
  <c r="BK70" i="18" s="1"/>
  <c r="AT232" i="15"/>
  <c r="AR197" i="15"/>
  <c r="AR292" i="15" s="1"/>
  <c r="BK75" i="18"/>
  <c r="BK74" i="18" s="1"/>
  <c r="BS77" i="18"/>
  <c r="AU244" i="15"/>
  <c r="BL86" i="18"/>
  <c r="BL85" i="18" s="1"/>
  <c r="BL65" i="18"/>
  <c r="AT226" i="15"/>
  <c r="BK69" i="18"/>
  <c r="BK68" i="18" s="1"/>
  <c r="BL73" i="18"/>
  <c r="BL72" i="18" s="1"/>
  <c r="BS84" i="18"/>
  <c r="BS82" i="18" s="1"/>
  <c r="BK67" i="18"/>
  <c r="BK66" i="18" s="1"/>
  <c r="AT221" i="15"/>
  <c r="BS67" i="18"/>
  <c r="BS66" i="18" s="1"/>
  <c r="BS24" i="18"/>
  <c r="BS23" i="18" s="1"/>
  <c r="BL71" i="18"/>
  <c r="BI59" i="18"/>
  <c r="AT245" i="15"/>
  <c r="AT244" i="15" s="1"/>
  <c r="AV75" i="18"/>
  <c r="AV74" i="18" s="1"/>
  <c r="EI76" i="18"/>
  <c r="EI75" i="18" s="1"/>
  <c r="AV23" i="18"/>
  <c r="AV6" i="18" s="1"/>
  <c r="EI24" i="18"/>
  <c r="EI23" i="18" s="1"/>
  <c r="BF69" i="18"/>
  <c r="BF68" i="18" s="1"/>
  <c r="BF59" i="18" s="1"/>
  <c r="AX85" i="18"/>
  <c r="AY86" i="18"/>
  <c r="AY85" i="18" s="1"/>
  <c r="AX87" i="18"/>
  <c r="AX24" i="18"/>
  <c r="AT61" i="14"/>
  <c r="AT5" i="14" s="1"/>
  <c r="AY84" i="18"/>
  <c r="AY82" i="18" s="1"/>
  <c r="BF67" i="18"/>
  <c r="BF66" i="18" s="1"/>
  <c r="BF86" i="18"/>
  <c r="BF85" i="18" s="1"/>
  <c r="AX76" i="18"/>
  <c r="AX75" i="18" s="1"/>
  <c r="AT245" i="14"/>
  <c r="AT244" i="14" s="1"/>
  <c r="AY76" i="18"/>
  <c r="AU245" i="14"/>
  <c r="BF88" i="18"/>
  <c r="BF87" i="18" s="1"/>
  <c r="BF24" i="18"/>
  <c r="AI19" i="18"/>
  <c r="EI20" i="18"/>
  <c r="EI19" i="18" s="1"/>
  <c r="AI7" i="18"/>
  <c r="EI8" i="18"/>
  <c r="AI17" i="18"/>
  <c r="EI18" i="18"/>
  <c r="EI17" i="18" s="1"/>
  <c r="AS39" i="18"/>
  <c r="AS41" i="18"/>
  <c r="AS31" i="18"/>
  <c r="AS37" i="18"/>
  <c r="AI44" i="18"/>
  <c r="EI45" i="18"/>
  <c r="EI44" i="18" s="1"/>
  <c r="AP19" i="18"/>
  <c r="AP6" i="18" s="1"/>
  <c r="AP90" i="18" s="1"/>
  <c r="AP91" i="18" s="1"/>
  <c r="EP21" i="18"/>
  <c r="AI34" i="18"/>
  <c r="EI35" i="18"/>
  <c r="EI34" i="18" s="1"/>
  <c r="AS33" i="18"/>
  <c r="AK42" i="18"/>
  <c r="EK43" i="18"/>
  <c r="AS86" i="18"/>
  <c r="AK20" i="18"/>
  <c r="AT45" i="13"/>
  <c r="AT6" i="13"/>
  <c r="AK11" i="18"/>
  <c r="AK10" i="18" s="1"/>
  <c r="AT16" i="13"/>
  <c r="AK18" i="18"/>
  <c r="AT40" i="13"/>
  <c r="AK45" i="18"/>
  <c r="AT140" i="13"/>
  <c r="AK35" i="18"/>
  <c r="AT106" i="13"/>
  <c r="AS42" i="18"/>
  <c r="AT79" i="13"/>
  <c r="AS15" i="18"/>
  <c r="AK39" i="18"/>
  <c r="AT118" i="13"/>
  <c r="AK41" i="18"/>
  <c r="AT123" i="13"/>
  <c r="AK31" i="18"/>
  <c r="AT93" i="13"/>
  <c r="AK37" i="18"/>
  <c r="AT111" i="13"/>
  <c r="AK33" i="18"/>
  <c r="AT100" i="13"/>
  <c r="AL85" i="18"/>
  <c r="AL74" i="18" s="1"/>
  <c r="AS13" i="18"/>
  <c r="AS20" i="18"/>
  <c r="AS11" i="18"/>
  <c r="AS10" i="18" s="1"/>
  <c r="AS18" i="18"/>
  <c r="AI38" i="18"/>
  <c r="EI39" i="18"/>
  <c r="EI38" i="18" s="1"/>
  <c r="AI40" i="18"/>
  <c r="EI41" i="18"/>
  <c r="EI40" i="18" s="1"/>
  <c r="AI30" i="18"/>
  <c r="EI31" i="18"/>
  <c r="EI30" i="18" s="1"/>
  <c r="AI36" i="18"/>
  <c r="EI37" i="18"/>
  <c r="EI36" i="18" s="1"/>
  <c r="AS45" i="18"/>
  <c r="AS35" i="18"/>
  <c r="AI32" i="18"/>
  <c r="EI33" i="18"/>
  <c r="EI32" i="18" s="1"/>
  <c r="AR5" i="13"/>
  <c r="AK26" i="18"/>
  <c r="AF65" i="18"/>
  <c r="V72" i="18"/>
  <c r="EI73" i="18"/>
  <c r="EI72" i="18" s="1"/>
  <c r="AF9" i="18"/>
  <c r="V12" i="18"/>
  <c r="EI13" i="18"/>
  <c r="EI12" i="18" s="1"/>
  <c r="AF56" i="18"/>
  <c r="AF55" i="18" s="1"/>
  <c r="X26" i="18"/>
  <c r="EK27" i="18"/>
  <c r="X75" i="18"/>
  <c r="X74" i="18" s="1"/>
  <c r="AF11" i="18"/>
  <c r="X69" i="18"/>
  <c r="AT226" i="12"/>
  <c r="X71" i="18"/>
  <c r="AT232" i="12"/>
  <c r="AF87" i="18"/>
  <c r="V70" i="18"/>
  <c r="EI71" i="18"/>
  <c r="EI70" i="18" s="1"/>
  <c r="X61" i="18"/>
  <c r="AT198" i="12"/>
  <c r="Y67" i="18"/>
  <c r="V64" i="18"/>
  <c r="EI65" i="18"/>
  <c r="EI64" i="18" s="1"/>
  <c r="Y73" i="18"/>
  <c r="X13" i="18"/>
  <c r="AT20" i="12"/>
  <c r="AF13" i="18"/>
  <c r="V10" i="18"/>
  <c r="EI11" i="18"/>
  <c r="EI10" i="18" s="1"/>
  <c r="AF61" i="18"/>
  <c r="X65" i="18"/>
  <c r="AT213" i="12"/>
  <c r="X9" i="18"/>
  <c r="AT6" i="12"/>
  <c r="X56" i="18"/>
  <c r="AT182" i="12"/>
  <c r="AT150" i="12" s="1"/>
  <c r="X11" i="18"/>
  <c r="AT16" i="12"/>
  <c r="Y69" i="18"/>
  <c r="AF71" i="18"/>
  <c r="V60" i="18"/>
  <c r="EI61" i="18"/>
  <c r="EI60" i="18" s="1"/>
  <c r="V66" i="18"/>
  <c r="EI67" i="18"/>
  <c r="EI66" i="18" s="1"/>
  <c r="V68" i="18"/>
  <c r="EI69" i="18"/>
  <c r="EI68" i="18" s="1"/>
  <c r="X67" i="18"/>
  <c r="AT221" i="12"/>
  <c r="X73" i="18"/>
  <c r="AT238" i="12"/>
  <c r="EI9" i="18"/>
  <c r="EI7" i="18" s="1"/>
  <c r="V7" i="18"/>
  <c r="Y13" i="18"/>
  <c r="AU292" i="12"/>
  <c r="AF26" i="18"/>
  <c r="ES27" i="18"/>
  <c r="AF75" i="18"/>
  <c r="AF74" i="18" s="1"/>
  <c r="AI25" i="18" l="1"/>
  <c r="AT150" i="17"/>
  <c r="AT150" i="23"/>
  <c r="AT5" i="12"/>
  <c r="DV46" i="18"/>
  <c r="DV90" i="18" s="1"/>
  <c r="AT150" i="22"/>
  <c r="ED91" i="18"/>
  <c r="DL59" i="18"/>
  <c r="BB244" i="15"/>
  <c r="EI82" i="18"/>
  <c r="EI79" i="18"/>
  <c r="EX58" i="18"/>
  <c r="CX74" i="18"/>
  <c r="EJ90" i="18"/>
  <c r="AF25" i="18"/>
  <c r="EK88" i="18"/>
  <c r="EK87" i="18" s="1"/>
  <c r="CF25" i="18"/>
  <c r="AT78" i="16"/>
  <c r="AT244" i="1"/>
  <c r="AY12" i="18"/>
  <c r="AY6" i="18" s="1"/>
  <c r="BS15" i="18"/>
  <c r="DS25" i="18"/>
  <c r="EF25" i="18"/>
  <c r="BB245" i="16"/>
  <c r="BB244" i="16" s="1"/>
  <c r="EK86" i="18"/>
  <c r="BI90" i="18"/>
  <c r="BI91" i="18" s="1"/>
  <c r="EK28" i="18"/>
  <c r="EW28" i="18" s="1"/>
  <c r="BP91" i="18"/>
  <c r="AR292" i="17"/>
  <c r="AT5" i="23"/>
  <c r="AT292" i="23" s="1"/>
  <c r="DI25" i="18"/>
  <c r="EH90" i="18"/>
  <c r="BB100" i="15"/>
  <c r="BB78" i="15" s="1"/>
  <c r="EL86" i="18"/>
  <c r="EL85" i="18" s="1"/>
  <c r="CL74" i="18"/>
  <c r="AT78" i="1"/>
  <c r="BD91" i="18"/>
  <c r="AT150" i="15"/>
  <c r="AT78" i="23"/>
  <c r="ES57" i="18"/>
  <c r="AV25" i="18"/>
  <c r="AV90" i="18" s="1"/>
  <c r="AV91" i="18" s="1"/>
  <c r="DS74" i="18"/>
  <c r="BF25" i="18"/>
  <c r="EC6" i="18"/>
  <c r="EC90" i="18" s="1"/>
  <c r="BB5" i="22"/>
  <c r="BB292" i="22" s="1"/>
  <c r="BB292" i="16"/>
  <c r="BB5" i="13"/>
  <c r="BB197" i="13"/>
  <c r="AU244" i="22"/>
  <c r="AX82" i="18"/>
  <c r="AX74" i="18" s="1"/>
  <c r="EK84" i="18"/>
  <c r="BB269" i="14"/>
  <c r="BF84" i="18"/>
  <c r="BF82" i="18" s="1"/>
  <c r="DL79" i="18"/>
  <c r="DL74" i="18" s="1"/>
  <c r="EL81" i="18"/>
  <c r="EL79" i="18" s="1"/>
  <c r="BL74" i="18"/>
  <c r="CS82" i="18"/>
  <c r="CS74" i="18" s="1"/>
  <c r="AU292" i="22"/>
  <c r="AT197" i="13"/>
  <c r="DX46" i="18"/>
  <c r="DY12" i="18"/>
  <c r="DY6" i="18" s="1"/>
  <c r="BB197" i="15"/>
  <c r="BB292" i="15" s="1"/>
  <c r="BB197" i="17"/>
  <c r="BB292" i="17" s="1"/>
  <c r="CY87" i="18"/>
  <c r="CY74" i="18" s="1"/>
  <c r="EL88" i="18"/>
  <c r="EL87" i="18" s="1"/>
  <c r="AT78" i="12"/>
  <c r="I74" i="18"/>
  <c r="BB5" i="14"/>
  <c r="BB244" i="14"/>
  <c r="CK79" i="18"/>
  <c r="CK74" i="18" s="1"/>
  <c r="EK81" i="18"/>
  <c r="DK46" i="18"/>
  <c r="BB292" i="23"/>
  <c r="DV91" i="18"/>
  <c r="EP19" i="18"/>
  <c r="EU19" i="18" s="1"/>
  <c r="EU21" i="18"/>
  <c r="AT78" i="22"/>
  <c r="EX22" i="18"/>
  <c r="EW21" i="18"/>
  <c r="EK85" i="18"/>
  <c r="EQ17" i="18"/>
  <c r="EU18" i="18"/>
  <c r="EX50" i="18"/>
  <c r="EX29" i="18"/>
  <c r="BS46" i="18"/>
  <c r="AX46" i="18"/>
  <c r="AS46" i="18"/>
  <c r="EW27" i="18"/>
  <c r="EX27" i="18" s="1"/>
  <c r="EK42" i="18"/>
  <c r="EW42" i="18" s="1"/>
  <c r="EW43" i="18"/>
  <c r="X55" i="18"/>
  <c r="X46" i="18" s="1"/>
  <c r="S7" i="18"/>
  <c r="ES8" i="18"/>
  <c r="EF7" i="18"/>
  <c r="EK80" i="18"/>
  <c r="K79" i="18"/>
  <c r="ES80" i="18"/>
  <c r="S79" i="18"/>
  <c r="EK83" i="18"/>
  <c r="K82" i="18"/>
  <c r="K74" i="18"/>
  <c r="X25" i="18"/>
  <c r="ES43" i="18"/>
  <c r="BK6" i="18"/>
  <c r="BX25" i="18"/>
  <c r="ES83" i="18"/>
  <c r="DF82" i="18"/>
  <c r="DS59" i="18"/>
  <c r="K25" i="18"/>
  <c r="AF46" i="18"/>
  <c r="CS55" i="18"/>
  <c r="CX46" i="18"/>
  <c r="EF12" i="18"/>
  <c r="S74" i="18"/>
  <c r="EI55" i="18"/>
  <c r="EI46" i="18" s="1"/>
  <c r="EF62" i="18"/>
  <c r="DF62" i="18"/>
  <c r="DF60" i="18" s="1"/>
  <c r="DF59" i="18" s="1"/>
  <c r="DA91" i="18"/>
  <c r="AR292" i="16"/>
  <c r="BV91" i="18" s="1"/>
  <c r="AU292" i="16"/>
  <c r="BS62" i="18"/>
  <c r="EK62" i="18"/>
  <c r="AR292" i="13"/>
  <c r="AS62" i="18"/>
  <c r="AR292" i="12"/>
  <c r="AU5" i="23"/>
  <c r="AU292" i="23" s="1"/>
  <c r="DP6" i="18"/>
  <c r="DP90" i="18" s="1"/>
  <c r="ES56" i="18"/>
  <c r="ES28" i="18"/>
  <c r="CL57" i="18"/>
  <c r="CL55" i="18" s="1"/>
  <c r="CL46" i="18" s="1"/>
  <c r="AX25" i="18"/>
  <c r="EK56" i="18"/>
  <c r="AK59" i="18"/>
  <c r="EF61" i="18"/>
  <c r="DY61" i="18"/>
  <c r="CY57" i="18"/>
  <c r="AT197" i="17"/>
  <c r="BY71" i="18"/>
  <c r="BY70" i="18" s="1"/>
  <c r="BY73" i="18"/>
  <c r="BY72" i="18" s="1"/>
  <c r="CF71" i="18"/>
  <c r="CF70" i="18" s="1"/>
  <c r="CF73" i="18"/>
  <c r="CF72" i="18" s="1"/>
  <c r="AT78" i="14"/>
  <c r="AT292" i="14" s="1"/>
  <c r="L73" i="18"/>
  <c r="L72" i="18" s="1"/>
  <c r="S73" i="18"/>
  <c r="S72" i="18" s="1"/>
  <c r="BB238" i="1"/>
  <c r="DX25" i="18"/>
  <c r="ES21" i="18"/>
  <c r="EF46" i="18"/>
  <c r="DX6" i="18"/>
  <c r="EF6" i="18"/>
  <c r="AY5" i="23"/>
  <c r="AY292" i="23" s="1"/>
  <c r="EC91" i="18" s="1"/>
  <c r="DL12" i="18"/>
  <c r="DL6" i="18" s="1"/>
  <c r="EL14" i="18"/>
  <c r="EW14" i="18" s="1"/>
  <c r="DI90" i="18"/>
  <c r="DI91" i="18" s="1"/>
  <c r="ES14" i="18"/>
  <c r="DK6" i="18"/>
  <c r="DS6" i="18"/>
  <c r="DK25" i="18"/>
  <c r="DS46" i="18"/>
  <c r="AT5" i="22"/>
  <c r="AY5" i="22"/>
  <c r="AY292" i="22" s="1"/>
  <c r="DF45" i="18"/>
  <c r="DF44" i="18" s="1"/>
  <c r="DF25" i="18" s="1"/>
  <c r="DF15" i="18"/>
  <c r="DF12" i="18" s="1"/>
  <c r="DF6" i="18" s="1"/>
  <c r="DC6" i="18"/>
  <c r="DC90" i="18" s="1"/>
  <c r="DC91" i="18" s="1"/>
  <c r="CX6" i="18"/>
  <c r="CY45" i="18"/>
  <c r="CY15" i="18"/>
  <c r="CX25" i="18"/>
  <c r="DF46" i="18"/>
  <c r="CL71" i="18"/>
  <c r="CL70" i="18" s="1"/>
  <c r="CS13" i="18"/>
  <c r="CS12" i="18" s="1"/>
  <c r="CS6" i="18" s="1"/>
  <c r="CL73" i="18"/>
  <c r="CL72" i="18" s="1"/>
  <c r="CL67" i="18"/>
  <c r="CL66" i="18" s="1"/>
  <c r="CP6" i="18"/>
  <c r="CP90" i="18" s="1"/>
  <c r="CP91" i="18" s="1"/>
  <c r="CK6" i="18"/>
  <c r="CS71" i="18"/>
  <c r="CS70" i="18" s="1"/>
  <c r="AU5" i="17"/>
  <c r="AU292" i="17" s="1"/>
  <c r="CL13" i="18"/>
  <c r="CL12" i="18" s="1"/>
  <c r="CL6" i="18" s="1"/>
  <c r="CS73" i="18"/>
  <c r="CS72" i="18" s="1"/>
  <c r="CS67" i="18"/>
  <c r="CS66" i="18" s="1"/>
  <c r="CK59" i="18"/>
  <c r="AT5" i="17"/>
  <c r="BY69" i="18"/>
  <c r="BY68" i="18" s="1"/>
  <c r="BY67" i="18"/>
  <c r="BY66" i="18" s="1"/>
  <c r="CA62" i="18"/>
  <c r="BX59" i="18"/>
  <c r="BX46" i="18"/>
  <c r="CF69" i="18"/>
  <c r="CF68" i="18" s="1"/>
  <c r="CF67" i="18"/>
  <c r="CF66" i="18" s="1"/>
  <c r="CF12" i="18"/>
  <c r="CF6" i="18" s="1"/>
  <c r="AT197" i="16"/>
  <c r="AT150" i="16"/>
  <c r="CF46" i="18"/>
  <c r="BS61" i="18"/>
  <c r="ES61" i="18" s="1"/>
  <c r="AU5" i="15"/>
  <c r="AU292" i="15" s="1"/>
  <c r="BL13" i="18"/>
  <c r="BL12" i="18" s="1"/>
  <c r="BL6" i="18" s="1"/>
  <c r="BL61" i="18"/>
  <c r="BS13" i="18"/>
  <c r="BS12" i="18" s="1"/>
  <c r="BS6" i="18" s="1"/>
  <c r="BF46" i="18"/>
  <c r="AL67" i="18"/>
  <c r="AL66" i="18" s="1"/>
  <c r="AL62" i="18"/>
  <c r="AL69" i="18"/>
  <c r="AL68" i="18" s="1"/>
  <c r="AS73" i="18"/>
  <c r="AS72" i="18" s="1"/>
  <c r="AS71" i="18"/>
  <c r="AS70" i="18" s="1"/>
  <c r="AS67" i="18"/>
  <c r="AS66" i="18" s="1"/>
  <c r="AS69" i="18"/>
  <c r="AS68" i="18" s="1"/>
  <c r="AL73" i="18"/>
  <c r="AL72" i="18" s="1"/>
  <c r="AL71" i="18"/>
  <c r="AL70" i="18" s="1"/>
  <c r="AS12" i="18"/>
  <c r="AC23" i="18"/>
  <c r="AC6" i="18" s="1"/>
  <c r="AC90" i="18" s="1"/>
  <c r="AC91" i="18" s="1"/>
  <c r="EP24" i="18"/>
  <c r="BB20" i="1"/>
  <c r="BB5" i="1" s="1"/>
  <c r="S13" i="18"/>
  <c r="S12" i="18" s="1"/>
  <c r="S6" i="18" s="1"/>
  <c r="L69" i="18"/>
  <c r="L68" i="18" s="1"/>
  <c r="S67" i="18"/>
  <c r="S66" i="18" s="1"/>
  <c r="BB221" i="1"/>
  <c r="S46" i="18"/>
  <c r="I90" i="18"/>
  <c r="I91" i="18" s="1"/>
  <c r="S25" i="18"/>
  <c r="AT197" i="1"/>
  <c r="K6" i="18"/>
  <c r="BB244" i="1"/>
  <c r="AT150" i="1"/>
  <c r="L13" i="18"/>
  <c r="L12" i="18" s="1"/>
  <c r="L6" i="18" s="1"/>
  <c r="AU5" i="1"/>
  <c r="AU292" i="1" s="1"/>
  <c r="BB226" i="1"/>
  <c r="S69" i="18"/>
  <c r="S68" i="18" s="1"/>
  <c r="L67" i="18"/>
  <c r="L66" i="18" s="1"/>
  <c r="BB150" i="1"/>
  <c r="BB78" i="1"/>
  <c r="K59" i="18"/>
  <c r="AT5" i="1"/>
  <c r="K46" i="18"/>
  <c r="EI6" i="18"/>
  <c r="DF88" i="18"/>
  <c r="ES81" i="18"/>
  <c r="CK47" i="18"/>
  <c r="EK48" i="18"/>
  <c r="CK51" i="18"/>
  <c r="EK52" i="18"/>
  <c r="CS25" i="18"/>
  <c r="CI46" i="18"/>
  <c r="CI90" i="18" s="1"/>
  <c r="CI91" i="18" s="1"/>
  <c r="CK25" i="18"/>
  <c r="CS47" i="18"/>
  <c r="ES48" i="18"/>
  <c r="CS51" i="18"/>
  <c r="ES52" i="18"/>
  <c r="AT78" i="17"/>
  <c r="CF77" i="18"/>
  <c r="CF75" i="18" s="1"/>
  <c r="CF74" i="18" s="1"/>
  <c r="EL78" i="18"/>
  <c r="EW78" i="18" s="1"/>
  <c r="EX78" i="18" s="1"/>
  <c r="BY75" i="18"/>
  <c r="CA75" i="18"/>
  <c r="CA74" i="18" s="1"/>
  <c r="EN77" i="18"/>
  <c r="AT5" i="16"/>
  <c r="BX6" i="18"/>
  <c r="BS86" i="18"/>
  <c r="BS85" i="18" s="1"/>
  <c r="BK59" i="18"/>
  <c r="BK90" i="18" s="1"/>
  <c r="BS73" i="18"/>
  <c r="BS72" i="18" s="1"/>
  <c r="BL70" i="18"/>
  <c r="ES84" i="18"/>
  <c r="BL64" i="18"/>
  <c r="EL65" i="18"/>
  <c r="EL64" i="18" s="1"/>
  <c r="BS75" i="18"/>
  <c r="BS74" i="18" s="1"/>
  <c r="ES77" i="18"/>
  <c r="BS71" i="18"/>
  <c r="BS70" i="18" s="1"/>
  <c r="BS65" i="18"/>
  <c r="BS64" i="18" s="1"/>
  <c r="AT197" i="15"/>
  <c r="AT292" i="15" s="1"/>
  <c r="AY75" i="18"/>
  <c r="AY74" i="18" s="1"/>
  <c r="EL76" i="18"/>
  <c r="EL75" i="18" s="1"/>
  <c r="EL84" i="18"/>
  <c r="AX23" i="18"/>
  <c r="AX6" i="18" s="1"/>
  <c r="EK24" i="18"/>
  <c r="EK23" i="18" s="1"/>
  <c r="BF23" i="18"/>
  <c r="BF6" i="18" s="1"/>
  <c r="ES24" i="18"/>
  <c r="BF76" i="18"/>
  <c r="EK76" i="18"/>
  <c r="EI25" i="18"/>
  <c r="AU244" i="14"/>
  <c r="AU292" i="14" s="1"/>
  <c r="AS7" i="18"/>
  <c r="AK32" i="18"/>
  <c r="EK33" i="18"/>
  <c r="AK36" i="18"/>
  <c r="EK37" i="18"/>
  <c r="AK30" i="18"/>
  <c r="EK31" i="18"/>
  <c r="AK40" i="18"/>
  <c r="EK41" i="18"/>
  <c r="AK38" i="18"/>
  <c r="EK39" i="18"/>
  <c r="AK34" i="18"/>
  <c r="AK25" i="18" s="1"/>
  <c r="EK35" i="18"/>
  <c r="AK44" i="18"/>
  <c r="EK45" i="18"/>
  <c r="EK44" i="18" s="1"/>
  <c r="AK17" i="18"/>
  <c r="EK18" i="18"/>
  <c r="AK7" i="18"/>
  <c r="EK8" i="18"/>
  <c r="EW8" i="18" s="1"/>
  <c r="AK19" i="18"/>
  <c r="EK20" i="18"/>
  <c r="AT78" i="13"/>
  <c r="AI6" i="18"/>
  <c r="AI90" i="18" s="1"/>
  <c r="AI91" i="18" s="1"/>
  <c r="AS34" i="18"/>
  <c r="ES35" i="18"/>
  <c r="AS44" i="18"/>
  <c r="AS17" i="18"/>
  <c r="ES18" i="18"/>
  <c r="AS19" i="18"/>
  <c r="ES20" i="18"/>
  <c r="AS85" i="18"/>
  <c r="AS74" i="18" s="1"/>
  <c r="ES86" i="18"/>
  <c r="AS32" i="18"/>
  <c r="ES33" i="18"/>
  <c r="AS36" i="18"/>
  <c r="ES37" i="18"/>
  <c r="AS30" i="18"/>
  <c r="ES31" i="18"/>
  <c r="AS40" i="18"/>
  <c r="ES41" i="18"/>
  <c r="AS38" i="18"/>
  <c r="ES39" i="18"/>
  <c r="AT5" i="13"/>
  <c r="AF69" i="18"/>
  <c r="AF67" i="18"/>
  <c r="Y12" i="18"/>
  <c r="Y6" i="18" s="1"/>
  <c r="EL13" i="18"/>
  <c r="X72" i="18"/>
  <c r="EK73" i="18"/>
  <c r="X66" i="18"/>
  <c r="EK67" i="18"/>
  <c r="X10" i="18"/>
  <c r="EK11" i="18"/>
  <c r="EK9" i="18"/>
  <c r="EW9" i="18" s="1"/>
  <c r="X7" i="18"/>
  <c r="X64" i="18"/>
  <c r="EK65" i="18"/>
  <c r="X12" i="18"/>
  <c r="EK13" i="18"/>
  <c r="EK12" i="18" s="1"/>
  <c r="Y72" i="18"/>
  <c r="Y66" i="18"/>
  <c r="EL67" i="18"/>
  <c r="EL66" i="18" s="1"/>
  <c r="X60" i="18"/>
  <c r="EK61" i="18"/>
  <c r="X70" i="18"/>
  <c r="EK71" i="18"/>
  <c r="X68" i="18"/>
  <c r="EK69" i="18"/>
  <c r="ES9" i="18"/>
  <c r="AF7" i="18"/>
  <c r="AF73" i="18"/>
  <c r="AF70" i="18"/>
  <c r="Y68" i="18"/>
  <c r="AF60" i="18"/>
  <c r="AF12" i="18"/>
  <c r="AF10" i="18"/>
  <c r="ES11" i="18"/>
  <c r="AF64" i="18"/>
  <c r="ES65" i="18"/>
  <c r="V59" i="18"/>
  <c r="V6" i="18"/>
  <c r="EI59" i="18"/>
  <c r="AT197" i="12"/>
  <c r="EL73" i="18" l="1"/>
  <c r="EL72" i="18" s="1"/>
  <c r="AX90" i="18"/>
  <c r="ES13" i="18"/>
  <c r="EL69" i="18"/>
  <c r="EL68" i="18" s="1"/>
  <c r="AT292" i="22"/>
  <c r="DL90" i="18"/>
  <c r="DL91" i="18" s="1"/>
  <c r="BB292" i="13"/>
  <c r="ES71" i="18"/>
  <c r="DK90" i="18"/>
  <c r="BX90" i="18"/>
  <c r="EX9" i="18"/>
  <c r="EI74" i="18"/>
  <c r="EW86" i="18"/>
  <c r="EX21" i="18"/>
  <c r="EK26" i="18"/>
  <c r="EW26" i="18" s="1"/>
  <c r="EW81" i="18"/>
  <c r="EX81" i="18" s="1"/>
  <c r="EW88" i="18"/>
  <c r="EW85" i="18"/>
  <c r="EX14" i="18"/>
  <c r="EW87" i="18"/>
  <c r="CS59" i="18"/>
  <c r="BB292" i="14"/>
  <c r="AT292" i="13"/>
  <c r="L59" i="18"/>
  <c r="ES15" i="18"/>
  <c r="DY60" i="18"/>
  <c r="DY59" i="18" s="1"/>
  <c r="DY90" i="18" s="1"/>
  <c r="DY91" i="18" s="1"/>
  <c r="EK19" i="18"/>
  <c r="EW19" i="18" s="1"/>
  <c r="EW20" i="18"/>
  <c r="EX20" i="18" s="1"/>
  <c r="EK34" i="18"/>
  <c r="EW34" i="18" s="1"/>
  <c r="EW35" i="18"/>
  <c r="EX35" i="18" s="1"/>
  <c r="EK38" i="18"/>
  <c r="EW38" i="18" s="1"/>
  <c r="EW39" i="18"/>
  <c r="EX39" i="18" s="1"/>
  <c r="EK82" i="18"/>
  <c r="EW83" i="18"/>
  <c r="EX83" i="18" s="1"/>
  <c r="EK79" i="18"/>
  <c r="EW79" i="18" s="1"/>
  <c r="EW80" i="18"/>
  <c r="EX80" i="18" s="1"/>
  <c r="EQ6" i="18"/>
  <c r="EQ90" i="18" s="1"/>
  <c r="EU17" i="18"/>
  <c r="EX8" i="18"/>
  <c r="EK68" i="18"/>
  <c r="EW68" i="18" s="1"/>
  <c r="EW69" i="18"/>
  <c r="EK70" i="18"/>
  <c r="EK64" i="18"/>
  <c r="EW64" i="18" s="1"/>
  <c r="EW65" i="18"/>
  <c r="EX65" i="18" s="1"/>
  <c r="EK10" i="18"/>
  <c r="EW10" i="18" s="1"/>
  <c r="EW11" i="18"/>
  <c r="EX11" i="18" s="1"/>
  <c r="EK66" i="18"/>
  <c r="EW66" i="18" s="1"/>
  <c r="EW67" i="18"/>
  <c r="EK72" i="18"/>
  <c r="EW72" i="18" s="1"/>
  <c r="EW73" i="18"/>
  <c r="EK75" i="18"/>
  <c r="EW76" i="18"/>
  <c r="EL82" i="18"/>
  <c r="EL74" i="18" s="1"/>
  <c r="EW84" i="18"/>
  <c r="EX84" i="18" s="1"/>
  <c r="EN75" i="18"/>
  <c r="EU77" i="18"/>
  <c r="EW13" i="18"/>
  <c r="EX13" i="18" s="1"/>
  <c r="EW77" i="18"/>
  <c r="EX77" i="18" s="1"/>
  <c r="DK91" i="18"/>
  <c r="AX91" i="18"/>
  <c r="EK51" i="18"/>
  <c r="EW51" i="18" s="1"/>
  <c r="EW52" i="18"/>
  <c r="EX52" i="18" s="1"/>
  <c r="EP23" i="18"/>
  <c r="EW24" i="18"/>
  <c r="EX24" i="18" s="1"/>
  <c r="EU24" i="18"/>
  <c r="EK36" i="18"/>
  <c r="EW36" i="18" s="1"/>
  <c r="EW37" i="18"/>
  <c r="EX37" i="18" s="1"/>
  <c r="EK60" i="18"/>
  <c r="EK47" i="18"/>
  <c r="EW47" i="18" s="1"/>
  <c r="EW48" i="18"/>
  <c r="EX48" i="18" s="1"/>
  <c r="EK40" i="18"/>
  <c r="EW40" i="18" s="1"/>
  <c r="EW41" i="18"/>
  <c r="EX41" i="18" s="1"/>
  <c r="AT292" i="1"/>
  <c r="EK17" i="18"/>
  <c r="EW17" i="18" s="1"/>
  <c r="EW18" i="18"/>
  <c r="EX18" i="18" s="1"/>
  <c r="EK55" i="18"/>
  <c r="EW56" i="18"/>
  <c r="EX56" i="18" s="1"/>
  <c r="DP91" i="18"/>
  <c r="BK91" i="18"/>
  <c r="EK32" i="18"/>
  <c r="EW32" i="18" s="1"/>
  <c r="EW33" i="18"/>
  <c r="EX33" i="18" s="1"/>
  <c r="ES85" i="18"/>
  <c r="EX85" i="18" s="1"/>
  <c r="EX86" i="18"/>
  <c r="ES70" i="18"/>
  <c r="ES64" i="18"/>
  <c r="ES55" i="18"/>
  <c r="ES51" i="18"/>
  <c r="ES47" i="18"/>
  <c r="ES42" i="18"/>
  <c r="EX42" i="18" s="1"/>
  <c r="EX43" i="18"/>
  <c r="ES40" i="18"/>
  <c r="ES38" i="18"/>
  <c r="EX38" i="18" s="1"/>
  <c r="ES36" i="18"/>
  <c r="ES34" i="18"/>
  <c r="EX34" i="18" s="1"/>
  <c r="ES32" i="18"/>
  <c r="ES26" i="18"/>
  <c r="EX26" i="18" s="1"/>
  <c r="EX28" i="18"/>
  <c r="ES23" i="18"/>
  <c r="ES17" i="18"/>
  <c r="ES12" i="18"/>
  <c r="ES10" i="18"/>
  <c r="EK30" i="18"/>
  <c r="EW30" i="18" s="1"/>
  <c r="EW31" i="18"/>
  <c r="EX31" i="18" s="1"/>
  <c r="ES30" i="18"/>
  <c r="AT292" i="12"/>
  <c r="BY74" i="18"/>
  <c r="S59" i="18"/>
  <c r="S90" i="18" s="1"/>
  <c r="BY59" i="18"/>
  <c r="ES82" i="18"/>
  <c r="ES79" i="18"/>
  <c r="EL57" i="18"/>
  <c r="CY55" i="18"/>
  <c r="CY46" i="18" s="1"/>
  <c r="EF60" i="18"/>
  <c r="EF59" i="18" s="1"/>
  <c r="EF90" i="18" s="1"/>
  <c r="EF91" i="18" s="1"/>
  <c r="ES45" i="18"/>
  <c r="AT292" i="17"/>
  <c r="AT292" i="16"/>
  <c r="BX91" i="18" s="1"/>
  <c r="CF62" i="18"/>
  <c r="CF60" i="18" s="1"/>
  <c r="BS60" i="18"/>
  <c r="BS59" i="18" s="1"/>
  <c r="BS90" i="18" s="1"/>
  <c r="BS91" i="18" s="1"/>
  <c r="ES62" i="18"/>
  <c r="AS60" i="18"/>
  <c r="CX90" i="18"/>
  <c r="ES19" i="18"/>
  <c r="EL71" i="18"/>
  <c r="EL70" i="18" s="1"/>
  <c r="V90" i="18"/>
  <c r="V91" i="18" s="1"/>
  <c r="EI90" i="18"/>
  <c r="BB197" i="1"/>
  <c r="BB292" i="1" s="1"/>
  <c r="DS90" i="18"/>
  <c r="DS91" i="18" s="1"/>
  <c r="K90" i="18"/>
  <c r="K91" i="18" s="1"/>
  <c r="DX90" i="18"/>
  <c r="DX91" i="18" s="1"/>
  <c r="CY12" i="18"/>
  <c r="CY6" i="18" s="1"/>
  <c r="EL15" i="18"/>
  <c r="CY44" i="18"/>
  <c r="CY25" i="18" s="1"/>
  <c r="EL45" i="18"/>
  <c r="CL59" i="18"/>
  <c r="CL90" i="18" s="1"/>
  <c r="CL91" i="18" s="1"/>
  <c r="CA60" i="18"/>
  <c r="CA59" i="18" s="1"/>
  <c r="CA90" i="18" s="1"/>
  <c r="CA91" i="18" s="1"/>
  <c r="EN62" i="18"/>
  <c r="CF59" i="18"/>
  <c r="CF90" i="18" s="1"/>
  <c r="CF91" i="18" s="1"/>
  <c r="BL60" i="18"/>
  <c r="BL59" i="18" s="1"/>
  <c r="BL90" i="18" s="1"/>
  <c r="BL91" i="18" s="1"/>
  <c r="EL61" i="18"/>
  <c r="EW61" i="18" s="1"/>
  <c r="EX61" i="18" s="1"/>
  <c r="AL60" i="18"/>
  <c r="AL59" i="18" s="1"/>
  <c r="AL90" i="18" s="1"/>
  <c r="AL91" i="18" s="1"/>
  <c r="EL62" i="18"/>
  <c r="AS59" i="18"/>
  <c r="L90" i="18"/>
  <c r="L91" i="18" s="1"/>
  <c r="DF87" i="18"/>
  <c r="DF74" i="18" s="1"/>
  <c r="ES88" i="18"/>
  <c r="CS46" i="18"/>
  <c r="CS90" i="18" s="1"/>
  <c r="CS91" i="18" s="1"/>
  <c r="CK46" i="18"/>
  <c r="CK90" i="18" s="1"/>
  <c r="ES7" i="18"/>
  <c r="AY90" i="18"/>
  <c r="AY91" i="18" s="1"/>
  <c r="BF75" i="18"/>
  <c r="ES76" i="18"/>
  <c r="EK7" i="18"/>
  <c r="AK6" i="18"/>
  <c r="AK90" i="18" s="1"/>
  <c r="AK91" i="18" s="1"/>
  <c r="AS6" i="18"/>
  <c r="AS25" i="18"/>
  <c r="AF72" i="18"/>
  <c r="ES73" i="18"/>
  <c r="AF66" i="18"/>
  <c r="ES67" i="18"/>
  <c r="AF68" i="18"/>
  <c r="ES69" i="18"/>
  <c r="X59" i="18"/>
  <c r="Y59" i="18"/>
  <c r="Y90" i="18" s="1"/>
  <c r="Y91" i="18" s="1"/>
  <c r="AF6" i="18"/>
  <c r="X6" i="18"/>
  <c r="AF59" i="18" l="1"/>
  <c r="EX19" i="18"/>
  <c r="EK59" i="18"/>
  <c r="EW62" i="18"/>
  <c r="CX91" i="18"/>
  <c r="EX40" i="18"/>
  <c r="EX10" i="18"/>
  <c r="EX32" i="18"/>
  <c r="EX36" i="18"/>
  <c r="EX17" i="18"/>
  <c r="EK25" i="18"/>
  <c r="EX64" i="18"/>
  <c r="BY90" i="18"/>
  <c r="BY91" i="18" s="1"/>
  <c r="EX79" i="18"/>
  <c r="EX51" i="18"/>
  <c r="EK46" i="18"/>
  <c r="ES46" i="18"/>
  <c r="EL12" i="18"/>
  <c r="EW12" i="18" s="1"/>
  <c r="EX12" i="18" s="1"/>
  <c r="EW15" i="18"/>
  <c r="EX15" i="18" s="1"/>
  <c r="EN60" i="18"/>
  <c r="EU62" i="18"/>
  <c r="EN74" i="18"/>
  <c r="EU74" i="18" s="1"/>
  <c r="EU75" i="18"/>
  <c r="EK74" i="18"/>
  <c r="EW75" i="18"/>
  <c r="EW70" i="18"/>
  <c r="EX70" i="18" s="1"/>
  <c r="EW82" i="18"/>
  <c r="EX82" i="18" s="1"/>
  <c r="EK6" i="18"/>
  <c r="EW7" i="18"/>
  <c r="EX7" i="18" s="1"/>
  <c r="EL55" i="18"/>
  <c r="EL46" i="18" s="1"/>
  <c r="EW57" i="18"/>
  <c r="EX57" i="18" s="1"/>
  <c r="EW71" i="18"/>
  <c r="EX71" i="18" s="1"/>
  <c r="EL44" i="18"/>
  <c r="EW45" i="18"/>
  <c r="CK91" i="18"/>
  <c r="EX30" i="18"/>
  <c r="EP6" i="18"/>
  <c r="EW23" i="18"/>
  <c r="EX23" i="18" s="1"/>
  <c r="EU23" i="18"/>
  <c r="EX47" i="18"/>
  <c r="ES87" i="18"/>
  <c r="EX87" i="18" s="1"/>
  <c r="EX88" i="18"/>
  <c r="ES75" i="18"/>
  <c r="EX76" i="18"/>
  <c r="ES72" i="18"/>
  <c r="EX72" i="18" s="1"/>
  <c r="EX73" i="18"/>
  <c r="ES68" i="18"/>
  <c r="EX68" i="18" s="1"/>
  <c r="EX69" i="18"/>
  <c r="ES66" i="18"/>
  <c r="EX66" i="18" s="1"/>
  <c r="EX67" i="18"/>
  <c r="ES60" i="18"/>
  <c r="EX62" i="18"/>
  <c r="ES44" i="18"/>
  <c r="EX45" i="18"/>
  <c r="ES6" i="18"/>
  <c r="S91" i="18"/>
  <c r="BF74" i="18"/>
  <c r="BF90" i="18" s="1"/>
  <c r="BF91" i="18" s="1"/>
  <c r="DF90" i="18"/>
  <c r="DF91" i="18" s="1"/>
  <c r="X90" i="18"/>
  <c r="X91" i="18" s="1"/>
  <c r="CY90" i="18"/>
  <c r="CY91" i="18" s="1"/>
  <c r="EL60" i="18"/>
  <c r="EL59" i="18" s="1"/>
  <c r="AS90" i="18"/>
  <c r="AS91" i="18" s="1"/>
  <c r="AF90" i="18"/>
  <c r="AF91" i="18" s="1"/>
  <c r="EW46" i="18" l="1"/>
  <c r="EX46" i="18" s="1"/>
  <c r="EW55" i="18"/>
  <c r="EX55" i="18" s="1"/>
  <c r="EL6" i="18"/>
  <c r="EW6" i="18" s="1"/>
  <c r="EX6" i="18" s="1"/>
  <c r="EK90" i="18"/>
  <c r="EW60" i="18"/>
  <c r="EX60" i="18" s="1"/>
  <c r="EW74" i="18"/>
  <c r="EN59" i="18"/>
  <c r="EW59" i="18" s="1"/>
  <c r="EU60" i="18"/>
  <c r="EL25" i="18"/>
  <c r="EW25" i="18" s="1"/>
  <c r="EW44" i="18"/>
  <c r="EX44" i="18" s="1"/>
  <c r="EP90" i="18"/>
  <c r="EU6" i="18"/>
  <c r="ES59" i="18"/>
  <c r="ES74" i="18"/>
  <c r="EX75" i="18"/>
  <c r="ES25" i="18"/>
  <c r="EL90" i="18" l="1"/>
  <c r="EX74" i="18"/>
  <c r="EX25" i="18"/>
  <c r="EX59" i="18"/>
  <c r="EN90" i="18"/>
  <c r="EU59" i="18"/>
  <c r="ES90" i="18"/>
</calcChain>
</file>

<file path=xl/sharedStrings.xml><?xml version="1.0" encoding="utf-8"?>
<sst xmlns="http://schemas.openxmlformats.org/spreadsheetml/2006/main" count="6358" uniqueCount="570">
  <si>
    <t>Salary Category</t>
  </si>
  <si>
    <t>C1</t>
  </si>
  <si>
    <t>C2</t>
  </si>
  <si>
    <t>C3</t>
  </si>
  <si>
    <t>C4</t>
  </si>
  <si>
    <t>C5</t>
  </si>
  <si>
    <t>Participants per event</t>
  </si>
  <si>
    <t>Days per event</t>
  </si>
  <si>
    <t>Overnights per participant</t>
  </si>
  <si>
    <t>National expert days</t>
  </si>
  <si>
    <t>International expert days</t>
  </si>
  <si>
    <t>Salaries and Allowances</t>
  </si>
  <si>
    <t>Capital Items</t>
  </si>
  <si>
    <t>Contingencies / Other</t>
  </si>
  <si>
    <t>Months</t>
  </si>
  <si>
    <t>Positions</t>
  </si>
  <si>
    <t>Events</t>
  </si>
  <si>
    <t>Study tours</t>
  </si>
  <si>
    <t>Other Contractual Services</t>
  </si>
  <si>
    <t>Total Incremental Costs</t>
  </si>
  <si>
    <t>Computer Units</t>
  </si>
  <si>
    <t>Office Equipment Units</t>
  </si>
  <si>
    <t>Vehicle Units</t>
  </si>
  <si>
    <t>Incremental Overheads</t>
  </si>
  <si>
    <t>Recurrent Costs</t>
  </si>
  <si>
    <t>Funding Gap</t>
  </si>
  <si>
    <t>10=6*8*SC</t>
  </si>
  <si>
    <t>11=6*7*8*SC</t>
  </si>
  <si>
    <t>12=6*8*9*SC</t>
  </si>
  <si>
    <t>13=6*7*SC</t>
  </si>
  <si>
    <t>Pajisje zyre, cmim per njesi</t>
  </si>
  <si>
    <t>Pajisje elektronike, cmim per njesi</t>
  </si>
  <si>
    <t>Automjete, cmim per njesi</t>
  </si>
  <si>
    <t>Te huaj</t>
  </si>
  <si>
    <t>Lokale</t>
  </si>
  <si>
    <t>Dieta ditore per cdo person</t>
  </si>
  <si>
    <t>Akomodim per cdo person</t>
  </si>
  <si>
    <t>Shpenzime Udhetimi per person</t>
  </si>
  <si>
    <t xml:space="preserve">Qera ditore ambientesh </t>
  </si>
  <si>
    <t>Dieta ditore qe perfshin ushqim, akomodim, etj</t>
  </si>
  <si>
    <t>Evente (takime pune, ceremoni, trajnime, etj) (llog ekonomike 602)</t>
  </si>
  <si>
    <t>Udhetime jashte vendit (llog ekonomike 602)</t>
  </si>
  <si>
    <t>Shpenzime Ekspertesh (llog ekonomike 602)</t>
  </si>
  <si>
    <t>Zëra investimesh (llog ekonomike 230, 231)</t>
  </si>
  <si>
    <t>Te tjera (llog 602)</t>
  </si>
  <si>
    <t>Aktivitete</t>
  </si>
  <si>
    <t>Nentotal 1.1.1.</t>
  </si>
  <si>
    <t>Nentotal 1.1.2</t>
  </si>
  <si>
    <t>Legjenda</t>
  </si>
  <si>
    <t>Kategori page</t>
  </si>
  <si>
    <t>Paga mesatare (formule)</t>
  </si>
  <si>
    <t>Pagat Bruto</t>
  </si>
  <si>
    <t>Numri i muajve</t>
  </si>
  <si>
    <t>Numri i Punonjesve</t>
  </si>
  <si>
    <t>Activitites</t>
  </si>
  <si>
    <t>Eng</t>
  </si>
  <si>
    <t>Alb</t>
  </si>
  <si>
    <t>Travel</t>
  </si>
  <si>
    <t>1. Total</t>
  </si>
  <si>
    <t xml:space="preserve">1.1 Nentotal </t>
  </si>
  <si>
    <t>2. Total</t>
  </si>
  <si>
    <t>Paga dhe Shtesa (llog ekonomike 600)</t>
  </si>
  <si>
    <t>Llog ekonomike 601</t>
  </si>
  <si>
    <t>Rent</t>
  </si>
  <si>
    <t>Accommodation</t>
  </si>
  <si>
    <t>Per diems</t>
  </si>
  <si>
    <t>Bileta udhetimi (cmim mesatar per person)</t>
  </si>
  <si>
    <t>Days abroad</t>
  </si>
  <si>
    <t>Nr. Diteve ekspert Nderkombetar</t>
  </si>
  <si>
    <t>Nr. Diteve Ekspert Vendas</t>
  </si>
  <si>
    <t>Technical Assistance</t>
  </si>
  <si>
    <t>Travel &amp; Perdiems abroad</t>
  </si>
  <si>
    <t>Nr. i diteve per event</t>
  </si>
  <si>
    <t>Nr. i Sherbimeve/Eventeve</t>
  </si>
  <si>
    <t>Nr. Pjesemarresve per event</t>
  </si>
  <si>
    <t>Nete Hoteli per pjesemarres</t>
  </si>
  <si>
    <t>Nr.vizitave jashte shtetit</t>
  </si>
  <si>
    <t>Nr. Diteve jashte vendit</t>
  </si>
  <si>
    <t>Nr i pjesemarresve per vizite</t>
  </si>
  <si>
    <t>Assets Maintenance</t>
  </si>
  <si>
    <t>Total Recurrent materials &amp; Services</t>
  </si>
  <si>
    <t>4=2*3 (for 1)</t>
  </si>
  <si>
    <t>Inssurance</t>
  </si>
  <si>
    <t>5=4*SC</t>
  </si>
  <si>
    <t>17=14*(16*SC+15*16*SC)</t>
  </si>
  <si>
    <t>20=(18*SC+19*SC)</t>
  </si>
  <si>
    <t>24=10+11+12+13+17+20+21+22+23</t>
  </si>
  <si>
    <t>Nr. Pajisje elektronike</t>
  </si>
  <si>
    <t>Nr. Automjetesh</t>
  </si>
  <si>
    <t>Nr. Pajisje zyre</t>
  </si>
  <si>
    <t>Other capital expenditures</t>
  </si>
  <si>
    <t>Kontigjenca kapitale</t>
  </si>
  <si>
    <t>Total Capital Expenditures</t>
  </si>
  <si>
    <t>Sigurime Shoqerore &amp; Shendetesore te punedhenesit</t>
  </si>
  <si>
    <t>23=(10+11+12+13+17+20+21+22)*(st. %)</t>
  </si>
  <si>
    <t>31=25*SC+26*SC+27*SC+28+29+30</t>
  </si>
  <si>
    <t>Te tjera investime (ALL)</t>
  </si>
  <si>
    <t>Kontigjenca korrente</t>
  </si>
  <si>
    <t>Te tjera (llog 230, 231)</t>
  </si>
  <si>
    <t>Constructions</t>
  </si>
  <si>
    <t>Ndertime (ALL)</t>
  </si>
  <si>
    <t>Intangibles</t>
  </si>
  <si>
    <t>Aktive te patrupezuara (ALL)</t>
  </si>
  <si>
    <t>32=30*SC</t>
  </si>
  <si>
    <t>Totali i Shpenzimeve Kapitale (ALL)</t>
  </si>
  <si>
    <t>Kontigjenca (ALL)</t>
  </si>
  <si>
    <t>Shpenzime totale korrente materiale &amp;Sherbime (ALL)</t>
  </si>
  <si>
    <t>Te tjera shpenzime te pergjithshme (ALL)</t>
  </si>
  <si>
    <t>Sherbime Mirembajtje te Aktiveve (ALL)</t>
  </si>
  <si>
    <t>Te tjera sherbime kontraktuale direkte (ALL)</t>
  </si>
  <si>
    <t>Asistence teknike (ALL)</t>
  </si>
  <si>
    <t>Shpenz. Udhetime dieta me jashte (ALL)</t>
  </si>
  <si>
    <t>Shpenz. Qera ambientesh (ALL)</t>
  </si>
  <si>
    <t>Shpenz. Akomodim (ALL)</t>
  </si>
  <si>
    <t>Shpenz. Dieta brenda vendit (ALL)</t>
  </si>
  <si>
    <t>Shpenz. Udhetimi brenda vendit (ALL)</t>
  </si>
  <si>
    <t>Sigurime Shoqerore &amp; Shendetes (ALL)</t>
  </si>
  <si>
    <t>Paga dhe Shtesa (ALL)</t>
  </si>
  <si>
    <t>1 (combo box)</t>
  </si>
  <si>
    <t>Empty fields (text)</t>
  </si>
  <si>
    <t>Levels of Policy Framework generated by IPSIS (IPSIS code + Title)</t>
  </si>
  <si>
    <t>Nivelet e Kuadrit te Politikave te gjeneruara nga sistemi IPSIS (IPSIS Kod + Emertim)</t>
  </si>
  <si>
    <t>Summary Year 1 / Permbledhje Viti 1</t>
  </si>
  <si>
    <t xml:space="preserve">Salaries &amp; Social insurance </t>
  </si>
  <si>
    <t>Funded from National Budget</t>
  </si>
  <si>
    <t>Funded by EU</t>
  </si>
  <si>
    <t>Add columns as needed</t>
  </si>
  <si>
    <t>33=4+5</t>
  </si>
  <si>
    <t>34=24</t>
  </si>
  <si>
    <t>35=31+32</t>
  </si>
  <si>
    <t>36=33+34+35</t>
  </si>
  <si>
    <t>Data Fillimit</t>
  </si>
  <si>
    <t>Data e Perfundimit</t>
  </si>
  <si>
    <t>Measure Start date IPSIS</t>
  </si>
  <si>
    <t>Measure End date IPSIS</t>
  </si>
  <si>
    <t>Masa (IPSIS)</t>
  </si>
  <si>
    <t>Funded by UN</t>
  </si>
  <si>
    <t>Paga dhe Sigurime</t>
  </si>
  <si>
    <t>Totali i kostove  per vitin</t>
  </si>
  <si>
    <t>Kosto Korrente</t>
  </si>
  <si>
    <t>Kosto Kapitale</t>
  </si>
  <si>
    <t>Financuar nga Buxheti I Pergjithshem</t>
  </si>
  <si>
    <t>43=37+38+39+40+41+42-36</t>
  </si>
  <si>
    <t>11=5 +6+7+8+9+10-4</t>
  </si>
  <si>
    <t>Total Indicative Costs for Year 1</t>
  </si>
  <si>
    <t>Total Indicative Costs for Year 2</t>
  </si>
  <si>
    <t>Total Indicative Costs for Year 3</t>
  </si>
  <si>
    <t>Total Indicative Costs for Year 4</t>
  </si>
  <si>
    <t>Total Indicative Costs for Year 5</t>
  </si>
  <si>
    <t>Total Indicative Costs for Year 6</t>
  </si>
  <si>
    <t>Total Indicative Costs for Year 7</t>
  </si>
  <si>
    <t>Salary category/ Kategori Pagash</t>
  </si>
  <si>
    <t>Monthly Salary/ Paga mesatare mujore bruto me gjithe sigurimet shoqerore</t>
  </si>
  <si>
    <t>Allocations/ Shtesa Page (politika te reja) mesatarisht per muaj</t>
  </si>
  <si>
    <t>Note: In IPSIS Only Measures data will be uploaded. The calculations will automatically be done in IPSIS for Specific Objectives and Policy Goal level</t>
  </si>
  <si>
    <t>Note: 1.Codes and Titles of the Budget Programs, Policy Items (PG, SO, Mesures) and start date end date are generated by IPSIS
2. All highlighted cells will be blocked/protected. Only white cells should be left for direct input.</t>
  </si>
  <si>
    <t>Note: 1. All highlighted cells will be blocked/protected. Only white cells should be left for direct input.</t>
  </si>
  <si>
    <t>Total Indicative Costs for Year 8</t>
  </si>
  <si>
    <t>Total Indicative Costs for Year 9</t>
  </si>
  <si>
    <t>Total Indicative Costs for Year 10</t>
  </si>
  <si>
    <t>Total Indicative Costs for ALL YEARS</t>
  </si>
  <si>
    <t>Shto Kolona nese duhet</t>
  </si>
  <si>
    <t>Hendeku Financiar</t>
  </si>
  <si>
    <t xml:space="preserve">2.1 Nentotal </t>
  </si>
  <si>
    <t>Nentotal 2.2.1</t>
  </si>
  <si>
    <t>2.2 Nentotal</t>
  </si>
  <si>
    <t>3. Total</t>
  </si>
  <si>
    <t>3.1  Nentotal</t>
  </si>
  <si>
    <t>Nentotal 3.1.1</t>
  </si>
  <si>
    <t>3.2  Nentotal</t>
  </si>
  <si>
    <t>Nentotal 3.2.1</t>
  </si>
  <si>
    <t>Trajnime ASPA I messem</t>
  </si>
  <si>
    <t>C6</t>
  </si>
  <si>
    <t>Qera ditore ambientesh (institucionesh)</t>
  </si>
  <si>
    <t>12=5+6+7+8+9+10+11-4</t>
  </si>
  <si>
    <t>Nentotal 2.1.1</t>
  </si>
  <si>
    <t>2.3 Objektivi Specifik :Mekanizma dhe shërbime të specializuara dhe të integruara për adresimin e formave të rënda të dhunës, përfshirë abuzimin seksual dhe abuzimin dhe shfrytëzimin online</t>
  </si>
  <si>
    <t>Nentotal 2.3.1</t>
  </si>
  <si>
    <t>2.3 Nentotal</t>
  </si>
  <si>
    <t>Nentotal 3.1.2</t>
  </si>
  <si>
    <t>Nentotal 3.1.3</t>
  </si>
  <si>
    <t>Nentotal 3.2.2</t>
  </si>
  <si>
    <t>3.3  Nentotal</t>
  </si>
  <si>
    <t>Nentotal 3.3.1</t>
  </si>
  <si>
    <t>4. Total</t>
  </si>
  <si>
    <t>4.1  Nentotal</t>
  </si>
  <si>
    <t>Nentotal 4.1.1</t>
  </si>
  <si>
    <t>Nentotal 4.1.2</t>
  </si>
  <si>
    <t>Nentotal 4.1.3</t>
  </si>
  <si>
    <t>C7</t>
  </si>
  <si>
    <t>C8</t>
  </si>
  <si>
    <t xml:space="preserve">1.1 Objektivi specifik: Promovimi i stilit të jetesës së shëndetshme dhe sigurimi i një mjedisi të shëndetshëm nëpërmjet fuqizimit të bashkëpunimit ndër - sektorial </t>
  </si>
  <si>
    <t>1.2 Objektivi specifik: Promovimi i shëndetsisë së gjelbër (Green Health) mundësimi dhe kontributi në “Qytetar me Jetë të Shëndetshme” nëpërmjet planifikimit urban, mjedisit e shëndetshëm dhe prodhimit të ushqimit të shëndetshëm</t>
  </si>
  <si>
    <t>1.2.1. Rishikimi dhe përditësimi I parimeve të situatës së shëndetësisë së gjelbër dhe  planifikimit urban për një jetë më të shëndetshme të qytetarëve</t>
  </si>
  <si>
    <t>Nentotal 1.2.1.</t>
  </si>
  <si>
    <t>1.3 Objektivi specifik: Fuqizimi dhe zgjerimi i programeve të reja të vaksinimit-imunizimit dhe qëndrueshmëria e mbulesës vaksinale.</t>
  </si>
  <si>
    <t>1.3.1  Qëndrueshmëria e mbulesës vaksinale te fëmijët 0-18 vjec</t>
  </si>
  <si>
    <t>Nentotal 1.3.1.</t>
  </si>
  <si>
    <t>1.3.2 Zgjerimi I programeve të vaksinimit/imunizimit me vaksina të reja për parandalimin e sëmundjeve infective për 0-18 vjec dhe për të rriturit</t>
  </si>
  <si>
    <t>Nentotal 1.3.2.</t>
  </si>
  <si>
    <t xml:space="preserve">1.3.3 Sigurimi I mbulesave të larta vaksinale </t>
  </si>
  <si>
    <t>Nentotal 1.3.3.</t>
  </si>
  <si>
    <t>1.3.4 Sigurimi I vaksinave në kushtet e epidemisë dhe pandemisë.</t>
  </si>
  <si>
    <t>Nentotal 1.3.4.</t>
  </si>
  <si>
    <t>1.4 Objektivi specifik: Reduktimi i sjelljeve me risk që ndikojnë në SJT.</t>
  </si>
  <si>
    <t>1.4.1 Zbatimi i ndërhyrjeve në individë dhe në popullatë për të reduktuar SJT-të dhe faktorët e tyre të rrezikut</t>
  </si>
  <si>
    <t>Nentotal 1.4.1.</t>
  </si>
  <si>
    <t xml:space="preserve">1.4 Nentotal </t>
  </si>
  <si>
    <t xml:space="preserve">1.3 Nentotal </t>
  </si>
  <si>
    <t xml:space="preserve">1.2 Nentotal </t>
  </si>
  <si>
    <t>1.5 Objektivi specifik: Përmirësimi i shëndetit të nënës dhe fëmijës, adoleshentëve, si dhe shëndeti seksual dhe riprodhues</t>
  </si>
  <si>
    <t>1.5.1 Fuqizimi dhe zgjerimi I shërbimeve në mbrotje të shëndetit seksual dhe riprodhues të gruas</t>
  </si>
  <si>
    <t>Nentotal 1.5.1.</t>
  </si>
  <si>
    <t xml:space="preserve">1.5 Nentotal </t>
  </si>
  <si>
    <t>1.5.2 Fuqizimi dhe zgjerimi i shërbimeve për Zhvillimin e Fëmijërisë së Hershme (ZhFH)</t>
  </si>
  <si>
    <t>Nentotal 1.5.2.</t>
  </si>
  <si>
    <t>1.5.3 Fuqizimi dhe zgjerimi i Promovimit të Shëndetit në Shkollë</t>
  </si>
  <si>
    <t>Nentotal 1.5.3.</t>
  </si>
  <si>
    <t>1.6 Objektivi specifik: Reduktimi i sjelljeve me risk që ndikojnë në SJT.</t>
  </si>
  <si>
    <t xml:space="preserve">1.6 Nentotal </t>
  </si>
  <si>
    <t>Nentotal 1.6.1.</t>
  </si>
  <si>
    <t>1.6.1 Fuqizimi dhe zhvillimi i  ndërhyrjeve që mbështesin shëndetin e mirë mendor dhe zbulimin e hershëm të tyre që reduktojnë stigmën e cila lidhet me problemet e shëndetit mendor</t>
  </si>
  <si>
    <t>Funded by wB</t>
  </si>
  <si>
    <t>1.4.1. c Realizimi I studimit mbi njohuritë e sjelljeve dhe aspekteve socio kulturore me grupet e synuara prioritare
• Hartimi I studimit (lum sum 5 000 000 lekë në dy vjet)</t>
  </si>
  <si>
    <t xml:space="preserve">•Institucioni Mjekesor i Posacem per trajtimin e personave me mase mjekesore mjekim I dtyruar, me kapacietet rreth 350 shtreter funksional
</t>
  </si>
  <si>
    <t>1.3.1.b Forcimi I survejancës për mbajtjen nën kontroll të sëmundjeve infektive:
•Paga e specialistëve epidemiologë në ISHP  10 specialist ( sherbime ne rrethe)
• Mirëmbajtja e sistemit Alert ( Rinovimi i Paisjeve kompjuterike 36 cope) pas Viti 2024</t>
  </si>
  <si>
    <t xml:space="preserve">1.3.3.a Monitorimi I vazhdueshmëm I mbulesës vaksinale në vend nëpërmjet sistemit SIV dhe raportimive të NJVKSH-ve
• Forcimi dhe mbajtja nën kontroll e programit të vaksinimit
• paga e Vaskinatorëve në QSH = 420punonjës x 6 muaj 
 </t>
  </si>
  <si>
    <t>1.5.2.c Mbledhja sistematike e dhënave, monitorimi dhe raportimi mbi treguesit e OZHQ-ve në lidhje me ushqyerjen me gji dhe ushqimin plotësues, kequshqyerjen e fëmijëve  (duke përfshirë obezitetin) për grup moshën 0-5 vjec  (UNICEF)
• 1 specialist i ISHP_së 6 muaj/vit
•36 Operatore në nivel NJVKSH * 5 ditë në muaj
• Prodhimi i raporteve 1 specialist x 1  muaj/ vit</t>
  </si>
  <si>
    <t xml:space="preserve">1.5.2.c Mbledhja sistematike e dhënave, monitorimi dhe raportimi mbi treguesit e OZHQ-ve në lidhje me ushqyerjen me gji dhe ushqimin plotësues, kequshqyerjen e fëmijëve  (duke përfshirë obezitetin) për grup moshën 0-5 vjec  (UNICEF)
•36 Operatore në nivel NJVKSH * 5 ditë në muaj
</t>
  </si>
  <si>
    <t>1.5.2.c Mbledhja sistematike e dhënave, monitorimi dhe raportimi mbi treguesit e OZHQ-ve në lidhje me ushqyerjen me gji dhe ushqimin plotësues, kequshqyerjen e fëmijëve  (duke përfshirë obezitetin) për grup moshën 0-5 vjec  (UNICEF)
• Prodhimi i raporteve 1 specialist x 1  muaj/ vit ( specialist i ISHP)</t>
  </si>
  <si>
    <t>Note: 1.Codes and Titles of the Budget Programs, Policy Items (PG, SO, Mesures) and start date end date are generated by IPSIS
2. All highlighted cells ëill be blocked/protected. Only ëhite cells should be left for direct input.</t>
  </si>
  <si>
    <t xml:space="preserve">3.Qellimi I Politikes ( Kodi, Emertimi)  Fuqizimi i sistemit të interguar shëndetësor me qëllim përmirësimin e ofrimit të kujdesit shëndetësor  </t>
  </si>
  <si>
    <t>3.1 Objektivi Specifik: Fuqizimi i mëtejshëm i kujdesit shëndetësor parësor, si porta e parë hyrëse e qytetarit.</t>
  </si>
  <si>
    <t>07220 Shërbime të Kujdesit Shëndetësor Parësor</t>
  </si>
  <si>
    <t>3.2 Objektivi Specifik: Garantimi i efeciensës së shërbimit për sistemin spitalor nëpërmjet zhvillimit të 4 Poleve Rajonalë Referencialë të specializuar.</t>
  </si>
  <si>
    <t>3.2.2. h Zgjerimi I listës së paisjeve të rimbursueshme për paisjet mjekësore (fishat e diabetit).</t>
  </si>
  <si>
    <t>Nentotal 3.2.3</t>
  </si>
  <si>
    <t xml:space="preserve">3.3 Objektivi Specifik: Rishikimi dhe fuqizimi i politikave shëndetësore për rritjen e kapaciteteve të burimeve njerëzore </t>
  </si>
  <si>
    <t>3.3.2. e Përcaktimi i programeve të reja të edukimit në vazhdim në kushtet e krijuara nga pandemia covid-19
• krijimi kushteve neprmejet monitorimin online</t>
  </si>
  <si>
    <t>Nentotal 3.3.2</t>
  </si>
  <si>
    <t>01110 Planifikimi, Menaxhimi dhe Administrimi</t>
  </si>
  <si>
    <t>Nentotal 3.3.3</t>
  </si>
  <si>
    <t>Summary Year 10 / Permbledhje Viti 10</t>
  </si>
  <si>
    <t xml:space="preserve">4.Qellimi I Politikes ( Kodi, Emertimi)   Fuqizimi i reagimit të sistemit ndaj emergjencave </t>
  </si>
  <si>
    <t>4.1 Objektivi Specifik: Fuqizimi i politikave, procedurave dhe kapaciteteve për të parandaluar epidemitë, pandemitë dhe emergjencat</t>
  </si>
  <si>
    <t>4.1.1 Fuqizimi i sistemit shëndetësor në përgjigje të pandemisë COVID 19</t>
  </si>
  <si>
    <t xml:space="preserve">4.1.1.c Fuqizimi i kapaciteteve të koordinimit dhe komunikimit për zbulimin, parandalimin dhe reagimin ndaj rreziqeve të shëndetit publik.
• Specialiste nga OKSHSH 10 x 2 muaj/vit
</t>
  </si>
  <si>
    <t>4.1.2.Forcimi i sistemit të shëndetit publik dhe rritja e kapaciteteve të laboratoreve të ISHP</t>
  </si>
  <si>
    <t xml:space="preserve">4.1.3 Vazhdimi i fuqizimit të kapaciteteve të burimeve njerëzore  </t>
  </si>
  <si>
    <t>4.2 Objektivi Specifik: Sigurimi i gatishmërisë kombëtare dhe rajonale për reagimin e koordinuar ndaj emergjencave shëndetësore</t>
  </si>
  <si>
    <t xml:space="preserve">•Pagat e Mjeke/infermiere ne urgjencate e spitaleve Rajonale dhe bashkiake
• Shpenzimet operative (mjkesore +direkte+indirekte)
</t>
  </si>
  <si>
    <t>4.2.1 Fuqizimi i Qendrës Kombëtare të Urgjencës Mjekësore</t>
  </si>
  <si>
    <t>Nentotal 4.2.1</t>
  </si>
  <si>
    <t>4.3 Objektivi Specifik: Sigurimi i politikave, proçedurave, kapaciteteve për zbulimin dhe reagimin e shpejtë ndaj emergjencave në mënyrë të koordinuar</t>
  </si>
  <si>
    <t>4.3.1.c Fuqizimi i bashkëpunimit dhe ndërveprimit me Shtabin e Emergjencave, si dhe organin profesional.</t>
  </si>
  <si>
    <t>4.3.1 Qartësia e komunikimit të situatës emergjente dhe koordinimi i veprimeve nëpërmjet roleve</t>
  </si>
  <si>
    <t>Nentotal 4.3.1</t>
  </si>
  <si>
    <t>4.4 Objektivi Specifik: Fuqizimi i fushave të sigurisë ushqimore, biologjike dhe kimike</t>
  </si>
  <si>
    <t>2.4  Nentotal</t>
  </si>
  <si>
    <t>4.4.1 Fuqizimi i sigurisë ushqimore, biologjike dhe biokimike, radioaktive bazuar në standardet ndërkombëtare</t>
  </si>
  <si>
    <t>Nentotal 4.4.1</t>
  </si>
  <si>
    <t xml:space="preserve">4.5 Objektivi Specifik: Fuqizimi i sistemit të survejancës </t>
  </si>
  <si>
    <t>2.5  Nentotal</t>
  </si>
  <si>
    <t>4.5.1. Rishikimi i statusit aktual të sistemit të survejancës laboratorike</t>
  </si>
  <si>
    <t>Nentotal 4.5.1</t>
  </si>
  <si>
    <t>4.6 Objektivi Specifik: Reagimi ndaj emergjencave dhe forcimi i komunikimit të riskut</t>
  </si>
  <si>
    <t>2.6  Nentotal</t>
  </si>
  <si>
    <t xml:space="preserve">4.6.1 Krijimi dhe zbatimi i strategjisë së komunikimit të riskut të pandemisë </t>
  </si>
  <si>
    <t>Nentotal 2.6.1</t>
  </si>
  <si>
    <t>2.1.2 Zhvillimi i Planit Strategjik mbi rolin e Shqipërisë në diskutimet, rrjetet dhe organizatat rajonale dhe globale në lidhje me tematikat shëndetësore</t>
  </si>
  <si>
    <t>Nentotal 2.1.2</t>
  </si>
  <si>
    <t>2.1.3 Krijimi i mekanizmave për angazhim të fortë mbi temat prioritare për Shqipërinë në diskutimet, rrjetet dhe organizatat shëndetësore rajonale dhe globale</t>
  </si>
  <si>
    <t>Nentotal 2.1.3</t>
  </si>
  <si>
    <t>2.1.1. Zhvillimi i mekanizmave mbrojtës financiarë për mbulimin me kujdes shëndetësor pranë vendbanimit të qytetarëve.</t>
  </si>
  <si>
    <t>2.2.1 Rishikimi dhe vlerësimi i mekanizmave të konsultimit publik në lidhje me ofruesit e shërbimeve shëndetësore nëse këto kanë ofruar angazhim të rëndësishëm dhe me ndikim tek palët e interesuara</t>
  </si>
  <si>
    <t xml:space="preserve">2.3.1. Vlerësimi dhe përditësimi i qeverisjes aktuale në sektorin e shëndetësisë </t>
  </si>
  <si>
    <t>2.4 Objektivi Specifik: Fuqizimi i sistemit shëndetësor për të adresuar nevojat shëndetësore specifike të popullatës dhe barrierat për barazi gjatë gjithë ciklit të jetës</t>
  </si>
  <si>
    <t>Nentotal 2.4.1</t>
  </si>
  <si>
    <t>2.5 Objektivi Specifik: Fuqizimi i sistemit shëndetësor për të adresuar nevojat shëndetësore specifike të popullatës dhe barrierat për barazi gjatë gjithë ciklit të jetës</t>
  </si>
  <si>
    <t>2.5.1.d Vazhdimi i mbulimit universal duke nëpërmjet pagesave të kontributeve që duhet të mbulojë të gjithë popullatën.</t>
  </si>
  <si>
    <t xml:space="preserve">2.5.1 Rritja e buxhetit të shëndetësisë </t>
  </si>
  <si>
    <t>Nentotal 2.5.1</t>
  </si>
  <si>
    <t>2.6 Objektivi Specifik: Fuqizimi i sistemit shëndetësor për të adresuar nevojat shëndetësore specifike të popullatës dhe barrierat për barazi gjatë gjithë ciklit të jetës</t>
  </si>
  <si>
    <t>2.6.1. Zhvillimi i politikave shëndetësore me qëllim për të lëvizur drejt blerjes së shërbimeve dhe qeverisjes së financimit të kujdesit shëndetësor</t>
  </si>
  <si>
    <t>2.7.1.f Krijimi i një Sistemi për Menaxhimin e Cilësisë së barnave nëpërmjet rritjes së survejancës post-marketing të barnave (Kosto stafi &amp; shpenzime operative 20%)</t>
  </si>
  <si>
    <t>2.7.1. gj Promovimi i investimeve në lidhje me kërkimin dhe zhvillimin (R&amp;D) e barnave të reja.  (Fushata  promovimi per pajisjet dhe medikamentet e reja Kosto stafi dhe shpenzime operative</t>
  </si>
  <si>
    <t>Nentotal 2.7.1</t>
  </si>
  <si>
    <t>2.7 Objektivi Specifik:  Përmirësimi i aksesit në barna, vaksina, diagnostifikime dhe pajisje të sigurta e cilësore</t>
  </si>
  <si>
    <t>2.7  Nentotal</t>
  </si>
  <si>
    <t>2.8 Objektivi Specifik: Rishikimi dhe zgjerimi i politikave dhe rregullave të rimbursimi të barnave si dhe mekanizmat e shpërndarjes së tyre</t>
  </si>
  <si>
    <t>2.8  Nentotal</t>
  </si>
  <si>
    <t xml:space="preserve">2.8.1. Zgjerimi i gamës së mbulimit me barna në rrjetin e hapur ambulator </t>
  </si>
  <si>
    <t>Nentotal 2.8.1</t>
  </si>
  <si>
    <t>2.9 Objektivi Specifik:  Adresimi i masave për rezistencën antimikrobike (AMR)</t>
  </si>
  <si>
    <t>2.9 Nentotal</t>
  </si>
  <si>
    <t xml:space="preserve">2.9.1.g Zhvillimi dhe sigurimi i zbatimit të plotë të ndërhyrjeve bazë gjurmuese për reduktimin e infeksioneve në të gjitha institucionet e kujdesit shëndetësor                                                                                                                                       • kosto e stafit të institucioneve spitalore që merret me gjurmimin dhe raportimin e infektsioneve (50 persona në vit x 11 ditë në vit)
•shpenzime operative 12% e pagave dhe sigurimeve
</t>
  </si>
  <si>
    <t>2.9.1 Miratimi dhe zbatimi i Plan Veprimit për Rezistencën Antimikrobike Kombëtare (AMR)</t>
  </si>
  <si>
    <t>Nentotal 2.9.1</t>
  </si>
  <si>
    <t xml:space="preserve">2.Qellimi I Politikes ( Kodi, Emertimi) Progresi drejt Mbulimit Universal Shëndetësor  </t>
  </si>
  <si>
    <t>4.2  Nentotal</t>
  </si>
  <si>
    <t>4.3  Nentotal</t>
  </si>
  <si>
    <t>4.4  Nentotal</t>
  </si>
  <si>
    <t>4.5  Nentotal</t>
  </si>
  <si>
    <t>4.6  Nentotal</t>
  </si>
  <si>
    <t>Nentotal 4.6.1</t>
  </si>
  <si>
    <r>
      <t xml:space="preserve">1.3.3.a Monitorimi I vazhdueshmëm I mbulesës vaksinale në vend nëpërmjet sistemit SIV dhe raportimive të NJVKSH-ve
</t>
    </r>
    <r>
      <rPr>
        <b/>
        <sz val="12"/>
        <color indexed="8"/>
        <rFont val="Calibri"/>
        <family val="2"/>
      </rPr>
      <t>Forcimi dhe mbajtja nën kontroll e programit të vaksinimit</t>
    </r>
    <r>
      <rPr>
        <sz val="12"/>
        <color indexed="8"/>
        <rFont val="Calibri"/>
        <family val="2"/>
      </rPr>
      <t xml:space="preserve">
•Paga e specialistëve të programit të vaksinimit në ISHP: 4 x12 muaj 
</t>
    </r>
  </si>
  <si>
    <r>
      <t xml:space="preserve">1.3.3.a Monitorimi I vazhdueshmëm I mbulesës vaksinale në vend nëpërmjet sistemit SIV dhe raportimive të NJVKSH-ve
</t>
    </r>
    <r>
      <rPr>
        <b/>
        <sz val="12"/>
        <color indexed="8"/>
        <rFont val="Calibri"/>
        <family val="2"/>
      </rPr>
      <t>Forcimi dhe mbajtja nën kontroll e programit të vaksinimit</t>
    </r>
    <r>
      <rPr>
        <sz val="12"/>
        <color indexed="8"/>
        <rFont val="Calibri"/>
        <family val="2"/>
      </rPr>
      <t xml:space="preserve">
• Paga e kryvaksinatorëve ne NJVKSH  e rretheve   1 specialistx 36 NJVKSH x 6 muaj.
</t>
    </r>
  </si>
  <si>
    <r>
      <t xml:space="preserve">1.5.1. b Fuqizimi I sistemit antenatal (para lindjes), në përputhje me rekomandimet e OBSH në  sistemin e kujdesit shëndetësor parësor </t>
    </r>
    <r>
      <rPr>
        <sz val="12"/>
        <color indexed="10"/>
        <rFont val="Calibri"/>
        <family val="2"/>
      </rPr>
      <t xml:space="preserve"> (Ref : Strategjia e sistemit seksual dhe riprodhues 2022-2030 ). Pas perfundimit te aktivitetit 1.5.1 d</t>
    </r>
  </si>
  <si>
    <r>
      <t>1.5.1.c Fuqizimi i survejancës së vdekshmërisë amëtare për të përmirësuar cilësinë e kujdesit ndaj nënave.
•</t>
    </r>
    <r>
      <rPr>
        <sz val="12"/>
        <rFont val="Calibri"/>
        <family val="2"/>
      </rPr>
      <t xml:space="preserve"> Strategjia e Miratuar  shëndetit seksual dhe riprodhues. (UNFPA) </t>
    </r>
    <r>
      <rPr>
        <sz val="12"/>
        <color indexed="10"/>
        <rFont val="Calibri"/>
        <family val="2"/>
      </rPr>
      <t>(Ref : Strategjia e sistemit seksual dhe riprodhues 2022-2030 ). Referoju pikese 15.1.d</t>
    </r>
  </si>
  <si>
    <r>
      <t>1.5.3.c Fushata promovuese për shëndetin në shkolla me fokus higjenën, ushqimin, shëndetin oral, aktivitetin fizik, parandalimin e aksidenteve dhe traumave si dhe për parandalimin e përdorimit të duhanit, alkoolit, drogave të paligjshme, si dhe parandalimin e dhunës dhe varësisë elektronike (e-addiction) dhe shëndetin mendor
• 10 fushata vjetore kombetare</t>
    </r>
    <r>
      <rPr>
        <sz val="12"/>
        <color indexed="10"/>
        <rFont val="Calibri"/>
        <family val="2"/>
      </rPr>
      <t xml:space="preserve"> (te parashikuara ne PV te PSH 2022-2030)</t>
    </r>
  </si>
  <si>
    <r>
      <t xml:space="preserve">1.6.1 e Krijimi dhe aftesimi i ekipeve multidisiplinare për shërbime të integruara socio-shëndetësore në shërbimin parësor me fokus mbështetjen e shëndetit mendor të qytetarëve </t>
    </r>
    <r>
      <rPr>
        <sz val="12"/>
        <color indexed="10"/>
        <rFont val="Calibri"/>
        <family val="2"/>
      </rPr>
      <t>(Ref Strategjia e Kujdesit Shëndetësor Parësor)</t>
    </r>
  </si>
  <si>
    <r>
      <t>3.1.3.b Permbushja e dhe ndjekja në vazhdimin e standarteve të akreditimit. (aktiviteti financohet nga buxheti mbi bazen e organikes se re-</t>
    </r>
    <r>
      <rPr>
        <sz val="12"/>
        <color indexed="10"/>
        <rFont val="Calibri"/>
        <family val="2"/>
      </rPr>
      <t>Agjencinë e Sigurimit të Cilësisë së Kujdesit Shëndetësor dhe Shoqëror)</t>
    </r>
  </si>
  <si>
    <t>1.Qellimi I Politikes ( Kodi, Emertimi) Investimi në shëndetin e popullatës gjatë gjithë ciklit të jetws</t>
  </si>
  <si>
    <t>2.1 Objektivi Specifik: Sigurimi i përgjigjes së sistemit shëndetësor ndaj nevojave shëndetësore të popullatës nëpërmjet përmirësimit të qeverisjes, zhvillimit të politikave, transparencës dhe llogaridhënies</t>
  </si>
  <si>
    <t>c5</t>
  </si>
  <si>
    <t>3.2.1.d Pilotimi i Autonomisë Spitalore në Spitalin Memorial Fier (Kosto e plote per kryerjen e veprimtarise paga, sigurime dhe shpenzime operative sipas shpenzimeve faktike te 2021)</t>
  </si>
  <si>
    <t xml:space="preserve">5.Qellimi I Politikes ( Kodi, Emertimi)   Shëndeti Dixhital </t>
  </si>
  <si>
    <t>5. Total</t>
  </si>
  <si>
    <t>5.1 Objektivi Specifik: Rritja e rolit të qytetarit në aksesin dhe përdorimin e shërbimeve dixhitale në kujdesin shëndetësor</t>
  </si>
  <si>
    <t>5.1  Nentotal</t>
  </si>
  <si>
    <t>5.1.1.a Krijimi institucional i portalit të pacientëve duke integruar shërbime dhe informacione të ndryshme mbi e-health.
• Kosto e programit duke marre ne konsiderate  projekte analoge (Viti 2025-2026=   investim fillestar = 246 000 000 leke per dy vjet 
•Puna e specialistwve nw MSHMS dhe AKSH 6 specialist x 3 muaj cdo vit)
• Mirwmbajtj SLA  25% vit/2027-2030)</t>
  </si>
  <si>
    <t>5.1.1.b Pregatitja e materialeve informuese për qytetarët dhe pacientët, mbi përdorimin e shërbimeve shëndetësore të dixhitalizuara.
• (spote publicitare, social media) LUM SUM 1  500 000 cdo vit
•Specialiste te MSHMS 1 specialist x 15 dite punw cdo vit</t>
  </si>
  <si>
    <t>5.1.1.c Hartimi i Plan Veprimit Edukativ për të zhvilluar aftësitë teknike të qytetarëve për përdorimin e mjeteve dixhitale të shëndetit.
•Hartimi i planit te veprimit Edukativ 1 experte x 10 dite pune (viti 2025)
•Takime pune 2 x 10 pjesemarres  = 20 pjesemarres x 300 leke/shpenzime operative
•puna e specialisteve  2 x 15 dite pune cdo vit.
• Hartimi i broshurave informative/ spote/ njoftime ne rrjete sociale etj per 1 000 000 perosna cdo vit pas 2025 x 50 leke/ broshure</t>
  </si>
  <si>
    <t>5.1.1.d Sigurimi i disponueshmërisë së shërbimeve dixhitale të shëndetit, të cilat lejojnë dhe mundësojnë përfshirjen e pacientëve në vendimmarrje, në lidhje me proçesin e kujdesit të tyre. (N Cost)</t>
  </si>
  <si>
    <t>5.1.1. Fuqizimi i pacientëve dhe i njohurive të tyre mbi përdorimin e shërbimeve dixhitale</t>
  </si>
  <si>
    <t>Nentotal 5.1.1</t>
  </si>
  <si>
    <t xml:space="preserve">5.1.2.b  Zhvillimi i kurikulave mbi rolin e shëndetësisë dhe të përdorimit ekektronik të sistemeve me qëllim përvetësimin e aftësive dixhitale dhe njohurive teknike.
• experte lokale 20 dite pune * 3 kurikula ( Viti 2025)
•takime me mjeket me grupet e interesit 3 takime per cdo kurikul ( ne total 9 takime x 20 pjeswmarrws/ pwr cdo takim)= total 180 pjeswmarrws
•Shpenzime operative per 180 pjesemarresx 300 leke/ per person
• Trajnime per mjeket e familjes rreth 600/ cdo vit  ( Viti 2026-2030)(30 trajnime /vit x 1 ditw x 20 pjeswmarrws)
• Experte lokale pwr trajnimin 30 ditw + 3 ditw raportimin = 53 ditw / vit
• shpenzime operative 600 x 300 leke/ cdo vit
• puna e specialistwve 3 specialist x 3 muaj cdo vit ( V 2026-2030)
</t>
  </si>
  <si>
    <t xml:space="preserve">5.1.2.c Zhvillimi i kurrikulave specifike dhe programeve të trajnimit gjatë gjithë jetës për aktorët kryesorë, siç janë laborantët, infermierët, staticienët, përdoruesit e të dhënave, profesionistët e IT-së në shëndetësi. (nr i punonjesve 7000 ne total)
•Trajnime per 1000 pjesemarres nga  aktoreve te ndryshem cdo vit  (50 trajnime /vit x 1 ditw x 20 pjeswmarrws)
• Experte lokale pwr trajnimin50 ditw + 3 ditw raportimin = 53 ditw / vit
• shpenzime operative 1000 x 300 leke/ cdo vit
• puna e specialistwve 3 specialist x 3 muaj cdo vit
</t>
  </si>
  <si>
    <t xml:space="preserve">5.1.2. Përditësimi i trajnimeve dhe programeve mësimore të profesionistëve të shëndetit mbi përdorimin e aplikacioneve të shëndetësisë dixhitale </t>
  </si>
  <si>
    <t>Nentotal 5.1.2</t>
  </si>
  <si>
    <t>5.1.3.a Krijimi i shërbimeve dixhitale të shëndetit me nivele të larta sigurie. 
•Implementim I sistemit RSS (Remote Signing System) nw tw gjitha dokumentat mjeksore
• Lum sum perafesrisht 123 000 000 leke (GAP) Viti 2025
• Mirwmbajtja e sistemit 25% cdo vit duke flluar nga 2026-2030
• Specialiste 1 muaj x 2 specialiste (viti 2025-2030)</t>
  </si>
  <si>
    <t xml:space="preserve">5.1.3.b Hartimi i rregullave dhe procedurave të forta të sigurisë e privatësisë dhe sigurimi i zbatimit të plotë të tyre nga përdoruesit. 
• puna e specialsiteve te mshms /akshi pwr hartimin e rregulloreve 6 specialist nga te dyja institucionet 2 muaj cdo vit (2026-2030
</t>
  </si>
  <si>
    <t xml:space="preserve">5.1.3.c Krijimi i platformave për kategoritë me nevoja të veçanta për grupe të ndryshme të popullatës (p.sh. të verbërit, persona me humbje të dëgjimit apo dhe dëmtime të tjera fizike)
• Pwrshtatja me sistemet ekzistuese dhe tw ardhshme ne versionet mobile tw aksesuseshme nga persona me aftwsi tw kufizuar 
•( tw ngjashme nga aplikime te tjera  369 000 000 leke (viti 2025-2026) GAP
• 25% mirmbajtje (Viti 2027-2030) </t>
  </si>
  <si>
    <t>5.1.3. Vendosja e niveleve të sigurisë dhe ruajtjes së konfidencialitetit në shërbimet dixhitale të shëndetit.</t>
  </si>
  <si>
    <t>Nentotal 5.1.3</t>
  </si>
  <si>
    <t>5.2 Objektivi Specifik:Modernizimi i Infrastrukturës dhe Teknologjisë Shëndetësore</t>
  </si>
  <si>
    <t>5.2  Nentotal</t>
  </si>
  <si>
    <t>5.2.1.b Implementimi HIS në Spitalin Rajonal Durrës 
•51 700 000 lekwpwr vitin 2023
• mirembajtje e sistemit 25% / vit (fillon nga Viti 2024-2030)
• specialist ne 2 x 1 muaj / cdo vit (fillon nga Viti 2023 - 2030)</t>
  </si>
  <si>
    <t>Nentotal 5.2.1</t>
  </si>
  <si>
    <t>5.2.2.b Pregatitja e kapaciteteve profesionale nëpërmjet trajnimit të përdorimit të Telemjekësisë dixhitale. 
• Paga e specialistevete huaj 6 x 10 ditw pune
• shpenzime Operative te ndryshme 300 000 leke (lum Sum)</t>
  </si>
  <si>
    <t>5.2.2. Ndërtimi i rrjetit të dedikuar të komunikimit të Shëndetësisë -TeleMjekësi; + Telekonsultë</t>
  </si>
  <si>
    <t>Nentotal 5.2.2</t>
  </si>
  <si>
    <t>5.3 Objektivi Specifik: Fuqizimi i informacionit shëndetësor si nevojë për vendimmarrje në përmirësimin e shëndetit dhe mirëqenies së qytetarëve</t>
  </si>
  <si>
    <t>5.3  Nentotal</t>
  </si>
  <si>
    <t>5.3.1.a Rishikimi i burimeve të ndryshme kombëtare të grumbullimit dhe raportimit të të dhënave, të përmbajtjes së tyre dhe cilësisë.
•   Grup ekspertesh per standartizimin e raporteve  3 x 10 ditw pune 
• takime pune 3 x 10 pjesemarrws  x 300 lek/per [jesemarres
• puna e specialisteve 1 x 1 muaj</t>
  </si>
  <si>
    <t>5.3.1.b Vendosja e standarteve për përpunimin dhe raportimin e të dhënave.
•  Grup ekspertesh per standartizimin I publikimeve  2 x 10 ditw pune 
• takime pune 2 x 10 pjesemarrws  x 300 lek/per [jesemarres
• puna e specialisteve 1 x 1 muaj</t>
  </si>
  <si>
    <t>5.3.1.c Vendosja e standarteve mbi publikimin e të dhënave vjetore të shëndetit.
•  Grup ekspertesh per standartizimin I publikimeve  2 x 10 ditw pune 
• takime pune 2 x 10 pjesemarrws  x 300 lek/per [jesemarres
• puna e specialisteve 1 x 1 muaj</t>
  </si>
  <si>
    <t>5.3.1 Forcimi i auditimit të të dhënave në dispozicion, burimeve të të dhënave si dhe të proceseve të grumbullimit dhe publikimit</t>
  </si>
  <si>
    <t>Nentotal 5.3.1</t>
  </si>
  <si>
    <t xml:space="preserve">5.3.2.a Krijimi i një plani zbatimi për përdorimin e ICD-10 në të gjithë sistemin shëndetësor, kujdesin social, drejtësinë, FSDKSH, Gjendja Civile për sigurimin e zbatimit të tij.
• hartimi I plan zbatimit nga experte lokale 10 dite pune x 2 expete lokale
• Shpenzime operative lum sum 20 000
</t>
  </si>
  <si>
    <t>5.3.2.b Sigurimi i trajnimit mbi kodimin dhe përdorimin e ICD-10 për këdo që e përdor gjatë ofrimit të kujdesit shëndetësor, apo dhe përpunimit, analizimit të treguesve të shëndetit
(fokusuar tek stafi mjeksore qe jane 3000 mjeke)
•Trajnime 10% e stafit mjeksor cdo vit  (30 trajnime /vit x 1 ditw x 20 pjeswmarrws)
• Experte lokale pwr trajnimin 30 ditw + 3 ditw raportimin = 30 ditw / vit
• shpenzime operative 600 x 300 leke/ cdo vit
• puna e specialistwve 1 specialist x 3 muaj cdo vit</t>
  </si>
  <si>
    <t>5.3.2. Zbatimi i Klasifikimit Ndërkombëtar të Sëmundjeve ICD-10, bazuar në standardet ndërkombëtare dhe të OBSH-së</t>
  </si>
  <si>
    <t>Nentotal 5.3.2</t>
  </si>
  <si>
    <t xml:space="preserve">5.4 Objektivi Specifik: Llogaritë Kombëtare të Shëndetësisë dhe publikimi vjetor i rezultateve </t>
  </si>
  <si>
    <t>5.4  Nentotal</t>
  </si>
  <si>
    <t>5.4.1. Krijimi i sistemit të Llogarive Kombëtare të Shëndetësisë (LLKSH)</t>
  </si>
  <si>
    <t>Nentotal 5.4.1</t>
  </si>
  <si>
    <t>5.5 Objektivi Specifik: Fuqizimi i kapaciteteve për kërkimin shkencor dhe publikimi i evidencave shkencore</t>
  </si>
  <si>
    <t>5.5  Nentotal</t>
  </si>
  <si>
    <t xml:space="preserve">5.5.1 Fuqizimi i sistemit kombëtar për kërkimin shkencor </t>
  </si>
  <si>
    <t>Nentotal 5.5.1</t>
  </si>
  <si>
    <t xml:space="preserve">5.1.2.a Rritja e rolit të profesionistëve të kujdesit shëndetësor si përdorues të shërbimeve dixhitale.                                                                                                                                                      
me rezultatin qw  "Qytetarët e synuar te kew akses në shërbime me cilësi më të mirë të KSHP"
• Ngritja e kapaciteteve dhe trainimi i QSH  me qellim (HAP) (viti 2022-2023 =  27 000 00 leke  
</t>
  </si>
  <si>
    <t>5.2.2.c Zgjerimi i përdorimit të sistemit aktual të telekonsultës edhe për 3 diagnoza të reja në shërbimin e neurologjisë.
•Paga e specialisteve tw Telemedicines 26 specialiste
• shpenzime Operative te ndryshme ( sipas PBA)
• Ofrimi i konsultimeve të telemjekësisë - zhvillimi i një platforme virtuale (WB = 3 000 000) leke viti 2021</t>
  </si>
  <si>
    <t xml:space="preserve">5.4.1.a Rishikimi i statusit aktual të zbatimit të Llogarive Kombëtare të Shëndetësisë.
• Lum sum nga WB
• Paga e nje specialisti ne MSHMS 2 muaj /vit </t>
  </si>
  <si>
    <t xml:space="preserve">5.4.1.b Hartimi i Planit të veprimit dhe metodologjisë për fuqizimin dhe zbatimin e LLKSH-së.
• Lum sum nga WB
• Paga e nje specialisti ne MSHMS 2 muaj /vit </t>
  </si>
  <si>
    <t>5.4.1.c Sigurimi i burimeve dhe kapaciteteve të nevojshme për mbledhjen e LLKSH-së.
• Paga e specialisteve 20 x 2 muaj/vit</t>
  </si>
  <si>
    <t>5.4.1.d Hartimi vjetor i analizimit dhe publikimit të LlKSH-ve.
• Paga e specialsiteve ne MSHMS 3 specialist x 2 muaj/vit</t>
  </si>
  <si>
    <t>5.5.1.c Mbështetja dhe përdorimi i evidencave kërkimore në zhvillimin e politikave shëndetësore                                                                                                              
• Grup pune për për evidentimin, përditësimin dhe krijimin e evidencave kërkimore (5 persona*4 muaj në 2023).                                                                                                                                                                                                                                                                  • Ekspert lokal për standartizimin e evidencave me kërkesat e institucioneve kerkimore ( 1 ekspert x 25 ditë në 2023)                                                                                                                                                • Shpenzime operative 12% të pagave dhe sig. të grupit të punës                                  
• Tryeza konsultimi 2 tryeza pune x 20 pjesemarres x 300 leke/ person (2025)</t>
  </si>
  <si>
    <t>5.5.1.d Rritja e kapaciteteve tw kwrkimit shkencor nwpwrmjet programit kwrkime operacionale nw shwndetwsi .
•Trajnimi i studentëve dhe studiuesve të rinj për të ndërtuar kapacitete të lidhura me kërkimin ( viti 2022-2023 = 2 300 000
•Hulumtimi i zbatimit (duke përfshirë studimin bazë dhe në fund të fazës), duke përfshirë Institutin e Shëndetit Publik Viti 2022-2023 = 5 000 000 leke
•Mbështetje për forcimin e kapaciteteve të etikës kërkimore ( viti 2022-2023) 550 000 leke</t>
  </si>
  <si>
    <t xml:space="preserve">I.1.1 a Rishikimi i kuadrit ligjor për përdorimin e alkolit dhe drogave
•Paga e 4 specialisteve 2022 -2023 (2 muaj x vit nga 2022-2023) 
•tryeza te rrumbulkaeta konsultimesh 3 per çdo vit nga 2022-2023 x 10 pjesemarres total 30 pjesemarres x 300 lek/pjesemarres shpenzime (coffe break etc)
•2 eksperte lokal për 20 ditë(viti 2022=10 ditë ) dhe (viti 2023 =10 ditë) </t>
  </si>
  <si>
    <t xml:space="preserve">I.1.1 b Miratimi i strategjisë për përdorimin e drogave
• Pagese e experteve lokale 3 experte x 30 ditë (2022-2024)
• Pagesa e 5 specialisteve 2022-2024 (2 muaj/vit nga 2022-2024)
• Takime pune 4 takime x 15 specialist per year x 300  lekë/pjesemarres
• Fee per zoom meeting fee ( lum sum 15000  lekë/Vit)
• Editimi Stategjise  (2024) x 1 expert lokale  x 10 ditë pune
• Botimi i strategjise 500cope  x 500  lekë/cope ( viti 2024)
</t>
  </si>
  <si>
    <t xml:space="preserve">1.1.1. c Analiza dhe përgatitja e udhëzuesve për një ushqyerje të shëndetëshme sipas grupmoshave duke filluar nga fëmijëria e herëshme
•Analiza e situates profili nutricional dhe impakti  (Viti 2022-2022) (FAO +OBSH/ ose GAP)
•4 experte lokale x 20 ditë pune (FAO +OBSH/ ose GAP)
•Takime pune 6 takime x 10 experte ( 60*250 lek/person te ndryshme) (Viti 2022)(FAO +OBSH/ ose GAP)
• Fee per zoom meeting fee ( lum sum 15000  lekë/Vit)
•Puna e specialisteve (10 specialist x 3 muaj)  
</t>
  </si>
  <si>
    <t>1.1.1. c Analiza dhe përgatitja e udhëzuesve për një ushqyerje të shëndetëshme sipas grupmoshave duke filluar nga fëmijëria e herëshme
• Hartimi i udhëzuesit të ushqyerjes sipas grup moshave duke filluar nga fëmijëria e hershme
• 6 expertë lokalë x 20 ditë pune (vitit 2023-2024) 
•1 expertë të huaj për 10 ditë (2023-2024)
•Puna e specialisteve (20 specialist x 1 muaj/vit)  
•Takime pune 6 takime x 10 experte ( 60*300 lek/person te ndryshme) 
•Editimi i materialeve Lum sum 100 000  lekë (viti 2024) 
• Botimi udhëzuesit kopje 1000 cope x 500  lekë/cp  (FAO + OBSH +UNICEF/ose GAP)</t>
  </si>
  <si>
    <t>01110 Planifikimi, Menaxhimi dhe Administrimi/ 07450 Shërbime të Shëndetit Publik</t>
  </si>
  <si>
    <t xml:space="preserve">I.1.1. Zhvillimi dhe fuqizimi i politikave dhe planeve të veprimit për alkoolin, duhanin, obezitetin dhe përdorimin e paligjshëm të drogës    </t>
  </si>
  <si>
    <t xml:space="preserve">1.1.2 a Zhvillimi i mekanizmave dhe procedurave për përdorimin e inteligjencës shëndetësore të popullatës per informimin ne menyre sistematike lidhur me efektet e padeshiruara serioze nga perdorimi i produkteve kozmetike dhe përbërësit e tyre.  
• Hartimi i udhëzuesit të ushqyerjes sipas grup moshave duke filluar nga fëmijëria e hershme
• 4 expertë lokalë x 15 ditë pune (vitit 2022-2024) 
•1 expertë të huaj për 15 ditë (2022-2024)
•Puna e specialisteve (10 specialist x 1 muaj)/ per çdo vit  
•Takime pune 4 takime x 10 experte ( 40*250 lek/person te ndryshme) 
•Editimi i materialeve Lum sum 100 000  lekë (viti 2025) 
• Botimi udhëzuesit kopje 500 cope  x 500  lekë/cope (viti 2025)(FAO + OBSH +UNICEF/ose GAP)
</t>
  </si>
  <si>
    <t xml:space="preserve">I.1.2.b .Miratimi i strategjisë së promocionit shëndetësor 
• Hartim i strategjise Kontribut i UNFPA (2021)=1 150 000
• Pagesa e 5 specialisteve 2021-2022 (1  muajt 2021) 
• Publikimi i strategjisë 500 cope x 700 lekë/copë * viti 2022)
• Promovimi i strategjise 100 000  lekë (lum sum ) 2022
</t>
  </si>
  <si>
    <t>I.1.2.c .Ngritja e kapaciteteve dhe krijimi I instrumentave ndërinstitucional për veprim në nivel qendror, rajonal dhe lokal me focus qytetarin “mos lini askënd prapa”. (MOU)
•Miratimi Memorandumit  (Hartimi i memorandumit 3 specialiste x 10 ditë pune v2022-2023)
•Ngritja e Kapaciteteve në nivel qendro rajonal etj
• Trajnime në 5 bashki (ose njësi administrtive)/ose nivele qëndrore) për çdo vit x 1 ditë x 15 pjesëmmarës (Viti 2022-2030)
• Experte lokale 1 ditë x 5 trajnime në vit = 5 ditë pune + 1 ditë raporte (viti 2022-2030)
•Shpenzime administrative 75 persona x 300  lekë/ persona (viti 2022-2030)
•Shpenzime dreke 75 persona x 2500 lekë/ për person (viti 2022-2030)</t>
  </si>
  <si>
    <t xml:space="preserve"> 07450 Shërbime të Shëndetit Publik/01110 Planifikimi, Menaxhimi dhe Administrimi</t>
  </si>
  <si>
    <t>1.1.2. Fuqizimi i promovimit të një stili jetese të shëndetshme</t>
  </si>
  <si>
    <t>1.2.1. a Përgatitja e një vlerësimi ndërinstitucional të situatës së shëndetësisë së gjelbër, me focus jetën e shëndetëshme të qytetarëve
•Përgatitja e një vlerësimi  (Viti 2024-2025) x 4 experte lokale x 30 ditë pune  ( donatore ose GAP)
•1 expert i huaj x 10 ditë pune
• puna e specialisteve 20 x 4 muaj ( buxhet shteti)
•takime 10 experte x 6 takime.(donatore / ose GAP)
• Botimi i vlerësimit kopje 300 cope x 700  lekë/cp  (Donatore/OBSH/ose GAP)(viti 2025)</t>
  </si>
  <si>
    <t>1.2.1. b Vlerësimi i situatës në nivel rajonal dhe komunitar mbi zbatimin e parimeve të planifikimit të shëndetshëm urban.
•Përgatitja e një vlerësimi  (Viti 2025-2027) x 4 experte lokale x 30 ditë pune 
•1 expert i huaj x 10 ditë pune (2026-2027)
• puna e specialisteve 20 x 4 muaj (2025-2027)
•takime 10 experte x 6 takime.(pjesëmrraës 60 x 300  lekë/person)
• Botimi i vlerësimit dhe rekomandimet kopje 300 cope x 700  lekë/pc(Donatore/OBSH/ose GAP) 2027</t>
  </si>
  <si>
    <t>1.3.1. a Sigurimi i vaksinave të kalendarit për fëmijët 0-18 vjeç.
kosto vaksinave dhe shpenzimeve te tjera shiringa, transport , sigurmi i paisjeve te zinxh ftohes etj)
•Viti 2021 (= 213 102 000  lekë/ vit)
• Viti 2022 ( = 223 757 100  lekë/ vit)
• Viti 2023 (= 234 944 495  lekë/ vit)
• Viti 2024 (=246 692 202  lekë/ vit)
• Viti 2025 (=259 026 812  lekë/vit)
• Viti 2026 (=271 978 153  lekë/vit)
• Viti 2027 (=285 577 061  lekë/vit)
• Viti 2028 (=299 855 914  lekë/vit)
• Viti 2029 (=314 848 709  lekë/vit)
• Viti 2030 (=330 591 145  lekë/vit)</t>
  </si>
  <si>
    <t xml:space="preserve">•paga e epidemiologëve në 36 NJVKSH x 6 muaj/ Vit  + shpenzime të ndryshme 50 000 lekë/çdo NJVKSH
</t>
  </si>
  <si>
    <t>07450 Shërbime të Shëndetit Publik/ 07220 Shërbime të Kujdesit Shëndetësor Parësor</t>
  </si>
  <si>
    <t>1.3.2. a Futja e vaksinës së meningokokut.
kosto vaksinave dhe shpenzimeve te tjera shiringa, transport etj)
• Viti 2023 (77380 doza = 233 590 875  lekë/ vit)
• Viti 2024 (68780 doza = 207 715 600  lekë/ vit)
• Viti 2025 (218 101 380  lekë/vit)
• Viti 2026 (229 006 449  lekë/vit)
• Viti 2027 (240 456 772  lekë/vit)
• Viti 2028 (252 479 610  lekë/vit)
• Viti 2029 (265 103 590  lekë/vit)
• Viti 2030 (278 358 770  lekë/vit)</t>
  </si>
  <si>
    <t>1.3.2. b Futja e vaksinës së HPV me focus mbrojtjen e shëndetit të vajzave dhe grave.
(kosto vaksinave dhe shpenzimeve te tjera shiringa, transport etj)
• Viti 2024 (52800 doza = 207 715 600  lekë/ vit)
• Viti 2025 (144 690 000  lekë/vit)
• Viti 2026 (151 924 500  lekë/vit)
• Viti 2027 (159 520 725  lekë/vit)
• Viti 2028 (167 496 761  lekë/vit)
• Viti 2029 (175 871 599  lekë/vit)
• Viti 2030 (184 665 179  lekë/vit)</t>
  </si>
  <si>
    <t>1.3.2.c Sigurimi I vaksinës gripit sezonal për të gjitha grupet vulenarabël.
(kosto vaksinave dhe shpenzimeve te tjera shiringa, transport etj)
•Viti 2021 (200 000 doza = 102 000 000  lekë/ vit)
• Viti 2024 (300 000 doza = 165 000 000  lekë/ vit)
• Viti 2023 (400 000 doza =  220 000 000  lekë/ vit)
• Viti 2024 (500 000 doza = 275 000 000  lekë/ vit)
• Viti 2025 (=288 750 000  lekë/vit)
• Viti 2026 (=303 187 500  lekë/vit)
• Viti 2027 (=318 346 875  lekë/vit)
• Viti 2028 (=334 264 218  lekë/vit)
• Viti 2029 (=350 977 429  lekë/vit)
• Viti 2030 (=368 526 301  lekë/vit)</t>
  </si>
  <si>
    <t>07450 Shërbime të Shëndetit Publik</t>
  </si>
  <si>
    <t xml:space="preserve">1.3.3.b Sigurimi dhe mirëmbajtja e sistemit të zinxhirit ftohes dhe sigurimi I sigurt I transportit të vaksinave
• Forcimi dhe mbajtja nën kontroll e zinxhirit ftohës 
 </t>
  </si>
  <si>
    <t xml:space="preserve">1.3.3.b Sigurimi dhe mirëmbajtja e sistemit të zinxhirit ftohes dhe sigurimi I sigurt I transportit të vaksinave
Forcimi dhe mbajtja nën kontroll e zinxhirit ftohës 
•Paga e specialistëve të programit të vaksinimit në ISHP: 3 specialist x12 muaj 
• Mirëmbajtja e zinxhirit ftohës dhe sigurimi i transportit te sigurt te transportit te vaksinave ( shpenzime operative,( karburant;dieta; mirëmbajtje e dhomave frigoriferike, sig i  makina me sisteme ftohes)  </t>
  </si>
  <si>
    <t xml:space="preserve">1.3.3.b Sigurimi dhe mirëmbajtja e sistemit të zinxhirit ftohes dhe sigurimi I sigurt I transportit të vaksinave
Forcimi dhe mbajtja nën kontroll e zinxhirit ftohës 
• paga e Vaksinatorëve në QSH = 420 punonjës x 1 muaj 
</t>
  </si>
  <si>
    <t xml:space="preserve">1.3.3.b Sigurimi dhe mirëmbajtja e sistemit të zinxhirit ftohes dhe sigurimi I sigurt I transportit të vaksinave
Forcimi dhe mbajtja nën kontroll e zinxhirit ftohës 
• Paga e kryvaksinatorëve ne NJVKSH  e rretheve1 specialistx 36 NJVKSH x 1 muaj.
</t>
  </si>
  <si>
    <t>Numri I dozave të vaksinws Anti covid 2019</t>
  </si>
  <si>
    <t>1.3.4.a Sigurimi I vaksinës COVID 19 
•Viti 2021 (2 300 000 doza= 3 418 700 000  lekë/ vit) buxheti I shtetit dhe BE =  lekë
• Viti 2022 ( 3 000 000 =4 455 000 000  lekë/ vit)
• Viti 2023 ( 3 000 000 =4 455 000 000  lekë/ vit)</t>
  </si>
  <si>
    <t xml:space="preserve">1.4.1. a Miratimi i strategjisë së sëmundjeve jo të transmetueshme bazuar në udhëzimet e OBSH si dhe ndërhyrjeve të tjera të rekomanduara nga OBSH-ja në reduktimin e faktorëve të rrezikut nga SJT-të (duhani, alkooli, kequshqyerja, aktiviteti fizik).
•Miratimi i strategjisë së SJT-ve (financuar nga Save the Children 1 700 000  lekë Lum sum) Viti 2021
• Puna e 5 specialistëve x 10 ditë / çdo vit (2022) </t>
  </si>
  <si>
    <t>07450 Shërbime të Shëndetit Publik/07220 Shërbime të Kujdesit Shëndetësor Parësor</t>
  </si>
  <si>
    <t xml:space="preserve">1.5.1. a Rishikimi i legjislacionit për shëndetin dhe të drejtat seksuale dhe riprodhuese.
•Paga e 4 specialisteve 2022 -2023 (2 muaj x vit nga 2022-2023) 
•tryeza  konsultimesh 3 per çdo vit nga 2022-2024 x 10 pjesemarres total 30 pjesemarres x 300 lek/pjesemarres shpenzime (coffe break etc)
•2 eksperte lokal për 20 ditë(viti 2022=10 ditë ) dhe (viti 2023 =10 ditë) </t>
  </si>
  <si>
    <t>1.5.1. d Miratimi i strategjisë të shëndetit seksual dhe riprodhues. 
• Fondet nga UNFPA për hartimin e strategjisë Viti 2021 = 1 700 000  lekë Lum sum
• Paga e 5 specialisteve x 1 muaj viti 2021
• Botimi i strategjisë 500 kopje x 700 lekë përe kopjr Viti 2022 (GAP/UNFPA)
• Prezantimi I strategjise : organizimi I një ditë për prezantimin e strategjisë lum sum 100 000  lekë viti 2022</t>
  </si>
  <si>
    <t>I.5.2.a Rishikimi dhe përshtatja e standardeve sipas rekomandimeve të OBSH për ZhFH-në.
•Përditësimi i standarteve të ZHFH sipas rekomandimeve të OBSH-së ( duke filluar nga 2022-2024)
• Grup pune me experte lokale 3x 20 ditë pune për çdo vit
•Takime pune 2 x 10 experte per çdo vit x 1 ditë (20 pjesemarres x 300  lekë/ person)
•Takime online Fee 15000  lekë
•Puna e specialisteve perkates 3 specialist x 1 muaj /çdo vit</t>
  </si>
  <si>
    <t xml:space="preserve">I.5.2.b Zgjerimi i shërbimeve të ekzaminimit neonatal, të zbulimit të hershëm dhe menaxhimi i vonesës në zhvillim tek të sapolindurit dhe fëmijët, duke përfshirë ndjekjen e çrregullimeve të spektrit të autizmit, sindromën Doën si dhe aftësitë e kufizuara. 
• Fuqizimi i punës konsultorit të fëmijëve në 416 qëndra konsultoret mestarisht 3 persona </t>
  </si>
  <si>
    <t>07330 Shërbime të Kujdesit Shëndetësor Dytësor/07220 Shërbime të Kujdesit Shëndetësor Parësor/07450 Shërbime të Shëndetit Publik</t>
  </si>
  <si>
    <t>1.5.3. a Planifikimi dhe bashkëpunimi me rrjetin e shkollave promovuese të shëndetit (Shkollat për Shëndetin në Evropë, SHE).
(Aktivitete te parashikuara ne PV te Promocionit Shëndetësor 2022-2030.)
• Plani I veprimit të Promocionit Shëndetësor I aprovuar 2021 
•Fondet nga UNFPA për hartimin ePV te Promocionit Shëndetësor  Viti 2021 = 1 100 000  lekë Lum sum
• Paga e 5 specialisteve x 1 muaj viti 2021</t>
  </si>
  <si>
    <t xml:space="preserve">1.5.3.b Studimi dhe për sjelljet ndaj Shëndetit tek Fëmijët e Moshës Shkollore (HBSC) në Shqipëri
HBSC eshte studim qe kryhet tek femijet e moshes shkollore 11, 13, 15 vjec çdo 4 vite. Do te kryhet ne 2021/2022, 2025/2026 dhe 2029/2030. Kosto e tyre eshte parashikuar ne PV te Promocionit Shendetesor 2022-2030. </t>
  </si>
  <si>
    <t xml:space="preserve">1.6.1.a Hartohen studime të rregullta kombëtare të popullsisë mbi gjendjen e shëndetit mendor si sondazhe të veçanta ose si pjesë e sondazheve më të gjera kombëtare për shëndetin e popullatës me rezultatet e sondazheve që ushqejnë drejtpërdrejt zhvillimin e politikave.
• Miratimi i udhëzuesit për menaxhimin e  çrregullimeve të shëndetit mendor në Kujdesin Shëndetësor Parësor Experte lokale 4 x 20 ditë (viti 2022 dhe 2023)
•Takime pune 6 x 10 specialist  ( 3 për vitin 2022 dhe 3 pe vitin 2023)
• Botimi i udhëzuesit 500 cope x 500  lekë/cope
• Puna e 5 specialistëve x 1 muaj / çdo vit </t>
  </si>
  <si>
    <t xml:space="preserve">1.6.1.a Hartohen studime të rregullta kombëtare të popullsisë mbi gjendjen e shëndetit mendor si sondazhe të veçanta ose si pjesë e sondazheve më të gjera kombëtare për shëndetin e popullatës me rezultatet e sondazheve që ushqejnë drejtpërdrejt zhvillimin e politikave.
-Ekipet e Mjekeve te Familjes dhe infermiereve për zbatimin në praktikë të Udhëzuesit te trajnuara
• Trajnime [20 trajnime / vit x 25 pjesemarres x 1 ditë]=Viti 2022 dhe [20 trajnime / vit x 25 pjesemarres x 1 ditë]=Viti 2023 
•Shpenzime operative 500 x 300  lekë per person/ vitin 2022 dhe 2023
• Pagesa e eksperteve lokale 20 ditë/ pune + 2 ditë raporti / viti 2022 dhe viti 2023 
• Puna e 5 specialistëve x 20 ditë / çdo vit (2022-2023) </t>
  </si>
  <si>
    <t>1.6.1. b Fuqizimi i rrjetit të integruar të shërbimeve të Shëndetit Mendor në nivel kombëtar, me fokus shërbimet me bazë komunitare dhe grupet vulnerabël (fëmjijët, adoleshentët, personat me masë mjekësore mjekim i detyruar, etj).
• Sigurimi I vazhdimësisë së Qëndrave të Komunitare të Shëndetit Mendor ( 10 QKSHM aktuale)</t>
  </si>
  <si>
    <t xml:space="preserve">
•Vazhdueshmëria dhe qëndrueshmëria e 14 Shtëpive mbështettëse të ngritura</t>
  </si>
  <si>
    <t xml:space="preserve">Sigurimi i shërbimeve me shtretër në nivel specialitetit në spitalet ekzistuese psikiatrike.
•Numri I pacientëve të trajtuar në spitale psikiatrike </t>
  </si>
  <si>
    <t>• Studim Fizibiliteti për forzimin dhe ngirtjen e 6 Qendra Komunitare të Shëndetit Mendor në Fier, Durrës, Dibër, Gjirokastër, Kukës dhe Lezhë funksionale, në nivel lokal dhe ngritja e të paktëne 3 pavioneve të specializuara parnë spitaleve (Fier, Korce, Durres)
•Përgatitja e një vlerësimi  (Viti 2023-2024) x 2 experte lokale x 10 ditë pune 
• puna e specialisteve 3 x 2 muaj/Vit (Viti 2023-2024)
•takime 10 experte x 6 takime.(donatore / ose GAP) (60 pjesemarres x 300  lekë) viti 2023-2024</t>
  </si>
  <si>
    <t xml:space="preserve">1.6.1.c Hartimi i Planit te Veprimit per Zhcillimin e Shërbineve të Shëndetit mendor,bazuar në iniciativën globale të OBSH-së për të përmirësuar cilësinë e shëndetit mendor dhe shërbimet e lidhura me të dhe për të promovuar të drejtat njerëzore të njerëzve me aftësi të kufizuara psikosociale, intelektuale dhe njohëse duke përdorur qasjen e saj të bazuar në të drejta dhe të orientuara drejt shërimit
-Raporti imonitorimit të zbatimit të Planit të Veprimit për Zhvillimin e Shërbimeve të Shendetit Mendor 2013-2022 i miratuar.  
•Përgatitja e një vlerësimi  (Viti 2022-2023) x 4 experte lokale x 30 ditë pune 
• puna e specialisteve 20 x 1 muaj (15 ditë /çdo vit)
•takime 10 experte x 6 takime.(donatore / ose GAP)
• Botimi i vlerësimit dhe rekomandimet kopje 300 cope x 700  lekë cope ( viti 2023)(Donatore/OBSH/ose GAP)                                                                                                                                                         </t>
  </si>
  <si>
    <t xml:space="preserve">1.6.1.c Hartimi i Planit te Veprimit per Zhcillimin e Shërbineve të Shëndetit mendor,bazuar në iniciativën globale të OBSH-së për të përmirësuar cilësinë e shëndetit mendor dhe shërbimet e lidhura me të dhe për të promovuar të drejtat njerëzore të njerëzve me aftësi të kufizuara psikosociale, intelektuale dhe njohëse duke përdorur qasjen e saj të bazuar në të drejta dhe të orientuara drejt shërimit                                                                                                                                      -Hartimi i Plani i Veprimit te  Zhvillimit te Sherbimeve te Shëndetit Mendor 2023-2030 I miratuar.
•Përgatitja e Strategjisë se re (Viti 2023-2024) x 4 experte lokale x 30 ditë pune 
• puna e specialisteve 10 x 2 muaj (2023-2024)
•takime 10 specialist x 2 takim/ Vit (2023-2024) - shpenz operat 20x300  lekë/per person
</t>
  </si>
  <si>
    <t xml:space="preserve">1.6.1.d Ngritja e kapaciteteve të profesionistëve të shëndetit mendor, trajnimi i tyre sipas standarteve të miratuara
•Stafet multidisiplinare te sherbimeve ekzistuese komunitare te shendetit mendor te fuqizuara dhe 
•Stafet multidisiplinare te sherbimeve te reja komunitare te shendetit mendor te fuqizuara mbi tipologjine e sherbimit te ofruar 
• Trajnime [5 trajnime / vit x 20 pjesemarres x 2 ditë]=Viti 2021 -2030 ( qiraja e salles eshte ne ambiente te institucioneve)
•Shpenzime operative 100 x 300  lekë per person/ vitin 2021-2030 
•Shpenzime dreke 100 x 3000 elek/person (viti 2021-2030)
• Pagesa e eksperteve lokale 5 ditë/ pune + 1 ditë raporti / viti 2021-2030 
• Puna e 5 specialistëve x 15 ditë / çdo vit (2021-2023) </t>
  </si>
  <si>
    <t xml:space="preserve">1.6.1.d Ngritja e kapaciteteve të profesionistëve të shëndetit mendor, trajnimi i tyre sipas standarteve të miratuara
•Stafet e sherbimeve me shtreter te shendetit mendor te trajnuara mbi "ëHO QualityRights training and guidance tools" të OBSH-së
•Trajnime [2 trajnime / vit x 20 pjesemarres x 2 ditë dhe [5 trajnime / vit x 20 pjesemarres x 2 ditë]=Viti 2021
•Shpenzime operative 40 x 300  lekë per person/ vitin 2021-2030 
•Shpenzime dreke 40 x 3000 lek/person (viti 2021-2030)
• Pagesa e eksperteve lokale 2 ditë/ pune + 1 ditë raporti / viti 2021-2030 
• Puna e 5 specialistëve x 4 ditë / çdo vit (2021-2023) </t>
  </si>
  <si>
    <r>
      <t xml:space="preserve">1.6.1. f Krijimi i programeve të trajnimit dhe ngritja e kapaciteteve për zbulimin e hershëm të Crregullimeve të shëndetit mendor për grupet e ndryshme të synuara, p.sh., mësuesit, punonjësit socialë, profesionistët e shëndetit, etj. </t>
    </r>
    <r>
      <rPr>
        <sz val="12"/>
        <color indexed="10"/>
        <rFont val="Calibri"/>
        <family val="2"/>
      </rPr>
      <t>(Ref Axhenda e Fëmijëve 2021-2026)
• Fuqizimi i vazhdueshëm i shërbimeve  në Qendren Kombetare trajtimit dhe rehabilitimit të fëmijëve  (QKTRF)
• Paga e specialisteve të QKTRF
• Shpenzimet operative
• Zhvillimi i infastrukturws dhe Fv paisjesh (Investime Viti 2021 -2023)</t>
    </r>
  </si>
  <si>
    <t>1.6.7. h Informimi dhe Edukimi i Popullatës mbi rëndësinë e zbulimit të hershëm të problemeve të shëndetit mendor
•Broshura dhe informacion i dedikuar pregatitet për ditën ndërkombëtare të shëndetit mendor (duke shfrytëzuar edhe rrjete sociale për dhënien e informacionit. (lum sum ) 500 000
•Puna e specialisëtve të promocionit 3 specialist x 0.5 muaj/vit</t>
  </si>
  <si>
    <t>07220 Shërbime të Kujdesit Shëndetësor Parësor/07330 Shërbime të Kujdesit Shëndetësor Dytësor/01110 Planifikimi, Menaxhimi dhe Administrimi/07450 Shërbime të Shëndetit Publik</t>
  </si>
  <si>
    <t>2.1.1.a Ofrimi i Programit Kombëtar të Kontrollit Mjekësor Bazë - Grup Mosha 35-70 vjeç.                                                                                                                                                                                                 • (Numri I personave të kontrolluar 475 mijë persona në vit sipas PBA 2022-2024)</t>
  </si>
  <si>
    <t>2.1.1.b Ofrimi i Programit Kombëtar i Depistimit të Kancerit të Qafës së Mitrës                                                                                                                                                                                                            •(Gra te depistuara për kancerin e qafës së mitrës 14 mijë)</t>
  </si>
  <si>
    <r>
      <t>2.1.1.c Ofrimi i Programit Kombëtar të Depistimit të Kancerit të Gjirit                                                                                                                                                                                                                                     • (Numri I grave të depistuara  për kancerin e gjirit 4500-5000 n</t>
    </r>
    <r>
      <rPr>
        <sz val="12"/>
        <color theme="1"/>
        <rFont val="Calibri"/>
        <family val="2"/>
      </rPr>
      <t>ë</t>
    </r>
    <r>
      <rPr>
        <sz val="6"/>
        <color theme="1"/>
        <rFont val="Calibri"/>
        <family val="2"/>
      </rPr>
      <t xml:space="preserve"> vit </t>
    </r>
    <r>
      <rPr>
        <sz val="12"/>
        <color theme="1"/>
        <rFont val="Calibri"/>
        <family val="2"/>
        <scheme val="minor"/>
      </rPr>
      <t>sipas PBA 2022-2024)</t>
    </r>
  </si>
  <si>
    <t>2.1.1.e Zgjerimi i mbulimit financiar te sherbimeve per personat e prekur nga COVID-19                                                                                                                                                                                                    • (Rimbursimi I shpenzimeve për trajtim ambulator-sipas VKM nr.908, datë18.11.2020)</t>
  </si>
  <si>
    <t>07330 Shërbime të Kujdesit Shëndetësor Dytësor/07450 Shërbime të Shëndetit Publik/07220 Shërbime të Kujdesit Shëndetësor Parësor</t>
  </si>
  <si>
    <t>2.1.2.a Ngritja e Grupeve të Punës të përbashkëta me përfaqësues nga ministritë përgjegjëse për Shëndetësinë, Çështjet Sociale, Sigurinë e Ushqimit dhe Ujit, Mjedisin, Energjinë, Integrimin në BE.                                                                                                                                                                                                                                                                                                                                 • Hartimi i urdhërit  për ngritjen e Grupeve të Punës të përbashkëta (5 persona*11 ditë pune në vit)                                                                                                                                                                    • Pjesëmarrja në grupet e punës (3 grupe x 3 persona x 3 takime x 5 ditë pune)
• 12% shpenzime administrative në vit mbi shumen e pagave dhe sig.shoq                                                                                                                                                                                                                                • takime periodike të grupit të punës (3 herë në vit x 15 persona x 300 lekë/person)</t>
  </si>
  <si>
    <t xml:space="preserve">2.1.2.b Hartimi i udhërrëfyesve/planeve strategjike për aktivizimin/fuqizimin e rolit të Shqipërisë në mekanizmat ndër-rajonalë, globalë, agjenda shëndetësore e të cilëve është me interes strategjik ose të veçantë për Shqipërinë . Hartimi i udhërrëfyesve:                                                                                                                                                                                                                                                                                                                                                        • Puna e ekspertëve për hartimin e udhërrëfyesve (5 persona*20 ditë në vitx 3 vite)                                                                                                                                                                                                   • Grupet e punës (5 persona x 2 muaj çdo vit)
• 12% shpenzime administrative në vit mbi shumen e pagave dhe sig.shoq                                                                                                                                                                                                                        • takime periodike të grupit të punës (3 herë në vit x 15 persona x 300 lekë/person)                                                                                                                                                                                           Hartimi i planeve strategjike                                                                                                                                                                                                                                                                                                                      • Puna e ekspertëve për hartimin e planeve strategjike (2 persona*20 ditë në vit x 2 vite)                                                                                                                                                                                                         • Grupet e punës (7 persona x 2 muaj çdo vit)
• 12% shpenzime administrative në vit mbi shumen e pagave dhe sig.shoq                                                                                                                                                                                                                          • takime periodike të grupit të punës (3 herë në vit x 15 persona x 300 lekë/person)  </t>
  </si>
  <si>
    <t>2.1.3.a Fuqizimi i koordinimit për zhvillimin dhe monitorimin e zbatimit të programeve dhe projekteve të BE-së që lidhen me shëndetin (në kuadrin e integrimit në BE).                                                                                                                                    • Kosto e stafit që punon në njësinë e integrimit (2 persona*12 muaj)                                                                                                                                                                                                                                               • Shpenzime operative 12% pagave&amp;sig.shoq</t>
  </si>
  <si>
    <t>2.1.3.b Përforcimi i aksesit në fondet IPA 3, duke i dhënë përparësi shëndetit, duke fuqizuar dhe demonstruar kapacitetet programatike të llogaridhënies financiare, duke zhvilluar projekt propozime dhe duke treguar koherencë strategjike.                                                                                                                                                                                                                                        • Kosto e stafit që punon në njësinë e integrimit  për hartimin e projekteve (1 persona*12 muaj)                                                                                                                                                                                  • Shpenzime operative 12% pagave&amp;sig.shoq                                                                               
• Ekspert për hartimin e projekt propozimeve/raportimin (1 ekspert*25 ditë)</t>
  </si>
  <si>
    <t>2.1.3.c Fuqizimi i mbështetjes së anëtarësimit të Shqipërisë në organet drejtuese globale dhe rajonale të OBSH-së.                                                                                     
 • Kosto e stafit që punon për raportimin në OBSH (3 persona*3 muaj)                                                                                                                                                                                                                        • Shpenzime operative 12% pagave&amp;sig.shoq                                                                              
 • Pjesëmarrja në aktivitetet e përvitshme  (3 persona x 5 ditë)</t>
  </si>
  <si>
    <t xml:space="preserve">2.2.1.a Vlerësimi i proçedurave të konsultimit publik nga ofruesit e shërbimeve shëndetësore                                                                                                                                                                         • Ekspert lokal për vlerësimin e procedurave të konsultimit publik në institucionet shëndetësore (4 ekspert*25 ditë -2022-2023) ;                                                                           
• 1 staf*1 muaj në vit koordinim                                                                                                                                                                                                                                                                                                                • 2 workshope për diskutimin e gjetjeve të raportit të vlerësimit  me grupet e interesit ( 60 pjesëmarës x 3000 lekë për person materiale, kafe dreka- 2023)                                                                          </t>
  </si>
  <si>
    <t xml:space="preserve">2.2.1.b Hartimi i kuadrit rregullativ dhe ligjor për konsultimin publik                                 
• Grup pune për hartimin e kuadrit rregullativ dhe ligjor (5 persona x 2 muaj x 4 vite);                                                                                                                                                                                                                    • shpenzime operative 12%                                                                                                                                                                                                                                                                                                                        • Tryeza pune 3 tryeza pune x 20 pjesemarres x 300  lekë/ person </t>
  </si>
  <si>
    <t xml:space="preserve">2.2.1.c. Vlerësimi i ndryshimeve të konsultimeve publike në nivel rajonal dhe lokal                                                                                                                                                                                                              • Monitorimi i rezultatit të ndryshimeve për vlerësimin e procedurave të konsultimit publik në institucionet shëndetësore (2 ekspert*25 ditë)                                                                                                                             • 1 workshop për diskutimin e gjetjeve të raportit të vlerësimit  me grupet e interesit ( 30 pjesëmarës x 3000 lekë për person materiale, kafe dreka)   </t>
  </si>
  <si>
    <r>
      <t>2.2.1.d Vendosja e standarteve me qëllim organizimin e një konsultimi publik të standartizuar                                                                                                                                                                                       • Grup pune për hartimin e standardeve p</t>
    </r>
    <r>
      <rPr>
        <sz val="12"/>
        <rFont val="Calibri"/>
        <family val="2"/>
      </rPr>
      <t>ër organizimin e konsultimeve publike</t>
    </r>
    <r>
      <rPr>
        <sz val="12"/>
        <rFont val="Calibri"/>
        <family val="2"/>
        <scheme val="minor"/>
      </rPr>
      <t xml:space="preserve"> (5 persona x 2 muaj x 2 vite);                                                                                                                                                                                                                    • shpenzime operative 12%                                                                                                                                                                                                                                                                                                                        • Tryeza pune 3 tryeza pune x 20 pjesemarres x 300  lekë/ person                                                                                                                                                                                                                                              • Grup pune p</t>
    </r>
    <r>
      <rPr>
        <sz val="12"/>
        <rFont val="Calibri"/>
        <family val="2"/>
      </rPr>
      <t>ër monitorimin e zbatimit të standardeve të konsultimit publik (5 persona x 2 muaj x 4 vite)                                                                                                                                                          • Ekspertë lokal për monitorimin (2 ekspertë x 15 ditë  x 4 vite)</t>
    </r>
  </si>
  <si>
    <t>2.2.1.e Aktivizimi i Keshillit te Pacienteve                                                                                                                                                                                                                                                                                             • Hartimi urdhërit për aktivizimin e këshillit  (3 persona x 2 muaj  2022);                                                                                                                                                                                                                                  • shpenzime operative 12%                                                                                                                                                                                                                                                                                                                        • 2 takime në vit me këshillin e pacientëve (shpenzime operative)                                                                                                                                                                                                                                      • Stafi për koordinimin e takime në vit me këshillin e pacientëve (1 person* 11 ditë pune))</t>
  </si>
  <si>
    <t xml:space="preserve">01110 Planifikimi, Menaxhimi dhe Administrimi </t>
  </si>
  <si>
    <t xml:space="preserve">2.3.1.a Pregatitja e raportimit periodik mbi qeverisjen aktuale në sektorin shëndetësor                                                                                                                                                                                                                      • Grup pune për  hartimin e raporteve periodike (7 persona x 2 muaj  në vit);                                                                                                                                                                                                                           • shpenzime operative 12%  </t>
  </si>
  <si>
    <t xml:space="preserve">2.3.1.b Prezantimi dhe diskutimi i raporteve të OBSH, të Komisioneve të Çështjeve Sociale dhe Shëndetit                                                                                                      
• Prezantimi i raporteve periodike  nga stafi drejtues (2 persona x 1 muaj  në vit);                                                     </t>
  </si>
  <si>
    <t xml:space="preserve">2.3.1.c Krijimi i 4 Këshillave Kombëtar Rajonalë të Shëndetit                                               
• Hartimi urdhërit për krijimin e Këshillave (3 persona x 3 muaj ) &amp; shpenzime operative 12% </t>
  </si>
  <si>
    <t xml:space="preserve">2.3.1.d. Ristrukturimi i bordeve, keshillave, komiteteve bazuar prioritet strategjike dhe ne rekomandimet e raporteve vleresuese periodike                                                                                          • Hartimi urdhërave  për ristrukturimin e bordeve, keshillave (3 persona x 3 muaj ) &amp; shpenzime operative 12% </t>
  </si>
  <si>
    <t xml:space="preserve">2.4.1.a Rishikimi i politikave kombëtare dhe sigurimi i përfshirjes së objektivit të barazisë në të gjitha proçese e zhvillimit të politikave shëndetësore                                                                                                                                                                                                                • 1 staf i MSHMS *2 muaj në vit koordinim &amp; shpenzime operative                                                                                                                                                                                                                                                                  • Ekspert lokal për rishikimin e politikave me lente gjinore ( 1 ekspert*40 ditë pune në vit)  </t>
  </si>
  <si>
    <t xml:space="preserve">2.4.1.b Përditësimi i parimeve dhe proçedurave për përfshirjen e të gjitha grupeve të popullatës në procesin e zhvillimit të politikave                                       
• Grup pune për  përditësimin e procedurave (5 persona x 2 muaj  në vit);                                                                                                                                                                                                                                 • shpenzime operative 12%                                                                                                                
 • Ekspert lokal për rishikimin e procedurave ( 1 ekspert*20 ditë pune në vit)  </t>
  </si>
  <si>
    <t xml:space="preserve">2.4.1.c Krijimi i sistemit të mbledhjes së rregullt të informacioneve në lidhje me barrierat për barazinë në grupe të ndryshme të popullatës 
• Grup pune për  krijimin dhe mbledhjen e informacionit (5 persona x 2 muaj  në vit);                                                                                                                                                                                                       • shpenzime operative 12%                                                                                                                 
</t>
  </si>
  <si>
    <t xml:space="preserve">2.5.1.a Sigurimi i prioriteteve të shpërndarjes së buxhetit për shëndetësinë. Rekomandohet që të paktën 12% e buxhetit të qeverisë të shpenzohet për shëndetësinë.                                                                                                      • Grup pune për  përcaktimin e prioriteteve të buxhetit  (5 Drejtues Ekipi dhe Koordinatori GMS x 1 muaj  në vit);                                                                                                                                                        
 • shpenzime operative 12%     </t>
  </si>
  <si>
    <t xml:space="preserve">2.5.1.b Vlerësimi i nivelit të pagesave joformale dhe trajtimi i tyre, veçanërisht në kujdesin spitalor.                                                                                                                                                                                                                                                                               • Grup pune për  vlerësimin e pagesave joformale në sektorin e Shëndetësisë  (7 persona x 3 muaj  në vit 2021-2022, dhe 1 muaj në vit periudhën tjetër);                                                                                                                                                         • shpenzime operative 12%     </t>
  </si>
  <si>
    <r>
      <t xml:space="preserve">2.5.1.e Rishikimi dhe zbatimi i mekanizmave miks të pagesave për shërbime të ndryshme dhe ofrues shërbimesh                                                                                                                                    </t>
    </r>
    <r>
      <rPr>
        <i/>
        <sz val="12"/>
        <color indexed="10"/>
        <rFont val="Calibri"/>
        <family val="2"/>
      </rPr>
      <t>(Reference Objektivi specifik 3, politika 6,  Strategjia e KSHP 2020-2025</t>
    </r>
  </si>
  <si>
    <t>2.6.1.a Rishikimi i kuadrit rregullativ dhe ligjor të Fondit të Sigurimit të Detyrueshëm të Kujdesit Shëndetësor                                                                         
•Vleresimi I kuadrit ligjore dhe hartimi i draft ligjit (3 experte x 25 ditë (2022)
• Grupi i punes i perbere nga 5 specialiste x 5 muaj (paga&amp;sig 2022)                           
• Shpenzime operative 25%
•Tryeza pune 3 tryeza pune x 20 pjesemarres x 300  lekë/ person</t>
  </si>
  <si>
    <t xml:space="preserve">2.6.1.b Krijimi i Planit të Veprimit për të filluar fuqizimin dhe përmirësimin e qeverisjes së financimit të kujdesit shëndetësor dhe progresin drejt blerjes të shërbimeve të kujdesit shëndetësorthe national vision and health priorities                                                                                                                                                                                                                                            •Ekspert lokal per hartimin e planit (3 experte x 25 ditë (2022)
• Grupi i punes i perbere nga 5 specialiste x 5 muaj (paga&amp;sig 2022)                            
• Shpenzime operative 25%
•Tryeza pune 3 tryeza pune x 20 pjesemarres x 300  lekë/ person </t>
  </si>
  <si>
    <t xml:space="preserve">2.6.1.c Rishikimi i skemës së financimit me qëllim kalimin me mekanizma të rinj të financimit që bazohen në produkte dhe që japin përparësi përmirësimit të rezultateve shëndetësore                                                                                                                                                                                                                                                                                                                                                                                 •Ekspert lokal dhe nderkombetar per rishikimin e skemës së financimit (3 experte  lokal x 25 ditë, 1 ekspert ndërkombëtar 25 ditë (2024)
• Grupi i punes i perbere nga 5 specialiste x 3 muaj (paga&amp;sig 2024-2025)                                                                                                                                                                   • Shpenzime operative të grupit të punës 15%
•Tryeza pune 3 tryeza pune x 20 pjesemarres x 300  lekë/ person </t>
  </si>
  <si>
    <t>2.7.1.b Përmirësimi në vazhdim i sigurisë së cilësisë së barnave                                     
• Shpenzimet e specialisteve te autorizimit për treg të barnave (2021-2030)  12 persona*12 muaj
•shpenzime operative 12% të pagave&amp;sig</t>
  </si>
  <si>
    <t>2.7.1.c Vijimi i politikave që garantojnë disponueshmërinë e barnave                                           
• Shpenzimet e specialisteve te sektorit të  shpërndarjes së barnave (2023-2030)  8 persona*12 muaj
•shpenzime operative 12% të pagave&amp;sig</t>
  </si>
  <si>
    <t>2.7.1.d Rritja e farmakovigjilncës në tregun farmaceutik                                                          
 • Shpenzimet e specialisteve te sektorit  (2023-2030) 5 persona*12 muaj
•shpenzime operative 15% të pagave&amp;sig</t>
  </si>
  <si>
    <t>2.7.1.e Përshtatja me zhvillimet e reja teknologjike (për ta bërë menaxhimin e ciklit të jetës së barnave më efikas)                                                                
 • Shpenzimet e specialisteve te sektorit  te inspektimit  (2025-2030)  5 persona*12 muaj
•shpenzime operative 15% të pagave&amp;sig</t>
  </si>
  <si>
    <t>2.7.1.g Fuqizimi i sistemit të sigurimit të cilësisë farmaceutike nga prodhimi farmaceutik, importi, autorizimi i tregut deri në shpërndarjen tek përdoruesi përfundimtar                                                                                                          • Shpenzimet e specialisteve te sektorit  autorizime për treg (2023-2030) 5 persona*12 muaj
•shpenzime operative 15% të pagave&amp;sig</t>
  </si>
  <si>
    <r>
      <t xml:space="preserve">2.7.1.h Informatizimi i rrjetit farmaceutik (krijimi i një harte të plotë të rrjetit të farmacive, importuesve dhe shpërndarësve) dhe krijimi i një baze të dhënash kombëtare (krijimi i infrastrukturës dhe rrjetëzimi i institucioneve shëndetësore dhe subjekteve private). Kjo synon të promovojë efikasitetin e mbikëqyrjes së tregut në fushën e barnave dhe të reduktojë informalitetin.      </t>
    </r>
    <r>
      <rPr>
        <sz val="12"/>
        <color rgb="FFFF0000"/>
        <rFont val="Calibri"/>
        <family val="2"/>
        <scheme val="minor"/>
      </rPr>
      <t xml:space="preserve"> </t>
    </r>
    <r>
      <rPr>
        <i/>
        <sz val="12"/>
        <color rgb="FFFF0000"/>
        <rFont val="Calibri"/>
        <family val="2"/>
        <scheme val="minor"/>
      </rPr>
      <t>Ref:     PLANI I VEPRIMIT Strategjia Agjenda Digjitale e Shqipërisë 2021+ Masa: Përmirësimi i Sistemit të Barnave dhe Pajisjeve Mjekësore      (kosto e sistemit n</t>
    </r>
    <r>
      <rPr>
        <sz val="12"/>
        <color rgb="FFFF0000"/>
        <rFont val="Calibri"/>
        <family val="2"/>
      </rPr>
      <t>ë</t>
    </r>
    <r>
      <rPr>
        <i/>
        <sz val="6.1"/>
        <color rgb="FFFF0000"/>
        <rFont val="Calibri"/>
        <family val="2"/>
      </rPr>
      <t xml:space="preserve"> buxhetin e AKSHI </t>
    </r>
    <r>
      <rPr>
        <sz val="12"/>
        <color rgb="FFFF0000"/>
        <rFont val="Calibri"/>
        <family val="2"/>
        <scheme val="minor"/>
      </rPr>
      <t xml:space="preserve">   2022-2023)             </t>
    </r>
    <r>
      <rPr>
        <sz val="12"/>
        <color theme="1"/>
        <rFont val="Calibri"/>
        <family val="2"/>
        <scheme val="minor"/>
      </rPr>
      <t xml:space="preserve">                                                                                                                                                                                                                                                                                                                                       • Shpenzimet e specialisteve te sektorit  IT (2023-2030) 5 persona*12 muaj
•shpenzime operative 15% të pagave&amp;sig</t>
    </r>
  </si>
  <si>
    <t>2.7.1 Fuqizimi i qeverisjes së tregut farmaceutik duke përfshirë vaksinat, diagnostifikimet dhe pajisjet</t>
  </si>
  <si>
    <t>2.8.1.a Mbulimi i rrjetit të hapur me barnat e listes se barnave te rimbursueshme ne te gjithe territorin (rimbursimi i shpenzimeve për barna dhe pajisje.                                                                                                                                                                                                                                                                                                                        •(Kostot sipas produktit te PBA 2022-2024_91303AC - Pacientë të trajtuar me recetë me rimbursim nga mjeku i familjes)                                                                                                                                                                                                                                                                                            •Viti 2021 4,975,379,000  lekë                                                                                                                                                                                                                                                                                                                                      •Viti 2022 11,020,000,000 lekë                                                                                                                                                                                                                                                                                                                   •Viti 2023 11,020,000,000 lekë                                                                                                                                                                                                                                                                                                              •Viti 2024 12,140,000,000 lekë</t>
  </si>
  <si>
    <t>2.8.1.b Vleresimi/rishikimi/monitorimi i marzhit të fitimit në zinxhirin e tregetimit te barnave, ulja e bashkëpagesave                                                                            
• Kosto e stafit për monitorimin e marzhit te fitimit (FSDKSH 4 staf*12 muaj)                                                                                                                                                                                                                                                       • Shpenzime operative 12% e pagës dhe sig.shoq.                                                   
 • Grup pune për vleresimin/rishikimin e marzhit të fitimit (4 persona*3 muaj në 2027 dhe 2030).</t>
  </si>
  <si>
    <t>2.8.1.c Vendosja e kufirit të përgjithshëm për shpenzimet për barna ambulatore, veçanërisht për popullatën me të ardhura të ulta                                      
• Grup pune për përcaktimin dhe rishikimin  e kufirit për çdo vit buxhetor (4 persona*3 muaj në 2025, ndërsa vitet e tjera vetëm 1 muaj).                               
• Ekspert i huaj për përcaktimin e metodologjisë ( 1 ekspert x 10 ditë në 2025)                                                                                                                                                                                                                      • Ekspert lokal për përcaktimin e metodologjisë ( 1 ekspert x 15 ditë në 2025)                                                                                                                                                                                                                        • Shpenzime operative 12% të pagave dhe sig. të grupit të punës</t>
  </si>
  <si>
    <t>2.8.1.d Fushata komunikimi per rritjen e besimit te popullates ne barnat e listes se barnave te rimbursueshme                                                                           
 • Shpenzime për realizimin e dy fushatave të komunikimit në vit (1 fushatë*10 milionë lekë në vit)                                                                                                                                                                            • Kosto e stafit për dizenjimin dhe koordinimin e fushatave të komunikimit (2 staf*12 muaj)                                                                                                                                                                                          • Shpenzime operative 12% e pagës dhe sig.shoq.</t>
  </si>
  <si>
    <t>2.9.1.a Hartimi i Plan Veprimit për AMR                                                                     
• Grupi i Punës për hartimin e planit (6 persona*3 muaj në vit)                           
• 12% shpenzime administrative në vit mbi shumen e pagave dhe sig.shoq
• Konsulente lokal  (3 eksperte x 20 ditë pune ne vit)                                             
•Tryeza konsultimi 2 tryeza pune x 20 pjesemarres x 300  lekë/ person/ per çdo vit(2024)</t>
  </si>
  <si>
    <t>2.9.1.b Krijimi i Komitetit të Koordinimit për veprimtarinë dhe veprimet e AMR-së                                                                                                                                                                                                            • Veprimtaria e antarëve të komitetit (7 persona*2 muaj në vit)
• 12% shpenzime administrative në vit mbi shumen e pagave dhe sig.shoq</t>
  </si>
  <si>
    <t>2.9.1.c Fuqizimi i survejancës kombëtare të AMR-së nëpërmjet fuqizimit të laboratorit, menaxhimit dhe analizës së të dhënave, interpretimit dhe raportimit të informacioneve, etj.                                                                                                                                                                                                                                                                                                                                            • Investime për fuqizimin e laboratorit (vlera totale 40 milionë e ndarë në 3 vite)                                                                                                                                                                                                                                                                                                    • Shpenzimet e pagave të specialistëve dhe laboranteve në labotarore (3 personax12 muaj)                                                                                                                                                                                                                                                                                                                           • Shpenzime direkte për materiale laboratorike                                                                                                                                                                                                                                                                                                                                                              • Shpenzime për përpunimin dhe interpretimin e të dhënave (2 persona x 12 muaj)</t>
  </si>
  <si>
    <r>
      <t>2.9.1.d Planifikimi dhe sigurimi i pjesëmarrjes së Komitetit në rrjetet globale të AMR-së                                                                                                                                                                                                 •</t>
    </r>
    <r>
      <rPr>
        <sz val="12"/>
        <color indexed="10"/>
        <rFont val="Calibri"/>
        <family val="2"/>
      </rPr>
      <t xml:space="preserve"> Pagesa e fee vjetore për antarësinë në rrjet    </t>
    </r>
    <r>
      <rPr>
        <sz val="12"/>
        <color indexed="8"/>
        <rFont val="Calibri"/>
        <family val="2"/>
      </rPr>
      <t xml:space="preserve">                                                                           
• Kosto për pjesëmarrjen në aktivitete vjetore të rrjetit (3 persona në vit)</t>
    </r>
  </si>
  <si>
    <t xml:space="preserve">2.9.1.e Fuqizimi i survejancës kombëtare të konsumit të AM-së përmes përshkrimit elektronik të recetës, mbledhjes dhe analizës së të dhënave, raportimit të rregullt.                                                                                                                   • Investime për upgrade te sitemit të recetave elektronike  (vlera totale 20 milionë e ndarë në 2 vite)                                                                                                                                                                                                                                                                                                    • Shpenzimet e pagave të specialistëve që merren me analizën dhe raportimin e të dhënave (OSHKSH 4 persona *3 muaj; FSDKSH 2 persona *3 muaj; AKBPM 2 persona *3 muaj )                                                                                                                                                                                                                                                                                                                                                                   • Shpenzime operative 12% pagave dhe sig.                                                                                                                                                                                                                                                                                                                                                              </t>
  </si>
  <si>
    <t>2.9.1.f Rishikimi dhe fuqizimi i politikave dhe mekanizmave të administrimit antimikrobik dhe diagnostikues në nivel kombëtar, rajonal dhe institucional.
 • Grupi i Punës për vlerësimin e politikave (5 persona*3 muaj në vit*2 vjet)                          
 • 12% shpenzime administrative në vit mbi shumen e pagave dhe sig.shoq
• Konsulente lokal  (3 eksperte x 10 ditë pune ne vit)                                            
 •Tryeza konsultimi 2 tryeza pune x 20 pjesemarres x 300  lekë/ person/ per çdo vit(2025-2026)                                                                                                                                                                                       • Grupi i Punës për rishikimin e politikave dhe mekanizmave të administrimit antimikrobik dhe diagnostikues bazuar në vlerësim (5 persona*3 muaj në vit*3 vjet)                                                                                                                           • 12% shpenzime administrative në vit mbi shumen e pagave dhe sig.shoq
• Konsulente lokal  (3 eksperte x 10 ditë pune ne vit)                                             
•Tryeza konsultimi 2 tryeza pune x 20 pjesemarres x 300  lekë/ person/ per çdo vit(2027-2030)</t>
  </si>
  <si>
    <t>2.9.1.gj Rritja dhe përmirësimi i ndërgjegjësimit të popullatës, edukimi dhe trajnimi i punonjësve të kujdesit shëndetësor në lidhje me përdorimin e AMR-ve.                                                                                                                                                   • trajnime për punonjësit e kujdesit shëndetësor (10 trainime në vit x 20 pjesëmarrës x 1 ditë)
•experte lokale 10 ditë pune + 1 ditë raportim
•shpenzime administrative 200 x 300  lekë 
•shpenzime dreke 200*3000  lekë/perperson                                                   
•shpenzime për fushata ndërgjegjësimi (1 fushatë në vit)                         
 •koordinimi i trajnimeve de fushatave të edukimit (2 persona* 2 muaj në vit)</t>
  </si>
  <si>
    <t>01110 Planifikimi, Menaxhimi dhe Administrimi/07450 Shërbime të Shëndetit Publik/07330 Shërbime të Kujdesit Shëndetësor Dytësor/07220 Shërbime të Kujdesit Shëndetësor Parësor</t>
  </si>
  <si>
    <r>
      <t>3.1.1.a Vazhdimi i rinovimit të infrastrukturës dhe rinovimi i qendrave shëndetësore dhe ambulancave , në çdo cep të Shqipërisë brenda vitit 2025.</t>
    </r>
    <r>
      <rPr>
        <sz val="12"/>
        <color rgb="FFFF0000"/>
        <rFont val="Calibri"/>
        <family val="2"/>
        <scheme val="minor"/>
      </rPr>
      <t xml:space="preserve"> (Investimet e planifikuara sipas PBA 2022-2024)</t>
    </r>
  </si>
  <si>
    <t xml:space="preserve">3.1.1. b Vleresim fizibiletit ne lidhje me restaurimi dhe fuqizimi I infrastuktures dentare (kabinete dhe punkte) ne sistemin ekzistues, premis per nje shendet me cilesor per te nesermen.(0-18 vjec)
• Analiza mbi situatën e inftastrukturës dentare në shkolla dhe propozimi i ndërhyrjeve/kostove (4 experte lokale x 30 ditë pune)) 
•Puna e specialisteve në terren për verifikimin e situatës në shkolla (12 specialist x 2 muaj)                                                                                                                                                                             •Takime pune 4 takime x 10 experte (40*300 lek/person te ndryshme)
•Koordinimi i punës së ekspertëve dhe specialistëve në terren (1 person x 4 muaj)  </t>
  </si>
  <si>
    <t>3.1.1.c Hartimi i profileve të profesionistëve në sistemin KSHP (Projekti HAP) 
• Analiza e profileve ekzistuese/pregatitja e profileve të reja (5 experte lokale x 20 ditë pune në vit)                                                                                                                                                         •Takime pune 5 takime x 15 experte të DKSHP (75*300 lek/person te ndryshme)
•Koordinimi i punës së ekspertëve dhe specialistëve për finalizimin e profileve (1 person x 4 muaj)</t>
  </si>
  <si>
    <t>3.1.1.Forcimi i shërbimeve dhe rritja e aksesit në kujdesin shëndetësor parësor</t>
  </si>
  <si>
    <r>
      <t>3.1.2.a Fuqizimi i programit vertikal të HIV/AIDS në bashkëpunim me KSHP (</t>
    </r>
    <r>
      <rPr>
        <sz val="12"/>
        <color rgb="FFFF0000"/>
        <rFont val="Calibri"/>
        <family val="2"/>
        <scheme val="minor"/>
      </rPr>
      <t>Ref Strategjia HIV/AIDS)</t>
    </r>
    <r>
      <rPr>
        <sz val="12"/>
        <color theme="1"/>
        <rFont val="Calibri"/>
        <family val="2"/>
        <scheme val="minor"/>
      </rPr>
      <t xml:space="preserve">
• kosto lokale Viti 2021 =23 200 000  lekë
• kosto lokale Viti 2022 = 69 609 000  lekë
• kosto lokale Viti 2023 = 30 000 000  lekë (nga PBA 2022-2024)                                                                                                                                                                                                                                                •Global Fond Viti 2021 = 141 511 000  lekë                                                                                                                                                                                                                                                                                     •Global Fond Viti 2022 = 30 000 000  lekë
•Global Fond Viti 2023 = 135 000 000  lekë
• Global Fond Viti 2024 = 50 000 000  lekë (nga PBA 2022-2024)</t>
    </r>
  </si>
  <si>
    <r>
      <t>3.1.2.b Fuqizimi i programit vertikal të TB në të gjithë vendin.(Ref Strategjia e TB)
• Kosto lokale e konsideruar me lart</t>
    </r>
    <r>
      <rPr>
        <sz val="12"/>
        <color theme="1"/>
        <rFont val="Calibri"/>
        <family val="2"/>
      </rPr>
      <t>ë</t>
    </r>
    <r>
      <rPr>
        <sz val="12"/>
        <color theme="1"/>
        <rFont val="Calibri"/>
        <family val="2"/>
        <scheme val="minor"/>
      </rPr>
      <t xml:space="preserve"> 
</t>
    </r>
  </si>
  <si>
    <t>07450 Shërbime të Shëndetit Publik/07330 Shërbime të Kujdesit Shëndetësor Dytësor</t>
  </si>
  <si>
    <t>3.1.2 Integrimi dhe bashkëpunimi ndërmjet KSHP dhe shërbimeve të shëndetit public për të rritur aksesin në programet e depistimit</t>
  </si>
  <si>
    <t>3.1.3.a Përmirësimi i indikatorëve të vlerësimit të shërbimeve të KSHP.   Kryerja e studimit mbi përmirësimin e indikatorëve.
•puna e eksperteve (3 ekspert x 15 ditë punë nç vit)
• puna  specialisteve te KSHP (6 specialiste x 2 muaj) dhe kosto operative 10% e pagave&amp;sig
• Publikimi i manualit  me indikatoret dhe metodologjine e grumbullimit dhe perpunimit (500 cope x 700  lekë/cope). Në koston për njësi përfshihet editimi, formatimi, etj.</t>
  </si>
  <si>
    <t>3.1.3 Përmirësimi I vazhdueshëm i cilësisë së shërbimeve të KSHP-së dhe vlerësimi i treguesve të performances</t>
  </si>
  <si>
    <t>3.2.1.a Rishikimi i Kuadrit Ligjor Spitalor 
•Vlerësimi i situatës ligjore dhe draft ligji 2 experte x 30 ditë (2022-2023)
• Grupi i punës i përberë nga 7 specialistë x 22 ditë  për çdo vit, e do të zhvillojnë edhe proceset e konsultimit (2022)
•Tryeza pune 2 tryeza pune x 15 pjesemarres x 300  lekë/ person/ per çdo vit</t>
  </si>
  <si>
    <t>3.2.1.b Rishikimi i Ligjit të Sigurimit të Detyrueshëm të Kujdesit Shëndetësor
•Vleresimi i situatës ligjore dhe draft ligji 3 expertë x 20 ditë (2022-2023)
• Grupi i punës i përbërë nga 9 specialistë x 22 ditë  për çdo vit, e do të zhvillojnëë edhe proceset e konsultimit (2022-2023)
•Tryeza pune 2 tryeza pune x 15 pjesemarres x 300  lekë/ person/ per çdo vit</t>
  </si>
  <si>
    <t>01110 Planifikimi, Menaxhimi dhe Administrimi/07330 Shërbime të Kujdesit Shëndetësor Dytësor</t>
  </si>
  <si>
    <t>3.2.1 Krijimi i 4 Poleve Rajonalë Referencialë të Specializuar</t>
  </si>
  <si>
    <t>3.2.2 a Zgjerimi I rrjetit të laboratorëve në spitalet universitare dhe rajonale 
•(Kosto totale e kontrates per 4.6 milione ekzaminime)</t>
  </si>
  <si>
    <t>3.2.2.b Rritja e aksesit për qytetarët që përfitojnë nga paketa e shërbimit të dializës në të gjithë vendin. 
•(Kosto sipas PBA 2021-2024)</t>
  </si>
  <si>
    <t>3.2.2.c Vazhdimësia e përdorimit të seteve të sterilizimit në shërbimin spitalor publik. 
•(Kosto sipas PBA 2021-2024)</t>
  </si>
  <si>
    <t xml:space="preserve">3.2.2.d Fuqizimi dhe zgjerimi I shërbimit transfuzional  me qëllim sigurimin aksesit të barabartë ndaj  gjakut të mjaftueshëm, cilësor e të sigurtë. </t>
  </si>
  <si>
    <t>3.2.2.e Pregatitja dhe hartimi i Paketës së Kujdesit të Syve për fëmijët (Grupmosha 4-14 vjeç).
• Kosto per studimin e fizibilitetit: (3 ekspert x 20 ditë pune, grup pune  7 persona x 4muaj; 6 tavolina x 15 persona x 3 mije/ lekë personi; kosto operative)</t>
  </si>
  <si>
    <t xml:space="preserve">3.2.2. g Zgjerimi I listës së gamës së barnave të rimbursueshme.                                                                                                                                                                                                                                                       • Kosto komitetit teknik: (16 ekspert x 11 ditë pune, grup pune  3 persona x 2 muaj; kosto operative 12%)
</t>
  </si>
  <si>
    <t>07330 Shërbime të Kujdesit Shëndetësor Dytësor/07220 Shërbime të Kujdesit Shëndetësor Parësor</t>
  </si>
  <si>
    <t>3.2.2 Fuqizimi i efikasitetit të rrjetit spitalor dhe kujdesit të specializuar</t>
  </si>
  <si>
    <r>
      <t xml:space="preserve">3.2.3. a Dyfishimi i kuotave të pranimit për mjekësinë për të plotësuar nevojat e shërbimit shëndetësor </t>
    </r>
    <r>
      <rPr>
        <sz val="12"/>
        <color indexed="10"/>
        <rFont val="Calibri"/>
        <family val="2"/>
      </rPr>
      <t>(Parashikuar në Strategjine e Arsimit)</t>
    </r>
  </si>
  <si>
    <r>
      <t>3.2.3.b  Rritja e kuotave në mjekësi nëpërmjet hartimit dhe zgjerimit të rrjetit formues të Universitetit të Mjekësisë                                                                                                                                                                    •Hartimi (maping) gjeografik I nevojave p</t>
    </r>
    <r>
      <rPr>
        <sz val="12"/>
        <color theme="1"/>
        <rFont val="Calibri"/>
        <family val="2"/>
      </rPr>
      <t>ë</t>
    </r>
    <r>
      <rPr>
        <sz val="12"/>
        <color theme="1"/>
        <rFont val="Calibri"/>
        <family val="2"/>
        <scheme val="minor"/>
      </rPr>
      <t>r specializant)-studim (4 ekspert</t>
    </r>
    <r>
      <rPr>
        <sz val="12"/>
        <color theme="1"/>
        <rFont val="Calibri"/>
        <family val="2"/>
      </rPr>
      <t>ë</t>
    </r>
    <r>
      <rPr>
        <sz val="12"/>
        <color theme="1"/>
        <rFont val="Calibri"/>
        <family val="2"/>
        <scheme val="minor"/>
      </rPr>
      <t xml:space="preserve"> x 10 dit</t>
    </r>
    <r>
      <rPr>
        <sz val="12"/>
        <color theme="1"/>
        <rFont val="Calibri"/>
        <family val="2"/>
      </rPr>
      <t>ë</t>
    </r>
    <r>
      <rPr>
        <sz val="12"/>
        <color theme="1"/>
        <rFont val="Calibri"/>
        <family val="2"/>
        <scheme val="minor"/>
      </rPr>
      <t>; koordinimi i vleresimit MSHMS 1 person x 1 muaj ne vit; 4 tryeza x 15 persona x 300 lekë/person)
•Hartimi i Marrëveshjes me UMT për zgjerimin e rrjetit formues (3 specialiste x 1 muaj; 10% kosto administrative)</t>
    </r>
  </si>
  <si>
    <t>09450 Arsimi i lartë/01110 Planifikimi, Menaxhimi dhe Administrimi</t>
  </si>
  <si>
    <t>3.2.3  Garantimi i mbulimit të nevojave me mjekë në sistemin shëndetësor</t>
  </si>
  <si>
    <r>
      <t>3.3.1. b Krijimi i mekanizmit rregullator të praktikës së dyfishtë të punës për mjekët specialist. Hartimi I dhe miratimi I ndryshimeve ligjore.                                                                                                                                     •Hartimi  i ndryshimeve ligjore (2022) (Grup pune 5 specialist</t>
    </r>
    <r>
      <rPr>
        <sz val="12"/>
        <color theme="1"/>
        <rFont val="Calibri"/>
        <family val="2"/>
      </rPr>
      <t>ë</t>
    </r>
    <r>
      <rPr>
        <sz val="12"/>
        <color theme="1"/>
        <rFont val="Calibri"/>
        <family val="2"/>
        <scheme val="minor"/>
      </rPr>
      <t xml:space="preserve"> x 2 muaj/vit person; 10% shpenzime t</t>
    </r>
    <r>
      <rPr>
        <sz val="12"/>
        <color theme="1"/>
        <rFont val="Calibri"/>
        <family val="2"/>
      </rPr>
      <t>ë</t>
    </r>
    <r>
      <rPr>
        <sz val="12"/>
        <color theme="1"/>
        <rFont val="Calibri"/>
        <family val="2"/>
        <scheme val="minor"/>
      </rPr>
      <t xml:space="preserve"> tjera operative; tryeza konsultimi 4 tryeza x 20 persona x 300 lekë/person)</t>
    </r>
  </si>
  <si>
    <r>
      <t>3.3.1.c Vendosja e bonusit të qerasë për mjekët me kontratë me Ministrinë e Shëndetësisë;                                                                                                                                                                                 •Vlerësimi i nevojave p</t>
    </r>
    <r>
      <rPr>
        <sz val="12"/>
        <color theme="1"/>
        <rFont val="Calibri"/>
        <family val="2"/>
      </rPr>
      <t>ë</t>
    </r>
    <r>
      <rPr>
        <sz val="12"/>
        <color theme="1"/>
        <rFont val="Calibri"/>
        <family val="2"/>
        <scheme val="minor"/>
      </rPr>
      <t>r bonus qeraje (viti 2023) (4 specialiste x 1 muaj; 10% shpenzime t</t>
    </r>
    <r>
      <rPr>
        <sz val="12"/>
        <color theme="1"/>
        <rFont val="Calibri"/>
        <family val="2"/>
      </rPr>
      <t>ë</t>
    </r>
    <r>
      <rPr>
        <sz val="12"/>
        <color theme="1"/>
        <rFont val="Calibri"/>
        <family val="2"/>
        <scheme val="minor"/>
      </rPr>
      <t xml:space="preserve"> tjera operative)
•Hartimi dhe miratimi i ndryshimeve ligjore, dhe efekteve n</t>
    </r>
    <r>
      <rPr>
        <sz val="12"/>
        <color theme="1"/>
        <rFont val="Calibri"/>
        <family val="2"/>
      </rPr>
      <t>ë</t>
    </r>
    <r>
      <rPr>
        <sz val="12"/>
        <color theme="1"/>
        <rFont val="Calibri"/>
        <family val="2"/>
        <scheme val="minor"/>
      </rPr>
      <t xml:space="preserve"> buxhet  (2024) (5 specialiste x 1 muaj; 10% shpenzime t</t>
    </r>
    <r>
      <rPr>
        <sz val="12"/>
        <color theme="1"/>
        <rFont val="Calibri"/>
        <family val="2"/>
      </rPr>
      <t>ë</t>
    </r>
    <r>
      <rPr>
        <sz val="12"/>
        <color theme="1"/>
        <rFont val="Calibri"/>
        <family val="2"/>
        <scheme val="minor"/>
      </rPr>
      <t xml:space="preserve"> tjera operative)</t>
    </r>
  </si>
  <si>
    <r>
      <t>3.3.1.ç P</t>
    </r>
    <r>
      <rPr>
        <sz val="12"/>
        <color theme="1"/>
        <rFont val="Calibri"/>
        <family val="2"/>
      </rPr>
      <t>ë</t>
    </r>
    <r>
      <rPr>
        <sz val="12"/>
        <color theme="1"/>
        <rFont val="Calibri"/>
        <family val="2"/>
        <scheme val="minor"/>
      </rPr>
      <t>rmiresimi i vazhdueshëm i kushteve të punës dhe sigurimi i profesionit; Hartimi i Bazës Ligjore për Sigurimin  e profesionit                                                                                                (Grup pune 7 specialiste x 2 muaj/vit person;                                                                                                                                                                                                                                                                             10% shpenzime t</t>
    </r>
    <r>
      <rPr>
        <sz val="12"/>
        <color theme="1"/>
        <rFont val="Calibri"/>
        <family val="2"/>
      </rPr>
      <t>ë</t>
    </r>
    <r>
      <rPr>
        <sz val="6"/>
        <color theme="1"/>
        <rFont val="Calibri"/>
        <family val="2"/>
      </rPr>
      <t>2024</t>
    </r>
    <r>
      <rPr>
        <sz val="12"/>
        <color theme="1"/>
        <rFont val="Calibri"/>
        <family val="2"/>
        <scheme val="minor"/>
      </rPr>
      <t xml:space="preserve"> tjera operative;                                                                                                                                                                                                                                                                                                                       tryeza konsultimi 4 tryeza x 20 persona x 300 lekë/person)</t>
    </r>
  </si>
  <si>
    <t>3.3.1.d Vendosja e marveshjeve dypalëshe me shtetet ku emigron më së shumti personeli mjekësor shqiptar, në kuader të zbatimit të Kodit Global të OBSH-së për praktikat mbi rekrutimin ndërkombëtar të personelit shëndetësor (1 ekspert ndërkombetar x 20 ditë pune; Grup pune për hartimin e marrëveshjeve: 5 specialistë x 2 muaj/vit person; 10% shpenzime të tjera operative; tryeza konsultimi 4 tryeza x 20 persona x 300 lekë/person)</t>
  </si>
  <si>
    <t>3.3.1. e Hartimi i strategjisë së burimeve njerëzore në shëndetësi                                                                                                                                                                                                                             (2 ekspert lokal x 25 ditë pune; Grup pune për hartimin e strategjise: 7 specialistë x 3 muaj; 12% shpenzime të tjera operative; tryeza konsultimi 2 tryeza x 20 persona x 300 lekë/person)</t>
  </si>
  <si>
    <r>
      <t>3.3.2. a Angazhimi i QKEV në zgjerimin dhe forcimin e skemave të edukimit në vazhdim të organizuar nga institucionet e kujdesit shëndetësor publik për stafet e tyre profesionale, përfshirë Grupet e Kolegëve (GK)</t>
    </r>
    <r>
      <rPr>
        <sz val="12"/>
        <color indexed="8"/>
        <rFont val="Calibri"/>
        <family val="2"/>
      </rPr>
      <t>.</t>
    </r>
  </si>
  <si>
    <t>3.3.3. a Përditësimi Regjistrit Qendror të Personelit Shëndetësor                                                                                                                                                                                                                                  (Hedhja e të dhënave të punonjësve të sistemit shëndetësor në Regjistrin Qendror të Personelit ( 3 specialist në MSHMS x 3 muaj / vit; 10% e pagave&amp;sig.shpenzime operative)</t>
  </si>
  <si>
    <r>
      <t>3.3.3. b Trajnimi i personelit të burimeve njerëzore të institucioneve shëndetësore mbi popullimin e të dhënave në Regjistrin Qendror të Personelit  (1 trajnim x 20 persona x 1 dit</t>
    </r>
    <r>
      <rPr>
        <sz val="12"/>
        <color theme="1"/>
        <rFont val="Calibri"/>
        <family val="2"/>
      </rPr>
      <t>ë</t>
    </r>
    <r>
      <rPr>
        <sz val="12"/>
        <color theme="1"/>
        <rFont val="Calibri"/>
        <family val="2"/>
        <scheme val="minor"/>
      </rPr>
      <t>; materiale trajnimi, trajnere nga DAP)</t>
    </r>
  </si>
  <si>
    <t xml:space="preserve">3.3.3. Zhvillimi dhe zbatimi i programeve dhe instrumentave për mbledhjen e të dhënave vjetore mbi burimet njerëzore në shëndetësi </t>
  </si>
  <si>
    <t>4.1.1.a Krijimi i mekanizmave për fuqizimin dhe sigurimin e koordinimit ndërsektorial me qëllim zvogëlimin e rreziqeve nga fatkeqësitë, emergjencat. 
• Krijimi I Grupeve të punës per ndjekjen dhe hartimin e mekanizmave 5 grupe pune x 10 specialits x 1 muaj /vit</t>
  </si>
  <si>
    <r>
      <t>4.1.1.b Hartimi i Strategjive për përballimin e fatkeqësive dhe emergjencave me qëllim pasqyrimin e masave operacionale për parandalimin, mbrojtjen, kontrollin dhe ruajtjen e shëndetit publik.
•Experte lokale 3 x 1 muaj/</t>
    </r>
    <r>
      <rPr>
        <sz val="12"/>
        <color theme="1"/>
        <rFont val="Calibri"/>
        <family val="2"/>
      </rPr>
      <t>ç</t>
    </r>
    <r>
      <rPr>
        <sz val="12"/>
        <color theme="1"/>
        <rFont val="Calibri"/>
        <family val="2"/>
        <scheme val="minor"/>
      </rPr>
      <t xml:space="preserve">do vit (2021-2023)
• Specialiste (MSHMS;ISHP;FDSKSH;OSHKSH etc) 10 x 2 muaj/ vit
• takime pune 4 x 20 pjesemarres (2021-2023) 300  lekë/vit
</t>
    </r>
  </si>
  <si>
    <t>4.1.1.c Zbatimi i Strategjive në përgjigje të emergjencave shëndetësore sipas roleve, përgjegjësive, rezultateve dhe afateve përkatëse në nivel rajonal dhe lokal.</t>
  </si>
  <si>
    <r>
      <t>4.1.2.a Modernizimi i Laboratorëve të ISHP nëpërmjet investimeve në pajisje dhe teknologji laboratorike. 
• Investime n</t>
    </r>
    <r>
      <rPr>
        <sz val="12"/>
        <color theme="1"/>
        <rFont val="Calibri"/>
        <family val="2"/>
      </rPr>
      <t>ë</t>
    </r>
    <r>
      <rPr>
        <sz val="12"/>
        <color theme="1"/>
        <rFont val="Calibri"/>
        <family val="2"/>
        <scheme val="minor"/>
      </rPr>
      <t xml:space="preserve"> paisje (20 000 000 lek</t>
    </r>
    <r>
      <rPr>
        <sz val="12"/>
        <color theme="1"/>
        <rFont val="Calibri"/>
        <family val="2"/>
      </rPr>
      <t>ë</t>
    </r>
    <r>
      <rPr>
        <sz val="12"/>
        <color theme="1"/>
        <rFont val="Calibri"/>
        <family val="2"/>
        <scheme val="minor"/>
      </rPr>
      <t xml:space="preserve"> nga WB-Viti 2021 dhe 10 000 000 lek</t>
    </r>
    <r>
      <rPr>
        <sz val="12"/>
        <color theme="1"/>
        <rFont val="Calibri"/>
        <family val="2"/>
      </rPr>
      <t>ë</t>
    </r>
    <r>
      <rPr>
        <sz val="12"/>
        <color theme="1"/>
        <rFont val="Calibri"/>
        <family val="2"/>
        <scheme val="minor"/>
      </rPr>
      <t xml:space="preserve"> viti 2022) 
• Investime n</t>
    </r>
    <r>
      <rPr>
        <sz val="12"/>
        <color theme="1"/>
        <rFont val="Calibri"/>
        <family val="2"/>
      </rPr>
      <t>ë</t>
    </r>
    <r>
      <rPr>
        <sz val="12"/>
        <color theme="1"/>
        <rFont val="Calibri"/>
        <family val="2"/>
        <scheme val="minor"/>
      </rPr>
      <t xml:space="preserve"> rikonstruksion ( Viti 2022= 13 680 000; Viti 2023 13 680 000;Viti 2024= 13 680 000 dhe pas 2025=195 575 000)</t>
    </r>
  </si>
  <si>
    <r>
      <t>4.1.2.b Dyfishimi i kapaciteteve testuese të ISHP.
• Shpenzimet e pagave t</t>
    </r>
    <r>
      <rPr>
        <sz val="12"/>
        <color theme="1"/>
        <rFont val="Calibri"/>
        <family val="2"/>
      </rPr>
      <t>ë</t>
    </r>
    <r>
      <rPr>
        <sz val="12"/>
        <color theme="1"/>
        <rFont val="Calibri"/>
        <family val="2"/>
        <scheme val="minor"/>
      </rPr>
      <t xml:space="preserve"> Specialist t</t>
    </r>
    <r>
      <rPr>
        <sz val="12"/>
        <color theme="1"/>
        <rFont val="Calibri"/>
        <family val="2"/>
      </rPr>
      <t>ë</t>
    </r>
    <r>
      <rPr>
        <sz val="12"/>
        <color theme="1"/>
        <rFont val="Calibri"/>
        <family val="2"/>
        <scheme val="minor"/>
      </rPr>
      <t xml:space="preserve"> laboratoreve dhe laboranteve
• Shpenzime direkte p</t>
    </r>
    <r>
      <rPr>
        <sz val="12"/>
        <color theme="1"/>
        <rFont val="Calibri"/>
        <family val="2"/>
      </rPr>
      <t>ë</t>
    </r>
    <r>
      <rPr>
        <sz val="12"/>
        <color theme="1"/>
        <rFont val="Calibri"/>
        <family val="2"/>
        <scheme val="minor"/>
      </rPr>
      <t>r materiale laboratorike n</t>
    </r>
    <r>
      <rPr>
        <sz val="12"/>
        <color theme="1"/>
        <rFont val="Calibri"/>
        <family val="2"/>
      </rPr>
      <t>ë</t>
    </r>
    <r>
      <rPr>
        <sz val="12"/>
        <color theme="1"/>
        <rFont val="Calibri"/>
        <family val="2"/>
        <scheme val="minor"/>
      </rPr>
      <t xml:space="preserve"> ISHP</t>
    </r>
  </si>
  <si>
    <r>
      <t>4.1.1.c Fuqizimi i kapaciteteve të koordinimit dhe komunikimit për zbulimin, parandalimin dhe reagimin ndaj rreziqeve të shëndetit publik.
• specialiste t</t>
    </r>
    <r>
      <rPr>
        <sz val="12"/>
        <color theme="1"/>
        <rFont val="Calibri"/>
        <family val="2"/>
      </rPr>
      <t>ë</t>
    </r>
    <r>
      <rPr>
        <sz val="12"/>
        <color theme="1"/>
        <rFont val="Calibri"/>
        <family val="2"/>
        <scheme val="minor"/>
      </rPr>
      <t xml:space="preserve"> NJVKSH dhe shpenzimet operative t</t>
    </r>
    <r>
      <rPr>
        <sz val="12"/>
        <color theme="1"/>
        <rFont val="Calibri"/>
        <family val="2"/>
      </rPr>
      <t>ë</t>
    </r>
    <r>
      <rPr>
        <sz val="12"/>
        <color theme="1"/>
        <rFont val="Calibri"/>
        <family val="2"/>
        <scheme val="minor"/>
      </rPr>
      <t xml:space="preserve"> tyre
• shpenzimet operative</t>
    </r>
  </si>
  <si>
    <r>
      <t>4.1.1.c Fuqizimi i kapaciteteve të koordinimit dhe komunikimit për zbulimin, parandalimin dhe reagimin ndaj rreziqeve të shëndetit publik.
• specialist t</t>
    </r>
    <r>
      <rPr>
        <sz val="12"/>
        <color theme="1"/>
        <rFont val="Calibri"/>
        <family val="2"/>
      </rPr>
      <t>ë</t>
    </r>
    <r>
      <rPr>
        <sz val="12"/>
        <color theme="1"/>
        <rFont val="Calibri"/>
        <family val="2"/>
        <scheme val="minor"/>
      </rPr>
      <t xml:space="preserve"> ISHP 10 specialist x 6 muaj /vit
• shpenzimet operative</t>
    </r>
  </si>
  <si>
    <t>07220 Shërbime të Kujdesit Shëndetësor Parësor/07450 Shërbime të Shëndetit Publik</t>
  </si>
  <si>
    <t>4.1.3.a Rritja e numrit të burimeve njerëzore dhe trajnimi i tyre për t’iu përgjigjur emergjencave. (2022-2025)
• trajnime për stafin mjeksore pjesëmarrës nga NJVKSH; OSHKSH:Urgjencat 
• puna e specialistëve në çdo Organizatë 6 cpecialist x 20 ditë/pune/çdo vit
• 10 trainime ne vit x 20 pjesemarres x 1 ditë
•experte lokale 10 ditë pune + 1 ditë raportim
•shpenzime administrative 200 x 300  lekë 
•shpenzime dreke 200*3000  lekë/perperson</t>
  </si>
  <si>
    <t>4.1.3.b Rriten kapacitetet e personelit të trajnuar infermieror dhe stafit jo-mjekësor për njohjen e reagimit gjatë emergjencave dhe fatkeqësive.(2022-2025)
• trajnime për stafin infermieror dhe staf jo mjeksor ( infermier, vaksinatore, psikolog në NJVKSH, OSHKSH,Urgjenca etj)
• 10 trainime në vit x 20 pjesëmarrës x 1 ditë
•experte lokale 10 ditë pune + 1 ditë raportim
•shpenzime administrative 200 x 300  lekë 
•shpenzime dreke 200*3000  lekë/perperson</t>
  </si>
  <si>
    <t>4.2.1.a Rritja me 20% e flotës së re të autoambulancave në përgjigje të situatës së pandemisë
• Viti 2024 = 22 ambulanca = 85 000 000  lekë</t>
  </si>
  <si>
    <r>
      <t>4.2.1.b Realizimi i planifikimeve sipas nevojave të rajoneve për shpërndarjen e autoabulancave 
• Planifikimi sipas nevojave dhe shp</t>
    </r>
    <r>
      <rPr>
        <sz val="12"/>
        <color theme="1"/>
        <rFont val="Calibri"/>
        <family val="2"/>
      </rPr>
      <t>ë</t>
    </r>
    <r>
      <rPr>
        <sz val="12"/>
        <color theme="1"/>
        <rFont val="Calibri"/>
        <family val="2"/>
        <scheme val="minor"/>
      </rPr>
      <t>rndarja e tyre specialist</t>
    </r>
    <r>
      <rPr>
        <sz val="12"/>
        <color theme="1"/>
        <rFont val="Calibri"/>
        <family val="2"/>
      </rPr>
      <t>ë</t>
    </r>
    <r>
      <rPr>
        <sz val="12"/>
        <color theme="1"/>
        <rFont val="Calibri"/>
        <family val="2"/>
        <scheme val="minor"/>
      </rPr>
      <t>t e MSHMS  3 specialist  x 4 muaj  (viti 2024-2025)</t>
    </r>
  </si>
  <si>
    <r>
      <t>4.2.1.c Planifikimi i gadishmërisë së urgjencave në nivel kombëtar dhe rajonal 
•Ngritja e  back up te SHKUM 
• Nd</t>
    </r>
    <r>
      <rPr>
        <sz val="12"/>
        <color theme="1"/>
        <rFont val="Calibri"/>
        <family val="2"/>
      </rPr>
      <t>ë</t>
    </r>
    <r>
      <rPr>
        <sz val="12"/>
        <color theme="1"/>
        <rFont val="Calibri"/>
        <family val="2"/>
        <scheme val="minor"/>
      </rPr>
      <t>rtime 125 000 000 n</t>
    </r>
    <r>
      <rPr>
        <sz val="12"/>
        <color theme="1"/>
        <rFont val="Calibri"/>
        <family val="2"/>
      </rPr>
      <t>ë</t>
    </r>
    <r>
      <rPr>
        <sz val="12"/>
        <color theme="1"/>
        <rFont val="Calibri"/>
        <family val="2"/>
        <scheme val="minor"/>
      </rPr>
      <t xml:space="preserve"> vitin 2023
• F+V paisje 40 000 000 nw vitin 2024
</t>
    </r>
  </si>
  <si>
    <r>
      <t>•Pagat e Mjeke/infermiere ne spitalet universitare t</t>
    </r>
    <r>
      <rPr>
        <sz val="12"/>
        <color theme="1"/>
        <rFont val="Calibri"/>
        <family val="2"/>
      </rPr>
      <t>ë</t>
    </r>
    <r>
      <rPr>
        <sz val="12"/>
        <color theme="1"/>
        <rFont val="Calibri"/>
        <family val="2"/>
        <scheme val="minor"/>
      </rPr>
      <t xml:space="preserve"> specializuara
•shpenzimet (mjeksore+direkte + indirekte)
</t>
    </r>
  </si>
  <si>
    <r>
      <t>4.2.1.d Aktivizimi operacional i shpërndarjes 
• Pagat e Sh</t>
    </r>
    <r>
      <rPr>
        <sz val="12"/>
        <color theme="1"/>
        <rFont val="Calibri"/>
        <family val="2"/>
      </rPr>
      <t>ë</t>
    </r>
    <r>
      <rPr>
        <sz val="12"/>
        <color theme="1"/>
        <rFont val="Calibri"/>
        <family val="2"/>
        <scheme val="minor"/>
      </rPr>
      <t>rbimit Komb</t>
    </r>
    <r>
      <rPr>
        <sz val="12"/>
        <color theme="1"/>
        <rFont val="Calibri"/>
        <family val="2"/>
      </rPr>
      <t>ë</t>
    </r>
    <r>
      <rPr>
        <sz val="12"/>
        <color theme="1"/>
        <rFont val="Calibri"/>
        <family val="2"/>
        <scheme val="minor"/>
      </rPr>
      <t>tar t</t>
    </r>
    <r>
      <rPr>
        <sz val="12"/>
        <color theme="1"/>
        <rFont val="Calibri"/>
        <family val="2"/>
      </rPr>
      <t>ë</t>
    </r>
    <r>
      <rPr>
        <sz val="12"/>
        <color theme="1"/>
        <rFont val="Calibri"/>
        <family val="2"/>
        <scheme val="minor"/>
      </rPr>
      <t xml:space="preserve"> urgjenc</t>
    </r>
    <r>
      <rPr>
        <sz val="12"/>
        <color theme="1"/>
        <rFont val="Calibri"/>
        <family val="2"/>
      </rPr>
      <t>ë</t>
    </r>
    <r>
      <rPr>
        <sz val="12"/>
        <color theme="1"/>
        <rFont val="Calibri"/>
        <family val="2"/>
        <scheme val="minor"/>
      </rPr>
      <t>s 
• sh</t>
    </r>
    <r>
      <rPr>
        <sz val="12"/>
        <color theme="1"/>
        <rFont val="Calibri"/>
        <family val="2"/>
      </rPr>
      <t>ë</t>
    </r>
    <r>
      <rPr>
        <sz val="12"/>
        <color theme="1"/>
        <rFont val="Calibri"/>
        <family val="2"/>
        <scheme val="minor"/>
      </rPr>
      <t xml:space="preserve">rbimet Operative
</t>
    </r>
  </si>
  <si>
    <r>
      <t>4.3.1.a Krijimi i Komitetit Teknik të Ekspertëve me qëllim udhëzimin e popullatës për reagimin ndaj emergjencave shëndetësore 
• Komiteti Teknik  15 specialist x 4 muaj/ vit, n</t>
    </r>
    <r>
      <rPr>
        <sz val="12"/>
        <color theme="1"/>
        <rFont val="Calibri"/>
        <family val="2"/>
      </rPr>
      <t>ë</t>
    </r>
    <r>
      <rPr>
        <sz val="12"/>
        <color theme="1"/>
        <rFont val="Calibri"/>
        <family val="2"/>
        <scheme val="minor"/>
      </rPr>
      <t>permjet organizmit t</t>
    </r>
    <r>
      <rPr>
        <sz val="12"/>
        <color theme="1"/>
        <rFont val="Calibri"/>
        <family val="2"/>
      </rPr>
      <t>ë</t>
    </r>
    <r>
      <rPr>
        <sz val="12"/>
        <color theme="1"/>
        <rFont val="Calibri"/>
        <family val="2"/>
        <scheme val="minor"/>
      </rPr>
      <t xml:space="preserve"> mbledhjeve 
</t>
    </r>
  </si>
  <si>
    <r>
      <t>4.3.1.b Rritja e koordinimit ndërsektorial sipas udhëzimeve të Komitetit Teknik të Ekspertëve si organi që drejton aktivitetet për parandalimin e pandemisë 
•Drejtues t</t>
    </r>
    <r>
      <rPr>
        <sz val="12"/>
        <color theme="1"/>
        <rFont val="Calibri"/>
        <family val="2"/>
      </rPr>
      <t>ë</t>
    </r>
    <r>
      <rPr>
        <sz val="12"/>
        <color theme="1"/>
        <rFont val="Calibri"/>
        <family val="2"/>
        <scheme val="minor"/>
      </rPr>
      <t xml:space="preserve"> OKSSH, ISHP, NJVKSH, Spitalet  100 specialist x 3 muaj (per organzim dhe bashkerendim t</t>
    </r>
    <r>
      <rPr>
        <sz val="12"/>
        <color theme="1"/>
        <rFont val="Calibri"/>
        <family val="2"/>
      </rPr>
      <t>ë</t>
    </r>
    <r>
      <rPr>
        <sz val="12"/>
        <color theme="1"/>
        <rFont val="Calibri"/>
        <family val="2"/>
        <scheme val="minor"/>
      </rPr>
      <t xml:space="preserve"> pun</t>
    </r>
    <r>
      <rPr>
        <sz val="12"/>
        <color theme="1"/>
        <rFont val="Calibri"/>
        <family val="2"/>
      </rPr>
      <t>ë</t>
    </r>
    <r>
      <rPr>
        <sz val="12"/>
        <color theme="1"/>
        <rFont val="Calibri"/>
        <family val="2"/>
        <scheme val="minor"/>
      </rPr>
      <t>s)</t>
    </r>
  </si>
  <si>
    <r>
      <t>4.4.1.a Rritja dhe fuqizimi i rolit të njësive vendore të kujdesit shëndetësor në nivel rajonal dhe lokal
• shpenzimet e specialist</t>
    </r>
    <r>
      <rPr>
        <sz val="12"/>
        <color theme="1"/>
        <rFont val="Calibri"/>
        <family val="2"/>
      </rPr>
      <t>ë</t>
    </r>
    <r>
      <rPr>
        <sz val="12"/>
        <color theme="1"/>
        <rFont val="Calibri"/>
        <family val="2"/>
        <scheme val="minor"/>
      </rPr>
      <t>ve 2 x  36 nj</t>
    </r>
    <r>
      <rPr>
        <sz val="12"/>
        <color theme="1"/>
        <rFont val="Calibri"/>
        <family val="2"/>
      </rPr>
      <t>ë</t>
    </r>
    <r>
      <rPr>
        <sz val="12"/>
        <color theme="1"/>
        <rFont val="Calibri"/>
        <family val="2"/>
        <scheme val="minor"/>
      </rPr>
      <t xml:space="preserve">sive vendore
 </t>
    </r>
  </si>
  <si>
    <t xml:space="preserve">4.4.1.b Rritja dhe fuqizimi i kontrollit të sigurisë ushqimore në bashkëpunim me Autoritetin Kombëtar të Ushqimit
• Shpenzimet e AKU për Inspektimi dhe menaxhimi i riskut në fushën e sigurisë ushqimore
• Shpenzimet e specialisteve të ISHSH 10 specialist (2021-2030)
•shpenzime operative per dieta dhe te tjera (lum sum = 300 000 lekë/vit
</t>
  </si>
  <si>
    <t>4.4.1.c Përgatitja e Planit të Veprimit për situatat emergjente me materiale radioaktive përgjegjëse për rregullimin e veprimeve me burime nga rrezatimi jonizues. 
• Expertë të huaj 2 x 1 muaj
•Expertë lokale 2 x 1 muaj / çdo ekspertë  (2023)
• Specialist 7 x 2 muaj/ vit
• takime pune 4 x 20 pjesemarres (shpenzime operative 80*300  lekë per person)
• Perkthime, editime, botime  (200 fq x 2000  lekë) (viti 2023)</t>
  </si>
  <si>
    <t xml:space="preserve">4.4.1.d Hartimi informacioneve mbi ushqimin e pasigurt, shkëmbimi i informacioneve dhe marrja e masave, nëpërmjet aktiviteteve për rritjen e ndërgjegjësimit.
• Ndarja e informacionit me publikun (fushata ndergjgjesimi) viti 2024-2025 Lum sum ( 1 000 000  lekë/ vit 2024 dhe 2025)
• puna e specialistëve 2 x 2 muaj/ çdo vit
</t>
  </si>
  <si>
    <r>
      <t>4.5.1.a Zhvillimi dhe zbatimi i një sistemi të unifikuar të informacionit laboratorik për të gjithë laboratorët e shëndetit publik, si dhe trajnimi i stafit mjekësor për përdorimin e tij  
• Krijimi i nje softi p</t>
    </r>
    <r>
      <rPr>
        <sz val="12"/>
        <color theme="1"/>
        <rFont val="Calibri"/>
        <family val="2"/>
      </rPr>
      <t>ë</t>
    </r>
    <r>
      <rPr>
        <sz val="12"/>
        <color theme="1"/>
        <rFont val="Calibri"/>
        <family val="2"/>
        <scheme val="minor"/>
      </rPr>
      <t>r t</t>
    </r>
    <r>
      <rPr>
        <sz val="12"/>
        <color theme="1"/>
        <rFont val="Calibri"/>
        <family val="2"/>
      </rPr>
      <t>ë</t>
    </r>
    <r>
      <rPr>
        <sz val="12"/>
        <color theme="1"/>
        <rFont val="Calibri"/>
        <family val="2"/>
        <scheme val="minor"/>
      </rPr>
      <t xml:space="preserve"> unfikuar informacionet laboratorike (2023-2024 ) lum sum 50 000 000
• Puna e specialisteve 10 specialiste x 3 muaj/ vit   
</t>
    </r>
  </si>
  <si>
    <r>
      <t>4.5.1.c Krijimi i platformës dixhitale elektronike (përfshirë aplikacionet celulare) për gjurmimin e kontakteve në shpërthimet e sëmundjeve Ref: PLANI I VEPRIMIT Strategjia Agjenda Digjitale e Shqipërisë 2021+ Masa: Përmirësimi i sistemit të sëmundshmërisë (kosto e sistemit në buxhetin e AKSHI    2022-2023)
• Krijimi I nje softi p</t>
    </r>
    <r>
      <rPr>
        <sz val="12"/>
        <color theme="1"/>
        <rFont val="Calibri"/>
        <family val="2"/>
      </rPr>
      <t>ë</t>
    </r>
    <r>
      <rPr>
        <sz val="12"/>
        <color theme="1"/>
        <rFont val="Calibri"/>
        <family val="2"/>
        <scheme val="minor"/>
      </rPr>
      <t>r t</t>
    </r>
    <r>
      <rPr>
        <sz val="12"/>
        <color theme="1"/>
        <rFont val="Calibri"/>
        <family val="2"/>
      </rPr>
      <t>ë</t>
    </r>
    <r>
      <rPr>
        <sz val="12"/>
        <color theme="1"/>
        <rFont val="Calibri"/>
        <family val="2"/>
        <scheme val="minor"/>
      </rPr>
      <t xml:space="preserve"> unfikuar informacionet laboratorike (2024-2025 ) lum sum 50 000 000 
• Puna e specialist</t>
    </r>
    <r>
      <rPr>
        <sz val="12"/>
        <color theme="1"/>
        <rFont val="Calibri"/>
        <family val="2"/>
      </rPr>
      <t>ë</t>
    </r>
    <r>
      <rPr>
        <sz val="12"/>
        <color theme="1"/>
        <rFont val="Calibri"/>
        <family val="2"/>
        <scheme val="minor"/>
      </rPr>
      <t>ve 20 x 2 muaj/pun</t>
    </r>
    <r>
      <rPr>
        <sz val="12"/>
        <color theme="1"/>
        <rFont val="Calibri"/>
        <family val="2"/>
      </rPr>
      <t>ë</t>
    </r>
    <r>
      <rPr>
        <sz val="12"/>
        <color theme="1"/>
        <rFont val="Calibri"/>
        <family val="2"/>
        <scheme val="minor"/>
      </rPr>
      <t xml:space="preserve"> n</t>
    </r>
    <r>
      <rPr>
        <sz val="12"/>
        <color theme="1"/>
        <rFont val="Calibri"/>
        <family val="2"/>
      </rPr>
      <t>ë</t>
    </r>
    <r>
      <rPr>
        <sz val="12"/>
        <color theme="1"/>
        <rFont val="Calibri"/>
        <family val="2"/>
        <scheme val="minor"/>
      </rPr>
      <t xml:space="preserve"> vit</t>
    </r>
  </si>
  <si>
    <r>
      <t>4.5.1.c Krijimi i platformës dixhitale elektronike (përfshirë aplikacionet celulare) për gjurmimin e kontakteve në shpërthimet e sëmundjeve PLANI I VEPRIMIT Strategjia Agjenda Digjitale e Shqipërisë 2021+ Masa: Përmirësimi i sistemit të sëmundshmërisë (kosto e sistemit në buxhetin e AKSHI    2022-2023)
• Krijimi I nj</t>
    </r>
    <r>
      <rPr>
        <sz val="12"/>
        <color theme="1"/>
        <rFont val="Calibri"/>
        <family val="2"/>
      </rPr>
      <t>ë</t>
    </r>
    <r>
      <rPr>
        <sz val="12"/>
        <color theme="1"/>
        <rFont val="Calibri"/>
        <family val="2"/>
        <scheme val="minor"/>
      </rPr>
      <t xml:space="preserve"> softi p</t>
    </r>
    <r>
      <rPr>
        <sz val="12"/>
        <color theme="1"/>
        <rFont val="Calibri"/>
        <family val="2"/>
      </rPr>
      <t>ë</t>
    </r>
    <r>
      <rPr>
        <sz val="12"/>
        <color theme="1"/>
        <rFont val="Calibri"/>
        <family val="2"/>
        <scheme val="minor"/>
      </rPr>
      <t>r t</t>
    </r>
    <r>
      <rPr>
        <sz val="12"/>
        <color theme="1"/>
        <rFont val="Calibri"/>
        <family val="2"/>
      </rPr>
      <t>ë</t>
    </r>
    <r>
      <rPr>
        <sz val="12"/>
        <color theme="1"/>
        <rFont val="Calibri"/>
        <family val="2"/>
        <scheme val="minor"/>
      </rPr>
      <t xml:space="preserve"> unfikuar informacionet laboratorike (2024-2025 ) lum sum 50 000 000 
• Puna e specialist</t>
    </r>
    <r>
      <rPr>
        <sz val="12"/>
        <color theme="1"/>
        <rFont val="Calibri"/>
        <family val="2"/>
      </rPr>
      <t>ë</t>
    </r>
    <r>
      <rPr>
        <sz val="12"/>
        <color theme="1"/>
        <rFont val="Calibri"/>
        <family val="2"/>
        <scheme val="minor"/>
      </rPr>
      <t>ve 50 x 2 muaj/pun</t>
    </r>
    <r>
      <rPr>
        <sz val="12"/>
        <color theme="1"/>
        <rFont val="Calibri"/>
        <family val="2"/>
      </rPr>
      <t>ë</t>
    </r>
    <r>
      <rPr>
        <sz val="12"/>
        <color theme="1"/>
        <rFont val="Calibri"/>
        <family val="2"/>
        <scheme val="minor"/>
      </rPr>
      <t xml:space="preserve"> n</t>
    </r>
    <r>
      <rPr>
        <sz val="12"/>
        <color theme="1"/>
        <rFont val="Calibri"/>
        <family val="2"/>
      </rPr>
      <t>ë</t>
    </r>
    <r>
      <rPr>
        <sz val="12"/>
        <color theme="1"/>
        <rFont val="Calibri"/>
        <family val="2"/>
        <scheme val="minor"/>
      </rPr>
      <t xml:space="preserve"> vit</t>
    </r>
  </si>
  <si>
    <t>4.5.1.d Zbatimi i testimit rutinë të survejancës, veçanërisht për institucionet me risk të lartë si shtëpitë e të moshuarve, punonjësit e shëndetit, etj.
• Krijimi i udhëzuesve për testimet rutinë institucionet me risk ( puna e specialistëve 3 specialist x  3muaj /çdo vit)
• Shpenzime të ndryshme 500 000 lekë/ çdo vit</t>
  </si>
  <si>
    <r>
      <t>4.6.1.a Forcimi i komunikimit midis institucioneve shëndetësore 
• Hartimi I udh</t>
    </r>
    <r>
      <rPr>
        <sz val="12"/>
        <color theme="1"/>
        <rFont val="Calibri"/>
        <family val="2"/>
      </rPr>
      <t>ë</t>
    </r>
    <r>
      <rPr>
        <sz val="12"/>
        <color theme="1"/>
        <rFont val="Calibri"/>
        <family val="2"/>
        <scheme val="minor"/>
      </rPr>
      <t>zuesve t</t>
    </r>
    <r>
      <rPr>
        <sz val="12"/>
        <color theme="1"/>
        <rFont val="Calibri"/>
        <family val="2"/>
      </rPr>
      <t>ë</t>
    </r>
    <r>
      <rPr>
        <sz val="12"/>
        <color theme="1"/>
        <rFont val="Calibri"/>
        <family val="2"/>
        <scheme val="minor"/>
      </rPr>
      <t xml:space="preserve"> ndrysh</t>
    </r>
    <r>
      <rPr>
        <sz val="12"/>
        <color theme="1"/>
        <rFont val="Calibri"/>
        <family val="2"/>
      </rPr>
      <t>ë</t>
    </r>
    <r>
      <rPr>
        <sz val="12"/>
        <color theme="1"/>
        <rFont val="Calibri"/>
        <family val="2"/>
        <scheme val="minor"/>
      </rPr>
      <t>m
•Puna e specialist</t>
    </r>
    <r>
      <rPr>
        <sz val="12"/>
        <color theme="1"/>
        <rFont val="Calibri"/>
        <family val="2"/>
      </rPr>
      <t>ë</t>
    </r>
    <r>
      <rPr>
        <sz val="12"/>
        <color theme="1"/>
        <rFont val="Calibri"/>
        <family val="2"/>
        <scheme val="minor"/>
      </rPr>
      <t>ve t</t>
    </r>
    <r>
      <rPr>
        <sz val="12"/>
        <color theme="1"/>
        <rFont val="Calibri"/>
        <family val="2"/>
      </rPr>
      <t>ë</t>
    </r>
    <r>
      <rPr>
        <sz val="12"/>
        <color theme="1"/>
        <rFont val="Calibri"/>
        <family val="2"/>
        <scheme val="minor"/>
      </rPr>
      <t xml:space="preserve"> MSHMs 10 x 2 muaj/vit
</t>
    </r>
  </si>
  <si>
    <r>
      <t xml:space="preserve">
• Takime Pune 30 specialiste t</t>
    </r>
    <r>
      <rPr>
        <sz val="12"/>
        <color theme="1"/>
        <rFont val="Calibri"/>
        <family val="2"/>
      </rPr>
      <t>ë</t>
    </r>
    <r>
      <rPr>
        <sz val="12"/>
        <color theme="1"/>
        <rFont val="Calibri"/>
        <family val="2"/>
        <scheme val="minor"/>
      </rPr>
      <t xml:space="preserve"> institucioneve t</t>
    </r>
    <r>
      <rPr>
        <sz val="12"/>
        <color theme="1"/>
        <rFont val="Calibri"/>
        <family val="2"/>
      </rPr>
      <t>ë</t>
    </r>
    <r>
      <rPr>
        <sz val="12"/>
        <color theme="1"/>
        <rFont val="Calibri"/>
        <family val="2"/>
        <scheme val="minor"/>
      </rPr>
      <t xml:space="preserve"> ndryshme  x 10 dit</t>
    </r>
    <r>
      <rPr>
        <sz val="12"/>
        <color theme="1"/>
        <rFont val="Calibri"/>
        <family val="2"/>
      </rPr>
      <t>ë</t>
    </r>
    <r>
      <rPr>
        <sz val="12"/>
        <color theme="1"/>
        <rFont val="Calibri"/>
        <family val="2"/>
        <scheme val="minor"/>
      </rPr>
      <t xml:space="preserve"> n</t>
    </r>
    <r>
      <rPr>
        <sz val="12"/>
        <color theme="1"/>
        <rFont val="Calibri"/>
        <family val="2"/>
      </rPr>
      <t>ë</t>
    </r>
    <r>
      <rPr>
        <sz val="12"/>
        <color theme="1"/>
        <rFont val="Calibri"/>
        <family val="2"/>
        <scheme val="minor"/>
      </rPr>
      <t xml:space="preserve"> vit/takime pune)</t>
    </r>
  </si>
  <si>
    <t xml:space="preserve">Shkembimi I informacionit nga baza në qendër (NJVKSH; QSUT etj deri ë MSHMS)
•Specialist përgjegjës nga çdo institucion 100 x 3 muaj/vit
</t>
  </si>
  <si>
    <r>
      <t xml:space="preserve">4.6.1.c Krijimi i shkëmbimit elektronik të informacionit klinik, laboratorik, mjedisor dhe të tjera të shëndetit publik, në formate standarde midis sistemeve të dixhitalizuara të shëndetit publik.   </t>
    </r>
    <r>
      <rPr>
        <sz val="12"/>
        <color rgb="FFFF0000"/>
        <rFont val="Calibri"/>
        <family val="2"/>
        <scheme val="minor"/>
      </rPr>
      <t xml:space="preserve">Ref:     PLANI I VEPRIMIT Strategjia Agjenda Digjitale e Shqipërisë 2021+ Masa: Përmirësimi i sistemit të sëmundshmërisë (kosto e sistemit në buxhetin e AKSHI    2022-2023) </t>
    </r>
    <r>
      <rPr>
        <sz val="12"/>
        <color theme="1"/>
        <rFont val="Calibri"/>
        <family val="2"/>
        <scheme val="minor"/>
      </rPr>
      <t xml:space="preserve"> 
• krijimi I nj</t>
    </r>
    <r>
      <rPr>
        <sz val="12"/>
        <color theme="1"/>
        <rFont val="Calibri"/>
        <family val="2"/>
      </rPr>
      <t>ë</t>
    </r>
    <r>
      <rPr>
        <sz val="12"/>
        <color theme="1"/>
        <rFont val="Calibri"/>
        <family val="2"/>
        <scheme val="minor"/>
      </rPr>
      <t xml:space="preserve"> softewar p</t>
    </r>
    <r>
      <rPr>
        <sz val="12"/>
        <color theme="1"/>
        <rFont val="Calibri"/>
        <family val="2"/>
      </rPr>
      <t>ë</t>
    </r>
    <r>
      <rPr>
        <sz val="12"/>
        <color theme="1"/>
        <rFont val="Calibri"/>
        <family val="2"/>
        <scheme val="minor"/>
      </rPr>
      <t>r shk</t>
    </r>
    <r>
      <rPr>
        <sz val="12"/>
        <color theme="1"/>
        <rFont val="Calibri"/>
        <family val="2"/>
      </rPr>
      <t>ë</t>
    </r>
    <r>
      <rPr>
        <sz val="12"/>
        <color theme="1"/>
        <rFont val="Calibri"/>
        <family val="2"/>
        <scheme val="minor"/>
      </rPr>
      <t>mbimi elektronik (50 000 000 lekë/ vit)
• Puna e specialist</t>
    </r>
    <r>
      <rPr>
        <sz val="12"/>
        <color theme="1"/>
        <rFont val="Calibri"/>
        <family val="2"/>
      </rPr>
      <t>ë</t>
    </r>
    <r>
      <rPr>
        <sz val="12"/>
        <color theme="1"/>
        <rFont val="Calibri"/>
        <family val="2"/>
        <scheme val="minor"/>
      </rPr>
      <t>ve 10 x 3 muaj / çdo vit</t>
    </r>
  </si>
  <si>
    <t>Summary Year 9 / Permbledhje Viti 9</t>
  </si>
  <si>
    <t>Summary Year 8 / Permbledhje Viti 8</t>
  </si>
  <si>
    <t>Summary Year 7 / Permbledhje Viti 7</t>
  </si>
  <si>
    <t>Summary Year 6 / Permbledhje Viti 6</t>
  </si>
  <si>
    <t>Summary Year 5 / Permbledhje Viti 5</t>
  </si>
  <si>
    <t>Summary Year 4 / Permbledhje Viti 4</t>
  </si>
  <si>
    <t>Summary Year 3 / Permbledhje Viti 3</t>
  </si>
  <si>
    <t>Summary Year 2 / Permbledhje Viti 2</t>
  </si>
  <si>
    <t>2.2 Objektivi Specifik :Fuqizimi i mekanizmave të konsultimit publik me qëllim rritjen rritjen e transparencës dhe llogaridhënies ndaj publikut dhe popullatës</t>
  </si>
  <si>
    <t>1.4.1. b Forcimi I kapaciteteve për integrimin e shërbimeve socio-shëndetësore për menaxhimin e katër SJT-ve kryesore (CVD, diabeti, sëmundjet kronike të frymëmarrjes, kanceri) përgjatë vazhdimësisë së kujdesit (parandalimi klinik, ekzaminimi/zbulimi i hershëm, diagnoza, trajtimi, rehabilitimi, kujdesi paliativ)
• Trajnime [10 trajnime / vit x 25 pjesemarres x 1 ditë]=Viti 2022 dhe [10 trajnime / vit x 25 pjesemarres x 1 ditë]
•Shpenzime operative 250 x 300  lekë per person/ vitin 2022 dhe 2023
• Pagesa e eksperteve lokale 10 ditë/ pune + 2 ditë raporti / viti 2022 dhe viti 2023 
• Puna e 5 specialistëve x 10 ditë / çdo vit (2022-2023) 
• asistence teknike per krijimin e 5 protokolleve (Banka boterore) 6,360,000 leke</t>
  </si>
  <si>
    <t>2.1.1.d Zgjerimi I skemës së financimit të paketave shëndetësore 
• (2021-2024 financimi I paketave ekzistuese sipas PBA 2022-2024).
• Kosto per studimin: (3 ekspert x 30 ditë pune, grup pune 3 grupe x 5 persona x 2 muaj; 6 tavolina x 15 persona x 3 mije/ lekë personi)
• Meshtetje nga WB per kostimin e paketave( Viti 2022 10,000,000  leke)</t>
  </si>
  <si>
    <t>3.1.1.d Ngitje e kapaciteteve të KSHP-së për tju përgjigjur situatave emergjente                                                                                                                                                                                                    • Hartimi i modulit të trajnimit (2 ekspertë lokal x 10 ditë pune)                                                                                                                                                                                                              •Organizimi i 33 trajnimeve x 25 punonjës të QSH x 1 ditë                                   
•Trajnime 2 trajnerë x 13 ditë pune në vit (trajnim &amp; raportim)                                                                                                                     
•Koordinimi i punës së ekspertëve dhe specialistëve për finalizimin e profileve (1 person x 4 muaj)
•Ngritje kapacitetesh nga projekti HAP fokusuar ne profilet e infermjereve sherbimet ne banese dhe rritja e kapaciteteve per infermjere familje ne bashkepunim me UMT per ofrimin e masterit ne infemjeri e familje (MOIF)</t>
  </si>
  <si>
    <t>3.2.1.c Hartimi i Kartës së Autonomisë Spitalore 
•Vleresimi i situates se autonomise spitalore 2 expertë x 20 ditë (2022)
• Grupi i punës i përbërë nga 11 specialistë x 33 ditë  për çdo vit, e do të zhvillojnë edhe proceset e konsultimit (2022)
•Tryeza pune 6 tryeza pune x 20 pjesemarres x 300  lekë/ person/ per çdo aktivitet (per  4 tryeza dieta &amp; udhetimi per 15 pjesemarres)
•Asistence teknike nga WB 10,000,000 leke ne vitin 2022</t>
  </si>
  <si>
    <t>3.2.2.ç Vazhdimi i modernizimit të infrastrukturës spitalore 
•(Shpenzimet kapitale sipas PBA 2022-2024 lista e investimeve)
•Financime te huaja kredi nga WB per modernizimin e strukturave spitalore 2021-2025</t>
  </si>
  <si>
    <t>3.3.1.a Vazhdimi i rritjes graduale te pagave ne sistemin shendetesore për ta bëre atë në fund te 10-vjecarit te krahasueshme me pagat e vendeve te rajonit dhe ato europiane;                                                                                                           •Vlerësimi i efekteve nte pagave Viti 2021  dhe ne vazhdim Viti 2022 duke perfshire (ndryshimet e VKM-së 555 date 11/08/2011 ne masen 6% duke filluar nga 6 mujori  i dyte 2022 deri ne 40% ne vitin 2025</t>
  </si>
  <si>
    <r>
      <t>3.3.1.a Vazhdimi i rritjes graduale t</t>
    </r>
    <r>
      <rPr>
        <sz val="12"/>
        <color theme="1"/>
        <rFont val="Calibri"/>
        <family val="2"/>
      </rPr>
      <t>ë</t>
    </r>
    <r>
      <rPr>
        <sz val="12"/>
        <color theme="1"/>
        <rFont val="Calibri"/>
        <family val="2"/>
        <scheme val="minor"/>
      </rPr>
      <t xml:space="preserve"> pagave n</t>
    </r>
    <r>
      <rPr>
        <sz val="12"/>
        <color theme="1"/>
        <rFont val="Calibri"/>
        <family val="2"/>
      </rPr>
      <t>ë</t>
    </r>
    <r>
      <rPr>
        <sz val="12"/>
        <color theme="1"/>
        <rFont val="Calibri"/>
        <family val="2"/>
        <scheme val="minor"/>
      </rPr>
      <t xml:space="preserve"> sistemin shendetesore për ta bëre atë në fund t</t>
    </r>
    <r>
      <rPr>
        <sz val="12"/>
        <color theme="1"/>
        <rFont val="Calibri"/>
        <family val="2"/>
      </rPr>
      <t>ë</t>
    </r>
    <r>
      <rPr>
        <sz val="12"/>
        <color theme="1"/>
        <rFont val="Calibri"/>
        <family val="2"/>
        <scheme val="minor"/>
      </rPr>
      <t xml:space="preserve"> 10-vjecarit te krahasueshme me pagat e vendeve te rajonit dhe ato europiane;
•Shpenzimeper paga te punonjeseve bazuar ne pba 2021-2024 dhe shpenzimet operative per 2 muaj ne vitin 2021                                                                                                                                                                                                                                                                                                                                               •Vlerësimi i efekteve n</t>
    </r>
    <r>
      <rPr>
        <sz val="12"/>
        <color theme="1"/>
        <rFont val="Calibri"/>
        <family val="2"/>
      </rPr>
      <t>ë</t>
    </r>
    <r>
      <rPr>
        <sz val="12"/>
        <color theme="1"/>
        <rFont val="Calibri"/>
        <family val="2"/>
        <scheme val="minor"/>
      </rPr>
      <t xml:space="preserve"> buxhet t</t>
    </r>
    <r>
      <rPr>
        <sz val="12"/>
        <color theme="1"/>
        <rFont val="Calibri"/>
        <family val="2"/>
      </rPr>
      <t>ë</t>
    </r>
    <r>
      <rPr>
        <sz val="12"/>
        <color theme="1"/>
        <rFont val="Calibri"/>
        <family val="2"/>
        <scheme val="minor"/>
      </rPr>
      <t xml:space="preserve"> rritjes së pagave me 6% (viti 2021) (5 specialiste x 2 muaj; bazuar ne ndryshimi i VKM-së 555 dt 11/08/2011 p</t>
    </r>
    <r>
      <rPr>
        <sz val="12"/>
        <color theme="1"/>
        <rFont val="Calibri"/>
        <family val="2"/>
      </rPr>
      <t>ë</t>
    </r>
    <r>
      <rPr>
        <sz val="12"/>
        <color theme="1"/>
        <rFont val="Calibri"/>
        <family val="2"/>
        <scheme val="minor"/>
      </rPr>
      <t xml:space="preserve">r rishikimin e pagave (2022) </t>
    </r>
  </si>
  <si>
    <t>4.1.1.d Vazhdimësia e sigurimit të politikave shëndetësore dhe financiare për të garantuar zbatimin e strategjive në nivel kombëtar, rajonal, lokal dhe ndërkombëtar. 
•financime te WB per mbeshtetjen e strategjive kombetare kunder COVID-19</t>
  </si>
  <si>
    <t>Funded by OBSH/</t>
  </si>
  <si>
    <t xml:space="preserve">2.5.1.c Reduktimi i shpenzimeve nga xhepi si pjesë e shpenzimeve të përgjithshme shëndetësore nën 30%                                                                                                   
• Grup pune për  vlerësimin e shpenzimeve nga xhepi për çdo vit financiar  (7 persona x 2 muaj  në vit );                                                                                                                                                        
 • shpenzime operative 12%                                                                                                                                                                                                                                                                                                                         </t>
  </si>
  <si>
    <t xml:space="preserve">• KrijimiI   4 Shtëpive mbështetëse (në Tirane, Vlorë , Dibër dhe Pogradec ) IPA 2023-2024
• Rikonstruksioni dhe Investime për Shtëpitë mbështetëse 
• 14 staf I specializuar për çdo shtëpi x 12 muaj në vit ( duke filluar nga viti 2023 per 2 qendrat e rikonstrukturara ne vitin 2022 dhe pasatj ne 2023 per 4 qendrat ne total dhe ne vazhdim
• Shpenzime operative  lum sum 30 000 000/vit
</t>
  </si>
  <si>
    <t>2.7.1.a Ndryshime në kuadrin ligjor të barnave                                                 
 •Vleresimi I kuadrit ligjore dhe draft ligji 2 experte x 15 ditë (2022)
• Grupi i punes i perbere nga 9 specialiste x 5 muaj (paga&amp;sig 2022)                           
• Shpenzime operative 25%
•Tryeza pune 2 tryeza pune x 15 pjesemarres x 300  lekë/ person</t>
  </si>
  <si>
    <t>5.5.1.a Analizimi dhe prezantimi i gjendjes aktuale të kërkimit shëndetësor në vend me qëllim zhvillimin e politikave dhe strategjive kombëtare për kërkimin shëndetësor shkencor.                                                                                                                        
• Grup pune për analizen e situatës dhe rezultateve të kerkimit shëndetësor (11 persona*3 muaj në 2022).                                                                                                                                                                                                                                                            • Ekspert lokal për përcaktimin e metodologjisë dhe analizën e të dhënave ( 2 ekspert x 25 ditë në 2022)                                                                                                                                               
 • Shpenzime operative 12% të pagave dhe sig. të grupit të punës                                                                                                                                                                                                                             •Tryeza konsultimi 2 tryeza pune x 20 pjesemarres x 300 leke/ person (2022)                                                                                                                                                                                                    •Workshop per prezantimin e gjetjeve 1 workshop tryeza pune x 60 pjesemarres x 3300 leke/ person (2022)</t>
  </si>
  <si>
    <t>5.2.1.a Hartimi i modelit HIS për përdorimin spitalor (Banka Botërore)
•4 380 000 Euro = 538 740 000 Leke kurs kembimi 123 pwr hartim modeli -Viti 2022-2025
(viti 2022  = 123 000 000 lek Viti 2023 = 207 870 000 leke, Viti 2024 =207 870 000 leke
• specialist te MSHMS 2 x 1 muaj (AKSHI vs MSHMS )(viti 2022-2030)
• Mirwmbajtje sistemi 25% cdo vit  (viti 2023-2030)</t>
  </si>
  <si>
    <t>5.2.1.c Zgjerimi dhe shtrirja në 3 spitalet rajonale
•53 136 000 lekwpwr vitin 2024
• mirembajtje e sistemit 25% / vit (fillon nga Viti 2024-2030)
• specialist ne 2 x 1 muaj / cdo vit (fillon nga Viti 2023 - 2030)</t>
  </si>
  <si>
    <t xml:space="preserve">5.2.2.a Hartimi i standarteve për zgjerimin e përdorimit të Telemjekësisë dhe Telekonsultës.
• 369 000 000 Leke (nga aplikime te ngjashme (2023-2024)-GAP
• Mirembajtje 25% pas vitit 2025 
• Paga e specialisteve 2 x 2 muaj /vit
</t>
  </si>
  <si>
    <t>5.2.2.d Krijimi i rrjetit të Interpretimit Imazherik (Reading Virtual Center Imagery)
•369 000 000 Leke (nga aplikime te ngjashme (2025-2026)-IPA GAP
• 25% mirembajtje sistemi 2027-2030 (GAP)</t>
  </si>
  <si>
    <t>5.5.1.b Hartimi i strategjisë së kërkimit shkencor në sistemin shëndetësor.              
• Grup pune për hartimin e strategjisë së të kerkimit shëndetësor (7 persona*5 muaj në 2022-2023).                                                                                                                                                      
• Ekspert i huaj për përcaktimin e metodologjisë ( 1 ekspert x 20 ditë në 2022-2023)                                                                                                                                                 • Ekspert lokal për hartimin e strategjisë ( 4 ekspert x 25 ditë në 2023)                                                                                                                                                • Shpenzime operative 12% të pagave dhe sig. të grupit të punës</t>
  </si>
  <si>
    <t>5.2.1.a Hartimi i modelit HIS për përdorimin spitalor (Banka Botërore)
•4 380 000 Euro = 538 740 000 Leke kurs kembimi 123 pwr hartim modeli -Viti 2022-2025
(viti 2022  = 123 000 000 lek Viti 2023 = 207 870 000 leke, Viti 2024 =207 870 000 leke
• specialist te MSHMS 2 x 1 muaj (AKSHI vs MSHMS )(viti 2022-2030)
• Mirwmbajtje sistemi 25% cdo vit  (viti 2024-2030)</t>
  </si>
  <si>
    <t>07460 Shërbimi Kombëtar i Urgjencës, 07330 Shërbime të kujdesit shëndetësor dytësor</t>
  </si>
  <si>
    <t>0110 Planifikim Menaxhim Administrim/ 07220 Shërbime të Kujdesit Shëndetësor Parësor</t>
  </si>
  <si>
    <t>01110 Planifikim Menaxhim Administrim</t>
  </si>
  <si>
    <r>
      <rPr>
        <sz val="10"/>
        <color theme="1"/>
        <rFont val="Calibri"/>
        <family val="2"/>
      </rPr>
      <t>0</t>
    </r>
    <r>
      <rPr>
        <sz val="10"/>
        <color theme="1"/>
        <rFont val="Calibri"/>
        <family val="2"/>
        <scheme val="minor"/>
      </rPr>
      <t>7330 Shërbime të Kujdesit Shëndetësor Dytësor</t>
    </r>
  </si>
  <si>
    <t>01110 Planifikimi, Menaxhimi dhe Administrimi/07330 Shërbime të Kujdesit Shëndetësor Dytësor /AKSHI/Axhenda e digitaizimit</t>
  </si>
  <si>
    <r>
      <t>1.6.1. f Krijimi i programeve të trajnimit dhe ngritja e kapaciteteve për zbulimin e hershëm të C</t>
    </r>
    <r>
      <rPr>
        <sz val="12"/>
        <rFont val="Calibri"/>
        <family val="2"/>
        <scheme val="minor"/>
      </rPr>
      <t xml:space="preserve">rregullimeve të shëndetit mendor për grupet e ndryshme të synuara, p.sh., mësuesit, punonjësit socialë, profesionistët e shëndetit, etj. </t>
    </r>
    <r>
      <rPr>
        <sz val="12"/>
        <rFont val="Calibri"/>
        <family val="2"/>
      </rPr>
      <t>(Ref Axhenda e Fëmijëve 2021-2026)
• Fuqizimi i vazhdueshëm i shërbimeve  në Qendren Kombetare trajtimit dhe rehabilitimit të fëmijëve  (QKTRF)
• Paga e specialisteve të QKTRF
• Shpenzimet operative
• Zhvillimi i infastrukturws dhe Fv paisjesh (Investime Viti 2021 -2023)</t>
    </r>
  </si>
  <si>
    <t>07450 Shërbime të Shëndetit Publik/AKSHI/Axhenda e digitaizimit</t>
  </si>
  <si>
    <t>07450 Shërbime të Shëndetit Publik/01110 Planifikimi, Menaxhimi dhe AdministrimiAKSHI/Axhenda e digitaizimit</t>
  </si>
  <si>
    <t>Other Donors HAP/SDC/GFetj</t>
  </si>
  <si>
    <t>Note: 1.Codes and Titles of the Budget Programs, Policy Items (PG, SO, Mesures) and start date end date are generated by IPSIS
2. All highlighted cells ëill be blocked/protected. Only white cells should be left for direct input.</t>
  </si>
  <si>
    <r>
      <t xml:space="preserve">2.7.1.h Informatizimi i rrjetit farmaceutik (krijimi i një harte të plotë të rrjetit të farmacive, importuesve dhe shpërndarësve) dhe krijimi i një baze të dhënash kombëtare (krijimi i infrastrukturës dhe rrjetëzimi i institucioneve shëndetësore dhe subjekteve private). Kjo synon të promovojë efikasitetin e mbikëqyrjes së tregut në fushën e barnave dhe të reduktojë informalitetin.      </t>
    </r>
    <r>
      <rPr>
        <sz val="12"/>
        <color rgb="FFFF0000"/>
        <rFont val="Calibri"/>
        <family val="2"/>
        <scheme val="minor"/>
      </rPr>
      <t xml:space="preserve"> </t>
    </r>
    <r>
      <rPr>
        <i/>
        <sz val="12"/>
        <color rgb="FFFF0000"/>
        <rFont val="Calibri"/>
        <family val="2"/>
        <scheme val="minor"/>
      </rPr>
      <t>Ref:     PLANI I VEPRIMIT Strategjia Agjenda Digjitale e Shqipërisë 2021+ Masa: Përmirësimi i Sistemit të Barnave dhe Pajisjeve Mjekësore      (kosto e sistemit n</t>
    </r>
    <r>
      <rPr>
        <sz val="12"/>
        <color rgb="FFFF0000"/>
        <rFont val="Calibri"/>
        <family val="2"/>
      </rPr>
      <t>ë</t>
    </r>
    <r>
      <rPr>
        <i/>
        <sz val="12"/>
        <color rgb="FFFF0000"/>
        <rFont val="Calibri"/>
        <family val="2"/>
      </rPr>
      <t xml:space="preserve"> buxhetin e AKSHI </t>
    </r>
    <r>
      <rPr>
        <sz val="12"/>
        <color rgb="FFFF0000"/>
        <rFont val="Calibri"/>
        <family val="2"/>
        <scheme val="minor"/>
      </rPr>
      <t xml:space="preserve">   2022-2023)             </t>
    </r>
    <r>
      <rPr>
        <sz val="12"/>
        <color theme="1"/>
        <rFont val="Calibri"/>
        <family val="2"/>
        <scheme val="minor"/>
      </rPr>
      <t xml:space="preserve">                                                                                                                                                                                                                                                                                                                                       • Shpenzimet e specialisteve te sektorit  IT (2023-2030) 5 persona*12 muaj
•shpenzime operative 15% të pagave&amp;sig</t>
    </r>
  </si>
  <si>
    <t>2.4.1. Sigurimi i përfshirjes së objektivave të barazisë dhe nevojave të grupeve të ndryshme të popullatës në proçesin e zhvillimit të politikave shëndetësore</t>
  </si>
  <si>
    <t>Funded by WB</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</si>
</sst>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_(* \(#,##0.00\);_(* &quot;-&quot;??_);_(@_)"/>
    <numFmt numFmtId="164" formatCode="_(* #,##0_);_(* \(#,##0\);_(* &quot;-&quot;??_);_(@_)"/>
  </numFmts>
  <fonts count="32" x14ac:knownFonts="1">
    <font>
      <sz val="11"/>
      <color theme="1"/>
      <name val="Calibri"/>
      <family val="2"/>
      <scheme val="minor"/>
    </font>
    <font>
      <sz val="12"/>
      <color indexed="8"/>
      <name val="Calibri"/>
      <family val="2"/>
    </font>
    <font>
      <sz val="12"/>
      <name val="Calibri"/>
      <family val="2"/>
    </font>
    <font>
      <sz val="12"/>
      <color indexed="10"/>
      <name val="Calibri"/>
      <family val="2"/>
    </font>
    <font>
      <i/>
      <sz val="12"/>
      <color indexed="10"/>
      <name val="Calibri"/>
      <family val="2"/>
    </font>
    <font>
      <b/>
      <sz val="12"/>
      <color indexed="8"/>
      <name val="Calibri"/>
      <family val="2"/>
    </font>
    <font>
      <sz val="11"/>
      <color theme="1"/>
      <name val="Calibri"/>
      <family val="2"/>
      <scheme val="minor"/>
    </font>
    <font>
      <b/>
      <sz val="11"/>
      <color theme="1"/>
      <name val="Calibri"/>
      <family val="2"/>
      <scheme val="minor"/>
    </font>
    <font>
      <sz val="11"/>
      <name val="Calibri"/>
      <family val="2"/>
      <scheme val="minor"/>
    </font>
    <font>
      <b/>
      <sz val="11"/>
      <name val="Calibri"/>
      <family val="2"/>
      <scheme val="minor"/>
    </font>
    <font>
      <i/>
      <sz val="11"/>
      <name val="Calibri"/>
      <family val="2"/>
      <scheme val="minor"/>
    </font>
    <font>
      <b/>
      <sz val="10"/>
      <color theme="1"/>
      <name val="Calibri"/>
      <family val="2"/>
      <scheme val="minor"/>
    </font>
    <font>
      <sz val="10"/>
      <name val="Calibri"/>
      <family val="2"/>
      <scheme val="minor"/>
    </font>
    <font>
      <sz val="10"/>
      <color theme="1"/>
      <name val="Calibri"/>
      <family val="2"/>
      <scheme val="minor"/>
    </font>
    <font>
      <sz val="8"/>
      <color theme="1"/>
      <name val="Calibri"/>
      <family val="2"/>
      <scheme val="minor"/>
    </font>
    <font>
      <b/>
      <sz val="10"/>
      <name val="Calibri"/>
      <family val="2"/>
      <scheme val="minor"/>
    </font>
    <font>
      <sz val="12"/>
      <color theme="1"/>
      <name val="Calibri"/>
      <family val="2"/>
      <scheme val="minor"/>
    </font>
    <font>
      <sz val="12"/>
      <color rgb="FFFF0000"/>
      <name val="Calibri"/>
      <family val="2"/>
      <scheme val="minor"/>
    </font>
    <font>
      <sz val="12"/>
      <name val="Calibri"/>
      <family val="2"/>
      <scheme val="minor"/>
    </font>
    <font>
      <b/>
      <sz val="12"/>
      <color theme="1"/>
      <name val="Calibri"/>
      <family val="2"/>
      <scheme val="minor"/>
    </font>
    <font>
      <i/>
      <sz val="12"/>
      <color theme="1"/>
      <name val="Calibri"/>
      <family val="2"/>
      <scheme val="minor"/>
    </font>
    <font>
      <sz val="10"/>
      <color theme="1"/>
      <name val="Arial"/>
      <family val="2"/>
    </font>
    <font>
      <b/>
      <sz val="14"/>
      <color theme="1"/>
      <name val="Calibri"/>
      <family val="2"/>
      <scheme val="minor"/>
    </font>
    <font>
      <sz val="12"/>
      <color theme="1"/>
      <name val="Calibri"/>
      <family val="2"/>
    </font>
    <font>
      <sz val="6"/>
      <color theme="1"/>
      <name val="Calibri"/>
      <family val="2"/>
    </font>
    <font>
      <i/>
      <sz val="12"/>
      <color rgb="FFFF0000"/>
      <name val="Calibri"/>
      <family val="2"/>
      <scheme val="minor"/>
    </font>
    <font>
      <sz val="12"/>
      <color rgb="FFFF0000"/>
      <name val="Calibri"/>
      <family val="2"/>
    </font>
    <font>
      <i/>
      <sz val="6.1"/>
      <color rgb="FFFF0000"/>
      <name val="Calibri"/>
      <family val="2"/>
    </font>
    <font>
      <sz val="10"/>
      <color theme="1"/>
      <name val="Calibri"/>
      <family val="2"/>
    </font>
    <font>
      <sz val="11"/>
      <color theme="1"/>
      <name val="Times New Roman"/>
      <family val="1"/>
    </font>
    <font>
      <b/>
      <sz val="12"/>
      <name val="Calibri"/>
      <family val="2"/>
      <scheme val="minor"/>
    </font>
    <font>
      <i/>
      <sz val="12"/>
      <color rgb="FFFF0000"/>
      <name val="Calibri"/>
      <family val="2"/>
    </font>
  </fonts>
  <fills count="11">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2" tint="-9.9978637043366805E-2"/>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theme="5" tint="0.59999389629810485"/>
        <bgColor indexed="64"/>
      </patternFill>
    </fill>
    <fill>
      <patternFill patternType="solid">
        <fgColor rgb="FFFF0000"/>
        <bgColor indexed="64"/>
      </patternFill>
    </fill>
  </fills>
  <borders count="1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s>
  <cellStyleXfs count="3">
    <xf numFmtId="0" fontId="0" fillId="0" borderId="0"/>
    <xf numFmtId="43" fontId="6" fillId="0" borderId="0" applyFont="0" applyFill="0" applyBorder="0" applyAlignment="0" applyProtection="0"/>
    <xf numFmtId="9" fontId="6" fillId="0" borderId="0" applyFont="0" applyFill="0" applyBorder="0" applyAlignment="0" applyProtection="0"/>
  </cellStyleXfs>
  <cellXfs count="428">
    <xf numFmtId="0" fontId="0" fillId="0" borderId="0" xfId="0"/>
    <xf numFmtId="0" fontId="0" fillId="0" borderId="0" xfId="0"/>
    <xf numFmtId="0" fontId="8" fillId="0" borderId="0" xfId="0" applyFont="1"/>
    <xf numFmtId="0" fontId="8" fillId="2" borderId="0" xfId="0" applyFont="1" applyFill="1"/>
    <xf numFmtId="0" fontId="8" fillId="3" borderId="1" xfId="0" applyFont="1" applyFill="1" applyBorder="1" applyAlignment="1">
      <alignment horizontal="center" vertical="top" wrapText="1"/>
    </xf>
    <xf numFmtId="164" fontId="8" fillId="0" borderId="0" xfId="0" applyNumberFormat="1" applyFont="1"/>
    <xf numFmtId="0" fontId="0" fillId="3" borderId="0" xfId="0" applyFill="1"/>
    <xf numFmtId="0" fontId="0" fillId="3" borderId="1" xfId="0" applyFill="1" applyBorder="1" applyAlignment="1">
      <alignment vertical="center"/>
    </xf>
    <xf numFmtId="164" fontId="8" fillId="0" borderId="1" xfId="1" applyNumberFormat="1" applyFont="1" applyFill="1" applyBorder="1"/>
    <xf numFmtId="9" fontId="8" fillId="0" borderId="1" xfId="2" applyFont="1" applyFill="1" applyBorder="1" applyAlignment="1">
      <alignment horizontal="center"/>
    </xf>
    <xf numFmtId="164" fontId="8" fillId="0" borderId="1" xfId="1" applyNumberFormat="1" applyFont="1" applyFill="1" applyBorder="1" applyAlignment="1">
      <alignment horizontal="center"/>
    </xf>
    <xf numFmtId="164" fontId="8" fillId="0" borderId="2" xfId="1" applyNumberFormat="1" applyFont="1" applyFill="1" applyBorder="1" applyAlignment="1"/>
    <xf numFmtId="9" fontId="8" fillId="0" borderId="2" xfId="2" applyFont="1" applyFill="1" applyBorder="1" applyAlignment="1">
      <alignment horizontal="center"/>
    </xf>
    <xf numFmtId="0" fontId="0" fillId="3" borderId="1" xfId="0" applyFill="1" applyBorder="1"/>
    <xf numFmtId="0" fontId="8" fillId="3" borderId="1" xfId="0" applyFont="1" applyFill="1" applyBorder="1"/>
    <xf numFmtId="164" fontId="8" fillId="3" borderId="1" xfId="1" applyNumberFormat="1" applyFont="1" applyFill="1" applyBorder="1"/>
    <xf numFmtId="0" fontId="8" fillId="3" borderId="0" xfId="0" applyFont="1" applyFill="1"/>
    <xf numFmtId="0" fontId="9" fillId="3" borderId="0" xfId="0" applyFont="1" applyFill="1"/>
    <xf numFmtId="164" fontId="8" fillId="3" borderId="0" xfId="0" applyNumberFormat="1" applyFont="1" applyFill="1"/>
    <xf numFmtId="0" fontId="8" fillId="3" borderId="0" xfId="0" applyFont="1" applyFill="1" applyBorder="1" applyAlignment="1">
      <alignment horizontal="center"/>
    </xf>
    <xf numFmtId="0" fontId="10" fillId="3" borderId="0" xfId="0" applyFont="1" applyFill="1" applyBorder="1"/>
    <xf numFmtId="164" fontId="8" fillId="3" borderId="0" xfId="1" applyNumberFormat="1" applyFont="1" applyFill="1" applyBorder="1"/>
    <xf numFmtId="0" fontId="8" fillId="3" borderId="1" xfId="0" applyFont="1" applyFill="1" applyBorder="1" applyAlignment="1">
      <alignment vertical="top" wrapText="1"/>
    </xf>
    <xf numFmtId="0" fontId="8" fillId="3" borderId="1" xfId="0" applyFont="1" applyFill="1" applyBorder="1" applyAlignment="1">
      <alignment horizontal="left"/>
    </xf>
    <xf numFmtId="0" fontId="8" fillId="3" borderId="0" xfId="0" applyFont="1" applyFill="1" applyBorder="1" applyAlignment="1">
      <alignment horizontal="left"/>
    </xf>
    <xf numFmtId="0" fontId="11" fillId="0" borderId="0" xfId="0" applyFont="1" applyFill="1" applyBorder="1" applyAlignment="1">
      <alignment horizontal="center" vertical="top" wrapText="1"/>
    </xf>
    <xf numFmtId="0" fontId="11" fillId="4" borderId="3" xfId="0" applyFont="1" applyFill="1" applyBorder="1" applyAlignment="1">
      <alignment horizontal="center" vertical="top" wrapText="1"/>
    </xf>
    <xf numFmtId="0" fontId="8" fillId="0" borderId="0" xfId="0" applyFont="1" applyFill="1"/>
    <xf numFmtId="0" fontId="8" fillId="5" borderId="0" xfId="0" applyFont="1" applyFill="1"/>
    <xf numFmtId="0" fontId="9" fillId="5" borderId="0" xfId="0" applyFont="1" applyFill="1"/>
    <xf numFmtId="0" fontId="13" fillId="0" borderId="0" xfId="0" applyFont="1"/>
    <xf numFmtId="0" fontId="13" fillId="0" borderId="0" xfId="0" applyFont="1" applyAlignment="1">
      <alignment horizontal="center" vertical="center" wrapText="1"/>
    </xf>
    <xf numFmtId="0" fontId="13" fillId="0" borderId="0" xfId="0" applyFont="1" applyAlignment="1">
      <alignment horizontal="center"/>
    </xf>
    <xf numFmtId="0" fontId="14" fillId="0" borderId="0" xfId="0" applyFont="1" applyAlignment="1">
      <alignment horizontal="center"/>
    </xf>
    <xf numFmtId="0" fontId="0" fillId="0" borderId="0" xfId="0"/>
    <xf numFmtId="0" fontId="13" fillId="2" borderId="0" xfId="0" applyFont="1" applyFill="1"/>
    <xf numFmtId="0" fontId="13" fillId="2" borderId="0" xfId="0" applyFont="1" applyFill="1" applyAlignment="1">
      <alignment horizontal="center"/>
    </xf>
    <xf numFmtId="0" fontId="13" fillId="2" borderId="0" xfId="0" applyFont="1" applyFill="1" applyAlignment="1">
      <alignment horizontal="center" vertical="center" wrapText="1"/>
    </xf>
    <xf numFmtId="0" fontId="13" fillId="6" borderId="2" xfId="0" applyFont="1" applyFill="1" applyBorder="1" applyAlignment="1">
      <alignment horizontal="center" vertical="center" wrapText="1"/>
    </xf>
    <xf numFmtId="0" fontId="12" fillId="6" borderId="2" xfId="0" applyFont="1" applyFill="1" applyBorder="1" applyAlignment="1">
      <alignment horizontal="center" vertical="center" wrapText="1"/>
    </xf>
    <xf numFmtId="0" fontId="14" fillId="2" borderId="0" xfId="0" applyFont="1" applyFill="1" applyAlignment="1">
      <alignment horizontal="center"/>
    </xf>
    <xf numFmtId="0" fontId="13" fillId="6" borderId="0" xfId="0" applyFont="1" applyFill="1" applyBorder="1" applyAlignment="1">
      <alignment horizontal="left" vertical="top" wrapText="1"/>
    </xf>
    <xf numFmtId="0" fontId="13" fillId="0" borderId="0" xfId="0" applyFont="1" applyFill="1"/>
    <xf numFmtId="0" fontId="13" fillId="6" borderId="4" xfId="0" applyFont="1" applyFill="1" applyBorder="1"/>
    <xf numFmtId="0" fontId="13" fillId="6" borderId="5" xfId="0" applyFont="1" applyFill="1" applyBorder="1" applyAlignment="1">
      <alignment horizontal="left" vertical="top" wrapText="1"/>
    </xf>
    <xf numFmtId="0" fontId="13" fillId="6" borderId="6" xfId="0" applyFont="1" applyFill="1" applyBorder="1" applyAlignment="1">
      <alignment horizontal="center" vertical="center" wrapText="1"/>
    </xf>
    <xf numFmtId="0" fontId="13" fillId="6" borderId="3" xfId="0" applyFont="1" applyFill="1" applyBorder="1" applyAlignment="1">
      <alignment horizontal="center" vertical="center" wrapText="1"/>
    </xf>
    <xf numFmtId="0" fontId="13" fillId="6" borderId="7" xfId="0" applyFont="1" applyFill="1" applyBorder="1" applyAlignment="1">
      <alignment horizontal="center" vertical="center" wrapText="1"/>
    </xf>
    <xf numFmtId="0" fontId="13" fillId="0" borderId="4" xfId="0" applyFont="1" applyFill="1" applyBorder="1"/>
    <xf numFmtId="0" fontId="11" fillId="7" borderId="9" xfId="0" applyFont="1" applyFill="1" applyBorder="1" applyAlignment="1">
      <alignment horizontal="left" vertical="top" wrapText="1"/>
    </xf>
    <xf numFmtId="0" fontId="13" fillId="7" borderId="9" xfId="0" applyFont="1" applyFill="1" applyBorder="1" applyAlignment="1">
      <alignment horizontal="left" vertical="top" wrapText="1"/>
    </xf>
    <xf numFmtId="0" fontId="15" fillId="6" borderId="2" xfId="0" applyFont="1" applyFill="1" applyBorder="1" applyAlignment="1">
      <alignment horizontal="center" vertical="center" wrapText="1"/>
    </xf>
    <xf numFmtId="164" fontId="6" fillId="6" borderId="1" xfId="1" applyNumberFormat="1" applyFont="1" applyFill="1" applyBorder="1"/>
    <xf numFmtId="164" fontId="6" fillId="7" borderId="1" xfId="1" applyNumberFormat="1" applyFont="1" applyFill="1" applyBorder="1"/>
    <xf numFmtId="164" fontId="6" fillId="8" borderId="1" xfId="1" applyNumberFormat="1" applyFont="1" applyFill="1" applyBorder="1"/>
    <xf numFmtId="164" fontId="6" fillId="6" borderId="1" xfId="1" applyNumberFormat="1" applyFont="1" applyFill="1" applyBorder="1" applyAlignment="1">
      <alignment wrapText="1"/>
    </xf>
    <xf numFmtId="0" fontId="11" fillId="4" borderId="0" xfId="0" applyFont="1" applyFill="1" applyAlignment="1">
      <alignment vertical="top"/>
    </xf>
    <xf numFmtId="0" fontId="13" fillId="4" borderId="0" xfId="0" applyFont="1" applyFill="1" applyAlignment="1">
      <alignment horizontal="left"/>
    </xf>
    <xf numFmtId="0" fontId="0" fillId="4" borderId="0" xfId="0" applyFill="1"/>
    <xf numFmtId="164" fontId="6" fillId="9" borderId="1" xfId="1" applyNumberFormat="1" applyFont="1" applyFill="1" applyBorder="1"/>
    <xf numFmtId="164" fontId="6" fillId="9" borderId="1" xfId="1" applyNumberFormat="1" applyFont="1" applyFill="1" applyBorder="1" applyAlignment="1">
      <alignment wrapText="1"/>
    </xf>
    <xf numFmtId="164" fontId="12" fillId="6" borderId="2" xfId="1" applyNumberFormat="1" applyFont="1" applyFill="1" applyBorder="1" applyAlignment="1">
      <alignment horizontal="center" vertical="center" wrapText="1"/>
    </xf>
    <xf numFmtId="164" fontId="13" fillId="9" borderId="2" xfId="1" applyNumberFormat="1" applyFont="1" applyFill="1" applyBorder="1" applyAlignment="1">
      <alignment horizontal="center" vertical="center" wrapText="1"/>
    </xf>
    <xf numFmtId="164" fontId="12" fillId="9" borderId="2" xfId="1" applyNumberFormat="1" applyFont="1" applyFill="1" applyBorder="1" applyAlignment="1">
      <alignment horizontal="center" vertical="center" wrapText="1"/>
    </xf>
    <xf numFmtId="0" fontId="13" fillId="6" borderId="7" xfId="0" applyFont="1" applyFill="1" applyBorder="1" applyAlignment="1">
      <alignment horizontal="left" vertical="top" wrapText="1"/>
    </xf>
    <xf numFmtId="0" fontId="13" fillId="8" borderId="9" xfId="0" applyFont="1" applyFill="1" applyBorder="1" applyAlignment="1">
      <alignment horizontal="left" vertical="top" wrapText="1"/>
    </xf>
    <xf numFmtId="0" fontId="13" fillId="6" borderId="9" xfId="0" applyFont="1" applyFill="1" applyBorder="1" applyAlignment="1">
      <alignment horizontal="center" vertical="center" wrapText="1"/>
    </xf>
    <xf numFmtId="0" fontId="13" fillId="8" borderId="11" xfId="0" applyFont="1" applyFill="1" applyBorder="1" applyAlignment="1">
      <alignment horizontal="left" vertical="top" wrapText="1"/>
    </xf>
    <xf numFmtId="0" fontId="13" fillId="6" borderId="12" xfId="0" applyFont="1" applyFill="1" applyBorder="1" applyAlignment="1">
      <alignment horizontal="left" vertical="top" wrapText="1"/>
    </xf>
    <xf numFmtId="0" fontId="13" fillId="0" borderId="0" xfId="0" applyFont="1" applyAlignment="1">
      <alignment horizontal="left"/>
    </xf>
    <xf numFmtId="0" fontId="0" fillId="2" borderId="0" xfId="0" applyFill="1"/>
    <xf numFmtId="0" fontId="13" fillId="0" borderId="0" xfId="0" applyFont="1"/>
    <xf numFmtId="0" fontId="13" fillId="0" borderId="0" xfId="0" applyFont="1" applyAlignment="1">
      <alignment horizontal="center"/>
    </xf>
    <xf numFmtId="0" fontId="13" fillId="0" borderId="0" xfId="0" applyFont="1" applyFill="1"/>
    <xf numFmtId="0" fontId="13" fillId="0" borderId="0" xfId="0" applyFont="1"/>
    <xf numFmtId="0" fontId="13" fillId="0" borderId="0" xfId="0" applyFont="1" applyAlignment="1">
      <alignment horizontal="center"/>
    </xf>
    <xf numFmtId="0" fontId="13" fillId="0" borderId="0" xfId="0" applyFont="1" applyFill="1"/>
    <xf numFmtId="0" fontId="0" fillId="0" borderId="0" xfId="0"/>
    <xf numFmtId="0" fontId="13" fillId="0" borderId="0" xfId="0" applyFont="1"/>
    <xf numFmtId="0" fontId="13" fillId="0" borderId="0" xfId="0" applyFont="1" applyAlignment="1">
      <alignment horizontal="center" vertical="center" wrapText="1"/>
    </xf>
    <xf numFmtId="0" fontId="13" fillId="0" borderId="0" xfId="0" applyFont="1" applyAlignment="1">
      <alignment horizontal="center"/>
    </xf>
    <xf numFmtId="0" fontId="14" fillId="0" borderId="0" xfId="0" applyFont="1" applyAlignment="1">
      <alignment horizontal="center"/>
    </xf>
    <xf numFmtId="0" fontId="13" fillId="2" borderId="0" xfId="0" applyFont="1" applyFill="1"/>
    <xf numFmtId="0" fontId="13" fillId="2" borderId="0" xfId="0" applyFont="1" applyFill="1" applyAlignment="1">
      <alignment horizontal="center"/>
    </xf>
    <xf numFmtId="0" fontId="13" fillId="6" borderId="2" xfId="0" applyFont="1" applyFill="1" applyBorder="1" applyAlignment="1">
      <alignment horizontal="center" vertical="center" wrapText="1"/>
    </xf>
    <xf numFmtId="0" fontId="12" fillId="6" borderId="2" xfId="0" applyFont="1" applyFill="1" applyBorder="1" applyAlignment="1">
      <alignment horizontal="center" vertical="center" wrapText="1"/>
    </xf>
    <xf numFmtId="0" fontId="13" fillId="6" borderId="0" xfId="0" applyFont="1" applyFill="1" applyBorder="1" applyAlignment="1">
      <alignment horizontal="left" vertical="top" wrapText="1"/>
    </xf>
    <xf numFmtId="0" fontId="13" fillId="0" borderId="0" xfId="0" applyFont="1" applyFill="1"/>
    <xf numFmtId="0" fontId="13" fillId="6" borderId="4" xfId="0" applyFont="1" applyFill="1" applyBorder="1"/>
    <xf numFmtId="0" fontId="13" fillId="6" borderId="5" xfId="0" applyFont="1" applyFill="1" applyBorder="1" applyAlignment="1">
      <alignment horizontal="left" vertical="top" wrapText="1"/>
    </xf>
    <xf numFmtId="0" fontId="13" fillId="0" borderId="4" xfId="0" applyFont="1" applyFill="1" applyBorder="1"/>
    <xf numFmtId="0" fontId="15" fillId="6" borderId="2" xfId="0" applyFont="1" applyFill="1" applyBorder="1" applyAlignment="1">
      <alignment horizontal="center" vertical="center" wrapText="1"/>
    </xf>
    <xf numFmtId="164" fontId="6" fillId="6" borderId="1" xfId="1" applyNumberFormat="1" applyFont="1" applyFill="1" applyBorder="1"/>
    <xf numFmtId="164" fontId="6" fillId="7" borderId="1" xfId="1" applyNumberFormat="1" applyFont="1" applyFill="1" applyBorder="1"/>
    <xf numFmtId="164" fontId="6" fillId="8" borderId="1" xfId="1" applyNumberFormat="1" applyFont="1" applyFill="1" applyBorder="1"/>
    <xf numFmtId="164" fontId="6" fillId="6" borderId="1" xfId="1" applyNumberFormat="1" applyFont="1" applyFill="1" applyBorder="1" applyAlignment="1">
      <alignment wrapText="1"/>
    </xf>
    <xf numFmtId="0" fontId="13" fillId="6" borderId="6" xfId="0" applyFont="1" applyFill="1" applyBorder="1" applyAlignment="1">
      <alignment vertical="top" wrapText="1"/>
    </xf>
    <xf numFmtId="164" fontId="12" fillId="6" borderId="2" xfId="1" applyNumberFormat="1" applyFont="1" applyFill="1" applyBorder="1" applyAlignment="1">
      <alignment horizontal="center" vertical="center" wrapText="1"/>
    </xf>
    <xf numFmtId="0" fontId="13" fillId="8" borderId="9" xfId="0" applyFont="1" applyFill="1" applyBorder="1" applyAlignment="1">
      <alignment horizontal="left" vertical="top" wrapText="1"/>
    </xf>
    <xf numFmtId="0" fontId="13" fillId="8" borderId="11" xfId="0" applyFont="1" applyFill="1" applyBorder="1" applyAlignment="1">
      <alignment horizontal="left" vertical="top" wrapText="1"/>
    </xf>
    <xf numFmtId="0" fontId="13" fillId="6" borderId="12" xfId="0" applyFont="1" applyFill="1" applyBorder="1" applyAlignment="1">
      <alignment horizontal="left" vertical="top" wrapText="1"/>
    </xf>
    <xf numFmtId="0" fontId="13" fillId="0" borderId="0" xfId="0" applyFont="1" applyAlignment="1">
      <alignment horizontal="left"/>
    </xf>
    <xf numFmtId="0" fontId="13" fillId="0" borderId="0" xfId="0" applyFont="1" applyAlignment="1">
      <alignment horizontal="left" wrapText="1"/>
    </xf>
    <xf numFmtId="0" fontId="16" fillId="0" borderId="8" xfId="0" applyFont="1" applyBorder="1" applyAlignment="1">
      <alignment horizontal="left" vertical="top" wrapText="1"/>
    </xf>
    <xf numFmtId="0" fontId="16" fillId="6" borderId="1" xfId="0" applyFont="1" applyFill="1" applyBorder="1" applyAlignment="1">
      <alignment horizontal="center" wrapText="1"/>
    </xf>
    <xf numFmtId="0" fontId="16" fillId="6" borderId="4" xfId="0" applyFont="1" applyFill="1" applyBorder="1" applyAlignment="1">
      <alignment horizontal="center" wrapText="1"/>
    </xf>
    <xf numFmtId="0" fontId="16" fillId="6" borderId="13" xfId="0" applyFont="1" applyFill="1" applyBorder="1" applyAlignment="1">
      <alignment horizontal="center" wrapText="1"/>
    </xf>
    <xf numFmtId="0" fontId="16" fillId="6" borderId="1" xfId="0" applyFont="1" applyFill="1" applyBorder="1" applyAlignment="1">
      <alignment horizontal="center" vertical="top" wrapText="1"/>
    </xf>
    <xf numFmtId="0" fontId="17" fillId="0" borderId="1" xfId="0" applyFont="1" applyBorder="1" applyAlignment="1">
      <alignment horizontal="left" vertical="top" wrapText="1"/>
    </xf>
    <xf numFmtId="0" fontId="18" fillId="0" borderId="1" xfId="0" applyFont="1" applyBorder="1" applyAlignment="1">
      <alignment horizontal="left" vertical="top" wrapText="1"/>
    </xf>
    <xf numFmtId="0" fontId="16" fillId="6" borderId="1" xfId="0" applyFont="1" applyFill="1" applyBorder="1" applyAlignment="1">
      <alignment horizontal="left" wrapText="1"/>
    </xf>
    <xf numFmtId="0" fontId="16" fillId="0" borderId="1" xfId="0" applyNumberFormat="1" applyFont="1" applyFill="1" applyBorder="1" applyAlignment="1">
      <alignment horizontal="left" vertical="top" wrapText="1"/>
    </xf>
    <xf numFmtId="0" fontId="16" fillId="0" borderId="1" xfId="0" applyNumberFormat="1" applyFont="1" applyBorder="1" applyAlignment="1">
      <alignment horizontal="left" vertical="top" wrapText="1"/>
    </xf>
    <xf numFmtId="0" fontId="19" fillId="7" borderId="9" xfId="0" applyFont="1" applyFill="1" applyBorder="1" applyAlignment="1">
      <alignment horizontal="left" vertical="top" wrapText="1"/>
    </xf>
    <xf numFmtId="0" fontId="19" fillId="8" borderId="1" xfId="0" applyFont="1" applyFill="1" applyBorder="1" applyAlignment="1">
      <alignment horizontal="left" vertical="top" wrapText="1"/>
    </xf>
    <xf numFmtId="0" fontId="16" fillId="2" borderId="0" xfId="0" applyFont="1" applyFill="1" applyAlignment="1">
      <alignment wrapText="1"/>
    </xf>
    <xf numFmtId="0" fontId="16" fillId="6" borderId="1" xfId="0" applyFont="1" applyFill="1" applyBorder="1" applyAlignment="1">
      <alignment horizontal="left" vertical="center" wrapText="1"/>
    </xf>
    <xf numFmtId="0" fontId="16" fillId="6" borderId="1" xfId="0" applyFont="1" applyFill="1" applyBorder="1" applyAlignment="1">
      <alignment horizontal="center" vertical="center" wrapText="1"/>
    </xf>
    <xf numFmtId="0" fontId="16" fillId="2" borderId="0" xfId="0" applyFont="1" applyFill="1" applyAlignment="1">
      <alignment horizontal="center" vertical="center" wrapText="1"/>
    </xf>
    <xf numFmtId="0" fontId="16" fillId="6" borderId="9" xfId="0" applyFont="1" applyFill="1" applyBorder="1" applyAlignment="1">
      <alignment horizontal="left" vertical="center" wrapText="1"/>
    </xf>
    <xf numFmtId="0" fontId="16" fillId="2" borderId="0" xfId="0" applyFont="1" applyFill="1" applyAlignment="1">
      <alignment horizontal="center" wrapText="1"/>
    </xf>
    <xf numFmtId="0" fontId="16" fillId="6" borderId="6" xfId="0" applyFont="1" applyFill="1" applyBorder="1" applyAlignment="1">
      <alignment horizontal="center" vertical="center" wrapText="1"/>
    </xf>
    <xf numFmtId="0" fontId="16" fillId="6" borderId="3" xfId="0" applyFont="1" applyFill="1" applyBorder="1" applyAlignment="1">
      <alignment horizontal="center" vertical="center" wrapText="1"/>
    </xf>
    <xf numFmtId="0" fontId="16" fillId="6" borderId="7" xfId="0" applyFont="1" applyFill="1" applyBorder="1" applyAlignment="1">
      <alignment horizontal="center" vertical="center" wrapText="1"/>
    </xf>
    <xf numFmtId="0" fontId="16" fillId="6" borderId="0" xfId="0" applyFont="1" applyFill="1" applyBorder="1" applyAlignment="1">
      <alignment vertical="center" wrapText="1"/>
    </xf>
    <xf numFmtId="164" fontId="16" fillId="6" borderId="1" xfId="1" applyNumberFormat="1" applyFont="1" applyFill="1" applyBorder="1" applyAlignment="1">
      <alignment horizontal="center" wrapText="1"/>
    </xf>
    <xf numFmtId="164" fontId="16" fillId="2" borderId="1" xfId="1" applyNumberFormat="1" applyFont="1" applyFill="1" applyBorder="1" applyAlignment="1">
      <alignment horizontal="center" wrapText="1"/>
    </xf>
    <xf numFmtId="164" fontId="16" fillId="6" borderId="1" xfId="1" applyNumberFormat="1" applyFont="1" applyFill="1" applyBorder="1" applyAlignment="1">
      <alignment wrapText="1"/>
    </xf>
    <xf numFmtId="164" fontId="16" fillId="0" borderId="1" xfId="1" applyNumberFormat="1" applyFont="1" applyBorder="1" applyAlignment="1">
      <alignment wrapText="1"/>
    </xf>
    <xf numFmtId="164" fontId="16" fillId="0" borderId="1" xfId="1" applyNumberFormat="1" applyFont="1" applyFill="1" applyBorder="1" applyAlignment="1">
      <alignment wrapText="1"/>
    </xf>
    <xf numFmtId="164" fontId="16" fillId="2" borderId="1" xfId="1" applyNumberFormat="1" applyFont="1" applyFill="1" applyBorder="1" applyAlignment="1">
      <alignment wrapText="1"/>
    </xf>
    <xf numFmtId="0" fontId="16" fillId="6" borderId="10" xfId="0" applyFont="1" applyFill="1" applyBorder="1" applyAlignment="1">
      <alignment horizontal="left" wrapText="1"/>
    </xf>
    <xf numFmtId="0" fontId="16" fillId="6" borderId="10" xfId="0" applyFont="1" applyFill="1" applyBorder="1" applyAlignment="1">
      <alignment horizontal="center" vertical="top" wrapText="1"/>
    </xf>
    <xf numFmtId="0" fontId="16" fillId="6" borderId="2" xfId="0" applyFont="1" applyFill="1" applyBorder="1" applyAlignment="1">
      <alignment vertical="top" wrapText="1"/>
    </xf>
    <xf numFmtId="0" fontId="16" fillId="6" borderId="11" xfId="0" applyFont="1" applyFill="1" applyBorder="1" applyAlignment="1">
      <alignment horizontal="left" wrapText="1"/>
    </xf>
    <xf numFmtId="0" fontId="16" fillId="6" borderId="10" xfId="0" applyFont="1" applyFill="1" applyBorder="1" applyAlignment="1">
      <alignment horizontal="center" vertical="center" wrapText="1"/>
    </xf>
    <xf numFmtId="0" fontId="16" fillId="6" borderId="13" xfId="0" applyFont="1" applyFill="1" applyBorder="1" applyAlignment="1">
      <alignment horizontal="center" vertical="center" wrapText="1"/>
    </xf>
    <xf numFmtId="0" fontId="16" fillId="6" borderId="4" xfId="0" applyFont="1" applyFill="1" applyBorder="1" applyAlignment="1">
      <alignment horizontal="left" wrapText="1"/>
    </xf>
    <xf numFmtId="0" fontId="16" fillId="6" borderId="8" xfId="0" applyFont="1" applyFill="1" applyBorder="1" applyAlignment="1">
      <alignment horizontal="center" vertical="center" wrapText="1"/>
    </xf>
    <xf numFmtId="0" fontId="16" fillId="6" borderId="1" xfId="0" applyFont="1" applyFill="1" applyBorder="1" applyAlignment="1">
      <alignment vertical="top" wrapText="1"/>
    </xf>
    <xf numFmtId="0" fontId="16" fillId="6" borderId="3" xfId="0" applyFont="1" applyFill="1" applyBorder="1" applyAlignment="1">
      <alignment vertical="center" wrapText="1"/>
    </xf>
    <xf numFmtId="0" fontId="16" fillId="6" borderId="10" xfId="0" applyFont="1" applyFill="1" applyBorder="1" applyAlignment="1">
      <alignment horizontal="left" vertical="center" wrapText="1"/>
    </xf>
    <xf numFmtId="0" fontId="16" fillId="6" borderId="13" xfId="0" applyFont="1" applyFill="1" applyBorder="1" applyAlignment="1">
      <alignment vertical="center" wrapText="1"/>
    </xf>
    <xf numFmtId="0" fontId="16" fillId="0" borderId="0" xfId="0" applyFont="1" applyFill="1" applyAlignment="1">
      <alignment wrapText="1"/>
    </xf>
    <xf numFmtId="0" fontId="19" fillId="8" borderId="3" xfId="0" applyFont="1" applyFill="1" applyBorder="1" applyAlignment="1">
      <alignment horizontal="left" wrapText="1"/>
    </xf>
    <xf numFmtId="164" fontId="16" fillId="2" borderId="14" xfId="1" applyNumberFormat="1" applyFont="1" applyFill="1" applyBorder="1" applyAlignment="1">
      <alignment horizontal="center" wrapText="1"/>
    </xf>
    <xf numFmtId="0" fontId="16" fillId="6" borderId="6" xfId="0" applyNumberFormat="1" applyFont="1" applyFill="1" applyBorder="1" applyAlignment="1">
      <alignment vertical="top" wrapText="1"/>
    </xf>
    <xf numFmtId="0" fontId="16" fillId="6" borderId="6" xfId="0" applyFont="1" applyFill="1" applyBorder="1" applyAlignment="1">
      <alignment wrapText="1"/>
    </xf>
    <xf numFmtId="0" fontId="19" fillId="7" borderId="1" xfId="0" applyFont="1" applyFill="1" applyBorder="1" applyAlignment="1">
      <alignment horizontal="left" vertical="top" wrapText="1"/>
    </xf>
    <xf numFmtId="0" fontId="19" fillId="8" borderId="1" xfId="0" applyFont="1" applyFill="1" applyBorder="1" applyAlignment="1">
      <alignment horizontal="left" wrapText="1"/>
    </xf>
    <xf numFmtId="0" fontId="16" fillId="6" borderId="1" xfId="0" applyFont="1" applyFill="1" applyBorder="1" applyAlignment="1">
      <alignment horizontal="left" vertical="top" wrapText="1"/>
    </xf>
    <xf numFmtId="0" fontId="16" fillId="6" borderId="4" xfId="0" applyFont="1" applyFill="1" applyBorder="1" applyAlignment="1">
      <alignment vertical="center" wrapText="1"/>
    </xf>
    <xf numFmtId="164" fontId="0" fillId="0" borderId="0" xfId="0" applyNumberFormat="1"/>
    <xf numFmtId="0" fontId="0" fillId="0" borderId="0" xfId="0"/>
    <xf numFmtId="0" fontId="13" fillId="6" borderId="13" xfId="0" applyFont="1" applyFill="1" applyBorder="1" applyAlignment="1">
      <alignment wrapText="1"/>
    </xf>
    <xf numFmtId="0" fontId="13" fillId="0" borderId="0" xfId="0" applyFont="1"/>
    <xf numFmtId="0" fontId="13" fillId="0" borderId="0" xfId="0" applyFont="1" applyAlignment="1">
      <alignment horizontal="center"/>
    </xf>
    <xf numFmtId="0" fontId="13" fillId="2" borderId="0" xfId="0" applyFont="1" applyFill="1" applyAlignment="1">
      <alignment wrapText="1"/>
    </xf>
    <xf numFmtId="0" fontId="13" fillId="2" borderId="0" xfId="0" applyFont="1" applyFill="1" applyAlignment="1">
      <alignment horizontal="center" wrapText="1"/>
    </xf>
    <xf numFmtId="0" fontId="13" fillId="0" borderId="0" xfId="0" applyFont="1" applyFill="1" applyAlignment="1">
      <alignment wrapText="1"/>
    </xf>
    <xf numFmtId="0" fontId="13" fillId="0" borderId="0" xfId="0" applyFont="1" applyFill="1"/>
    <xf numFmtId="0" fontId="16" fillId="6" borderId="4" xfId="0" applyFont="1" applyFill="1" applyBorder="1" applyAlignment="1">
      <alignment wrapText="1"/>
    </xf>
    <xf numFmtId="0" fontId="16" fillId="6" borderId="0" xfId="0" applyFont="1" applyFill="1" applyBorder="1" applyAlignment="1">
      <alignment horizontal="left" vertical="top" wrapText="1"/>
    </xf>
    <xf numFmtId="0" fontId="13" fillId="6" borderId="14" xfId="0" applyFont="1" applyFill="1" applyBorder="1" applyAlignment="1">
      <alignment horizontal="left" vertical="top" wrapText="1"/>
    </xf>
    <xf numFmtId="0" fontId="16" fillId="0" borderId="2" xfId="0" applyFont="1" applyBorder="1" applyAlignment="1">
      <alignment horizontal="left" vertical="top" wrapText="1"/>
    </xf>
    <xf numFmtId="0" fontId="16" fillId="6" borderId="13" xfId="0" applyFont="1" applyFill="1" applyBorder="1" applyAlignment="1">
      <alignment wrapText="1"/>
    </xf>
    <xf numFmtId="0" fontId="16" fillId="6" borderId="14" xfId="0" applyFont="1" applyFill="1" applyBorder="1" applyAlignment="1">
      <alignment horizontal="left" vertical="top" wrapText="1"/>
    </xf>
    <xf numFmtId="0" fontId="0" fillId="0" borderId="0" xfId="0"/>
    <xf numFmtId="0" fontId="13" fillId="6" borderId="13" xfId="0" applyFont="1" applyFill="1" applyBorder="1" applyAlignment="1">
      <alignment wrapText="1"/>
    </xf>
    <xf numFmtId="0" fontId="13" fillId="0" borderId="0" xfId="0" applyFont="1"/>
    <xf numFmtId="0" fontId="13" fillId="0" borderId="0" xfId="0" applyFont="1" applyAlignment="1">
      <alignment horizontal="center"/>
    </xf>
    <xf numFmtId="164" fontId="13" fillId="6" borderId="1" xfId="1" applyNumberFormat="1" applyFont="1" applyFill="1" applyBorder="1"/>
    <xf numFmtId="0" fontId="13" fillId="2" borderId="0" xfId="0" applyFont="1" applyFill="1" applyAlignment="1">
      <alignment wrapText="1"/>
    </xf>
    <xf numFmtId="0" fontId="13" fillId="2" borderId="0" xfId="0" applyFont="1" applyFill="1" applyAlignment="1">
      <alignment horizontal="center" wrapText="1"/>
    </xf>
    <xf numFmtId="164" fontId="13" fillId="2" borderId="1" xfId="1" applyNumberFormat="1" applyFont="1" applyFill="1" applyBorder="1" applyAlignment="1">
      <alignment horizontal="center" wrapText="1"/>
    </xf>
    <xf numFmtId="164" fontId="13" fillId="6" borderId="1" xfId="1" applyNumberFormat="1" applyFont="1" applyFill="1" applyBorder="1" applyAlignment="1">
      <alignment wrapText="1"/>
    </xf>
    <xf numFmtId="164" fontId="13" fillId="0" borderId="1" xfId="1" applyNumberFormat="1" applyFont="1" applyBorder="1" applyAlignment="1">
      <alignment wrapText="1"/>
    </xf>
    <xf numFmtId="164" fontId="13" fillId="0" borderId="1" xfId="1" applyNumberFormat="1" applyFont="1" applyFill="1" applyBorder="1" applyAlignment="1">
      <alignment wrapText="1"/>
    </xf>
    <xf numFmtId="164" fontId="13" fillId="2" borderId="1" xfId="1" applyNumberFormat="1" applyFont="1" applyFill="1" applyBorder="1" applyAlignment="1">
      <alignment wrapText="1"/>
    </xf>
    <xf numFmtId="0" fontId="13" fillId="0" borderId="0" xfId="0" applyFont="1" applyFill="1" applyAlignment="1">
      <alignment wrapText="1"/>
    </xf>
    <xf numFmtId="0" fontId="13" fillId="6" borderId="1" xfId="0" applyFont="1" applyFill="1" applyBorder="1" applyAlignment="1">
      <alignment horizontal="left" wrapText="1"/>
    </xf>
    <xf numFmtId="0" fontId="11" fillId="8" borderId="3" xfId="0" applyFont="1" applyFill="1" applyBorder="1" applyAlignment="1">
      <alignment horizontal="left" wrapText="1"/>
    </xf>
    <xf numFmtId="0" fontId="13" fillId="6" borderId="1" xfId="0" applyFont="1" applyFill="1" applyBorder="1" applyAlignment="1">
      <alignment horizontal="left" vertical="top" wrapText="1"/>
    </xf>
    <xf numFmtId="0" fontId="13" fillId="2" borderId="0" xfId="0" applyFont="1" applyFill="1"/>
    <xf numFmtId="0" fontId="13" fillId="0" borderId="0" xfId="0" applyFont="1" applyFill="1"/>
    <xf numFmtId="0" fontId="13" fillId="6" borderId="4" xfId="0" applyFont="1" applyFill="1" applyBorder="1"/>
    <xf numFmtId="0" fontId="13" fillId="6" borderId="8" xfId="0" applyFont="1" applyFill="1" applyBorder="1" applyAlignment="1">
      <alignment horizontal="center" vertical="top" wrapText="1"/>
    </xf>
    <xf numFmtId="0" fontId="13" fillId="0" borderId="4" xfId="0" applyFont="1" applyFill="1" applyBorder="1"/>
    <xf numFmtId="0" fontId="11" fillId="7" borderId="9" xfId="0" applyFont="1" applyFill="1" applyBorder="1" applyAlignment="1">
      <alignment horizontal="left" vertical="top" wrapText="1"/>
    </xf>
    <xf numFmtId="0" fontId="13" fillId="7" borderId="9" xfId="0" applyFont="1" applyFill="1" applyBorder="1" applyAlignment="1">
      <alignment horizontal="left" vertical="top" wrapText="1"/>
    </xf>
    <xf numFmtId="164" fontId="6" fillId="6" borderId="1" xfId="1" applyNumberFormat="1" applyFont="1" applyFill="1" applyBorder="1"/>
    <xf numFmtId="164" fontId="6" fillId="7" borderId="1" xfId="1" applyNumberFormat="1" applyFont="1" applyFill="1" applyBorder="1"/>
    <xf numFmtId="164" fontId="6" fillId="8" borderId="1" xfId="1" applyNumberFormat="1" applyFont="1" applyFill="1" applyBorder="1"/>
    <xf numFmtId="0" fontId="13" fillId="6" borderId="6" xfId="0" applyFont="1" applyFill="1" applyBorder="1" applyAlignment="1">
      <alignment vertical="top" wrapText="1"/>
    </xf>
    <xf numFmtId="164" fontId="0" fillId="0" borderId="0" xfId="0" applyNumberFormat="1"/>
    <xf numFmtId="0" fontId="13" fillId="6" borderId="1" xfId="0" applyFont="1" applyFill="1" applyBorder="1" applyAlignment="1">
      <alignment horizontal="center" vertical="top" wrapText="1"/>
    </xf>
    <xf numFmtId="0" fontId="13" fillId="6" borderId="7" xfId="0" applyFont="1" applyFill="1" applyBorder="1" applyAlignment="1">
      <alignment horizontal="left" vertical="top" wrapText="1"/>
    </xf>
    <xf numFmtId="0" fontId="13" fillId="8" borderId="11" xfId="0" applyFont="1" applyFill="1" applyBorder="1" applyAlignment="1">
      <alignment horizontal="left" vertical="top" wrapText="1"/>
    </xf>
    <xf numFmtId="0" fontId="13" fillId="6" borderId="12" xfId="0" applyFont="1" applyFill="1" applyBorder="1" applyAlignment="1">
      <alignment horizontal="left" vertical="top" wrapText="1"/>
    </xf>
    <xf numFmtId="0" fontId="16" fillId="0" borderId="1" xfId="0" applyFont="1" applyBorder="1" applyAlignment="1">
      <alignment horizontal="left" vertical="top" wrapText="1"/>
    </xf>
    <xf numFmtId="0" fontId="16" fillId="6" borderId="4" xfId="0" applyFont="1" applyFill="1" applyBorder="1" applyAlignment="1">
      <alignment wrapText="1"/>
    </xf>
    <xf numFmtId="0" fontId="16" fillId="6" borderId="0" xfId="0" applyFont="1" applyFill="1" applyBorder="1" applyAlignment="1">
      <alignment horizontal="left" vertical="top" wrapText="1"/>
    </xf>
    <xf numFmtId="0" fontId="16" fillId="6" borderId="4" xfId="0" applyFont="1" applyFill="1" applyBorder="1" applyAlignment="1">
      <alignment vertical="top" wrapText="1"/>
    </xf>
    <xf numFmtId="0" fontId="16" fillId="6" borderId="10" xfId="0" applyFont="1" applyFill="1" applyBorder="1" applyAlignment="1">
      <alignment vertical="top" wrapText="1"/>
    </xf>
    <xf numFmtId="0" fontId="13" fillId="6" borderId="14" xfId="0" applyFont="1" applyFill="1" applyBorder="1" applyAlignment="1">
      <alignment horizontal="left" vertical="top" wrapText="1"/>
    </xf>
    <xf numFmtId="0" fontId="13" fillId="6" borderId="13" xfId="0" applyFont="1" applyFill="1" applyBorder="1" applyAlignment="1">
      <alignment vertical="top" wrapText="1"/>
    </xf>
    <xf numFmtId="0" fontId="13" fillId="6" borderId="13" xfId="0" applyFont="1" applyFill="1" applyBorder="1" applyAlignment="1">
      <alignment vertical="center" wrapText="1"/>
    </xf>
    <xf numFmtId="0" fontId="13" fillId="6" borderId="1" xfId="0" applyFont="1" applyFill="1" applyBorder="1" applyAlignment="1">
      <alignment vertical="center" wrapText="1"/>
    </xf>
    <xf numFmtId="0" fontId="16" fillId="6" borderId="10" xfId="0" applyFont="1" applyFill="1" applyBorder="1" applyAlignment="1">
      <alignment vertical="center" wrapText="1"/>
    </xf>
    <xf numFmtId="0" fontId="16" fillId="6" borderId="1" xfId="0" applyFont="1" applyFill="1" applyBorder="1" applyAlignment="1">
      <alignment vertical="center" wrapText="1"/>
    </xf>
    <xf numFmtId="0" fontId="16" fillId="6" borderId="8" xfId="0" applyFont="1" applyFill="1" applyBorder="1" applyAlignment="1">
      <alignment vertical="center" wrapText="1"/>
    </xf>
    <xf numFmtId="0" fontId="16" fillId="6" borderId="2" xfId="0" applyFont="1" applyFill="1" applyBorder="1" applyAlignment="1">
      <alignment vertical="center" wrapText="1"/>
    </xf>
    <xf numFmtId="0" fontId="16" fillId="6" borderId="13" xfId="0" applyFont="1" applyFill="1" applyBorder="1" applyAlignment="1">
      <alignment vertical="top" wrapText="1"/>
    </xf>
    <xf numFmtId="0" fontId="16" fillId="0" borderId="1" xfId="0" applyFont="1" applyFill="1" applyBorder="1" applyAlignment="1">
      <alignment horizontal="left" vertical="top" wrapText="1"/>
    </xf>
    <xf numFmtId="0" fontId="16" fillId="6" borderId="9" xfId="0" applyFont="1" applyFill="1" applyBorder="1" applyAlignment="1">
      <alignment horizontal="center" vertical="center" wrapText="1"/>
    </xf>
    <xf numFmtId="0" fontId="16" fillId="8" borderId="11" xfId="0" applyFont="1" applyFill="1" applyBorder="1" applyAlignment="1">
      <alignment horizontal="left" vertical="top" wrapText="1"/>
    </xf>
    <xf numFmtId="0" fontId="16" fillId="8" borderId="1" xfId="0" applyFont="1" applyFill="1" applyBorder="1" applyAlignment="1">
      <alignment horizontal="left" vertical="top" wrapText="1"/>
    </xf>
    <xf numFmtId="0" fontId="16" fillId="8" borderId="9" xfId="0" applyFont="1" applyFill="1" applyBorder="1" applyAlignment="1">
      <alignment horizontal="left" vertical="top" wrapText="1"/>
    </xf>
    <xf numFmtId="0" fontId="16" fillId="8" borderId="3" xfId="0" applyFont="1" applyFill="1" applyBorder="1" applyAlignment="1">
      <alignment horizontal="left" vertical="top" wrapText="1"/>
    </xf>
    <xf numFmtId="0" fontId="16" fillId="6" borderId="0" xfId="0" applyFont="1" applyFill="1" applyBorder="1" applyAlignment="1">
      <alignment horizontal="center" vertical="center" wrapText="1"/>
    </xf>
    <xf numFmtId="0" fontId="16" fillId="6" borderId="5" xfId="0" applyFont="1" applyFill="1" applyBorder="1" applyAlignment="1">
      <alignment horizontal="left" vertical="center" wrapText="1"/>
    </xf>
    <xf numFmtId="0" fontId="16" fillId="6" borderId="4" xfId="0" applyFont="1" applyFill="1" applyBorder="1" applyAlignment="1">
      <alignment horizontal="left" vertical="center" wrapText="1"/>
    </xf>
    <xf numFmtId="0" fontId="16" fillId="6" borderId="14" xfId="0" applyFont="1" applyFill="1" applyBorder="1" applyAlignment="1">
      <alignment horizontal="center" vertical="center" wrapText="1"/>
    </xf>
    <xf numFmtId="0" fontId="16" fillId="6" borderId="2" xfId="0" applyFont="1" applyFill="1" applyBorder="1" applyAlignment="1">
      <alignment horizontal="center" vertical="center" wrapText="1"/>
    </xf>
    <xf numFmtId="0" fontId="20" fillId="6" borderId="10" xfId="0" applyFont="1" applyFill="1" applyBorder="1" applyAlignment="1">
      <alignment vertical="top" wrapText="1"/>
    </xf>
    <xf numFmtId="0" fontId="18" fillId="0" borderId="1" xfId="0" applyFont="1" applyFill="1" applyBorder="1" applyAlignment="1">
      <alignment horizontal="left" vertical="top" wrapText="1"/>
    </xf>
    <xf numFmtId="0" fontId="16" fillId="6" borderId="5" xfId="0" applyFont="1" applyFill="1" applyBorder="1" applyAlignment="1">
      <alignment vertical="top" wrapText="1"/>
    </xf>
    <xf numFmtId="0" fontId="16" fillId="6" borderId="8" xfId="0" applyNumberFormat="1" applyFont="1" applyFill="1" applyBorder="1" applyAlignment="1">
      <alignment vertical="top" wrapText="1"/>
    </xf>
    <xf numFmtId="0" fontId="16" fillId="6" borderId="1" xfId="0" applyNumberFormat="1" applyFont="1" applyFill="1" applyBorder="1" applyAlignment="1">
      <alignment vertical="top" wrapText="1"/>
    </xf>
    <xf numFmtId="0" fontId="16" fillId="6" borderId="13" xfId="0" applyNumberFormat="1" applyFont="1" applyFill="1" applyBorder="1" applyAlignment="1">
      <alignment vertical="top" wrapText="1"/>
    </xf>
    <xf numFmtId="0" fontId="16" fillId="6" borderId="4" xfId="0" applyFont="1" applyFill="1" applyBorder="1" applyAlignment="1">
      <alignment horizontal="center" vertical="center" wrapText="1"/>
    </xf>
    <xf numFmtId="0" fontId="16" fillId="0" borderId="2" xfId="0" applyFont="1" applyFill="1" applyBorder="1" applyAlignment="1">
      <alignment horizontal="left" vertical="center" wrapText="1"/>
    </xf>
    <xf numFmtId="164" fontId="19" fillId="2" borderId="0" xfId="1" applyNumberFormat="1" applyFont="1" applyFill="1" applyAlignment="1">
      <alignment wrapText="1"/>
    </xf>
    <xf numFmtId="164" fontId="16" fillId="2" borderId="0" xfId="1" applyNumberFormat="1" applyFont="1" applyFill="1" applyAlignment="1">
      <alignment wrapText="1"/>
    </xf>
    <xf numFmtId="164" fontId="13" fillId="2" borderId="0" xfId="1" applyNumberFormat="1" applyFont="1" applyFill="1"/>
    <xf numFmtId="164" fontId="12" fillId="2" borderId="0" xfId="1" applyNumberFormat="1" applyFont="1" applyFill="1"/>
    <xf numFmtId="164" fontId="16" fillId="6" borderId="1" xfId="1" applyNumberFormat="1" applyFont="1" applyFill="1" applyBorder="1" applyAlignment="1">
      <alignment horizontal="center" vertical="center" wrapText="1"/>
    </xf>
    <xf numFmtId="164" fontId="19" fillId="6" borderId="1" xfId="1" applyNumberFormat="1" applyFont="1" applyFill="1" applyBorder="1" applyAlignment="1">
      <alignment horizontal="center" vertical="center" wrapText="1"/>
    </xf>
    <xf numFmtId="164" fontId="19" fillId="6" borderId="8" xfId="1" applyNumberFormat="1" applyFont="1" applyFill="1" applyBorder="1" applyAlignment="1">
      <alignment horizontal="center" vertical="center" wrapText="1"/>
    </xf>
    <xf numFmtId="164" fontId="13" fillId="0" borderId="0" xfId="1" applyNumberFormat="1" applyFont="1"/>
    <xf numFmtId="164" fontId="13" fillId="0" borderId="0" xfId="1" applyNumberFormat="1" applyFont="1" applyAlignment="1">
      <alignment horizontal="center" vertical="center" wrapText="1"/>
    </xf>
    <xf numFmtId="164" fontId="16" fillId="6" borderId="1" xfId="1" applyNumberFormat="1" applyFont="1" applyFill="1" applyBorder="1" applyAlignment="1">
      <alignment horizontal="center" vertical="top" wrapText="1"/>
    </xf>
    <xf numFmtId="164" fontId="14" fillId="0" borderId="0" xfId="1" applyNumberFormat="1" applyFont="1" applyAlignment="1">
      <alignment horizontal="center"/>
    </xf>
    <xf numFmtId="164" fontId="19" fillId="7" borderId="1" xfId="1" applyNumberFormat="1" applyFont="1" applyFill="1" applyBorder="1" applyAlignment="1">
      <alignment horizontal="center" vertical="top" wrapText="1"/>
    </xf>
    <xf numFmtId="164" fontId="13" fillId="0" borderId="0" xfId="1" applyNumberFormat="1" applyFont="1" applyAlignment="1">
      <alignment horizontal="center"/>
    </xf>
    <xf numFmtId="164" fontId="11" fillId="7" borderId="1" xfId="1" applyNumberFormat="1" applyFont="1" applyFill="1" applyBorder="1" applyAlignment="1">
      <alignment horizontal="center" vertical="top" wrapText="1"/>
    </xf>
    <xf numFmtId="164" fontId="16" fillId="8" borderId="1" xfId="1" applyNumberFormat="1" applyFont="1" applyFill="1" applyBorder="1" applyAlignment="1">
      <alignment horizontal="center" vertical="top" wrapText="1"/>
    </xf>
    <xf numFmtId="164" fontId="19" fillId="8" borderId="1" xfId="1" applyNumberFormat="1" applyFont="1" applyFill="1" applyBorder="1" applyAlignment="1">
      <alignment horizontal="center" vertical="top" wrapText="1"/>
    </xf>
    <xf numFmtId="164" fontId="11" fillId="8" borderId="1" xfId="1" applyNumberFormat="1" applyFont="1" applyFill="1" applyBorder="1" applyAlignment="1">
      <alignment horizontal="center" vertical="top" wrapText="1"/>
    </xf>
    <xf numFmtId="164" fontId="16" fillId="2" borderId="1" xfId="1" applyNumberFormat="1" applyFont="1" applyFill="1" applyBorder="1" applyAlignment="1">
      <alignment vertical="top" wrapText="1"/>
    </xf>
    <xf numFmtId="164" fontId="12" fillId="2" borderId="1" xfId="1" applyNumberFormat="1" applyFont="1" applyFill="1" applyBorder="1"/>
    <xf numFmtId="164" fontId="12" fillId="6" borderId="1" xfId="1" applyNumberFormat="1" applyFont="1" applyFill="1" applyBorder="1"/>
    <xf numFmtId="164" fontId="16" fillId="6" borderId="14" xfId="1" applyNumberFormat="1" applyFont="1" applyFill="1" applyBorder="1" applyAlignment="1">
      <alignment wrapText="1"/>
    </xf>
    <xf numFmtId="164" fontId="16" fillId="6" borderId="11" xfId="1" applyNumberFormat="1" applyFont="1" applyFill="1" applyBorder="1" applyAlignment="1">
      <alignment wrapText="1"/>
    </xf>
    <xf numFmtId="164" fontId="13" fillId="0" borderId="0" xfId="1" applyNumberFormat="1" applyFont="1" applyBorder="1"/>
    <xf numFmtId="164" fontId="11" fillId="0" borderId="1" xfId="1" applyNumberFormat="1" applyFont="1" applyFill="1" applyBorder="1"/>
    <xf numFmtId="164" fontId="0" fillId="0" borderId="0" xfId="1" applyNumberFormat="1" applyFont="1"/>
    <xf numFmtId="164" fontId="19" fillId="8" borderId="14" xfId="1" applyNumberFormat="1" applyFont="1" applyFill="1" applyBorder="1" applyAlignment="1">
      <alignment wrapText="1"/>
    </xf>
    <xf numFmtId="164" fontId="19" fillId="8" borderId="1" xfId="1" applyNumberFormat="1" applyFont="1" applyFill="1" applyBorder="1" applyAlignment="1">
      <alignment wrapText="1"/>
    </xf>
    <xf numFmtId="164" fontId="19" fillId="8" borderId="11" xfId="1" applyNumberFormat="1" applyFont="1" applyFill="1" applyBorder="1" applyAlignment="1">
      <alignment wrapText="1"/>
    </xf>
    <xf numFmtId="164" fontId="11" fillId="0" borderId="0" xfId="1" applyNumberFormat="1" applyFont="1" applyFill="1"/>
    <xf numFmtId="164" fontId="11" fillId="8" borderId="1" xfId="1" applyNumberFormat="1" applyFont="1" applyFill="1" applyBorder="1" applyAlignment="1">
      <alignment wrapText="1"/>
    </xf>
    <xf numFmtId="164" fontId="16" fillId="2" borderId="11" xfId="1" applyNumberFormat="1" applyFont="1" applyFill="1" applyBorder="1" applyAlignment="1">
      <alignment wrapText="1"/>
    </xf>
    <xf numFmtId="164" fontId="16" fillId="10" borderId="1" xfId="1" applyNumberFormat="1" applyFont="1" applyFill="1" applyBorder="1" applyAlignment="1">
      <alignment wrapText="1"/>
    </xf>
    <xf numFmtId="164" fontId="16" fillId="10" borderId="1" xfId="1" applyNumberFormat="1" applyFont="1" applyFill="1" applyBorder="1" applyAlignment="1">
      <alignment horizontal="center" wrapText="1"/>
    </xf>
    <xf numFmtId="164" fontId="19" fillId="7" borderId="11" xfId="1" applyNumberFormat="1" applyFont="1" applyFill="1" applyBorder="1" applyAlignment="1">
      <alignment horizontal="center" vertical="top" wrapText="1"/>
    </xf>
    <xf numFmtId="164" fontId="21" fillId="2" borderId="1" xfId="1" applyNumberFormat="1" applyFont="1" applyFill="1" applyBorder="1" applyAlignment="1">
      <alignment horizontal="center" vertical="center"/>
    </xf>
    <xf numFmtId="164" fontId="18" fillId="4" borderId="1" xfId="1" applyNumberFormat="1" applyFont="1" applyFill="1" applyBorder="1" applyAlignment="1">
      <alignment wrapText="1"/>
    </xf>
    <xf numFmtId="164" fontId="18" fillId="4" borderId="1" xfId="1" applyNumberFormat="1" applyFont="1" applyFill="1" applyBorder="1" applyAlignment="1">
      <alignment horizontal="center" wrapText="1"/>
    </xf>
    <xf numFmtId="164" fontId="19" fillId="8" borderId="14" xfId="1" applyNumberFormat="1" applyFont="1" applyFill="1" applyBorder="1" applyAlignment="1">
      <alignment horizontal="center" wrapText="1"/>
    </xf>
    <xf numFmtId="164" fontId="11" fillId="8" borderId="14" xfId="1" applyNumberFormat="1" applyFont="1" applyFill="1" applyBorder="1" applyAlignment="1">
      <alignment horizontal="center" wrapText="1"/>
    </xf>
    <xf numFmtId="164" fontId="11" fillId="8" borderId="14" xfId="1" applyNumberFormat="1" applyFont="1" applyFill="1" applyBorder="1" applyAlignment="1">
      <alignment wrapText="1"/>
    </xf>
    <xf numFmtId="164" fontId="11" fillId="8" borderId="11" xfId="1" applyNumberFormat="1" applyFont="1" applyFill="1" applyBorder="1" applyAlignment="1">
      <alignment wrapText="1"/>
    </xf>
    <xf numFmtId="164" fontId="13" fillId="6" borderId="14" xfId="1" applyNumberFormat="1" applyFont="1" applyFill="1" applyBorder="1" applyAlignment="1">
      <alignment wrapText="1"/>
    </xf>
    <xf numFmtId="164" fontId="13" fillId="6" borderId="11" xfId="1" applyNumberFormat="1" applyFont="1" applyFill="1" applyBorder="1" applyAlignment="1">
      <alignment wrapText="1"/>
    </xf>
    <xf numFmtId="0" fontId="13" fillId="4" borderId="0" xfId="0" applyFont="1" applyFill="1" applyAlignment="1">
      <alignment horizontal="left" wrapText="1"/>
    </xf>
    <xf numFmtId="0" fontId="16" fillId="6" borderId="5" xfId="0" applyFont="1" applyFill="1" applyBorder="1" applyAlignment="1">
      <alignment horizontal="center" vertical="center" wrapText="1"/>
    </xf>
    <xf numFmtId="0" fontId="16" fillId="6" borderId="15" xfId="0" applyFont="1" applyFill="1" applyBorder="1" applyAlignment="1">
      <alignment horizontal="center" vertical="center" wrapText="1"/>
    </xf>
    <xf numFmtId="0" fontId="16" fillId="6" borderId="9" xfId="0" applyFont="1" applyFill="1" applyBorder="1" applyAlignment="1">
      <alignment horizontal="center" vertical="center" wrapText="1"/>
    </xf>
    <xf numFmtId="0" fontId="19" fillId="7" borderId="11" xfId="0" applyFont="1" applyFill="1" applyBorder="1" applyAlignment="1">
      <alignment horizontal="left" vertical="top" wrapText="1"/>
    </xf>
    <xf numFmtId="0" fontId="16" fillId="8" borderId="14" xfId="0" applyFont="1" applyFill="1" applyBorder="1" applyAlignment="1">
      <alignment horizontal="left" vertical="top" wrapText="1"/>
    </xf>
    <xf numFmtId="0" fontId="16" fillId="8" borderId="11" xfId="0" applyFont="1" applyFill="1" applyBorder="1" applyAlignment="1">
      <alignment horizontal="left" vertical="top" wrapText="1"/>
    </xf>
    <xf numFmtId="0" fontId="16" fillId="8" borderId="1" xfId="0" applyFont="1" applyFill="1" applyBorder="1" applyAlignment="1">
      <alignment horizontal="left" vertical="top" wrapText="1"/>
    </xf>
    <xf numFmtId="0" fontId="19" fillId="4" borderId="3" xfId="0" applyFont="1" applyFill="1" applyBorder="1" applyAlignment="1">
      <alignment horizontal="center" vertical="top" wrapText="1"/>
    </xf>
    <xf numFmtId="0" fontId="16" fillId="8" borderId="3" xfId="0" applyFont="1" applyFill="1" applyBorder="1" applyAlignment="1">
      <alignment horizontal="left" vertical="top" wrapText="1"/>
    </xf>
    <xf numFmtId="0" fontId="16" fillId="8" borderId="13" xfId="0" applyFont="1" applyFill="1" applyBorder="1" applyAlignment="1">
      <alignment horizontal="left" vertical="top" wrapText="1"/>
    </xf>
    <xf numFmtId="0" fontId="19" fillId="7" borderId="11" xfId="0" applyFont="1" applyFill="1" applyBorder="1" applyAlignment="1">
      <alignment horizontal="left" vertical="top" wrapText="1"/>
    </xf>
    <xf numFmtId="0" fontId="16" fillId="8" borderId="14" xfId="0" applyFont="1" applyFill="1" applyBorder="1" applyAlignment="1">
      <alignment horizontal="left" vertical="top" wrapText="1"/>
    </xf>
    <xf numFmtId="0" fontId="16" fillId="8" borderId="11" xfId="0" applyFont="1" applyFill="1" applyBorder="1" applyAlignment="1">
      <alignment horizontal="left" vertical="top" wrapText="1"/>
    </xf>
    <xf numFmtId="0" fontId="16" fillId="8" borderId="1" xfId="0" applyFont="1" applyFill="1" applyBorder="1" applyAlignment="1">
      <alignment horizontal="left" vertical="top" wrapText="1"/>
    </xf>
    <xf numFmtId="0" fontId="16" fillId="8" borderId="13" xfId="0" applyFont="1" applyFill="1" applyBorder="1" applyAlignment="1">
      <alignment horizontal="left" vertical="top" wrapText="1"/>
    </xf>
    <xf numFmtId="0" fontId="16" fillId="8" borderId="3" xfId="0" applyFont="1" applyFill="1" applyBorder="1" applyAlignment="1">
      <alignment horizontal="left" vertical="top" wrapText="1"/>
    </xf>
    <xf numFmtId="0" fontId="19" fillId="4" borderId="3" xfId="0" applyFont="1" applyFill="1" applyBorder="1" applyAlignment="1">
      <alignment horizontal="center" vertical="top" wrapText="1"/>
    </xf>
    <xf numFmtId="0" fontId="16" fillId="8" borderId="9" xfId="0" applyFont="1" applyFill="1" applyBorder="1" applyAlignment="1">
      <alignment horizontal="left" vertical="top" wrapText="1"/>
    </xf>
    <xf numFmtId="0" fontId="16" fillId="6" borderId="5" xfId="0" applyFont="1" applyFill="1" applyBorder="1" applyAlignment="1">
      <alignment horizontal="center" vertical="center" wrapText="1"/>
    </xf>
    <xf numFmtId="0" fontId="16" fillId="6" borderId="15" xfId="0" applyFont="1" applyFill="1" applyBorder="1" applyAlignment="1">
      <alignment horizontal="center" vertical="center" wrapText="1"/>
    </xf>
    <xf numFmtId="0" fontId="16" fillId="6" borderId="9" xfId="0" applyFont="1" applyFill="1" applyBorder="1" applyAlignment="1">
      <alignment horizontal="center" vertical="center" wrapText="1"/>
    </xf>
    <xf numFmtId="0" fontId="16" fillId="6" borderId="14" xfId="0" applyFont="1" applyFill="1" applyBorder="1" applyAlignment="1">
      <alignment horizontal="left" vertical="center" wrapText="1"/>
    </xf>
    <xf numFmtId="0" fontId="16" fillId="6" borderId="11" xfId="0" applyFont="1" applyFill="1" applyBorder="1" applyAlignment="1">
      <alignment horizontal="left" vertical="center" wrapText="1"/>
    </xf>
    <xf numFmtId="0" fontId="16" fillId="0" borderId="2" xfId="0" applyFont="1" applyFill="1" applyBorder="1" applyAlignment="1">
      <alignment horizontal="left" vertical="top" wrapText="1"/>
    </xf>
    <xf numFmtId="0" fontId="16" fillId="6" borderId="14" xfId="0" applyFont="1" applyFill="1" applyBorder="1" applyAlignment="1">
      <alignment vertical="center" wrapText="1"/>
    </xf>
    <xf numFmtId="0" fontId="16" fillId="6" borderId="11" xfId="0" applyFont="1" applyFill="1" applyBorder="1" applyAlignment="1">
      <alignment horizontal="left" vertical="top" wrapText="1"/>
    </xf>
    <xf numFmtId="0" fontId="20" fillId="6" borderId="10" xfId="0" applyFont="1" applyFill="1" applyBorder="1" applyAlignment="1">
      <alignment vertical="center" wrapText="1"/>
    </xf>
    <xf numFmtId="0" fontId="16" fillId="6" borderId="5" xfId="0" applyFont="1" applyFill="1" applyBorder="1" applyAlignment="1">
      <alignment wrapText="1"/>
    </xf>
    <xf numFmtId="0" fontId="16" fillId="6" borderId="15" xfId="0" applyFont="1" applyFill="1" applyBorder="1" applyAlignment="1">
      <alignment horizontal="left" vertical="top" wrapText="1"/>
    </xf>
    <xf numFmtId="0" fontId="16" fillId="6" borderId="2" xfId="0" applyFont="1" applyFill="1" applyBorder="1" applyAlignment="1">
      <alignment horizontal="left" wrapText="1"/>
    </xf>
    <xf numFmtId="0" fontId="16" fillId="6" borderId="15" xfId="0" applyFont="1" applyFill="1" applyBorder="1" applyAlignment="1">
      <alignment horizontal="center" wrapText="1"/>
    </xf>
    <xf numFmtId="0" fontId="16" fillId="6" borderId="9" xfId="0" applyFont="1" applyFill="1" applyBorder="1" applyAlignment="1">
      <alignment horizontal="center" wrapText="1"/>
    </xf>
    <xf numFmtId="0" fontId="16" fillId="6" borderId="0" xfId="0" applyFont="1" applyFill="1" applyBorder="1" applyAlignment="1">
      <alignment horizontal="center" wrapText="1"/>
    </xf>
    <xf numFmtId="0" fontId="16" fillId="6" borderId="12" xfId="0" applyFont="1" applyFill="1" applyBorder="1" applyAlignment="1">
      <alignment horizontal="center" wrapText="1"/>
    </xf>
    <xf numFmtId="0" fontId="16" fillId="6" borderId="6" xfId="0" applyFont="1" applyFill="1" applyBorder="1" applyAlignment="1">
      <alignment vertical="top" wrapText="1"/>
    </xf>
    <xf numFmtId="0" fontId="16" fillId="6" borderId="3" xfId="0" applyFont="1" applyFill="1" applyBorder="1" applyAlignment="1">
      <alignment horizontal="center" wrapText="1"/>
    </xf>
    <xf numFmtId="0" fontId="16" fillId="6" borderId="7" xfId="0" applyFont="1" applyFill="1" applyBorder="1" applyAlignment="1">
      <alignment horizontal="center" wrapText="1"/>
    </xf>
    <xf numFmtId="0" fontId="16" fillId="6" borderId="12" xfId="0" applyFont="1" applyFill="1" applyBorder="1" applyAlignment="1">
      <alignment horizontal="center" vertical="center" wrapText="1"/>
    </xf>
    <xf numFmtId="0" fontId="16" fillId="6" borderId="3" xfId="0" applyFont="1" applyFill="1" applyBorder="1" applyAlignment="1">
      <alignment horizontal="left" vertical="top" wrapText="1"/>
    </xf>
    <xf numFmtId="0" fontId="16" fillId="6" borderId="15" xfId="0" applyFont="1" applyFill="1" applyBorder="1" applyAlignment="1">
      <alignment horizontal="left" wrapText="1"/>
    </xf>
    <xf numFmtId="0" fontId="16" fillId="6" borderId="15" xfId="0" applyFont="1" applyFill="1" applyBorder="1" applyAlignment="1">
      <alignment vertical="center" wrapText="1"/>
    </xf>
    <xf numFmtId="0" fontId="16" fillId="6" borderId="9" xfId="0" applyFont="1" applyFill="1" applyBorder="1" applyAlignment="1">
      <alignment vertical="center" wrapText="1"/>
    </xf>
    <xf numFmtId="0" fontId="16" fillId="6" borderId="0" xfId="0" applyFont="1" applyFill="1" applyBorder="1" applyAlignment="1">
      <alignment horizontal="left" wrapText="1"/>
    </xf>
    <xf numFmtId="0" fontId="16" fillId="6" borderId="0" xfId="0" applyFont="1" applyFill="1" applyBorder="1" applyAlignment="1">
      <alignment horizontal="left" vertical="center" wrapText="1"/>
    </xf>
    <xf numFmtId="0" fontId="16" fillId="6" borderId="3" xfId="0" applyFont="1" applyFill="1" applyBorder="1" applyAlignment="1">
      <alignment horizontal="left" wrapText="1"/>
    </xf>
    <xf numFmtId="0" fontId="16" fillId="6" borderId="15" xfId="0" applyFont="1" applyFill="1" applyBorder="1" applyAlignment="1">
      <alignment vertical="top" wrapText="1"/>
    </xf>
    <xf numFmtId="0" fontId="16" fillId="6" borderId="3" xfId="0" applyFont="1" applyFill="1" applyBorder="1" applyAlignment="1">
      <alignment vertical="top" wrapText="1"/>
    </xf>
    <xf numFmtId="0" fontId="16" fillId="6" borderId="0" xfId="0" applyFont="1" applyFill="1" applyBorder="1" applyAlignment="1">
      <alignment vertical="top" wrapText="1"/>
    </xf>
    <xf numFmtId="0" fontId="17" fillId="6" borderId="3" xfId="0" applyFont="1" applyFill="1" applyBorder="1" applyAlignment="1">
      <alignment horizontal="center" wrapText="1"/>
    </xf>
    <xf numFmtId="0" fontId="17" fillId="6" borderId="7" xfId="0" applyFont="1" applyFill="1" applyBorder="1" applyAlignment="1">
      <alignment horizontal="center" wrapText="1"/>
    </xf>
    <xf numFmtId="0" fontId="17" fillId="6" borderId="0" xfId="0" applyFont="1" applyFill="1" applyBorder="1" applyAlignment="1">
      <alignment horizontal="center" wrapText="1"/>
    </xf>
    <xf numFmtId="0" fontId="17" fillId="6" borderId="12" xfId="0" applyFont="1" applyFill="1" applyBorder="1" applyAlignment="1">
      <alignment horizontal="center" wrapText="1"/>
    </xf>
    <xf numFmtId="0" fontId="0" fillId="6" borderId="0" xfId="0" applyFill="1"/>
    <xf numFmtId="0" fontId="16" fillId="6" borderId="9" xfId="0" applyFont="1" applyFill="1" applyBorder="1" applyAlignment="1">
      <alignment horizontal="left" vertical="top" wrapText="1"/>
    </xf>
    <xf numFmtId="0" fontId="16" fillId="6" borderId="12" xfId="0" applyFont="1" applyFill="1" applyBorder="1" applyAlignment="1">
      <alignment horizontal="left" vertical="top" wrapText="1"/>
    </xf>
    <xf numFmtId="0" fontId="16" fillId="6" borderId="7" xfId="0" applyFont="1" applyFill="1" applyBorder="1" applyAlignment="1">
      <alignment wrapText="1"/>
    </xf>
    <xf numFmtId="0" fontId="16" fillId="8" borderId="6" xfId="0" applyFont="1" applyFill="1" applyBorder="1" applyAlignment="1">
      <alignment horizontal="left" vertical="top" wrapText="1"/>
    </xf>
    <xf numFmtId="0" fontId="16" fillId="6" borderId="5" xfId="0" applyFont="1" applyFill="1" applyBorder="1" applyAlignment="1">
      <alignment vertical="center" wrapText="1"/>
    </xf>
    <xf numFmtId="0" fontId="16" fillId="6" borderId="12" xfId="0" applyFont="1" applyFill="1" applyBorder="1" applyAlignment="1">
      <alignment wrapText="1"/>
    </xf>
    <xf numFmtId="0" fontId="16" fillId="6" borderId="0" xfId="0" applyFont="1" applyFill="1" applyBorder="1" applyAlignment="1">
      <alignment horizontal="center" vertical="top" wrapText="1"/>
    </xf>
    <xf numFmtId="0" fontId="16" fillId="6" borderId="12" xfId="0" applyFont="1" applyFill="1" applyBorder="1" applyAlignment="1">
      <alignment horizontal="center" vertical="top" wrapText="1"/>
    </xf>
    <xf numFmtId="0" fontId="16" fillId="6" borderId="15" xfId="0" applyFont="1" applyFill="1" applyBorder="1" applyAlignment="1">
      <alignment horizontal="center" vertical="top" wrapText="1"/>
    </xf>
    <xf numFmtId="0" fontId="16" fillId="6" borderId="9" xfId="0" applyFont="1" applyFill="1" applyBorder="1" applyAlignment="1">
      <alignment horizontal="center" vertical="top" wrapText="1"/>
    </xf>
    <xf numFmtId="0" fontId="19" fillId="7" borderId="9" xfId="0" applyFont="1" applyFill="1" applyBorder="1" applyAlignment="1">
      <alignment horizontal="left" vertical="top" wrapText="1"/>
    </xf>
    <xf numFmtId="0" fontId="16" fillId="8" borderId="2" xfId="0" applyFont="1" applyFill="1" applyBorder="1" applyAlignment="1">
      <alignment horizontal="left" vertical="top" wrapText="1"/>
    </xf>
    <xf numFmtId="0" fontId="16" fillId="6" borderId="7" xfId="0" applyFont="1" applyFill="1" applyBorder="1" applyAlignment="1">
      <alignment horizontal="left" vertical="top" wrapText="1"/>
    </xf>
    <xf numFmtId="0" fontId="0" fillId="6" borderId="8" xfId="0" applyFill="1" applyBorder="1"/>
    <xf numFmtId="0" fontId="0" fillId="6" borderId="10" xfId="0" applyFill="1" applyBorder="1"/>
    <xf numFmtId="0" fontId="0" fillId="6" borderId="2" xfId="0" applyFill="1" applyBorder="1"/>
    <xf numFmtId="0" fontId="16" fillId="6" borderId="14" xfId="0" applyFont="1" applyFill="1" applyBorder="1" applyAlignment="1">
      <alignment vertical="top" wrapText="1"/>
    </xf>
    <xf numFmtId="0" fontId="16" fillId="6" borderId="8" xfId="0" applyFont="1" applyFill="1" applyBorder="1" applyAlignment="1">
      <alignment vertical="top" wrapText="1"/>
    </xf>
    <xf numFmtId="0" fontId="16" fillId="6" borderId="2" xfId="0" applyFont="1" applyFill="1" applyBorder="1" applyAlignment="1">
      <alignment horizontal="left" vertical="top" wrapText="1"/>
    </xf>
    <xf numFmtId="0" fontId="16" fillId="6" borderId="8" xfId="0" applyFont="1" applyFill="1" applyBorder="1" applyAlignment="1">
      <alignment horizontal="center" vertical="top" wrapText="1"/>
    </xf>
    <xf numFmtId="0" fontId="16" fillId="6" borderId="2" xfId="0" applyFont="1" applyFill="1" applyBorder="1" applyAlignment="1">
      <alignment horizontal="center" vertical="top" wrapText="1"/>
    </xf>
    <xf numFmtId="0" fontId="16" fillId="6" borderId="8" xfId="0" applyFont="1" applyFill="1" applyBorder="1" applyAlignment="1">
      <alignment horizontal="left" wrapText="1"/>
    </xf>
    <xf numFmtId="0" fontId="16" fillId="6" borderId="12" xfId="0" applyFont="1" applyFill="1" applyBorder="1" applyAlignment="1">
      <alignment vertical="top" wrapText="1"/>
    </xf>
    <xf numFmtId="0" fontId="0" fillId="6" borderId="14" xfId="0" applyFill="1" applyBorder="1"/>
    <xf numFmtId="0" fontId="0" fillId="6" borderId="11" xfId="0" applyFill="1" applyBorder="1"/>
    <xf numFmtId="0" fontId="0" fillId="6" borderId="5" xfId="0" applyFill="1" applyBorder="1"/>
    <xf numFmtId="0" fontId="0" fillId="6" borderId="15" xfId="0" applyFill="1" applyBorder="1"/>
    <xf numFmtId="0" fontId="0" fillId="6" borderId="9" xfId="0" applyFill="1" applyBorder="1"/>
    <xf numFmtId="0" fontId="0" fillId="6" borderId="4" xfId="0" applyFill="1" applyBorder="1"/>
    <xf numFmtId="0" fontId="0" fillId="6" borderId="0" xfId="0" applyFill="1" applyBorder="1"/>
    <xf numFmtId="0" fontId="0" fillId="6" borderId="12" xfId="0" applyFill="1" applyBorder="1"/>
    <xf numFmtId="0" fontId="0" fillId="6" borderId="6" xfId="0" applyFill="1" applyBorder="1"/>
    <xf numFmtId="0" fontId="0" fillId="6" borderId="3" xfId="0" applyFill="1" applyBorder="1"/>
    <xf numFmtId="0" fontId="0" fillId="6" borderId="7" xfId="0" applyFill="1" applyBorder="1"/>
    <xf numFmtId="0" fontId="29" fillId="6" borderId="13" xfId="0" applyFont="1" applyFill="1" applyBorder="1" applyAlignment="1">
      <alignment wrapText="1"/>
    </xf>
    <xf numFmtId="0" fontId="29" fillId="6" borderId="14" xfId="0" applyFont="1" applyFill="1" applyBorder="1" applyAlignment="1">
      <alignment horizontal="left" vertical="top" wrapText="1"/>
    </xf>
    <xf numFmtId="0" fontId="29" fillId="6" borderId="13" xfId="0" applyFont="1" applyFill="1" applyBorder="1" applyAlignment="1">
      <alignment vertical="top" wrapText="1"/>
    </xf>
    <xf numFmtId="0" fontId="29" fillId="6" borderId="13" xfId="0" applyFont="1" applyFill="1" applyBorder="1" applyAlignment="1">
      <alignment vertical="center" wrapText="1"/>
    </xf>
    <xf numFmtId="0" fontId="11" fillId="7" borderId="9" xfId="0" applyFont="1" applyFill="1" applyBorder="1" applyAlignment="1">
      <alignment horizontal="left" vertical="top" wrapText="1"/>
    </xf>
    <xf numFmtId="0" fontId="11" fillId="8" borderId="11" xfId="0" applyFont="1" applyFill="1" applyBorder="1" applyAlignment="1">
      <alignment horizontal="left" wrapText="1"/>
    </xf>
    <xf numFmtId="0" fontId="13" fillId="0" borderId="1" xfId="0" applyFont="1" applyFill="1" applyBorder="1" applyAlignment="1">
      <alignment wrapText="1"/>
    </xf>
    <xf numFmtId="164" fontId="16" fillId="6" borderId="2" xfId="1" applyNumberFormat="1" applyFont="1" applyFill="1" applyBorder="1" applyAlignment="1">
      <alignment horizontal="center" vertical="center" wrapText="1"/>
    </xf>
    <xf numFmtId="164" fontId="18" fillId="6" borderId="2" xfId="1" applyNumberFormat="1" applyFont="1" applyFill="1" applyBorder="1" applyAlignment="1">
      <alignment horizontal="center" vertical="center" wrapText="1"/>
    </xf>
    <xf numFmtId="164" fontId="30" fillId="6" borderId="2" xfId="1" applyNumberFormat="1" applyFont="1" applyFill="1" applyBorder="1" applyAlignment="1">
      <alignment horizontal="center" vertical="center" wrapText="1"/>
    </xf>
    <xf numFmtId="0" fontId="19" fillId="4" borderId="3" xfId="0" applyFont="1" applyFill="1" applyBorder="1" applyAlignment="1">
      <alignment vertical="top" wrapText="1"/>
    </xf>
    <xf numFmtId="164" fontId="18" fillId="0" borderId="1" xfId="1" applyNumberFormat="1" applyFont="1" applyFill="1" applyBorder="1" applyAlignment="1">
      <alignment wrapText="1"/>
    </xf>
    <xf numFmtId="164" fontId="18" fillId="0" borderId="1" xfId="1" applyNumberFormat="1" applyFont="1" applyFill="1" applyBorder="1" applyAlignment="1">
      <alignment horizontal="center" wrapText="1"/>
    </xf>
    <xf numFmtId="0" fontId="0" fillId="6" borderId="2" xfId="0" applyFill="1" applyBorder="1" applyAlignment="1">
      <alignment wrapText="1"/>
    </xf>
    <xf numFmtId="164" fontId="18" fillId="6" borderId="1" xfId="1" applyNumberFormat="1" applyFont="1" applyFill="1" applyBorder="1" applyAlignment="1">
      <alignment horizontal="center" vertical="top" wrapText="1"/>
    </xf>
    <xf numFmtId="0" fontId="20" fillId="6" borderId="1" xfId="0" applyFont="1" applyFill="1" applyBorder="1" applyAlignment="1">
      <alignment vertical="top" wrapText="1"/>
    </xf>
    <xf numFmtId="0" fontId="20" fillId="6" borderId="1" xfId="0" applyFont="1" applyFill="1" applyBorder="1" applyAlignment="1">
      <alignment vertical="center" wrapText="1"/>
    </xf>
    <xf numFmtId="164" fontId="16" fillId="0" borderId="1" xfId="1" applyNumberFormat="1" applyFont="1" applyFill="1" applyBorder="1" applyAlignment="1">
      <alignment horizontal="center" wrapText="1"/>
    </xf>
    <xf numFmtId="0" fontId="11" fillId="4" borderId="3" xfId="0" applyFont="1" applyFill="1" applyBorder="1" applyAlignment="1">
      <alignment horizontal="center" vertical="top" wrapText="1"/>
    </xf>
    <xf numFmtId="164" fontId="19" fillId="6" borderId="13" xfId="1" applyNumberFormat="1" applyFont="1" applyFill="1" applyBorder="1" applyAlignment="1">
      <alignment horizontal="center" vertical="center" wrapText="1"/>
    </xf>
    <xf numFmtId="164" fontId="19" fillId="6" borderId="14" xfId="1" applyNumberFormat="1" applyFont="1" applyFill="1" applyBorder="1" applyAlignment="1">
      <alignment horizontal="center" vertical="center" wrapText="1"/>
    </xf>
    <xf numFmtId="164" fontId="19" fillId="6" borderId="11" xfId="1" applyNumberFormat="1" applyFont="1" applyFill="1" applyBorder="1" applyAlignment="1">
      <alignment horizontal="center" vertical="center" wrapText="1"/>
    </xf>
    <xf numFmtId="0" fontId="16" fillId="6" borderId="5" xfId="0" applyFont="1" applyFill="1" applyBorder="1" applyAlignment="1">
      <alignment horizontal="center" vertical="center" wrapText="1"/>
    </xf>
    <xf numFmtId="0" fontId="16" fillId="6" borderId="15" xfId="0" applyFont="1" applyFill="1" applyBorder="1" applyAlignment="1">
      <alignment horizontal="center" vertical="center" wrapText="1"/>
    </xf>
    <xf numFmtId="0" fontId="16" fillId="6" borderId="9" xfId="0" applyFont="1" applyFill="1" applyBorder="1" applyAlignment="1">
      <alignment horizontal="center" vertical="center" wrapText="1"/>
    </xf>
    <xf numFmtId="0" fontId="19" fillId="7" borderId="5" xfId="0" applyFont="1" applyFill="1" applyBorder="1" applyAlignment="1">
      <alignment horizontal="left" vertical="top" wrapText="1"/>
    </xf>
    <xf numFmtId="0" fontId="19" fillId="7" borderId="14" xfId="0" applyFont="1" applyFill="1" applyBorder="1" applyAlignment="1">
      <alignment horizontal="left" vertical="top" wrapText="1"/>
    </xf>
    <xf numFmtId="0" fontId="19" fillId="7" borderId="11" xfId="0" applyFont="1" applyFill="1" applyBorder="1" applyAlignment="1">
      <alignment horizontal="left" vertical="top" wrapText="1"/>
    </xf>
    <xf numFmtId="0" fontId="16" fillId="8" borderId="14" xfId="0" applyFont="1" applyFill="1" applyBorder="1" applyAlignment="1">
      <alignment horizontal="left" vertical="top" wrapText="1"/>
    </xf>
    <xf numFmtId="0" fontId="16" fillId="8" borderId="11" xfId="0" applyFont="1" applyFill="1" applyBorder="1" applyAlignment="1">
      <alignment horizontal="left" vertical="top" wrapText="1"/>
    </xf>
    <xf numFmtId="0" fontId="19" fillId="7" borderId="15" xfId="0" applyFont="1" applyFill="1" applyBorder="1" applyAlignment="1">
      <alignment horizontal="left" vertical="top" wrapText="1"/>
    </xf>
    <xf numFmtId="0" fontId="19" fillId="7" borderId="9" xfId="0" applyFont="1" applyFill="1" applyBorder="1" applyAlignment="1">
      <alignment horizontal="left" vertical="top" wrapText="1"/>
    </xf>
    <xf numFmtId="0" fontId="19" fillId="4" borderId="3" xfId="0" applyFont="1" applyFill="1" applyBorder="1" applyAlignment="1">
      <alignment horizontal="center" vertical="top" wrapText="1"/>
    </xf>
    <xf numFmtId="0" fontId="19" fillId="7" borderId="13" xfId="0" applyFont="1" applyFill="1" applyBorder="1" applyAlignment="1">
      <alignment horizontal="left" vertical="top" wrapText="1"/>
    </xf>
    <xf numFmtId="0" fontId="16" fillId="8" borderId="3" xfId="0" applyFont="1" applyFill="1" applyBorder="1" applyAlignment="1">
      <alignment horizontal="left" vertical="top" wrapText="1"/>
    </xf>
    <xf numFmtId="0" fontId="16" fillId="8" borderId="7" xfId="0" applyFont="1" applyFill="1" applyBorder="1" applyAlignment="1">
      <alignment horizontal="left" vertical="top" wrapText="1"/>
    </xf>
    <xf numFmtId="0" fontId="11" fillId="7" borderId="5" xfId="0" applyFont="1" applyFill="1" applyBorder="1" applyAlignment="1">
      <alignment horizontal="left" vertical="top" wrapText="1"/>
    </xf>
    <xf numFmtId="0" fontId="11" fillId="7" borderId="15" xfId="0" applyFont="1" applyFill="1" applyBorder="1" applyAlignment="1">
      <alignment horizontal="left" vertical="top" wrapText="1"/>
    </xf>
    <xf numFmtId="0" fontId="11" fillId="7" borderId="9" xfId="0" applyFont="1" applyFill="1" applyBorder="1" applyAlignment="1">
      <alignment horizontal="left" vertical="top" wrapText="1"/>
    </xf>
    <xf numFmtId="164" fontId="11" fillId="6" borderId="13" xfId="1" applyNumberFormat="1" applyFont="1" applyFill="1" applyBorder="1" applyAlignment="1">
      <alignment horizontal="center" vertical="center" wrapText="1"/>
    </xf>
    <xf numFmtId="164" fontId="11" fillId="6" borderId="14" xfId="1" applyNumberFormat="1" applyFont="1" applyFill="1" applyBorder="1" applyAlignment="1">
      <alignment horizontal="center" vertical="center" wrapText="1"/>
    </xf>
    <xf numFmtId="164" fontId="11" fillId="6" borderId="11" xfId="1" applyNumberFormat="1" applyFont="1" applyFill="1" applyBorder="1" applyAlignment="1">
      <alignment horizontal="center" vertical="center" wrapText="1"/>
    </xf>
    <xf numFmtId="0" fontId="13" fillId="6" borderId="5" xfId="0" applyFont="1" applyFill="1" applyBorder="1" applyAlignment="1">
      <alignment horizontal="center" vertical="center" wrapText="1"/>
    </xf>
    <xf numFmtId="0" fontId="13" fillId="6" borderId="15" xfId="0" applyFont="1" applyFill="1" applyBorder="1" applyAlignment="1">
      <alignment horizontal="center" vertical="center" wrapText="1"/>
    </xf>
    <xf numFmtId="0" fontId="13" fillId="6" borderId="9" xfId="0" applyFont="1" applyFill="1" applyBorder="1" applyAlignment="1">
      <alignment horizontal="center" vertical="center" wrapText="1"/>
    </xf>
    <xf numFmtId="0" fontId="11" fillId="7" borderId="14" xfId="0" applyFont="1" applyFill="1" applyBorder="1" applyAlignment="1">
      <alignment horizontal="left" vertical="top" wrapText="1"/>
    </xf>
    <xf numFmtId="0" fontId="11" fillId="7" borderId="11" xfId="0" applyFont="1" applyFill="1" applyBorder="1" applyAlignment="1">
      <alignment horizontal="left" vertical="top" wrapText="1"/>
    </xf>
    <xf numFmtId="0" fontId="13" fillId="8" borderId="15" xfId="0" applyFont="1" applyFill="1" applyBorder="1" applyAlignment="1">
      <alignment horizontal="center" vertical="top" wrapText="1"/>
    </xf>
    <xf numFmtId="0" fontId="13" fillId="8" borderId="9" xfId="0" applyFont="1" applyFill="1" applyBorder="1" applyAlignment="1">
      <alignment horizontal="center" vertical="top" wrapText="1"/>
    </xf>
    <xf numFmtId="164" fontId="22" fillId="9" borderId="13" xfId="1" applyNumberFormat="1" applyFont="1" applyFill="1" applyBorder="1" applyAlignment="1">
      <alignment horizontal="center"/>
    </xf>
    <xf numFmtId="164" fontId="22" fillId="9" borderId="14" xfId="1" applyNumberFormat="1" applyFont="1" applyFill="1" applyBorder="1" applyAlignment="1">
      <alignment horizontal="center"/>
    </xf>
    <xf numFmtId="164" fontId="22" fillId="9" borderId="11" xfId="1" applyNumberFormat="1" applyFont="1" applyFill="1" applyBorder="1" applyAlignment="1">
      <alignment horizontal="center"/>
    </xf>
    <xf numFmtId="0" fontId="7" fillId="6" borderId="13" xfId="0" applyFont="1" applyFill="1" applyBorder="1" applyAlignment="1">
      <alignment horizontal="center"/>
    </xf>
    <xf numFmtId="0" fontId="7" fillId="6" borderId="14" xfId="0" applyFont="1" applyFill="1" applyBorder="1" applyAlignment="1">
      <alignment horizontal="center"/>
    </xf>
    <xf numFmtId="0" fontId="7" fillId="6" borderId="11" xfId="0" applyFont="1" applyFill="1" applyBorder="1" applyAlignment="1">
      <alignment horizontal="center"/>
    </xf>
    <xf numFmtId="164" fontId="7" fillId="6" borderId="13" xfId="1" applyNumberFormat="1" applyFont="1" applyFill="1" applyBorder="1" applyAlignment="1">
      <alignment horizontal="center"/>
    </xf>
    <xf numFmtId="164" fontId="7" fillId="6" borderId="14" xfId="1" applyNumberFormat="1" applyFont="1" applyFill="1" applyBorder="1" applyAlignment="1">
      <alignment horizontal="center"/>
    </xf>
    <xf numFmtId="164" fontId="7" fillId="6" borderId="11" xfId="1" applyNumberFormat="1" applyFont="1" applyFill="1" applyBorder="1" applyAlignment="1">
      <alignment horizontal="center"/>
    </xf>
    <xf numFmtId="0" fontId="13" fillId="8" borderId="14" xfId="0" applyFont="1" applyFill="1" applyBorder="1" applyAlignment="1">
      <alignment horizontal="left" vertical="top" wrapText="1"/>
    </xf>
    <xf numFmtId="0" fontId="13" fillId="8" borderId="11" xfId="0" applyFont="1" applyFill="1" applyBorder="1" applyAlignment="1">
      <alignment horizontal="left" vertical="top" wrapText="1"/>
    </xf>
    <xf numFmtId="0" fontId="13" fillId="6" borderId="13" xfId="0" applyFont="1" applyFill="1" applyBorder="1" applyAlignment="1">
      <alignment horizontal="center" vertical="center" wrapText="1"/>
    </xf>
    <xf numFmtId="0" fontId="13" fillId="6" borderId="14" xfId="0" applyFont="1" applyFill="1" applyBorder="1" applyAlignment="1">
      <alignment horizontal="center" vertical="center" wrapText="1"/>
    </xf>
    <xf numFmtId="0" fontId="13" fillId="6" borderId="11" xfId="0" applyFont="1" applyFill="1" applyBorder="1" applyAlignment="1">
      <alignment horizontal="center" vertical="center" wrapText="1"/>
    </xf>
    <xf numFmtId="0" fontId="13" fillId="8" borderId="15" xfId="0" applyFont="1" applyFill="1" applyBorder="1" applyAlignment="1">
      <alignment horizontal="left" vertical="top" wrapText="1"/>
    </xf>
    <xf numFmtId="0" fontId="13" fillId="8" borderId="9" xfId="0" applyFont="1" applyFill="1" applyBorder="1" applyAlignment="1">
      <alignment horizontal="left" vertical="top" wrapText="1"/>
    </xf>
  </cellXfs>
  <cellStyles count="3">
    <cellStyle name="Comma" xfId="1" builtinId="3"/>
    <cellStyle name="Normal" xfId="0" builtinId="0"/>
    <cellStyle name="Percent" xfId="2" builtinId="5"/>
  </cellStyles>
  <dxfs count="30836">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anjeza.gjuzi/Downloads/4.Q4%20Formati%20IV_Metodologjia%20e%20%20%20%20Kostimit_IPSIS%20Standart%20Shendetesise.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Standard_Cost"/>
      <sheetName val="Incremental_Cost Year 1"/>
      <sheetName val="Incremental_Cost Year 2"/>
      <sheetName val="Incremental_Cost Year 3"/>
      <sheetName val="Incremental_Cost Year 4"/>
      <sheetName val="Incremental_Cost Year 5"/>
      <sheetName val="Incremental_Cost Year 6"/>
      <sheetName val="Incremental_Cost Year 7"/>
      <sheetName val="Incremental_Cost Year 8"/>
      <sheetName val="Incremental_Cost Year 9"/>
      <sheetName val="Incremental_Cost Year 10"/>
      <sheetName val="Summary for IPSIS"/>
    </sheetNames>
    <sheetDataSet>
      <sheetData sheetId="0" refreshError="1">
        <row r="31">
          <cell r="B31">
            <v>0.2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N43"/>
  <sheetViews>
    <sheetView topLeftCell="A13" workbookViewId="0">
      <selection activeCell="B23" sqref="B23"/>
    </sheetView>
  </sheetViews>
  <sheetFormatPr defaultRowHeight="15" x14ac:dyDescent="0.25"/>
  <cols>
    <col min="1" max="1" width="12.85546875" customWidth="1"/>
    <col min="2" max="2" width="20.42578125" customWidth="1"/>
    <col min="3" max="3" width="13.28515625" customWidth="1"/>
    <col min="4" max="4" width="11.42578125" customWidth="1"/>
  </cols>
  <sheetData>
    <row r="1" spans="1:14" x14ac:dyDescent="0.25">
      <c r="A1" s="381" t="s">
        <v>156</v>
      </c>
      <c r="B1" s="381"/>
      <c r="C1" s="381"/>
      <c r="D1" s="381"/>
      <c r="E1" s="381"/>
      <c r="F1" s="381"/>
      <c r="G1" s="26"/>
      <c r="H1" s="25"/>
      <c r="I1" s="25"/>
      <c r="J1" s="25"/>
      <c r="K1" s="25"/>
      <c r="L1" s="2"/>
      <c r="M1" s="2"/>
      <c r="N1" s="2"/>
    </row>
    <row r="2" spans="1:14" x14ac:dyDescent="0.25">
      <c r="A2" s="6"/>
      <c r="B2" s="17" t="s">
        <v>61</v>
      </c>
      <c r="C2" s="16"/>
      <c r="D2" s="16"/>
      <c r="E2" s="16"/>
      <c r="F2" s="17" t="s">
        <v>62</v>
      </c>
      <c r="G2" s="16"/>
      <c r="H2" s="2"/>
      <c r="I2" s="2"/>
      <c r="J2" s="2"/>
      <c r="K2" s="2"/>
      <c r="L2" s="2"/>
      <c r="M2" s="2"/>
      <c r="N2" s="2"/>
    </row>
    <row r="3" spans="1:14" ht="105" x14ac:dyDescent="0.25">
      <c r="A3" s="7" t="s">
        <v>48</v>
      </c>
      <c r="B3" s="4" t="s">
        <v>151</v>
      </c>
      <c r="C3" s="4" t="s">
        <v>152</v>
      </c>
      <c r="D3" s="4" t="s">
        <v>153</v>
      </c>
      <c r="E3" s="16"/>
      <c r="F3" s="4" t="s">
        <v>93</v>
      </c>
      <c r="G3" s="16"/>
      <c r="H3" s="2"/>
      <c r="I3" s="2"/>
      <c r="J3" s="2"/>
      <c r="K3" s="2"/>
      <c r="L3" s="2"/>
      <c r="M3" s="2"/>
      <c r="N3" s="2"/>
    </row>
    <row r="4" spans="1:14" x14ac:dyDescent="0.25">
      <c r="A4" s="13" t="s">
        <v>50</v>
      </c>
      <c r="B4" s="14" t="s">
        <v>1</v>
      </c>
      <c r="C4" s="15">
        <v>71142.857142857145</v>
      </c>
      <c r="D4" s="15">
        <v>650</v>
      </c>
      <c r="E4" s="16"/>
      <c r="F4" s="9">
        <v>0.16700000000000001</v>
      </c>
      <c r="G4" s="18"/>
      <c r="H4" s="5"/>
      <c r="I4" s="2"/>
      <c r="J4" s="2"/>
      <c r="K4" s="2"/>
      <c r="L4" s="2"/>
      <c r="M4" s="2"/>
      <c r="N4" s="2"/>
    </row>
    <row r="5" spans="1:14" x14ac:dyDescent="0.25">
      <c r="A5" s="13" t="s">
        <v>49</v>
      </c>
      <c r="B5" s="14" t="s">
        <v>2</v>
      </c>
      <c r="C5" s="8">
        <v>120000</v>
      </c>
      <c r="D5" s="8">
        <v>1000</v>
      </c>
      <c r="E5" s="16"/>
      <c r="F5" s="19"/>
      <c r="G5" s="16"/>
      <c r="H5" s="2"/>
      <c r="I5" s="2"/>
      <c r="J5" s="2"/>
      <c r="K5" s="2"/>
      <c r="L5" s="2"/>
      <c r="M5" s="2"/>
      <c r="N5" s="2"/>
    </row>
    <row r="6" spans="1:14" x14ac:dyDescent="0.25">
      <c r="A6" s="13" t="s">
        <v>49</v>
      </c>
      <c r="B6" s="14" t="s">
        <v>3</v>
      </c>
      <c r="C6" s="8">
        <v>100000</v>
      </c>
      <c r="D6" s="8">
        <v>800</v>
      </c>
      <c r="E6" s="16"/>
      <c r="F6" s="16"/>
      <c r="G6" s="16"/>
      <c r="H6" s="2"/>
      <c r="I6" s="2"/>
      <c r="J6" s="2"/>
      <c r="K6" s="2"/>
      <c r="L6" s="2"/>
      <c r="M6" s="2"/>
      <c r="N6" s="2"/>
    </row>
    <row r="7" spans="1:14" x14ac:dyDescent="0.25">
      <c r="A7" s="13" t="s">
        <v>49</v>
      </c>
      <c r="B7" s="14" t="s">
        <v>4</v>
      </c>
      <c r="C7" s="8">
        <v>80000</v>
      </c>
      <c r="D7" s="8">
        <v>750</v>
      </c>
      <c r="E7" s="16"/>
      <c r="F7" s="16"/>
      <c r="G7" s="16"/>
      <c r="H7" s="2"/>
      <c r="I7" s="2"/>
      <c r="J7" s="2"/>
      <c r="K7" s="2"/>
      <c r="L7" s="2"/>
      <c r="M7" s="2"/>
      <c r="N7" s="2"/>
    </row>
    <row r="8" spans="1:14" x14ac:dyDescent="0.25">
      <c r="A8" s="13" t="s">
        <v>49</v>
      </c>
      <c r="B8" s="14" t="s">
        <v>5</v>
      </c>
      <c r="C8" s="8">
        <v>70000</v>
      </c>
      <c r="D8" s="8">
        <v>700</v>
      </c>
      <c r="E8" s="16"/>
      <c r="F8" s="16"/>
      <c r="G8" s="16"/>
      <c r="H8" s="2"/>
      <c r="I8" s="2"/>
      <c r="J8" s="2"/>
      <c r="K8" s="2"/>
      <c r="L8" s="2"/>
      <c r="M8" s="2"/>
      <c r="N8" s="2"/>
    </row>
    <row r="9" spans="1:14" x14ac:dyDescent="0.25">
      <c r="A9" s="13" t="s">
        <v>49</v>
      </c>
      <c r="B9" s="14" t="s">
        <v>172</v>
      </c>
      <c r="C9" s="8">
        <v>50000</v>
      </c>
      <c r="D9" s="8">
        <v>500</v>
      </c>
      <c r="E9" s="16"/>
      <c r="F9" s="16"/>
      <c r="G9" s="16"/>
      <c r="H9" s="2"/>
      <c r="I9" s="2"/>
      <c r="J9" s="2"/>
      <c r="K9" s="2"/>
      <c r="L9" s="2"/>
      <c r="M9" s="2"/>
      <c r="N9" s="2"/>
    </row>
    <row r="10" spans="1:14" x14ac:dyDescent="0.25">
      <c r="A10" s="13" t="s">
        <v>49</v>
      </c>
      <c r="B10" s="14" t="s">
        <v>189</v>
      </c>
      <c r="C10" s="8">
        <v>44000</v>
      </c>
      <c r="D10" s="8">
        <v>400</v>
      </c>
      <c r="E10" s="16"/>
      <c r="F10" s="16"/>
      <c r="G10" s="16"/>
      <c r="H10" s="2"/>
      <c r="I10" s="2"/>
      <c r="J10" s="2"/>
      <c r="K10" s="2"/>
      <c r="L10" s="2"/>
      <c r="M10" s="2"/>
      <c r="N10" s="2"/>
    </row>
    <row r="11" spans="1:14" x14ac:dyDescent="0.25">
      <c r="A11" s="13" t="s">
        <v>49</v>
      </c>
      <c r="B11" s="14" t="s">
        <v>190</v>
      </c>
      <c r="C11" s="8">
        <v>34000</v>
      </c>
      <c r="D11" s="8">
        <v>400</v>
      </c>
      <c r="E11" s="16"/>
      <c r="F11" s="16"/>
      <c r="G11" s="16"/>
      <c r="H11" s="2"/>
      <c r="I11" s="2"/>
      <c r="J11" s="2"/>
      <c r="K11" s="2"/>
      <c r="L11" s="2"/>
      <c r="M11" s="2"/>
      <c r="N11" s="2"/>
    </row>
    <row r="12" spans="1:14" x14ac:dyDescent="0.25">
      <c r="A12" s="6"/>
      <c r="B12" s="20"/>
      <c r="C12" s="21"/>
      <c r="D12" s="21"/>
      <c r="E12" s="16"/>
      <c r="F12" s="16"/>
      <c r="G12" s="16"/>
      <c r="H12" s="2"/>
      <c r="I12" s="2"/>
      <c r="J12" s="2"/>
      <c r="K12" s="2"/>
      <c r="L12" s="2"/>
      <c r="M12" s="2"/>
      <c r="N12" s="2"/>
    </row>
    <row r="13" spans="1:14" x14ac:dyDescent="0.25">
      <c r="A13" s="6"/>
      <c r="B13" s="17" t="s">
        <v>40</v>
      </c>
      <c r="C13" s="16"/>
      <c r="D13" s="16"/>
      <c r="E13" s="16"/>
      <c r="F13" s="16"/>
      <c r="G13" s="16"/>
      <c r="H13" s="2"/>
      <c r="I13" s="2"/>
      <c r="J13" s="2"/>
      <c r="K13" s="2"/>
      <c r="L13" s="2"/>
      <c r="M13" s="2"/>
      <c r="N13" s="2"/>
    </row>
    <row r="14" spans="1:14" ht="90" x14ac:dyDescent="0.25">
      <c r="A14" s="6"/>
      <c r="B14" s="4" t="s">
        <v>37</v>
      </c>
      <c r="C14" s="4" t="s">
        <v>35</v>
      </c>
      <c r="D14" s="4" t="s">
        <v>36</v>
      </c>
      <c r="E14" s="4" t="s">
        <v>38</v>
      </c>
      <c r="F14" s="4" t="s">
        <v>173</v>
      </c>
      <c r="G14" s="16"/>
      <c r="H14" s="2"/>
      <c r="I14" s="2"/>
      <c r="J14" s="2"/>
      <c r="K14" s="2"/>
      <c r="L14" s="2"/>
      <c r="M14" s="2"/>
      <c r="N14" s="2"/>
    </row>
    <row r="15" spans="1:14" x14ac:dyDescent="0.25">
      <c r="A15" s="6"/>
      <c r="B15" s="10">
        <v>2000</v>
      </c>
      <c r="C15" s="10">
        <v>1500</v>
      </c>
      <c r="D15" s="10">
        <v>5000</v>
      </c>
      <c r="E15" s="10">
        <v>40000</v>
      </c>
      <c r="F15" s="10">
        <v>0</v>
      </c>
      <c r="G15" s="16"/>
      <c r="H15" s="2"/>
      <c r="I15" s="2"/>
      <c r="J15" s="2"/>
      <c r="K15" s="2"/>
      <c r="L15" s="2"/>
      <c r="M15" s="2"/>
      <c r="N15" s="2"/>
    </row>
    <row r="16" spans="1:14" x14ac:dyDescent="0.25">
      <c r="A16" s="6"/>
      <c r="B16" s="16"/>
      <c r="C16" s="16"/>
      <c r="D16" s="16"/>
      <c r="E16" s="16"/>
      <c r="F16" s="16"/>
      <c r="G16" s="16"/>
      <c r="H16" s="2"/>
      <c r="I16" s="2"/>
      <c r="J16" s="2"/>
      <c r="K16" s="2"/>
      <c r="L16" s="2"/>
      <c r="M16" s="2"/>
      <c r="N16" s="2"/>
    </row>
    <row r="17" spans="1:14" x14ac:dyDescent="0.25">
      <c r="A17" s="6"/>
      <c r="B17" s="17" t="s">
        <v>41</v>
      </c>
      <c r="C17" s="16"/>
      <c r="D17" s="16"/>
      <c r="E17" s="16"/>
      <c r="F17" s="16"/>
      <c r="G17" s="16"/>
      <c r="H17" s="2"/>
      <c r="I17" s="2"/>
      <c r="J17" s="2"/>
      <c r="K17" s="2"/>
      <c r="L17" s="2"/>
      <c r="M17" s="2"/>
      <c r="N17" s="2"/>
    </row>
    <row r="18" spans="1:14" ht="75" x14ac:dyDescent="0.25">
      <c r="A18" s="6"/>
      <c r="B18" s="4" t="s">
        <v>66</v>
      </c>
      <c r="C18" s="4" t="s">
        <v>39</v>
      </c>
      <c r="D18" s="16"/>
      <c r="E18" s="16"/>
      <c r="F18" s="16"/>
      <c r="G18" s="16"/>
      <c r="H18" s="2"/>
      <c r="I18" s="2"/>
      <c r="J18" s="2"/>
      <c r="K18" s="2"/>
      <c r="L18" s="2"/>
      <c r="M18" s="2"/>
      <c r="N18" s="2"/>
    </row>
    <row r="19" spans="1:14" x14ac:dyDescent="0.25">
      <c r="A19" s="6"/>
      <c r="B19" s="10">
        <v>60000</v>
      </c>
      <c r="C19" s="10">
        <v>5000</v>
      </c>
      <c r="D19" s="16"/>
      <c r="E19" s="16"/>
      <c r="F19" s="16"/>
      <c r="G19" s="16"/>
      <c r="H19" s="2"/>
      <c r="I19" s="2"/>
      <c r="J19" s="2"/>
      <c r="K19" s="2"/>
      <c r="L19" s="2"/>
      <c r="M19" s="2"/>
      <c r="N19" s="2"/>
    </row>
    <row r="20" spans="1:14" x14ac:dyDescent="0.25">
      <c r="A20" s="6"/>
      <c r="B20" s="16"/>
      <c r="C20" s="16"/>
      <c r="D20" s="16"/>
      <c r="E20" s="16"/>
      <c r="F20" s="16"/>
      <c r="G20" s="16"/>
      <c r="H20" s="2"/>
      <c r="I20" s="2"/>
      <c r="J20" s="2"/>
      <c r="K20" s="2"/>
      <c r="L20" s="2"/>
      <c r="M20" s="2"/>
      <c r="N20" s="2"/>
    </row>
    <row r="21" spans="1:14" x14ac:dyDescent="0.25">
      <c r="A21" s="6"/>
      <c r="B21" s="17" t="s">
        <v>42</v>
      </c>
      <c r="C21" s="16"/>
      <c r="D21" s="16"/>
      <c r="E21" s="29" t="s">
        <v>42</v>
      </c>
      <c r="F21" s="28"/>
      <c r="G21" s="16"/>
      <c r="H21" s="2"/>
      <c r="I21" s="2"/>
      <c r="J21" s="2"/>
      <c r="K21" s="2"/>
      <c r="L21" s="2"/>
      <c r="M21" s="2"/>
      <c r="N21" s="2"/>
    </row>
    <row r="22" spans="1:14" x14ac:dyDescent="0.25">
      <c r="A22" s="6"/>
      <c r="B22" s="4" t="s">
        <v>33</v>
      </c>
      <c r="C22" s="4" t="s">
        <v>34</v>
      </c>
      <c r="D22" s="16"/>
      <c r="E22" s="28" t="s">
        <v>171</v>
      </c>
      <c r="F22" s="28"/>
      <c r="G22" s="16"/>
      <c r="H22" s="2"/>
      <c r="I22" s="2"/>
      <c r="J22" s="2"/>
      <c r="K22" s="2"/>
      <c r="L22" s="2"/>
      <c r="M22" s="2"/>
      <c r="N22" s="2"/>
    </row>
    <row r="23" spans="1:14" x14ac:dyDescent="0.25">
      <c r="A23" s="6"/>
      <c r="B23" s="10">
        <v>74000</v>
      </c>
      <c r="C23" s="10">
        <v>19000</v>
      </c>
      <c r="D23" s="16"/>
      <c r="E23" s="27"/>
      <c r="F23" s="27">
        <v>9000</v>
      </c>
      <c r="G23" s="16"/>
      <c r="H23" s="2"/>
      <c r="I23" s="2"/>
      <c r="J23" s="2"/>
      <c r="K23" s="2"/>
      <c r="L23" s="2"/>
      <c r="M23" s="2"/>
      <c r="N23" s="2"/>
    </row>
    <row r="24" spans="1:14" x14ac:dyDescent="0.25">
      <c r="A24" s="6"/>
      <c r="B24" s="19"/>
      <c r="C24" s="19"/>
      <c r="D24" s="16"/>
      <c r="E24" s="16"/>
      <c r="F24" s="16"/>
      <c r="G24" s="16"/>
      <c r="H24" s="3"/>
      <c r="I24" s="3"/>
      <c r="J24" s="3"/>
      <c r="K24" s="3"/>
      <c r="L24" s="3"/>
      <c r="M24" s="3"/>
      <c r="N24" s="3"/>
    </row>
    <row r="25" spans="1:14" x14ac:dyDescent="0.25">
      <c r="A25" s="6"/>
      <c r="B25" s="17" t="s">
        <v>43</v>
      </c>
      <c r="C25" s="16"/>
      <c r="D25" s="16"/>
      <c r="E25" s="16"/>
      <c r="F25" s="16"/>
      <c r="G25" s="16"/>
      <c r="H25" s="2"/>
      <c r="I25" s="2"/>
      <c r="J25" s="2"/>
      <c r="K25" s="2"/>
      <c r="L25" s="2"/>
      <c r="M25" s="2"/>
      <c r="N25" s="2"/>
    </row>
    <row r="26" spans="1:14" ht="45" x14ac:dyDescent="0.25">
      <c r="A26" s="6"/>
      <c r="B26" s="22" t="s">
        <v>31</v>
      </c>
      <c r="C26" s="22" t="s">
        <v>30</v>
      </c>
      <c r="D26" s="22" t="s">
        <v>32</v>
      </c>
      <c r="E26" s="16"/>
      <c r="F26" s="16"/>
      <c r="G26" s="16"/>
      <c r="H26" s="2"/>
      <c r="I26" s="2"/>
      <c r="J26" s="2"/>
      <c r="K26" s="2"/>
      <c r="L26" s="2"/>
      <c r="M26" s="2"/>
      <c r="N26" s="2"/>
    </row>
    <row r="27" spans="1:14" x14ac:dyDescent="0.25">
      <c r="A27" s="6"/>
      <c r="B27" s="11">
        <v>90000</v>
      </c>
      <c r="C27" s="11">
        <v>25000</v>
      </c>
      <c r="D27" s="11">
        <v>1500000</v>
      </c>
      <c r="E27" s="16"/>
      <c r="F27" s="16"/>
      <c r="G27" s="16"/>
      <c r="H27" s="2"/>
      <c r="I27" s="2"/>
      <c r="J27" s="2"/>
      <c r="K27" s="2"/>
      <c r="L27" s="2"/>
      <c r="M27" s="2"/>
      <c r="N27" s="2"/>
    </row>
    <row r="28" spans="1:14" x14ac:dyDescent="0.25">
      <c r="A28" s="6"/>
      <c r="B28" s="16"/>
      <c r="C28" s="16"/>
      <c r="D28" s="16"/>
      <c r="E28" s="16"/>
      <c r="F28" s="16"/>
      <c r="G28" s="16"/>
      <c r="H28" s="2"/>
      <c r="I28" s="2"/>
      <c r="J28" s="2"/>
      <c r="K28" s="2"/>
      <c r="L28" s="2"/>
      <c r="M28" s="2"/>
      <c r="N28" s="2"/>
    </row>
    <row r="29" spans="1:14" x14ac:dyDescent="0.25">
      <c r="A29" s="6"/>
      <c r="B29" s="17" t="s">
        <v>44</v>
      </c>
      <c r="C29" s="17" t="s">
        <v>98</v>
      </c>
      <c r="D29" s="16"/>
      <c r="E29" s="16"/>
      <c r="F29" s="16"/>
      <c r="G29" s="16"/>
      <c r="H29" s="2"/>
      <c r="I29" s="2"/>
      <c r="J29" s="2"/>
      <c r="K29" s="2"/>
      <c r="L29" s="2"/>
      <c r="M29" s="2"/>
      <c r="N29" s="2"/>
    </row>
    <row r="30" spans="1:14" x14ac:dyDescent="0.25">
      <c r="A30" s="6"/>
      <c r="B30" s="23" t="s">
        <v>97</v>
      </c>
      <c r="C30" s="23" t="s">
        <v>91</v>
      </c>
      <c r="D30" s="24"/>
      <c r="E30" s="16"/>
      <c r="F30" s="16"/>
      <c r="G30" s="16"/>
      <c r="H30" s="2"/>
      <c r="I30" s="2"/>
      <c r="J30" s="2"/>
      <c r="K30" s="2"/>
      <c r="L30" s="2"/>
      <c r="M30" s="2"/>
      <c r="N30" s="2"/>
    </row>
    <row r="31" spans="1:14" x14ac:dyDescent="0.25">
      <c r="A31" s="6"/>
      <c r="B31" s="12">
        <v>0.2</v>
      </c>
      <c r="C31" s="9">
        <v>0.15</v>
      </c>
      <c r="D31" s="16"/>
      <c r="E31" s="16"/>
      <c r="F31" s="16"/>
      <c r="G31" s="16"/>
      <c r="H31" s="2"/>
      <c r="I31" s="2"/>
      <c r="J31" s="2"/>
      <c r="K31" s="2"/>
      <c r="L31" s="2"/>
      <c r="M31" s="2"/>
      <c r="N31" s="2"/>
    </row>
    <row r="32" spans="1:14" x14ac:dyDescent="0.25">
      <c r="A32" s="6"/>
      <c r="B32" s="16"/>
      <c r="C32" s="16"/>
      <c r="D32" s="16"/>
      <c r="E32" s="16"/>
      <c r="F32" s="16"/>
      <c r="G32" s="16"/>
      <c r="H32" s="2"/>
      <c r="I32" s="2"/>
      <c r="J32" s="2"/>
      <c r="K32" s="2"/>
      <c r="L32" s="2"/>
      <c r="M32" s="2"/>
      <c r="N32" s="2"/>
    </row>
    <row r="33" spans="2:14" x14ac:dyDescent="0.25">
      <c r="B33" s="2"/>
      <c r="C33" s="2"/>
      <c r="D33" s="2"/>
      <c r="E33" s="2"/>
      <c r="F33" s="2"/>
      <c r="G33" s="2"/>
      <c r="H33" s="2"/>
      <c r="I33" s="2"/>
      <c r="J33" s="2"/>
      <c r="K33" s="2"/>
      <c r="L33" s="2"/>
      <c r="M33" s="2"/>
      <c r="N33" s="2"/>
    </row>
    <row r="34" spans="2:14" x14ac:dyDescent="0.25">
      <c r="B34" s="2"/>
      <c r="C34" s="2"/>
      <c r="D34" s="2"/>
      <c r="E34" s="2"/>
      <c r="F34" s="2"/>
      <c r="G34" s="2"/>
      <c r="H34" s="2"/>
      <c r="I34" s="2"/>
      <c r="J34" s="2"/>
      <c r="K34" s="2"/>
      <c r="L34" s="2"/>
      <c r="M34" s="2"/>
      <c r="N34" s="2"/>
    </row>
    <row r="35" spans="2:14" x14ac:dyDescent="0.25">
      <c r="B35" s="5"/>
      <c r="C35" s="5"/>
      <c r="D35" s="2"/>
      <c r="E35" s="2"/>
      <c r="F35" s="2"/>
      <c r="G35" s="2"/>
      <c r="H35" s="2"/>
      <c r="I35" s="2"/>
      <c r="J35" s="2"/>
      <c r="K35" s="2"/>
      <c r="L35" s="2"/>
      <c r="M35" s="2"/>
      <c r="N35" s="2"/>
    </row>
    <row r="43" spans="2:14" x14ac:dyDescent="0.25">
      <c r="B43" s="2"/>
      <c r="C43" s="2"/>
      <c r="D43" s="2"/>
      <c r="E43" s="1"/>
      <c r="F43" s="1"/>
      <c r="G43" s="1"/>
      <c r="H43" s="1"/>
      <c r="I43" s="1"/>
      <c r="J43" s="1"/>
      <c r="K43" s="1"/>
      <c r="L43" s="1"/>
      <c r="M43" s="1"/>
      <c r="N43" s="1"/>
    </row>
  </sheetData>
  <mergeCells count="1">
    <mergeCell ref="A1:F1"/>
  </mergeCell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F292"/>
  <sheetViews>
    <sheetView topLeftCell="AI1" zoomScale="70" zoomScaleNormal="70" workbookViewId="0">
      <selection activeCell="AQ3" sqref="AQ3:BB4"/>
    </sheetView>
  </sheetViews>
  <sheetFormatPr defaultColWidth="8.85546875" defaultRowHeight="15" outlineLevelRow="2" outlineLevelCol="2" x14ac:dyDescent="0.25"/>
  <cols>
    <col min="1" max="1" width="4.140625" style="183" bestFit="1" customWidth="1"/>
    <col min="2" max="2" width="3.28515625" style="183" customWidth="1"/>
    <col min="3" max="3" width="2.42578125" style="101" customWidth="1"/>
    <col min="4" max="4" width="24.7109375" style="101" customWidth="1"/>
    <col min="5" max="5" width="41.42578125" style="102" customWidth="1" outlineLevel="1"/>
    <col min="6" max="6" width="12.140625" style="101" customWidth="1" outlineLevel="1"/>
    <col min="7" max="7" width="12.7109375" style="101" customWidth="1" outlineLevel="1"/>
    <col min="8" max="8" width="87.42578125" style="101" customWidth="1" outlineLevel="2"/>
    <col min="9" max="9" width="16.140625" style="239" customWidth="1" outlineLevel="2"/>
    <col min="10" max="10" width="8.42578125" style="239" bestFit="1" customWidth="1" outlineLevel="2"/>
    <col min="11" max="11" width="12" style="239" bestFit="1" customWidth="1" outlineLevel="2"/>
    <col min="12" max="12" width="21.42578125" style="239" customWidth="1" outlineLevel="1"/>
    <col min="13" max="13" width="19.140625" style="239" customWidth="1" outlineLevel="1"/>
    <col min="14" max="14" width="10.5703125" style="239" customWidth="1" outlineLevel="2"/>
    <col min="15" max="15" width="11" style="239" customWidth="1" outlineLevel="2"/>
    <col min="16" max="16" width="13.28515625" style="239" customWidth="1" outlineLevel="2"/>
    <col min="17" max="17" width="14.140625" style="239" customWidth="1" outlineLevel="2"/>
    <col min="18" max="21" width="12.140625" style="239" customWidth="1" outlineLevel="2"/>
    <col min="22" max="23" width="8.42578125" style="239" bestFit="1" customWidth="1" outlineLevel="2"/>
    <col min="24" max="24" width="7.5703125" style="239" customWidth="1" outlineLevel="2"/>
    <col min="25" max="25" width="12" style="239" bestFit="1" customWidth="1" outlineLevel="1"/>
    <col min="26" max="26" width="8.42578125" style="239" bestFit="1" customWidth="1" outlineLevel="2"/>
    <col min="27" max="27" width="9" style="239" bestFit="1" customWidth="1" outlineLevel="2"/>
    <col min="28" max="28" width="14.42578125" style="239" customWidth="1" outlineLevel="1"/>
    <col min="29" max="29" width="24.140625" style="239" customWidth="1" outlineLevel="1"/>
    <col min="30" max="30" width="12.85546875" style="239" customWidth="1" outlineLevel="2"/>
    <col min="31" max="31" width="22.28515625" style="239" customWidth="1" outlineLevel="2"/>
    <col min="32" max="32" width="20.7109375" style="239" customWidth="1" outlineLevel="1"/>
    <col min="33" max="34" width="9" style="239" bestFit="1" customWidth="1" outlineLevel="2"/>
    <col min="35" max="35" width="7.28515625" style="239" customWidth="1" outlineLevel="2"/>
    <col min="36" max="36" width="18" style="239" customWidth="1" outlineLevel="2"/>
    <col min="37" max="37" width="13.28515625" style="239" customWidth="1" outlineLevel="2"/>
    <col min="38" max="38" width="17.5703125" style="239" customWidth="1" outlineLevel="2"/>
    <col min="39" max="39" width="20.28515625" style="239" customWidth="1" outlineLevel="1"/>
    <col min="40" max="40" width="17" style="239" customWidth="1" outlineLevel="1"/>
    <col min="41" max="41" width="39.85546875" style="239" customWidth="1" outlineLevel="2"/>
    <col min="42" max="42" width="2.7109375" style="239" customWidth="1"/>
    <col min="43" max="43" width="19.5703125" style="239" customWidth="1"/>
    <col min="44" max="44" width="26" style="239" customWidth="1"/>
    <col min="45" max="45" width="20.28515625" style="239" customWidth="1"/>
    <col min="46" max="46" width="25.7109375" style="239" customWidth="1"/>
    <col min="47" max="47" width="24" style="235" customWidth="1"/>
    <col min="48" max="48" width="21.42578125" style="235" customWidth="1"/>
    <col min="49" max="49" width="17.28515625" style="235" customWidth="1"/>
    <col min="50" max="51" width="15" style="235" customWidth="1"/>
    <col min="52" max="52" width="21.42578125" style="235" customWidth="1"/>
    <col min="53" max="53" width="15" style="235" customWidth="1"/>
    <col min="54" max="54" width="22.7109375" style="235" customWidth="1"/>
    <col min="55" max="58" width="9.140625" style="167" customWidth="1"/>
    <col min="59" max="16384" width="8.85546875" style="169"/>
  </cols>
  <sheetData>
    <row r="1" spans="1:58" s="183" customFormat="1" ht="50.45" customHeight="1" x14ac:dyDescent="0.25">
      <c r="A1" s="115"/>
      <c r="B1" s="395" t="s">
        <v>155</v>
      </c>
      <c r="C1" s="395"/>
      <c r="D1" s="395"/>
      <c r="E1" s="395"/>
      <c r="F1" s="395"/>
      <c r="G1" s="395"/>
      <c r="H1" s="395"/>
      <c r="I1" s="395"/>
      <c r="J1" s="395"/>
      <c r="K1" s="395"/>
      <c r="L1" s="395"/>
      <c r="M1" s="232"/>
      <c r="N1" s="233"/>
      <c r="O1" s="233"/>
      <c r="P1" s="233"/>
      <c r="Q1" s="233"/>
      <c r="R1" s="233"/>
      <c r="S1" s="233"/>
      <c r="T1" s="233"/>
      <c r="U1" s="233"/>
      <c r="V1" s="233"/>
      <c r="W1" s="233"/>
      <c r="X1" s="233"/>
      <c r="Y1" s="233"/>
      <c r="Z1" s="233"/>
      <c r="AA1" s="233"/>
      <c r="AB1" s="233"/>
      <c r="AC1" s="233"/>
      <c r="AD1" s="233"/>
      <c r="AE1" s="233"/>
      <c r="AF1" s="233"/>
      <c r="AG1" s="233"/>
      <c r="AH1" s="233"/>
      <c r="AI1" s="233"/>
      <c r="AJ1" s="233"/>
      <c r="AK1" s="233"/>
      <c r="AL1" s="233"/>
      <c r="AM1" s="233"/>
      <c r="AN1" s="233"/>
      <c r="AO1" s="233"/>
      <c r="AP1" s="234"/>
      <c r="AQ1" s="234"/>
      <c r="AR1" s="234"/>
      <c r="AS1" s="234"/>
      <c r="AT1" s="234"/>
      <c r="AU1" s="235"/>
      <c r="AV1" s="235"/>
      <c r="AW1" s="235"/>
      <c r="AX1" s="235"/>
      <c r="AY1" s="235"/>
      <c r="AZ1" s="235"/>
      <c r="BA1" s="235"/>
      <c r="BB1" s="235"/>
    </row>
    <row r="2" spans="1:58" ht="78.75" customHeight="1" x14ac:dyDescent="0.25">
      <c r="A2" s="115" t="s">
        <v>55</v>
      </c>
      <c r="B2" s="385" t="s">
        <v>120</v>
      </c>
      <c r="C2" s="386"/>
      <c r="D2" s="386"/>
      <c r="E2" s="387"/>
      <c r="F2" s="296" t="s">
        <v>133</v>
      </c>
      <c r="G2" s="296" t="s">
        <v>134</v>
      </c>
      <c r="H2" s="116" t="s">
        <v>54</v>
      </c>
      <c r="I2" s="236" t="s">
        <v>0</v>
      </c>
      <c r="J2" s="236" t="s">
        <v>14</v>
      </c>
      <c r="K2" s="236" t="s">
        <v>15</v>
      </c>
      <c r="L2" s="237" t="s">
        <v>11</v>
      </c>
      <c r="M2" s="237" t="s">
        <v>82</v>
      </c>
      <c r="N2" s="236" t="s">
        <v>16</v>
      </c>
      <c r="O2" s="236" t="s">
        <v>7</v>
      </c>
      <c r="P2" s="236" t="s">
        <v>6</v>
      </c>
      <c r="Q2" s="236" t="s">
        <v>8</v>
      </c>
      <c r="R2" s="237" t="s">
        <v>57</v>
      </c>
      <c r="S2" s="237" t="s">
        <v>65</v>
      </c>
      <c r="T2" s="237" t="s">
        <v>64</v>
      </c>
      <c r="U2" s="237" t="s">
        <v>63</v>
      </c>
      <c r="V2" s="236" t="s">
        <v>17</v>
      </c>
      <c r="W2" s="236" t="s">
        <v>67</v>
      </c>
      <c r="X2" s="236" t="s">
        <v>6</v>
      </c>
      <c r="Y2" s="237" t="s">
        <v>71</v>
      </c>
      <c r="Z2" s="236" t="s">
        <v>10</v>
      </c>
      <c r="AA2" s="236" t="s">
        <v>9</v>
      </c>
      <c r="AB2" s="237" t="s">
        <v>70</v>
      </c>
      <c r="AC2" s="238" t="s">
        <v>18</v>
      </c>
      <c r="AD2" s="237" t="s">
        <v>79</v>
      </c>
      <c r="AE2" s="237" t="s">
        <v>23</v>
      </c>
      <c r="AF2" s="237" t="s">
        <v>80</v>
      </c>
      <c r="AG2" s="236" t="s">
        <v>20</v>
      </c>
      <c r="AH2" s="236" t="s">
        <v>21</v>
      </c>
      <c r="AI2" s="236" t="s">
        <v>22</v>
      </c>
      <c r="AJ2" s="236" t="s">
        <v>99</v>
      </c>
      <c r="AK2" s="236" t="s">
        <v>101</v>
      </c>
      <c r="AL2" s="236" t="s">
        <v>90</v>
      </c>
      <c r="AM2" s="237" t="s">
        <v>92</v>
      </c>
      <c r="AN2" s="237" t="s">
        <v>13</v>
      </c>
      <c r="AO2" s="236"/>
      <c r="AQ2" s="402" t="s">
        <v>529</v>
      </c>
      <c r="AR2" s="403"/>
      <c r="AS2" s="403"/>
      <c r="AT2" s="403"/>
      <c r="AU2" s="403"/>
      <c r="AV2" s="403"/>
      <c r="AW2" s="403"/>
      <c r="AX2" s="403"/>
      <c r="AY2" s="403"/>
      <c r="AZ2" s="403"/>
      <c r="BA2" s="403"/>
      <c r="BB2" s="404"/>
      <c r="BC2" s="169"/>
      <c r="BD2" s="169"/>
      <c r="BE2" s="169"/>
      <c r="BF2" s="169"/>
    </row>
    <row r="3" spans="1:58" s="79" customFormat="1" ht="110.25" customHeight="1" x14ac:dyDescent="0.25">
      <c r="A3" s="118" t="s">
        <v>56</v>
      </c>
      <c r="B3" s="385" t="s">
        <v>121</v>
      </c>
      <c r="C3" s="386"/>
      <c r="D3" s="386"/>
      <c r="E3" s="387"/>
      <c r="F3" s="296" t="s">
        <v>135</v>
      </c>
      <c r="G3" s="296" t="s">
        <v>135</v>
      </c>
      <c r="H3" s="119" t="s">
        <v>45</v>
      </c>
      <c r="I3" s="236" t="s">
        <v>51</v>
      </c>
      <c r="J3" s="236" t="s">
        <v>52</v>
      </c>
      <c r="K3" s="236" t="s">
        <v>53</v>
      </c>
      <c r="L3" s="237" t="s">
        <v>117</v>
      </c>
      <c r="M3" s="237" t="s">
        <v>116</v>
      </c>
      <c r="N3" s="236" t="s">
        <v>73</v>
      </c>
      <c r="O3" s="236" t="s">
        <v>72</v>
      </c>
      <c r="P3" s="236" t="s">
        <v>74</v>
      </c>
      <c r="Q3" s="236" t="s">
        <v>75</v>
      </c>
      <c r="R3" s="237" t="s">
        <v>115</v>
      </c>
      <c r="S3" s="237" t="s">
        <v>114</v>
      </c>
      <c r="T3" s="237" t="s">
        <v>113</v>
      </c>
      <c r="U3" s="237" t="s">
        <v>112</v>
      </c>
      <c r="V3" s="236" t="s">
        <v>76</v>
      </c>
      <c r="W3" s="236" t="s">
        <v>77</v>
      </c>
      <c r="X3" s="236" t="s">
        <v>78</v>
      </c>
      <c r="Y3" s="237" t="s">
        <v>111</v>
      </c>
      <c r="Z3" s="236" t="s">
        <v>68</v>
      </c>
      <c r="AA3" s="236" t="s">
        <v>69</v>
      </c>
      <c r="AB3" s="237" t="s">
        <v>110</v>
      </c>
      <c r="AC3" s="238" t="s">
        <v>109</v>
      </c>
      <c r="AD3" s="237" t="s">
        <v>108</v>
      </c>
      <c r="AE3" s="237" t="s">
        <v>107</v>
      </c>
      <c r="AF3" s="237" t="s">
        <v>106</v>
      </c>
      <c r="AG3" s="236" t="s">
        <v>87</v>
      </c>
      <c r="AH3" s="236" t="s">
        <v>89</v>
      </c>
      <c r="AI3" s="236" t="s">
        <v>88</v>
      </c>
      <c r="AJ3" s="237" t="s">
        <v>100</v>
      </c>
      <c r="AK3" s="237" t="s">
        <v>102</v>
      </c>
      <c r="AL3" s="237" t="s">
        <v>96</v>
      </c>
      <c r="AM3" s="237" t="s">
        <v>104</v>
      </c>
      <c r="AN3" s="237" t="s">
        <v>105</v>
      </c>
      <c r="AO3" s="236"/>
      <c r="AP3" s="240"/>
      <c r="AQ3" s="370" t="s">
        <v>123</v>
      </c>
      <c r="AR3" s="370" t="s">
        <v>24</v>
      </c>
      <c r="AS3" s="370" t="s">
        <v>12</v>
      </c>
      <c r="AT3" s="370" t="s">
        <v>19</v>
      </c>
      <c r="AU3" s="371" t="s">
        <v>124</v>
      </c>
      <c r="AV3" s="371" t="s">
        <v>125</v>
      </c>
      <c r="AW3" s="371" t="s">
        <v>222</v>
      </c>
      <c r="AX3" s="371" t="s">
        <v>136</v>
      </c>
      <c r="AY3" s="371" t="s">
        <v>546</v>
      </c>
      <c r="AZ3" s="371" t="s">
        <v>565</v>
      </c>
      <c r="BA3" s="372" t="s">
        <v>126</v>
      </c>
      <c r="BB3" s="371" t="s">
        <v>25</v>
      </c>
    </row>
    <row r="4" spans="1:58" s="81" customFormat="1" ht="63" x14ac:dyDescent="0.25">
      <c r="A4" s="120"/>
      <c r="B4" s="121"/>
      <c r="C4" s="122"/>
      <c r="D4" s="122"/>
      <c r="E4" s="123"/>
      <c r="F4" s="123" t="s">
        <v>131</v>
      </c>
      <c r="G4" s="123" t="s">
        <v>132</v>
      </c>
      <c r="H4" s="116" t="s">
        <v>119</v>
      </c>
      <c r="I4" s="241" t="s">
        <v>118</v>
      </c>
      <c r="J4" s="241">
        <v>2</v>
      </c>
      <c r="K4" s="241">
        <v>3</v>
      </c>
      <c r="L4" s="241" t="s">
        <v>81</v>
      </c>
      <c r="M4" s="241" t="s">
        <v>83</v>
      </c>
      <c r="N4" s="241">
        <v>6</v>
      </c>
      <c r="O4" s="241">
        <v>7</v>
      </c>
      <c r="P4" s="241">
        <v>8</v>
      </c>
      <c r="Q4" s="241">
        <v>9</v>
      </c>
      <c r="R4" s="241" t="s">
        <v>26</v>
      </c>
      <c r="S4" s="241" t="s">
        <v>27</v>
      </c>
      <c r="T4" s="241" t="s">
        <v>28</v>
      </c>
      <c r="U4" s="241" t="s">
        <v>29</v>
      </c>
      <c r="V4" s="241">
        <v>14</v>
      </c>
      <c r="W4" s="241">
        <v>15</v>
      </c>
      <c r="X4" s="241">
        <v>16</v>
      </c>
      <c r="Y4" s="241" t="s">
        <v>84</v>
      </c>
      <c r="Z4" s="241">
        <v>18</v>
      </c>
      <c r="AA4" s="241">
        <v>19</v>
      </c>
      <c r="AB4" s="241" t="s">
        <v>85</v>
      </c>
      <c r="AC4" s="241">
        <v>21</v>
      </c>
      <c r="AD4" s="241">
        <v>22</v>
      </c>
      <c r="AE4" s="241" t="s">
        <v>94</v>
      </c>
      <c r="AF4" s="241" t="s">
        <v>86</v>
      </c>
      <c r="AG4" s="241">
        <v>25</v>
      </c>
      <c r="AH4" s="241">
        <v>26</v>
      </c>
      <c r="AI4" s="241">
        <v>27</v>
      </c>
      <c r="AJ4" s="241">
        <v>28</v>
      </c>
      <c r="AK4" s="241">
        <v>29</v>
      </c>
      <c r="AL4" s="241">
        <v>30</v>
      </c>
      <c r="AM4" s="241" t="s">
        <v>95</v>
      </c>
      <c r="AN4" s="241" t="s">
        <v>103</v>
      </c>
      <c r="AO4" s="241"/>
      <c r="AP4" s="242"/>
      <c r="AQ4" s="241" t="s">
        <v>127</v>
      </c>
      <c r="AR4" s="241" t="s">
        <v>128</v>
      </c>
      <c r="AS4" s="241" t="s">
        <v>129</v>
      </c>
      <c r="AT4" s="241" t="s">
        <v>130</v>
      </c>
      <c r="AU4" s="377">
        <v>37</v>
      </c>
      <c r="AV4" s="377">
        <v>38</v>
      </c>
      <c r="AW4" s="377">
        <v>39</v>
      </c>
      <c r="AX4" s="377">
        <v>40</v>
      </c>
      <c r="AY4" s="377"/>
      <c r="AZ4" s="377">
        <v>41</v>
      </c>
      <c r="BA4" s="377">
        <v>42</v>
      </c>
      <c r="BB4" s="377" t="s">
        <v>142</v>
      </c>
    </row>
    <row r="5" spans="1:58" s="170" customFormat="1" ht="15.75" customHeight="1" x14ac:dyDescent="0.25">
      <c r="A5" s="120"/>
      <c r="B5" s="388" t="s">
        <v>312</v>
      </c>
      <c r="C5" s="389"/>
      <c r="D5" s="389"/>
      <c r="E5" s="390"/>
      <c r="F5" s="339"/>
      <c r="G5" s="339"/>
      <c r="H5" s="339" t="s">
        <v>58</v>
      </c>
      <c r="I5" s="243"/>
      <c r="J5" s="243"/>
      <c r="K5" s="243"/>
      <c r="L5" s="243">
        <f>SUM(L6+L16+L20+L40+L45+L61)</f>
        <v>2002042068.5714285</v>
      </c>
      <c r="M5" s="243">
        <f>SUM(M6+M16+M20+M40+M45+M61)</f>
        <v>334341025.45142853</v>
      </c>
      <c r="N5" s="243"/>
      <c r="O5" s="243"/>
      <c r="P5" s="243"/>
      <c r="Q5" s="243"/>
      <c r="R5" s="243">
        <f>SUM(R6+R16+R20+R40+R45+R61)</f>
        <v>930000</v>
      </c>
      <c r="S5" s="243">
        <f>SUM(S6+S16+S20+S40+S45+S61)</f>
        <v>907500</v>
      </c>
      <c r="T5" s="243">
        <f>SUM(T6+T16+T20+T40+T45+T61)</f>
        <v>0</v>
      </c>
      <c r="U5" s="243">
        <f>SUM(U6+U16+U20+U40+U45+U61)</f>
        <v>1160000</v>
      </c>
      <c r="V5" s="243"/>
      <c r="W5" s="243"/>
      <c r="X5" s="243"/>
      <c r="Y5" s="243">
        <f>SUM(Y6+Y16+Y20+Y40+Y45+Y61)</f>
        <v>0</v>
      </c>
      <c r="Z5" s="243">
        <f t="shared" ref="Z5:AF5" si="0">SUM(Z6+Z16+Z20+Z40+Z45+Z61)</f>
        <v>0</v>
      </c>
      <c r="AA5" s="243">
        <f t="shared" si="0"/>
        <v>0</v>
      </c>
      <c r="AB5" s="243">
        <f t="shared" si="0"/>
        <v>513000</v>
      </c>
      <c r="AC5" s="243">
        <f t="shared" si="0"/>
        <v>1670649827</v>
      </c>
      <c r="AD5" s="243">
        <f t="shared" si="0"/>
        <v>0</v>
      </c>
      <c r="AE5" s="243">
        <f t="shared" si="0"/>
        <v>85031800</v>
      </c>
      <c r="AF5" s="243">
        <f t="shared" si="0"/>
        <v>1759192127</v>
      </c>
      <c r="AG5" s="243"/>
      <c r="AH5" s="243"/>
      <c r="AI5" s="243"/>
      <c r="AJ5" s="243">
        <f>SUM(AJ6+AJ16+AJ20+AJ40+AJ45+AJ61)</f>
        <v>0</v>
      </c>
      <c r="AK5" s="243">
        <f>SUM(AK6+AK16+AK20+AK40+AK45+AK61)</f>
        <v>0</v>
      </c>
      <c r="AL5" s="243">
        <f>SUM(AL6+AL16+AL20+AL40+AL45+AL61)</f>
        <v>0</v>
      </c>
      <c r="AM5" s="243">
        <f>SUM(AM6+AM16+AM20+AM40+AM45+AM61)</f>
        <v>0</v>
      </c>
      <c r="AN5" s="243">
        <f>SUM(AN6+AN16+AN20+AN40+AN45+AN61)</f>
        <v>0</v>
      </c>
      <c r="AO5" s="243"/>
      <c r="AP5" s="244"/>
      <c r="AQ5" s="245">
        <f>SUM(AQ6+AQ16+AQ20+AQ40+AQ45+AQ61)</f>
        <v>2336383094.0228567</v>
      </c>
      <c r="AR5" s="245">
        <f>SUM(AR6+AR16+AR20+AR40+AR45+AR61)</f>
        <v>1759192127</v>
      </c>
      <c r="AS5" s="245">
        <f>SUM(AS6+AS16+AS20+AS40+AS45+AS61)</f>
        <v>0</v>
      </c>
      <c r="AT5" s="245">
        <f>SUM(AT6+AT16+AT20+AT40+AT45+AT61)</f>
        <v>4095575221.0228572</v>
      </c>
      <c r="AU5" s="245">
        <f t="shared" ref="AU5:BB5" si="1">SUM(AU6+AU16+AU20+AU40+AU45+AU61)</f>
        <v>4088366821.0228572</v>
      </c>
      <c r="AV5" s="245">
        <f t="shared" si="1"/>
        <v>0</v>
      </c>
      <c r="AW5" s="245">
        <f>SUM(AW6+AW16+AW20+AW40+AW45+AW61)</f>
        <v>0</v>
      </c>
      <c r="AX5" s="245">
        <f t="shared" si="1"/>
        <v>0</v>
      </c>
      <c r="AY5" s="245">
        <f t="shared" si="1"/>
        <v>2346000</v>
      </c>
      <c r="AZ5" s="245">
        <f t="shared" si="1"/>
        <v>0</v>
      </c>
      <c r="BA5" s="245">
        <f t="shared" si="1"/>
        <v>0</v>
      </c>
      <c r="BB5" s="245">
        <f t="shared" si="1"/>
        <v>-4862400</v>
      </c>
    </row>
    <row r="6" spans="1:58" s="170" customFormat="1" ht="15.75" customHeight="1" x14ac:dyDescent="0.25">
      <c r="A6" s="120"/>
      <c r="B6" s="290"/>
      <c r="C6" s="391" t="s">
        <v>191</v>
      </c>
      <c r="D6" s="391"/>
      <c r="E6" s="392"/>
      <c r="F6" s="289"/>
      <c r="G6" s="288"/>
      <c r="H6" s="114" t="s">
        <v>59</v>
      </c>
      <c r="I6" s="246"/>
      <c r="J6" s="246"/>
      <c r="K6" s="246"/>
      <c r="L6" s="247">
        <f>SUM(L11+L15)</f>
        <v>151200</v>
      </c>
      <c r="M6" s="247">
        <f>SUM(M11+M15)</f>
        <v>25250.400000000001</v>
      </c>
      <c r="N6" s="247"/>
      <c r="O6" s="247"/>
      <c r="P6" s="247"/>
      <c r="Q6" s="247"/>
      <c r="R6" s="247">
        <f>SUM(R11+R15)</f>
        <v>150000</v>
      </c>
      <c r="S6" s="247">
        <f>SUM(S11+S15)</f>
        <v>112500</v>
      </c>
      <c r="T6" s="247">
        <f>SUM(T11+T15)</f>
        <v>0</v>
      </c>
      <c r="U6" s="247">
        <f>SUM(U11+U15)</f>
        <v>200000</v>
      </c>
      <c r="V6" s="247"/>
      <c r="W6" s="247"/>
      <c r="X6" s="247"/>
      <c r="Y6" s="247">
        <f>SUM(Y11+Y15)</f>
        <v>0</v>
      </c>
      <c r="Z6" s="247">
        <f t="shared" ref="Z6:AF6" si="2">SUM(Z11+Z15)</f>
        <v>0</v>
      </c>
      <c r="AA6" s="247">
        <f t="shared" si="2"/>
        <v>0</v>
      </c>
      <c r="AB6" s="247">
        <f t="shared" si="2"/>
        <v>114000</v>
      </c>
      <c r="AC6" s="247">
        <f t="shared" si="2"/>
        <v>247500</v>
      </c>
      <c r="AD6" s="247">
        <f t="shared" si="2"/>
        <v>0</v>
      </c>
      <c r="AE6" s="247">
        <f t="shared" si="2"/>
        <v>164800</v>
      </c>
      <c r="AF6" s="247">
        <f t="shared" si="2"/>
        <v>988800</v>
      </c>
      <c r="AG6" s="247"/>
      <c r="AH6" s="247"/>
      <c r="AI6" s="247"/>
      <c r="AJ6" s="247">
        <f>SUM(AJ11+AJ15)</f>
        <v>0</v>
      </c>
      <c r="AK6" s="247">
        <f>SUM(AK11+AK15)</f>
        <v>0</v>
      </c>
      <c r="AL6" s="247">
        <f>SUM(AL11+AL15)</f>
        <v>0</v>
      </c>
      <c r="AM6" s="247">
        <f>SUM(AM11+AM15)</f>
        <v>0</v>
      </c>
      <c r="AN6" s="247">
        <f>SUM(AN11+AN15)</f>
        <v>0</v>
      </c>
      <c r="AO6" s="247"/>
      <c r="AP6" s="244"/>
      <c r="AQ6" s="248">
        <f>SUM(AQ11+AQ15)</f>
        <v>176450.4</v>
      </c>
      <c r="AR6" s="248">
        <f>SUM(AR11+AR15)</f>
        <v>988800</v>
      </c>
      <c r="AS6" s="248">
        <f>SUM(AS11+AS15)</f>
        <v>0</v>
      </c>
      <c r="AT6" s="248">
        <f>SUM(AT11+AT15)</f>
        <v>1165250.3999999999</v>
      </c>
      <c r="AU6" s="248">
        <f t="shared" ref="AU6:BB6" si="3">SUM(AU11+AU15)</f>
        <v>176450.4</v>
      </c>
      <c r="AV6" s="248">
        <f t="shared" si="3"/>
        <v>0</v>
      </c>
      <c r="AW6" s="248">
        <f>SUM(AW11+AW15)</f>
        <v>0</v>
      </c>
      <c r="AX6" s="248">
        <f t="shared" si="3"/>
        <v>0</v>
      </c>
      <c r="AY6" s="248">
        <f t="shared" si="3"/>
        <v>0</v>
      </c>
      <c r="AZ6" s="248">
        <f t="shared" si="3"/>
        <v>0</v>
      </c>
      <c r="BA6" s="248">
        <f t="shared" si="3"/>
        <v>0</v>
      </c>
      <c r="BB6" s="248">
        <f t="shared" si="3"/>
        <v>-988799.99999999988</v>
      </c>
    </row>
    <row r="7" spans="1:58" ht="78.75" outlineLevel="2" x14ac:dyDescent="0.25">
      <c r="A7" s="115"/>
      <c r="B7" s="200"/>
      <c r="C7" s="201"/>
      <c r="D7" s="138"/>
      <c r="E7" s="295"/>
      <c r="F7" s="295"/>
      <c r="G7" s="296"/>
      <c r="H7" s="199" t="s">
        <v>369</v>
      </c>
      <c r="I7" s="130"/>
      <c r="J7" s="126"/>
      <c r="K7" s="126"/>
      <c r="L7" s="125" t="str">
        <f>IF(I7&lt;&gt;0,((VLOOKUP(I7,'1. Standard_Cost'!$B$4:$D$11,2)+VLOOKUP(I7,'1. Standard_Cost'!$B$4:$D$11,3))*J7*K7),"0")</f>
        <v>0</v>
      </c>
      <c r="M7" s="125">
        <f>L7*'1. Standard_Cost'!$F$4</f>
        <v>0</v>
      </c>
      <c r="N7" s="126"/>
      <c r="O7" s="126"/>
      <c r="P7" s="126"/>
      <c r="Q7" s="126"/>
      <c r="R7" s="127">
        <f>'1. Standard_Cost'!$B$15*N7*P7</f>
        <v>0</v>
      </c>
      <c r="S7" s="127">
        <f>N7*O7*P7*'1. Standard_Cost'!$C$15</f>
        <v>0</v>
      </c>
      <c r="T7" s="127">
        <f>N7*P7*Q7*'1. Standard_Cost'!$D$15</f>
        <v>0</v>
      </c>
      <c r="U7" s="127">
        <f>N7*O7*'1. Standard_Cost'!$E$15</f>
        <v>0</v>
      </c>
      <c r="V7" s="126"/>
      <c r="W7" s="126"/>
      <c r="X7" s="126"/>
      <c r="Y7" s="127">
        <f>+V7*((X7*'1. Standard_Cost'!$B$19)+(W7*X7*'1. Standard_Cost'!$C$19))</f>
        <v>0</v>
      </c>
      <c r="Z7" s="126"/>
      <c r="AA7" s="126"/>
      <c r="AB7" s="127">
        <f>+Z7*'1. Standard_Cost'!$B$23+AA7*'1. Standard_Cost'!$C$23</f>
        <v>0</v>
      </c>
      <c r="AC7" s="128"/>
      <c r="AD7" s="129"/>
      <c r="AE7" s="127">
        <f>SUM(AD7,AC7,AB7,Y7,U7,T7,S7,R7)*'1. Standard_Cost'!$B$31</f>
        <v>0</v>
      </c>
      <c r="AF7" s="127">
        <f>SUM(AE7,AD7,AC7,AB7,Y7,U7,T7,S7,R7)</f>
        <v>0</v>
      </c>
      <c r="AG7" s="126"/>
      <c r="AH7" s="126"/>
      <c r="AI7" s="126"/>
      <c r="AJ7" s="130"/>
      <c r="AK7" s="130"/>
      <c r="AL7" s="130"/>
      <c r="AM7" s="127">
        <f>AG7*'1. Standard_Cost'!$B$27+'Incremental_Cost Year 9'!AH7*'1. Standard_Cost'!$C$27+'Incremental_Cost Year 9'!AI7*'1. Standard_Cost'!$D$27+'Incremental_Cost Year 9'!AJ7+'Incremental_Cost Year 9'!AL7+AK7</f>
        <v>0</v>
      </c>
      <c r="AN7" s="127">
        <f>AM7*'1. Standard_Cost'!$C$31</f>
        <v>0</v>
      </c>
      <c r="AO7" s="249"/>
      <c r="AQ7" s="171">
        <f>L7+M7</f>
        <v>0</v>
      </c>
      <c r="AR7" s="171">
        <f>AF7</f>
        <v>0</v>
      </c>
      <c r="AS7" s="171">
        <f>AM7+AN7</f>
        <v>0</v>
      </c>
      <c r="AT7" s="171">
        <f>SUM(AQ7,AR7,AS7)</f>
        <v>0</v>
      </c>
      <c r="AU7" s="250">
        <f>AQ7</f>
        <v>0</v>
      </c>
      <c r="AV7" s="250"/>
      <c r="AW7" s="250"/>
      <c r="AX7" s="250"/>
      <c r="AY7" s="250"/>
      <c r="AZ7" s="250"/>
      <c r="BA7" s="250"/>
      <c r="BB7" s="251">
        <f>SUM(AU7:BA7)-AT7</f>
        <v>0</v>
      </c>
      <c r="BC7" s="169"/>
      <c r="BD7" s="169"/>
      <c r="BE7" s="169"/>
      <c r="BF7" s="169"/>
    </row>
    <row r="8" spans="1:58" ht="126" outlineLevel="2" x14ac:dyDescent="0.25">
      <c r="A8" s="115"/>
      <c r="B8" s="200"/>
      <c r="C8" s="201"/>
      <c r="D8" s="135"/>
      <c r="E8" s="219"/>
      <c r="F8" s="219"/>
      <c r="G8" s="313"/>
      <c r="H8" s="199" t="s">
        <v>370</v>
      </c>
      <c r="I8" s="130"/>
      <c r="J8" s="126"/>
      <c r="K8" s="126"/>
      <c r="L8" s="125" t="str">
        <f>IF(I8&lt;&gt;0,((VLOOKUP(I8,'1. Standard_Cost'!$B$4:$D$11,2)+VLOOKUP(I8,'1. Standard_Cost'!$B$4:$D$11,3))*J8*K8),"0")</f>
        <v>0</v>
      </c>
      <c r="M8" s="125">
        <f>L8*'1. Standard_Cost'!$F$4</f>
        <v>0</v>
      </c>
      <c r="N8" s="126"/>
      <c r="O8" s="126"/>
      <c r="P8" s="126"/>
      <c r="Q8" s="126"/>
      <c r="R8" s="127">
        <f>'1. Standard_Cost'!$B$15*N8*P8</f>
        <v>0</v>
      </c>
      <c r="S8" s="127">
        <f>N8*O8*P8*'1. Standard_Cost'!$C$15</f>
        <v>0</v>
      </c>
      <c r="T8" s="127">
        <f>N8*P8*Q8*'1. Standard_Cost'!$D$15</f>
        <v>0</v>
      </c>
      <c r="U8" s="127">
        <f>N8*O8*'1. Standard_Cost'!$E$15</f>
        <v>0</v>
      </c>
      <c r="V8" s="126"/>
      <c r="W8" s="126"/>
      <c r="X8" s="126"/>
      <c r="Y8" s="127">
        <f>+V8*((X8*'1. Standard_Cost'!$B$19)+(W8*X8*'1. Standard_Cost'!$C$19))</f>
        <v>0</v>
      </c>
      <c r="Z8" s="126"/>
      <c r="AA8" s="126"/>
      <c r="AB8" s="127">
        <f>+Z8*'1. Standard_Cost'!$B$23+AA8*'1. Standard_Cost'!$C$23</f>
        <v>0</v>
      </c>
      <c r="AC8" s="128"/>
      <c r="AD8" s="129"/>
      <c r="AE8" s="127">
        <f>SUM(AD8,AC8,AB8,Y8,U8,T8,S8,R8)*'1. Standard_Cost'!$B$31</f>
        <v>0</v>
      </c>
      <c r="AF8" s="127">
        <f>SUM(AE8,AD8,AC8,AB8,Y8,U8,T8,S8,R8)</f>
        <v>0</v>
      </c>
      <c r="AG8" s="126"/>
      <c r="AH8" s="126"/>
      <c r="AI8" s="126"/>
      <c r="AJ8" s="130"/>
      <c r="AK8" s="130"/>
      <c r="AL8" s="130"/>
      <c r="AM8" s="127">
        <f>AG8*'1. Standard_Cost'!$B$27+'Incremental_Cost Year 9'!AH8*'1. Standard_Cost'!$C$27+'Incremental_Cost Year 9'!AI8*'1. Standard_Cost'!$D$27+'Incremental_Cost Year 9'!AJ8+'Incremental_Cost Year 9'!AL8+AK8</f>
        <v>0</v>
      </c>
      <c r="AN8" s="127">
        <f>AM8*'1. Standard_Cost'!$C$31</f>
        <v>0</v>
      </c>
      <c r="AO8" s="130"/>
      <c r="AQ8" s="171">
        <f>L8+M8</f>
        <v>0</v>
      </c>
      <c r="AR8" s="171">
        <f>AF8</f>
        <v>0</v>
      </c>
      <c r="AS8" s="171">
        <f>AM8+AN8</f>
        <v>0</v>
      </c>
      <c r="AT8" s="171">
        <f>SUM(AQ8,AR8,AS8)</f>
        <v>0</v>
      </c>
      <c r="AU8" s="250">
        <f>AQ8</f>
        <v>0</v>
      </c>
      <c r="AV8" s="250"/>
      <c r="AW8" s="250"/>
      <c r="AX8" s="250"/>
      <c r="AY8" s="250"/>
      <c r="AZ8" s="250"/>
      <c r="BA8" s="250"/>
      <c r="BB8" s="251">
        <f t="shared" ref="BB8:BB14" si="4">SUM(AU8:BA8)-AT8</f>
        <v>0</v>
      </c>
      <c r="BC8" s="169"/>
      <c r="BD8" s="169"/>
      <c r="BE8" s="169"/>
      <c r="BF8" s="169"/>
    </row>
    <row r="9" spans="1:58" ht="157.5" outlineLevel="2" x14ac:dyDescent="0.25">
      <c r="A9" s="115"/>
      <c r="B9" s="200"/>
      <c r="C9" s="201"/>
      <c r="D9" s="135"/>
      <c r="E9" s="219"/>
      <c r="F9" s="219"/>
      <c r="G9" s="313"/>
      <c r="H9" s="199" t="s">
        <v>371</v>
      </c>
      <c r="I9" s="130"/>
      <c r="J9" s="126"/>
      <c r="K9" s="126"/>
      <c r="L9" s="125" t="str">
        <f>IF(I9&lt;&gt;0,((VLOOKUP(I9,'1. Standard_Cost'!$B$4:$D$11,2)+VLOOKUP(I9,'1. Standard_Cost'!$B$4:$D$11,3))*J9*K9),"0")</f>
        <v>0</v>
      </c>
      <c r="M9" s="125">
        <f>L9*'1. Standard_Cost'!$F$4</f>
        <v>0</v>
      </c>
      <c r="N9" s="126"/>
      <c r="O9" s="126"/>
      <c r="P9" s="126"/>
      <c r="Q9" s="126"/>
      <c r="R9" s="127">
        <f>'1. Standard_Cost'!$B$15*N9*P9</f>
        <v>0</v>
      </c>
      <c r="S9" s="127">
        <f>N9*O9*P9*'1. Standard_Cost'!$C$15</f>
        <v>0</v>
      </c>
      <c r="T9" s="127">
        <f>N9*P9*Q9*'1. Standard_Cost'!$D$15</f>
        <v>0</v>
      </c>
      <c r="U9" s="127">
        <f>N9*O9*'1. Standard_Cost'!$E$15</f>
        <v>0</v>
      </c>
      <c r="V9" s="126"/>
      <c r="W9" s="126"/>
      <c r="X9" s="126"/>
      <c r="Y9" s="127">
        <f>+V9*((X9*'1. Standard_Cost'!$B$19)+(W9*X9*'1. Standard_Cost'!$C$19))</f>
        <v>0</v>
      </c>
      <c r="Z9" s="126"/>
      <c r="AA9" s="126">
        <v>0</v>
      </c>
      <c r="AB9" s="127">
        <f>+Z9*'1. Standard_Cost'!$B$23+AA9*'1. Standard_Cost'!$C$23</f>
        <v>0</v>
      </c>
      <c r="AC9" s="128">
        <v>0</v>
      </c>
      <c r="AD9" s="129"/>
      <c r="AE9" s="127">
        <f>SUM(AD9,AC9,AB9,Y9,U9,T9,S9,R9)*'1. Standard_Cost'!$B$31</f>
        <v>0</v>
      </c>
      <c r="AF9" s="127">
        <f>SUM(AE9,AD9,AC9,AB9,Y9,U9,T9,S9,R9)</f>
        <v>0</v>
      </c>
      <c r="AG9" s="126"/>
      <c r="AH9" s="126"/>
      <c r="AI9" s="126"/>
      <c r="AJ9" s="130"/>
      <c r="AK9" s="130"/>
      <c r="AL9" s="130"/>
      <c r="AM9" s="127">
        <f>AG9*'1. Standard_Cost'!$B$27+'Incremental_Cost Year 9'!AH9*'1. Standard_Cost'!$C$27+'Incremental_Cost Year 9'!AI9*'1. Standard_Cost'!$D$27+'Incremental_Cost Year 9'!AJ9+'Incremental_Cost Year 9'!AL9+AK9</f>
        <v>0</v>
      </c>
      <c r="AN9" s="127">
        <f>AM9*'1. Standard_Cost'!$C$31</f>
        <v>0</v>
      </c>
      <c r="AO9" s="130"/>
      <c r="AQ9" s="171">
        <f>L9+M9</f>
        <v>0</v>
      </c>
      <c r="AR9" s="171">
        <f>AF9</f>
        <v>0</v>
      </c>
      <c r="AS9" s="171">
        <f>AM9+AN9</f>
        <v>0</v>
      </c>
      <c r="AT9" s="171">
        <f>SUM(AQ9,AR9,AS9)</f>
        <v>0</v>
      </c>
      <c r="AU9" s="250">
        <f>AQ9</f>
        <v>0</v>
      </c>
      <c r="AV9" s="250"/>
      <c r="AW9" s="250"/>
      <c r="AX9" s="250"/>
      <c r="AY9" s="250"/>
      <c r="AZ9" s="250"/>
      <c r="BA9" s="250"/>
      <c r="BB9" s="251">
        <f t="shared" si="4"/>
        <v>0</v>
      </c>
      <c r="BC9" s="169"/>
      <c r="BD9" s="169"/>
      <c r="BE9" s="169"/>
      <c r="BF9" s="169"/>
    </row>
    <row r="10" spans="1:58" ht="157.5" outlineLevel="2" x14ac:dyDescent="0.25">
      <c r="A10" s="115"/>
      <c r="B10" s="200"/>
      <c r="C10" s="201"/>
      <c r="D10" s="223"/>
      <c r="E10" s="219"/>
      <c r="F10" s="122"/>
      <c r="G10" s="123"/>
      <c r="H10" s="199" t="s">
        <v>372</v>
      </c>
      <c r="I10" s="130"/>
      <c r="J10" s="126"/>
      <c r="K10" s="126"/>
      <c r="L10" s="125" t="str">
        <f>IF(I10&lt;&gt;0,((VLOOKUP(I10,'1. Standard_Cost'!$B$4:$D$11,2)+VLOOKUP(I10,'1. Standard_Cost'!$B$4:$D$11,3))*J10*K10),"0")</f>
        <v>0</v>
      </c>
      <c r="M10" s="125">
        <f>L10*'1. Standard_Cost'!$F$4</f>
        <v>0</v>
      </c>
      <c r="N10" s="126"/>
      <c r="O10" s="126"/>
      <c r="P10" s="126"/>
      <c r="Q10" s="126"/>
      <c r="R10" s="127">
        <f>'1. Standard_Cost'!$B$15*N10*P10</f>
        <v>0</v>
      </c>
      <c r="S10" s="127">
        <f>N10*O10*P10*'1. Standard_Cost'!$C$15</f>
        <v>0</v>
      </c>
      <c r="T10" s="127">
        <f>N10*P10*Q10*'1. Standard_Cost'!$D$15</f>
        <v>0</v>
      </c>
      <c r="U10" s="127">
        <f>N10*O10*'1. Standard_Cost'!$E$15</f>
        <v>0</v>
      </c>
      <c r="V10" s="126"/>
      <c r="W10" s="126"/>
      <c r="X10" s="126"/>
      <c r="Y10" s="127">
        <f>+V10*((X10*'1. Standard_Cost'!$B$19)+(W10*X10*'1. Standard_Cost'!$C$19))</f>
        <v>0</v>
      </c>
      <c r="Z10" s="126"/>
      <c r="AA10" s="126"/>
      <c r="AB10" s="127">
        <f>+Z10*'1. Standard_Cost'!$B$23+AA10*'1. Standard_Cost'!$C$23</f>
        <v>0</v>
      </c>
      <c r="AC10" s="128"/>
      <c r="AD10" s="129"/>
      <c r="AE10" s="127">
        <f>SUM(AD10,AC10,AB10,Y10,U10,T10,S10,R10)*'1. Standard_Cost'!$B$31</f>
        <v>0</v>
      </c>
      <c r="AF10" s="127">
        <f>SUM(AE10,AD10,AC10,AB10,Y10,U10,T10,S10,R10)</f>
        <v>0</v>
      </c>
      <c r="AG10" s="126"/>
      <c r="AH10" s="126"/>
      <c r="AI10" s="126"/>
      <c r="AJ10" s="130"/>
      <c r="AK10" s="130"/>
      <c r="AL10" s="130"/>
      <c r="AM10" s="127">
        <f>AG10*'1. Standard_Cost'!$B$27+'Incremental_Cost Year 9'!AH10*'1. Standard_Cost'!$C$27+'Incremental_Cost Year 9'!AI10*'1. Standard_Cost'!$D$27+'Incremental_Cost Year 9'!AJ10+'Incremental_Cost Year 9'!AL10+AK10</f>
        <v>0</v>
      </c>
      <c r="AN10" s="127">
        <f>AM10*'1. Standard_Cost'!$C$31</f>
        <v>0</v>
      </c>
      <c r="AO10" s="130"/>
      <c r="AQ10" s="171">
        <f>L10+M10</f>
        <v>0</v>
      </c>
      <c r="AR10" s="171">
        <f>AF10</f>
        <v>0</v>
      </c>
      <c r="AS10" s="171">
        <f>AM10+AN10</f>
        <v>0</v>
      </c>
      <c r="AT10" s="171">
        <f>SUM(AQ10,AR10,AS10)</f>
        <v>0</v>
      </c>
      <c r="AU10" s="250">
        <f>AQ10</f>
        <v>0</v>
      </c>
      <c r="AV10" s="250"/>
      <c r="AW10" s="250"/>
      <c r="AX10" s="250"/>
      <c r="AY10" s="250"/>
      <c r="AZ10" s="250"/>
      <c r="BA10" s="250"/>
      <c r="BB10" s="251">
        <f t="shared" si="4"/>
        <v>0</v>
      </c>
      <c r="BC10" s="169"/>
      <c r="BD10" s="169"/>
      <c r="BE10" s="169"/>
      <c r="BF10" s="169"/>
    </row>
    <row r="11" spans="1:58" ht="78.75" outlineLevel="1" x14ac:dyDescent="0.25">
      <c r="A11" s="115"/>
      <c r="B11" s="142"/>
      <c r="C11" s="297"/>
      <c r="D11" s="116" t="s">
        <v>373</v>
      </c>
      <c r="E11" s="209" t="s">
        <v>374</v>
      </c>
      <c r="F11" s="117">
        <v>2022</v>
      </c>
      <c r="G11" s="117">
        <v>2024</v>
      </c>
      <c r="H11" s="134" t="s">
        <v>46</v>
      </c>
      <c r="I11" s="252"/>
      <c r="J11" s="252"/>
      <c r="K11" s="252"/>
      <c r="L11" s="127">
        <f>SUM(L7:L10)</f>
        <v>0</v>
      </c>
      <c r="M11" s="127">
        <f>SUM(M7:M10)</f>
        <v>0</v>
      </c>
      <c r="N11" s="127"/>
      <c r="O11" s="252"/>
      <c r="P11" s="252"/>
      <c r="Q11" s="252"/>
      <c r="R11" s="127">
        <f>SUM(R7:R10)</f>
        <v>0</v>
      </c>
      <c r="S11" s="127">
        <f>SUM(S7:S10)</f>
        <v>0</v>
      </c>
      <c r="T11" s="127">
        <f>SUM(T7:T10)</f>
        <v>0</v>
      </c>
      <c r="U11" s="127">
        <f>SUM(U7:U10)</f>
        <v>0</v>
      </c>
      <c r="V11" s="252"/>
      <c r="W11" s="252"/>
      <c r="X11" s="252"/>
      <c r="Y11" s="127">
        <f>SUM(Y7:Y10)</f>
        <v>0</v>
      </c>
      <c r="Z11" s="252"/>
      <c r="AA11" s="252"/>
      <c r="AB11" s="127">
        <f>SUM(AB7:AB10)</f>
        <v>0</v>
      </c>
      <c r="AC11" s="127">
        <f>SUM(AC7:AC9)</f>
        <v>0</v>
      </c>
      <c r="AD11" s="127">
        <f>SUM(AD7:AD9)</f>
        <v>0</v>
      </c>
      <c r="AE11" s="127">
        <f>SUM(AE7:AE9)</f>
        <v>0</v>
      </c>
      <c r="AF11" s="127">
        <f>SUM(AF7:AF9)</f>
        <v>0</v>
      </c>
      <c r="AG11" s="252"/>
      <c r="AH11" s="252"/>
      <c r="AI11" s="252"/>
      <c r="AJ11" s="127">
        <f>SUM(AJ7:AJ9)</f>
        <v>0</v>
      </c>
      <c r="AK11" s="127">
        <f>SUM(AK7:AK9)</f>
        <v>0</v>
      </c>
      <c r="AL11" s="127">
        <f>SUM(AL7:AL9)</f>
        <v>0</v>
      </c>
      <c r="AM11" s="127">
        <f>SUM(AM7:AM9)</f>
        <v>0</v>
      </c>
      <c r="AN11" s="127">
        <f>SUM(AN7:AN9)</f>
        <v>0</v>
      </c>
      <c r="AO11" s="253"/>
      <c r="AP11" s="254"/>
      <c r="AQ11" s="175">
        <f>SUM(AQ7:AQ10)</f>
        <v>0</v>
      </c>
      <c r="AR11" s="175">
        <f>SUM(AR7:AR10)</f>
        <v>0</v>
      </c>
      <c r="AS11" s="175">
        <f>SUM(AS7:AS10)</f>
        <v>0</v>
      </c>
      <c r="AT11" s="175">
        <f>SUM(AT7:AT10)</f>
        <v>0</v>
      </c>
      <c r="AU11" s="175">
        <f t="shared" ref="AU11:BA11" si="5">SUM(AU7:AU9)</f>
        <v>0</v>
      </c>
      <c r="AV11" s="175">
        <f t="shared" si="5"/>
        <v>0</v>
      </c>
      <c r="AW11" s="175">
        <f>SUM(AW7:AW9)</f>
        <v>0</v>
      </c>
      <c r="AX11" s="175">
        <f t="shared" si="5"/>
        <v>0</v>
      </c>
      <c r="AY11" s="175">
        <f t="shared" si="5"/>
        <v>0</v>
      </c>
      <c r="AZ11" s="175">
        <f t="shared" si="5"/>
        <v>0</v>
      </c>
      <c r="BA11" s="175">
        <f t="shared" si="5"/>
        <v>0</v>
      </c>
      <c r="BB11" s="175">
        <f>SUM(BB7:BB10)</f>
        <v>0</v>
      </c>
      <c r="BC11" s="169"/>
      <c r="BD11" s="169"/>
      <c r="BE11" s="169"/>
      <c r="BF11" s="169"/>
    </row>
    <row r="12" spans="1:58" ht="220.5" outlineLevel="2" x14ac:dyDescent="0.25">
      <c r="A12" s="115"/>
      <c r="B12" s="200"/>
      <c r="C12" s="201"/>
      <c r="D12" s="138"/>
      <c r="E12" s="295"/>
      <c r="F12" s="295"/>
      <c r="G12" s="296"/>
      <c r="H12" s="213" t="s">
        <v>375</v>
      </c>
      <c r="I12" s="130"/>
      <c r="J12" s="126"/>
      <c r="K12" s="126"/>
      <c r="L12" s="125" t="str">
        <f>IF(I12&lt;&gt;0,((VLOOKUP(I12,'1. Standard_Cost'!$B$4:$D$11,2)+VLOOKUP(I12,'1. Standard_Cost'!$B$4:$D$11,3))*J12*K12),"0")</f>
        <v>0</v>
      </c>
      <c r="M12" s="125">
        <f>L12*'1. Standard_Cost'!$F$4</f>
        <v>0</v>
      </c>
      <c r="N12" s="126"/>
      <c r="O12" s="126"/>
      <c r="P12" s="126"/>
      <c r="Q12" s="126"/>
      <c r="R12" s="127">
        <f>'1. Standard_Cost'!$B$15*N12*P12</f>
        <v>0</v>
      </c>
      <c r="S12" s="127">
        <f>N12*O12*P12*'1. Standard_Cost'!$C$15</f>
        <v>0</v>
      </c>
      <c r="T12" s="127">
        <f>N12*P12*Q12*'1. Standard_Cost'!$D$15</f>
        <v>0</v>
      </c>
      <c r="U12" s="127">
        <f>N12*O12*'1. Standard_Cost'!$E$15</f>
        <v>0</v>
      </c>
      <c r="V12" s="126"/>
      <c r="W12" s="126"/>
      <c r="X12" s="126"/>
      <c r="Y12" s="127">
        <f>+V12*((X12*'1. Standard_Cost'!$B$19)+(W12*X12*'1. Standard_Cost'!$C$19))</f>
        <v>0</v>
      </c>
      <c r="Z12" s="126"/>
      <c r="AA12" s="126"/>
      <c r="AB12" s="127">
        <f>+Z12*'1. Standard_Cost'!$B$23+AA12*'1. Standard_Cost'!$C$23</f>
        <v>0</v>
      </c>
      <c r="AC12" s="128"/>
      <c r="AD12" s="129"/>
      <c r="AE12" s="127">
        <f>SUM(AD12,AC12,AB12,Y12,U12,T12,S12,R12)*'1. Standard_Cost'!$B$31</f>
        <v>0</v>
      </c>
      <c r="AF12" s="127">
        <f>SUM(AE12,AD12,AC12,AB12,Y12,U12,T12,S12,R12)</f>
        <v>0</v>
      </c>
      <c r="AG12" s="126"/>
      <c r="AH12" s="126"/>
      <c r="AI12" s="126"/>
      <c r="AJ12" s="130"/>
      <c r="AK12" s="130"/>
      <c r="AL12" s="130"/>
      <c r="AM12" s="127">
        <f>AG12*'1. Standard_Cost'!$B$27+'Incremental_Cost Year 9'!AH12*'1. Standard_Cost'!$C$27+'Incremental_Cost Year 9'!AI12*'1. Standard_Cost'!$D$27+'Incremental_Cost Year 9'!AJ12+'Incremental_Cost Year 9'!AL12+AK12</f>
        <v>0</v>
      </c>
      <c r="AN12" s="127">
        <f>AM12*'1. Standard_Cost'!$C$31</f>
        <v>0</v>
      </c>
      <c r="AO12" s="130"/>
      <c r="AQ12" s="171">
        <f>L12+M12</f>
        <v>0</v>
      </c>
      <c r="AR12" s="171">
        <f>AF12</f>
        <v>0</v>
      </c>
      <c r="AS12" s="171">
        <f>AM12+AN12</f>
        <v>0</v>
      </c>
      <c r="AT12" s="171">
        <f>SUM(AQ12,AR12,AS12)</f>
        <v>0</v>
      </c>
      <c r="AU12" s="250">
        <f>AQ12</f>
        <v>0</v>
      </c>
      <c r="AV12" s="250"/>
      <c r="AW12" s="250"/>
      <c r="AX12" s="250"/>
      <c r="AY12" s="250"/>
      <c r="AZ12" s="250"/>
      <c r="BA12" s="250"/>
      <c r="BB12" s="251">
        <f t="shared" si="4"/>
        <v>0</v>
      </c>
      <c r="BC12" s="169"/>
      <c r="BD12" s="169"/>
      <c r="BE12" s="169"/>
      <c r="BF12" s="169"/>
    </row>
    <row r="13" spans="1:58" ht="94.5" outlineLevel="2" x14ac:dyDescent="0.25">
      <c r="A13" s="115"/>
      <c r="B13" s="200"/>
      <c r="C13" s="201"/>
      <c r="D13" s="135"/>
      <c r="E13" s="219"/>
      <c r="F13" s="219"/>
      <c r="G13" s="313"/>
      <c r="H13" s="213" t="s">
        <v>376</v>
      </c>
      <c r="I13" s="130"/>
      <c r="J13" s="126"/>
      <c r="K13" s="126"/>
      <c r="L13" s="125" t="str">
        <f>IF(I13&lt;&gt;0,((VLOOKUP(I13,'1. Standard_Cost'!$B$4:$D$11,2)+VLOOKUP(I13,'1. Standard_Cost'!$B$4:$D$11,3))*J13*K13),"0")</f>
        <v>0</v>
      </c>
      <c r="M13" s="125">
        <f>L13*'1. Standard_Cost'!$F$4</f>
        <v>0</v>
      </c>
      <c r="N13" s="126"/>
      <c r="O13" s="126"/>
      <c r="P13" s="126"/>
      <c r="Q13" s="126"/>
      <c r="R13" s="127">
        <f>'1. Standard_Cost'!$B$15*N13*P13</f>
        <v>0</v>
      </c>
      <c r="S13" s="127">
        <f>N13*O13*P13*'1. Standard_Cost'!$C$15</f>
        <v>0</v>
      </c>
      <c r="T13" s="127">
        <f>N13*P13*Q13*'1. Standard_Cost'!$D$15</f>
        <v>0</v>
      </c>
      <c r="U13" s="127">
        <f>N13*O13*'1. Standard_Cost'!$E$15</f>
        <v>0</v>
      </c>
      <c r="V13" s="126"/>
      <c r="W13" s="126"/>
      <c r="X13" s="126"/>
      <c r="Y13" s="127">
        <f>+V13*((X13*'1. Standard_Cost'!$B$19)+(W13*X13*'1. Standard_Cost'!$C$19))</f>
        <v>0</v>
      </c>
      <c r="Z13" s="126">
        <v>0</v>
      </c>
      <c r="AA13" s="126">
        <v>0</v>
      </c>
      <c r="AB13" s="127">
        <f>+Z13*'1. Standard_Cost'!$B$23+AA13*'1. Standard_Cost'!$C$23</f>
        <v>0</v>
      </c>
      <c r="AC13" s="128">
        <v>0</v>
      </c>
      <c r="AD13" s="129"/>
      <c r="AE13" s="127">
        <f>SUM(AD13,AC13,AB13,Y13,U13,T13,S13,R13)*'1. Standard_Cost'!$B$31</f>
        <v>0</v>
      </c>
      <c r="AF13" s="127">
        <f>SUM(AE13,AD13,AC13,AB13,Y13,U13,T13,S13,R13)</f>
        <v>0</v>
      </c>
      <c r="AG13" s="126"/>
      <c r="AH13" s="126"/>
      <c r="AI13" s="126"/>
      <c r="AJ13" s="130"/>
      <c r="AK13" s="130"/>
      <c r="AL13" s="130"/>
      <c r="AM13" s="127">
        <f>AG13*'1. Standard_Cost'!$B$27+'Incremental_Cost Year 9'!AH13*'1. Standard_Cost'!$C$27+'Incremental_Cost Year 9'!AI13*'1. Standard_Cost'!$D$27+'Incremental_Cost Year 9'!AJ13+'Incremental_Cost Year 9'!AL13+AK13</f>
        <v>0</v>
      </c>
      <c r="AN13" s="127">
        <f>AM13*'1. Standard_Cost'!$C$31</f>
        <v>0</v>
      </c>
      <c r="AO13" s="130"/>
      <c r="AQ13" s="171">
        <f>L13+M13</f>
        <v>0</v>
      </c>
      <c r="AR13" s="171">
        <f>AF13</f>
        <v>0</v>
      </c>
      <c r="AS13" s="171">
        <f>AM13+AN13</f>
        <v>0</v>
      </c>
      <c r="AT13" s="171">
        <f>SUM(AQ13,AR13,AS13)</f>
        <v>0</v>
      </c>
      <c r="AU13" s="250">
        <f>AQ13</f>
        <v>0</v>
      </c>
      <c r="AV13" s="250"/>
      <c r="AW13" s="250"/>
      <c r="AX13" s="250"/>
      <c r="AY13" s="250"/>
      <c r="AZ13" s="250"/>
      <c r="BA13" s="250"/>
      <c r="BB13" s="251">
        <f t="shared" si="4"/>
        <v>0</v>
      </c>
      <c r="BC13" s="169"/>
      <c r="BD13" s="169"/>
      <c r="BE13" s="169"/>
      <c r="BF13" s="169"/>
    </row>
    <row r="14" spans="1:58" ht="157.5" outlineLevel="2" x14ac:dyDescent="0.25">
      <c r="A14" s="115"/>
      <c r="B14" s="200"/>
      <c r="C14" s="201"/>
      <c r="D14" s="223"/>
      <c r="E14" s="219"/>
      <c r="F14" s="219"/>
      <c r="G14" s="313"/>
      <c r="H14" s="213" t="s">
        <v>377</v>
      </c>
      <c r="I14" s="130" t="s">
        <v>3</v>
      </c>
      <c r="J14" s="126">
        <v>0.5</v>
      </c>
      <c r="K14" s="126">
        <v>3</v>
      </c>
      <c r="L14" s="125">
        <f>IF(I14&lt;&gt;0,((VLOOKUP(I14,'1. Standard_Cost'!$B$4:$D$11,2)+VLOOKUP(I14,'1. Standard_Cost'!$B$4:$D$11,3))*J14*K14),"0")</f>
        <v>151200</v>
      </c>
      <c r="M14" s="125">
        <f>L14*'1. Standard_Cost'!$F$4</f>
        <v>25250.400000000001</v>
      </c>
      <c r="N14" s="126">
        <v>5</v>
      </c>
      <c r="O14" s="126">
        <v>1</v>
      </c>
      <c r="P14" s="126">
        <v>15</v>
      </c>
      <c r="Q14" s="126"/>
      <c r="R14" s="127">
        <f>'1. Standard_Cost'!$B$15*N14*P14</f>
        <v>150000</v>
      </c>
      <c r="S14" s="127">
        <f>N14*O14*P14*'1. Standard_Cost'!$C$15</f>
        <v>112500</v>
      </c>
      <c r="T14" s="127">
        <f>N14*P14*Q14*'1. Standard_Cost'!$D$15</f>
        <v>0</v>
      </c>
      <c r="U14" s="127">
        <f>N14*O14*'1. Standard_Cost'!$E$15</f>
        <v>200000</v>
      </c>
      <c r="V14" s="126"/>
      <c r="W14" s="126"/>
      <c r="X14" s="126"/>
      <c r="Y14" s="127">
        <f>+V14*((X14*'1. Standard_Cost'!$B$19)+(W14*X14*'1. Standard_Cost'!$C$19))</f>
        <v>0</v>
      </c>
      <c r="Z14" s="126"/>
      <c r="AA14" s="126">
        <v>6</v>
      </c>
      <c r="AB14" s="127">
        <f>+Z14*'1. Standard_Cost'!$B$23+AA14*'1. Standard_Cost'!$C$23</f>
        <v>114000</v>
      </c>
      <c r="AC14" s="128">
        <f>75*3300</f>
        <v>247500</v>
      </c>
      <c r="AD14" s="129"/>
      <c r="AE14" s="127">
        <f>SUM(AD14,AC14,AB14,Y14,U14,T14,S14,R14)*'1. Standard_Cost'!$B$31</f>
        <v>164800</v>
      </c>
      <c r="AF14" s="127">
        <f>SUM(AE14,AD14,AC14,AB14,Y14,U14,T14,S14,R14)</f>
        <v>988800</v>
      </c>
      <c r="AG14" s="126"/>
      <c r="AH14" s="126"/>
      <c r="AI14" s="126"/>
      <c r="AJ14" s="130"/>
      <c r="AK14" s="130"/>
      <c r="AL14" s="130"/>
      <c r="AM14" s="127">
        <f>AG14*'1. Standard_Cost'!$B$27+'Incremental_Cost Year 9'!AH14*'1. Standard_Cost'!$C$27+'Incremental_Cost Year 9'!AI14*'1. Standard_Cost'!$D$27+'Incremental_Cost Year 9'!AJ14+'Incremental_Cost Year 9'!AL14+AK14</f>
        <v>0</v>
      </c>
      <c r="AN14" s="127">
        <f>AM14*'1. Standard_Cost'!$C$31</f>
        <v>0</v>
      </c>
      <c r="AO14" s="130"/>
      <c r="AQ14" s="171">
        <f>L14+M14</f>
        <v>176450.4</v>
      </c>
      <c r="AR14" s="171">
        <f>AF14</f>
        <v>988800</v>
      </c>
      <c r="AS14" s="171">
        <f>AM14+AN14</f>
        <v>0</v>
      </c>
      <c r="AT14" s="171">
        <f>SUM(AQ14,AR14,AS14)</f>
        <v>1165250.3999999999</v>
      </c>
      <c r="AU14" s="250">
        <f>AQ14</f>
        <v>176450.4</v>
      </c>
      <c r="AV14" s="250"/>
      <c r="AW14" s="250"/>
      <c r="AX14" s="250"/>
      <c r="AY14" s="250"/>
      <c r="AZ14" s="250"/>
      <c r="BA14" s="250"/>
      <c r="BB14" s="251">
        <f t="shared" si="4"/>
        <v>-988799.99999999988</v>
      </c>
      <c r="BC14" s="169"/>
      <c r="BD14" s="169"/>
      <c r="BE14" s="169"/>
      <c r="BF14" s="169"/>
    </row>
    <row r="15" spans="1:58" ht="63" outlineLevel="1" x14ac:dyDescent="0.25">
      <c r="A15" s="115"/>
      <c r="B15" s="165"/>
      <c r="C15" s="166"/>
      <c r="D15" s="110" t="s">
        <v>378</v>
      </c>
      <c r="E15" s="116" t="s">
        <v>379</v>
      </c>
      <c r="F15" s="209">
        <v>2021</v>
      </c>
      <c r="G15" s="117">
        <v>2030</v>
      </c>
      <c r="H15" s="110" t="s">
        <v>47</v>
      </c>
      <c r="I15" s="252"/>
      <c r="J15" s="252"/>
      <c r="K15" s="252"/>
      <c r="L15" s="127">
        <f>SUM(L12:L14)</f>
        <v>151200</v>
      </c>
      <c r="M15" s="127">
        <f>SUM(M12:M14)</f>
        <v>25250.400000000001</v>
      </c>
      <c r="N15" s="252"/>
      <c r="O15" s="252"/>
      <c r="P15" s="252"/>
      <c r="Q15" s="252"/>
      <c r="R15" s="127">
        <f>SUM(R12:R14)</f>
        <v>150000</v>
      </c>
      <c r="S15" s="127">
        <f>SUM(S12:S14)</f>
        <v>112500</v>
      </c>
      <c r="T15" s="127">
        <f>SUM(T12:T14)</f>
        <v>0</v>
      </c>
      <c r="U15" s="127">
        <f>SUM(U12:U14)</f>
        <v>200000</v>
      </c>
      <c r="V15" s="252"/>
      <c r="W15" s="252"/>
      <c r="X15" s="252"/>
      <c r="Y15" s="127">
        <f>SUM(Y12:Y14)</f>
        <v>0</v>
      </c>
      <c r="Z15" s="252"/>
      <c r="AA15" s="252"/>
      <c r="AB15" s="127">
        <f>SUM(AB12:AB14)</f>
        <v>114000</v>
      </c>
      <c r="AC15" s="127">
        <f>SUM(AC12:AC14)</f>
        <v>247500</v>
      </c>
      <c r="AD15" s="127">
        <f>SUM(AD12:AD14)</f>
        <v>0</v>
      </c>
      <c r="AE15" s="127">
        <f>SUM(AE12:AE14)</f>
        <v>164800</v>
      </c>
      <c r="AF15" s="127">
        <f>SUM(AF12:AF14)</f>
        <v>988800</v>
      </c>
      <c r="AG15" s="252"/>
      <c r="AH15" s="252"/>
      <c r="AI15" s="252"/>
      <c r="AJ15" s="127">
        <f>SUM(AJ12:AJ12)</f>
        <v>0</v>
      </c>
      <c r="AK15" s="127">
        <f>SUM(AK12:AK14)</f>
        <v>0</v>
      </c>
      <c r="AL15" s="127">
        <f>SUM(AL12:AL14)</f>
        <v>0</v>
      </c>
      <c r="AM15" s="127">
        <f>SUM(AM12:AM14)</f>
        <v>0</v>
      </c>
      <c r="AN15" s="127">
        <f>SUM(AN12:AN14)</f>
        <v>0</v>
      </c>
      <c r="AO15" s="253"/>
      <c r="AP15" s="254"/>
      <c r="AQ15" s="175">
        <f>SUM(AQ12:AQ14)</f>
        <v>176450.4</v>
      </c>
      <c r="AR15" s="175">
        <f>SUM(AR12:AR14)</f>
        <v>988800</v>
      </c>
      <c r="AS15" s="175">
        <f>SUM(AS12:AS14)</f>
        <v>0</v>
      </c>
      <c r="AT15" s="175">
        <f>SUM(AT12:AT14)</f>
        <v>1165250.3999999999</v>
      </c>
      <c r="AU15" s="175">
        <f t="shared" ref="AU15:BB15" si="6">SUM(AU12:AU14)</f>
        <v>176450.4</v>
      </c>
      <c r="AV15" s="175">
        <f t="shared" si="6"/>
        <v>0</v>
      </c>
      <c r="AW15" s="175">
        <f>SUM(AW12:AW14)</f>
        <v>0</v>
      </c>
      <c r="AX15" s="175">
        <f t="shared" si="6"/>
        <v>0</v>
      </c>
      <c r="AY15" s="175">
        <f t="shared" si="6"/>
        <v>0</v>
      </c>
      <c r="AZ15" s="175">
        <f t="shared" si="6"/>
        <v>0</v>
      </c>
      <c r="BA15" s="175">
        <f t="shared" si="6"/>
        <v>0</v>
      </c>
      <c r="BB15" s="175">
        <f t="shared" si="6"/>
        <v>-988799.99999999988</v>
      </c>
      <c r="BC15" s="169"/>
      <c r="BD15" s="169"/>
      <c r="BE15" s="169"/>
      <c r="BF15" s="169"/>
    </row>
    <row r="16" spans="1:58" s="170" customFormat="1" ht="15.75" customHeight="1" x14ac:dyDescent="0.25">
      <c r="A16" s="120"/>
      <c r="B16" s="290"/>
      <c r="C16" s="391" t="s">
        <v>192</v>
      </c>
      <c r="D16" s="391"/>
      <c r="E16" s="392"/>
      <c r="F16" s="288"/>
      <c r="G16" s="288"/>
      <c r="H16" s="114" t="s">
        <v>209</v>
      </c>
      <c r="I16" s="246"/>
      <c r="J16" s="246"/>
      <c r="K16" s="246"/>
      <c r="L16" s="247">
        <f>SUM(L19)</f>
        <v>0</v>
      </c>
      <c r="M16" s="247">
        <f>SUM(M19)</f>
        <v>0</v>
      </c>
      <c r="N16" s="247"/>
      <c r="O16" s="247"/>
      <c r="P16" s="247"/>
      <c r="Q16" s="247"/>
      <c r="R16" s="247">
        <f>SUM(R19)</f>
        <v>0</v>
      </c>
      <c r="S16" s="247">
        <f>SUM(S19)</f>
        <v>0</v>
      </c>
      <c r="T16" s="247">
        <f>SUM(T19)</f>
        <v>0</v>
      </c>
      <c r="U16" s="247">
        <f>SUM(U19)</f>
        <v>0</v>
      </c>
      <c r="V16" s="247"/>
      <c r="W16" s="247"/>
      <c r="X16" s="247"/>
      <c r="Y16" s="247">
        <f>SUM(Y19)</f>
        <v>0</v>
      </c>
      <c r="Z16" s="247">
        <f t="shared" ref="Z16:AA16" si="7">SUM(Z19)</f>
        <v>0</v>
      </c>
      <c r="AA16" s="247">
        <f t="shared" si="7"/>
        <v>0</v>
      </c>
      <c r="AB16" s="247">
        <f t="shared" ref="AB16:AF16" si="8">SUM(AB19)</f>
        <v>0</v>
      </c>
      <c r="AC16" s="247">
        <f t="shared" si="8"/>
        <v>0</v>
      </c>
      <c r="AD16" s="247">
        <f t="shared" si="8"/>
        <v>0</v>
      </c>
      <c r="AE16" s="247">
        <f t="shared" si="8"/>
        <v>0</v>
      </c>
      <c r="AF16" s="247">
        <f t="shared" si="8"/>
        <v>0</v>
      </c>
      <c r="AG16" s="247"/>
      <c r="AH16" s="247"/>
      <c r="AI16" s="247"/>
      <c r="AJ16" s="247">
        <f>SUM(AJ19)</f>
        <v>0</v>
      </c>
      <c r="AK16" s="247">
        <f>SUM(AK19)</f>
        <v>0</v>
      </c>
      <c r="AL16" s="247">
        <f>SUM(AL19)</f>
        <v>0</v>
      </c>
      <c r="AM16" s="247">
        <f>SUM(AM19)</f>
        <v>0</v>
      </c>
      <c r="AN16" s="247">
        <f>SUM(AN19)</f>
        <v>0</v>
      </c>
      <c r="AO16" s="247"/>
      <c r="AP16" s="244"/>
      <c r="AQ16" s="248">
        <f>SUM(AQ19)</f>
        <v>0</v>
      </c>
      <c r="AR16" s="248">
        <f>SUM(AR19)</f>
        <v>0</v>
      </c>
      <c r="AS16" s="248">
        <f>SUM(AS19)</f>
        <v>0</v>
      </c>
      <c r="AT16" s="248">
        <f>SUM(AT19)</f>
        <v>0</v>
      </c>
      <c r="AU16" s="248">
        <f t="shared" ref="AU16:BB16" si="9">SUM(AU19)</f>
        <v>0</v>
      </c>
      <c r="AV16" s="248">
        <f t="shared" si="9"/>
        <v>0</v>
      </c>
      <c r="AW16" s="248">
        <f>SUM(AW19)</f>
        <v>0</v>
      </c>
      <c r="AX16" s="248">
        <f t="shared" si="9"/>
        <v>0</v>
      </c>
      <c r="AY16" s="248">
        <f t="shared" si="9"/>
        <v>0</v>
      </c>
      <c r="AZ16" s="248">
        <f t="shared" si="9"/>
        <v>0</v>
      </c>
      <c r="BA16" s="248">
        <f t="shared" si="9"/>
        <v>0</v>
      </c>
      <c r="BB16" s="248">
        <f t="shared" si="9"/>
        <v>0</v>
      </c>
    </row>
    <row r="17" spans="1:58" ht="126" outlineLevel="2" x14ac:dyDescent="0.25">
      <c r="A17" s="115"/>
      <c r="B17" s="200"/>
      <c r="C17" s="201"/>
      <c r="D17" s="220"/>
      <c r="E17" s="294"/>
      <c r="F17" s="295"/>
      <c r="G17" s="296"/>
      <c r="H17" s="199" t="s">
        <v>380</v>
      </c>
      <c r="I17" s="130"/>
      <c r="J17" s="126"/>
      <c r="K17" s="126"/>
      <c r="L17" s="125" t="str">
        <f>IF(I17&lt;&gt;0,((VLOOKUP(I17,'1. Standard_Cost'!$B$4:$D$11,2)+VLOOKUP(I17,'1. Standard_Cost'!$B$4:$D$11,3))*J17*K17),"0")</f>
        <v>0</v>
      </c>
      <c r="M17" s="125">
        <f>L17*'1. Standard_Cost'!$F$4</f>
        <v>0</v>
      </c>
      <c r="N17" s="126"/>
      <c r="O17" s="126"/>
      <c r="P17" s="126"/>
      <c r="Q17" s="126"/>
      <c r="R17" s="127">
        <f>'1. Standard_Cost'!$B$15*N17*P17</f>
        <v>0</v>
      </c>
      <c r="S17" s="127">
        <f>N17*O17*P17*'1. Standard_Cost'!$C$15</f>
        <v>0</v>
      </c>
      <c r="T17" s="127">
        <f>N17*P17*Q17*'1. Standard_Cost'!$D$15</f>
        <v>0</v>
      </c>
      <c r="U17" s="127">
        <f>N17*O17*'1. Standard_Cost'!$E$15</f>
        <v>0</v>
      </c>
      <c r="V17" s="126"/>
      <c r="W17" s="126"/>
      <c r="X17" s="126"/>
      <c r="Y17" s="127">
        <f>+V17*((X17*'1. Standard_Cost'!$B$19)+(W17*X17*'1. Standard_Cost'!$C$19))</f>
        <v>0</v>
      </c>
      <c r="Z17" s="126"/>
      <c r="AA17" s="126"/>
      <c r="AB17" s="127">
        <f>+Z17*'1. Standard_Cost'!$B$23+AA17*'1. Standard_Cost'!$C$23</f>
        <v>0</v>
      </c>
      <c r="AC17" s="128"/>
      <c r="AD17" s="129"/>
      <c r="AE17" s="127">
        <f>SUM(AD17,AC17,AB17,Y17,U17,T17,S17,R17)*'1. Standard_Cost'!$B$31</f>
        <v>0</v>
      </c>
      <c r="AF17" s="127">
        <f>SUM(AE17,AD17,AC17,AB17,Y17,U17,T17,S17,R17)</f>
        <v>0</v>
      </c>
      <c r="AG17" s="126"/>
      <c r="AH17" s="126"/>
      <c r="AI17" s="126"/>
      <c r="AJ17" s="130"/>
      <c r="AK17" s="130"/>
      <c r="AL17" s="130"/>
      <c r="AM17" s="127">
        <f>AG17*'1. Standard_Cost'!$B$27+'Incremental_Cost Year 9'!AH17*'1. Standard_Cost'!$C$27+'Incremental_Cost Year 9'!AI17*'1. Standard_Cost'!$D$27+'Incremental_Cost Year 9'!AJ17+'Incremental_Cost Year 9'!AL17+AK17</f>
        <v>0</v>
      </c>
      <c r="AN17" s="127">
        <f>AM17*'1. Standard_Cost'!$C$31</f>
        <v>0</v>
      </c>
      <c r="AO17" s="249"/>
      <c r="AQ17" s="171">
        <f>L17+M17</f>
        <v>0</v>
      </c>
      <c r="AR17" s="171">
        <f>AF17</f>
        <v>0</v>
      </c>
      <c r="AS17" s="171">
        <f>AM17+AN17</f>
        <v>0</v>
      </c>
      <c r="AT17" s="171">
        <f>SUM(AQ17,AR17,AS17)</f>
        <v>0</v>
      </c>
      <c r="AU17" s="250"/>
      <c r="AV17" s="250"/>
      <c r="AW17" s="250"/>
      <c r="AX17" s="250"/>
      <c r="AY17" s="250"/>
      <c r="AZ17" s="250"/>
      <c r="BA17" s="250"/>
      <c r="BB17" s="251">
        <f t="shared" ref="BB17:BB18" si="10">SUM(AU17:BA17)-AT17</f>
        <v>0</v>
      </c>
      <c r="BC17" s="169"/>
      <c r="BD17" s="169"/>
      <c r="BE17" s="169"/>
      <c r="BF17" s="169"/>
    </row>
    <row r="18" spans="1:58" ht="109.15" customHeight="1" outlineLevel="2" x14ac:dyDescent="0.25">
      <c r="A18" s="115"/>
      <c r="B18" s="200"/>
      <c r="C18" s="201"/>
      <c r="D18" s="221"/>
      <c r="E18" s="121"/>
      <c r="F18" s="122"/>
      <c r="G18" s="123"/>
      <c r="H18" s="199" t="s">
        <v>381</v>
      </c>
      <c r="I18" s="130"/>
      <c r="J18" s="126"/>
      <c r="K18" s="126"/>
      <c r="L18" s="125" t="str">
        <f>IF(I18&lt;&gt;0,((VLOOKUP(I18,'1. Standard_Cost'!$B$4:$D$11,2)+VLOOKUP(I18,'1. Standard_Cost'!$B$4:$D$11,3))*J18*K18),"0")</f>
        <v>0</v>
      </c>
      <c r="M18" s="125">
        <f>L18*'1. Standard_Cost'!$F$4</f>
        <v>0</v>
      </c>
      <c r="N18" s="126"/>
      <c r="O18" s="126"/>
      <c r="P18" s="126"/>
      <c r="Q18" s="126"/>
      <c r="R18" s="127">
        <f>'1. Standard_Cost'!$B$15*N18*P18</f>
        <v>0</v>
      </c>
      <c r="S18" s="127">
        <f>N18*O18*P18*'1. Standard_Cost'!$C$15</f>
        <v>0</v>
      </c>
      <c r="T18" s="127">
        <f>N18*P18*Q18*'1. Standard_Cost'!$D$15</f>
        <v>0</v>
      </c>
      <c r="U18" s="127">
        <f>N18*O18*'1. Standard_Cost'!$E$15</f>
        <v>0</v>
      </c>
      <c r="V18" s="126"/>
      <c r="W18" s="126"/>
      <c r="X18" s="126"/>
      <c r="Y18" s="127">
        <f>+V18*((X18*'1. Standard_Cost'!$B$19)+(W18*X18*'1. Standard_Cost'!$C$19))</f>
        <v>0</v>
      </c>
      <c r="Z18" s="126"/>
      <c r="AA18" s="126"/>
      <c r="AB18" s="127">
        <f>+Z18*'1. Standard_Cost'!$B$23+AA18*'1. Standard_Cost'!$C$23</f>
        <v>0</v>
      </c>
      <c r="AC18" s="128"/>
      <c r="AD18" s="129"/>
      <c r="AE18" s="127">
        <f>SUM(AD18,AC18,AB18,Y18,U18,T18,S18,R18)*'1. Standard_Cost'!$B$31</f>
        <v>0</v>
      </c>
      <c r="AF18" s="127">
        <f>SUM(AE18,AD18,AC18,AB18,Y18,U18,T18,S18,R18)</f>
        <v>0</v>
      </c>
      <c r="AG18" s="126"/>
      <c r="AH18" s="126"/>
      <c r="AI18" s="126"/>
      <c r="AJ18" s="130"/>
      <c r="AK18" s="130"/>
      <c r="AL18" s="130"/>
      <c r="AM18" s="127">
        <f>AG18*'1. Standard_Cost'!$B$27+'Incremental_Cost Year 9'!AH18*'1. Standard_Cost'!$C$27+'Incremental_Cost Year 9'!AI18*'1. Standard_Cost'!$D$27+'Incremental_Cost Year 9'!AJ18+'Incremental_Cost Year 9'!AL18+AK18</f>
        <v>0</v>
      </c>
      <c r="AN18" s="127">
        <f>AM18*'1. Standard_Cost'!$C$31</f>
        <v>0</v>
      </c>
      <c r="AO18" s="130"/>
      <c r="AQ18" s="171">
        <f>L18+M18</f>
        <v>0</v>
      </c>
      <c r="AR18" s="171">
        <f>AF18</f>
        <v>0</v>
      </c>
      <c r="AS18" s="171">
        <f>AM18+AN18</f>
        <v>0</v>
      </c>
      <c r="AT18" s="171">
        <f>SUM(AQ18,AR18,AS18)</f>
        <v>0</v>
      </c>
      <c r="AU18" s="250">
        <f>AQ18</f>
        <v>0</v>
      </c>
      <c r="AV18" s="250"/>
      <c r="AW18" s="250"/>
      <c r="AX18" s="250"/>
      <c r="AY18" s="250"/>
      <c r="AZ18" s="250"/>
      <c r="BA18" s="250"/>
      <c r="BB18" s="251">
        <f t="shared" si="10"/>
        <v>0</v>
      </c>
      <c r="BC18" s="169"/>
      <c r="BD18" s="169"/>
      <c r="BE18" s="169"/>
      <c r="BF18" s="169"/>
    </row>
    <row r="19" spans="1:58" ht="63" outlineLevel="1" x14ac:dyDescent="0.25">
      <c r="A19" s="115"/>
      <c r="B19" s="200"/>
      <c r="C19" s="201"/>
      <c r="D19" s="107" t="s">
        <v>240</v>
      </c>
      <c r="E19" s="139" t="s">
        <v>193</v>
      </c>
      <c r="F19" s="136">
        <v>2024</v>
      </c>
      <c r="G19" s="117">
        <v>2027</v>
      </c>
      <c r="H19" s="134" t="s">
        <v>194</v>
      </c>
      <c r="I19" s="252"/>
      <c r="J19" s="252"/>
      <c r="K19" s="252"/>
      <c r="L19" s="127">
        <f>SUM(L17:L18)</f>
        <v>0</v>
      </c>
      <c r="M19" s="127">
        <f>SUM(M17:M18)</f>
        <v>0</v>
      </c>
      <c r="N19" s="127"/>
      <c r="O19" s="252"/>
      <c r="P19" s="252"/>
      <c r="Q19" s="252"/>
      <c r="R19" s="127">
        <f>SUM(R17:R18)</f>
        <v>0</v>
      </c>
      <c r="S19" s="127">
        <f>SUM(S17:S18)</f>
        <v>0</v>
      </c>
      <c r="T19" s="127">
        <f>SUM(T17:T18)</f>
        <v>0</v>
      </c>
      <c r="U19" s="127">
        <f>SUM(U17:U18)</f>
        <v>0</v>
      </c>
      <c r="V19" s="252"/>
      <c r="W19" s="252"/>
      <c r="X19" s="252"/>
      <c r="Y19" s="127">
        <f>SUM(Y17:Y18)</f>
        <v>0</v>
      </c>
      <c r="Z19" s="252"/>
      <c r="AA19" s="252"/>
      <c r="AB19" s="127">
        <f>SUM(AB17:AB18)</f>
        <v>0</v>
      </c>
      <c r="AC19" s="127">
        <f>SUM(AC17:AC18)</f>
        <v>0</v>
      </c>
      <c r="AD19" s="127">
        <f>SUM(AD17:AD18)</f>
        <v>0</v>
      </c>
      <c r="AE19" s="127">
        <f>SUM(AE17:AE18)</f>
        <v>0</v>
      </c>
      <c r="AF19" s="127">
        <f>SUM(AF17:AF18)</f>
        <v>0</v>
      </c>
      <c r="AG19" s="252"/>
      <c r="AH19" s="252"/>
      <c r="AI19" s="252"/>
      <c r="AJ19" s="127">
        <f>SUM(AJ17:AJ18)</f>
        <v>0</v>
      </c>
      <c r="AK19" s="127">
        <f>SUM(AK17:AK18)</f>
        <v>0</v>
      </c>
      <c r="AL19" s="127">
        <f>SUM(AL17:AL18)</f>
        <v>0</v>
      </c>
      <c r="AM19" s="127">
        <f>SUM(AM17:AM18)</f>
        <v>0</v>
      </c>
      <c r="AN19" s="127">
        <f>SUM(AN17:AN18)</f>
        <v>0</v>
      </c>
      <c r="AO19" s="253"/>
      <c r="AP19" s="254"/>
      <c r="AQ19" s="175">
        <f>SUM(AQ17:AQ18)</f>
        <v>0</v>
      </c>
      <c r="AR19" s="175">
        <f>SUM(AR17:AR18)</f>
        <v>0</v>
      </c>
      <c r="AS19" s="175">
        <f>SUM(AS17:AS18)</f>
        <v>0</v>
      </c>
      <c r="AT19" s="175">
        <f>SUM(AT17:AT18)</f>
        <v>0</v>
      </c>
      <c r="AU19" s="175">
        <f t="shared" ref="AU19:BB19" si="11">SUM(AU17:AU18)</f>
        <v>0</v>
      </c>
      <c r="AV19" s="175">
        <f t="shared" si="11"/>
        <v>0</v>
      </c>
      <c r="AW19" s="175">
        <f>SUM(AW17:AW18)</f>
        <v>0</v>
      </c>
      <c r="AX19" s="175">
        <f t="shared" si="11"/>
        <v>0</v>
      </c>
      <c r="AY19" s="175">
        <f t="shared" si="11"/>
        <v>0</v>
      </c>
      <c r="AZ19" s="175">
        <f t="shared" si="11"/>
        <v>0</v>
      </c>
      <c r="BA19" s="175">
        <f t="shared" si="11"/>
        <v>0</v>
      </c>
      <c r="BB19" s="175">
        <f t="shared" si="11"/>
        <v>0</v>
      </c>
      <c r="BC19" s="169"/>
      <c r="BD19" s="169"/>
      <c r="BE19" s="169"/>
      <c r="BF19" s="169"/>
    </row>
    <row r="20" spans="1:58" s="170" customFormat="1" ht="15.75" customHeight="1" x14ac:dyDescent="0.25">
      <c r="A20" s="120"/>
      <c r="B20" s="290"/>
      <c r="C20" s="391" t="s">
        <v>195</v>
      </c>
      <c r="D20" s="391"/>
      <c r="E20" s="392"/>
      <c r="F20" s="288"/>
      <c r="G20" s="288"/>
      <c r="H20" s="114" t="s">
        <v>208</v>
      </c>
      <c r="I20" s="246"/>
      <c r="J20" s="246"/>
      <c r="K20" s="246"/>
      <c r="L20" s="247">
        <f>SUM(L25+L29+L37+L39)</f>
        <v>279312600</v>
      </c>
      <c r="M20" s="247">
        <f>SUM(M25+M29+M37+M39)</f>
        <v>46645204.200000003</v>
      </c>
      <c r="N20" s="247"/>
      <c r="O20" s="247"/>
      <c r="P20" s="247"/>
      <c r="Q20" s="247"/>
      <c r="R20" s="247">
        <f>SUM(R25+R29+R37+R39)</f>
        <v>0</v>
      </c>
      <c r="S20" s="247">
        <f>SUM(S25+S29+S37+S39)</f>
        <v>0</v>
      </c>
      <c r="T20" s="247">
        <f>SUM(T25+T29+T37+T39)</f>
        <v>0</v>
      </c>
      <c r="U20" s="247">
        <f>SUM(U25+U29+U37+U39)</f>
        <v>0</v>
      </c>
      <c r="V20" s="247"/>
      <c r="W20" s="247"/>
      <c r="X20" s="247"/>
      <c r="Y20" s="247">
        <f>SUM(Y25+Y29+Y37+Y39)</f>
        <v>0</v>
      </c>
      <c r="Z20" s="247">
        <f t="shared" ref="Z20:AA20" si="12">SUM(Z25+Z29+Z37+Z39)</f>
        <v>0</v>
      </c>
      <c r="AA20" s="247">
        <f t="shared" si="12"/>
        <v>0</v>
      </c>
      <c r="AB20" s="247">
        <f t="shared" ref="AB20:AF20" si="13">SUM(AB25+AB29+AB37+AB39)</f>
        <v>0</v>
      </c>
      <c r="AC20" s="247">
        <f t="shared" si="13"/>
        <v>1109651327</v>
      </c>
      <c r="AD20" s="247">
        <f t="shared" si="13"/>
        <v>0</v>
      </c>
      <c r="AE20" s="247">
        <f t="shared" si="13"/>
        <v>570000</v>
      </c>
      <c r="AF20" s="247">
        <f t="shared" si="13"/>
        <v>1110221327</v>
      </c>
      <c r="AG20" s="247"/>
      <c r="AH20" s="247"/>
      <c r="AI20" s="247"/>
      <c r="AJ20" s="247">
        <f>SUM(AJ25+AJ29+AJ37+AJ39)</f>
        <v>0</v>
      </c>
      <c r="AK20" s="247">
        <f>SUM(AK25+AK29+AK37+AK39)</f>
        <v>0</v>
      </c>
      <c r="AL20" s="247">
        <f>SUM(AL25+AL29+AL37+AL39)</f>
        <v>0</v>
      </c>
      <c r="AM20" s="247">
        <f>SUM(AM25+AM29+AM37+AM39)</f>
        <v>0</v>
      </c>
      <c r="AN20" s="247">
        <f>SUM(AN25+AN29+AN37+AN39)</f>
        <v>0</v>
      </c>
      <c r="AO20" s="247"/>
      <c r="AP20" s="244"/>
      <c r="AQ20" s="248">
        <f>SUM(AQ25+AQ29+AQ37+AQ39)</f>
        <v>325957804.19999999</v>
      </c>
      <c r="AR20" s="248">
        <f>SUM(AR25+AR29+AR37+AR39)</f>
        <v>1110221327</v>
      </c>
      <c r="AS20" s="248">
        <f>SUM(AS25+AS29+AS37+AS39)</f>
        <v>0</v>
      </c>
      <c r="AT20" s="248">
        <f>SUM(AT25+AT29+AT37+AT39)</f>
        <v>1436179131.1999998</v>
      </c>
      <c r="AU20" s="248">
        <f t="shared" ref="AU20:BB20" si="14">SUM(AU25+AU29+AU37+AU39)</f>
        <v>1436179131.1999998</v>
      </c>
      <c r="AV20" s="248">
        <f t="shared" si="14"/>
        <v>0</v>
      </c>
      <c r="AW20" s="248">
        <f>SUM(AW25+AW29+AW37+AW39)</f>
        <v>0</v>
      </c>
      <c r="AX20" s="248">
        <f t="shared" si="14"/>
        <v>0</v>
      </c>
      <c r="AY20" s="248">
        <f t="shared" si="14"/>
        <v>0</v>
      </c>
      <c r="AZ20" s="248">
        <f t="shared" si="14"/>
        <v>0</v>
      </c>
      <c r="BA20" s="248">
        <f t="shared" si="14"/>
        <v>0</v>
      </c>
      <c r="BB20" s="248">
        <f t="shared" si="14"/>
        <v>0</v>
      </c>
    </row>
    <row r="21" spans="1:58" ht="204.75" outlineLevel="2" x14ac:dyDescent="0.25">
      <c r="A21" s="115"/>
      <c r="B21" s="200"/>
      <c r="C21" s="201"/>
      <c r="D21" s="135"/>
      <c r="E21" s="219"/>
      <c r="F21" s="219"/>
      <c r="G21" s="313"/>
      <c r="H21" s="199" t="s">
        <v>382</v>
      </c>
      <c r="I21" s="130"/>
      <c r="J21" s="126"/>
      <c r="K21" s="126"/>
      <c r="L21" s="125" t="str">
        <f>IF(I21&lt;&gt;0,((VLOOKUP(I21,'1. Standard_Cost'!$B$4:$D$11,2)+VLOOKUP(I21,'1. Standard_Cost'!$B$4:$D$11,3))*J21*K21),"0")</f>
        <v>0</v>
      </c>
      <c r="M21" s="125">
        <f>L21*'1. Standard_Cost'!$F$4</f>
        <v>0</v>
      </c>
      <c r="N21" s="126"/>
      <c r="O21" s="126"/>
      <c r="P21" s="126"/>
      <c r="Q21" s="126"/>
      <c r="R21" s="127">
        <f>'1. Standard_Cost'!$B$15*N21*P21</f>
        <v>0</v>
      </c>
      <c r="S21" s="127">
        <f>N21*O21*P21*'1. Standard_Cost'!$C$15</f>
        <v>0</v>
      </c>
      <c r="T21" s="127">
        <f>N21*P21*Q21*'1. Standard_Cost'!$D$15</f>
        <v>0</v>
      </c>
      <c r="U21" s="127">
        <f>N21*O21*'1. Standard_Cost'!$E$15</f>
        <v>0</v>
      </c>
      <c r="V21" s="126"/>
      <c r="W21" s="126"/>
      <c r="X21" s="126"/>
      <c r="Y21" s="127">
        <f>+V21*((X21*'1. Standard_Cost'!$B$19)+(W21*X21*'1. Standard_Cost'!$C$19))</f>
        <v>0</v>
      </c>
      <c r="Z21" s="126"/>
      <c r="AA21" s="126"/>
      <c r="AB21" s="127">
        <f>+Z21*'1. Standard_Cost'!$B$23+AA21*'1. Standard_Cost'!$C$23</f>
        <v>0</v>
      </c>
      <c r="AC21" s="128">
        <v>314848709</v>
      </c>
      <c r="AD21" s="129"/>
      <c r="AE21" s="127">
        <v>0</v>
      </c>
      <c r="AF21" s="127">
        <f>SUM(AE21,AD21,AC21,AB21,Y21,U21,T21,S21,R21)</f>
        <v>314848709</v>
      </c>
      <c r="AG21" s="126"/>
      <c r="AH21" s="126"/>
      <c r="AI21" s="126"/>
      <c r="AJ21" s="130"/>
      <c r="AK21" s="130"/>
      <c r="AL21" s="130"/>
      <c r="AM21" s="127">
        <f>AG21*'1. Standard_Cost'!$B$27+'Incremental_Cost Year 9'!AH21*'1. Standard_Cost'!$C$27+'Incremental_Cost Year 9'!AI21*'1. Standard_Cost'!$D$27+'Incremental_Cost Year 9'!AJ21+'Incremental_Cost Year 9'!AL21+AK21</f>
        <v>0</v>
      </c>
      <c r="AN21" s="127">
        <f>AM21*'1. Standard_Cost'!$C$31</f>
        <v>0</v>
      </c>
      <c r="AO21" s="249"/>
      <c r="AQ21" s="171">
        <f>L21+M21</f>
        <v>0</v>
      </c>
      <c r="AR21" s="171">
        <f>AF21</f>
        <v>314848709</v>
      </c>
      <c r="AS21" s="171">
        <f>AM21+AN21</f>
        <v>0</v>
      </c>
      <c r="AT21" s="171">
        <f>SUM(AQ21,AR21,AS21)</f>
        <v>314848709</v>
      </c>
      <c r="AU21" s="250">
        <v>314848709</v>
      </c>
      <c r="AV21" s="250"/>
      <c r="AW21" s="250"/>
      <c r="AX21" s="250"/>
      <c r="AY21" s="250"/>
      <c r="AZ21" s="250"/>
      <c r="BA21" s="250"/>
      <c r="BB21" s="251">
        <f t="shared" ref="BB21:BB24" si="15">SUM(AU21:BA21)-AT21</f>
        <v>0</v>
      </c>
      <c r="BC21" s="169"/>
      <c r="BD21" s="169"/>
      <c r="BE21" s="169"/>
      <c r="BF21" s="169"/>
    </row>
    <row r="22" spans="1:58" ht="47.25" outlineLevel="2" x14ac:dyDescent="0.25">
      <c r="A22" s="115"/>
      <c r="B22" s="200"/>
      <c r="C22" s="201"/>
      <c r="D22" s="135"/>
      <c r="E22" s="219"/>
      <c r="F22" s="219"/>
      <c r="G22" s="313"/>
      <c r="H22" s="199" t="s">
        <v>225</v>
      </c>
      <c r="I22" s="130" t="s">
        <v>3</v>
      </c>
      <c r="J22" s="126">
        <v>12</v>
      </c>
      <c r="K22" s="126">
        <v>10</v>
      </c>
      <c r="L22" s="125">
        <f>IF(I22&lt;&gt;0,((VLOOKUP(I22,'1. Standard_Cost'!$B$4:$D$11,2)+VLOOKUP(I22,'1. Standard_Cost'!$B$4:$D$11,3))*J22*K22),"0")</f>
        <v>12096000</v>
      </c>
      <c r="M22" s="125">
        <f>L22*'1. Standard_Cost'!$F$4</f>
        <v>2020032</v>
      </c>
      <c r="N22" s="126"/>
      <c r="O22" s="126"/>
      <c r="P22" s="126"/>
      <c r="Q22" s="126"/>
      <c r="R22" s="127">
        <f>'1. Standard_Cost'!$B$15*N22*P22</f>
        <v>0</v>
      </c>
      <c r="S22" s="127">
        <f>N22*O22*P22*'1. Standard_Cost'!$C$15</f>
        <v>0</v>
      </c>
      <c r="T22" s="127">
        <f>N22*P22*Q22*'1. Standard_Cost'!$D$15</f>
        <v>0</v>
      </c>
      <c r="U22" s="127">
        <f>N22*O22*'1. Standard_Cost'!$E$15</f>
        <v>0</v>
      </c>
      <c r="V22" s="126"/>
      <c r="W22" s="126"/>
      <c r="X22" s="126"/>
      <c r="Y22" s="127">
        <f>+V22*((X22*'1. Standard_Cost'!$B$19)+(W22*X22*'1. Standard_Cost'!$C$19))</f>
        <v>0</v>
      </c>
      <c r="Z22" s="126"/>
      <c r="AA22" s="126"/>
      <c r="AB22" s="127">
        <f>+Z22*'1. Standard_Cost'!$B$23+AA22*'1. Standard_Cost'!$C$23</f>
        <v>0</v>
      </c>
      <c r="AC22" s="128">
        <v>50000</v>
      </c>
      <c r="AD22" s="129"/>
      <c r="AE22" s="127">
        <f>SUM(AD22,AC22,AB22,Y22,U22,T22,S22,R22)*'1. Standard_Cost'!$B$31</f>
        <v>10000</v>
      </c>
      <c r="AF22" s="127">
        <f>SUM(AE22,AD22,AC22,AB22,Y22,U22,T22,S22,R22)</f>
        <v>60000</v>
      </c>
      <c r="AG22" s="126"/>
      <c r="AH22" s="126"/>
      <c r="AI22" s="126"/>
      <c r="AJ22" s="130"/>
      <c r="AK22" s="130"/>
      <c r="AL22" s="130"/>
      <c r="AM22" s="127">
        <f>AG22*'1. Standard_Cost'!$B$27+'Incremental_Cost Year 9'!AH22*'1. Standard_Cost'!$C$27+'Incremental_Cost Year 9'!AI22*'1. Standard_Cost'!$D$27+'Incremental_Cost Year 9'!AJ22+'Incremental_Cost Year 9'!AL22+AK22</f>
        <v>0</v>
      </c>
      <c r="AN22" s="127">
        <f>AM22*'1. Standard_Cost'!$C$31</f>
        <v>0</v>
      </c>
      <c r="AO22" s="249"/>
      <c r="AQ22" s="171">
        <f>L22+M22</f>
        <v>14116032</v>
      </c>
      <c r="AR22" s="171">
        <f>AF22</f>
        <v>60000</v>
      </c>
      <c r="AS22" s="171">
        <f>AM22+AN22</f>
        <v>0</v>
      </c>
      <c r="AT22" s="171">
        <f>SUM(AQ22,AR22,AS22)</f>
        <v>14176032</v>
      </c>
      <c r="AU22" s="250">
        <f>AT22</f>
        <v>14176032</v>
      </c>
      <c r="AV22" s="250"/>
      <c r="AW22" s="250"/>
      <c r="AX22" s="250"/>
      <c r="AY22" s="250"/>
      <c r="AZ22" s="250"/>
      <c r="BA22" s="250"/>
      <c r="BB22" s="251">
        <f t="shared" si="15"/>
        <v>0</v>
      </c>
      <c r="BC22" s="169"/>
      <c r="BD22" s="169"/>
      <c r="BE22" s="169"/>
      <c r="BF22" s="169"/>
    </row>
    <row r="23" spans="1:58" ht="47.25" outlineLevel="2" x14ac:dyDescent="0.25">
      <c r="A23" s="115"/>
      <c r="B23" s="200"/>
      <c r="C23" s="201"/>
      <c r="D23" s="135"/>
      <c r="E23" s="219"/>
      <c r="F23" s="219"/>
      <c r="G23" s="313"/>
      <c r="H23" s="199" t="s">
        <v>383</v>
      </c>
      <c r="I23" s="130" t="s">
        <v>5</v>
      </c>
      <c r="J23" s="126">
        <v>12</v>
      </c>
      <c r="K23" s="126">
        <v>36</v>
      </c>
      <c r="L23" s="125">
        <f>IF(I23&lt;&gt;0,((VLOOKUP(I23,'1. Standard_Cost'!$B$4:$D$11,2)+VLOOKUP(I23,'1. Standard_Cost'!$B$4:$D$11,3))*J23*K23),"0")</f>
        <v>30542400</v>
      </c>
      <c r="M23" s="125">
        <f>L23*'1. Standard_Cost'!$F$4</f>
        <v>5100580.8000000007</v>
      </c>
      <c r="N23" s="126"/>
      <c r="O23" s="126"/>
      <c r="P23" s="126"/>
      <c r="Q23" s="126"/>
      <c r="R23" s="127">
        <f>'1. Standard_Cost'!$B$15*N23*P23</f>
        <v>0</v>
      </c>
      <c r="S23" s="127">
        <f>N23*O23*P23*'1. Standard_Cost'!$C$15</f>
        <v>0</v>
      </c>
      <c r="T23" s="127">
        <f>N23*P23*Q23*'1. Standard_Cost'!$D$15</f>
        <v>0</v>
      </c>
      <c r="U23" s="127">
        <f>N23*O23*'1. Standard_Cost'!$E$15</f>
        <v>0</v>
      </c>
      <c r="V23" s="126"/>
      <c r="W23" s="126"/>
      <c r="X23" s="126"/>
      <c r="Y23" s="127">
        <f>+V23*((X23*'1. Standard_Cost'!$B$19)+(W23*X23*'1. Standard_Cost'!$C$19))</f>
        <v>0</v>
      </c>
      <c r="Z23" s="126"/>
      <c r="AA23" s="126"/>
      <c r="AB23" s="127">
        <f>+Z23*'1. Standard_Cost'!$B$23+AA23*'1. Standard_Cost'!$C$23</f>
        <v>0</v>
      </c>
      <c r="AC23" s="128">
        <f>50000*36</f>
        <v>1800000</v>
      </c>
      <c r="AD23" s="129"/>
      <c r="AE23" s="127">
        <f>SUM(AD23,AC23,AB23,Y23,U23,T23,S23,R23)*'1. Standard_Cost'!$B$31</f>
        <v>360000</v>
      </c>
      <c r="AF23" s="127">
        <f>SUM(AE23,AD23,AC23,AB23,Y23,U23,T23,S23,R23)</f>
        <v>2160000</v>
      </c>
      <c r="AG23" s="126"/>
      <c r="AH23" s="126"/>
      <c r="AI23" s="126"/>
      <c r="AJ23" s="130"/>
      <c r="AK23" s="130"/>
      <c r="AL23" s="130"/>
      <c r="AM23" s="127">
        <f>AG23*'1. Standard_Cost'!$B$27+'Incremental_Cost Year 9'!AH23*'1. Standard_Cost'!$C$27+'Incremental_Cost Year 9'!AI23*'1. Standard_Cost'!$D$27+'Incremental_Cost Year 9'!AJ23+'Incremental_Cost Year 9'!AL23+AK23</f>
        <v>0</v>
      </c>
      <c r="AN23" s="127">
        <f>AM23*'1. Standard_Cost'!$C$31</f>
        <v>0</v>
      </c>
      <c r="AO23" s="249"/>
      <c r="AQ23" s="171">
        <f>L23+M23</f>
        <v>35642980.799999997</v>
      </c>
      <c r="AR23" s="171">
        <f>AF23</f>
        <v>2160000</v>
      </c>
      <c r="AS23" s="171">
        <f>AM23+AN23</f>
        <v>0</v>
      </c>
      <c r="AT23" s="171">
        <f>SUM(AQ23,AR23,AS23)</f>
        <v>37802980.799999997</v>
      </c>
      <c r="AU23" s="250">
        <f>AT23</f>
        <v>37802980.799999997</v>
      </c>
      <c r="AV23" s="250"/>
      <c r="AW23" s="250"/>
      <c r="AX23" s="250"/>
      <c r="AY23" s="250"/>
      <c r="AZ23" s="250"/>
      <c r="BA23" s="250"/>
      <c r="BB23" s="251">
        <f t="shared" si="15"/>
        <v>0</v>
      </c>
      <c r="BC23" s="169"/>
      <c r="BD23" s="169"/>
      <c r="BE23" s="169"/>
      <c r="BF23" s="169"/>
    </row>
    <row r="24" spans="1:58" ht="15.75" outlineLevel="2" x14ac:dyDescent="0.25">
      <c r="A24" s="115"/>
      <c r="B24" s="200"/>
      <c r="C24" s="201"/>
      <c r="D24" s="211"/>
      <c r="E24" s="124"/>
      <c r="F24" s="140"/>
      <c r="G24" s="351"/>
      <c r="H24" s="199"/>
      <c r="I24" s="130"/>
      <c r="J24" s="126"/>
      <c r="K24" s="126"/>
      <c r="L24" s="125" t="str">
        <f>IF(I24&lt;&gt;0,((VLOOKUP(I24,'1. Standard_Cost'!$B$4:$D$11,2)+VLOOKUP(I24,'1. Standard_Cost'!$B$4:$D$11,3))*J24*K24),"0")</f>
        <v>0</v>
      </c>
      <c r="M24" s="125">
        <f>L24*'1. Standard_Cost'!$F$4</f>
        <v>0</v>
      </c>
      <c r="N24" s="126"/>
      <c r="O24" s="126"/>
      <c r="P24" s="126"/>
      <c r="Q24" s="126"/>
      <c r="R24" s="127">
        <f>'1. Standard_Cost'!$B$15*N24*P24</f>
        <v>0</v>
      </c>
      <c r="S24" s="127">
        <f>N24*O24*P24*'1. Standard_Cost'!$C$15</f>
        <v>0</v>
      </c>
      <c r="T24" s="127">
        <f>N24*P24*Q24*'1. Standard_Cost'!$D$15</f>
        <v>0</v>
      </c>
      <c r="U24" s="127">
        <f>N24*O24*'1. Standard_Cost'!$E$15</f>
        <v>0</v>
      </c>
      <c r="V24" s="126"/>
      <c r="W24" s="126"/>
      <c r="X24" s="126"/>
      <c r="Y24" s="127">
        <f>+V24*((X24*'1. Standard_Cost'!$B$19)+(W24*X24*'1. Standard_Cost'!$C$19))</f>
        <v>0</v>
      </c>
      <c r="Z24" s="126"/>
      <c r="AA24" s="126"/>
      <c r="AB24" s="127">
        <f>+Z24*'1. Standard_Cost'!$B$23+AA24*'1. Standard_Cost'!$C$23</f>
        <v>0</v>
      </c>
      <c r="AC24" s="128"/>
      <c r="AD24" s="129"/>
      <c r="AE24" s="127">
        <f>SUM(AD24,AC24,AB24,Y24,U24,T24,S24,R24)*'1. Standard_Cost'!$B$31</f>
        <v>0</v>
      </c>
      <c r="AF24" s="127">
        <f>SUM(AE24,AD24,AC24,AB24,Y24,U24,T24,S24,R24)</f>
        <v>0</v>
      </c>
      <c r="AG24" s="126"/>
      <c r="AH24" s="126"/>
      <c r="AI24" s="126"/>
      <c r="AJ24" s="130"/>
      <c r="AK24" s="130"/>
      <c r="AL24" s="130"/>
      <c r="AM24" s="127">
        <f>AG24*'1. Standard_Cost'!$B$27+'Incremental_Cost Year 9'!AH24*'1. Standard_Cost'!$C$27+'Incremental_Cost Year 9'!AI24*'1. Standard_Cost'!$D$27+'Incremental_Cost Year 9'!AJ24+'Incremental_Cost Year 9'!AL24+AK24</f>
        <v>0</v>
      </c>
      <c r="AN24" s="127">
        <f>AM24*'1. Standard_Cost'!$C$31</f>
        <v>0</v>
      </c>
      <c r="AO24" s="130"/>
      <c r="AQ24" s="171">
        <f>L24+M24</f>
        <v>0</v>
      </c>
      <c r="AR24" s="171">
        <f>AF24</f>
        <v>0</v>
      </c>
      <c r="AS24" s="171">
        <f>AM24+AN24</f>
        <v>0</v>
      </c>
      <c r="AT24" s="171">
        <f>SUM(AQ24,AR24,AS24)</f>
        <v>0</v>
      </c>
      <c r="AU24" s="250">
        <f>AT24</f>
        <v>0</v>
      </c>
      <c r="AV24" s="250"/>
      <c r="AW24" s="250"/>
      <c r="AX24" s="250"/>
      <c r="AY24" s="250"/>
      <c r="AZ24" s="250"/>
      <c r="BA24" s="250"/>
      <c r="BB24" s="251">
        <f t="shared" si="15"/>
        <v>0</v>
      </c>
      <c r="BC24" s="169"/>
      <c r="BD24" s="169"/>
      <c r="BE24" s="169"/>
      <c r="BF24" s="169"/>
    </row>
    <row r="25" spans="1:58" ht="63" outlineLevel="1" x14ac:dyDescent="0.25">
      <c r="A25" s="115"/>
      <c r="B25" s="165"/>
      <c r="C25" s="166"/>
      <c r="D25" s="150" t="s">
        <v>384</v>
      </c>
      <c r="E25" s="139" t="s">
        <v>196</v>
      </c>
      <c r="F25" s="222">
        <v>2021</v>
      </c>
      <c r="G25" s="117">
        <v>2030</v>
      </c>
      <c r="H25" s="134" t="s">
        <v>197</v>
      </c>
      <c r="I25" s="252"/>
      <c r="J25" s="252"/>
      <c r="K25" s="252"/>
      <c r="L25" s="127">
        <f>SUM(L21:L24)</f>
        <v>42638400</v>
      </c>
      <c r="M25" s="127">
        <f>SUM(M21:M24)</f>
        <v>7120612.8000000007</v>
      </c>
      <c r="N25" s="127"/>
      <c r="O25" s="252"/>
      <c r="P25" s="252"/>
      <c r="Q25" s="252"/>
      <c r="R25" s="127">
        <f>SUM(R21:R24)</f>
        <v>0</v>
      </c>
      <c r="S25" s="127">
        <f>SUM(S21:S24)</f>
        <v>0</v>
      </c>
      <c r="T25" s="127">
        <f>SUM(T21:T24)</f>
        <v>0</v>
      </c>
      <c r="U25" s="127">
        <f>SUM(U21:U24)</f>
        <v>0</v>
      </c>
      <c r="V25" s="252"/>
      <c r="W25" s="252"/>
      <c r="X25" s="252"/>
      <c r="Y25" s="127">
        <f>SUM(Y21:Y24)</f>
        <v>0</v>
      </c>
      <c r="Z25" s="252"/>
      <c r="AA25" s="252"/>
      <c r="AB25" s="127">
        <f>SUM(AB21:AB24)</f>
        <v>0</v>
      </c>
      <c r="AC25" s="127">
        <f>SUM(AC21:AC24)</f>
        <v>316698709</v>
      </c>
      <c r="AD25" s="127">
        <f>SUM(AD21:AD24)</f>
        <v>0</v>
      </c>
      <c r="AE25" s="127">
        <f>SUM(AE21:AE24)</f>
        <v>370000</v>
      </c>
      <c r="AF25" s="127">
        <f>SUM(AF21:AF24)</f>
        <v>317068709</v>
      </c>
      <c r="AG25" s="252"/>
      <c r="AH25" s="252"/>
      <c r="AI25" s="252"/>
      <c r="AJ25" s="127">
        <f>SUM(AJ21:AJ24)</f>
        <v>0</v>
      </c>
      <c r="AK25" s="127">
        <f>SUM(AK21:AK24)</f>
        <v>0</v>
      </c>
      <c r="AL25" s="127">
        <f>SUM(AL21:AL24)</f>
        <v>0</v>
      </c>
      <c r="AM25" s="127">
        <f>SUM(AM21:AM24)</f>
        <v>0</v>
      </c>
      <c r="AN25" s="127">
        <f>SUM(AN21:AN24)</f>
        <v>0</v>
      </c>
      <c r="AO25" s="253"/>
      <c r="AP25" s="254"/>
      <c r="AQ25" s="175">
        <f>SUM(AQ21:AQ24)</f>
        <v>49759012.799999997</v>
      </c>
      <c r="AR25" s="175">
        <f>SUM(AR21:AR24)</f>
        <v>317068709</v>
      </c>
      <c r="AS25" s="175">
        <f>SUM(AS21:AS24)</f>
        <v>0</v>
      </c>
      <c r="AT25" s="175">
        <f>SUM(AT21:AT24)</f>
        <v>366827721.80000001</v>
      </c>
      <c r="AU25" s="175">
        <f t="shared" ref="AU25:BB25" si="16">SUM(AU21:AU24)</f>
        <v>366827721.80000001</v>
      </c>
      <c r="AV25" s="175">
        <f t="shared" si="16"/>
        <v>0</v>
      </c>
      <c r="AW25" s="175">
        <f>SUM(AW21:AW24)</f>
        <v>0</v>
      </c>
      <c r="AX25" s="175">
        <f t="shared" si="16"/>
        <v>0</v>
      </c>
      <c r="AY25" s="175">
        <f t="shared" si="16"/>
        <v>0</v>
      </c>
      <c r="AZ25" s="175">
        <f t="shared" si="16"/>
        <v>0</v>
      </c>
      <c r="BA25" s="175">
        <f t="shared" si="16"/>
        <v>0</v>
      </c>
      <c r="BB25" s="175">
        <f t="shared" si="16"/>
        <v>0</v>
      </c>
      <c r="BC25" s="169"/>
      <c r="BD25" s="169"/>
      <c r="BE25" s="169"/>
      <c r="BF25" s="169"/>
    </row>
    <row r="26" spans="1:58" ht="157.5" outlineLevel="2" x14ac:dyDescent="0.25">
      <c r="A26" s="115"/>
      <c r="B26" s="200"/>
      <c r="C26" s="201"/>
      <c r="D26" s="138"/>
      <c r="E26" s="219"/>
      <c r="F26" s="219"/>
      <c r="G26" s="313"/>
      <c r="H26" s="199" t="s">
        <v>385</v>
      </c>
      <c r="I26" s="130"/>
      <c r="J26" s="126"/>
      <c r="K26" s="126"/>
      <c r="L26" s="125" t="str">
        <f>IF(I26&lt;&gt;0,((VLOOKUP(I26,'1. Standard_Cost'!$B$4:$D$11,2)+VLOOKUP(I26,'1. Standard_Cost'!$B$4:$D$11,3))*J26*K26),"0")</f>
        <v>0</v>
      </c>
      <c r="M26" s="125">
        <f>L26*'1. Standard_Cost'!$F$4</f>
        <v>0</v>
      </c>
      <c r="N26" s="126"/>
      <c r="O26" s="126"/>
      <c r="P26" s="126"/>
      <c r="Q26" s="126"/>
      <c r="R26" s="127">
        <f>'1. Standard_Cost'!$B$15*N26*P26</f>
        <v>0</v>
      </c>
      <c r="S26" s="127">
        <f>N26*O26*P26*'1. Standard_Cost'!$C$15</f>
        <v>0</v>
      </c>
      <c r="T26" s="127">
        <f>N26*P26*Q26*'1. Standard_Cost'!$D$15</f>
        <v>0</v>
      </c>
      <c r="U26" s="127">
        <f>N26*O26*'1. Standard_Cost'!$E$15</f>
        <v>0</v>
      </c>
      <c r="V26" s="126"/>
      <c r="W26" s="126"/>
      <c r="X26" s="126"/>
      <c r="Y26" s="127">
        <f>+V26*((X26*'1. Standard_Cost'!$B$19)+(W26*X26*'1. Standard_Cost'!$C$19))</f>
        <v>0</v>
      </c>
      <c r="Z26" s="126"/>
      <c r="AA26" s="126"/>
      <c r="AB26" s="127">
        <f>+Z26*'1. Standard_Cost'!$B$23+AA26*'1. Standard_Cost'!$C$23</f>
        <v>0</v>
      </c>
      <c r="AC26" s="128">
        <v>265103590</v>
      </c>
      <c r="AD26" s="129"/>
      <c r="AE26" s="127">
        <v>0</v>
      </c>
      <c r="AF26" s="127">
        <f>SUM(AE26,AD26,AC26,AB26,Y26,U26,T26,S26,R26)</f>
        <v>265103590</v>
      </c>
      <c r="AG26" s="126"/>
      <c r="AH26" s="126"/>
      <c r="AI26" s="126"/>
      <c r="AJ26" s="130"/>
      <c r="AK26" s="130"/>
      <c r="AL26" s="130"/>
      <c r="AM26" s="127">
        <f>AG26*'1. Standard_Cost'!$B$27+'Incremental_Cost Year 9'!AH26*'1. Standard_Cost'!$C$27+'Incremental_Cost Year 9'!AI26*'1. Standard_Cost'!$D$27+'Incremental_Cost Year 9'!AJ26+'Incremental_Cost Year 9'!AL26+AK26</f>
        <v>0</v>
      </c>
      <c r="AN26" s="127">
        <f>AM26*'1. Standard_Cost'!$C$31</f>
        <v>0</v>
      </c>
      <c r="AO26" s="249"/>
      <c r="AQ26" s="171">
        <f>L26+M26</f>
        <v>0</v>
      </c>
      <c r="AR26" s="171">
        <f>AF26</f>
        <v>265103590</v>
      </c>
      <c r="AS26" s="171">
        <f>AM26+AN26</f>
        <v>0</v>
      </c>
      <c r="AT26" s="171">
        <f>SUM(AQ26,AR26,AS26)</f>
        <v>265103590</v>
      </c>
      <c r="AU26" s="250">
        <f>AT26</f>
        <v>265103590</v>
      </c>
      <c r="AV26" s="250"/>
      <c r="AW26" s="250"/>
      <c r="AX26" s="250"/>
      <c r="AY26" s="250"/>
      <c r="AZ26" s="250"/>
      <c r="BA26" s="250"/>
      <c r="BB26" s="251">
        <f t="shared" ref="BB26:BB28" si="17">SUM(AU26:BA26)-AT26</f>
        <v>0</v>
      </c>
      <c r="BC26" s="169"/>
      <c r="BD26" s="169"/>
      <c r="BE26" s="169"/>
      <c r="BF26" s="169"/>
    </row>
    <row r="27" spans="1:58" ht="141.75" outlineLevel="2" x14ac:dyDescent="0.25">
      <c r="A27" s="115"/>
      <c r="B27" s="200"/>
      <c r="C27" s="201"/>
      <c r="D27" s="135"/>
      <c r="E27" s="219"/>
      <c r="F27" s="219"/>
      <c r="G27" s="313"/>
      <c r="H27" s="199" t="s">
        <v>386</v>
      </c>
      <c r="I27" s="130"/>
      <c r="J27" s="126"/>
      <c r="K27" s="126"/>
      <c r="L27" s="125" t="str">
        <f>IF(I27&lt;&gt;0,((VLOOKUP(I27,'1. Standard_Cost'!$B$4:$D$11,2)+VLOOKUP(I27,'1. Standard_Cost'!$B$4:$D$11,3))*J27*K27),"0")</f>
        <v>0</v>
      </c>
      <c r="M27" s="125">
        <f>L27*'1. Standard_Cost'!$F$4</f>
        <v>0</v>
      </c>
      <c r="N27" s="126"/>
      <c r="O27" s="126"/>
      <c r="P27" s="126"/>
      <c r="Q27" s="126"/>
      <c r="R27" s="127">
        <f>'1. Standard_Cost'!$B$15*N27*P27</f>
        <v>0</v>
      </c>
      <c r="S27" s="127">
        <f>N27*O27*P27*'1. Standard_Cost'!$C$15</f>
        <v>0</v>
      </c>
      <c r="T27" s="127">
        <f>N27*P27*Q27*'1. Standard_Cost'!$D$15</f>
        <v>0</v>
      </c>
      <c r="U27" s="127">
        <f>N27*O27*'1. Standard_Cost'!$E$15</f>
        <v>0</v>
      </c>
      <c r="V27" s="126"/>
      <c r="W27" s="126"/>
      <c r="X27" s="126"/>
      <c r="Y27" s="127">
        <f>+V27*((X27*'1. Standard_Cost'!$B$19)+(W27*X27*'1. Standard_Cost'!$C$19))</f>
        <v>0</v>
      </c>
      <c r="Z27" s="126"/>
      <c r="AA27" s="126"/>
      <c r="AB27" s="127">
        <f>+Z27*'1. Standard_Cost'!$B$23+AA27*'1. Standard_Cost'!$C$23</f>
        <v>0</v>
      </c>
      <c r="AC27" s="128">
        <v>175871599</v>
      </c>
      <c r="AD27" s="129"/>
      <c r="AE27" s="127">
        <v>0</v>
      </c>
      <c r="AF27" s="127">
        <f>SUM(AE27,AD27,AC27,AB27,Y27,U27,T27,S27,R27)</f>
        <v>175871599</v>
      </c>
      <c r="AG27" s="126"/>
      <c r="AH27" s="126"/>
      <c r="AI27" s="126"/>
      <c r="AJ27" s="130"/>
      <c r="AK27" s="130"/>
      <c r="AL27" s="130"/>
      <c r="AM27" s="127">
        <f>AG27*'1. Standard_Cost'!$B$27+'Incremental_Cost Year 9'!AH27*'1. Standard_Cost'!$C$27+'Incremental_Cost Year 9'!AI27*'1. Standard_Cost'!$D$27+'Incremental_Cost Year 9'!AJ27+'Incremental_Cost Year 9'!AL27+AK27</f>
        <v>0</v>
      </c>
      <c r="AN27" s="127">
        <f>AM27*'1. Standard_Cost'!$C$31</f>
        <v>0</v>
      </c>
      <c r="AO27" s="130"/>
      <c r="AQ27" s="171">
        <f>L27+M27</f>
        <v>0</v>
      </c>
      <c r="AR27" s="171">
        <f>AF27</f>
        <v>175871599</v>
      </c>
      <c r="AS27" s="171">
        <f>AM27+AN27</f>
        <v>0</v>
      </c>
      <c r="AT27" s="171">
        <f>SUM(AQ27,AR27,AS27)</f>
        <v>175871599</v>
      </c>
      <c r="AU27" s="250">
        <f>AT27</f>
        <v>175871599</v>
      </c>
      <c r="AV27" s="250"/>
      <c r="AW27" s="250"/>
      <c r="AX27" s="250"/>
      <c r="AY27" s="250"/>
      <c r="AZ27" s="250"/>
      <c r="BA27" s="250"/>
      <c r="BB27" s="251">
        <f t="shared" si="17"/>
        <v>0</v>
      </c>
      <c r="BC27" s="169"/>
      <c r="BD27" s="169"/>
      <c r="BE27" s="169"/>
      <c r="BF27" s="169"/>
    </row>
    <row r="28" spans="1:58" ht="189" outlineLevel="2" x14ac:dyDescent="0.25">
      <c r="A28" s="115"/>
      <c r="B28" s="200"/>
      <c r="C28" s="201"/>
      <c r="D28" s="223"/>
      <c r="E28" s="219"/>
      <c r="F28" s="219"/>
      <c r="G28" s="313"/>
      <c r="H28" s="199" t="s">
        <v>387</v>
      </c>
      <c r="I28" s="130"/>
      <c r="J28" s="126"/>
      <c r="K28" s="126"/>
      <c r="L28" s="125" t="str">
        <f>IF(I28&lt;&gt;0,((VLOOKUP(I28,'1. Standard_Cost'!$B$4:$D$11,2)+VLOOKUP(I28,'1. Standard_Cost'!$B$4:$D$11,3))*J28*K28),"0")</f>
        <v>0</v>
      </c>
      <c r="M28" s="125">
        <f>L28*'1. Standard_Cost'!$F$4</f>
        <v>0</v>
      </c>
      <c r="N28" s="126"/>
      <c r="O28" s="126"/>
      <c r="P28" s="126"/>
      <c r="Q28" s="126"/>
      <c r="R28" s="127">
        <f>'1. Standard_Cost'!$B$15*N28*P28</f>
        <v>0</v>
      </c>
      <c r="S28" s="127">
        <f>N28*O28*P28*'1. Standard_Cost'!$C$15</f>
        <v>0</v>
      </c>
      <c r="T28" s="127">
        <f>N28*P28*Q28*'1. Standard_Cost'!$D$15</f>
        <v>0</v>
      </c>
      <c r="U28" s="127">
        <f>N28*O28*'1. Standard_Cost'!$E$15</f>
        <v>0</v>
      </c>
      <c r="V28" s="126"/>
      <c r="W28" s="126"/>
      <c r="X28" s="126"/>
      <c r="Y28" s="127">
        <f>+V28*((X28*'1. Standard_Cost'!$B$19)+(W28*X28*'1. Standard_Cost'!$C$19))</f>
        <v>0</v>
      </c>
      <c r="Z28" s="126"/>
      <c r="AA28" s="126"/>
      <c r="AB28" s="127">
        <f>+Z28*'1. Standard_Cost'!$B$23+AA28*'1. Standard_Cost'!$C$23</f>
        <v>0</v>
      </c>
      <c r="AC28" s="128">
        <v>350977429</v>
      </c>
      <c r="AD28" s="129"/>
      <c r="AE28" s="127">
        <v>0</v>
      </c>
      <c r="AF28" s="127">
        <f>SUM(AE28,AD28,AC28,AB28,Y28,U28,T28,S28,R28)</f>
        <v>350977429</v>
      </c>
      <c r="AG28" s="126"/>
      <c r="AH28" s="126"/>
      <c r="AI28" s="126"/>
      <c r="AJ28" s="130"/>
      <c r="AK28" s="130"/>
      <c r="AL28" s="130"/>
      <c r="AM28" s="127">
        <f>AG28*'1. Standard_Cost'!$B$27+'Incremental_Cost Year 9'!AH28*'1. Standard_Cost'!$C$27+'Incremental_Cost Year 9'!AI28*'1. Standard_Cost'!$D$27+'Incremental_Cost Year 9'!AJ28+'Incremental_Cost Year 9'!AL28+AK28</f>
        <v>0</v>
      </c>
      <c r="AN28" s="127">
        <f>AM28*'1. Standard_Cost'!$C$31</f>
        <v>0</v>
      </c>
      <c r="AO28" s="130"/>
      <c r="AQ28" s="171">
        <f>L28+M28</f>
        <v>0</v>
      </c>
      <c r="AR28" s="171">
        <f>AF28</f>
        <v>350977429</v>
      </c>
      <c r="AS28" s="171">
        <f>AM28+AN28</f>
        <v>0</v>
      </c>
      <c r="AT28" s="171">
        <f>SUM(AQ28,AR28,AS28)</f>
        <v>350977429</v>
      </c>
      <c r="AU28" s="250">
        <f>AT28</f>
        <v>350977429</v>
      </c>
      <c r="AV28" s="250"/>
      <c r="AW28" s="250"/>
      <c r="AX28" s="250"/>
      <c r="AY28" s="250"/>
      <c r="AZ28" s="250"/>
      <c r="BA28" s="250"/>
      <c r="BB28" s="251">
        <f t="shared" si="17"/>
        <v>0</v>
      </c>
      <c r="BC28" s="169"/>
      <c r="BD28" s="169"/>
      <c r="BE28" s="169"/>
      <c r="BF28" s="169"/>
    </row>
    <row r="29" spans="1:58" ht="63" outlineLevel="1" x14ac:dyDescent="0.25">
      <c r="A29" s="115"/>
      <c r="B29" s="165"/>
      <c r="C29" s="301"/>
      <c r="D29" s="150" t="s">
        <v>388</v>
      </c>
      <c r="E29" s="139" t="s">
        <v>198</v>
      </c>
      <c r="F29" s="300">
        <v>2021</v>
      </c>
      <c r="G29" s="209">
        <v>2030</v>
      </c>
      <c r="H29" s="134" t="s">
        <v>199</v>
      </c>
      <c r="I29" s="252"/>
      <c r="J29" s="252"/>
      <c r="K29" s="252"/>
      <c r="L29" s="127">
        <f>SUM(L26:L28)</f>
        <v>0</v>
      </c>
      <c r="M29" s="127">
        <f>SUM(M26:M28)</f>
        <v>0</v>
      </c>
      <c r="N29" s="127"/>
      <c r="O29" s="252"/>
      <c r="P29" s="252"/>
      <c r="Q29" s="252"/>
      <c r="R29" s="127">
        <f>SUM(R26:R28)</f>
        <v>0</v>
      </c>
      <c r="S29" s="127">
        <f>SUM(S26:S28)</f>
        <v>0</v>
      </c>
      <c r="T29" s="127">
        <f>SUM(T26:T28)</f>
        <v>0</v>
      </c>
      <c r="U29" s="127">
        <f>SUM(U26:U28)</f>
        <v>0</v>
      </c>
      <c r="V29" s="252"/>
      <c r="W29" s="252"/>
      <c r="X29" s="252"/>
      <c r="Y29" s="127">
        <f>SUM(Y26:Y28)</f>
        <v>0</v>
      </c>
      <c r="Z29" s="252"/>
      <c r="AA29" s="252"/>
      <c r="AB29" s="127">
        <f>SUM(AB26:AB28)</f>
        <v>0</v>
      </c>
      <c r="AC29" s="127">
        <f>SUM(AC26:AC28)</f>
        <v>791952618</v>
      </c>
      <c r="AD29" s="127">
        <f>SUM(AD26:AD28)</f>
        <v>0</v>
      </c>
      <c r="AE29" s="127">
        <f>SUM(AE26:AE28)</f>
        <v>0</v>
      </c>
      <c r="AF29" s="127">
        <f>SUM(AF26:AF28)</f>
        <v>791952618</v>
      </c>
      <c r="AG29" s="252"/>
      <c r="AH29" s="252"/>
      <c r="AI29" s="252"/>
      <c r="AJ29" s="127">
        <f>SUM(AJ26:AJ28)</f>
        <v>0</v>
      </c>
      <c r="AK29" s="127">
        <f>SUM(AK26:AK28)</f>
        <v>0</v>
      </c>
      <c r="AL29" s="127">
        <f>SUM(AL26:AL28)</f>
        <v>0</v>
      </c>
      <c r="AM29" s="127">
        <f>SUM(AM26:AM28)</f>
        <v>0</v>
      </c>
      <c r="AN29" s="127">
        <f>SUM(AN26:AN28)</f>
        <v>0</v>
      </c>
      <c r="AO29" s="253"/>
      <c r="AP29" s="254"/>
      <c r="AQ29" s="175">
        <f>SUM(AQ26:AQ28)</f>
        <v>0</v>
      </c>
      <c r="AR29" s="175">
        <f>SUM(AR26:AR28)</f>
        <v>791952618</v>
      </c>
      <c r="AS29" s="175">
        <f>SUM(AS26:AS28)</f>
        <v>0</v>
      </c>
      <c r="AT29" s="175">
        <f>SUM(AT26:AT28)</f>
        <v>791952618</v>
      </c>
      <c r="AU29" s="175">
        <f t="shared" ref="AU29:BB29" si="18">SUM(AU26:AU28)</f>
        <v>791952618</v>
      </c>
      <c r="AV29" s="175">
        <f t="shared" si="18"/>
        <v>0</v>
      </c>
      <c r="AW29" s="175">
        <f t="shared" si="18"/>
        <v>0</v>
      </c>
      <c r="AX29" s="175">
        <f t="shared" si="18"/>
        <v>0</v>
      </c>
      <c r="AY29" s="175">
        <f t="shared" si="18"/>
        <v>0</v>
      </c>
      <c r="AZ29" s="175">
        <f t="shared" si="18"/>
        <v>0</v>
      </c>
      <c r="BA29" s="175">
        <f t="shared" si="18"/>
        <v>0</v>
      </c>
      <c r="BB29" s="175">
        <f t="shared" si="18"/>
        <v>0</v>
      </c>
      <c r="BC29" s="169"/>
      <c r="BD29" s="169"/>
      <c r="BE29" s="169"/>
      <c r="BF29" s="169"/>
    </row>
    <row r="30" spans="1:58" ht="78.75" outlineLevel="2" x14ac:dyDescent="0.25">
      <c r="A30" s="115"/>
      <c r="B30" s="200"/>
      <c r="C30" s="201"/>
      <c r="D30" s="138"/>
      <c r="E30" s="295"/>
      <c r="F30" s="295"/>
      <c r="G30" s="296"/>
      <c r="H30" s="213" t="s">
        <v>305</v>
      </c>
      <c r="I30" s="130" t="s">
        <v>3</v>
      </c>
      <c r="J30" s="126">
        <v>12</v>
      </c>
      <c r="K30" s="126">
        <v>4</v>
      </c>
      <c r="L30" s="125">
        <f>IF(I30&lt;&gt;0,((VLOOKUP(I30,'1. Standard_Cost'!$B$4:$D$11,2)+VLOOKUP(I30,'1. Standard_Cost'!$B$4:$D$11,3))*J30*K30),"0")</f>
        <v>4838400</v>
      </c>
      <c r="M30" s="125">
        <f>L30*'1. Standard_Cost'!$F$4</f>
        <v>808012.80000000005</v>
      </c>
      <c r="N30" s="126"/>
      <c r="O30" s="126"/>
      <c r="P30" s="126"/>
      <c r="Q30" s="126"/>
      <c r="R30" s="127">
        <f>'1. Standard_Cost'!$B$15*N30*P30</f>
        <v>0</v>
      </c>
      <c r="S30" s="127">
        <f>N30*O30*P30*'1. Standard_Cost'!$C$15</f>
        <v>0</v>
      </c>
      <c r="T30" s="127">
        <f>N30*P30*Q30*'1. Standard_Cost'!$D$15</f>
        <v>0</v>
      </c>
      <c r="U30" s="127">
        <f>N30*O30*'1. Standard_Cost'!$E$15</f>
        <v>0</v>
      </c>
      <c r="V30" s="126"/>
      <c r="W30" s="126"/>
      <c r="X30" s="126"/>
      <c r="Y30" s="127">
        <f>+V30*((X30*'1. Standard_Cost'!$B$19)+(W30*X30*'1. Standard_Cost'!$C$19))</f>
        <v>0</v>
      </c>
      <c r="Z30" s="126"/>
      <c r="AA30" s="126"/>
      <c r="AB30" s="127">
        <f>+Z30*'1. Standard_Cost'!$B$23+AA30*'1. Standard_Cost'!$C$23</f>
        <v>0</v>
      </c>
      <c r="AC30" s="128"/>
      <c r="AD30" s="129"/>
      <c r="AE30" s="127">
        <f>SUM(AD30,AC30,AB30,Y30,U30,T30,S30,R30)*'1. Standard_Cost'!$B$31</f>
        <v>0</v>
      </c>
      <c r="AF30" s="127">
        <f t="shared" ref="AF30:AF36" si="19">SUM(AE30,AD30,AC30,AB30,Y30,U30,T30,S30,R30)</f>
        <v>0</v>
      </c>
      <c r="AG30" s="126"/>
      <c r="AH30" s="126"/>
      <c r="AI30" s="126"/>
      <c r="AJ30" s="130"/>
      <c r="AK30" s="130"/>
      <c r="AL30" s="130"/>
      <c r="AM30" s="127">
        <f>AG30*'1. Standard_Cost'!$B$27+'Incremental_Cost Year 9'!AH30*'1. Standard_Cost'!$C$27+'Incremental_Cost Year 9'!AI30*'1. Standard_Cost'!$D$27+'Incremental_Cost Year 9'!AJ30+'Incremental_Cost Year 9'!AL30+AK30</f>
        <v>0</v>
      </c>
      <c r="AN30" s="127">
        <f>AM30*'1. Standard_Cost'!$C$31</f>
        <v>0</v>
      </c>
      <c r="AO30" s="249"/>
      <c r="AQ30" s="171">
        <f t="shared" ref="AQ30:AQ36" si="20">L30+M30</f>
        <v>5646412.7999999998</v>
      </c>
      <c r="AR30" s="171">
        <f t="shared" ref="AR30:AR36" si="21">AF30</f>
        <v>0</v>
      </c>
      <c r="AS30" s="171">
        <f t="shared" ref="AS30:AS36" si="22">AM30+AN30</f>
        <v>0</v>
      </c>
      <c r="AT30" s="171">
        <f t="shared" ref="AT30:AT36" si="23">SUM(AQ30,AR30,AS30)</f>
        <v>5646412.7999999998</v>
      </c>
      <c r="AU30" s="250">
        <f>AT30</f>
        <v>5646412.7999999998</v>
      </c>
      <c r="AV30" s="250"/>
      <c r="AW30" s="250"/>
      <c r="AX30" s="250"/>
      <c r="AY30" s="250"/>
      <c r="AZ30" s="250"/>
      <c r="BA30" s="250"/>
      <c r="BB30" s="251">
        <f t="shared" ref="BB30" si="24">SUM(AU30:BA30)-AT30</f>
        <v>0</v>
      </c>
      <c r="BC30" s="169"/>
      <c r="BD30" s="169"/>
      <c r="BE30" s="169"/>
      <c r="BF30" s="169"/>
    </row>
    <row r="31" spans="1:58" ht="78.75" outlineLevel="2" x14ac:dyDescent="0.25">
      <c r="A31" s="115"/>
      <c r="B31" s="200"/>
      <c r="C31" s="201"/>
      <c r="D31" s="135"/>
      <c r="E31" s="219"/>
      <c r="F31" s="219"/>
      <c r="G31" s="313"/>
      <c r="H31" s="213" t="s">
        <v>226</v>
      </c>
      <c r="I31" s="130" t="s">
        <v>5</v>
      </c>
      <c r="J31" s="126">
        <v>6</v>
      </c>
      <c r="K31" s="126">
        <v>420</v>
      </c>
      <c r="L31" s="125">
        <f>IF(I31&lt;&gt;0,((VLOOKUP(I31,'1. Standard_Cost'!$B$4:$D$11,2)+VLOOKUP(I31,'1. Standard_Cost'!$B$4:$D$11,3))*J31*K31),"0")</f>
        <v>178164000</v>
      </c>
      <c r="M31" s="125">
        <f>L31*'1. Standard_Cost'!$F$4</f>
        <v>29753388</v>
      </c>
      <c r="N31" s="126"/>
      <c r="O31" s="126"/>
      <c r="P31" s="126"/>
      <c r="Q31" s="126"/>
      <c r="R31" s="127">
        <f>'1. Standard_Cost'!$B$15*N31*P31</f>
        <v>0</v>
      </c>
      <c r="S31" s="127">
        <f>N31*O31*P31*'1. Standard_Cost'!$C$15</f>
        <v>0</v>
      </c>
      <c r="T31" s="127">
        <f>N31*P31*Q31*'1. Standard_Cost'!$D$15</f>
        <v>0</v>
      </c>
      <c r="U31" s="127">
        <f>N31*O31*'1. Standard_Cost'!$E$15</f>
        <v>0</v>
      </c>
      <c r="V31" s="126"/>
      <c r="W31" s="126"/>
      <c r="X31" s="126"/>
      <c r="Y31" s="127">
        <f>+V31*((X31*'1. Standard_Cost'!$B$19)+(W31*X31*'1. Standard_Cost'!$C$19))</f>
        <v>0</v>
      </c>
      <c r="Z31" s="126"/>
      <c r="AA31" s="126"/>
      <c r="AB31" s="127">
        <f>+Z31*'1. Standard_Cost'!$B$23+AA31*'1. Standard_Cost'!$C$23</f>
        <v>0</v>
      </c>
      <c r="AC31" s="128"/>
      <c r="AD31" s="129"/>
      <c r="AE31" s="127">
        <f>SUM(AD31,AC31,AB31,Y31,U31,T31,S31,R31)*'1. Standard_Cost'!$B$31</f>
        <v>0</v>
      </c>
      <c r="AF31" s="127">
        <f t="shared" si="19"/>
        <v>0</v>
      </c>
      <c r="AG31" s="126"/>
      <c r="AH31" s="126"/>
      <c r="AI31" s="126"/>
      <c r="AJ31" s="130"/>
      <c r="AK31" s="130"/>
      <c r="AL31" s="130"/>
      <c r="AM31" s="127">
        <f>AG31*'1. Standard_Cost'!$B$27+'Incremental_Cost Year 9'!AH31*'1. Standard_Cost'!$C$27+'Incremental_Cost Year 9'!AI31*'1. Standard_Cost'!$D$27+'Incremental_Cost Year 9'!AJ31+'Incremental_Cost Year 9'!AL31+AK31</f>
        <v>0</v>
      </c>
      <c r="AN31" s="127">
        <f>AM31*'1. Standard_Cost'!$C$31</f>
        <v>0</v>
      </c>
      <c r="AO31" s="249"/>
      <c r="AQ31" s="171">
        <f t="shared" si="20"/>
        <v>207917388</v>
      </c>
      <c r="AR31" s="171">
        <f t="shared" si="21"/>
        <v>0</v>
      </c>
      <c r="AS31" s="171">
        <f t="shared" si="22"/>
        <v>0</v>
      </c>
      <c r="AT31" s="171">
        <f t="shared" si="23"/>
        <v>207917388</v>
      </c>
      <c r="AU31" s="250">
        <f>AT31</f>
        <v>207917388</v>
      </c>
      <c r="AV31" s="250"/>
      <c r="AW31" s="250"/>
      <c r="AX31" s="250"/>
      <c r="AY31" s="250"/>
      <c r="AZ31" s="250"/>
      <c r="BA31" s="250"/>
      <c r="BB31" s="251">
        <f t="shared" ref="BB31:BB36" si="25">SUM(AU31:BA31)-AT31</f>
        <v>0</v>
      </c>
      <c r="BC31" s="169"/>
      <c r="BD31" s="169"/>
      <c r="BE31" s="169"/>
      <c r="BF31" s="169"/>
    </row>
    <row r="32" spans="1:58" ht="78.75" outlineLevel="2" x14ac:dyDescent="0.25">
      <c r="A32" s="115"/>
      <c r="B32" s="200"/>
      <c r="C32" s="201"/>
      <c r="D32" s="135"/>
      <c r="E32" s="219"/>
      <c r="F32" s="219"/>
      <c r="G32" s="313"/>
      <c r="H32" s="213" t="s">
        <v>306</v>
      </c>
      <c r="I32" s="130" t="s">
        <v>4</v>
      </c>
      <c r="J32" s="126">
        <v>6</v>
      </c>
      <c r="K32" s="126">
        <v>36</v>
      </c>
      <c r="L32" s="125">
        <f>IF(I32&lt;&gt;0,((VLOOKUP(I32,'1. Standard_Cost'!$B$4:$D$11,2)+VLOOKUP(I32,'1. Standard_Cost'!$B$4:$D$11,3))*J32*K32),"0")</f>
        <v>17442000</v>
      </c>
      <c r="M32" s="125">
        <f>L32*'1. Standard_Cost'!$F$4</f>
        <v>2912814</v>
      </c>
      <c r="N32" s="126"/>
      <c r="O32" s="126"/>
      <c r="P32" s="126"/>
      <c r="Q32" s="126"/>
      <c r="R32" s="127">
        <f>'1. Standard_Cost'!$B$15*N32*P32</f>
        <v>0</v>
      </c>
      <c r="S32" s="127">
        <f>N32*O32*P32*'1. Standard_Cost'!$C$15</f>
        <v>0</v>
      </c>
      <c r="T32" s="127">
        <f>N32*P32*Q32*'1. Standard_Cost'!$D$15</f>
        <v>0</v>
      </c>
      <c r="U32" s="127">
        <f>N32*O32*'1. Standard_Cost'!$E$15</f>
        <v>0</v>
      </c>
      <c r="V32" s="126"/>
      <c r="W32" s="126"/>
      <c r="X32" s="126"/>
      <c r="Y32" s="127">
        <f>+V32*((X32*'1. Standard_Cost'!$B$19)+(W32*X32*'1. Standard_Cost'!$C$19))</f>
        <v>0</v>
      </c>
      <c r="Z32" s="126"/>
      <c r="AA32" s="126"/>
      <c r="AB32" s="127">
        <f>+Z32*'1. Standard_Cost'!$B$23+AA32*'1. Standard_Cost'!$C$23</f>
        <v>0</v>
      </c>
      <c r="AC32" s="128"/>
      <c r="AD32" s="129"/>
      <c r="AE32" s="127">
        <f>SUM(AD32,AC32,AB32,Y32,U32,T32,S32,R32)*'1. Standard_Cost'!$B$31</f>
        <v>0</v>
      </c>
      <c r="AF32" s="127">
        <f t="shared" si="19"/>
        <v>0</v>
      </c>
      <c r="AG32" s="126"/>
      <c r="AH32" s="126"/>
      <c r="AI32" s="126"/>
      <c r="AJ32" s="130"/>
      <c r="AK32" s="130"/>
      <c r="AL32" s="130"/>
      <c r="AM32" s="127">
        <f>AG32*'1. Standard_Cost'!$B$27+'Incremental_Cost Year 9'!AH32*'1. Standard_Cost'!$C$27+'Incremental_Cost Year 9'!AI32*'1. Standard_Cost'!$D$27+'Incremental_Cost Year 9'!AJ32+'Incremental_Cost Year 9'!AL32+AK32</f>
        <v>0</v>
      </c>
      <c r="AN32" s="127">
        <f>AM32*'1. Standard_Cost'!$C$31</f>
        <v>0</v>
      </c>
      <c r="AO32" s="249"/>
      <c r="AQ32" s="171">
        <f t="shared" si="20"/>
        <v>20354814</v>
      </c>
      <c r="AR32" s="171">
        <f t="shared" si="21"/>
        <v>0</v>
      </c>
      <c r="AS32" s="171">
        <f t="shared" si="22"/>
        <v>0</v>
      </c>
      <c r="AT32" s="171">
        <f t="shared" si="23"/>
        <v>20354814</v>
      </c>
      <c r="AU32" s="250">
        <f>AT32</f>
        <v>20354814</v>
      </c>
      <c r="AV32" s="250"/>
      <c r="AW32" s="250"/>
      <c r="AX32" s="250"/>
      <c r="AY32" s="250"/>
      <c r="AZ32" s="250"/>
      <c r="BA32" s="250"/>
      <c r="BB32" s="251">
        <f t="shared" si="25"/>
        <v>0</v>
      </c>
      <c r="BC32" s="169"/>
      <c r="BD32" s="169"/>
      <c r="BE32" s="169"/>
      <c r="BF32" s="169"/>
    </row>
    <row r="33" spans="1:58" ht="63" outlineLevel="2" x14ac:dyDescent="0.25">
      <c r="A33" s="115"/>
      <c r="B33" s="200"/>
      <c r="C33" s="201"/>
      <c r="D33" s="135"/>
      <c r="E33" s="219"/>
      <c r="F33" s="219"/>
      <c r="G33" s="313"/>
      <c r="H33" s="213" t="s">
        <v>389</v>
      </c>
      <c r="I33" s="130"/>
      <c r="J33" s="126"/>
      <c r="K33" s="126"/>
      <c r="L33" s="125" t="str">
        <f>IF(I33&lt;&gt;0,((VLOOKUP(I33,'1. Standard_Cost'!$B$4:$D$11,2)+VLOOKUP(I33,'1. Standard_Cost'!$B$4:$D$11,3))*J33*K33),"0")</f>
        <v>0</v>
      </c>
      <c r="M33" s="125">
        <f>L33*'1. Standard_Cost'!$F$4</f>
        <v>0</v>
      </c>
      <c r="N33" s="126"/>
      <c r="O33" s="126"/>
      <c r="P33" s="126"/>
      <c r="Q33" s="126"/>
      <c r="R33" s="127">
        <f>'1. Standard_Cost'!$B$15*N33*P33</f>
        <v>0</v>
      </c>
      <c r="S33" s="127">
        <f>N33*O33*P33*'1. Standard_Cost'!$C$15</f>
        <v>0</v>
      </c>
      <c r="T33" s="127">
        <f>N33*P33*Q33*'1. Standard_Cost'!$D$15</f>
        <v>0</v>
      </c>
      <c r="U33" s="127">
        <f>N33*O33*'1. Standard_Cost'!$E$15</f>
        <v>0</v>
      </c>
      <c r="V33" s="126"/>
      <c r="W33" s="126"/>
      <c r="X33" s="126"/>
      <c r="Y33" s="127">
        <f>+V33*((X33*'1. Standard_Cost'!$B$19)+(W33*X33*'1. Standard_Cost'!$C$19))</f>
        <v>0</v>
      </c>
      <c r="Z33" s="126"/>
      <c r="AA33" s="126"/>
      <c r="AB33" s="127">
        <f>+Z33*'1. Standard_Cost'!$B$23+AA33*'1. Standard_Cost'!$C$23</f>
        <v>0</v>
      </c>
      <c r="AC33" s="128"/>
      <c r="AD33" s="129"/>
      <c r="AE33" s="127">
        <f>SUM(AD33,AC33,AB33,Y33,U33,T33,S33,R33)*'1. Standard_Cost'!$B$31</f>
        <v>0</v>
      </c>
      <c r="AF33" s="127">
        <f t="shared" si="19"/>
        <v>0</v>
      </c>
      <c r="AG33" s="126"/>
      <c r="AH33" s="126"/>
      <c r="AI33" s="126"/>
      <c r="AJ33" s="130"/>
      <c r="AK33" s="130"/>
      <c r="AL33" s="130"/>
      <c r="AM33" s="127">
        <f>AG33*'1. Standard_Cost'!$B$27+'Incremental_Cost Year 9'!AH33*'1. Standard_Cost'!$C$27+'Incremental_Cost Year 9'!AI33*'1. Standard_Cost'!$D$27+'Incremental_Cost Year 9'!AJ33+'Incremental_Cost Year 9'!AL33+AK33</f>
        <v>0</v>
      </c>
      <c r="AN33" s="127">
        <f>AM33*'1. Standard_Cost'!$C$31</f>
        <v>0</v>
      </c>
      <c r="AO33" s="130"/>
      <c r="AQ33" s="171">
        <f t="shared" si="20"/>
        <v>0</v>
      </c>
      <c r="AR33" s="171">
        <f t="shared" si="21"/>
        <v>0</v>
      </c>
      <c r="AS33" s="171">
        <f t="shared" si="22"/>
        <v>0</v>
      </c>
      <c r="AT33" s="171">
        <f t="shared" si="23"/>
        <v>0</v>
      </c>
      <c r="AU33" s="250"/>
      <c r="AV33" s="250"/>
      <c r="AW33" s="250"/>
      <c r="AX33" s="250"/>
      <c r="AY33" s="250"/>
      <c r="AZ33" s="250"/>
      <c r="BA33" s="250"/>
      <c r="BB33" s="251">
        <f t="shared" si="25"/>
        <v>0</v>
      </c>
      <c r="BC33" s="169"/>
      <c r="BD33" s="169"/>
      <c r="BE33" s="169"/>
      <c r="BF33" s="169"/>
    </row>
    <row r="34" spans="1:58" ht="110.25" outlineLevel="2" x14ac:dyDescent="0.25">
      <c r="A34" s="115"/>
      <c r="B34" s="200"/>
      <c r="C34" s="201"/>
      <c r="D34" s="135"/>
      <c r="E34" s="219"/>
      <c r="F34" s="219"/>
      <c r="G34" s="313"/>
      <c r="H34" s="213" t="s">
        <v>390</v>
      </c>
      <c r="I34" s="130" t="s">
        <v>3</v>
      </c>
      <c r="J34" s="126">
        <v>12</v>
      </c>
      <c r="K34" s="126">
        <v>3</v>
      </c>
      <c r="L34" s="125">
        <f>IF(I34&lt;&gt;0,((VLOOKUP(I34,'1. Standard_Cost'!$B$4:$D$11,2)+VLOOKUP(I34,'1. Standard_Cost'!$B$4:$D$11,3))*J34*K34),"0")</f>
        <v>3628800</v>
      </c>
      <c r="M34" s="125">
        <f>L34*'1. Standard_Cost'!$F$4</f>
        <v>606009.59999999998</v>
      </c>
      <c r="N34" s="126"/>
      <c r="O34" s="126"/>
      <c r="P34" s="126"/>
      <c r="Q34" s="126"/>
      <c r="R34" s="127">
        <f>'1. Standard_Cost'!$B$15*N34*P34</f>
        <v>0</v>
      </c>
      <c r="S34" s="127">
        <f>N34*O34*P34*'1. Standard_Cost'!$C$15</f>
        <v>0</v>
      </c>
      <c r="T34" s="127">
        <f>N34*P34*Q34*'1. Standard_Cost'!$D$15</f>
        <v>0</v>
      </c>
      <c r="U34" s="127">
        <f>N34*O34*'1. Standard_Cost'!$E$15</f>
        <v>0</v>
      </c>
      <c r="V34" s="126"/>
      <c r="W34" s="126"/>
      <c r="X34" s="126"/>
      <c r="Y34" s="127">
        <f>+V34*((X34*'1. Standard_Cost'!$B$19)+(W34*X34*'1. Standard_Cost'!$C$19))</f>
        <v>0</v>
      </c>
      <c r="Z34" s="126"/>
      <c r="AA34" s="126"/>
      <c r="AB34" s="127">
        <f>+Z34*'1. Standard_Cost'!$B$23+AA34*'1. Standard_Cost'!$C$23</f>
        <v>0</v>
      </c>
      <c r="AC34" s="128">
        <v>1000000</v>
      </c>
      <c r="AD34" s="129"/>
      <c r="AE34" s="127">
        <f>SUM(AD34,AC34,AB34,Y34,U34,T34,S34,R34)*'1. Standard_Cost'!$B$31</f>
        <v>200000</v>
      </c>
      <c r="AF34" s="127">
        <f t="shared" si="19"/>
        <v>1200000</v>
      </c>
      <c r="AG34" s="126"/>
      <c r="AH34" s="126"/>
      <c r="AI34" s="126"/>
      <c r="AJ34" s="130"/>
      <c r="AK34" s="130"/>
      <c r="AL34" s="130"/>
      <c r="AM34" s="127">
        <f>AG34*'1. Standard_Cost'!$B$27+'Incremental_Cost Year 9'!AH34*'1. Standard_Cost'!$C$27+'Incremental_Cost Year 9'!AI34*'1. Standard_Cost'!$D$27+'Incremental_Cost Year 9'!AJ34+'Incremental_Cost Year 9'!AL34+AK34</f>
        <v>0</v>
      </c>
      <c r="AN34" s="127">
        <f>AM34*'1. Standard_Cost'!$C$31</f>
        <v>0</v>
      </c>
      <c r="AO34" s="130"/>
      <c r="AQ34" s="171">
        <f t="shared" si="20"/>
        <v>4234809.5999999996</v>
      </c>
      <c r="AR34" s="171">
        <f t="shared" si="21"/>
        <v>1200000</v>
      </c>
      <c r="AS34" s="171">
        <f t="shared" si="22"/>
        <v>0</v>
      </c>
      <c r="AT34" s="171">
        <f t="shared" si="23"/>
        <v>5434809.5999999996</v>
      </c>
      <c r="AU34" s="250">
        <f>AT34</f>
        <v>5434809.5999999996</v>
      </c>
      <c r="AV34" s="250"/>
      <c r="AW34" s="250"/>
      <c r="AX34" s="250"/>
      <c r="AY34" s="250"/>
      <c r="AZ34" s="250"/>
      <c r="BA34" s="250"/>
      <c r="BB34" s="251">
        <f t="shared" si="25"/>
        <v>0</v>
      </c>
      <c r="BC34" s="169"/>
      <c r="BD34" s="169"/>
      <c r="BE34" s="169"/>
      <c r="BF34" s="169"/>
    </row>
    <row r="35" spans="1:58" ht="78.75" outlineLevel="2" x14ac:dyDescent="0.25">
      <c r="A35" s="115"/>
      <c r="B35" s="200"/>
      <c r="C35" s="201"/>
      <c r="D35" s="135"/>
      <c r="E35" s="219"/>
      <c r="F35" s="219"/>
      <c r="G35" s="313"/>
      <c r="H35" s="213" t="s">
        <v>391</v>
      </c>
      <c r="I35" s="130" t="s">
        <v>5</v>
      </c>
      <c r="J35" s="126">
        <v>1</v>
      </c>
      <c r="K35" s="126">
        <v>420</v>
      </c>
      <c r="L35" s="125">
        <f>IF(I35&lt;&gt;0,((VLOOKUP(I35,'1. Standard_Cost'!$B$4:$D$11,2)+VLOOKUP(I35,'1. Standard_Cost'!$B$4:$D$11,3))*J35*K35),"0")</f>
        <v>29694000</v>
      </c>
      <c r="M35" s="125">
        <f>L35*'1. Standard_Cost'!$F$4</f>
        <v>4958898</v>
      </c>
      <c r="N35" s="126"/>
      <c r="O35" s="126"/>
      <c r="P35" s="126"/>
      <c r="Q35" s="126"/>
      <c r="R35" s="127">
        <f>'1. Standard_Cost'!$B$15*N35*P35</f>
        <v>0</v>
      </c>
      <c r="S35" s="127">
        <f>N35*O35*P35*'1. Standard_Cost'!$C$15</f>
        <v>0</v>
      </c>
      <c r="T35" s="127">
        <f>N35*P35*Q35*'1. Standard_Cost'!$D$15</f>
        <v>0</v>
      </c>
      <c r="U35" s="127">
        <f>N35*O35*'1. Standard_Cost'!$E$15</f>
        <v>0</v>
      </c>
      <c r="V35" s="126"/>
      <c r="W35" s="126"/>
      <c r="X35" s="126"/>
      <c r="Y35" s="127">
        <f>+V35*((X35*'1. Standard_Cost'!$B$19)+(W35*X35*'1. Standard_Cost'!$C$19))</f>
        <v>0</v>
      </c>
      <c r="Z35" s="126"/>
      <c r="AA35" s="126"/>
      <c r="AB35" s="127">
        <f>+Z35*'1. Standard_Cost'!$B$23+AA35*'1. Standard_Cost'!$C$23</f>
        <v>0</v>
      </c>
      <c r="AC35" s="128"/>
      <c r="AD35" s="129"/>
      <c r="AE35" s="127">
        <f>SUM(AD35,AC35,AB35,Y35,U35,T35,S35,R35)*'1. Standard_Cost'!$B$31</f>
        <v>0</v>
      </c>
      <c r="AF35" s="127">
        <f t="shared" si="19"/>
        <v>0</v>
      </c>
      <c r="AG35" s="126"/>
      <c r="AH35" s="126"/>
      <c r="AI35" s="126"/>
      <c r="AJ35" s="130"/>
      <c r="AK35" s="130"/>
      <c r="AL35" s="130"/>
      <c r="AM35" s="127">
        <f>AG35*'1. Standard_Cost'!$B$27+'Incremental_Cost Year 9'!AH35*'1. Standard_Cost'!$C$27+'Incremental_Cost Year 9'!AI35*'1. Standard_Cost'!$D$27+'Incremental_Cost Year 9'!AJ35+'Incremental_Cost Year 9'!AL35+AK35</f>
        <v>0</v>
      </c>
      <c r="AN35" s="127">
        <f>AM35*'1. Standard_Cost'!$C$31</f>
        <v>0</v>
      </c>
      <c r="AO35" s="130"/>
      <c r="AQ35" s="171">
        <f t="shared" si="20"/>
        <v>34652898</v>
      </c>
      <c r="AR35" s="171">
        <f t="shared" si="21"/>
        <v>0</v>
      </c>
      <c r="AS35" s="171">
        <f t="shared" si="22"/>
        <v>0</v>
      </c>
      <c r="AT35" s="171">
        <f t="shared" si="23"/>
        <v>34652898</v>
      </c>
      <c r="AU35" s="250">
        <f>AT35</f>
        <v>34652898</v>
      </c>
      <c r="AV35" s="250"/>
      <c r="AW35" s="250"/>
      <c r="AX35" s="250"/>
      <c r="AY35" s="250"/>
      <c r="AZ35" s="250"/>
      <c r="BA35" s="250"/>
      <c r="BB35" s="251">
        <f t="shared" si="25"/>
        <v>0</v>
      </c>
      <c r="BC35" s="169"/>
      <c r="BD35" s="169"/>
      <c r="BE35" s="169"/>
      <c r="BF35" s="169"/>
    </row>
    <row r="36" spans="1:58" ht="78.75" outlineLevel="2" x14ac:dyDescent="0.25">
      <c r="A36" s="115"/>
      <c r="B36" s="200"/>
      <c r="C36" s="201"/>
      <c r="D36" s="223"/>
      <c r="E36" s="122"/>
      <c r="F36" s="122"/>
      <c r="G36" s="123"/>
      <c r="H36" s="213" t="s">
        <v>392</v>
      </c>
      <c r="I36" s="130" t="s">
        <v>4</v>
      </c>
      <c r="J36" s="126">
        <v>1</v>
      </c>
      <c r="K36" s="126">
        <v>36</v>
      </c>
      <c r="L36" s="125">
        <f>IF(I36&lt;&gt;0,((VLOOKUP(I36,'1. Standard_Cost'!$B$4:$D$11,2)+VLOOKUP(I36,'1. Standard_Cost'!$B$4:$D$11,3))*J36*K36),"0")</f>
        <v>2907000</v>
      </c>
      <c r="M36" s="125">
        <f>L36*'1. Standard_Cost'!$F$4</f>
        <v>485469</v>
      </c>
      <c r="N36" s="126"/>
      <c r="O36" s="126"/>
      <c r="P36" s="126"/>
      <c r="Q36" s="126"/>
      <c r="R36" s="127">
        <f>'1. Standard_Cost'!$B$15*N36*P36</f>
        <v>0</v>
      </c>
      <c r="S36" s="127">
        <f>N36*O36*P36*'1. Standard_Cost'!$C$15</f>
        <v>0</v>
      </c>
      <c r="T36" s="127">
        <f>N36*P36*Q36*'1. Standard_Cost'!$D$15</f>
        <v>0</v>
      </c>
      <c r="U36" s="127">
        <f>N36*O36*'1. Standard_Cost'!$E$15</f>
        <v>0</v>
      </c>
      <c r="V36" s="126"/>
      <c r="W36" s="126"/>
      <c r="X36" s="126"/>
      <c r="Y36" s="127">
        <f>+V36*((X36*'1. Standard_Cost'!$B$19)+(W36*X36*'1. Standard_Cost'!$C$19))</f>
        <v>0</v>
      </c>
      <c r="Z36" s="126"/>
      <c r="AA36" s="126"/>
      <c r="AB36" s="127">
        <f>+Z36*'1. Standard_Cost'!$B$23+AA36*'1. Standard_Cost'!$C$23</f>
        <v>0</v>
      </c>
      <c r="AC36" s="128"/>
      <c r="AD36" s="129"/>
      <c r="AE36" s="127">
        <f>SUM(AD36,AC36,AB36,Y36,U36,T36,S36,R36)*'1. Standard_Cost'!$B$31</f>
        <v>0</v>
      </c>
      <c r="AF36" s="127">
        <f t="shared" si="19"/>
        <v>0</v>
      </c>
      <c r="AG36" s="126"/>
      <c r="AH36" s="126"/>
      <c r="AI36" s="126"/>
      <c r="AJ36" s="130"/>
      <c r="AK36" s="130"/>
      <c r="AL36" s="130"/>
      <c r="AM36" s="127">
        <f>AG36*'1. Standard_Cost'!$B$27+'Incremental_Cost Year 9'!AH36*'1. Standard_Cost'!$C$27+'Incremental_Cost Year 9'!AI36*'1. Standard_Cost'!$D$27+'Incremental_Cost Year 9'!AJ36+'Incremental_Cost Year 9'!AL36+AK36</f>
        <v>0</v>
      </c>
      <c r="AN36" s="127">
        <f>AM36*'1. Standard_Cost'!$C$31</f>
        <v>0</v>
      </c>
      <c r="AO36" s="130"/>
      <c r="AQ36" s="171">
        <f t="shared" si="20"/>
        <v>3392469</v>
      </c>
      <c r="AR36" s="171">
        <f t="shared" si="21"/>
        <v>0</v>
      </c>
      <c r="AS36" s="171">
        <f t="shared" si="22"/>
        <v>0</v>
      </c>
      <c r="AT36" s="171">
        <f t="shared" si="23"/>
        <v>3392469</v>
      </c>
      <c r="AU36" s="250">
        <f>AT36</f>
        <v>3392469</v>
      </c>
      <c r="AV36" s="250"/>
      <c r="AW36" s="250"/>
      <c r="AX36" s="250"/>
      <c r="AY36" s="250"/>
      <c r="AZ36" s="250"/>
      <c r="BA36" s="250"/>
      <c r="BB36" s="251">
        <f t="shared" si="25"/>
        <v>0</v>
      </c>
      <c r="BC36" s="169"/>
      <c r="BD36" s="169"/>
      <c r="BE36" s="169"/>
      <c r="BF36" s="169"/>
    </row>
    <row r="37" spans="1:58" ht="63" outlineLevel="1" x14ac:dyDescent="0.25">
      <c r="A37" s="115"/>
      <c r="B37" s="165"/>
      <c r="C37" s="166"/>
      <c r="D37" s="150" t="s">
        <v>384</v>
      </c>
      <c r="E37" s="139" t="s">
        <v>200</v>
      </c>
      <c r="F37" s="222">
        <v>2021</v>
      </c>
      <c r="G37" s="117">
        <v>2030</v>
      </c>
      <c r="H37" s="134" t="s">
        <v>201</v>
      </c>
      <c r="I37" s="252"/>
      <c r="J37" s="252"/>
      <c r="K37" s="252"/>
      <c r="L37" s="127">
        <f>SUM(L30:L36)</f>
        <v>236674200</v>
      </c>
      <c r="M37" s="127">
        <f>SUM(M30:M36)</f>
        <v>39524591.399999999</v>
      </c>
      <c r="N37" s="127"/>
      <c r="O37" s="252"/>
      <c r="P37" s="252"/>
      <c r="Q37" s="252"/>
      <c r="R37" s="127">
        <f>SUM(R30:R36)</f>
        <v>0</v>
      </c>
      <c r="S37" s="127">
        <f>SUM(S30:S36)</f>
        <v>0</v>
      </c>
      <c r="T37" s="127">
        <f>SUM(T30:T36)</f>
        <v>0</v>
      </c>
      <c r="U37" s="127">
        <f>SUM(U30:U36)</f>
        <v>0</v>
      </c>
      <c r="V37" s="252"/>
      <c r="W37" s="252"/>
      <c r="X37" s="252"/>
      <c r="Y37" s="127">
        <f>SUM(Y30:Y36)</f>
        <v>0</v>
      </c>
      <c r="Z37" s="252"/>
      <c r="AA37" s="252"/>
      <c r="AB37" s="127">
        <f>SUM(AB30:AB36)</f>
        <v>0</v>
      </c>
      <c r="AC37" s="127">
        <f>SUM(AC30:AC36)</f>
        <v>1000000</v>
      </c>
      <c r="AD37" s="127">
        <f>SUM(AD30:AD36)</f>
        <v>0</v>
      </c>
      <c r="AE37" s="127">
        <f>SUM(AE30:AE36)</f>
        <v>200000</v>
      </c>
      <c r="AF37" s="127">
        <f>SUM(AF30:AF36)</f>
        <v>1200000</v>
      </c>
      <c r="AG37" s="252"/>
      <c r="AH37" s="252"/>
      <c r="AI37" s="252"/>
      <c r="AJ37" s="127">
        <f>SUM(AJ30:AJ36)</f>
        <v>0</v>
      </c>
      <c r="AK37" s="127">
        <f>SUM(AK30:AK36)</f>
        <v>0</v>
      </c>
      <c r="AL37" s="127">
        <f>SUM(AL30:AL36)</f>
        <v>0</v>
      </c>
      <c r="AM37" s="127">
        <f>SUM(AM30:AM36)</f>
        <v>0</v>
      </c>
      <c r="AN37" s="127">
        <f>SUM(AN30:AN36)</f>
        <v>0</v>
      </c>
      <c r="AO37" s="253"/>
      <c r="AP37" s="254"/>
      <c r="AQ37" s="175">
        <f>SUM(AQ30:AQ36)</f>
        <v>276198791.39999998</v>
      </c>
      <c r="AR37" s="175">
        <f>SUM(AR30:AR36)</f>
        <v>1200000</v>
      </c>
      <c r="AS37" s="175">
        <f>SUM(AS30:AS36)</f>
        <v>0</v>
      </c>
      <c r="AT37" s="175">
        <f>SUM(AT30:AT36)</f>
        <v>277398791.39999998</v>
      </c>
      <c r="AU37" s="175">
        <f t="shared" ref="AU37:BB37" si="26">SUM(AU30:AU36)</f>
        <v>277398791.39999998</v>
      </c>
      <c r="AV37" s="175">
        <f t="shared" si="26"/>
        <v>0</v>
      </c>
      <c r="AW37" s="175">
        <f t="shared" si="26"/>
        <v>0</v>
      </c>
      <c r="AX37" s="175">
        <f t="shared" si="26"/>
        <v>0</v>
      </c>
      <c r="AY37" s="175">
        <f t="shared" si="26"/>
        <v>0</v>
      </c>
      <c r="AZ37" s="175">
        <f t="shared" si="26"/>
        <v>0</v>
      </c>
      <c r="BA37" s="175">
        <f t="shared" si="26"/>
        <v>0</v>
      </c>
      <c r="BB37" s="175">
        <f t="shared" si="26"/>
        <v>0</v>
      </c>
      <c r="BC37" s="169"/>
      <c r="BD37" s="169"/>
      <c r="BE37" s="169"/>
      <c r="BF37" s="169"/>
    </row>
    <row r="38" spans="1:58" ht="63" outlineLevel="2" x14ac:dyDescent="0.25">
      <c r="A38" s="115"/>
      <c r="B38" s="200"/>
      <c r="C38" s="201"/>
      <c r="D38" s="224"/>
      <c r="E38" s="135" t="s">
        <v>393</v>
      </c>
      <c r="F38" s="302">
        <v>2021</v>
      </c>
      <c r="G38" s="302">
        <v>2023</v>
      </c>
      <c r="H38" s="199" t="s">
        <v>394</v>
      </c>
      <c r="I38" s="130"/>
      <c r="J38" s="126"/>
      <c r="K38" s="126"/>
      <c r="L38" s="125" t="str">
        <f>IF(I38&lt;&gt;0,((VLOOKUP(I38,'1. Standard_Cost'!$B$4:$D$11,2)+VLOOKUP(I38,'1. Standard_Cost'!$B$4:$D$11,3))*J38*K38),"0")</f>
        <v>0</v>
      </c>
      <c r="M38" s="125">
        <f>L38*'1. Standard_Cost'!$F$4</f>
        <v>0</v>
      </c>
      <c r="N38" s="126"/>
      <c r="O38" s="126"/>
      <c r="P38" s="126"/>
      <c r="Q38" s="126"/>
      <c r="R38" s="127">
        <f>'1. Standard_Cost'!$B$15*N38*P38</f>
        <v>0</v>
      </c>
      <c r="S38" s="127">
        <f>N38*O38*P38*'1. Standard_Cost'!$C$15</f>
        <v>0</v>
      </c>
      <c r="T38" s="127">
        <f>N38*P38*Q38*'1. Standard_Cost'!$D$15</f>
        <v>0</v>
      </c>
      <c r="U38" s="127">
        <f>N38*O38*'1. Standard_Cost'!$E$15</f>
        <v>0</v>
      </c>
      <c r="V38" s="126"/>
      <c r="W38" s="126"/>
      <c r="X38" s="126"/>
      <c r="Y38" s="127">
        <f>+V38*((X38*'1. Standard_Cost'!$B$19)+(W38*X38*'1. Standard_Cost'!$C$19))</f>
        <v>0</v>
      </c>
      <c r="Z38" s="126"/>
      <c r="AA38" s="126"/>
      <c r="AB38" s="127">
        <f>+Z38*'1. Standard_Cost'!$B$23+AA38*'1. Standard_Cost'!$C$23</f>
        <v>0</v>
      </c>
      <c r="AC38" s="128"/>
      <c r="AD38" s="129"/>
      <c r="AE38" s="127"/>
      <c r="AF38" s="127">
        <f>SUM(AE38,AD38,AC38,AB38,Y38,U38,T38,S38,R38)</f>
        <v>0</v>
      </c>
      <c r="AG38" s="126"/>
      <c r="AH38" s="126"/>
      <c r="AI38" s="126"/>
      <c r="AJ38" s="130"/>
      <c r="AK38" s="130"/>
      <c r="AL38" s="130"/>
      <c r="AM38" s="127">
        <f>AG38*'1. Standard_Cost'!$B$27+'Incremental_Cost Year 9'!AH38*'1. Standard_Cost'!$C$27+'Incremental_Cost Year 9'!AI38*'1. Standard_Cost'!$D$27+'Incremental_Cost Year 9'!AJ38+'Incremental_Cost Year 9'!AL38+AK38</f>
        <v>0</v>
      </c>
      <c r="AN38" s="127">
        <f>AM38*'1. Standard_Cost'!$C$31</f>
        <v>0</v>
      </c>
      <c r="AO38" s="249"/>
      <c r="AQ38" s="171">
        <f>L38+M38</f>
        <v>0</v>
      </c>
      <c r="AR38" s="171">
        <f>AF38</f>
        <v>0</v>
      </c>
      <c r="AS38" s="171">
        <f>AM38+AN38</f>
        <v>0</v>
      </c>
      <c r="AT38" s="171">
        <f>SUM(AQ38,AR38,AS38)</f>
        <v>0</v>
      </c>
      <c r="AU38" s="250">
        <f>AT38</f>
        <v>0</v>
      </c>
      <c r="AV38" s="250"/>
      <c r="AW38" s="250"/>
      <c r="AX38" s="250"/>
      <c r="AY38" s="250"/>
      <c r="AZ38" s="250"/>
      <c r="BA38" s="250"/>
      <c r="BB38" s="251">
        <f t="shared" ref="BB38" si="27">SUM(AU38:BA38)-AT38</f>
        <v>0</v>
      </c>
      <c r="BC38" s="169"/>
      <c r="BD38" s="169"/>
      <c r="BE38" s="169"/>
      <c r="BF38" s="169"/>
    </row>
    <row r="39" spans="1:58" ht="31.5" outlineLevel="1" x14ac:dyDescent="0.25">
      <c r="A39" s="115"/>
      <c r="B39" s="303"/>
      <c r="C39" s="304"/>
      <c r="D39" s="107" t="s">
        <v>388</v>
      </c>
      <c r="E39" s="139" t="s">
        <v>202</v>
      </c>
      <c r="F39" s="122">
        <v>2021</v>
      </c>
      <c r="G39" s="223">
        <v>2030</v>
      </c>
      <c r="H39" s="134" t="s">
        <v>203</v>
      </c>
      <c r="I39" s="252"/>
      <c r="J39" s="252"/>
      <c r="K39" s="252"/>
      <c r="L39" s="127">
        <f>SUM(L38:L38)</f>
        <v>0</v>
      </c>
      <c r="M39" s="127">
        <f>SUM(M38:M38)</f>
        <v>0</v>
      </c>
      <c r="N39" s="127"/>
      <c r="O39" s="252"/>
      <c r="P39" s="252"/>
      <c r="Q39" s="252"/>
      <c r="R39" s="127">
        <f>SUM(R38:R38)</f>
        <v>0</v>
      </c>
      <c r="S39" s="127">
        <f>SUM(S38:S38)</f>
        <v>0</v>
      </c>
      <c r="T39" s="127">
        <f>SUM(T38:T38)</f>
        <v>0</v>
      </c>
      <c r="U39" s="127">
        <f>SUM(U38:U38)</f>
        <v>0</v>
      </c>
      <c r="V39" s="252"/>
      <c r="W39" s="252"/>
      <c r="X39" s="252"/>
      <c r="Y39" s="127">
        <f>SUM(Y38:Y38)</f>
        <v>0</v>
      </c>
      <c r="Z39" s="252"/>
      <c r="AA39" s="252"/>
      <c r="AB39" s="127">
        <f>SUM(AB38:AB38)</f>
        <v>0</v>
      </c>
      <c r="AC39" s="127">
        <f>SUM(AC38:AC38)</f>
        <v>0</v>
      </c>
      <c r="AD39" s="127">
        <f>SUM(AD38:AD38)</f>
        <v>0</v>
      </c>
      <c r="AE39" s="127">
        <f>SUM(AE38:AE38)</f>
        <v>0</v>
      </c>
      <c r="AF39" s="127">
        <f>SUM(AF38:AF38)</f>
        <v>0</v>
      </c>
      <c r="AG39" s="252"/>
      <c r="AH39" s="252"/>
      <c r="AI39" s="252"/>
      <c r="AJ39" s="127">
        <f>SUM(AJ38:AJ38)</f>
        <v>0</v>
      </c>
      <c r="AK39" s="127">
        <f>SUM(AK38:AK38)</f>
        <v>0</v>
      </c>
      <c r="AL39" s="127">
        <f>SUM(AL38:AL38)</f>
        <v>0</v>
      </c>
      <c r="AM39" s="127">
        <f>SUM(AM38:AM38)</f>
        <v>0</v>
      </c>
      <c r="AN39" s="127">
        <f>SUM(AN38:AN38)</f>
        <v>0</v>
      </c>
      <c r="AO39" s="253"/>
      <c r="AP39" s="254"/>
      <c r="AQ39" s="175">
        <f>SUM(AQ38:AQ38)</f>
        <v>0</v>
      </c>
      <c r="AR39" s="175">
        <f>SUM(AR38:AR38)</f>
        <v>0</v>
      </c>
      <c r="AS39" s="175">
        <f>SUM(AS38:AS38)</f>
        <v>0</v>
      </c>
      <c r="AT39" s="175">
        <f>SUM(AT38:AT38)</f>
        <v>0</v>
      </c>
      <c r="AU39" s="175">
        <f t="shared" ref="AU39:BB39" si="28">SUM(AU38:AU38)</f>
        <v>0</v>
      </c>
      <c r="AV39" s="175">
        <f t="shared" si="28"/>
        <v>0</v>
      </c>
      <c r="AW39" s="175">
        <f t="shared" si="28"/>
        <v>0</v>
      </c>
      <c r="AX39" s="175">
        <f t="shared" si="28"/>
        <v>0</v>
      </c>
      <c r="AY39" s="175">
        <f t="shared" si="28"/>
        <v>0</v>
      </c>
      <c r="AZ39" s="175">
        <f t="shared" si="28"/>
        <v>0</v>
      </c>
      <c r="BA39" s="175">
        <f t="shared" si="28"/>
        <v>0</v>
      </c>
      <c r="BB39" s="175">
        <f t="shared" si="28"/>
        <v>0</v>
      </c>
      <c r="BC39" s="169"/>
      <c r="BD39" s="169"/>
      <c r="BE39" s="169"/>
      <c r="BF39" s="169"/>
    </row>
    <row r="40" spans="1:58" s="170" customFormat="1" ht="15.75" customHeight="1" x14ac:dyDescent="0.25">
      <c r="A40" s="120"/>
      <c r="B40" s="290"/>
      <c r="C40" s="391" t="s">
        <v>204</v>
      </c>
      <c r="D40" s="391"/>
      <c r="E40" s="392"/>
      <c r="F40" s="289"/>
      <c r="G40" s="288"/>
      <c r="H40" s="114" t="s">
        <v>207</v>
      </c>
      <c r="I40" s="246"/>
      <c r="J40" s="246"/>
      <c r="K40" s="246"/>
      <c r="L40" s="247">
        <f>SUM(L44)</f>
        <v>201875</v>
      </c>
      <c r="M40" s="247">
        <f>SUM(M44)</f>
        <v>33713.125</v>
      </c>
      <c r="N40" s="247"/>
      <c r="O40" s="247"/>
      <c r="P40" s="247"/>
      <c r="Q40" s="247"/>
      <c r="R40" s="247">
        <f>SUM(R44)</f>
        <v>500000</v>
      </c>
      <c r="S40" s="247">
        <f>SUM(S44)</f>
        <v>375000</v>
      </c>
      <c r="T40" s="247">
        <f>SUM(T44)</f>
        <v>0</v>
      </c>
      <c r="U40" s="247">
        <f>SUM(U44)</f>
        <v>400000</v>
      </c>
      <c r="V40" s="247"/>
      <c r="W40" s="247"/>
      <c r="X40" s="247"/>
      <c r="Y40" s="247">
        <f>SUM(Y44)</f>
        <v>0</v>
      </c>
      <c r="Z40" s="247">
        <f t="shared" ref="Z40:AA40" si="29">SUM(Z44)</f>
        <v>0</v>
      </c>
      <c r="AA40" s="247">
        <f t="shared" si="29"/>
        <v>0</v>
      </c>
      <c r="AB40" s="247">
        <f t="shared" ref="AB40:AF40" si="30">SUM(AB44)</f>
        <v>228000</v>
      </c>
      <c r="AC40" s="247">
        <f t="shared" si="30"/>
        <v>825000</v>
      </c>
      <c r="AD40" s="247">
        <f t="shared" si="30"/>
        <v>0</v>
      </c>
      <c r="AE40" s="247">
        <f t="shared" si="30"/>
        <v>465600</v>
      </c>
      <c r="AF40" s="247">
        <f t="shared" si="30"/>
        <v>2793600</v>
      </c>
      <c r="AG40" s="247"/>
      <c r="AH40" s="247"/>
      <c r="AI40" s="247"/>
      <c r="AJ40" s="247">
        <f>SUM(AJ44)</f>
        <v>0</v>
      </c>
      <c r="AK40" s="247">
        <f>SUM(AK44)</f>
        <v>0</v>
      </c>
      <c r="AL40" s="247">
        <f>SUM(AL44)</f>
        <v>0</v>
      </c>
      <c r="AM40" s="247">
        <f>SUM(AM44)</f>
        <v>0</v>
      </c>
      <c r="AN40" s="247">
        <f>SUM(AN44)</f>
        <v>0</v>
      </c>
      <c r="AO40" s="247"/>
      <c r="AP40" s="244"/>
      <c r="AQ40" s="248">
        <f>SUM(AQ44)</f>
        <v>235588.125</v>
      </c>
      <c r="AR40" s="248">
        <f>SUM(AR44)</f>
        <v>2793600</v>
      </c>
      <c r="AS40" s="248">
        <f>SUM(AS44)</f>
        <v>0</v>
      </c>
      <c r="AT40" s="248">
        <f>SUM(AT44)</f>
        <v>3029188.125</v>
      </c>
      <c r="AU40" s="248">
        <f t="shared" ref="AU40:BB40" si="31">SUM(AU44)</f>
        <v>235588.125</v>
      </c>
      <c r="AV40" s="248">
        <f t="shared" si="31"/>
        <v>0</v>
      </c>
      <c r="AW40" s="248">
        <f t="shared" si="31"/>
        <v>0</v>
      </c>
      <c r="AX40" s="248">
        <f t="shared" si="31"/>
        <v>0</v>
      </c>
      <c r="AY40" s="248">
        <f t="shared" si="31"/>
        <v>0</v>
      </c>
      <c r="AZ40" s="248">
        <f t="shared" si="31"/>
        <v>0</v>
      </c>
      <c r="BA40" s="248">
        <f t="shared" si="31"/>
        <v>0</v>
      </c>
      <c r="BB40" s="248">
        <f t="shared" si="31"/>
        <v>-2793600</v>
      </c>
    </row>
    <row r="41" spans="1:58" ht="94.5" outlineLevel="2" x14ac:dyDescent="0.25">
      <c r="A41" s="115"/>
      <c r="B41" s="200"/>
      <c r="C41" s="201"/>
      <c r="D41" s="138"/>
      <c r="E41" s="295"/>
      <c r="F41" s="295"/>
      <c r="G41" s="296"/>
      <c r="H41" s="213" t="s">
        <v>395</v>
      </c>
      <c r="I41" s="130"/>
      <c r="J41" s="126"/>
      <c r="K41" s="126"/>
      <c r="L41" s="125" t="str">
        <f>IF(I41&lt;&gt;0,((VLOOKUP(I41,'1. Standard_Cost'!$B$4:$D$11,2)+VLOOKUP(I41,'1. Standard_Cost'!$B$4:$D$11,3))*J41*K41),"0")</f>
        <v>0</v>
      </c>
      <c r="M41" s="125">
        <f>L41*'1. Standard_Cost'!$F$4</f>
        <v>0</v>
      </c>
      <c r="N41" s="126"/>
      <c r="O41" s="126"/>
      <c r="P41" s="126"/>
      <c r="Q41" s="126"/>
      <c r="R41" s="127">
        <f>'1. Standard_Cost'!$B$15*N41*P41</f>
        <v>0</v>
      </c>
      <c r="S41" s="127">
        <f>N41*O41*P41*'1. Standard_Cost'!$C$15</f>
        <v>0</v>
      </c>
      <c r="T41" s="127">
        <f>N41*P41*Q41*'1. Standard_Cost'!$D$15</f>
        <v>0</v>
      </c>
      <c r="U41" s="127">
        <f>N41*O41*'1. Standard_Cost'!$E$15</f>
        <v>0</v>
      </c>
      <c r="V41" s="126"/>
      <c r="W41" s="126"/>
      <c r="X41" s="126"/>
      <c r="Y41" s="127">
        <f>+V41*((X41*'1. Standard_Cost'!$B$19)+(W41*X41*'1. Standard_Cost'!$C$19))</f>
        <v>0</v>
      </c>
      <c r="Z41" s="126"/>
      <c r="AA41" s="126"/>
      <c r="AB41" s="127">
        <f>+Z41*'1. Standard_Cost'!$B$23+AA41*'1. Standard_Cost'!$C$23</f>
        <v>0</v>
      </c>
      <c r="AC41" s="128">
        <v>0</v>
      </c>
      <c r="AD41" s="129"/>
      <c r="AE41" s="127"/>
      <c r="AF41" s="127">
        <f>SUM(AE41,AD41,AC41,AB41,Y41,U41,T41,S41,R41)</f>
        <v>0</v>
      </c>
      <c r="AG41" s="126"/>
      <c r="AH41" s="126"/>
      <c r="AI41" s="126"/>
      <c r="AJ41" s="130"/>
      <c r="AK41" s="130"/>
      <c r="AL41" s="130"/>
      <c r="AM41" s="127">
        <f>AG41*'1. Standard_Cost'!$B$27+'Incremental_Cost Year 9'!AH41*'1. Standard_Cost'!$C$27+'Incremental_Cost Year 9'!AI41*'1. Standard_Cost'!$D$27+'Incremental_Cost Year 9'!AJ41+'Incremental_Cost Year 9'!AL41+AK41</f>
        <v>0</v>
      </c>
      <c r="AN41" s="127">
        <f>AM41*'1. Standard_Cost'!$C$31</f>
        <v>0</v>
      </c>
      <c r="AO41" s="249"/>
      <c r="AQ41" s="171">
        <f>L41+M41</f>
        <v>0</v>
      </c>
      <c r="AR41" s="171">
        <f>AF41</f>
        <v>0</v>
      </c>
      <c r="AS41" s="171">
        <f>AM41+AN41</f>
        <v>0</v>
      </c>
      <c r="AT41" s="171">
        <f>SUM(AQ41,AR41,AS41)</f>
        <v>0</v>
      </c>
      <c r="AU41" s="250">
        <f>AQ41</f>
        <v>0</v>
      </c>
      <c r="AV41" s="250"/>
      <c r="AW41" s="250"/>
      <c r="AX41" s="250">
        <v>0</v>
      </c>
      <c r="AY41" s="250"/>
      <c r="AZ41" s="250">
        <f>AT41</f>
        <v>0</v>
      </c>
      <c r="BA41" s="250"/>
      <c r="BB41" s="251">
        <f t="shared" ref="BB41:BB43" si="32">SUM(AU41:BA41)-AT41</f>
        <v>0</v>
      </c>
      <c r="BC41" s="169"/>
      <c r="BD41" s="169"/>
      <c r="BE41" s="169"/>
      <c r="BF41" s="169"/>
    </row>
    <row r="42" spans="1:58" ht="157.5" outlineLevel="2" x14ac:dyDescent="0.25">
      <c r="A42" s="115"/>
      <c r="B42" s="200"/>
      <c r="C42" s="201"/>
      <c r="D42" s="135"/>
      <c r="E42" s="219"/>
      <c r="F42" s="219"/>
      <c r="G42" s="313"/>
      <c r="H42" s="213" t="s">
        <v>538</v>
      </c>
      <c r="I42" s="130" t="s">
        <v>4</v>
      </c>
      <c r="J42" s="126">
        <v>0.5</v>
      </c>
      <c r="K42" s="126">
        <v>5</v>
      </c>
      <c r="L42" s="125">
        <f>IF(I42&lt;&gt;0,((VLOOKUP(I42,'1. Standard_Cost'!$B$4:$D$11,2)+VLOOKUP(I42,'1. Standard_Cost'!$B$4:$D$11,3))*J42*K42),"0")</f>
        <v>201875</v>
      </c>
      <c r="M42" s="125">
        <f>L42*'1. Standard_Cost'!$F$4</f>
        <v>33713.125</v>
      </c>
      <c r="N42" s="126">
        <v>10</v>
      </c>
      <c r="O42" s="126">
        <v>1</v>
      </c>
      <c r="P42" s="126">
        <v>25</v>
      </c>
      <c r="Q42" s="126"/>
      <c r="R42" s="127">
        <f>'1. Standard_Cost'!$B$15*N42*P42</f>
        <v>500000</v>
      </c>
      <c r="S42" s="127">
        <f>N42*O42*P42*'1. Standard_Cost'!$C$15</f>
        <v>375000</v>
      </c>
      <c r="T42" s="127">
        <f>N42*P42*Q42*'1. Standard_Cost'!$D$15</f>
        <v>0</v>
      </c>
      <c r="U42" s="127">
        <f>N42*O42*'1. Standard_Cost'!$E$15</f>
        <v>400000</v>
      </c>
      <c r="V42" s="126"/>
      <c r="W42" s="126"/>
      <c r="X42" s="126"/>
      <c r="Y42" s="127">
        <f>+V42*((X42*'1. Standard_Cost'!$B$19)+(W42*X42*'1. Standard_Cost'!$C$19))</f>
        <v>0</v>
      </c>
      <c r="Z42" s="126"/>
      <c r="AA42" s="126">
        <v>12</v>
      </c>
      <c r="AB42" s="127">
        <f>+Z42*'1. Standard_Cost'!$B$23+AA42*'1. Standard_Cost'!$C$23</f>
        <v>228000</v>
      </c>
      <c r="AC42" s="128">
        <f>250*300+250*3000</f>
        <v>825000</v>
      </c>
      <c r="AD42" s="129"/>
      <c r="AE42" s="127">
        <f>SUM(AD42,AC42,AB42,Y42,U42,T42,S42,R42)*'1. Standard_Cost'!$B$31</f>
        <v>465600</v>
      </c>
      <c r="AF42" s="127">
        <f>SUM(AE42,AD42,AC42,AB42,Y42,U42,T42,S42,R42)</f>
        <v>2793600</v>
      </c>
      <c r="AG42" s="126"/>
      <c r="AH42" s="126"/>
      <c r="AI42" s="126"/>
      <c r="AJ42" s="130"/>
      <c r="AK42" s="130"/>
      <c r="AL42" s="130"/>
      <c r="AM42" s="127">
        <f>AG42*'1. Standard_Cost'!$B$27+'Incremental_Cost Year 9'!AH42*'1. Standard_Cost'!$C$27+'Incremental_Cost Year 9'!AI42*'1. Standard_Cost'!$D$27+'Incremental_Cost Year 9'!AJ42+'Incremental_Cost Year 9'!AL42+AK42</f>
        <v>0</v>
      </c>
      <c r="AN42" s="127">
        <f>AM42*'1. Standard_Cost'!$C$31</f>
        <v>0</v>
      </c>
      <c r="AO42" s="130"/>
      <c r="AQ42" s="171">
        <f>L42+M42</f>
        <v>235588.125</v>
      </c>
      <c r="AR42" s="171">
        <f>AF42</f>
        <v>2793600</v>
      </c>
      <c r="AS42" s="171">
        <f>AM42+AN42</f>
        <v>0</v>
      </c>
      <c r="AT42" s="171">
        <f>SUM(AQ42,AR42,AS42)</f>
        <v>3029188.125</v>
      </c>
      <c r="AU42" s="250">
        <f>AQ42</f>
        <v>235588.125</v>
      </c>
      <c r="AV42" s="250"/>
      <c r="AW42" s="250"/>
      <c r="AX42" s="250"/>
      <c r="AY42" s="250"/>
      <c r="AZ42" s="250"/>
      <c r="BA42" s="250"/>
      <c r="BB42" s="251">
        <f t="shared" si="32"/>
        <v>-2793600</v>
      </c>
      <c r="BC42" s="169"/>
      <c r="BD42" s="169"/>
      <c r="BE42" s="169"/>
      <c r="BF42" s="169"/>
    </row>
    <row r="43" spans="1:58" ht="47.25" outlineLevel="2" x14ac:dyDescent="0.25">
      <c r="A43" s="115"/>
      <c r="B43" s="200"/>
      <c r="C43" s="201"/>
      <c r="D43" s="223"/>
      <c r="E43" s="219"/>
      <c r="F43" s="219"/>
      <c r="G43" s="313"/>
      <c r="H43" s="199" t="s">
        <v>223</v>
      </c>
      <c r="I43" s="130"/>
      <c r="J43" s="126"/>
      <c r="K43" s="126"/>
      <c r="L43" s="125" t="str">
        <f>IF(I43&lt;&gt;0,((VLOOKUP(I43,'1. Standard_Cost'!$B$4:$D$11,2)+VLOOKUP(I43,'1. Standard_Cost'!$B$4:$D$11,3))*J43*K43),"0")</f>
        <v>0</v>
      </c>
      <c r="M43" s="125">
        <f>L43*'1. Standard_Cost'!$F$4</f>
        <v>0</v>
      </c>
      <c r="N43" s="126"/>
      <c r="O43" s="126"/>
      <c r="P43" s="126"/>
      <c r="Q43" s="126"/>
      <c r="R43" s="127">
        <f>'1. Standard_Cost'!$B$15*N43*P43</f>
        <v>0</v>
      </c>
      <c r="S43" s="127">
        <f>N43*O43*P43*'1. Standard_Cost'!$C$15</f>
        <v>0</v>
      </c>
      <c r="T43" s="127">
        <f>N43*P43*Q43*'1. Standard_Cost'!$D$15</f>
        <v>0</v>
      </c>
      <c r="U43" s="127">
        <f>N43*O43*'1. Standard_Cost'!$E$15</f>
        <v>0</v>
      </c>
      <c r="V43" s="126"/>
      <c r="W43" s="126"/>
      <c r="X43" s="126"/>
      <c r="Y43" s="127">
        <f>+V43*((X43*'1. Standard_Cost'!$B$19)+(W43*X43*'1. Standard_Cost'!$C$19))</f>
        <v>0</v>
      </c>
      <c r="Z43" s="126"/>
      <c r="AA43" s="126"/>
      <c r="AB43" s="127">
        <f>+Z43*'1. Standard_Cost'!$B$23+AA43*'1. Standard_Cost'!$C$23</f>
        <v>0</v>
      </c>
      <c r="AC43" s="128"/>
      <c r="AD43" s="129"/>
      <c r="AE43" s="127">
        <v>0</v>
      </c>
      <c r="AF43" s="127">
        <f>SUM(AE43,AD43,AC43,AB43,Y43,U43,T43,S43,R43)</f>
        <v>0</v>
      </c>
      <c r="AG43" s="126"/>
      <c r="AH43" s="126"/>
      <c r="AI43" s="126"/>
      <c r="AJ43" s="130"/>
      <c r="AK43" s="130"/>
      <c r="AL43" s="130"/>
      <c r="AM43" s="127">
        <f>AG43*'1. Standard_Cost'!$B$27+'Incremental_Cost Year 9'!AH43*'1. Standard_Cost'!$C$27+'Incremental_Cost Year 9'!AI43*'1. Standard_Cost'!$D$27+'Incremental_Cost Year 9'!AJ43+'Incremental_Cost Year 9'!AL43+AK43</f>
        <v>0</v>
      </c>
      <c r="AN43" s="127">
        <f>AM43*'1. Standard_Cost'!$C$31</f>
        <v>0</v>
      </c>
      <c r="AO43" s="130"/>
      <c r="AQ43" s="171">
        <f>L43+M43</f>
        <v>0</v>
      </c>
      <c r="AR43" s="171">
        <f>AF43</f>
        <v>0</v>
      </c>
      <c r="AS43" s="171">
        <f>AM43+AN43</f>
        <v>0</v>
      </c>
      <c r="AT43" s="171">
        <f>SUM(AQ43,AR43,AS43)</f>
        <v>0</v>
      </c>
      <c r="AU43" s="250"/>
      <c r="AV43" s="250"/>
      <c r="AW43" s="250"/>
      <c r="AX43" s="250"/>
      <c r="AY43" s="250"/>
      <c r="AZ43" s="250"/>
      <c r="BA43" s="250"/>
      <c r="BB43" s="251">
        <f t="shared" si="32"/>
        <v>0</v>
      </c>
      <c r="BC43" s="169"/>
      <c r="BD43" s="169"/>
      <c r="BE43" s="169"/>
      <c r="BF43" s="169"/>
    </row>
    <row r="44" spans="1:58" ht="63" outlineLevel="1" x14ac:dyDescent="0.25">
      <c r="A44" s="115"/>
      <c r="B44" s="165"/>
      <c r="C44" s="166"/>
      <c r="D44" s="150" t="s">
        <v>396</v>
      </c>
      <c r="E44" s="139" t="s">
        <v>205</v>
      </c>
      <c r="F44" s="222">
        <v>2022</v>
      </c>
      <c r="G44" s="117">
        <v>2030</v>
      </c>
      <c r="H44" s="134" t="s">
        <v>206</v>
      </c>
      <c r="I44" s="252"/>
      <c r="J44" s="252"/>
      <c r="K44" s="252"/>
      <c r="L44" s="127">
        <f>SUM(L41:L43)</f>
        <v>201875</v>
      </c>
      <c r="M44" s="127">
        <f>SUM(M41:M43)</f>
        <v>33713.125</v>
      </c>
      <c r="N44" s="127"/>
      <c r="O44" s="252"/>
      <c r="P44" s="252"/>
      <c r="Q44" s="252"/>
      <c r="R44" s="127">
        <f>SUM(R41:R43)</f>
        <v>500000</v>
      </c>
      <c r="S44" s="127">
        <f>SUM(S41:S43)</f>
        <v>375000</v>
      </c>
      <c r="T44" s="127">
        <f>SUM(T41:T43)</f>
        <v>0</v>
      </c>
      <c r="U44" s="127">
        <f>SUM(U41:U43)</f>
        <v>400000</v>
      </c>
      <c r="V44" s="252"/>
      <c r="W44" s="252"/>
      <c r="X44" s="252"/>
      <c r="Y44" s="127">
        <f>SUM(Y41:Y43)</f>
        <v>0</v>
      </c>
      <c r="Z44" s="252"/>
      <c r="AA44" s="252"/>
      <c r="AB44" s="127">
        <f>SUM(AB41:AB43)</f>
        <v>228000</v>
      </c>
      <c r="AC44" s="127">
        <f>SUM(AC41:AC43)</f>
        <v>825000</v>
      </c>
      <c r="AD44" s="127">
        <f>SUM(AD41:AD43)</f>
        <v>0</v>
      </c>
      <c r="AE44" s="127">
        <f>SUM(AE41:AE43)</f>
        <v>465600</v>
      </c>
      <c r="AF44" s="127">
        <f>SUM(AF41:AF43)</f>
        <v>2793600</v>
      </c>
      <c r="AG44" s="252"/>
      <c r="AH44" s="252"/>
      <c r="AI44" s="252"/>
      <c r="AJ44" s="127">
        <f>SUM(AJ41:AJ43)</f>
        <v>0</v>
      </c>
      <c r="AK44" s="127">
        <f>SUM(AK41:AK43)</f>
        <v>0</v>
      </c>
      <c r="AL44" s="127">
        <f>SUM(AL41:AL43)</f>
        <v>0</v>
      </c>
      <c r="AM44" s="127">
        <f>SUM(AM41:AM43)</f>
        <v>0</v>
      </c>
      <c r="AN44" s="127">
        <f>SUM(AN41:AN43)</f>
        <v>0</v>
      </c>
      <c r="AO44" s="253"/>
      <c r="AP44" s="254"/>
      <c r="AQ44" s="175">
        <f>SUM(AQ41:AQ43)</f>
        <v>235588.125</v>
      </c>
      <c r="AR44" s="175">
        <f>SUM(AR41:AR43)</f>
        <v>2793600</v>
      </c>
      <c r="AS44" s="175">
        <f>SUM(AS41:AS43)</f>
        <v>0</v>
      </c>
      <c r="AT44" s="175">
        <f>SUM(AT41:AT43)</f>
        <v>3029188.125</v>
      </c>
      <c r="AU44" s="175">
        <f t="shared" ref="AU44:BB44" si="33">SUM(AU41:AU43)</f>
        <v>235588.125</v>
      </c>
      <c r="AV44" s="175">
        <f t="shared" si="33"/>
        <v>0</v>
      </c>
      <c r="AW44" s="175">
        <f t="shared" si="33"/>
        <v>0</v>
      </c>
      <c r="AX44" s="175">
        <f t="shared" si="33"/>
        <v>0</v>
      </c>
      <c r="AY44" s="175">
        <f t="shared" si="33"/>
        <v>0</v>
      </c>
      <c r="AZ44" s="175">
        <f t="shared" si="33"/>
        <v>0</v>
      </c>
      <c r="BA44" s="175">
        <f t="shared" si="33"/>
        <v>0</v>
      </c>
      <c r="BB44" s="175">
        <f t="shared" si="33"/>
        <v>-2793600</v>
      </c>
      <c r="BC44" s="169"/>
      <c r="BD44" s="169"/>
      <c r="BE44" s="169"/>
      <c r="BF44" s="169"/>
    </row>
    <row r="45" spans="1:58" s="170" customFormat="1" ht="15.75" customHeight="1" x14ac:dyDescent="0.25">
      <c r="A45" s="120"/>
      <c r="B45" s="290"/>
      <c r="C45" s="391" t="s">
        <v>210</v>
      </c>
      <c r="D45" s="391"/>
      <c r="E45" s="392"/>
      <c r="F45" s="289"/>
      <c r="G45" s="288"/>
      <c r="H45" s="114" t="s">
        <v>213</v>
      </c>
      <c r="I45" s="246"/>
      <c r="J45" s="246"/>
      <c r="K45" s="246"/>
      <c r="L45" s="247">
        <f>SUM(L50+L56+L60)</f>
        <v>1075889568.5714285</v>
      </c>
      <c r="M45" s="247">
        <f>SUM(M50+M56+M60)</f>
        <v>179673557.95142856</v>
      </c>
      <c r="N45" s="247"/>
      <c r="O45" s="247"/>
      <c r="P45" s="247"/>
      <c r="Q45" s="247"/>
      <c r="R45" s="247">
        <f>SUM(R50+R56+R60)</f>
        <v>0</v>
      </c>
      <c r="S45" s="247">
        <f>SUM(S50+S56+S60)</f>
        <v>0</v>
      </c>
      <c r="T45" s="247">
        <f>SUM(T50+T56+T60)</f>
        <v>0</v>
      </c>
      <c r="U45" s="247">
        <f>SUM(U50+U56+U60)</f>
        <v>0</v>
      </c>
      <c r="V45" s="247"/>
      <c r="W45" s="247"/>
      <c r="X45" s="247"/>
      <c r="Y45" s="247">
        <f>SUM(Y50+Y56+Y60)</f>
        <v>0</v>
      </c>
      <c r="Z45" s="247">
        <f t="shared" ref="Z45:AA45" si="34">SUM(Z50+Z56+Z60)</f>
        <v>0</v>
      </c>
      <c r="AA45" s="247">
        <f t="shared" si="34"/>
        <v>0</v>
      </c>
      <c r="AB45" s="247">
        <f t="shared" ref="AB45:AF45" si="35">SUM(AB50+AB56+AB60)</f>
        <v>0</v>
      </c>
      <c r="AC45" s="247">
        <f t="shared" si="35"/>
        <v>10050000</v>
      </c>
      <c r="AD45" s="247">
        <f t="shared" si="35"/>
        <v>0</v>
      </c>
      <c r="AE45" s="247">
        <f t="shared" si="35"/>
        <v>2010000</v>
      </c>
      <c r="AF45" s="247">
        <f t="shared" si="35"/>
        <v>12060000</v>
      </c>
      <c r="AG45" s="247"/>
      <c r="AH45" s="247"/>
      <c r="AI45" s="247"/>
      <c r="AJ45" s="247">
        <f>SUM(AJ50+AJ56+AJ60)</f>
        <v>0</v>
      </c>
      <c r="AK45" s="247">
        <f>SUM(AK50+AK56+AK60)</f>
        <v>0</v>
      </c>
      <c r="AL45" s="247">
        <f>SUM(AL50+AL56+AL60)</f>
        <v>0</v>
      </c>
      <c r="AM45" s="247">
        <f>SUM(AM50+AM56+AM60)</f>
        <v>0</v>
      </c>
      <c r="AN45" s="247">
        <f>SUM(AN50+AN56+AN60)</f>
        <v>0</v>
      </c>
      <c r="AO45" s="247"/>
      <c r="AP45" s="244"/>
      <c r="AQ45" s="248">
        <f>SUM(AQ50+AQ56+AQ60)</f>
        <v>1255563126.522857</v>
      </c>
      <c r="AR45" s="248">
        <f>SUM(AR50+AR56+AR60)</f>
        <v>12060000</v>
      </c>
      <c r="AS45" s="248">
        <f>SUM(AS50+AS56+AS60)</f>
        <v>0</v>
      </c>
      <c r="AT45" s="248">
        <f>SUM(AT50+AT56+AT60)</f>
        <v>1267623126.522857</v>
      </c>
      <c r="AU45" s="248">
        <f t="shared" ref="AU45:BB45" si="36">SUM(AU50+AU56+AU60)</f>
        <v>1267623126.522857</v>
      </c>
      <c r="AV45" s="248">
        <f t="shared" si="36"/>
        <v>0</v>
      </c>
      <c r="AW45" s="248">
        <f t="shared" si="36"/>
        <v>0</v>
      </c>
      <c r="AX45" s="248">
        <f t="shared" si="36"/>
        <v>0</v>
      </c>
      <c r="AY45" s="248">
        <f t="shared" si="36"/>
        <v>0</v>
      </c>
      <c r="AZ45" s="248">
        <f t="shared" si="36"/>
        <v>0</v>
      </c>
      <c r="BA45" s="248">
        <f t="shared" si="36"/>
        <v>0</v>
      </c>
      <c r="BB45" s="248">
        <f t="shared" si="36"/>
        <v>0</v>
      </c>
    </row>
    <row r="46" spans="1:58" ht="78.75" outlineLevel="2" x14ac:dyDescent="0.25">
      <c r="A46" s="115"/>
      <c r="B46" s="200"/>
      <c r="C46" s="201"/>
      <c r="D46" s="138"/>
      <c r="E46" s="295"/>
      <c r="F46" s="295"/>
      <c r="G46" s="296"/>
      <c r="H46" s="199" t="s">
        <v>397</v>
      </c>
      <c r="I46" s="130"/>
      <c r="J46" s="126"/>
      <c r="K46" s="126"/>
      <c r="L46" s="125" t="str">
        <f>IF(I46&lt;&gt;0,((VLOOKUP(I46,'1. Standard_Cost'!$B$4:$D$11,2)+VLOOKUP(I46,'1. Standard_Cost'!$B$4:$D$11,3))*J46*K46),"0")</f>
        <v>0</v>
      </c>
      <c r="M46" s="125">
        <f>L46*'1. Standard_Cost'!$F$4</f>
        <v>0</v>
      </c>
      <c r="N46" s="126"/>
      <c r="O46" s="126"/>
      <c r="P46" s="126"/>
      <c r="Q46" s="126"/>
      <c r="R46" s="127">
        <f>'1. Standard_Cost'!$B$15*N46*P46</f>
        <v>0</v>
      </c>
      <c r="S46" s="127">
        <f>N46*O46*P46*'1. Standard_Cost'!$C$15</f>
        <v>0</v>
      </c>
      <c r="T46" s="127">
        <f>N46*P46*Q46*'1. Standard_Cost'!$D$15</f>
        <v>0</v>
      </c>
      <c r="U46" s="127">
        <f>N46*O46*'1. Standard_Cost'!$E$15</f>
        <v>0</v>
      </c>
      <c r="V46" s="126"/>
      <c r="W46" s="126"/>
      <c r="X46" s="126"/>
      <c r="Y46" s="127">
        <f>+V46*((X46*'1. Standard_Cost'!$B$19)+(W46*X46*'1. Standard_Cost'!$C$19))</f>
        <v>0</v>
      </c>
      <c r="Z46" s="126"/>
      <c r="AA46" s="126"/>
      <c r="AB46" s="127">
        <f>+Z46*'1. Standard_Cost'!$B$23+AA46*'1. Standard_Cost'!$C$23</f>
        <v>0</v>
      </c>
      <c r="AC46" s="128"/>
      <c r="AD46" s="129"/>
      <c r="AE46" s="127">
        <f>SUM(AD46,AC46,AB46,Y46,U46,T46,S46,R46)*'1. Standard_Cost'!$B$31</f>
        <v>0</v>
      </c>
      <c r="AF46" s="127">
        <f>SUM(AE46,AD46,AC46,AB46,Y46,U46,T46,S46,R46)</f>
        <v>0</v>
      </c>
      <c r="AG46" s="126"/>
      <c r="AH46" s="126"/>
      <c r="AI46" s="126"/>
      <c r="AJ46" s="130"/>
      <c r="AK46" s="130"/>
      <c r="AL46" s="130"/>
      <c r="AM46" s="127">
        <f>AG46*'1. Standard_Cost'!$B$27+'Incremental_Cost Year 9'!AH46*'1. Standard_Cost'!$C$27+'Incremental_Cost Year 9'!AI46*'1. Standard_Cost'!$D$27+'Incremental_Cost Year 9'!AJ46+'Incremental_Cost Year 9'!AL46+AK46</f>
        <v>0</v>
      </c>
      <c r="AN46" s="127">
        <f>AM46*'1. Standard_Cost'!$C$31</f>
        <v>0</v>
      </c>
      <c r="AO46" s="249"/>
      <c r="AQ46" s="171">
        <f>L46+M46</f>
        <v>0</v>
      </c>
      <c r="AR46" s="171">
        <f>AF46</f>
        <v>0</v>
      </c>
      <c r="AS46" s="171">
        <f>AM46+AN46</f>
        <v>0</v>
      </c>
      <c r="AT46" s="171">
        <f>SUM(AQ46,AR46,AS46)</f>
        <v>0</v>
      </c>
      <c r="AU46" s="250">
        <f>AQ46</f>
        <v>0</v>
      </c>
      <c r="AV46" s="250"/>
      <c r="AW46" s="250"/>
      <c r="AX46" s="250"/>
      <c r="AY46" s="250"/>
      <c r="AZ46" s="250"/>
      <c r="BA46" s="250"/>
      <c r="BB46" s="251">
        <f t="shared" ref="BB46:BB49" si="37">SUM(AU46:BA46)-AT46</f>
        <v>0</v>
      </c>
      <c r="BC46" s="169"/>
      <c r="BD46" s="169"/>
      <c r="BE46" s="169"/>
      <c r="BF46" s="169"/>
    </row>
    <row r="47" spans="1:58" ht="47.25" outlineLevel="2" x14ac:dyDescent="0.25">
      <c r="A47" s="115"/>
      <c r="B47" s="200"/>
      <c r="C47" s="201"/>
      <c r="D47" s="135"/>
      <c r="E47" s="219"/>
      <c r="F47" s="219"/>
      <c r="G47" s="313"/>
      <c r="H47" s="199" t="s">
        <v>307</v>
      </c>
      <c r="I47" s="130"/>
      <c r="J47" s="126"/>
      <c r="K47" s="126"/>
      <c r="L47" s="125" t="str">
        <f>IF(I47&lt;&gt;0,((VLOOKUP(I47,'1. Standard_Cost'!$B$4:$D$11,2)+VLOOKUP(I47,'1. Standard_Cost'!$B$4:$D$11,3))*J47*K47),"0")</f>
        <v>0</v>
      </c>
      <c r="M47" s="125">
        <f>L47*'1. Standard_Cost'!$F$4</f>
        <v>0</v>
      </c>
      <c r="N47" s="126"/>
      <c r="O47" s="126"/>
      <c r="P47" s="126"/>
      <c r="Q47" s="126"/>
      <c r="R47" s="127">
        <f>'1. Standard_Cost'!$B$15*N47*P47</f>
        <v>0</v>
      </c>
      <c r="S47" s="127">
        <f>N47*O47*P47*'1. Standard_Cost'!$C$15</f>
        <v>0</v>
      </c>
      <c r="T47" s="127">
        <f>N47*P47*Q47*'1. Standard_Cost'!$D$15</f>
        <v>0</v>
      </c>
      <c r="U47" s="127">
        <f>N47*O47*'1. Standard_Cost'!$E$15</f>
        <v>0</v>
      </c>
      <c r="V47" s="126"/>
      <c r="W47" s="126"/>
      <c r="X47" s="126"/>
      <c r="Y47" s="127">
        <f>+V47*((X47*'1. Standard_Cost'!$B$19)+(W47*X47*'1. Standard_Cost'!$C$19))</f>
        <v>0</v>
      </c>
      <c r="Z47" s="126"/>
      <c r="AA47" s="126"/>
      <c r="AB47" s="127">
        <f>+Z47*'1. Standard_Cost'!$B$23+AA47*'1. Standard_Cost'!$C$23</f>
        <v>0</v>
      </c>
      <c r="AC47" s="128"/>
      <c r="AD47" s="129"/>
      <c r="AE47" s="127">
        <f>SUM(AD47,AC47,AB47,Y47,U47,T47,S47,R47)*'1. Standard_Cost'!$B$31</f>
        <v>0</v>
      </c>
      <c r="AF47" s="127">
        <f>SUM(AE47,AD47,AC47,AB47,Y47,U47,T47,S47,R47)</f>
        <v>0</v>
      </c>
      <c r="AG47" s="126"/>
      <c r="AH47" s="126"/>
      <c r="AI47" s="126"/>
      <c r="AJ47" s="130"/>
      <c r="AK47" s="130"/>
      <c r="AL47" s="130"/>
      <c r="AM47" s="127">
        <f>AG47*'1. Standard_Cost'!$B$27+'Incremental_Cost Year 9'!AH47*'1. Standard_Cost'!$C$27+'Incremental_Cost Year 9'!AI47*'1. Standard_Cost'!$D$27+'Incremental_Cost Year 9'!AJ47+'Incremental_Cost Year 9'!AL47+AK47</f>
        <v>0</v>
      </c>
      <c r="AN47" s="127">
        <f>AM47*'1. Standard_Cost'!$C$31</f>
        <v>0</v>
      </c>
      <c r="AO47" s="130"/>
      <c r="AQ47" s="171">
        <f>L47+M47</f>
        <v>0</v>
      </c>
      <c r="AR47" s="171">
        <f>AF47</f>
        <v>0</v>
      </c>
      <c r="AS47" s="171">
        <f>AM47+AN47</f>
        <v>0</v>
      </c>
      <c r="AT47" s="171">
        <f>SUM(AQ47,AR47,AS47)</f>
        <v>0</v>
      </c>
      <c r="AU47" s="250"/>
      <c r="AV47" s="250"/>
      <c r="AW47" s="250"/>
      <c r="AX47" s="250"/>
      <c r="AY47" s="250"/>
      <c r="AZ47" s="250"/>
      <c r="BA47" s="250"/>
      <c r="BB47" s="251">
        <f t="shared" si="37"/>
        <v>0</v>
      </c>
      <c r="BC47" s="169"/>
      <c r="BD47" s="169"/>
      <c r="BE47" s="169"/>
      <c r="BF47" s="169"/>
    </row>
    <row r="48" spans="1:58" ht="63" outlineLevel="2" x14ac:dyDescent="0.25">
      <c r="A48" s="115"/>
      <c r="B48" s="200"/>
      <c r="C48" s="201"/>
      <c r="D48" s="135"/>
      <c r="E48" s="219"/>
      <c r="F48" s="219"/>
      <c r="G48" s="313"/>
      <c r="H48" s="199" t="s">
        <v>308</v>
      </c>
      <c r="I48" s="130"/>
      <c r="J48" s="126"/>
      <c r="K48" s="126"/>
      <c r="L48" s="125" t="str">
        <f>IF(I48&lt;&gt;0,((VLOOKUP(I48,'1. Standard_Cost'!$B$4:$D$11,2)+VLOOKUP(I48,'1. Standard_Cost'!$B$4:$D$11,3))*J48*K48),"0")</f>
        <v>0</v>
      </c>
      <c r="M48" s="125">
        <f>L48*'1. Standard_Cost'!$F$4</f>
        <v>0</v>
      </c>
      <c r="N48" s="126"/>
      <c r="O48" s="126"/>
      <c r="P48" s="126"/>
      <c r="Q48" s="126"/>
      <c r="R48" s="127">
        <f>'1. Standard_Cost'!$B$15*N48*P48</f>
        <v>0</v>
      </c>
      <c r="S48" s="127">
        <f>N48*O48*P48*'1. Standard_Cost'!$C$15</f>
        <v>0</v>
      </c>
      <c r="T48" s="127">
        <f>N48*P48*Q48*'1. Standard_Cost'!$D$15</f>
        <v>0</v>
      </c>
      <c r="U48" s="127">
        <f>N48*O48*'1. Standard_Cost'!$E$15</f>
        <v>0</v>
      </c>
      <c r="V48" s="126"/>
      <c r="W48" s="126"/>
      <c r="X48" s="126"/>
      <c r="Y48" s="127">
        <f>+V48*((X48*'1. Standard_Cost'!$B$19)+(W48*X48*'1. Standard_Cost'!$C$19))</f>
        <v>0</v>
      </c>
      <c r="Z48" s="126"/>
      <c r="AA48" s="126"/>
      <c r="AB48" s="127">
        <f>+Z48*'1. Standard_Cost'!$B$23+AA48*'1. Standard_Cost'!$C$23</f>
        <v>0</v>
      </c>
      <c r="AC48" s="128"/>
      <c r="AD48" s="129"/>
      <c r="AE48" s="127">
        <f>SUM(AD48,AC48,AB48,Y48,U48,T48,S48,R48)*'1. Standard_Cost'!$B$31</f>
        <v>0</v>
      </c>
      <c r="AF48" s="127">
        <f>SUM(AE48,AD48,AC48,AB48,Y48,U48,T48,S48,R48)</f>
        <v>0</v>
      </c>
      <c r="AG48" s="126"/>
      <c r="AH48" s="126"/>
      <c r="AI48" s="126"/>
      <c r="AJ48" s="130"/>
      <c r="AK48" s="130"/>
      <c r="AL48" s="130"/>
      <c r="AM48" s="127">
        <f>AG48*'1. Standard_Cost'!$B$27+'Incremental_Cost Year 9'!AH48*'1. Standard_Cost'!$C$27+'Incremental_Cost Year 9'!AI48*'1. Standard_Cost'!$D$27+'Incremental_Cost Year 9'!AJ48+'Incremental_Cost Year 9'!AL48+AK48</f>
        <v>0</v>
      </c>
      <c r="AN48" s="127">
        <f>AM48*'1. Standard_Cost'!$C$31</f>
        <v>0</v>
      </c>
      <c r="AO48" s="249"/>
      <c r="AQ48" s="171">
        <f>L48+M48</f>
        <v>0</v>
      </c>
      <c r="AR48" s="171">
        <f>AF48</f>
        <v>0</v>
      </c>
      <c r="AS48" s="171">
        <f>AM48+AN48</f>
        <v>0</v>
      </c>
      <c r="AT48" s="171">
        <f>SUM(AQ48,AR48,AS48)</f>
        <v>0</v>
      </c>
      <c r="AU48" s="250"/>
      <c r="AV48" s="250"/>
      <c r="AW48" s="250"/>
      <c r="AX48" s="250"/>
      <c r="AY48" s="250"/>
      <c r="AZ48" s="250"/>
      <c r="BA48" s="250"/>
      <c r="BB48" s="251">
        <f t="shared" si="37"/>
        <v>0</v>
      </c>
      <c r="BC48" s="169"/>
      <c r="BD48" s="169"/>
      <c r="BE48" s="169"/>
      <c r="BF48" s="169"/>
    </row>
    <row r="49" spans="1:58" ht="94.5" outlineLevel="2" x14ac:dyDescent="0.25">
      <c r="A49" s="115"/>
      <c r="B49" s="200"/>
      <c r="C49" s="201"/>
      <c r="D49" s="223"/>
      <c r="E49" s="219"/>
      <c r="F49" s="219"/>
      <c r="G49" s="313"/>
      <c r="H49" s="199" t="s">
        <v>398</v>
      </c>
      <c r="I49" s="130"/>
      <c r="J49" s="126"/>
      <c r="K49" s="126"/>
      <c r="L49" s="125" t="str">
        <f>IF(I49&lt;&gt;0,((VLOOKUP(I49,'1. Standard_Cost'!$B$4:$D$11,2)+VLOOKUP(I49,'1. Standard_Cost'!$B$4:$D$11,3))*J49*K49),"0")</f>
        <v>0</v>
      </c>
      <c r="M49" s="125">
        <f>L49*'1. Standard_Cost'!$F$4</f>
        <v>0</v>
      </c>
      <c r="N49" s="126"/>
      <c r="O49" s="126"/>
      <c r="P49" s="126"/>
      <c r="Q49" s="126"/>
      <c r="R49" s="127">
        <f>'1. Standard_Cost'!$B$15*N49*P49</f>
        <v>0</v>
      </c>
      <c r="S49" s="127">
        <f>N49*O49*P49*'1. Standard_Cost'!$C$15</f>
        <v>0</v>
      </c>
      <c r="T49" s="127">
        <f>N49*P49*Q49*'1. Standard_Cost'!$D$15</f>
        <v>0</v>
      </c>
      <c r="U49" s="127">
        <f>N49*O49*'1. Standard_Cost'!$E$15</f>
        <v>0</v>
      </c>
      <c r="V49" s="126"/>
      <c r="W49" s="126"/>
      <c r="X49" s="126"/>
      <c r="Y49" s="127">
        <f>+V49*((X49*'1. Standard_Cost'!$B$19)+(W49*X49*'1. Standard_Cost'!$C$19))</f>
        <v>0</v>
      </c>
      <c r="Z49" s="126"/>
      <c r="AA49" s="126"/>
      <c r="AB49" s="127">
        <f>+Z49*'1. Standard_Cost'!$B$23+AA49*'1. Standard_Cost'!$C$23</f>
        <v>0</v>
      </c>
      <c r="AC49" s="128">
        <v>0</v>
      </c>
      <c r="AD49" s="129"/>
      <c r="AE49" s="127">
        <f>SUM(AD49,AC49,AB49,Y49,U49,T49,S49,R49)*'1. Standard_Cost'!$B$31</f>
        <v>0</v>
      </c>
      <c r="AF49" s="127">
        <f>SUM(AE49,AD49,AC49,AB49,Y49,U49,T49,S49,R49)</f>
        <v>0</v>
      </c>
      <c r="AG49" s="126"/>
      <c r="AH49" s="126"/>
      <c r="AI49" s="126"/>
      <c r="AJ49" s="130"/>
      <c r="AK49" s="130"/>
      <c r="AL49" s="130"/>
      <c r="AM49" s="127">
        <f>AG49*'1. Standard_Cost'!$B$27+'Incremental_Cost Year 9'!AH49*'1. Standard_Cost'!$C$27+'Incremental_Cost Year 9'!AI49*'1. Standard_Cost'!$D$27+'Incremental_Cost Year 9'!AJ49+'Incremental_Cost Year 9'!AL49+AK49</f>
        <v>0</v>
      </c>
      <c r="AN49" s="127">
        <f>AM49*'1. Standard_Cost'!$C$31</f>
        <v>0</v>
      </c>
      <c r="AO49" s="130"/>
      <c r="AQ49" s="171">
        <f>L49+M49</f>
        <v>0</v>
      </c>
      <c r="AR49" s="171">
        <f>AF49</f>
        <v>0</v>
      </c>
      <c r="AS49" s="171">
        <f>AM49+AN49</f>
        <v>0</v>
      </c>
      <c r="AT49" s="171">
        <f>SUM(AQ49,AR49,AS49)</f>
        <v>0</v>
      </c>
      <c r="AU49" s="250"/>
      <c r="AV49" s="250"/>
      <c r="AW49" s="250"/>
      <c r="AX49" s="250"/>
      <c r="AY49" s="250"/>
      <c r="AZ49" s="250"/>
      <c r="BA49" s="250"/>
      <c r="BB49" s="251">
        <f t="shared" si="37"/>
        <v>0</v>
      </c>
      <c r="BC49" s="169"/>
      <c r="BD49" s="169"/>
      <c r="BE49" s="169"/>
      <c r="BF49" s="169"/>
    </row>
    <row r="50" spans="1:58" ht="47.25" outlineLevel="1" x14ac:dyDescent="0.25">
      <c r="A50" s="115"/>
      <c r="B50" s="165"/>
      <c r="C50" s="166"/>
      <c r="D50" s="107" t="s">
        <v>388</v>
      </c>
      <c r="E50" s="139" t="s">
        <v>211</v>
      </c>
      <c r="F50" s="222">
        <v>2021</v>
      </c>
      <c r="G50" s="117">
        <v>2023</v>
      </c>
      <c r="H50" s="134" t="s">
        <v>212</v>
      </c>
      <c r="I50" s="252"/>
      <c r="J50" s="252"/>
      <c r="K50" s="252"/>
      <c r="L50" s="127">
        <f>SUM(L46:L49)</f>
        <v>0</v>
      </c>
      <c r="M50" s="127">
        <f>SUM(M46:M49)</f>
        <v>0</v>
      </c>
      <c r="N50" s="127"/>
      <c r="O50" s="252"/>
      <c r="P50" s="252"/>
      <c r="Q50" s="252"/>
      <c r="R50" s="127">
        <f>SUM(R46:R49)</f>
        <v>0</v>
      </c>
      <c r="S50" s="127">
        <f>SUM(S46:S49)</f>
        <v>0</v>
      </c>
      <c r="T50" s="127">
        <f>SUM(T46:T49)</f>
        <v>0</v>
      </c>
      <c r="U50" s="127">
        <f>SUM(U46:U49)</f>
        <v>0</v>
      </c>
      <c r="V50" s="252"/>
      <c r="W50" s="252"/>
      <c r="X50" s="252"/>
      <c r="Y50" s="127">
        <f>SUM(Y46:Y49)</f>
        <v>0</v>
      </c>
      <c r="Z50" s="252"/>
      <c r="AA50" s="252"/>
      <c r="AB50" s="127">
        <f>SUM(AB46:AB49)</f>
        <v>0</v>
      </c>
      <c r="AC50" s="127">
        <f>SUM(AC46:AC49)</f>
        <v>0</v>
      </c>
      <c r="AD50" s="127">
        <f>SUM(AD46:AD49)</f>
        <v>0</v>
      </c>
      <c r="AE50" s="127">
        <f>SUM(AE46:AE49)</f>
        <v>0</v>
      </c>
      <c r="AF50" s="127">
        <f>SUM(AF46:AF49)</f>
        <v>0</v>
      </c>
      <c r="AG50" s="252"/>
      <c r="AH50" s="252"/>
      <c r="AI50" s="252"/>
      <c r="AJ50" s="127">
        <f>SUM(AJ46:AJ49)</f>
        <v>0</v>
      </c>
      <c r="AK50" s="127">
        <f>SUM(AK46:AK49)</f>
        <v>0</v>
      </c>
      <c r="AL50" s="127">
        <f>SUM(AL46:AL49)</f>
        <v>0</v>
      </c>
      <c r="AM50" s="127">
        <f>SUM(AM46:AM49)</f>
        <v>0</v>
      </c>
      <c r="AN50" s="127">
        <f>SUM(AN46:AN49)</f>
        <v>0</v>
      </c>
      <c r="AO50" s="253"/>
      <c r="AP50" s="254"/>
      <c r="AQ50" s="175">
        <f>SUM(AQ46:AQ49)</f>
        <v>0</v>
      </c>
      <c r="AR50" s="175">
        <f>SUM(AR46:AR49)</f>
        <v>0</v>
      </c>
      <c r="AS50" s="175">
        <f>SUM(AS46:AS49)</f>
        <v>0</v>
      </c>
      <c r="AT50" s="175">
        <f>SUM(AT46:AT49)</f>
        <v>0</v>
      </c>
      <c r="AU50" s="175">
        <f t="shared" ref="AU50:BB50" si="38">SUM(AU46:AU49)</f>
        <v>0</v>
      </c>
      <c r="AV50" s="175">
        <f t="shared" si="38"/>
        <v>0</v>
      </c>
      <c r="AW50" s="175">
        <f t="shared" si="38"/>
        <v>0</v>
      </c>
      <c r="AX50" s="175">
        <f t="shared" si="38"/>
        <v>0</v>
      </c>
      <c r="AY50" s="175">
        <f t="shared" si="38"/>
        <v>0</v>
      </c>
      <c r="AZ50" s="175">
        <f t="shared" si="38"/>
        <v>0</v>
      </c>
      <c r="BA50" s="175">
        <f t="shared" si="38"/>
        <v>0</v>
      </c>
      <c r="BB50" s="175">
        <f t="shared" si="38"/>
        <v>0</v>
      </c>
      <c r="BC50" s="169"/>
      <c r="BD50" s="169"/>
      <c r="BE50" s="169"/>
      <c r="BF50" s="169"/>
    </row>
    <row r="51" spans="1:58" ht="110.25" outlineLevel="2" x14ac:dyDescent="0.25">
      <c r="A51" s="115"/>
      <c r="B51" s="200"/>
      <c r="C51" s="201"/>
      <c r="D51" s="138"/>
      <c r="E51" s="295"/>
      <c r="F51" s="295"/>
      <c r="G51" s="296"/>
      <c r="H51" s="199" t="s">
        <v>399</v>
      </c>
      <c r="I51" s="130"/>
      <c r="J51" s="126"/>
      <c r="K51" s="126"/>
      <c r="L51" s="125" t="str">
        <f>IF(I51&lt;&gt;0,((VLOOKUP(I51,'1. Standard_Cost'!$B$4:$D$11,2)+VLOOKUP(I51,'1. Standard_Cost'!$B$4:$D$11,3))*J51*K51),"0")</f>
        <v>0</v>
      </c>
      <c r="M51" s="125">
        <f>L51*'1. Standard_Cost'!$F$4</f>
        <v>0</v>
      </c>
      <c r="N51" s="126"/>
      <c r="O51" s="126"/>
      <c r="P51" s="126"/>
      <c r="Q51" s="126"/>
      <c r="R51" s="127">
        <f>'1. Standard_Cost'!$B$15*N51*P51</f>
        <v>0</v>
      </c>
      <c r="S51" s="127">
        <f>N51*O51*P51*'1. Standard_Cost'!$C$15</f>
        <v>0</v>
      </c>
      <c r="T51" s="127">
        <f>N51*P51*Q51*'1. Standard_Cost'!$D$15</f>
        <v>0</v>
      </c>
      <c r="U51" s="127">
        <f>N51*O51*'1. Standard_Cost'!$E$15</f>
        <v>0</v>
      </c>
      <c r="V51" s="126"/>
      <c r="W51" s="126"/>
      <c r="X51" s="126"/>
      <c r="Y51" s="127">
        <f>+V51*((X51*'1. Standard_Cost'!$B$19)+(W51*X51*'1. Standard_Cost'!$C$19))</f>
        <v>0</v>
      </c>
      <c r="Z51" s="126"/>
      <c r="AA51" s="126"/>
      <c r="AB51" s="127">
        <f>+Z51*'1. Standard_Cost'!$B$23+AA51*'1. Standard_Cost'!$C$23</f>
        <v>0</v>
      </c>
      <c r="AC51" s="128"/>
      <c r="AD51" s="129"/>
      <c r="AE51" s="127">
        <f>SUM(AD51,AC51,AB51,Y51,U51,T51,S51,R51)*'1. Standard_Cost'!$B$31</f>
        <v>0</v>
      </c>
      <c r="AF51" s="127">
        <f>SUM(AE51,AD51,AC51,AB51,Y51,U51,T51,S51,R51)</f>
        <v>0</v>
      </c>
      <c r="AG51" s="126"/>
      <c r="AH51" s="126"/>
      <c r="AI51" s="126"/>
      <c r="AJ51" s="130"/>
      <c r="AK51" s="130"/>
      <c r="AL51" s="130"/>
      <c r="AM51" s="127">
        <f>AG51*'1. Standard_Cost'!$B$27+'Incremental_Cost Year 9'!AH51*'1. Standard_Cost'!$C$27+'Incremental_Cost Year 9'!AI51*'1. Standard_Cost'!$D$27+'Incremental_Cost Year 9'!AJ51+'Incremental_Cost Year 9'!AL51+AK51</f>
        <v>0</v>
      </c>
      <c r="AN51" s="127">
        <f>AM51*'1. Standard_Cost'!$C$31</f>
        <v>0</v>
      </c>
      <c r="AO51" s="249"/>
      <c r="AQ51" s="171">
        <f>L51+M51</f>
        <v>0</v>
      </c>
      <c r="AR51" s="171">
        <f>AF51</f>
        <v>0</v>
      </c>
      <c r="AS51" s="171">
        <f>AM51+AN51</f>
        <v>0</v>
      </c>
      <c r="AT51" s="171">
        <f>SUM(AQ51,AR51,AS51)</f>
        <v>0</v>
      </c>
      <c r="AU51" s="250">
        <f>AQ51</f>
        <v>0</v>
      </c>
      <c r="AV51" s="250"/>
      <c r="AW51" s="250"/>
      <c r="AX51" s="250"/>
      <c r="AY51" s="250">
        <f>AR51</f>
        <v>0</v>
      </c>
      <c r="AZ51" s="250"/>
      <c r="BA51" s="250"/>
      <c r="BB51" s="251">
        <f t="shared" ref="BB51:BB55" si="39">SUM(AU51:BA51)-AT51</f>
        <v>0</v>
      </c>
      <c r="BC51" s="169"/>
      <c r="BD51" s="169"/>
      <c r="BE51" s="169"/>
      <c r="BF51" s="169"/>
    </row>
    <row r="52" spans="1:58" ht="63" outlineLevel="2" x14ac:dyDescent="0.25">
      <c r="A52" s="115"/>
      <c r="B52" s="200"/>
      <c r="C52" s="201"/>
      <c r="D52" s="135"/>
      <c r="E52" s="219"/>
      <c r="F52" s="219"/>
      <c r="G52" s="313"/>
      <c r="H52" s="213" t="s">
        <v>400</v>
      </c>
      <c r="I52" s="130" t="s">
        <v>1</v>
      </c>
      <c r="J52" s="126">
        <v>12</v>
      </c>
      <c r="K52" s="126">
        <f>416*3</f>
        <v>1248</v>
      </c>
      <c r="L52" s="125">
        <f>IF(I52&lt;&gt;0,((VLOOKUP(I52,'1. Standard_Cost'!$B$4:$D$11,2)+VLOOKUP(I52,'1. Standard_Cost'!$B$4:$D$11,3))*J52*K52),"0")</f>
        <v>1075169828.5714285</v>
      </c>
      <c r="M52" s="125">
        <f>L52*'1. Standard_Cost'!$F$4</f>
        <v>179553361.37142858</v>
      </c>
      <c r="N52" s="126"/>
      <c r="O52" s="126"/>
      <c r="P52" s="126"/>
      <c r="Q52" s="126"/>
      <c r="R52" s="127">
        <f>'1. Standard_Cost'!$B$15*N52*P52</f>
        <v>0</v>
      </c>
      <c r="S52" s="127">
        <f>N52*O52*P52*'1. Standard_Cost'!$C$15</f>
        <v>0</v>
      </c>
      <c r="T52" s="127">
        <f>N52*P52*Q52*'1. Standard_Cost'!$D$15</f>
        <v>0</v>
      </c>
      <c r="U52" s="127">
        <f>N52*O52*'1. Standard_Cost'!$E$15</f>
        <v>0</v>
      </c>
      <c r="V52" s="126"/>
      <c r="W52" s="126"/>
      <c r="X52" s="126"/>
      <c r="Y52" s="127">
        <f>+V52*((X52*'1. Standard_Cost'!$B$19)+(W52*X52*'1. Standard_Cost'!$C$19))</f>
        <v>0</v>
      </c>
      <c r="Z52" s="126"/>
      <c r="AA52" s="126"/>
      <c r="AB52" s="127">
        <f>+Z52*'1. Standard_Cost'!$B$23+AA52*'1. Standard_Cost'!$C$23</f>
        <v>0</v>
      </c>
      <c r="AC52" s="128">
        <f>100000/12*3*402</f>
        <v>10050000</v>
      </c>
      <c r="AD52" s="129"/>
      <c r="AE52" s="127">
        <f>SUM(AD52,AC52,AB52,Y52,U52,T52,S52,R52)*'1. Standard_Cost'!$B$31</f>
        <v>2010000</v>
      </c>
      <c r="AF52" s="127">
        <f>SUM(AE52,AD52,AC52,AB52,Y52,U52,T52,S52,R52)</f>
        <v>12060000</v>
      </c>
      <c r="AG52" s="126"/>
      <c r="AH52" s="126"/>
      <c r="AI52" s="126"/>
      <c r="AJ52" s="130"/>
      <c r="AK52" s="130"/>
      <c r="AL52" s="130"/>
      <c r="AM52" s="127">
        <f>AG52*'1. Standard_Cost'!$B$27+'Incremental_Cost Year 9'!AH52*'1. Standard_Cost'!$C$27+'Incremental_Cost Year 9'!AI52*'1. Standard_Cost'!$D$27+'Incremental_Cost Year 9'!AJ52+'Incremental_Cost Year 9'!AL52+AK52</f>
        <v>0</v>
      </c>
      <c r="AN52" s="127">
        <f>AM52*'1. Standard_Cost'!$C$31</f>
        <v>0</v>
      </c>
      <c r="AO52" s="130"/>
      <c r="AQ52" s="171">
        <f>L52+M52</f>
        <v>1254723189.942857</v>
      </c>
      <c r="AR52" s="171">
        <f>AF52</f>
        <v>12060000</v>
      </c>
      <c r="AS52" s="171">
        <f>AM52+AN52</f>
        <v>0</v>
      </c>
      <c r="AT52" s="171">
        <f>SUM(AQ52,AR52,AS52)</f>
        <v>1266783189.942857</v>
      </c>
      <c r="AU52" s="250">
        <f>AT52</f>
        <v>1266783189.942857</v>
      </c>
      <c r="AV52" s="250"/>
      <c r="AW52" s="250"/>
      <c r="AX52" s="250"/>
      <c r="AY52" s="250"/>
      <c r="AZ52" s="250"/>
      <c r="BA52" s="250"/>
      <c r="BB52" s="251">
        <f t="shared" si="39"/>
        <v>0</v>
      </c>
      <c r="BC52" s="169"/>
      <c r="BD52" s="169"/>
      <c r="BE52" s="169"/>
      <c r="BF52" s="169"/>
    </row>
    <row r="53" spans="1:58" ht="94.5" outlineLevel="2" x14ac:dyDescent="0.25">
      <c r="A53" s="115"/>
      <c r="B53" s="200"/>
      <c r="C53" s="201"/>
      <c r="D53" s="135"/>
      <c r="E53" s="219"/>
      <c r="F53" s="219"/>
      <c r="G53" s="313"/>
      <c r="H53" s="199" t="s">
        <v>227</v>
      </c>
      <c r="I53" s="130" t="s">
        <v>3</v>
      </c>
      <c r="J53" s="126">
        <v>6</v>
      </c>
      <c r="K53" s="126">
        <v>1</v>
      </c>
      <c r="L53" s="125">
        <f>IF(I53&lt;&gt;0,((VLOOKUP(I53,'1. Standard_Cost'!$B$4:$D$11,2)+VLOOKUP(I53,'1. Standard_Cost'!$B$4:$D$11,3))*J53*K53),"0")</f>
        <v>604800</v>
      </c>
      <c r="M53" s="125">
        <f>L53*'1. Standard_Cost'!$F$4</f>
        <v>101001.60000000001</v>
      </c>
      <c r="N53" s="126"/>
      <c r="O53" s="126"/>
      <c r="P53" s="126"/>
      <c r="Q53" s="126"/>
      <c r="R53" s="127">
        <f>'1. Standard_Cost'!$B$15*N53*P53</f>
        <v>0</v>
      </c>
      <c r="S53" s="127">
        <f>N53*O53*P53*'1. Standard_Cost'!$C$15</f>
        <v>0</v>
      </c>
      <c r="T53" s="127">
        <f>N53*P53*Q53*'1. Standard_Cost'!$D$15</f>
        <v>0</v>
      </c>
      <c r="U53" s="127">
        <f>N53*O53*'1. Standard_Cost'!$E$15</f>
        <v>0</v>
      </c>
      <c r="V53" s="126"/>
      <c r="W53" s="126"/>
      <c r="X53" s="126"/>
      <c r="Y53" s="127">
        <f>+V53*((X53*'1. Standard_Cost'!$B$19)+(W53*X53*'1. Standard_Cost'!$C$19))</f>
        <v>0</v>
      </c>
      <c r="Z53" s="126"/>
      <c r="AA53" s="126"/>
      <c r="AB53" s="127">
        <f>+Z53*'1. Standard_Cost'!$B$23+AA53*'1. Standard_Cost'!$C$23</f>
        <v>0</v>
      </c>
      <c r="AC53" s="128"/>
      <c r="AD53" s="129"/>
      <c r="AE53" s="127">
        <f>SUM(AD53,AC53,AB53,Y53,U53,T53,S53,R53)*'1. Standard_Cost'!$B$31</f>
        <v>0</v>
      </c>
      <c r="AF53" s="127">
        <f>SUM(AE53,AD53,AC53,AB53,Y53,U53,T53,S53,R53)</f>
        <v>0</v>
      </c>
      <c r="AG53" s="126"/>
      <c r="AH53" s="126"/>
      <c r="AI53" s="126"/>
      <c r="AJ53" s="130"/>
      <c r="AK53" s="130"/>
      <c r="AL53" s="130"/>
      <c r="AM53" s="127">
        <f>AG53*'1. Standard_Cost'!$B$27+'Incremental_Cost Year 9'!AH53*'1. Standard_Cost'!$C$27+'Incremental_Cost Year 9'!AI53*'1. Standard_Cost'!$D$27+'Incremental_Cost Year 9'!AJ53+'Incremental_Cost Year 9'!AL53+AK53</f>
        <v>0</v>
      </c>
      <c r="AN53" s="127">
        <f>AM53*'1. Standard_Cost'!$C$31</f>
        <v>0</v>
      </c>
      <c r="AO53" s="130"/>
      <c r="AQ53" s="171">
        <f>L53+M53</f>
        <v>705801.6</v>
      </c>
      <c r="AR53" s="171">
        <f>AF53</f>
        <v>0</v>
      </c>
      <c r="AS53" s="171">
        <f>AM53+AN53</f>
        <v>0</v>
      </c>
      <c r="AT53" s="171">
        <f>SUM(AQ53,AR53,AS53)</f>
        <v>705801.6</v>
      </c>
      <c r="AU53" s="250">
        <f>AQ53</f>
        <v>705801.6</v>
      </c>
      <c r="AV53" s="250"/>
      <c r="AW53" s="250"/>
      <c r="AX53" s="250"/>
      <c r="AY53" s="250"/>
      <c r="AZ53" s="250"/>
      <c r="BA53" s="250"/>
      <c r="BB53" s="251">
        <f t="shared" si="39"/>
        <v>0</v>
      </c>
      <c r="BC53" s="169"/>
      <c r="BD53" s="169"/>
      <c r="BE53" s="169"/>
      <c r="BF53" s="169"/>
    </row>
    <row r="54" spans="1:58" ht="78.75" outlineLevel="2" x14ac:dyDescent="0.25">
      <c r="A54" s="115"/>
      <c r="B54" s="200"/>
      <c r="C54" s="201"/>
      <c r="D54" s="135"/>
      <c r="E54" s="219"/>
      <c r="F54" s="219"/>
      <c r="G54" s="313"/>
      <c r="H54" s="199" t="s">
        <v>228</v>
      </c>
      <c r="I54" s="130" t="s">
        <v>5</v>
      </c>
      <c r="J54" s="126">
        <v>0.2</v>
      </c>
      <c r="K54" s="126">
        <v>1</v>
      </c>
      <c r="L54" s="125">
        <f>IF(I54&lt;&gt;0,((VLOOKUP(I54,'1. Standard_Cost'!$B$4:$D$11,2)+VLOOKUP(I54,'1. Standard_Cost'!$B$4:$D$11,3))*J54*K54),"0")</f>
        <v>14140</v>
      </c>
      <c r="M54" s="125">
        <f>L54*'1. Standard_Cost'!$F$4</f>
        <v>2361.38</v>
      </c>
      <c r="N54" s="126"/>
      <c r="O54" s="126"/>
      <c r="P54" s="126"/>
      <c r="Q54" s="126"/>
      <c r="R54" s="127">
        <f>'1. Standard_Cost'!$B$15*N54*P54</f>
        <v>0</v>
      </c>
      <c r="S54" s="127">
        <f>N54*O54*P54*'1. Standard_Cost'!$C$15</f>
        <v>0</v>
      </c>
      <c r="T54" s="127">
        <f>N54*P54*Q54*'1. Standard_Cost'!$D$15</f>
        <v>0</v>
      </c>
      <c r="U54" s="127">
        <f>N54*O54*'1. Standard_Cost'!$E$15</f>
        <v>0</v>
      </c>
      <c r="V54" s="126"/>
      <c r="W54" s="126"/>
      <c r="X54" s="126"/>
      <c r="Y54" s="127">
        <f>+V54*((X54*'1. Standard_Cost'!$B$19)+(W54*X54*'1. Standard_Cost'!$C$19))</f>
        <v>0</v>
      </c>
      <c r="Z54" s="126"/>
      <c r="AA54" s="126"/>
      <c r="AB54" s="127">
        <f>+Z54*'1. Standard_Cost'!$B$23+AA54*'1. Standard_Cost'!$C$23</f>
        <v>0</v>
      </c>
      <c r="AC54" s="128"/>
      <c r="AD54" s="129"/>
      <c r="AE54" s="127">
        <f>SUM(AD54,AC54,AB54,Y54,U54,T54,S54,R54)*'1. Standard_Cost'!$B$31</f>
        <v>0</v>
      </c>
      <c r="AF54" s="127">
        <f>SUM(AE54,AD54,AC54,AB54,Y54,U54,T54,S54,R54)</f>
        <v>0</v>
      </c>
      <c r="AG54" s="126"/>
      <c r="AH54" s="126"/>
      <c r="AI54" s="126"/>
      <c r="AJ54" s="130"/>
      <c r="AK54" s="130"/>
      <c r="AL54" s="130"/>
      <c r="AM54" s="127">
        <f>AG54*'1. Standard_Cost'!$B$27+'Incremental_Cost Year 9'!AH54*'1. Standard_Cost'!$C$27+'Incremental_Cost Year 9'!AI54*'1. Standard_Cost'!$D$27+'Incremental_Cost Year 9'!AJ54+'Incremental_Cost Year 9'!AL54+AK54</f>
        <v>0</v>
      </c>
      <c r="AN54" s="127">
        <f>AM54*'1. Standard_Cost'!$C$31</f>
        <v>0</v>
      </c>
      <c r="AO54" s="130"/>
      <c r="AQ54" s="171">
        <f>L54+M54</f>
        <v>16501.38</v>
      </c>
      <c r="AR54" s="171">
        <f>AF54</f>
        <v>0</v>
      </c>
      <c r="AS54" s="171">
        <f>AM54+AN54</f>
        <v>0</v>
      </c>
      <c r="AT54" s="171">
        <f>SUM(AQ54,AR54,AS54)</f>
        <v>16501.38</v>
      </c>
      <c r="AU54" s="250">
        <f>AQ54</f>
        <v>16501.38</v>
      </c>
      <c r="AV54" s="250"/>
      <c r="AW54" s="250"/>
      <c r="AX54" s="250"/>
      <c r="AY54" s="250"/>
      <c r="AZ54" s="250"/>
      <c r="BA54" s="250"/>
      <c r="BB54" s="251">
        <f t="shared" si="39"/>
        <v>0</v>
      </c>
      <c r="BC54" s="169"/>
      <c r="BD54" s="169"/>
      <c r="BE54" s="169"/>
      <c r="BF54" s="169"/>
    </row>
    <row r="55" spans="1:58" ht="63" outlineLevel="2" x14ac:dyDescent="0.25">
      <c r="A55" s="115"/>
      <c r="B55" s="200"/>
      <c r="C55" s="201"/>
      <c r="D55" s="223"/>
      <c r="E55" s="219"/>
      <c r="F55" s="219"/>
      <c r="G55" s="313"/>
      <c r="H55" s="199" t="s">
        <v>229</v>
      </c>
      <c r="I55" s="130" t="s">
        <v>3</v>
      </c>
      <c r="J55" s="126">
        <v>1</v>
      </c>
      <c r="K55" s="126">
        <v>1</v>
      </c>
      <c r="L55" s="125">
        <f>IF(I55&lt;&gt;0,((VLOOKUP(I55,'1. Standard_Cost'!$B$4:$D$11,2)+VLOOKUP(I55,'1. Standard_Cost'!$B$4:$D$11,3))*J55*K55),"0")</f>
        <v>100800</v>
      </c>
      <c r="M55" s="125">
        <f>L55*'1. Standard_Cost'!$F$4</f>
        <v>16833.600000000002</v>
      </c>
      <c r="N55" s="126"/>
      <c r="O55" s="126"/>
      <c r="P55" s="126"/>
      <c r="Q55" s="126"/>
      <c r="R55" s="127">
        <f>'1. Standard_Cost'!$B$15*N55*P55</f>
        <v>0</v>
      </c>
      <c r="S55" s="127">
        <f>N55*O55*P55*'1. Standard_Cost'!$C$15</f>
        <v>0</v>
      </c>
      <c r="T55" s="127">
        <f>N55*P55*Q55*'1. Standard_Cost'!$D$15</f>
        <v>0</v>
      </c>
      <c r="U55" s="127">
        <f>N55*O55*'1. Standard_Cost'!$E$15</f>
        <v>0</v>
      </c>
      <c r="V55" s="126"/>
      <c r="W55" s="126"/>
      <c r="X55" s="126"/>
      <c r="Y55" s="127">
        <f>+V55*((X55*'1. Standard_Cost'!$B$19)+(W55*X55*'1. Standard_Cost'!$C$19))</f>
        <v>0</v>
      </c>
      <c r="Z55" s="126"/>
      <c r="AA55" s="126"/>
      <c r="AB55" s="127">
        <f>+Z55*'1. Standard_Cost'!$B$23+AA55*'1. Standard_Cost'!$C$23</f>
        <v>0</v>
      </c>
      <c r="AC55" s="128"/>
      <c r="AD55" s="129"/>
      <c r="AE55" s="127">
        <f>SUM(AD55,AC55,AB55,Y55,U55,T55,S55,R55)*'1. Standard_Cost'!$B$31</f>
        <v>0</v>
      </c>
      <c r="AF55" s="127">
        <f>SUM(AE55,AD55,AC55,AB55,Y55,U55,T55,S55,R55)</f>
        <v>0</v>
      </c>
      <c r="AG55" s="126"/>
      <c r="AH55" s="126"/>
      <c r="AI55" s="126"/>
      <c r="AJ55" s="130"/>
      <c r="AK55" s="130"/>
      <c r="AL55" s="130"/>
      <c r="AM55" s="127">
        <f>AG55*'1. Standard_Cost'!$B$27+'Incremental_Cost Year 9'!AH55*'1. Standard_Cost'!$C$27+'Incremental_Cost Year 9'!AI55*'1. Standard_Cost'!$D$27+'Incremental_Cost Year 9'!AJ55+'Incremental_Cost Year 9'!AL55+AK55</f>
        <v>0</v>
      </c>
      <c r="AN55" s="127">
        <f>AM55*'1. Standard_Cost'!$C$31</f>
        <v>0</v>
      </c>
      <c r="AO55" s="130"/>
      <c r="AQ55" s="171">
        <f>L55+M55</f>
        <v>117633.60000000001</v>
      </c>
      <c r="AR55" s="171">
        <f>AF55</f>
        <v>0</v>
      </c>
      <c r="AS55" s="171">
        <f>AM55+AN55</f>
        <v>0</v>
      </c>
      <c r="AT55" s="171">
        <f>SUM(AQ55,AR55,AS55)</f>
        <v>117633.60000000001</v>
      </c>
      <c r="AU55" s="250">
        <f>AQ55</f>
        <v>117633.60000000001</v>
      </c>
      <c r="AV55" s="250"/>
      <c r="AW55" s="250"/>
      <c r="AX55" s="250"/>
      <c r="AY55" s="250"/>
      <c r="AZ55" s="250"/>
      <c r="BA55" s="250"/>
      <c r="BB55" s="251">
        <f t="shared" si="39"/>
        <v>0</v>
      </c>
      <c r="BC55" s="169"/>
      <c r="BD55" s="169"/>
      <c r="BE55" s="169"/>
      <c r="BF55" s="169"/>
    </row>
    <row r="56" spans="1:58" ht="94.5" outlineLevel="1" x14ac:dyDescent="0.25">
      <c r="A56" s="115"/>
      <c r="B56" s="165"/>
      <c r="C56" s="166"/>
      <c r="D56" s="107" t="s">
        <v>401</v>
      </c>
      <c r="E56" s="139" t="s">
        <v>214</v>
      </c>
      <c r="F56" s="222">
        <v>2021</v>
      </c>
      <c r="G56" s="117">
        <v>2030</v>
      </c>
      <c r="H56" s="134" t="s">
        <v>215</v>
      </c>
      <c r="I56" s="252"/>
      <c r="J56" s="252"/>
      <c r="K56" s="252"/>
      <c r="L56" s="127">
        <f>SUM(L51:L55)</f>
        <v>1075889568.5714285</v>
      </c>
      <c r="M56" s="127">
        <f>SUM(M51:M55)</f>
        <v>179673557.95142856</v>
      </c>
      <c r="N56" s="127"/>
      <c r="O56" s="252"/>
      <c r="P56" s="252"/>
      <c r="Q56" s="252"/>
      <c r="R56" s="127">
        <f>SUM(R51:R55)</f>
        <v>0</v>
      </c>
      <c r="S56" s="127">
        <f>SUM(S51:S55)</f>
        <v>0</v>
      </c>
      <c r="T56" s="127">
        <f>SUM(T51:T55)</f>
        <v>0</v>
      </c>
      <c r="U56" s="127">
        <f>SUM(U51:U55)</f>
        <v>0</v>
      </c>
      <c r="V56" s="252"/>
      <c r="W56" s="252"/>
      <c r="X56" s="252"/>
      <c r="Y56" s="127">
        <f>SUM(Y51:Y55)</f>
        <v>0</v>
      </c>
      <c r="Z56" s="252"/>
      <c r="AA56" s="252"/>
      <c r="AB56" s="127">
        <f>SUM(AB51:AB55)</f>
        <v>0</v>
      </c>
      <c r="AC56" s="127">
        <f>SUM(AC51:AC55)</f>
        <v>10050000</v>
      </c>
      <c r="AD56" s="127">
        <f>SUM(AD51:AD55)</f>
        <v>0</v>
      </c>
      <c r="AE56" s="127">
        <f>SUM(AE51:AE55)</f>
        <v>2010000</v>
      </c>
      <c r="AF56" s="127">
        <f>SUM(AF51:AF55)</f>
        <v>12060000</v>
      </c>
      <c r="AG56" s="252"/>
      <c r="AH56" s="252"/>
      <c r="AI56" s="252"/>
      <c r="AJ56" s="127">
        <f>SUM(AJ51:AJ55)</f>
        <v>0</v>
      </c>
      <c r="AK56" s="127">
        <f>SUM(AK51:AK55)</f>
        <v>0</v>
      </c>
      <c r="AL56" s="127">
        <f>SUM(AL51:AL55)</f>
        <v>0</v>
      </c>
      <c r="AM56" s="127">
        <f>SUM(AM51:AM55)</f>
        <v>0</v>
      </c>
      <c r="AN56" s="127">
        <f>SUM(AN51:AN55)</f>
        <v>0</v>
      </c>
      <c r="AO56" s="253"/>
      <c r="AP56" s="254"/>
      <c r="AQ56" s="175">
        <f>SUM(AQ51:AQ55)</f>
        <v>1255563126.522857</v>
      </c>
      <c r="AR56" s="175">
        <f>SUM(AR51:AR55)</f>
        <v>12060000</v>
      </c>
      <c r="AS56" s="175">
        <f>SUM(AS51:AS55)</f>
        <v>0</v>
      </c>
      <c r="AT56" s="175">
        <f>SUM(AT51:AT55)</f>
        <v>1267623126.522857</v>
      </c>
      <c r="AU56" s="175">
        <f t="shared" ref="AU56:BB56" si="40">SUM(AU51:AU55)</f>
        <v>1267623126.522857</v>
      </c>
      <c r="AV56" s="175">
        <f t="shared" si="40"/>
        <v>0</v>
      </c>
      <c r="AW56" s="175">
        <f t="shared" si="40"/>
        <v>0</v>
      </c>
      <c r="AX56" s="175">
        <f t="shared" si="40"/>
        <v>0</v>
      </c>
      <c r="AY56" s="175">
        <f t="shared" si="40"/>
        <v>0</v>
      </c>
      <c r="AZ56" s="175">
        <f t="shared" si="40"/>
        <v>0</v>
      </c>
      <c r="BA56" s="175">
        <f t="shared" si="40"/>
        <v>0</v>
      </c>
      <c r="BB56" s="175">
        <f t="shared" si="40"/>
        <v>0</v>
      </c>
      <c r="BC56" s="169"/>
      <c r="BD56" s="169"/>
      <c r="BE56" s="169"/>
      <c r="BF56" s="169"/>
    </row>
    <row r="57" spans="1:58" ht="110.25" outlineLevel="2" x14ac:dyDescent="0.25">
      <c r="A57" s="115"/>
      <c r="B57" s="200"/>
      <c r="C57" s="201"/>
      <c r="D57" s="138"/>
      <c r="E57" s="219"/>
      <c r="F57" s="219"/>
      <c r="G57" s="313"/>
      <c r="H57" s="199" t="s">
        <v>402</v>
      </c>
      <c r="I57" s="130"/>
      <c r="J57" s="126"/>
      <c r="K57" s="126"/>
      <c r="L57" s="125" t="str">
        <f>IF(I57&lt;&gt;0,((VLOOKUP(I57,'1. Standard_Cost'!$B$4:$D$11,2)+VLOOKUP(I57,'1. Standard_Cost'!$B$4:$D$11,3))*J57*K57),"0")</f>
        <v>0</v>
      </c>
      <c r="M57" s="125">
        <f>L57*'1. Standard_Cost'!$F$4</f>
        <v>0</v>
      </c>
      <c r="N57" s="126"/>
      <c r="O57" s="126"/>
      <c r="P57" s="126"/>
      <c r="Q57" s="126"/>
      <c r="R57" s="127">
        <f>'1. Standard_Cost'!$B$15*N57*P57</f>
        <v>0</v>
      </c>
      <c r="S57" s="127">
        <f>N57*O57*P57*'1. Standard_Cost'!$C$15</f>
        <v>0</v>
      </c>
      <c r="T57" s="127">
        <f>N57*P57*Q57*'1. Standard_Cost'!$D$15</f>
        <v>0</v>
      </c>
      <c r="U57" s="127">
        <f>N57*O57*'1. Standard_Cost'!$E$15</f>
        <v>0</v>
      </c>
      <c r="V57" s="126"/>
      <c r="W57" s="126"/>
      <c r="X57" s="126"/>
      <c r="Y57" s="127">
        <f>+V57*((X57*'1. Standard_Cost'!$B$19)+(W57*X57*'1. Standard_Cost'!$C$19))</f>
        <v>0</v>
      </c>
      <c r="Z57" s="126"/>
      <c r="AA57" s="126"/>
      <c r="AB57" s="127">
        <f>+Z57*'1. Standard_Cost'!$B$23+AA57*'1. Standard_Cost'!$C$23</f>
        <v>0</v>
      </c>
      <c r="AC57" s="128"/>
      <c r="AD57" s="129"/>
      <c r="AE57" s="127">
        <f>SUM(AD57,AC57,AB57,Y57,U57,T57,S57,R57)*'1. Standard_Cost'!$B$31</f>
        <v>0</v>
      </c>
      <c r="AF57" s="127">
        <f>SUM(AE57,AD57,AC57,AB57,Y57,U57,T57,S57,R57)</f>
        <v>0</v>
      </c>
      <c r="AG57" s="126"/>
      <c r="AH57" s="126"/>
      <c r="AI57" s="126"/>
      <c r="AJ57" s="130"/>
      <c r="AK57" s="130"/>
      <c r="AL57" s="130"/>
      <c r="AM57" s="127">
        <f>AG57*'1. Standard_Cost'!$B$27+'Incremental_Cost Year 9'!AH57*'1. Standard_Cost'!$C$27+'Incremental_Cost Year 9'!AI57*'1. Standard_Cost'!$D$27+'Incremental_Cost Year 9'!AJ57+'Incremental_Cost Year 9'!AL57+AK57</f>
        <v>0</v>
      </c>
      <c r="AN57" s="127">
        <f>AM57*'1. Standard_Cost'!$C$31</f>
        <v>0</v>
      </c>
      <c r="AO57" s="249"/>
      <c r="AQ57" s="171">
        <f>L57+M57</f>
        <v>0</v>
      </c>
      <c r="AR57" s="171">
        <f>AF57</f>
        <v>0</v>
      </c>
      <c r="AS57" s="171">
        <f>AM57+AN57</f>
        <v>0</v>
      </c>
      <c r="AT57" s="171">
        <f>SUM(AQ57,AR57,AS57)</f>
        <v>0</v>
      </c>
      <c r="AU57" s="250"/>
      <c r="AV57" s="250"/>
      <c r="AW57" s="250"/>
      <c r="AX57" s="250"/>
      <c r="AY57" s="250"/>
      <c r="AZ57" s="250"/>
      <c r="BA57" s="250"/>
      <c r="BB57" s="251">
        <f t="shared" ref="BB57:BB59" si="41">SUM(AU57:BA57)-AT57</f>
        <v>0</v>
      </c>
      <c r="BC57" s="169"/>
      <c r="BD57" s="169"/>
      <c r="BE57" s="169"/>
      <c r="BF57" s="169"/>
    </row>
    <row r="58" spans="1:58" ht="78.75" outlineLevel="2" x14ac:dyDescent="0.25">
      <c r="A58" s="115"/>
      <c r="B58" s="200"/>
      <c r="C58" s="201"/>
      <c r="D58" s="135"/>
      <c r="E58" s="219"/>
      <c r="F58" s="219"/>
      <c r="G58" s="313"/>
      <c r="H58" s="199" t="s">
        <v>403</v>
      </c>
      <c r="I58" s="130"/>
      <c r="J58" s="126"/>
      <c r="K58" s="126"/>
      <c r="L58" s="125" t="str">
        <f>IF(I58&lt;&gt;0,((VLOOKUP(I58,'1. Standard_Cost'!$B$4:$D$11,2)+VLOOKUP(I58,'1. Standard_Cost'!$B$4:$D$11,3))*J58*K58),"0")</f>
        <v>0</v>
      </c>
      <c r="M58" s="125">
        <f>L58*'1. Standard_Cost'!$F$4</f>
        <v>0</v>
      </c>
      <c r="N58" s="126"/>
      <c r="O58" s="126"/>
      <c r="P58" s="126"/>
      <c r="Q58" s="126"/>
      <c r="R58" s="127">
        <f>'1. Standard_Cost'!$B$15*N58*P58</f>
        <v>0</v>
      </c>
      <c r="S58" s="127">
        <f>N58*O58*P58*'1. Standard_Cost'!$C$15</f>
        <v>0</v>
      </c>
      <c r="T58" s="127">
        <f>N58*P58*Q58*'1. Standard_Cost'!$D$15</f>
        <v>0</v>
      </c>
      <c r="U58" s="127">
        <f>N58*O58*'1. Standard_Cost'!$E$15</f>
        <v>0</v>
      </c>
      <c r="V58" s="126"/>
      <c r="W58" s="126"/>
      <c r="X58" s="126"/>
      <c r="Y58" s="127">
        <f>+V58*((X58*'1. Standard_Cost'!$B$19)+(W58*X58*'1. Standard_Cost'!$C$19))</f>
        <v>0</v>
      </c>
      <c r="Z58" s="126"/>
      <c r="AA58" s="126"/>
      <c r="AB58" s="127">
        <f>+Z58*'1. Standard_Cost'!$B$23+AA58*'1. Standard_Cost'!$C$23</f>
        <v>0</v>
      </c>
      <c r="AC58" s="128"/>
      <c r="AD58" s="129"/>
      <c r="AE58" s="127">
        <f>SUM(AD58,AC58,AB58,Y58,U58,T58,S58,R58)*'1. Standard_Cost'!$B$31</f>
        <v>0</v>
      </c>
      <c r="AF58" s="127">
        <f>SUM(AE58,AD58,AC58,AB58,Y58,U58,T58,S58,R58)</f>
        <v>0</v>
      </c>
      <c r="AG58" s="126"/>
      <c r="AH58" s="126"/>
      <c r="AI58" s="126"/>
      <c r="AJ58" s="130"/>
      <c r="AK58" s="130"/>
      <c r="AL58" s="130"/>
      <c r="AM58" s="127">
        <f>AG58*'1. Standard_Cost'!$B$27+'Incremental_Cost Year 9'!AH58*'1. Standard_Cost'!$C$27+'Incremental_Cost Year 9'!AI58*'1. Standard_Cost'!$D$27+'Incremental_Cost Year 9'!AJ58+'Incremental_Cost Year 9'!AL58+AK58</f>
        <v>0</v>
      </c>
      <c r="AN58" s="127">
        <f>AM58*'1. Standard_Cost'!$C$31</f>
        <v>0</v>
      </c>
      <c r="AO58" s="130"/>
      <c r="AQ58" s="171">
        <f>L58+M58</f>
        <v>0</v>
      </c>
      <c r="AR58" s="171">
        <f>AF58</f>
        <v>0</v>
      </c>
      <c r="AS58" s="171">
        <f>AM58+AN58</f>
        <v>0</v>
      </c>
      <c r="AT58" s="171">
        <f>SUM(AQ58,AR58,AS58)</f>
        <v>0</v>
      </c>
      <c r="AU58" s="250"/>
      <c r="AV58" s="250"/>
      <c r="AW58" s="250"/>
      <c r="AX58" s="250"/>
      <c r="AY58" s="250"/>
      <c r="AZ58" s="250"/>
      <c r="BA58" s="250"/>
      <c r="BB58" s="251">
        <f t="shared" si="41"/>
        <v>0</v>
      </c>
      <c r="BC58" s="169"/>
      <c r="BD58" s="169"/>
      <c r="BE58" s="169"/>
      <c r="BF58" s="169"/>
    </row>
    <row r="59" spans="1:58" ht="78.75" outlineLevel="2" x14ac:dyDescent="0.25">
      <c r="A59" s="115"/>
      <c r="B59" s="147"/>
      <c r="C59" s="314"/>
      <c r="D59" s="223"/>
      <c r="E59" s="122"/>
      <c r="F59" s="122"/>
      <c r="G59" s="123"/>
      <c r="H59" s="199" t="s">
        <v>309</v>
      </c>
      <c r="I59" s="130"/>
      <c r="J59" s="126"/>
      <c r="K59" s="126"/>
      <c r="L59" s="125" t="str">
        <f>IF(I59&lt;&gt;0,((VLOOKUP(I59,'1. Standard_Cost'!$B$4:$D$11,2)+VLOOKUP(I59,'1. Standard_Cost'!$B$4:$D$11,3))*J59*K59),"0")</f>
        <v>0</v>
      </c>
      <c r="M59" s="125">
        <f>L59*'1. Standard_Cost'!$F$4</f>
        <v>0</v>
      </c>
      <c r="N59" s="126"/>
      <c r="O59" s="126"/>
      <c r="P59" s="126"/>
      <c r="Q59" s="126"/>
      <c r="R59" s="127">
        <f>'1. Standard_Cost'!$B$15*N59*P59</f>
        <v>0</v>
      </c>
      <c r="S59" s="127">
        <f>N59*O59*P59*'1. Standard_Cost'!$C$15</f>
        <v>0</v>
      </c>
      <c r="T59" s="127">
        <f>N59*P59*Q59*'1. Standard_Cost'!$D$15</f>
        <v>0</v>
      </c>
      <c r="U59" s="127">
        <f>N59*O59*'1. Standard_Cost'!$E$15</f>
        <v>0</v>
      </c>
      <c r="V59" s="126"/>
      <c r="W59" s="126"/>
      <c r="X59" s="126"/>
      <c r="Y59" s="127">
        <f>+V59*((X59*'1. Standard_Cost'!$B$19)+(W59*X59*'1. Standard_Cost'!$C$19))</f>
        <v>0</v>
      </c>
      <c r="Z59" s="126"/>
      <c r="AA59" s="126"/>
      <c r="AB59" s="127">
        <f>+Z59*'1. Standard_Cost'!$B$23+AA59*'1. Standard_Cost'!$C$23</f>
        <v>0</v>
      </c>
      <c r="AC59" s="128"/>
      <c r="AD59" s="129"/>
      <c r="AE59" s="127">
        <f>SUM(AD59,AC59,AB59,Y59,U59,T59,S59,R59)*'1. Standard_Cost'!$B$31</f>
        <v>0</v>
      </c>
      <c r="AF59" s="127">
        <f>SUM(AE59,AD59,AC59,AB59,Y59,U59,T59,S59,R59)</f>
        <v>0</v>
      </c>
      <c r="AG59" s="126"/>
      <c r="AH59" s="126"/>
      <c r="AI59" s="126"/>
      <c r="AJ59" s="130"/>
      <c r="AK59" s="130"/>
      <c r="AL59" s="130"/>
      <c r="AM59" s="127">
        <f>AG59*'1. Standard_Cost'!$B$27+'Incremental_Cost Year 9'!AH59*'1. Standard_Cost'!$C$27+'Incremental_Cost Year 9'!AI59*'1. Standard_Cost'!$D$27+'Incremental_Cost Year 9'!AJ59+'Incremental_Cost Year 9'!AL59+AK59</f>
        <v>0</v>
      </c>
      <c r="AN59" s="127">
        <f>AM59*'1. Standard_Cost'!$C$31</f>
        <v>0</v>
      </c>
      <c r="AO59" s="130"/>
      <c r="AQ59" s="171">
        <f>L59+M59</f>
        <v>0</v>
      </c>
      <c r="AR59" s="171">
        <f>AF59</f>
        <v>0</v>
      </c>
      <c r="AS59" s="171">
        <f>AM59+AN59</f>
        <v>0</v>
      </c>
      <c r="AT59" s="171">
        <f>SUM(AQ59,AR59,AS59)</f>
        <v>0</v>
      </c>
      <c r="AU59" s="250"/>
      <c r="AV59" s="250"/>
      <c r="AW59" s="250"/>
      <c r="AX59" s="250"/>
      <c r="AY59" s="250"/>
      <c r="AZ59" s="250"/>
      <c r="BA59" s="250"/>
      <c r="BB59" s="251">
        <f t="shared" si="41"/>
        <v>0</v>
      </c>
      <c r="BC59" s="169"/>
      <c r="BD59" s="169"/>
      <c r="BE59" s="169"/>
      <c r="BF59" s="169"/>
    </row>
    <row r="60" spans="1:58" ht="31.5" outlineLevel="1" x14ac:dyDescent="0.25">
      <c r="A60" s="115"/>
      <c r="B60" s="200"/>
      <c r="C60" s="201"/>
      <c r="D60" s="132" t="s">
        <v>388</v>
      </c>
      <c r="E60" s="133" t="s">
        <v>216</v>
      </c>
      <c r="F60" s="122">
        <v>2021</v>
      </c>
      <c r="G60" s="223">
        <v>2030</v>
      </c>
      <c r="H60" s="134" t="s">
        <v>217</v>
      </c>
      <c r="I60" s="252"/>
      <c r="J60" s="252"/>
      <c r="K60" s="252"/>
      <c r="L60" s="127">
        <f>SUM(L57:L59)</f>
        <v>0</v>
      </c>
      <c r="M60" s="127">
        <f>SUM(M57:M59)</f>
        <v>0</v>
      </c>
      <c r="N60" s="127"/>
      <c r="O60" s="252"/>
      <c r="P60" s="252"/>
      <c r="Q60" s="252"/>
      <c r="R60" s="127">
        <f>SUM(R57:R59)</f>
        <v>0</v>
      </c>
      <c r="S60" s="127">
        <f>SUM(S57:S59)</f>
        <v>0</v>
      </c>
      <c r="T60" s="127">
        <f>SUM(T57:T59)</f>
        <v>0</v>
      </c>
      <c r="U60" s="127">
        <f>SUM(U57:U59)</f>
        <v>0</v>
      </c>
      <c r="V60" s="252"/>
      <c r="W60" s="252"/>
      <c r="X60" s="252"/>
      <c r="Y60" s="127">
        <f>SUM(Y57:Y59)</f>
        <v>0</v>
      </c>
      <c r="Z60" s="252"/>
      <c r="AA60" s="252"/>
      <c r="AB60" s="127">
        <f>SUM(AB57:AB59)</f>
        <v>0</v>
      </c>
      <c r="AC60" s="127">
        <f>SUM(AC57:AC59)</f>
        <v>0</v>
      </c>
      <c r="AD60" s="127">
        <f>SUM(AD57:AD59)</f>
        <v>0</v>
      </c>
      <c r="AE60" s="127">
        <f>SUM(AE57:AE59)</f>
        <v>0</v>
      </c>
      <c r="AF60" s="127">
        <f>SUM(AF57:AF59)</f>
        <v>0</v>
      </c>
      <c r="AG60" s="252"/>
      <c r="AH60" s="252"/>
      <c r="AI60" s="252"/>
      <c r="AJ60" s="127">
        <f>SUM(AJ57:AJ59)</f>
        <v>0</v>
      </c>
      <c r="AK60" s="127">
        <f>SUM(AK57:AK59)</f>
        <v>0</v>
      </c>
      <c r="AL60" s="127">
        <f>SUM(AL57:AL59)</f>
        <v>0</v>
      </c>
      <c r="AM60" s="127">
        <f>SUM(AM57:AM59)</f>
        <v>0</v>
      </c>
      <c r="AN60" s="127">
        <f>SUM(AN57:AN59)</f>
        <v>0</v>
      </c>
      <c r="AO60" s="253"/>
      <c r="AP60" s="254"/>
      <c r="AQ60" s="175">
        <f>SUM(AQ57:AQ59)</f>
        <v>0</v>
      </c>
      <c r="AR60" s="175">
        <f>SUM(AR57:AR59)</f>
        <v>0</v>
      </c>
      <c r="AS60" s="175">
        <f>SUM(AS57:AS59)</f>
        <v>0</v>
      </c>
      <c r="AT60" s="175">
        <f>SUM(AT57:AT59)</f>
        <v>0</v>
      </c>
      <c r="AU60" s="175">
        <f t="shared" ref="AU60:BB60" si="42">SUM(AU57:AU59)</f>
        <v>0</v>
      </c>
      <c r="AV60" s="175">
        <f t="shared" si="42"/>
        <v>0</v>
      </c>
      <c r="AW60" s="175">
        <f t="shared" si="42"/>
        <v>0</v>
      </c>
      <c r="AX60" s="175">
        <f t="shared" si="42"/>
        <v>0</v>
      </c>
      <c r="AY60" s="175">
        <f t="shared" si="42"/>
        <v>0</v>
      </c>
      <c r="AZ60" s="175">
        <f t="shared" si="42"/>
        <v>0</v>
      </c>
      <c r="BA60" s="175">
        <f t="shared" si="42"/>
        <v>0</v>
      </c>
      <c r="BB60" s="175">
        <f t="shared" si="42"/>
        <v>0</v>
      </c>
      <c r="BC60" s="169"/>
      <c r="BD60" s="169"/>
      <c r="BE60" s="169"/>
      <c r="BF60" s="169"/>
    </row>
    <row r="61" spans="1:58" s="170" customFormat="1" ht="15.75" customHeight="1" x14ac:dyDescent="0.25">
      <c r="A61" s="120"/>
      <c r="B61" s="290"/>
      <c r="C61" s="391" t="s">
        <v>218</v>
      </c>
      <c r="D61" s="391"/>
      <c r="E61" s="392"/>
      <c r="F61" s="289"/>
      <c r="G61" s="288"/>
      <c r="H61" s="114" t="s">
        <v>219</v>
      </c>
      <c r="I61" s="246"/>
      <c r="J61" s="246"/>
      <c r="K61" s="246"/>
      <c r="L61" s="247">
        <f>SUM(L77)</f>
        <v>646486825</v>
      </c>
      <c r="M61" s="247">
        <f>SUM(M77)</f>
        <v>107963299.77500001</v>
      </c>
      <c r="N61" s="247"/>
      <c r="O61" s="247"/>
      <c r="P61" s="247"/>
      <c r="Q61" s="247"/>
      <c r="R61" s="247">
        <f>SUM(R77)</f>
        <v>280000</v>
      </c>
      <c r="S61" s="247">
        <f>SUM(S77)</f>
        <v>420000</v>
      </c>
      <c r="T61" s="247">
        <f>SUM(T77)</f>
        <v>0</v>
      </c>
      <c r="U61" s="247">
        <f>SUM(U77)</f>
        <v>560000</v>
      </c>
      <c r="V61" s="247"/>
      <c r="W61" s="247"/>
      <c r="X61" s="247"/>
      <c r="Y61" s="247">
        <f>SUM(Y77)</f>
        <v>0</v>
      </c>
      <c r="Z61" s="247">
        <f t="shared" ref="Z61:AA61" si="43">SUM(Z77)</f>
        <v>0</v>
      </c>
      <c r="AA61" s="247">
        <f t="shared" si="43"/>
        <v>0</v>
      </c>
      <c r="AB61" s="247">
        <f t="shared" ref="AB61:AF61" si="44">SUM(AB77)</f>
        <v>171000</v>
      </c>
      <c r="AC61" s="247">
        <f t="shared" si="44"/>
        <v>549876000</v>
      </c>
      <c r="AD61" s="247">
        <f t="shared" si="44"/>
        <v>0</v>
      </c>
      <c r="AE61" s="247">
        <f t="shared" si="44"/>
        <v>81821400</v>
      </c>
      <c r="AF61" s="247">
        <f t="shared" si="44"/>
        <v>633128400</v>
      </c>
      <c r="AG61" s="247"/>
      <c r="AH61" s="247"/>
      <c r="AI61" s="247"/>
      <c r="AJ61" s="247">
        <f>SUM(AJ77)</f>
        <v>0</v>
      </c>
      <c r="AK61" s="247">
        <f>SUM(AK77)</f>
        <v>0</v>
      </c>
      <c r="AL61" s="247">
        <f>SUM(AL77)</f>
        <v>0</v>
      </c>
      <c r="AM61" s="247">
        <f>SUM(AM77)</f>
        <v>0</v>
      </c>
      <c r="AN61" s="247">
        <f>SUM(AN77)</f>
        <v>0</v>
      </c>
      <c r="AO61" s="247"/>
      <c r="AP61" s="244"/>
      <c r="AQ61" s="248">
        <f>SUM(AQ77)</f>
        <v>754450124.77499998</v>
      </c>
      <c r="AR61" s="248">
        <f>SUM(AR77)</f>
        <v>633128400</v>
      </c>
      <c r="AS61" s="248">
        <f>SUM(AS77)</f>
        <v>0</v>
      </c>
      <c r="AT61" s="248">
        <f>SUM(AT77)</f>
        <v>1387578524.7750001</v>
      </c>
      <c r="AU61" s="248">
        <f t="shared" ref="AU61:BB61" si="45">SUM(AU77)</f>
        <v>1384152524.7750001</v>
      </c>
      <c r="AV61" s="248">
        <f t="shared" si="45"/>
        <v>0</v>
      </c>
      <c r="AW61" s="248">
        <f t="shared" si="45"/>
        <v>0</v>
      </c>
      <c r="AX61" s="248">
        <f t="shared" si="45"/>
        <v>0</v>
      </c>
      <c r="AY61" s="248">
        <f t="shared" si="45"/>
        <v>2346000</v>
      </c>
      <c r="AZ61" s="248">
        <f t="shared" si="45"/>
        <v>0</v>
      </c>
      <c r="BA61" s="248">
        <f t="shared" si="45"/>
        <v>0</v>
      </c>
      <c r="BB61" s="248">
        <f t="shared" si="45"/>
        <v>-1080000</v>
      </c>
    </row>
    <row r="62" spans="1:58" ht="141.75" outlineLevel="2" x14ac:dyDescent="0.25">
      <c r="A62" s="115"/>
      <c r="B62" s="200"/>
      <c r="C62" s="201"/>
      <c r="D62" s="350"/>
      <c r="E62" s="315"/>
      <c r="F62" s="316"/>
      <c r="G62" s="317"/>
      <c r="H62" s="199" t="s">
        <v>404</v>
      </c>
      <c r="I62" s="130"/>
      <c r="J62" s="126"/>
      <c r="K62" s="126"/>
      <c r="L62" s="125" t="str">
        <f>IF(I62&lt;&gt;0,((VLOOKUP(I62,'1. Standard_Cost'!$B$4:$D$11,2)+VLOOKUP(I62,'1. Standard_Cost'!$B$4:$D$11,3))*J62*K62),"0")</f>
        <v>0</v>
      </c>
      <c r="M62" s="125">
        <f>L62*'1. Standard_Cost'!$F$4</f>
        <v>0</v>
      </c>
      <c r="N62" s="126"/>
      <c r="O62" s="126"/>
      <c r="P62" s="126"/>
      <c r="Q62" s="126"/>
      <c r="R62" s="127">
        <f>'1. Standard_Cost'!$B$15*N62*P62</f>
        <v>0</v>
      </c>
      <c r="S62" s="127">
        <f>N62*O62*P62*'1. Standard_Cost'!$C$15</f>
        <v>0</v>
      </c>
      <c r="T62" s="127">
        <f>N62*P62*Q62*'1. Standard_Cost'!$D$15</f>
        <v>0</v>
      </c>
      <c r="U62" s="127">
        <f>N62*O62*'1. Standard_Cost'!$E$15</f>
        <v>0</v>
      </c>
      <c r="V62" s="126"/>
      <c r="W62" s="126"/>
      <c r="X62" s="126"/>
      <c r="Y62" s="127">
        <f>+V62*((X62*'1. Standard_Cost'!$B$19)+(W62*X62*'1. Standard_Cost'!$C$19))</f>
        <v>0</v>
      </c>
      <c r="Z62" s="126"/>
      <c r="AA62" s="126"/>
      <c r="AB62" s="127">
        <f>+Z62*'1. Standard_Cost'!$B$23+AA62*'1. Standard_Cost'!$C$23</f>
        <v>0</v>
      </c>
      <c r="AC62" s="128"/>
      <c r="AD62" s="129"/>
      <c r="AE62" s="127">
        <f>SUM(AD62,AC62,AB62,Y62,U62,T62,S62,R62)*'1. Standard_Cost'!$B$31</f>
        <v>0</v>
      </c>
      <c r="AF62" s="127">
        <f t="shared" ref="AF62:AF67" si="46">SUM(AE62,AD62,AC62,AB62,Y62,U62,T62,S62,R62)</f>
        <v>0</v>
      </c>
      <c r="AG62" s="126"/>
      <c r="AH62" s="126"/>
      <c r="AI62" s="126"/>
      <c r="AJ62" s="130"/>
      <c r="AK62" s="130"/>
      <c r="AL62" s="130"/>
      <c r="AM62" s="127">
        <f>AG62*'1. Standard_Cost'!$B$27+'Incremental_Cost Year 9'!AH62*'1. Standard_Cost'!$C$27+'Incremental_Cost Year 9'!AI62*'1. Standard_Cost'!$D$27+'Incremental_Cost Year 9'!AJ62+'Incremental_Cost Year 9'!AL62+AK62</f>
        <v>0</v>
      </c>
      <c r="AN62" s="127">
        <f>AM62*'1. Standard_Cost'!$C$31</f>
        <v>0</v>
      </c>
      <c r="AO62" s="249"/>
      <c r="AQ62" s="171">
        <f t="shared" ref="AQ62:AQ76" si="47">L62+M62</f>
        <v>0</v>
      </c>
      <c r="AR62" s="171">
        <f t="shared" ref="AR62:AR76" si="48">AF62</f>
        <v>0</v>
      </c>
      <c r="AS62" s="171">
        <f t="shared" ref="AS62:AS76" si="49">AM62+AN62</f>
        <v>0</v>
      </c>
      <c r="AT62" s="171">
        <f t="shared" ref="AT62:AT76" si="50">SUM(AQ62,AR62,AS62)</f>
        <v>0</v>
      </c>
      <c r="AU62" s="250">
        <f>AQ62</f>
        <v>0</v>
      </c>
      <c r="AV62" s="250"/>
      <c r="AW62" s="250"/>
      <c r="AX62" s="250"/>
      <c r="AY62" s="250">
        <f>AR62</f>
        <v>0</v>
      </c>
      <c r="AZ62" s="250"/>
      <c r="BA62" s="250"/>
      <c r="BB62" s="251">
        <f t="shared" ref="BB62" si="51">SUM(AU62:BA62)-AT62</f>
        <v>0</v>
      </c>
      <c r="BC62" s="169"/>
      <c r="BD62" s="169"/>
      <c r="BE62" s="169"/>
      <c r="BF62" s="169"/>
    </row>
    <row r="63" spans="1:58" ht="173.25" outlineLevel="2" x14ac:dyDescent="0.25">
      <c r="A63" s="115"/>
      <c r="B63" s="200"/>
      <c r="C63" s="201"/>
      <c r="D63" s="141"/>
      <c r="E63" s="318"/>
      <c r="F63" s="219"/>
      <c r="G63" s="313"/>
      <c r="H63" s="199" t="s">
        <v>405</v>
      </c>
      <c r="I63" s="130"/>
      <c r="J63" s="126"/>
      <c r="K63" s="126"/>
      <c r="L63" s="125" t="str">
        <f>IF(I63&lt;&gt;0,((VLOOKUP(I63,'1. Standard_Cost'!$B$4:$D$11,2)+VLOOKUP(I63,'1. Standard_Cost'!$B$4:$D$11,3))*J63*K63),"0")</f>
        <v>0</v>
      </c>
      <c r="M63" s="125">
        <f>L63*'1. Standard_Cost'!$F$4</f>
        <v>0</v>
      </c>
      <c r="N63" s="126"/>
      <c r="O63" s="126"/>
      <c r="P63" s="126"/>
      <c r="Q63" s="126"/>
      <c r="R63" s="127">
        <f>'1. Standard_Cost'!$B$15*N63*P63</f>
        <v>0</v>
      </c>
      <c r="S63" s="127">
        <f>N63*O63*P63*'1. Standard_Cost'!$C$15</f>
        <v>0</v>
      </c>
      <c r="T63" s="127">
        <f>N63*P63*Q63*'1. Standard_Cost'!$D$15</f>
        <v>0</v>
      </c>
      <c r="U63" s="127">
        <f>N63*O63*'1. Standard_Cost'!$E$15</f>
        <v>0</v>
      </c>
      <c r="V63" s="126"/>
      <c r="W63" s="126"/>
      <c r="X63" s="126"/>
      <c r="Y63" s="127">
        <f>+V63*((X63*'1. Standard_Cost'!$B$19)+(W63*X63*'1. Standard_Cost'!$C$19))</f>
        <v>0</v>
      </c>
      <c r="Z63" s="126"/>
      <c r="AA63" s="126"/>
      <c r="AB63" s="127">
        <f>+Z63*'1. Standard_Cost'!$B$23+AA63*'1. Standard_Cost'!$C$23</f>
        <v>0</v>
      </c>
      <c r="AC63" s="128"/>
      <c r="AD63" s="129"/>
      <c r="AE63" s="127">
        <f>SUM(AD63,AC63,AB63,Y63,U63,T63,S63,R63)*'1. Standard_Cost'!$B$31</f>
        <v>0</v>
      </c>
      <c r="AF63" s="127">
        <f t="shared" si="46"/>
        <v>0</v>
      </c>
      <c r="AG63" s="126"/>
      <c r="AH63" s="126"/>
      <c r="AI63" s="126"/>
      <c r="AJ63" s="130"/>
      <c r="AK63" s="130"/>
      <c r="AL63" s="130"/>
      <c r="AM63" s="127">
        <f>AG63*'1. Standard_Cost'!$B$27+'Incremental_Cost Year 9'!AH63*'1. Standard_Cost'!$C$27+'Incremental_Cost Year 9'!AI63*'1. Standard_Cost'!$D$27+'Incremental_Cost Year 9'!AJ63+'Incremental_Cost Year 9'!AL63+AK63</f>
        <v>0</v>
      </c>
      <c r="AN63" s="127">
        <f>AM63*'1. Standard_Cost'!$C$31</f>
        <v>0</v>
      </c>
      <c r="AO63" s="249"/>
      <c r="AQ63" s="171">
        <f t="shared" si="47"/>
        <v>0</v>
      </c>
      <c r="AR63" s="171">
        <f t="shared" si="48"/>
        <v>0</v>
      </c>
      <c r="AS63" s="171">
        <f t="shared" si="49"/>
        <v>0</v>
      </c>
      <c r="AT63" s="171">
        <f t="shared" si="50"/>
        <v>0</v>
      </c>
      <c r="AU63" s="250"/>
      <c r="AV63" s="250"/>
      <c r="AW63" s="250"/>
      <c r="AX63" s="250"/>
      <c r="AY63" s="250"/>
      <c r="AZ63" s="250"/>
      <c r="BA63" s="250"/>
      <c r="BB63" s="251">
        <f t="shared" ref="BB63:BB76" si="52">SUM(AU63:BA63)-AT63</f>
        <v>0</v>
      </c>
      <c r="BC63" s="169"/>
      <c r="BD63" s="169"/>
      <c r="BE63" s="169"/>
      <c r="BF63" s="169"/>
    </row>
    <row r="64" spans="1:58" ht="78.75" outlineLevel="2" x14ac:dyDescent="0.25">
      <c r="A64" s="115"/>
      <c r="B64" s="200"/>
      <c r="C64" s="201"/>
      <c r="D64" s="131"/>
      <c r="E64" s="319"/>
      <c r="F64" s="219"/>
      <c r="G64" s="313"/>
      <c r="H64" s="199" t="s">
        <v>406</v>
      </c>
      <c r="I64" s="130" t="s">
        <v>1</v>
      </c>
      <c r="J64" s="126">
        <v>12</v>
      </c>
      <c r="K64" s="126">
        <v>130</v>
      </c>
      <c r="L64" s="125">
        <f>IF(I64&lt;&gt;0,((VLOOKUP(I64,'1. Standard_Cost'!$B$4:$D$11,2)+VLOOKUP(I64,'1. Standard_Cost'!$B$4:$D$11,3))*J64*K64),"0")</f>
        <v>111996857.14285713</v>
      </c>
      <c r="M64" s="125">
        <f>L64*'1. Standard_Cost'!$F$4</f>
        <v>18703475.142857142</v>
      </c>
      <c r="N64" s="126"/>
      <c r="O64" s="126"/>
      <c r="P64" s="126"/>
      <c r="Q64" s="126"/>
      <c r="R64" s="127">
        <f>'1. Standard_Cost'!$B$15*N64*P64</f>
        <v>0</v>
      </c>
      <c r="S64" s="127">
        <f>N64*O64*P64*'1. Standard_Cost'!$C$15</f>
        <v>0</v>
      </c>
      <c r="T64" s="127">
        <f>N64*P64*Q64*'1. Standard_Cost'!$D$15</f>
        <v>0</v>
      </c>
      <c r="U64" s="127">
        <f>N64*O64*'1. Standard_Cost'!$E$15</f>
        <v>0</v>
      </c>
      <c r="V64" s="126"/>
      <c r="W64" s="126"/>
      <c r="X64" s="126"/>
      <c r="Y64" s="127">
        <f>+V64*((X64*'1. Standard_Cost'!$B$19)+(W64*X64*'1. Standard_Cost'!$C$19))</f>
        <v>0</v>
      </c>
      <c r="Z64" s="126"/>
      <c r="AA64" s="126"/>
      <c r="AB64" s="127">
        <f>+Z64*'1. Standard_Cost'!$B$23+AA64*'1. Standard_Cost'!$C$23</f>
        <v>0</v>
      </c>
      <c r="AC64" s="128">
        <f>10*500000</f>
        <v>5000000</v>
      </c>
      <c r="AD64" s="129"/>
      <c r="AE64" s="127">
        <v>0</v>
      </c>
      <c r="AF64" s="127">
        <f t="shared" si="46"/>
        <v>5000000</v>
      </c>
      <c r="AG64" s="126"/>
      <c r="AH64" s="126"/>
      <c r="AI64" s="126"/>
      <c r="AJ64" s="130"/>
      <c r="AK64" s="130"/>
      <c r="AL64" s="130"/>
      <c r="AM64" s="127">
        <f>AG64*'1. Standard_Cost'!$B$27+'Incremental_Cost Year 9'!AH64*'1. Standard_Cost'!$C$27+'Incremental_Cost Year 9'!AI64*'1. Standard_Cost'!$D$27+'Incremental_Cost Year 9'!AJ64+'Incremental_Cost Year 9'!AL64+AK64</f>
        <v>0</v>
      </c>
      <c r="AN64" s="127">
        <f>AM64*'1. Standard_Cost'!$C$31</f>
        <v>0</v>
      </c>
      <c r="AO64" s="130"/>
      <c r="AQ64" s="171">
        <f t="shared" si="47"/>
        <v>130700332.28571427</v>
      </c>
      <c r="AR64" s="171">
        <f t="shared" si="48"/>
        <v>5000000</v>
      </c>
      <c r="AS64" s="171">
        <f t="shared" si="49"/>
        <v>0</v>
      </c>
      <c r="AT64" s="171">
        <f t="shared" si="50"/>
        <v>135700332.28571427</v>
      </c>
      <c r="AU64" s="250">
        <f>AT64</f>
        <v>135700332.28571427</v>
      </c>
      <c r="AV64" s="250"/>
      <c r="AW64" s="250"/>
      <c r="AX64" s="250"/>
      <c r="AY64" s="250"/>
      <c r="AZ64" s="250"/>
      <c r="BA64" s="250"/>
      <c r="BB64" s="251">
        <f t="shared" si="52"/>
        <v>0</v>
      </c>
      <c r="BC64" s="169"/>
      <c r="BD64" s="169"/>
      <c r="BE64" s="169"/>
      <c r="BF64" s="169"/>
    </row>
    <row r="65" spans="1:58" ht="31.5" outlineLevel="2" x14ac:dyDescent="0.25">
      <c r="A65" s="115"/>
      <c r="B65" s="200"/>
      <c r="C65" s="201"/>
      <c r="D65" s="131"/>
      <c r="E65" s="318"/>
      <c r="F65" s="219"/>
      <c r="G65" s="313"/>
      <c r="H65" s="199" t="s">
        <v>407</v>
      </c>
      <c r="I65" s="130" t="s">
        <v>1</v>
      </c>
      <c r="J65" s="126">
        <v>12</v>
      </c>
      <c r="K65" s="126">
        <v>93</v>
      </c>
      <c r="L65" s="125">
        <f>IF(I65&lt;&gt;0,((VLOOKUP(I65,'1. Standard_Cost'!$B$4:$D$11,2)+VLOOKUP(I65,'1. Standard_Cost'!$B$4:$D$11,3))*J65*K65),"0")</f>
        <v>80120828.571428567</v>
      </c>
      <c r="M65" s="125">
        <f>L65*'1. Standard_Cost'!$F$4</f>
        <v>13380178.371428572</v>
      </c>
      <c r="N65" s="126"/>
      <c r="O65" s="126"/>
      <c r="P65" s="126"/>
      <c r="Q65" s="126"/>
      <c r="R65" s="127">
        <f>'1. Standard_Cost'!$B$15*N65*P65</f>
        <v>0</v>
      </c>
      <c r="S65" s="127">
        <f>N65*O65*P65*'1. Standard_Cost'!$C$15</f>
        <v>0</v>
      </c>
      <c r="T65" s="127">
        <f>N65*P65*Q65*'1. Standard_Cost'!$D$15</f>
        <v>0</v>
      </c>
      <c r="U65" s="127">
        <f>N65*O65*'1. Standard_Cost'!$E$15</f>
        <v>0</v>
      </c>
      <c r="V65" s="126"/>
      <c r="W65" s="126"/>
      <c r="X65" s="126"/>
      <c r="Y65" s="127">
        <f>+V65*((X65*'1. Standard_Cost'!$B$19)+(W65*X65*'1. Standard_Cost'!$C$19))</f>
        <v>0</v>
      </c>
      <c r="Z65" s="126"/>
      <c r="AA65" s="126"/>
      <c r="AB65" s="127">
        <f>+Z65*'1. Standard_Cost'!$B$23+AA65*'1. Standard_Cost'!$C$23</f>
        <v>0</v>
      </c>
      <c r="AC65" s="128">
        <f>300000*14</f>
        <v>4200000</v>
      </c>
      <c r="AD65" s="129"/>
      <c r="AE65" s="127">
        <v>0</v>
      </c>
      <c r="AF65" s="127">
        <f t="shared" si="46"/>
        <v>4200000</v>
      </c>
      <c r="AG65" s="126"/>
      <c r="AH65" s="126"/>
      <c r="AI65" s="126"/>
      <c r="AJ65" s="130"/>
      <c r="AK65" s="130"/>
      <c r="AL65" s="130"/>
      <c r="AM65" s="127">
        <f>AG65*'1. Standard_Cost'!$B$27+'Incremental_Cost Year 9'!AH65*'1. Standard_Cost'!$C$27+'Incremental_Cost Year 9'!AI65*'1. Standard_Cost'!$D$27+'Incremental_Cost Year 9'!AJ65+'Incremental_Cost Year 9'!AL65+AK65</f>
        <v>0</v>
      </c>
      <c r="AN65" s="127">
        <f>AM65*'1. Standard_Cost'!$C$31</f>
        <v>0</v>
      </c>
      <c r="AO65" s="130"/>
      <c r="AQ65" s="171">
        <f t="shared" si="47"/>
        <v>93501006.942857146</v>
      </c>
      <c r="AR65" s="171">
        <f t="shared" si="48"/>
        <v>4200000</v>
      </c>
      <c r="AS65" s="171">
        <f t="shared" si="49"/>
        <v>0</v>
      </c>
      <c r="AT65" s="171">
        <f t="shared" si="50"/>
        <v>97701006.942857146</v>
      </c>
      <c r="AU65" s="250">
        <f>AT65</f>
        <v>97701006.942857146</v>
      </c>
      <c r="AV65" s="250"/>
      <c r="AW65" s="250"/>
      <c r="AX65" s="250"/>
      <c r="AY65" s="250"/>
      <c r="AZ65" s="250"/>
      <c r="BA65" s="250"/>
      <c r="BB65" s="251">
        <f t="shared" si="52"/>
        <v>0</v>
      </c>
      <c r="BC65" s="169"/>
      <c r="BD65" s="169"/>
      <c r="BE65" s="169"/>
      <c r="BF65" s="169"/>
    </row>
    <row r="66" spans="1:58" ht="110.25" outlineLevel="2" x14ac:dyDescent="0.25">
      <c r="A66" s="115"/>
      <c r="B66" s="200"/>
      <c r="C66" s="201"/>
      <c r="D66" s="131"/>
      <c r="E66" s="318"/>
      <c r="F66" s="219"/>
      <c r="G66" s="313"/>
      <c r="H66" s="199" t="s">
        <v>548</v>
      </c>
      <c r="I66" s="130" t="s">
        <v>1</v>
      </c>
      <c r="J66" s="126">
        <v>12</v>
      </c>
      <c r="K66" s="126">
        <f>14*2+14*2</f>
        <v>56</v>
      </c>
      <c r="L66" s="125">
        <f>IF(I66&lt;&gt;0,((VLOOKUP(I66,'1. Standard_Cost'!$B$4:$D$11,2)+VLOOKUP(I66,'1. Standard_Cost'!$B$4:$D$11,3))*J66*K66),"0")</f>
        <v>48244800</v>
      </c>
      <c r="M66" s="125">
        <f>L66*'1. Standard_Cost'!$F$4</f>
        <v>8056881.6000000006</v>
      </c>
      <c r="N66" s="126"/>
      <c r="O66" s="126"/>
      <c r="P66" s="126"/>
      <c r="Q66" s="126"/>
      <c r="R66" s="127">
        <f>'1. Standard_Cost'!$B$15*N66*P66</f>
        <v>0</v>
      </c>
      <c r="S66" s="127">
        <f>N66*O66*P66*'1. Standard_Cost'!$C$15</f>
        <v>0</v>
      </c>
      <c r="T66" s="127">
        <f>N66*P66*Q66*'1. Standard_Cost'!$D$15</f>
        <v>0</v>
      </c>
      <c r="U66" s="127">
        <f>N66*O66*'1. Standard_Cost'!$E$15</f>
        <v>0</v>
      </c>
      <c r="V66" s="126"/>
      <c r="W66" s="126"/>
      <c r="X66" s="126"/>
      <c r="Y66" s="127">
        <f>+V66*((X66*'1. Standard_Cost'!$B$19)+(W66*X66*'1. Standard_Cost'!$C$19))</f>
        <v>0</v>
      </c>
      <c r="Z66" s="126"/>
      <c r="AA66" s="126"/>
      <c r="AB66" s="127">
        <f>+Z66*'1. Standard_Cost'!$B$23+AA66*'1. Standard_Cost'!$C$23</f>
        <v>0</v>
      </c>
      <c r="AC66" s="128">
        <f>30000000*4</f>
        <v>120000000</v>
      </c>
      <c r="AD66" s="129"/>
      <c r="AE66" s="127"/>
      <c r="AF66" s="127">
        <f t="shared" si="46"/>
        <v>120000000</v>
      </c>
      <c r="AG66" s="126"/>
      <c r="AH66" s="126"/>
      <c r="AI66" s="126"/>
      <c r="AJ66" s="130"/>
      <c r="AK66" s="130"/>
      <c r="AL66" s="130"/>
      <c r="AM66" s="127">
        <f>AG66*'1. Standard_Cost'!$B$27+'Incremental_Cost Year 9'!AH66*'1. Standard_Cost'!$C$27+'Incremental_Cost Year 9'!AI66*'1. Standard_Cost'!$D$27+'Incremental_Cost Year 9'!AJ66+'Incremental_Cost Year 9'!AL66+AK66</f>
        <v>0</v>
      </c>
      <c r="AN66" s="127">
        <f>AM66*'1. Standard_Cost'!$C$31</f>
        <v>0</v>
      </c>
      <c r="AO66" s="130"/>
      <c r="AQ66" s="171">
        <f t="shared" si="47"/>
        <v>56301681.600000001</v>
      </c>
      <c r="AR66" s="171">
        <f t="shared" si="48"/>
        <v>120000000</v>
      </c>
      <c r="AS66" s="171">
        <f t="shared" si="49"/>
        <v>0</v>
      </c>
      <c r="AT66" s="171">
        <f t="shared" si="50"/>
        <v>176301681.59999999</v>
      </c>
      <c r="AU66" s="250">
        <f>AT66</f>
        <v>176301681.59999999</v>
      </c>
      <c r="AV66" s="250"/>
      <c r="AW66" s="250"/>
      <c r="AX66" s="250"/>
      <c r="AY66" s="250"/>
      <c r="AZ66" s="250"/>
      <c r="BA66" s="250"/>
      <c r="BB66" s="251">
        <f t="shared" si="52"/>
        <v>0</v>
      </c>
      <c r="BC66" s="169"/>
      <c r="BD66" s="169"/>
      <c r="BE66" s="169"/>
      <c r="BF66" s="169"/>
    </row>
    <row r="67" spans="1:58" ht="31.5" outlineLevel="2" x14ac:dyDescent="0.25">
      <c r="A67" s="115"/>
      <c r="B67" s="200"/>
      <c r="C67" s="201"/>
      <c r="D67" s="131"/>
      <c r="E67" s="318"/>
      <c r="F67" s="219"/>
      <c r="G67" s="313"/>
      <c r="H67" s="199" t="s">
        <v>408</v>
      </c>
      <c r="I67" s="130" t="s">
        <v>1</v>
      </c>
      <c r="J67" s="126">
        <v>12</v>
      </c>
      <c r="K67" s="126">
        <v>400</v>
      </c>
      <c r="L67" s="125">
        <f>IF(I67&lt;&gt;0,((VLOOKUP(I67,'1. Standard_Cost'!$B$4:$D$11,2)+VLOOKUP(I67,'1. Standard_Cost'!$B$4:$D$11,3))*J67*K67),"0")</f>
        <v>344605714.28571427</v>
      </c>
      <c r="M67" s="125">
        <f>L67*'1. Standard_Cost'!$F$4</f>
        <v>57549154.285714284</v>
      </c>
      <c r="N67" s="126"/>
      <c r="O67" s="126"/>
      <c r="P67" s="126"/>
      <c r="Q67" s="126"/>
      <c r="R67" s="127">
        <f>'1. Standard_Cost'!$B$15*N67*P67</f>
        <v>0</v>
      </c>
      <c r="S67" s="127">
        <f>N67*O67*P67*'1. Standard_Cost'!$C$15</f>
        <v>0</v>
      </c>
      <c r="T67" s="127">
        <f>N67*P67*Q67*'1. Standard_Cost'!$D$15</f>
        <v>0</v>
      </c>
      <c r="U67" s="127">
        <f>N67*O67*'1. Standard_Cost'!$E$15</f>
        <v>0</v>
      </c>
      <c r="V67" s="126"/>
      <c r="W67" s="126"/>
      <c r="X67" s="126"/>
      <c r="Y67" s="127">
        <f>+V67*((X67*'1. Standard_Cost'!$B$19)+(W67*X67*'1. Standard_Cost'!$C$19))</f>
        <v>0</v>
      </c>
      <c r="Z67" s="126"/>
      <c r="AA67" s="126"/>
      <c r="AB67" s="127">
        <f>+Z67*'1. Standard_Cost'!$B$23+AA67*'1. Standard_Cost'!$C$23</f>
        <v>0</v>
      </c>
      <c r="AC67" s="128">
        <v>406252000</v>
      </c>
      <c r="AD67" s="129"/>
      <c r="AE67" s="127">
        <f>SUM(AD67,AC67,AB67,Y67,U67,T67,S67,R67)*'1. Standard_Cost'!$B$31</f>
        <v>81250400</v>
      </c>
      <c r="AF67" s="127">
        <f t="shared" si="46"/>
        <v>487502400</v>
      </c>
      <c r="AG67" s="126"/>
      <c r="AH67" s="126"/>
      <c r="AI67" s="126"/>
      <c r="AJ67" s="130"/>
      <c r="AK67" s="130"/>
      <c r="AL67" s="130"/>
      <c r="AM67" s="127">
        <f>AG67*'1. Standard_Cost'!$B$27+'Incremental_Cost Year 9'!AH67*'1. Standard_Cost'!$C$27+'Incremental_Cost Year 9'!AI67*'1. Standard_Cost'!$D$27+'Incremental_Cost Year 9'!AJ67+'Incremental_Cost Year 9'!AL67+AK67</f>
        <v>0</v>
      </c>
      <c r="AN67" s="127">
        <f>AM67*'1. Standard_Cost'!$C$31</f>
        <v>0</v>
      </c>
      <c r="AO67" s="130"/>
      <c r="AQ67" s="171">
        <f t="shared" si="47"/>
        <v>402154868.57142854</v>
      </c>
      <c r="AR67" s="171">
        <f t="shared" si="48"/>
        <v>487502400</v>
      </c>
      <c r="AS67" s="171">
        <f t="shared" si="49"/>
        <v>0</v>
      </c>
      <c r="AT67" s="171">
        <f t="shared" si="50"/>
        <v>889657268.57142854</v>
      </c>
      <c r="AU67" s="250">
        <f>AT67</f>
        <v>889657268.57142854</v>
      </c>
      <c r="AV67" s="250"/>
      <c r="AW67" s="250"/>
      <c r="AX67" s="250"/>
      <c r="AY67" s="250"/>
      <c r="AZ67" s="250"/>
      <c r="BA67" s="250"/>
      <c r="BB67" s="251">
        <f t="shared" si="52"/>
        <v>0</v>
      </c>
      <c r="BC67" s="169"/>
      <c r="BD67" s="169"/>
      <c r="BE67" s="169"/>
      <c r="BF67" s="169"/>
    </row>
    <row r="68" spans="1:58" ht="110.25" outlineLevel="2" x14ac:dyDescent="0.25">
      <c r="A68" s="115"/>
      <c r="B68" s="200"/>
      <c r="C68" s="201"/>
      <c r="D68" s="131"/>
      <c r="E68" s="318"/>
      <c r="F68" s="219"/>
      <c r="G68" s="313"/>
      <c r="H68" s="199" t="s">
        <v>409</v>
      </c>
      <c r="I68" s="130"/>
      <c r="J68" s="126"/>
      <c r="K68" s="126"/>
      <c r="L68" s="125" t="str">
        <f>IF(I68&lt;&gt;0,((VLOOKUP(I68,'1. Standard_Cost'!$B$4:$D$11,2)+VLOOKUP(I68,'1. Standard_Cost'!$B$4:$D$11,3))*J68*K68),"0")</f>
        <v>0</v>
      </c>
      <c r="M68" s="125">
        <f>L68*'1. Standard_Cost'!$F$4</f>
        <v>0</v>
      </c>
      <c r="N68" s="126"/>
      <c r="O68" s="126"/>
      <c r="P68" s="126"/>
      <c r="Q68" s="126"/>
      <c r="R68" s="127">
        <f>'1. Standard_Cost'!$B$15*N68*P68</f>
        <v>0</v>
      </c>
      <c r="S68" s="127">
        <f>N68*O68*P68*'1. Standard_Cost'!$C$15</f>
        <v>0</v>
      </c>
      <c r="T68" s="127">
        <f>N68*P68*Q68*'1. Standard_Cost'!$D$15</f>
        <v>0</v>
      </c>
      <c r="U68" s="127">
        <f>N68*O68*'1. Standard_Cost'!$E$15</f>
        <v>0</v>
      </c>
      <c r="V68" s="126"/>
      <c r="W68" s="126"/>
      <c r="X68" s="126"/>
      <c r="Y68" s="127">
        <f>+V68*((X68*'1. Standard_Cost'!$B$19)+(W68*X68*'1. Standard_Cost'!$C$19))</f>
        <v>0</v>
      </c>
      <c r="Z68" s="126"/>
      <c r="AA68" s="126"/>
      <c r="AB68" s="127">
        <f>+Z68*'1. Standard_Cost'!$B$23+AA68*'1. Standard_Cost'!$C$23</f>
        <v>0</v>
      </c>
      <c r="AC68" s="128"/>
      <c r="AD68" s="129"/>
      <c r="AE68" s="127">
        <f>SUM(AD68,AC68,AB68,Y68,U68,T68,S68,R68)*'1. Standard_Cost'!$B$31</f>
        <v>0</v>
      </c>
      <c r="AF68" s="127">
        <f>SUM(AE68,AD68,AC68,AB68,Y68,U68,T68,S68,R68)</f>
        <v>0</v>
      </c>
      <c r="AG68" s="126"/>
      <c r="AH68" s="126"/>
      <c r="AI68" s="126"/>
      <c r="AJ68" s="130"/>
      <c r="AK68" s="130"/>
      <c r="AL68" s="130"/>
      <c r="AM68" s="127">
        <f>AG68*'1. Standard_Cost'!$B$27+'Incremental_Cost Year 9'!AH68*'1. Standard_Cost'!$C$27+'Incremental_Cost Year 9'!AI68*'1. Standard_Cost'!$D$27+'Incremental_Cost Year 9'!AJ68+'Incremental_Cost Year 9'!AL68+AK68</f>
        <v>0</v>
      </c>
      <c r="AN68" s="127">
        <f>AM68*'1. Standard_Cost'!$C$31</f>
        <v>0</v>
      </c>
      <c r="AO68" s="130"/>
      <c r="AQ68" s="171">
        <f t="shared" si="47"/>
        <v>0</v>
      </c>
      <c r="AR68" s="171">
        <f t="shared" si="48"/>
        <v>0</v>
      </c>
      <c r="AS68" s="171">
        <f t="shared" si="49"/>
        <v>0</v>
      </c>
      <c r="AT68" s="171">
        <f t="shared" si="50"/>
        <v>0</v>
      </c>
      <c r="AU68" s="250">
        <f>AT68</f>
        <v>0</v>
      </c>
      <c r="AV68" s="250">
        <f>AQ68</f>
        <v>0</v>
      </c>
      <c r="AW68" s="250"/>
      <c r="AX68" s="250"/>
      <c r="AY68" s="250"/>
      <c r="AZ68" s="250"/>
      <c r="BA68" s="250"/>
      <c r="BB68" s="251">
        <f t="shared" si="52"/>
        <v>0</v>
      </c>
      <c r="BC68" s="169"/>
      <c r="BD68" s="169"/>
      <c r="BE68" s="169"/>
      <c r="BF68" s="169"/>
    </row>
    <row r="69" spans="1:58" ht="47.25" outlineLevel="2" x14ac:dyDescent="0.25">
      <c r="A69" s="115"/>
      <c r="B69" s="200"/>
      <c r="C69" s="201"/>
      <c r="D69" s="131"/>
      <c r="E69" s="318"/>
      <c r="F69" s="219"/>
      <c r="G69" s="313"/>
      <c r="H69" s="199" t="s">
        <v>224</v>
      </c>
      <c r="I69" s="130"/>
      <c r="J69" s="126"/>
      <c r="K69" s="126"/>
      <c r="L69" s="125" t="str">
        <f>IF(I69&lt;&gt;0,((VLOOKUP(I69,'1. Standard_Cost'!$B$4:$D$11,2)+VLOOKUP(I69,'1. Standard_Cost'!$B$4:$D$11,3))*J69*K69),"0")</f>
        <v>0</v>
      </c>
      <c r="M69" s="125">
        <f>L69*'1. Standard_Cost'!$F$4</f>
        <v>0</v>
      </c>
      <c r="N69" s="126"/>
      <c r="O69" s="126"/>
      <c r="P69" s="126"/>
      <c r="Q69" s="126"/>
      <c r="R69" s="127">
        <f>'1. Standard_Cost'!$B$15*N69*P69</f>
        <v>0</v>
      </c>
      <c r="S69" s="127">
        <f>N69*O69*P69*'1. Standard_Cost'!$C$15</f>
        <v>0</v>
      </c>
      <c r="T69" s="127">
        <f>N69*P69*Q69*'1. Standard_Cost'!$D$15</f>
        <v>0</v>
      </c>
      <c r="U69" s="127">
        <f>N69*O69*'1. Standard_Cost'!$E$15</f>
        <v>0</v>
      </c>
      <c r="V69" s="126"/>
      <c r="W69" s="126"/>
      <c r="X69" s="126"/>
      <c r="Y69" s="127">
        <f>+V69*((X69*'1. Standard_Cost'!$B$19)+(W69*X69*'1. Standard_Cost'!$C$19))</f>
        <v>0</v>
      </c>
      <c r="Z69" s="126"/>
      <c r="AA69" s="126"/>
      <c r="AB69" s="127">
        <f>+Z69*'1. Standard_Cost'!$B$23+AA69*'1. Standard_Cost'!$C$23</f>
        <v>0</v>
      </c>
      <c r="AC69" s="128"/>
      <c r="AD69" s="129"/>
      <c r="AE69" s="127"/>
      <c r="AF69" s="127"/>
      <c r="AG69" s="126"/>
      <c r="AH69" s="126"/>
      <c r="AI69" s="126"/>
      <c r="AJ69" s="130"/>
      <c r="AK69" s="130"/>
      <c r="AL69" s="130"/>
      <c r="AM69" s="127">
        <f>AG69*'1. Standard_Cost'!$B$27+'Incremental_Cost Year 9'!AH69*'1. Standard_Cost'!$C$27+'Incremental_Cost Year 9'!AI69*'1. Standard_Cost'!$D$27+'Incremental_Cost Year 9'!AJ69+'Incremental_Cost Year 9'!AL69+AK69</f>
        <v>0</v>
      </c>
      <c r="AN69" s="127">
        <f>AM69*'1. Standard_Cost'!$C$31</f>
        <v>0</v>
      </c>
      <c r="AO69" s="130"/>
      <c r="AQ69" s="171">
        <f t="shared" si="47"/>
        <v>0</v>
      </c>
      <c r="AR69" s="171">
        <f t="shared" si="48"/>
        <v>0</v>
      </c>
      <c r="AS69" s="171">
        <f t="shared" si="49"/>
        <v>0</v>
      </c>
      <c r="AT69" s="171">
        <f t="shared" si="50"/>
        <v>0</v>
      </c>
      <c r="AU69" s="250"/>
      <c r="AV69" s="250"/>
      <c r="AW69" s="250"/>
      <c r="AX69" s="250"/>
      <c r="AY69" s="250"/>
      <c r="AZ69" s="250"/>
      <c r="BA69" s="250"/>
      <c r="BB69" s="251">
        <f t="shared" si="52"/>
        <v>0</v>
      </c>
      <c r="BC69" s="169"/>
      <c r="BD69" s="169"/>
      <c r="BE69" s="169"/>
      <c r="BF69" s="169"/>
    </row>
    <row r="70" spans="1:58" ht="189" outlineLevel="2" x14ac:dyDescent="0.25">
      <c r="A70" s="115"/>
      <c r="B70" s="200"/>
      <c r="C70" s="201"/>
      <c r="D70" s="131"/>
      <c r="E70" s="318"/>
      <c r="F70" s="219"/>
      <c r="G70" s="313"/>
      <c r="H70" s="111" t="s">
        <v>410</v>
      </c>
      <c r="I70" s="130"/>
      <c r="J70" s="126"/>
      <c r="K70" s="126"/>
      <c r="L70" s="125" t="str">
        <f>IF(I70&lt;&gt;0,((VLOOKUP(I70,'1. Standard_Cost'!$B$4:$D$11,2)+VLOOKUP(I70,'1. Standard_Cost'!$B$4:$D$11,3))*J70*K70),"0")</f>
        <v>0</v>
      </c>
      <c r="M70" s="125">
        <f>L70*'1. Standard_Cost'!$F$4</f>
        <v>0</v>
      </c>
      <c r="N70" s="126"/>
      <c r="O70" s="126"/>
      <c r="P70" s="126"/>
      <c r="Q70" s="126"/>
      <c r="R70" s="127">
        <f>'1. Standard_Cost'!$B$15*N70*P70</f>
        <v>0</v>
      </c>
      <c r="S70" s="127">
        <f>N70*O70*P70*'1. Standard_Cost'!$C$15</f>
        <v>0</v>
      </c>
      <c r="T70" s="127">
        <f>N70*P70*Q70*'1. Standard_Cost'!$D$15</f>
        <v>0</v>
      </c>
      <c r="U70" s="127">
        <f>N70*O70*'1. Standard_Cost'!$E$15</f>
        <v>0</v>
      </c>
      <c r="V70" s="126"/>
      <c r="W70" s="126"/>
      <c r="X70" s="126"/>
      <c r="Y70" s="127">
        <f>+V70*((X70*'1. Standard_Cost'!$B$19)+(W70*X70*'1. Standard_Cost'!$C$19))</f>
        <v>0</v>
      </c>
      <c r="Z70" s="126"/>
      <c r="AA70" s="126"/>
      <c r="AB70" s="127">
        <f>+Z70*'1. Standard_Cost'!$B$23+AA70*'1. Standard_Cost'!$C$23</f>
        <v>0</v>
      </c>
      <c r="AC70" s="128"/>
      <c r="AD70" s="129"/>
      <c r="AE70" s="127">
        <f>SUM(AD70,AC70,AB70,Y70,U70,T70,S70,R70)*'1. Standard_Cost'!$B$31</f>
        <v>0</v>
      </c>
      <c r="AF70" s="127">
        <f t="shared" ref="AF70:AF76" si="53">SUM(AE70,AD70,AC70,AB70,Y70,U70,T70,S70,R70)</f>
        <v>0</v>
      </c>
      <c r="AG70" s="126"/>
      <c r="AH70" s="126"/>
      <c r="AI70" s="126"/>
      <c r="AJ70" s="130"/>
      <c r="AK70" s="130"/>
      <c r="AL70" s="130"/>
      <c r="AM70" s="127">
        <f>AG70*'1. Standard_Cost'!$B$27+'Incremental_Cost Year 9'!AH70*'1. Standard_Cost'!$C$27+'Incremental_Cost Year 9'!AI70*'1. Standard_Cost'!$D$27+'Incremental_Cost Year 9'!AJ70+'Incremental_Cost Year 9'!AL70+AK70</f>
        <v>0</v>
      </c>
      <c r="AN70" s="127">
        <f>AM70*'1. Standard_Cost'!$C$31</f>
        <v>0</v>
      </c>
      <c r="AO70" s="130"/>
      <c r="AQ70" s="171">
        <f t="shared" si="47"/>
        <v>0</v>
      </c>
      <c r="AR70" s="171">
        <f t="shared" si="48"/>
        <v>0</v>
      </c>
      <c r="AS70" s="171">
        <f t="shared" si="49"/>
        <v>0</v>
      </c>
      <c r="AT70" s="171">
        <f t="shared" si="50"/>
        <v>0</v>
      </c>
      <c r="AU70" s="250">
        <f>AQ70</f>
        <v>0</v>
      </c>
      <c r="AV70" s="250"/>
      <c r="AW70" s="250"/>
      <c r="AX70" s="250"/>
      <c r="AY70" s="250">
        <f>AR70</f>
        <v>0</v>
      </c>
      <c r="AZ70" s="250"/>
      <c r="BA70" s="250"/>
      <c r="BB70" s="251">
        <f t="shared" si="52"/>
        <v>0</v>
      </c>
      <c r="BC70" s="169"/>
      <c r="BD70" s="169"/>
      <c r="BE70" s="169"/>
      <c r="BF70" s="169"/>
    </row>
    <row r="71" spans="1:58" ht="173.25" outlineLevel="2" x14ac:dyDescent="0.25">
      <c r="A71" s="115"/>
      <c r="B71" s="200"/>
      <c r="C71" s="201"/>
      <c r="D71" s="131"/>
      <c r="E71" s="318"/>
      <c r="F71" s="219"/>
      <c r="G71" s="313"/>
      <c r="H71" s="111" t="s">
        <v>411</v>
      </c>
      <c r="I71" s="130"/>
      <c r="J71" s="126"/>
      <c r="K71" s="126"/>
      <c r="L71" s="125" t="str">
        <f>IF(I71&lt;&gt;0,((VLOOKUP(I71,'1. Standard_Cost'!$B$4:$D$11,2)+VLOOKUP(I71,'1. Standard_Cost'!$B$4:$D$11,3))*J71*K71),"0")</f>
        <v>0</v>
      </c>
      <c r="M71" s="125">
        <f>L71*'1. Standard_Cost'!$F$4</f>
        <v>0</v>
      </c>
      <c r="N71" s="126"/>
      <c r="O71" s="126"/>
      <c r="P71" s="126"/>
      <c r="Q71" s="126"/>
      <c r="R71" s="127">
        <f>'1. Standard_Cost'!$B$15*N71*P71</f>
        <v>0</v>
      </c>
      <c r="S71" s="127">
        <f>N71*O71*P71*'1. Standard_Cost'!$C$15</f>
        <v>0</v>
      </c>
      <c r="T71" s="127">
        <f>N71*P71*Q71*'1. Standard_Cost'!$D$15</f>
        <v>0</v>
      </c>
      <c r="U71" s="127">
        <f>N71*O71*'1. Standard_Cost'!$E$15</f>
        <v>0</v>
      </c>
      <c r="V71" s="126"/>
      <c r="W71" s="126"/>
      <c r="X71" s="126"/>
      <c r="Y71" s="127">
        <f>+V71*((X71*'1. Standard_Cost'!$B$19)+(W71*X71*'1. Standard_Cost'!$C$19))</f>
        <v>0</v>
      </c>
      <c r="Z71" s="126"/>
      <c r="AA71" s="126"/>
      <c r="AB71" s="127">
        <f>+Z71*'1. Standard_Cost'!$B$23+AA71*'1. Standard_Cost'!$C$23</f>
        <v>0</v>
      </c>
      <c r="AC71" s="128"/>
      <c r="AD71" s="129"/>
      <c r="AE71" s="127">
        <f>SUM(AD71,AC71,AB71,Y71,U71,T71,S71,R71)*'1. Standard_Cost'!$B$31</f>
        <v>0</v>
      </c>
      <c r="AF71" s="127">
        <f t="shared" si="53"/>
        <v>0</v>
      </c>
      <c r="AG71" s="126"/>
      <c r="AH71" s="126"/>
      <c r="AI71" s="126"/>
      <c r="AJ71" s="130"/>
      <c r="AK71" s="130"/>
      <c r="AL71" s="130"/>
      <c r="AM71" s="127">
        <f>AG71*'1. Standard_Cost'!$B$27+'Incremental_Cost Year 9'!AH71*'1. Standard_Cost'!$C$27+'Incremental_Cost Year 9'!AI71*'1. Standard_Cost'!$D$27+'Incremental_Cost Year 9'!AJ71+'Incremental_Cost Year 9'!AL71+AK71</f>
        <v>0</v>
      </c>
      <c r="AN71" s="127">
        <f>AM71*'1. Standard_Cost'!$C$31</f>
        <v>0</v>
      </c>
      <c r="AO71" s="130"/>
      <c r="AQ71" s="171">
        <f t="shared" si="47"/>
        <v>0</v>
      </c>
      <c r="AR71" s="171">
        <f t="shared" si="48"/>
        <v>0</v>
      </c>
      <c r="AS71" s="171">
        <f t="shared" si="49"/>
        <v>0</v>
      </c>
      <c r="AT71" s="171">
        <f t="shared" si="50"/>
        <v>0</v>
      </c>
      <c r="AU71" s="250">
        <f>AQ71</f>
        <v>0</v>
      </c>
      <c r="AV71" s="250"/>
      <c r="AW71" s="250"/>
      <c r="AX71" s="250"/>
      <c r="AY71" s="250"/>
      <c r="AZ71" s="250"/>
      <c r="BA71" s="250"/>
      <c r="BB71" s="251">
        <f t="shared" si="52"/>
        <v>0</v>
      </c>
      <c r="BC71" s="169"/>
      <c r="BD71" s="169"/>
      <c r="BE71" s="169"/>
      <c r="BF71" s="169"/>
    </row>
    <row r="72" spans="1:58" ht="189" outlineLevel="2" x14ac:dyDescent="0.25">
      <c r="A72" s="115"/>
      <c r="B72" s="200"/>
      <c r="C72" s="201"/>
      <c r="D72" s="131"/>
      <c r="E72" s="318"/>
      <c r="F72" s="219"/>
      <c r="G72" s="313"/>
      <c r="H72" s="199" t="s">
        <v>412</v>
      </c>
      <c r="I72" s="130" t="s">
        <v>4</v>
      </c>
      <c r="J72" s="126">
        <v>0.5</v>
      </c>
      <c r="K72" s="126">
        <v>5</v>
      </c>
      <c r="L72" s="125">
        <f>IF(I72&lt;&gt;0,((VLOOKUP(I72,'1. Standard_Cost'!$B$4:$D$11,2)+VLOOKUP(I72,'1. Standard_Cost'!$B$4:$D$11,3))*J72*K72),"0")</f>
        <v>201875</v>
      </c>
      <c r="M72" s="125">
        <f>L72*'1. Standard_Cost'!$F$4</f>
        <v>33713.125</v>
      </c>
      <c r="N72" s="126">
        <v>5</v>
      </c>
      <c r="O72" s="126">
        <v>2</v>
      </c>
      <c r="P72" s="126">
        <v>20</v>
      </c>
      <c r="Q72" s="126"/>
      <c r="R72" s="127">
        <f>'1. Standard_Cost'!$B$15*N72*P72</f>
        <v>200000</v>
      </c>
      <c r="S72" s="127">
        <f>N72*O72*P72*'1. Standard_Cost'!$C$15</f>
        <v>300000</v>
      </c>
      <c r="T72" s="127">
        <f>N72*P72*Q72*'1. Standard_Cost'!$D$15</f>
        <v>0</v>
      </c>
      <c r="U72" s="127">
        <f>N72*O72*'1. Standard_Cost'!$E$15</f>
        <v>400000</v>
      </c>
      <c r="V72" s="126"/>
      <c r="W72" s="126"/>
      <c r="X72" s="126"/>
      <c r="Y72" s="127">
        <f>+V72*((X72*'1. Standard_Cost'!$B$19)+(W72*X72*'1. Standard_Cost'!$C$19))</f>
        <v>0</v>
      </c>
      <c r="Z72" s="126"/>
      <c r="AA72" s="126">
        <v>6</v>
      </c>
      <c r="AB72" s="127">
        <f>+Z72*'1. Standard_Cost'!$B$23+AA72*'1. Standard_Cost'!$C$23</f>
        <v>114000</v>
      </c>
      <c r="AC72" s="128">
        <f>100*300*2+100*3000*2</f>
        <v>660000</v>
      </c>
      <c r="AD72" s="129"/>
      <c r="AE72" s="127">
        <f>SUM(AD72,AC72,AB72,Y72,U72,T72,S72,R72)*'1. Standard_Cost'!$B$31</f>
        <v>334800</v>
      </c>
      <c r="AF72" s="127">
        <f t="shared" si="53"/>
        <v>2008800</v>
      </c>
      <c r="AG72" s="126"/>
      <c r="AH72" s="126"/>
      <c r="AI72" s="126"/>
      <c r="AJ72" s="130"/>
      <c r="AK72" s="130"/>
      <c r="AL72" s="130"/>
      <c r="AM72" s="127">
        <f>AG72*'1. Standard_Cost'!$B$27+'Incremental_Cost Year 9'!AH72*'1. Standard_Cost'!$C$27+'Incremental_Cost Year 9'!AI72*'1. Standard_Cost'!$D$27+'Incremental_Cost Year 9'!AJ72+'Incremental_Cost Year 9'!AL72+AK72</f>
        <v>0</v>
      </c>
      <c r="AN72" s="127">
        <f>AM72*'1. Standard_Cost'!$C$31</f>
        <v>0</v>
      </c>
      <c r="AO72" s="249"/>
      <c r="AQ72" s="171">
        <f t="shared" si="47"/>
        <v>235588.125</v>
      </c>
      <c r="AR72" s="171">
        <f t="shared" si="48"/>
        <v>2008800</v>
      </c>
      <c r="AS72" s="171">
        <f t="shared" si="49"/>
        <v>0</v>
      </c>
      <c r="AT72" s="171">
        <f t="shared" si="50"/>
        <v>2244388.125</v>
      </c>
      <c r="AU72" s="250">
        <f>AQ72</f>
        <v>235588.125</v>
      </c>
      <c r="AV72" s="250"/>
      <c r="AW72" s="250"/>
      <c r="AX72" s="250"/>
      <c r="AY72" s="250">
        <f>928800</f>
        <v>928800</v>
      </c>
      <c r="AZ72" s="250"/>
      <c r="BA72" s="250"/>
      <c r="BB72" s="251">
        <f t="shared" si="52"/>
        <v>-1080000</v>
      </c>
      <c r="BC72" s="169"/>
      <c r="BD72" s="169"/>
      <c r="BE72" s="169"/>
      <c r="BF72" s="169"/>
    </row>
    <row r="73" spans="1:58" ht="157.5" outlineLevel="2" x14ac:dyDescent="0.25">
      <c r="A73" s="115"/>
      <c r="B73" s="200"/>
      <c r="C73" s="201"/>
      <c r="D73" s="131"/>
      <c r="E73" s="318"/>
      <c r="F73" s="219"/>
      <c r="G73" s="313"/>
      <c r="H73" s="199" t="s">
        <v>413</v>
      </c>
      <c r="I73" s="130" t="s">
        <v>4</v>
      </c>
      <c r="J73" s="126">
        <v>0.2</v>
      </c>
      <c r="K73" s="126">
        <v>5</v>
      </c>
      <c r="L73" s="125">
        <f>IF(I73&lt;&gt;0,((VLOOKUP(I73,'1. Standard_Cost'!$B$4:$D$11,2)+VLOOKUP(I73,'1. Standard_Cost'!$B$4:$D$11,3))*J73*K73),"0")</f>
        <v>80750</v>
      </c>
      <c r="M73" s="125">
        <f>L73*'1. Standard_Cost'!$F$4</f>
        <v>13485.25</v>
      </c>
      <c r="N73" s="126">
        <v>2</v>
      </c>
      <c r="O73" s="126">
        <v>2</v>
      </c>
      <c r="P73" s="126">
        <v>20</v>
      </c>
      <c r="Q73" s="126"/>
      <c r="R73" s="127">
        <f>'1. Standard_Cost'!$B$15*N73*P73</f>
        <v>80000</v>
      </c>
      <c r="S73" s="127">
        <f>N73*O73*P73*'1. Standard_Cost'!$C$15</f>
        <v>120000</v>
      </c>
      <c r="T73" s="127">
        <f>N73*P73*Q73*'1. Standard_Cost'!$D$15</f>
        <v>0</v>
      </c>
      <c r="U73" s="127">
        <f>N73*O73*'1. Standard_Cost'!$E$15</f>
        <v>160000</v>
      </c>
      <c r="V73" s="126"/>
      <c r="W73" s="126"/>
      <c r="X73" s="126"/>
      <c r="Y73" s="127">
        <f>+V73*((X73*'1. Standard_Cost'!$B$19)+(W73*X73*'1. Standard_Cost'!$C$19))</f>
        <v>0</v>
      </c>
      <c r="Z73" s="126"/>
      <c r="AA73" s="126">
        <v>3</v>
      </c>
      <c r="AB73" s="127">
        <f>+Z73*'1. Standard_Cost'!$B$23+AA73*'1. Standard_Cost'!$C$23</f>
        <v>57000</v>
      </c>
      <c r="AC73" s="128">
        <f>40*3300*2</f>
        <v>264000</v>
      </c>
      <c r="AD73" s="129"/>
      <c r="AE73" s="127">
        <f>SUM(AD73,AC73,AB73,Y73,U73,T73,S73,R73)*'1. Standard_Cost'!$B$31</f>
        <v>136200</v>
      </c>
      <c r="AF73" s="127">
        <f t="shared" si="53"/>
        <v>817200</v>
      </c>
      <c r="AG73" s="126"/>
      <c r="AH73" s="126"/>
      <c r="AI73" s="126"/>
      <c r="AJ73" s="130"/>
      <c r="AK73" s="130"/>
      <c r="AL73" s="130"/>
      <c r="AM73" s="127">
        <f>AG73*'1. Standard_Cost'!$B$27+'Incremental_Cost Year 9'!AH73*'1. Standard_Cost'!$C$27+'Incremental_Cost Year 9'!AI73*'1. Standard_Cost'!$D$27+'Incremental_Cost Year 9'!AJ73+'Incremental_Cost Year 9'!AL73+AK73</f>
        <v>0</v>
      </c>
      <c r="AN73" s="127">
        <f>AM73*'1. Standard_Cost'!$C$31</f>
        <v>0</v>
      </c>
      <c r="AO73" s="249"/>
      <c r="AQ73" s="171">
        <f t="shared" si="47"/>
        <v>94235.25</v>
      </c>
      <c r="AR73" s="171">
        <f t="shared" si="48"/>
        <v>817200</v>
      </c>
      <c r="AS73" s="171">
        <f t="shared" si="49"/>
        <v>0</v>
      </c>
      <c r="AT73" s="171">
        <f t="shared" si="50"/>
        <v>911435.25</v>
      </c>
      <c r="AU73" s="250">
        <f>AQ73</f>
        <v>94235.25</v>
      </c>
      <c r="AV73" s="250"/>
      <c r="AW73" s="250"/>
      <c r="AX73" s="250"/>
      <c r="AY73" s="250">
        <f>AR73</f>
        <v>817200</v>
      </c>
      <c r="AZ73" s="250"/>
      <c r="BA73" s="250"/>
      <c r="BB73" s="251">
        <f t="shared" si="52"/>
        <v>0</v>
      </c>
      <c r="BC73" s="169"/>
      <c r="BD73" s="169"/>
      <c r="BE73" s="169"/>
      <c r="BF73" s="169"/>
    </row>
    <row r="74" spans="1:58" ht="47.25" outlineLevel="2" x14ac:dyDescent="0.25">
      <c r="A74" s="115"/>
      <c r="B74" s="200"/>
      <c r="C74" s="201"/>
      <c r="D74" s="131"/>
      <c r="E74" s="318"/>
      <c r="F74" s="219"/>
      <c r="G74" s="313"/>
      <c r="H74" s="199" t="s">
        <v>310</v>
      </c>
      <c r="I74" s="130"/>
      <c r="J74" s="126"/>
      <c r="K74" s="126"/>
      <c r="L74" s="125" t="str">
        <f>IF(I74&lt;&gt;0,((VLOOKUP(I74,'1. Standard_Cost'!$B$4:$D$11,2)+VLOOKUP(I74,'1. Standard_Cost'!$B$4:$D$11,3))*J74*K74),"0")</f>
        <v>0</v>
      </c>
      <c r="M74" s="125">
        <f>L74*'1. Standard_Cost'!$F$4</f>
        <v>0</v>
      </c>
      <c r="N74" s="126"/>
      <c r="O74" s="126"/>
      <c r="P74" s="126"/>
      <c r="Q74" s="126"/>
      <c r="R74" s="127">
        <f>'1. Standard_Cost'!$B$15*N74*P74</f>
        <v>0</v>
      </c>
      <c r="S74" s="127">
        <f>N74*O74*P74*'1. Standard_Cost'!$C$15</f>
        <v>0</v>
      </c>
      <c r="T74" s="127">
        <f>N74*P74*Q74*'1. Standard_Cost'!$D$15</f>
        <v>0</v>
      </c>
      <c r="U74" s="127">
        <f>N74*O74*'1. Standard_Cost'!$E$15</f>
        <v>0</v>
      </c>
      <c r="V74" s="126"/>
      <c r="W74" s="126"/>
      <c r="X74" s="126"/>
      <c r="Y74" s="127">
        <f>+V74*((X74*'1. Standard_Cost'!$B$19)+(W74*X74*'1. Standard_Cost'!$C$19))</f>
        <v>0</v>
      </c>
      <c r="Z74" s="126"/>
      <c r="AA74" s="126"/>
      <c r="AB74" s="127">
        <f>+Z74*'1. Standard_Cost'!$B$23+AA74*'1. Standard_Cost'!$C$23</f>
        <v>0</v>
      </c>
      <c r="AC74" s="128"/>
      <c r="AD74" s="129"/>
      <c r="AE74" s="127">
        <f>SUM(AD74,AC74,AB74,Y74,U74,T74,S74,R74)*'1. Standard_Cost'!$B$31</f>
        <v>0</v>
      </c>
      <c r="AF74" s="127">
        <f t="shared" si="53"/>
        <v>0</v>
      </c>
      <c r="AG74" s="126"/>
      <c r="AH74" s="126"/>
      <c r="AI74" s="126"/>
      <c r="AJ74" s="130"/>
      <c r="AK74" s="130"/>
      <c r="AL74" s="130"/>
      <c r="AM74" s="127">
        <f>AG74*'1. Standard_Cost'!$B$27+'Incremental_Cost Year 9'!AH74*'1. Standard_Cost'!$C$27+'Incremental_Cost Year 9'!AI74*'1. Standard_Cost'!$D$27+'Incremental_Cost Year 9'!AJ74+'Incremental_Cost Year 9'!AL74+AK74</f>
        <v>0</v>
      </c>
      <c r="AN74" s="127">
        <f>AM74*'1. Standard_Cost'!$C$31</f>
        <v>0</v>
      </c>
      <c r="AO74" s="130"/>
      <c r="AQ74" s="171">
        <f t="shared" si="47"/>
        <v>0</v>
      </c>
      <c r="AR74" s="171">
        <f t="shared" si="48"/>
        <v>0</v>
      </c>
      <c r="AS74" s="171">
        <f t="shared" si="49"/>
        <v>0</v>
      </c>
      <c r="AT74" s="171">
        <f t="shared" si="50"/>
        <v>0</v>
      </c>
      <c r="AU74" s="250"/>
      <c r="AV74" s="250"/>
      <c r="AW74" s="250"/>
      <c r="AX74" s="250"/>
      <c r="AY74" s="250"/>
      <c r="AZ74" s="250"/>
      <c r="BA74" s="250"/>
      <c r="BB74" s="251">
        <f t="shared" si="52"/>
        <v>0</v>
      </c>
      <c r="BC74" s="169"/>
      <c r="BD74" s="169"/>
      <c r="BE74" s="169"/>
      <c r="BF74" s="169"/>
    </row>
    <row r="75" spans="1:58" ht="126" outlineLevel="2" x14ac:dyDescent="0.25">
      <c r="A75" s="115"/>
      <c r="B75" s="200"/>
      <c r="C75" s="201"/>
      <c r="D75" s="131"/>
      <c r="E75" s="219"/>
      <c r="F75" s="219"/>
      <c r="G75" s="313"/>
      <c r="H75" s="112" t="s">
        <v>414</v>
      </c>
      <c r="I75" s="130" t="s">
        <v>5</v>
      </c>
      <c r="J75" s="126">
        <v>12</v>
      </c>
      <c r="K75" s="126">
        <v>72</v>
      </c>
      <c r="L75" s="125">
        <f>IF(I75&lt;&gt;0,((VLOOKUP(I75,'1. Standard_Cost'!$B$4:$D$11,2)+VLOOKUP(I75,'1. Standard_Cost'!$B$4:$D$11,3))*J75*K75),"0")</f>
        <v>61084800</v>
      </c>
      <c r="M75" s="125">
        <f>L75*'1. Standard_Cost'!$F$4</f>
        <v>10201161.600000001</v>
      </c>
      <c r="N75" s="126"/>
      <c r="O75" s="126"/>
      <c r="P75" s="126"/>
      <c r="Q75" s="126"/>
      <c r="R75" s="127">
        <f>'1. Standard_Cost'!$B$15*N75*P75</f>
        <v>0</v>
      </c>
      <c r="S75" s="127">
        <f>N75*O75*P75*'1. Standard_Cost'!$C$15</f>
        <v>0</v>
      </c>
      <c r="T75" s="127">
        <f>N75*P75*Q75*'1. Standard_Cost'!$D$15</f>
        <v>0</v>
      </c>
      <c r="U75" s="127">
        <f>N75*O75*'1. Standard_Cost'!$E$15</f>
        <v>0</v>
      </c>
      <c r="V75" s="126"/>
      <c r="W75" s="126"/>
      <c r="X75" s="126"/>
      <c r="Y75" s="127">
        <f>+V75*((X75*'1. Standard_Cost'!$B$19)+(W75*X75*'1. Standard_Cost'!$C$19))</f>
        <v>0</v>
      </c>
      <c r="Z75" s="126"/>
      <c r="AA75" s="126"/>
      <c r="AB75" s="127">
        <f>+Z75*'1. Standard_Cost'!$B$23+AA75*'1. Standard_Cost'!$C$23</f>
        <v>0</v>
      </c>
      <c r="AC75" s="128">
        <v>13000000</v>
      </c>
      <c r="AD75" s="129"/>
      <c r="AE75" s="127"/>
      <c r="AF75" s="127">
        <f t="shared" si="53"/>
        <v>13000000</v>
      </c>
      <c r="AG75" s="126"/>
      <c r="AH75" s="126"/>
      <c r="AI75" s="126"/>
      <c r="AJ75" s="130"/>
      <c r="AK75" s="130"/>
      <c r="AL75" s="130"/>
      <c r="AM75" s="127">
        <f>AG75*'1. Standard_Cost'!$B$27+'Incremental_Cost Year 9'!AH75*'1. Standard_Cost'!$C$27+'Incremental_Cost Year 9'!AI75*'1. Standard_Cost'!$D$27+'Incremental_Cost Year 9'!AJ75+'Incremental_Cost Year 9'!AL75+AK75</f>
        <v>0</v>
      </c>
      <c r="AN75" s="127">
        <f>AM75*'1. Standard_Cost'!$C$31</f>
        <v>0</v>
      </c>
      <c r="AO75" s="130"/>
      <c r="AQ75" s="171">
        <f t="shared" si="47"/>
        <v>71285961.599999994</v>
      </c>
      <c r="AR75" s="171">
        <f t="shared" si="48"/>
        <v>13000000</v>
      </c>
      <c r="AS75" s="171">
        <f t="shared" si="49"/>
        <v>0</v>
      </c>
      <c r="AT75" s="171">
        <f t="shared" si="50"/>
        <v>84285961.599999994</v>
      </c>
      <c r="AU75" s="250">
        <f>AT75</f>
        <v>84285961.599999994</v>
      </c>
      <c r="AV75" s="250"/>
      <c r="AW75" s="250"/>
      <c r="AX75" s="250"/>
      <c r="AY75" s="250"/>
      <c r="AZ75" s="250"/>
      <c r="BA75" s="250"/>
      <c r="BB75" s="251">
        <f t="shared" si="52"/>
        <v>0</v>
      </c>
      <c r="BC75" s="169"/>
      <c r="BD75" s="169"/>
      <c r="BE75" s="169"/>
      <c r="BF75" s="169"/>
    </row>
    <row r="76" spans="1:58" ht="94.5" outlineLevel="2" x14ac:dyDescent="0.25">
      <c r="A76" s="115"/>
      <c r="B76" s="200"/>
      <c r="C76" s="201"/>
      <c r="D76" s="305"/>
      <c r="E76" s="320"/>
      <c r="F76" s="122"/>
      <c r="G76" s="123"/>
      <c r="H76" s="199" t="s">
        <v>415</v>
      </c>
      <c r="I76" s="130" t="s">
        <v>3</v>
      </c>
      <c r="J76" s="126">
        <v>0.5</v>
      </c>
      <c r="K76" s="126">
        <v>3</v>
      </c>
      <c r="L76" s="125">
        <f>IF(I76&lt;&gt;0,((VLOOKUP(I76,'1. Standard_Cost'!$B$4:$D$11,2)+VLOOKUP(I76,'1. Standard_Cost'!$B$4:$D$11,3))*J76*K76),"0")</f>
        <v>151200</v>
      </c>
      <c r="M76" s="125">
        <f>L76*'1. Standard_Cost'!$F$4</f>
        <v>25250.400000000001</v>
      </c>
      <c r="N76" s="126"/>
      <c r="O76" s="126"/>
      <c r="P76" s="126"/>
      <c r="Q76" s="126"/>
      <c r="R76" s="127">
        <f>'1. Standard_Cost'!$B$15*N76*P76</f>
        <v>0</v>
      </c>
      <c r="S76" s="127">
        <f>N76*O76*P76*'1. Standard_Cost'!$C$15</f>
        <v>0</v>
      </c>
      <c r="T76" s="127">
        <f>N76*P76*Q76*'1. Standard_Cost'!$D$15</f>
        <v>0</v>
      </c>
      <c r="U76" s="127">
        <f>N76*O76*'1. Standard_Cost'!$E$15</f>
        <v>0</v>
      </c>
      <c r="V76" s="126"/>
      <c r="W76" s="126"/>
      <c r="X76" s="126"/>
      <c r="Y76" s="127">
        <f>+V76*((X76*'1. Standard_Cost'!$B$19)+(W76*X76*'1. Standard_Cost'!$C$19))</f>
        <v>0</v>
      </c>
      <c r="Z76" s="126"/>
      <c r="AA76" s="126"/>
      <c r="AB76" s="127">
        <f>+Z76*'1. Standard_Cost'!$B$23+AA76*'1. Standard_Cost'!$C$23</f>
        <v>0</v>
      </c>
      <c r="AC76" s="128">
        <v>500000</v>
      </c>
      <c r="AD76" s="129"/>
      <c r="AE76" s="127">
        <f>SUM(AD76,AC76,AB76,Y76,U76,T76,S76,R76)*'1. Standard_Cost'!$B$31</f>
        <v>100000</v>
      </c>
      <c r="AF76" s="127">
        <f t="shared" si="53"/>
        <v>600000</v>
      </c>
      <c r="AG76" s="126"/>
      <c r="AH76" s="126"/>
      <c r="AI76" s="126"/>
      <c r="AJ76" s="130"/>
      <c r="AK76" s="130"/>
      <c r="AL76" s="130"/>
      <c r="AM76" s="127">
        <f>AG76*'1. Standard_Cost'!$B$27+'Incremental_Cost Year 9'!AH76*'1. Standard_Cost'!$C$27+'Incremental_Cost Year 9'!AI76*'1. Standard_Cost'!$D$27+'Incremental_Cost Year 9'!AJ76+'Incremental_Cost Year 9'!AL76+AK76</f>
        <v>0</v>
      </c>
      <c r="AN76" s="127">
        <f>AM76*'1. Standard_Cost'!$C$31</f>
        <v>0</v>
      </c>
      <c r="AO76" s="130"/>
      <c r="AQ76" s="171">
        <f t="shared" si="47"/>
        <v>176450.4</v>
      </c>
      <c r="AR76" s="171">
        <f t="shared" si="48"/>
        <v>600000</v>
      </c>
      <c r="AS76" s="171">
        <f t="shared" si="49"/>
        <v>0</v>
      </c>
      <c r="AT76" s="171">
        <f t="shared" si="50"/>
        <v>776450.4</v>
      </c>
      <c r="AU76" s="250">
        <f>AQ76</f>
        <v>176450.4</v>
      </c>
      <c r="AV76" s="250"/>
      <c r="AW76" s="250"/>
      <c r="AX76" s="250"/>
      <c r="AY76" s="250">
        <v>600000</v>
      </c>
      <c r="AZ76" s="250"/>
      <c r="BA76" s="250"/>
      <c r="BB76" s="251">
        <f t="shared" si="52"/>
        <v>0</v>
      </c>
      <c r="BC76" s="169"/>
      <c r="BD76" s="169"/>
      <c r="BE76" s="169"/>
      <c r="BF76" s="169"/>
    </row>
    <row r="77" spans="1:58" ht="141.75" outlineLevel="1" x14ac:dyDescent="0.25">
      <c r="A77" s="115"/>
      <c r="B77" s="165"/>
      <c r="C77" s="166"/>
      <c r="D77" s="107" t="s">
        <v>416</v>
      </c>
      <c r="E77" s="139" t="s">
        <v>221</v>
      </c>
      <c r="F77" s="222">
        <v>2021</v>
      </c>
      <c r="G77" s="117">
        <v>2030</v>
      </c>
      <c r="H77" s="134" t="s">
        <v>220</v>
      </c>
      <c r="I77" s="252"/>
      <c r="J77" s="252"/>
      <c r="K77" s="252"/>
      <c r="L77" s="127">
        <f>SUM(L62:L76)</f>
        <v>646486825</v>
      </c>
      <c r="M77" s="127">
        <f>SUM(M62:M76)</f>
        <v>107963299.77500001</v>
      </c>
      <c r="N77" s="127"/>
      <c r="O77" s="252"/>
      <c r="P77" s="252"/>
      <c r="Q77" s="252"/>
      <c r="R77" s="127">
        <f>SUM(R62:R76)</f>
        <v>280000</v>
      </c>
      <c r="S77" s="127">
        <f>SUM(S62:S76)</f>
        <v>420000</v>
      </c>
      <c r="T77" s="127">
        <f>SUM(T62:T76)</f>
        <v>0</v>
      </c>
      <c r="U77" s="127">
        <f>SUM(U62:U76)</f>
        <v>560000</v>
      </c>
      <c r="V77" s="252"/>
      <c r="W77" s="252"/>
      <c r="X77" s="252"/>
      <c r="Y77" s="127">
        <f>SUM(Y62:Y76)</f>
        <v>0</v>
      </c>
      <c r="Z77" s="252"/>
      <c r="AA77" s="252"/>
      <c r="AB77" s="127">
        <f>SUM(AB62:AB76)</f>
        <v>171000</v>
      </c>
      <c r="AC77" s="127">
        <f>SUM(AC62:AC76)</f>
        <v>549876000</v>
      </c>
      <c r="AD77" s="127">
        <f>SUM(AD62:AD76)</f>
        <v>0</v>
      </c>
      <c r="AE77" s="127">
        <f>SUM(AE62:AE76)</f>
        <v>81821400</v>
      </c>
      <c r="AF77" s="127">
        <f>SUM(AF62:AF76)</f>
        <v>633128400</v>
      </c>
      <c r="AG77" s="252"/>
      <c r="AH77" s="252"/>
      <c r="AI77" s="252"/>
      <c r="AJ77" s="127">
        <f>SUM(AJ62:AJ76)</f>
        <v>0</v>
      </c>
      <c r="AK77" s="127">
        <f>SUM(AK62:AK76)</f>
        <v>0</v>
      </c>
      <c r="AL77" s="127">
        <f>SUM(AL62:AL76)</f>
        <v>0</v>
      </c>
      <c r="AM77" s="127">
        <f>SUM(AM62:AM76)</f>
        <v>0</v>
      </c>
      <c r="AN77" s="127">
        <f>SUM(AN62:AN76)</f>
        <v>0</v>
      </c>
      <c r="AO77" s="253"/>
      <c r="AP77" s="254"/>
      <c r="AQ77" s="175">
        <f>SUM(AQ62:AQ76)</f>
        <v>754450124.77499998</v>
      </c>
      <c r="AR77" s="175">
        <f>SUM(AR62:AR76)</f>
        <v>633128400</v>
      </c>
      <c r="AS77" s="175">
        <f>SUM(AS62:AS76)</f>
        <v>0</v>
      </c>
      <c r="AT77" s="175">
        <f>SUM(AT62:AT76)</f>
        <v>1387578524.7750001</v>
      </c>
      <c r="AU77" s="175">
        <f t="shared" ref="AU77:BB77" si="54">SUM(AU62:AU76)</f>
        <v>1384152524.7750001</v>
      </c>
      <c r="AV77" s="175">
        <f t="shared" si="54"/>
        <v>0</v>
      </c>
      <c r="AW77" s="175">
        <f t="shared" si="54"/>
        <v>0</v>
      </c>
      <c r="AX77" s="175">
        <f t="shared" si="54"/>
        <v>0</v>
      </c>
      <c r="AY77" s="175">
        <f t="shared" si="54"/>
        <v>2346000</v>
      </c>
      <c r="AZ77" s="175">
        <f t="shared" si="54"/>
        <v>0</v>
      </c>
      <c r="BA77" s="175">
        <f t="shared" si="54"/>
        <v>0</v>
      </c>
      <c r="BB77" s="175">
        <f t="shared" si="54"/>
        <v>-1080000</v>
      </c>
      <c r="BC77" s="169"/>
      <c r="BD77" s="169"/>
      <c r="BE77" s="169"/>
      <c r="BF77" s="169"/>
    </row>
    <row r="78" spans="1:58" s="170" customFormat="1" ht="15.75" customHeight="1" x14ac:dyDescent="0.25">
      <c r="A78" s="120"/>
      <c r="B78" s="396" t="s">
        <v>298</v>
      </c>
      <c r="C78" s="389"/>
      <c r="D78" s="389"/>
      <c r="E78" s="390"/>
      <c r="F78" s="339"/>
      <c r="G78" s="339"/>
      <c r="H78" s="339" t="s">
        <v>60</v>
      </c>
      <c r="I78" s="243"/>
      <c r="J78" s="243"/>
      <c r="K78" s="243"/>
      <c r="L78" s="243">
        <f>SUM(L79,L93,L100,L106,L111,L118,L123,L134,L140)</f>
        <v>96082832.857142866</v>
      </c>
      <c r="M78" s="243">
        <f>SUM(M79,M93,M100,M106,M111,M118,M123,M134,M140)</f>
        <v>16045833.087142859</v>
      </c>
      <c r="N78" s="243"/>
      <c r="O78" s="243"/>
      <c r="P78" s="243"/>
      <c r="Q78" s="243"/>
      <c r="R78" s="243">
        <f>SUM(R79,R93,R100,R106,R111,R118,R123,R134,R140)</f>
        <v>400000</v>
      </c>
      <c r="S78" s="243">
        <f>SUM(S79,S93,S100,S106,S111,S118,S123,S134,S140)</f>
        <v>300000</v>
      </c>
      <c r="T78" s="243">
        <f>SUM(T79,T93,T100,T106,T111,T118,T123,T134,T140)</f>
        <v>0</v>
      </c>
      <c r="U78" s="243">
        <f>SUM(U79,U93,U100,U106,U111,U118,U123,U134,U140)</f>
        <v>400000</v>
      </c>
      <c r="V78" s="243"/>
      <c r="W78" s="243"/>
      <c r="X78" s="243"/>
      <c r="Y78" s="243">
        <f>SUM(Y79,Y93,Y100,Y106,Y111,Y118,Y123,Y134,Y140)</f>
        <v>510000</v>
      </c>
      <c r="Z78" s="243"/>
      <c r="AA78" s="243"/>
      <c r="AB78" s="243">
        <f>SUM(AB79,AB93,AB100,AB106,AB111,AB118,AB123,AB134,AB140)</f>
        <v>4294000</v>
      </c>
      <c r="AC78" s="243">
        <f>SUM(AC79,AC93,AC100,AC106,AC111,AC118,AC123,AC134,AC140)</f>
        <v>14669134996</v>
      </c>
      <c r="AD78" s="243">
        <f>SUM(AD79,AD93,AD100,AD106,AD111,AD118,AD123,AD134,AD140)</f>
        <v>0</v>
      </c>
      <c r="AE78" s="243">
        <f>SUM(AE79,AE93,AE100,AE106,AE111,AE118,AE123,AE134,AE140)</f>
        <v>317960799.19999999</v>
      </c>
      <c r="AF78" s="243">
        <f>SUM(AF79,AF93,AF100,AF106,AF111,AF118,AF123,AF134,AF140)</f>
        <v>15005239795.200001</v>
      </c>
      <c r="AG78" s="243"/>
      <c r="AH78" s="243"/>
      <c r="AI78" s="243"/>
      <c r="AJ78" s="243">
        <f>SUM(AJ79,AJ93,AJ100,AJ106,AJ111,AJ118,AJ123,AJ134,AJ140)</f>
        <v>0</v>
      </c>
      <c r="AK78" s="243">
        <f>SUM(AK79,AK93,AK100,AK106,AK111,AK118,AK123,AK134,AK140)</f>
        <v>0</v>
      </c>
      <c r="AL78" s="243">
        <f>SUM(AL79,AL93,AL100,AL106,AL111,AL118,AL123,AL134,AL140)</f>
        <v>0</v>
      </c>
      <c r="AM78" s="243">
        <f>SUM(AM79,AM93,AM100,AM106,AM111,AM118,AM123,AM134,AM140)</f>
        <v>0</v>
      </c>
      <c r="AN78" s="243">
        <f>SUM(AN79,AN93,AN100,AN106,AN111,AN118,AN123,AN134,AN140)</f>
        <v>0</v>
      </c>
      <c r="AO78" s="243"/>
      <c r="AP78" s="244"/>
      <c r="AQ78" s="245">
        <f>SUM(AQ79,AQ93,AQ100,AQ106,AQ111,AQ118,AQ123,AQ134,AQ140)</f>
        <v>112128665.94428572</v>
      </c>
      <c r="AR78" s="245">
        <f>SUM(AR79,AR93,AR100,AR106,AR111,AR118,AR123,AR134,AR140)</f>
        <v>15005239795.200001</v>
      </c>
      <c r="AS78" s="245">
        <f>SUM(AS79,AS93,AS100,AS106,AS111,AS118,AS123,AS134,AS140)</f>
        <v>0</v>
      </c>
      <c r="AT78" s="245">
        <f>SUM(AT79,AT93,AT100,AT106,AT111,AT118,AT123,AT134,AT140)</f>
        <v>15117368461.144287</v>
      </c>
      <c r="AU78" s="245">
        <f t="shared" ref="AU78:BB78" si="55">SUM(AU79,AU93,AU100,AU106,AU111,AU118,AU123,AU134,AU140)</f>
        <v>14796429661.5</v>
      </c>
      <c r="AV78" s="245">
        <f t="shared" si="55"/>
        <v>0</v>
      </c>
      <c r="AW78" s="245">
        <f t="shared" si="55"/>
        <v>0</v>
      </c>
      <c r="AX78" s="245">
        <f t="shared" si="55"/>
        <v>0</v>
      </c>
      <c r="AY78" s="245">
        <f t="shared" si="55"/>
        <v>0</v>
      </c>
      <c r="AZ78" s="245">
        <f t="shared" si="55"/>
        <v>0</v>
      </c>
      <c r="BA78" s="245">
        <f t="shared" si="55"/>
        <v>0</v>
      </c>
      <c r="BB78" s="245">
        <f t="shared" si="55"/>
        <v>-320938799.64428574</v>
      </c>
    </row>
    <row r="79" spans="1:58" s="170" customFormat="1" ht="15.75" customHeight="1" x14ac:dyDescent="0.25">
      <c r="A79" s="120"/>
      <c r="B79" s="290"/>
      <c r="C79" s="391" t="s">
        <v>313</v>
      </c>
      <c r="D79" s="391"/>
      <c r="E79" s="392"/>
      <c r="F79" s="293"/>
      <c r="G79" s="293"/>
      <c r="H79" s="114" t="s">
        <v>163</v>
      </c>
      <c r="I79" s="246"/>
      <c r="J79" s="246"/>
      <c r="K79" s="246"/>
      <c r="L79" s="247">
        <f>SUM(L85,L88,L92)</f>
        <v>7309440</v>
      </c>
      <c r="M79" s="247">
        <f>SUM(M85,M88,M92)</f>
        <v>1220676.48</v>
      </c>
      <c r="N79" s="247"/>
      <c r="O79" s="247"/>
      <c r="P79" s="247"/>
      <c r="Q79" s="247"/>
      <c r="R79" s="247">
        <f>SUM(R85,R88,R92)</f>
        <v>0</v>
      </c>
      <c r="S79" s="247">
        <f>SUM(S85,S88,S92)</f>
        <v>0</v>
      </c>
      <c r="T79" s="247">
        <f>SUM(T85,T88,T92)</f>
        <v>0</v>
      </c>
      <c r="U79" s="247">
        <f>SUM(U85,U88,U92)</f>
        <v>0</v>
      </c>
      <c r="V79" s="247"/>
      <c r="W79" s="247"/>
      <c r="X79" s="247"/>
      <c r="Y79" s="247">
        <f>SUM(Y85,Y88,Y92)</f>
        <v>255000</v>
      </c>
      <c r="Z79" s="247"/>
      <c r="AA79" s="247"/>
      <c r="AB79" s="247">
        <f>SUM(AB85,AB88,AB92)</f>
        <v>855000</v>
      </c>
      <c r="AC79" s="247">
        <f>SUM(AC85,AC88,AC92)</f>
        <v>2513515516</v>
      </c>
      <c r="AD79" s="247">
        <f>SUM(AD85,AD88,AD92)</f>
        <v>0</v>
      </c>
      <c r="AE79" s="247">
        <f>SUM(AE85,AE88,AE92)</f>
        <v>313878103.19999999</v>
      </c>
      <c r="AF79" s="247">
        <f>SUM(AF85,AF88,AF92)</f>
        <v>2828503619.1999998</v>
      </c>
      <c r="AG79" s="247"/>
      <c r="AH79" s="247"/>
      <c r="AI79" s="247"/>
      <c r="AJ79" s="247">
        <f>SUM(AJ85,AJ88,AJ92)</f>
        <v>0</v>
      </c>
      <c r="AK79" s="247">
        <f>SUM(AK85,AK88,AK92)</f>
        <v>0</v>
      </c>
      <c r="AL79" s="247">
        <f>SUM(AL85,AL88,AL92)</f>
        <v>0</v>
      </c>
      <c r="AM79" s="247">
        <f>SUM(AM85,AM88,AM92)</f>
        <v>0</v>
      </c>
      <c r="AN79" s="247">
        <f>SUM(AN85,AN88,AN92)</f>
        <v>0</v>
      </c>
      <c r="AO79" s="247"/>
      <c r="AP79" s="255"/>
      <c r="AQ79" s="248">
        <f>SUM(AQ85,AQ88,AQ92)</f>
        <v>8530116.4800000004</v>
      </c>
      <c r="AR79" s="248">
        <f>SUM(AR85,AR88,AR92)</f>
        <v>2828503619.1999998</v>
      </c>
      <c r="AS79" s="248">
        <f>SUM(AS85,AS88,AS92)</f>
        <v>0</v>
      </c>
      <c r="AT79" s="248">
        <f>SUM(AT85,AT88,AT92)</f>
        <v>2837033735.6799998</v>
      </c>
      <c r="AU79" s="248">
        <f t="shared" ref="AU79:BB79" si="56">SUM(AU85,AU88,AU92)</f>
        <v>2522561735</v>
      </c>
      <c r="AV79" s="248">
        <f t="shared" si="56"/>
        <v>0</v>
      </c>
      <c r="AW79" s="248">
        <f t="shared" si="56"/>
        <v>0</v>
      </c>
      <c r="AX79" s="248">
        <f t="shared" si="56"/>
        <v>0</v>
      </c>
      <c r="AY79" s="248">
        <f t="shared" si="56"/>
        <v>0</v>
      </c>
      <c r="AZ79" s="248">
        <f t="shared" si="56"/>
        <v>0</v>
      </c>
      <c r="BA79" s="248">
        <f t="shared" si="56"/>
        <v>0</v>
      </c>
      <c r="BB79" s="248">
        <f t="shared" si="56"/>
        <v>-314472000.68000001</v>
      </c>
    </row>
    <row r="80" spans="1:58" ht="31.5" outlineLevel="2" x14ac:dyDescent="0.25">
      <c r="A80" s="115"/>
      <c r="B80" s="200"/>
      <c r="C80" s="201"/>
      <c r="D80" s="202"/>
      <c r="E80" s="226"/>
      <c r="F80" s="306"/>
      <c r="G80" s="307"/>
      <c r="H80" s="164" t="s">
        <v>417</v>
      </c>
      <c r="I80" s="130"/>
      <c r="J80" s="126"/>
      <c r="K80" s="126"/>
      <c r="L80" s="125" t="str">
        <f>IF(I80&lt;&gt;0,((VLOOKUP(I80,'1. Standard_Cost'!$B$4:$D$11,2)+VLOOKUP(I80,'1. Standard_Cost'!$B$4:$D$11,3))*J80*K80),"0")</f>
        <v>0</v>
      </c>
      <c r="M80" s="125">
        <f>L80*'1. Standard_Cost'!$F$4</f>
        <v>0</v>
      </c>
      <c r="N80" s="126"/>
      <c r="O80" s="126"/>
      <c r="P80" s="126"/>
      <c r="Q80" s="126"/>
      <c r="R80" s="127">
        <f>'1. Standard_Cost'!$B$15*N80*P80</f>
        <v>0</v>
      </c>
      <c r="S80" s="127">
        <f>N80*O80*P80*'1. Standard_Cost'!$C$15</f>
        <v>0</v>
      </c>
      <c r="T80" s="127">
        <f>N80*P80*Q80*'1. Standard_Cost'!$D$15</f>
        <v>0</v>
      </c>
      <c r="U80" s="127">
        <f>N80*O80*'1. Standard_Cost'!$E$15</f>
        <v>0</v>
      </c>
      <c r="V80" s="126"/>
      <c r="W80" s="126"/>
      <c r="X80" s="126"/>
      <c r="Y80" s="127">
        <f>+V80*((X80*'1. Standard_Cost'!$B$19)+(W80*X80*'1. Standard_Cost'!$C$19))</f>
        <v>0</v>
      </c>
      <c r="Z80" s="126"/>
      <c r="AA80" s="126"/>
      <c r="AB80" s="127">
        <f>+Z80*'1. Standard_Cost'!$B$23+AA80*'1. Standard_Cost'!$C$23</f>
        <v>0</v>
      </c>
      <c r="AC80" s="128">
        <v>876090000</v>
      </c>
      <c r="AD80" s="129"/>
      <c r="AE80" s="127">
        <f>0</f>
        <v>0</v>
      </c>
      <c r="AF80" s="127">
        <f>SUM(AE80,AD80,AC80,AB80,Y80,U80,T80,S80,R80)</f>
        <v>876090000</v>
      </c>
      <c r="AG80" s="126"/>
      <c r="AH80" s="126"/>
      <c r="AI80" s="126"/>
      <c r="AJ80" s="130"/>
      <c r="AK80" s="130"/>
      <c r="AL80" s="130"/>
      <c r="AM80" s="127">
        <f>AG80*'1. Standard_Cost'!$B$27+'Incremental_Cost Year 9'!AH80*'1. Standard_Cost'!$C$27+'Incremental_Cost Year 9'!AI80*'1. Standard_Cost'!$D$27+'Incremental_Cost Year 9'!AJ80+'Incremental_Cost Year 9'!AL80+AK80</f>
        <v>0</v>
      </c>
      <c r="AN80" s="127">
        <f>AM80*'1. Standard_Cost'!$C$31</f>
        <v>0</v>
      </c>
      <c r="AO80" s="130"/>
      <c r="AP80" s="256"/>
      <c r="AQ80" s="171">
        <f>L80+M80</f>
        <v>0</v>
      </c>
      <c r="AR80" s="171">
        <f>AF80</f>
        <v>876090000</v>
      </c>
      <c r="AS80" s="171">
        <f>AM80+AN80</f>
        <v>0</v>
      </c>
      <c r="AT80" s="171">
        <f>SUM(AQ80,AR80,AS80)</f>
        <v>876090000</v>
      </c>
      <c r="AU80" s="250">
        <v>876090000</v>
      </c>
      <c r="AV80" s="250"/>
      <c r="AW80" s="250"/>
      <c r="AX80" s="250"/>
      <c r="AY80" s="250"/>
      <c r="AZ80" s="250"/>
      <c r="BA80" s="250"/>
      <c r="BB80" s="251">
        <f t="shared" ref="BB80:BB84" si="57">SUM(AU80:BA80)-AT80</f>
        <v>0</v>
      </c>
      <c r="BC80" s="169"/>
      <c r="BD80" s="169"/>
      <c r="BE80" s="169"/>
      <c r="BF80" s="169"/>
    </row>
    <row r="81" spans="1:58" ht="31.5" outlineLevel="2" x14ac:dyDescent="0.25">
      <c r="A81" s="115"/>
      <c r="B81" s="200"/>
      <c r="C81" s="201"/>
      <c r="D81" s="202"/>
      <c r="E81" s="202"/>
      <c r="F81" s="308"/>
      <c r="G81" s="309"/>
      <c r="H81" s="164" t="s">
        <v>418</v>
      </c>
      <c r="I81" s="130"/>
      <c r="J81" s="126"/>
      <c r="K81" s="126"/>
      <c r="L81" s="125" t="str">
        <f>IF(I81&lt;&gt;0,((VLOOKUP(I81,'1. Standard_Cost'!$B$4:$D$11,2)+VLOOKUP(I81,'1. Standard_Cost'!$B$4:$D$11,3))*J81*K81),"0")</f>
        <v>0</v>
      </c>
      <c r="M81" s="125">
        <f>L81*'1. Standard_Cost'!$F$4</f>
        <v>0</v>
      </c>
      <c r="N81" s="126"/>
      <c r="O81" s="126"/>
      <c r="P81" s="126"/>
      <c r="Q81" s="126"/>
      <c r="R81" s="127">
        <f>'1. Standard_Cost'!$B$15*N81*P81</f>
        <v>0</v>
      </c>
      <c r="S81" s="127">
        <f>N81*O81*P81*'1. Standard_Cost'!$C$15</f>
        <v>0</v>
      </c>
      <c r="T81" s="127">
        <f>N81*P81*Q81*'1. Standard_Cost'!$D$15</f>
        <v>0</v>
      </c>
      <c r="U81" s="127">
        <f>N81*O81*'1. Standard_Cost'!$E$15</f>
        <v>0</v>
      </c>
      <c r="V81" s="126"/>
      <c r="W81" s="126"/>
      <c r="X81" s="126"/>
      <c r="Y81" s="127">
        <f>+V81*((X81*'1. Standard_Cost'!$B$19)+(W81*X81*'1. Standard_Cost'!$C$19))</f>
        <v>0</v>
      </c>
      <c r="Z81" s="126"/>
      <c r="AA81" s="126"/>
      <c r="AB81" s="127">
        <f>+Z81*'1. Standard_Cost'!$B$23+AA81*'1. Standard_Cost'!$C$23</f>
        <v>0</v>
      </c>
      <c r="AC81" s="128">
        <v>56520000</v>
      </c>
      <c r="AD81" s="129"/>
      <c r="AE81" s="127">
        <f>0</f>
        <v>0</v>
      </c>
      <c r="AF81" s="127">
        <f>SUM(AE81,AD81,AC81,AB81,Y81,U81,T81,S81,R81)</f>
        <v>56520000</v>
      </c>
      <c r="AG81" s="126"/>
      <c r="AH81" s="126"/>
      <c r="AI81" s="126"/>
      <c r="AJ81" s="130"/>
      <c r="AK81" s="130"/>
      <c r="AL81" s="130"/>
      <c r="AM81" s="127">
        <f>AG81*'1. Standard_Cost'!$B$27+'Incremental_Cost Year 9'!AH81*'1. Standard_Cost'!$C$27+'Incremental_Cost Year 9'!AI81*'1. Standard_Cost'!$D$27+'Incremental_Cost Year 9'!AJ81+'Incremental_Cost Year 9'!AL81+AK81</f>
        <v>0</v>
      </c>
      <c r="AN81" s="127">
        <f>AM81*'1. Standard_Cost'!$C$31</f>
        <v>0</v>
      </c>
      <c r="AO81" s="130"/>
      <c r="AP81" s="256"/>
      <c r="AQ81" s="171">
        <f>L81+M81</f>
        <v>0</v>
      </c>
      <c r="AR81" s="171">
        <f>AF81</f>
        <v>56520000</v>
      </c>
      <c r="AS81" s="171">
        <f>AM81+AN81</f>
        <v>0</v>
      </c>
      <c r="AT81" s="171">
        <f>SUM(AQ81,AR81,AS81)</f>
        <v>56520000</v>
      </c>
      <c r="AU81" s="250">
        <v>56520000</v>
      </c>
      <c r="AV81" s="250"/>
      <c r="AW81" s="250"/>
      <c r="AX81" s="250"/>
      <c r="AY81" s="250"/>
      <c r="AZ81" s="250"/>
      <c r="BA81" s="250"/>
      <c r="BB81" s="251">
        <f t="shared" si="57"/>
        <v>0</v>
      </c>
      <c r="BC81" s="169"/>
      <c r="BD81" s="169"/>
      <c r="BE81" s="169"/>
      <c r="BF81" s="169"/>
    </row>
    <row r="82" spans="1:58" ht="31.5" outlineLevel="2" x14ac:dyDescent="0.25">
      <c r="A82" s="115"/>
      <c r="B82" s="200"/>
      <c r="C82" s="201"/>
      <c r="D82" s="202"/>
      <c r="E82" s="202"/>
      <c r="F82" s="308"/>
      <c r="G82" s="309"/>
      <c r="H82" s="164" t="s">
        <v>419</v>
      </c>
      <c r="I82" s="130"/>
      <c r="J82" s="126"/>
      <c r="K82" s="126"/>
      <c r="L82" s="125" t="str">
        <f>IF(I82&lt;&gt;0,((VLOOKUP(I82,'1. Standard_Cost'!$B$4:$D$11,2)+VLOOKUP(I82,'1. Standard_Cost'!$B$4:$D$11,3))*J82*K82),"0")</f>
        <v>0</v>
      </c>
      <c r="M82" s="125">
        <f>L82*'1. Standard_Cost'!$F$4</f>
        <v>0</v>
      </c>
      <c r="N82" s="126"/>
      <c r="O82" s="126"/>
      <c r="P82" s="126"/>
      <c r="Q82" s="126"/>
      <c r="R82" s="127">
        <f>'1. Standard_Cost'!$B$15*N82*P82</f>
        <v>0</v>
      </c>
      <c r="S82" s="127">
        <f>N82*O82*P82*'1. Standard_Cost'!$C$15</f>
        <v>0</v>
      </c>
      <c r="T82" s="127">
        <f>N82*P82*Q82*'1. Standard_Cost'!$D$15</f>
        <v>0</v>
      </c>
      <c r="U82" s="127">
        <f>N82*O82*'1. Standard_Cost'!$E$15</f>
        <v>0</v>
      </c>
      <c r="V82" s="126"/>
      <c r="W82" s="126"/>
      <c r="X82" s="126"/>
      <c r="Y82" s="127">
        <f>+V82*((X82*'1. Standard_Cost'!$B$19)+(W82*X82*'1. Standard_Cost'!$C$19))</f>
        <v>0</v>
      </c>
      <c r="Z82" s="126"/>
      <c r="AA82" s="126"/>
      <c r="AB82" s="127">
        <f>+Z82*'1. Standard_Cost'!$B$23+AA82*'1. Standard_Cost'!$C$23</f>
        <v>0</v>
      </c>
      <c r="AC82" s="128">
        <v>12625000</v>
      </c>
      <c r="AD82" s="129"/>
      <c r="AE82" s="127">
        <f>0</f>
        <v>0</v>
      </c>
      <c r="AF82" s="127">
        <f>SUM(AE82,AD82,AC82,AB82,Y82,U82,T82,S82,R82)</f>
        <v>12625000</v>
      </c>
      <c r="AG82" s="126"/>
      <c r="AH82" s="126"/>
      <c r="AI82" s="126"/>
      <c r="AJ82" s="130"/>
      <c r="AK82" s="130"/>
      <c r="AL82" s="130"/>
      <c r="AM82" s="127">
        <f>AG82*'1. Standard_Cost'!$B$27+'Incremental_Cost Year 9'!AH82*'1. Standard_Cost'!$C$27+'Incremental_Cost Year 9'!AI82*'1. Standard_Cost'!$D$27+'Incremental_Cost Year 9'!AJ82+'Incremental_Cost Year 9'!AL82+AK82</f>
        <v>0</v>
      </c>
      <c r="AN82" s="127">
        <f>AM82*'1. Standard_Cost'!$C$31</f>
        <v>0</v>
      </c>
      <c r="AO82" s="130"/>
      <c r="AP82" s="256"/>
      <c r="AQ82" s="171">
        <f>L82+M82</f>
        <v>0</v>
      </c>
      <c r="AR82" s="171">
        <f>AF82</f>
        <v>12625000</v>
      </c>
      <c r="AS82" s="171">
        <f>AM82+AN82</f>
        <v>0</v>
      </c>
      <c r="AT82" s="171">
        <f>SUM(AQ82,AR82,AS82)</f>
        <v>12625000</v>
      </c>
      <c r="AU82" s="250">
        <v>12625000</v>
      </c>
      <c r="AV82" s="250"/>
      <c r="AW82" s="250"/>
      <c r="AX82" s="250"/>
      <c r="AY82" s="250"/>
      <c r="AZ82" s="250"/>
      <c r="BA82" s="250"/>
      <c r="BB82" s="251">
        <f t="shared" si="57"/>
        <v>0</v>
      </c>
      <c r="BC82" s="169"/>
      <c r="BD82" s="169"/>
      <c r="BE82" s="169"/>
      <c r="BF82" s="169"/>
    </row>
    <row r="83" spans="1:58" ht="78.75" outlineLevel="2" x14ac:dyDescent="0.25">
      <c r="A83" s="115"/>
      <c r="B83" s="200"/>
      <c r="C83" s="201"/>
      <c r="D83" s="137"/>
      <c r="E83" s="105"/>
      <c r="F83" s="308"/>
      <c r="G83" s="309"/>
      <c r="H83" s="199" t="s">
        <v>539</v>
      </c>
      <c r="I83" s="130"/>
      <c r="J83" s="126"/>
      <c r="K83" s="126"/>
      <c r="L83" s="125" t="str">
        <f>IF(I83&lt;&gt;0,((VLOOKUP(I83,'1. Standard_Cost'!$B$4:$D$11,2)+VLOOKUP(I83,'1. Standard_Cost'!$B$4:$D$11,3))*J83*K83),"0")</f>
        <v>0</v>
      </c>
      <c r="M83" s="125">
        <f>L83*'1. Standard_Cost'!$F$4</f>
        <v>0</v>
      </c>
      <c r="N83" s="126"/>
      <c r="O83" s="126"/>
      <c r="P83" s="126"/>
      <c r="Q83" s="126"/>
      <c r="R83" s="127">
        <f>'1. Standard_Cost'!$B$15*N83*P83</f>
        <v>0</v>
      </c>
      <c r="S83" s="127">
        <f>N83*O83*P83*'1. Standard_Cost'!$C$15</f>
        <v>0</v>
      </c>
      <c r="T83" s="127">
        <f>N83*P83*Q83*'1. Standard_Cost'!$D$15</f>
        <v>0</v>
      </c>
      <c r="U83" s="127">
        <f>N83*O83*'1. Standard_Cost'!$E$15</f>
        <v>0</v>
      </c>
      <c r="V83" s="126"/>
      <c r="W83" s="126"/>
      <c r="X83" s="126"/>
      <c r="Y83" s="127">
        <f>+V83*((X83*'1. Standard_Cost'!$B$19)+(W83*X83*'1. Standard_Cost'!$C$19))</f>
        <v>0</v>
      </c>
      <c r="Z83" s="126"/>
      <c r="AA83" s="126"/>
      <c r="AB83" s="127">
        <f>+Z83*'1. Standard_Cost'!$B$23+AA83*'1. Standard_Cost'!$C$23</f>
        <v>0</v>
      </c>
      <c r="AC83" s="128">
        <v>1567230000</v>
      </c>
      <c r="AD83" s="129"/>
      <c r="AE83" s="127">
        <f>SUM(AD83,AC83,AB83,Y83,U83,T83,S83,R83)*'1. Standard_Cost'!$B$31</f>
        <v>313446000</v>
      </c>
      <c r="AF83" s="127">
        <f>SUM(AE83,AD83,AC83,AB83,Y83,U83,T83,S83,R83)</f>
        <v>1880676000</v>
      </c>
      <c r="AG83" s="126"/>
      <c r="AH83" s="126"/>
      <c r="AI83" s="126"/>
      <c r="AJ83" s="130"/>
      <c r="AK83" s="130"/>
      <c r="AL83" s="130"/>
      <c r="AM83" s="127">
        <f>AG83*'1. Standard_Cost'!$B$27+'Incremental_Cost Year 9'!AH83*'1. Standard_Cost'!$C$27+'Incremental_Cost Year 9'!AI83*'1. Standard_Cost'!$D$27+'Incremental_Cost Year 9'!AJ83+'Incremental_Cost Year 9'!AL83+AK83</f>
        <v>0</v>
      </c>
      <c r="AN83" s="127">
        <f>AM83*'1. Standard_Cost'!$C$31</f>
        <v>0</v>
      </c>
      <c r="AO83" s="130"/>
      <c r="AP83" s="256"/>
      <c r="AQ83" s="171">
        <f>L83+M83</f>
        <v>0</v>
      </c>
      <c r="AR83" s="171">
        <f>AF83</f>
        <v>1880676000</v>
      </c>
      <c r="AS83" s="171">
        <f>AM83+AN83</f>
        <v>0</v>
      </c>
      <c r="AT83" s="171">
        <f>SUM(AQ83,AR83,AS83)</f>
        <v>1880676000</v>
      </c>
      <c r="AU83" s="250">
        <v>1567230000</v>
      </c>
      <c r="AV83" s="250"/>
      <c r="AW83" s="250"/>
      <c r="AX83" s="250"/>
      <c r="AY83" s="250"/>
      <c r="AZ83" s="250"/>
      <c r="BA83" s="250"/>
      <c r="BB83" s="251">
        <f t="shared" si="57"/>
        <v>-313446000</v>
      </c>
      <c r="BC83" s="169"/>
      <c r="BD83" s="169"/>
      <c r="BE83" s="169"/>
      <c r="BF83" s="169"/>
    </row>
    <row r="84" spans="1:58" ht="31.5" outlineLevel="2" x14ac:dyDescent="0.25">
      <c r="A84" s="115"/>
      <c r="B84" s="200"/>
      <c r="C84" s="201"/>
      <c r="D84" s="137"/>
      <c r="E84" s="202"/>
      <c r="F84" s="308"/>
      <c r="G84" s="309"/>
      <c r="H84" s="164" t="s">
        <v>420</v>
      </c>
      <c r="I84" s="130"/>
      <c r="J84" s="126"/>
      <c r="K84" s="126"/>
      <c r="L84" s="125" t="str">
        <f>IF(I84&lt;&gt;0,((VLOOKUP(I84,'1. Standard_Cost'!$B$4:$D$11,2)+VLOOKUP(I84,'1. Standard_Cost'!$B$4:$D$11,3))*J84*K84),"0")</f>
        <v>0</v>
      </c>
      <c r="M84" s="125">
        <f>L84*'1. Standard_Cost'!$F$4</f>
        <v>0</v>
      </c>
      <c r="N84" s="126"/>
      <c r="O84" s="126"/>
      <c r="P84" s="126"/>
      <c r="Q84" s="126"/>
      <c r="R84" s="127">
        <f>'1. Standard_Cost'!$B$15*N84*P84</f>
        <v>0</v>
      </c>
      <c r="S84" s="127">
        <f>N84*O84*P84*'1. Standard_Cost'!$C$15</f>
        <v>0</v>
      </c>
      <c r="T84" s="127">
        <f>N84*P84*Q84*'1. Standard_Cost'!$D$15</f>
        <v>0</v>
      </c>
      <c r="U84" s="127">
        <f>N84*O84*'1. Standard_Cost'!$E$15</f>
        <v>0</v>
      </c>
      <c r="V84" s="126"/>
      <c r="W84" s="126"/>
      <c r="X84" s="126"/>
      <c r="Y84" s="127">
        <f>+V84*((X84*'1. Standard_Cost'!$B$19)+(W84*X84*'1. Standard_Cost'!$C$19))</f>
        <v>0</v>
      </c>
      <c r="Z84" s="126"/>
      <c r="AA84" s="126"/>
      <c r="AB84" s="127">
        <f>+Z84*'1. Standard_Cost'!$B$23+AA84*'1. Standard_Cost'!$C$23</f>
        <v>0</v>
      </c>
      <c r="AC84" s="128"/>
      <c r="AD84" s="129"/>
      <c r="AE84" s="127">
        <f>SUM(AD84,AC84,AB84,Y84,U84,T84,S84,R84)*'1. Standard_Cost'!$B$31</f>
        <v>0</v>
      </c>
      <c r="AF84" s="127">
        <f>SUM(AE84,AD84,AC84,AB84,Y84,U84,T84,S84,R84)</f>
        <v>0</v>
      </c>
      <c r="AG84" s="126"/>
      <c r="AH84" s="126"/>
      <c r="AI84" s="126"/>
      <c r="AJ84" s="130"/>
      <c r="AK84" s="130"/>
      <c r="AL84" s="130"/>
      <c r="AM84" s="127">
        <f>AG84*'1. Standard_Cost'!$B$27+'Incremental_Cost Year 9'!AH84*'1. Standard_Cost'!$C$27+'Incremental_Cost Year 9'!AI84*'1. Standard_Cost'!$D$27+'Incremental_Cost Year 9'!AJ84+'Incremental_Cost Year 9'!AL84+AK84</f>
        <v>0</v>
      </c>
      <c r="AN84" s="127">
        <f>AM84*'1. Standard_Cost'!$C$31</f>
        <v>0</v>
      </c>
      <c r="AO84" s="130"/>
      <c r="AP84" s="256"/>
      <c r="AQ84" s="171">
        <f>L84+M84</f>
        <v>0</v>
      </c>
      <c r="AR84" s="171">
        <f>AF84</f>
        <v>0</v>
      </c>
      <c r="AS84" s="171">
        <f>AM84+AN84</f>
        <v>0</v>
      </c>
      <c r="AT84" s="171">
        <f>SUM(AQ84,AR84,AS84)</f>
        <v>0</v>
      </c>
      <c r="AU84" s="250"/>
      <c r="AV84" s="250"/>
      <c r="AW84" s="250"/>
      <c r="AX84" s="250"/>
      <c r="AY84" s="250"/>
      <c r="AZ84" s="250"/>
      <c r="BA84" s="250"/>
      <c r="BB84" s="251">
        <f t="shared" si="57"/>
        <v>0</v>
      </c>
      <c r="BC84" s="169"/>
      <c r="BD84" s="169"/>
      <c r="BE84" s="169"/>
      <c r="BF84" s="169"/>
    </row>
    <row r="85" spans="1:58" ht="110.25" outlineLevel="1" x14ac:dyDescent="0.25">
      <c r="A85" s="115"/>
      <c r="B85" s="165"/>
      <c r="C85" s="166"/>
      <c r="D85" s="139" t="s">
        <v>421</v>
      </c>
      <c r="E85" s="212" t="s">
        <v>273</v>
      </c>
      <c r="F85" s="136">
        <v>2021</v>
      </c>
      <c r="G85" s="117">
        <v>2030</v>
      </c>
      <c r="H85" s="110" t="s">
        <v>175</v>
      </c>
      <c r="I85" s="252"/>
      <c r="J85" s="252"/>
      <c r="K85" s="252"/>
      <c r="L85" s="127">
        <f>SUM(L80:L84)</f>
        <v>0</v>
      </c>
      <c r="M85" s="127">
        <f>SUM(M80:M84)</f>
        <v>0</v>
      </c>
      <c r="N85" s="252"/>
      <c r="O85" s="252"/>
      <c r="P85" s="252"/>
      <c r="Q85" s="252"/>
      <c r="R85" s="127">
        <f>SUM(R80:R84)</f>
        <v>0</v>
      </c>
      <c r="S85" s="127">
        <f>SUM(S80:S84)</f>
        <v>0</v>
      </c>
      <c r="T85" s="127">
        <f>SUM(T80:T84)</f>
        <v>0</v>
      </c>
      <c r="U85" s="127">
        <f>SUM(U80:U84)</f>
        <v>0</v>
      </c>
      <c r="V85" s="252"/>
      <c r="W85" s="252"/>
      <c r="X85" s="252"/>
      <c r="Y85" s="127">
        <f>SUM(Y80:Y84)</f>
        <v>0</v>
      </c>
      <c r="Z85" s="252"/>
      <c r="AA85" s="252"/>
      <c r="AB85" s="127">
        <f>SUM(AB80:AB84)</f>
        <v>0</v>
      </c>
      <c r="AC85" s="127">
        <f>SUM(AC80:AC84)</f>
        <v>2512465000</v>
      </c>
      <c r="AD85" s="127">
        <f>SUM(AD80:AD84)</f>
        <v>0</v>
      </c>
      <c r="AE85" s="127">
        <f>SUM(AE80:AE84)</f>
        <v>313446000</v>
      </c>
      <c r="AF85" s="127">
        <f>SUM(AF80:AF84)</f>
        <v>2825911000</v>
      </c>
      <c r="AG85" s="252"/>
      <c r="AH85" s="252"/>
      <c r="AI85" s="252"/>
      <c r="AJ85" s="127">
        <f>SUM(AJ80:AJ84)</f>
        <v>0</v>
      </c>
      <c r="AK85" s="127">
        <f>SUM(AK80:AK84)</f>
        <v>0</v>
      </c>
      <c r="AL85" s="127">
        <f>SUM(AL80:AL84)</f>
        <v>0</v>
      </c>
      <c r="AM85" s="127">
        <f>SUM(AM80:AM84)</f>
        <v>0</v>
      </c>
      <c r="AN85" s="127">
        <f>SUM(AN80:AN84)</f>
        <v>0</v>
      </c>
      <c r="AO85" s="253"/>
      <c r="AP85" s="254"/>
      <c r="AQ85" s="175">
        <f>SUM(AQ80:AQ84)</f>
        <v>0</v>
      </c>
      <c r="AR85" s="175">
        <f>SUM(AR80:AR84)</f>
        <v>2825911000</v>
      </c>
      <c r="AS85" s="175">
        <f>SUM(AS80:AS84)</f>
        <v>0</v>
      </c>
      <c r="AT85" s="175">
        <f>SUM(AT80:AT84)</f>
        <v>2825911000</v>
      </c>
      <c r="AU85" s="175">
        <f t="shared" ref="AU85:BB85" si="58">SUM(AU80:AU84)</f>
        <v>2512465000</v>
      </c>
      <c r="AV85" s="175">
        <f t="shared" si="58"/>
        <v>0</v>
      </c>
      <c r="AW85" s="175">
        <f t="shared" si="58"/>
        <v>0</v>
      </c>
      <c r="AX85" s="175">
        <f t="shared" si="58"/>
        <v>0</v>
      </c>
      <c r="AY85" s="175">
        <f t="shared" si="58"/>
        <v>0</v>
      </c>
      <c r="AZ85" s="175">
        <f t="shared" si="58"/>
        <v>0</v>
      </c>
      <c r="BA85" s="175">
        <f t="shared" si="58"/>
        <v>0</v>
      </c>
      <c r="BB85" s="175">
        <f t="shared" si="58"/>
        <v>-313446000</v>
      </c>
      <c r="BC85" s="169"/>
      <c r="BD85" s="169"/>
      <c r="BE85" s="169"/>
      <c r="BF85" s="169"/>
    </row>
    <row r="86" spans="1:58" ht="126" outlineLevel="2" x14ac:dyDescent="0.25">
      <c r="A86" s="115"/>
      <c r="B86" s="200"/>
      <c r="C86" s="201"/>
      <c r="D86" s="346"/>
      <c r="E86" s="321"/>
      <c r="F86" s="295"/>
      <c r="G86" s="296"/>
      <c r="H86" s="164" t="s">
        <v>422</v>
      </c>
      <c r="I86" s="130" t="s">
        <v>3</v>
      </c>
      <c r="J86" s="126">
        <v>0.7</v>
      </c>
      <c r="K86" s="126">
        <v>9</v>
      </c>
      <c r="L86" s="125">
        <f>IF(I86&lt;&gt;0,((VLOOKUP(I86,'1. Standard_Cost'!$B$4:$D$11,2)+VLOOKUP(I86,'1. Standard_Cost'!$B$4:$D$11,3))*J86*K86),"0")</f>
        <v>635040</v>
      </c>
      <c r="M86" s="125">
        <f>L86*'1. Standard_Cost'!$F$4</f>
        <v>106051.68000000001</v>
      </c>
      <c r="N86" s="126"/>
      <c r="O86" s="126"/>
      <c r="P86" s="126"/>
      <c r="Q86" s="126"/>
      <c r="R86" s="127">
        <f>'1. Standard_Cost'!$B$15*N86*P86</f>
        <v>0</v>
      </c>
      <c r="S86" s="127">
        <f>N86*O86*P86*'1. Standard_Cost'!$C$15</f>
        <v>0</v>
      </c>
      <c r="T86" s="127">
        <f>N86*P86*Q86*'1. Standard_Cost'!$D$15</f>
        <v>0</v>
      </c>
      <c r="U86" s="127">
        <f>N86*O86*'1. Standard_Cost'!$E$15</f>
        <v>0</v>
      </c>
      <c r="V86" s="126"/>
      <c r="W86" s="126"/>
      <c r="X86" s="126"/>
      <c r="Y86" s="127">
        <f>+V86*((X86*'1. Standard_Cost'!$B$19)+(W86*X86*'1. Standard_Cost'!$C$19))</f>
        <v>0</v>
      </c>
      <c r="Z86" s="126"/>
      <c r="AA86" s="126"/>
      <c r="AB86" s="127">
        <f>+Z86*'1. Standard_Cost'!$B$23+AA86*'1. Standard_Cost'!$C$23</f>
        <v>0</v>
      </c>
      <c r="AC86" s="128">
        <v>102430</v>
      </c>
      <c r="AD86" s="129"/>
      <c r="AE86" s="127">
        <f>SUM(AD86,AC86,AB86,Y86,U86,T86,S86,R86)*'1. Standard_Cost'!$B$31</f>
        <v>20486</v>
      </c>
      <c r="AF86" s="127">
        <f>SUM(AE86,AD86,AC86,AB86,Y86,U86,T86,S86,R86)</f>
        <v>122916</v>
      </c>
      <c r="AG86" s="126"/>
      <c r="AH86" s="126"/>
      <c r="AI86" s="126"/>
      <c r="AJ86" s="130"/>
      <c r="AK86" s="130"/>
      <c r="AL86" s="130"/>
      <c r="AM86" s="127">
        <f>AG86*'1. Standard_Cost'!$B$27+'Incremental_Cost Year 9'!AH86*'1. Standard_Cost'!$C$27+'Incremental_Cost Year 9'!AI86*'1. Standard_Cost'!$D$27+'Incremental_Cost Year 9'!AJ86+'Incremental_Cost Year 9'!AL86+AK86</f>
        <v>0</v>
      </c>
      <c r="AN86" s="127">
        <f>AM86*'1. Standard_Cost'!$C$31</f>
        <v>0</v>
      </c>
      <c r="AO86" s="130"/>
      <c r="AQ86" s="171">
        <f>L86+M86</f>
        <v>741091.68</v>
      </c>
      <c r="AR86" s="171">
        <f>AF86</f>
        <v>122916</v>
      </c>
      <c r="AS86" s="171">
        <f>AM86+AN86</f>
        <v>0</v>
      </c>
      <c r="AT86" s="171">
        <f>SUM(AQ86,AR86,AS86)</f>
        <v>864007.68000000005</v>
      </c>
      <c r="AU86" s="250">
        <v>864008</v>
      </c>
      <c r="AV86" s="250"/>
      <c r="AW86" s="250"/>
      <c r="AX86" s="250"/>
      <c r="AY86" s="250"/>
      <c r="AZ86" s="250"/>
      <c r="BA86" s="250"/>
      <c r="BB86" s="251">
        <f t="shared" ref="BB86:BB87" si="59">SUM(AU86:BA86)-AT86</f>
        <v>0.31999999994877726</v>
      </c>
      <c r="BC86" s="169"/>
      <c r="BD86" s="169"/>
      <c r="BE86" s="169"/>
      <c r="BF86" s="169"/>
    </row>
    <row r="87" spans="1:58" ht="189" outlineLevel="2" x14ac:dyDescent="0.25">
      <c r="A87" s="115"/>
      <c r="B87" s="200"/>
      <c r="C87" s="201"/>
      <c r="D87" s="133"/>
      <c r="E87" s="322"/>
      <c r="F87" s="122"/>
      <c r="G87" s="123"/>
      <c r="H87" s="199" t="s">
        <v>423</v>
      </c>
      <c r="I87" s="130" t="s">
        <v>3</v>
      </c>
      <c r="J87" s="126">
        <v>2</v>
      </c>
      <c r="K87" s="126">
        <v>7</v>
      </c>
      <c r="L87" s="125">
        <f>IF(I87&lt;&gt;0,((VLOOKUP(I87,'1. Standard_Cost'!$B$4:$D$11,2)+VLOOKUP(I87,'1. Standard_Cost'!$B$4:$D$11,3))*J87*K87),"0")</f>
        <v>1411200</v>
      </c>
      <c r="M87" s="125">
        <f>L87*'1. Standard_Cost'!$F$4</f>
        <v>235670.40000000002</v>
      </c>
      <c r="N87" s="126"/>
      <c r="O87" s="126"/>
      <c r="P87" s="126"/>
      <c r="Q87" s="126"/>
      <c r="R87" s="127">
        <f>'1. Standard_Cost'!$B$15*N87*P87</f>
        <v>0</v>
      </c>
      <c r="S87" s="127">
        <f>N87*O87*P87*'1. Standard_Cost'!$C$15</f>
        <v>0</v>
      </c>
      <c r="T87" s="127">
        <f>N87*P87*Q87*'1. Standard_Cost'!$D$15</f>
        <v>0</v>
      </c>
      <c r="U87" s="127">
        <f>N87*O87*'1. Standard_Cost'!$E$15</f>
        <v>0</v>
      </c>
      <c r="V87" s="126"/>
      <c r="W87" s="126"/>
      <c r="X87" s="126"/>
      <c r="Y87" s="127">
        <f>+V87*((X87*'1. Standard_Cost'!$B$19)+(W87*X87*'1. Standard_Cost'!$C$19))</f>
        <v>0</v>
      </c>
      <c r="Z87" s="126"/>
      <c r="AA87" s="126">
        <v>20</v>
      </c>
      <c r="AB87" s="127">
        <f>+Z87*'1. Standard_Cost'!$B$23+AA87*'1. Standard_Cost'!$C$23</f>
        <v>380000</v>
      </c>
      <c r="AC87" s="128">
        <v>211125</v>
      </c>
      <c r="AD87" s="129"/>
      <c r="AE87" s="127">
        <f>SUM(AD87,AC87,AB87,Y87,U87,T87,S87,R87)*'1. Standard_Cost'!$B$31</f>
        <v>118225</v>
      </c>
      <c r="AF87" s="127">
        <f>SUM(AE87,AD87,AC87,AB87,Y87,U87,T87,S87,R87)</f>
        <v>709350</v>
      </c>
      <c r="AG87" s="126"/>
      <c r="AH87" s="126"/>
      <c r="AI87" s="126"/>
      <c r="AJ87" s="130"/>
      <c r="AK87" s="130"/>
      <c r="AL87" s="130"/>
      <c r="AM87" s="127">
        <f>AG87*'1. Standard_Cost'!$B$27+'Incremental_Cost Year 9'!AH87*'1. Standard_Cost'!$C$27+'Incremental_Cost Year 9'!AI87*'1. Standard_Cost'!$D$27+'Incremental_Cost Year 9'!AJ87+'Incremental_Cost Year 9'!AL87+AK87</f>
        <v>0</v>
      </c>
      <c r="AN87" s="127">
        <f>AM87*'1. Standard_Cost'!$C$31</f>
        <v>0</v>
      </c>
      <c r="AO87" s="130"/>
      <c r="AQ87" s="171">
        <f>L87+M87</f>
        <v>1646870.4</v>
      </c>
      <c r="AR87" s="171">
        <f>AF87</f>
        <v>709350</v>
      </c>
      <c r="AS87" s="171">
        <f>AM87+AN87</f>
        <v>0</v>
      </c>
      <c r="AT87" s="171">
        <f>SUM(AQ87,AR87,AS87)</f>
        <v>2356220.4</v>
      </c>
      <c r="AU87" s="250">
        <v>1900220</v>
      </c>
      <c r="AV87" s="250"/>
      <c r="AW87" s="250"/>
      <c r="AX87" s="250"/>
      <c r="AY87" s="250"/>
      <c r="AZ87" s="250"/>
      <c r="BA87" s="250"/>
      <c r="BB87" s="251">
        <f t="shared" si="59"/>
        <v>-456000.39999999991</v>
      </c>
      <c r="BC87" s="169"/>
      <c r="BD87" s="169"/>
      <c r="BE87" s="169"/>
      <c r="BF87" s="169"/>
    </row>
    <row r="88" spans="1:58" ht="63" outlineLevel="1" x14ac:dyDescent="0.25">
      <c r="A88" s="115"/>
      <c r="B88" s="165"/>
      <c r="C88" s="166"/>
      <c r="D88" s="212" t="s">
        <v>240</v>
      </c>
      <c r="E88" s="212" t="s">
        <v>269</v>
      </c>
      <c r="F88" s="117">
        <v>2024</v>
      </c>
      <c r="G88" s="117">
        <v>2030</v>
      </c>
      <c r="H88" s="110" t="s">
        <v>270</v>
      </c>
      <c r="I88" s="252"/>
      <c r="J88" s="252"/>
      <c r="K88" s="252"/>
      <c r="L88" s="127">
        <f>SUM(L86:L87)</f>
        <v>2046240</v>
      </c>
      <c r="M88" s="127">
        <f>SUM(M86:M87)</f>
        <v>341722.08</v>
      </c>
      <c r="N88" s="252"/>
      <c r="O88" s="252"/>
      <c r="P88" s="252"/>
      <c r="Q88" s="252"/>
      <c r="R88" s="127">
        <f>SUM(R86:R87)</f>
        <v>0</v>
      </c>
      <c r="S88" s="127">
        <f>SUM(S86:S87)</f>
        <v>0</v>
      </c>
      <c r="T88" s="127">
        <f>SUM(T86:T87)</f>
        <v>0</v>
      </c>
      <c r="U88" s="127">
        <f>SUM(U86:U87)</f>
        <v>0</v>
      </c>
      <c r="V88" s="252"/>
      <c r="W88" s="252"/>
      <c r="X88" s="252"/>
      <c r="Y88" s="127">
        <f>SUM(Y86:Y87)</f>
        <v>0</v>
      </c>
      <c r="Z88" s="252"/>
      <c r="AA88" s="252"/>
      <c r="AB88" s="127">
        <f>SUM(AB86:AB87)</f>
        <v>380000</v>
      </c>
      <c r="AC88" s="127">
        <f>SUM(AC86:AC87)</f>
        <v>313555</v>
      </c>
      <c r="AD88" s="127">
        <f>SUM(AD86:AD87)</f>
        <v>0</v>
      </c>
      <c r="AE88" s="127">
        <f>SUM(AE86:AE87)</f>
        <v>138711</v>
      </c>
      <c r="AF88" s="127">
        <f>SUM(AF86:AF87)</f>
        <v>832266</v>
      </c>
      <c r="AG88" s="252"/>
      <c r="AH88" s="252"/>
      <c r="AI88" s="252"/>
      <c r="AJ88" s="127">
        <f>SUM(AJ86:AJ87)</f>
        <v>0</v>
      </c>
      <c r="AK88" s="127">
        <f>SUM(AK86:AK87)</f>
        <v>0</v>
      </c>
      <c r="AL88" s="127">
        <f>SUM(AL86:AL87)</f>
        <v>0</v>
      </c>
      <c r="AM88" s="127">
        <f>SUM(AM86:AM87)</f>
        <v>0</v>
      </c>
      <c r="AN88" s="127">
        <f>SUM(AN86:AN87)</f>
        <v>0</v>
      </c>
      <c r="AO88" s="253"/>
      <c r="AP88" s="254"/>
      <c r="AQ88" s="175">
        <f>SUM(AQ86:AQ87)</f>
        <v>2387962.08</v>
      </c>
      <c r="AR88" s="175">
        <f>SUM(AR86:AR87)</f>
        <v>832266</v>
      </c>
      <c r="AS88" s="175">
        <f>SUM(AS86:AS87)</f>
        <v>0</v>
      </c>
      <c r="AT88" s="175">
        <f>SUM(AT86:AT87)</f>
        <v>3220228.08</v>
      </c>
      <c r="AU88" s="175">
        <f t="shared" ref="AU88:BB88" si="60">SUM(AU86:AU87)</f>
        <v>2764228</v>
      </c>
      <c r="AV88" s="175">
        <f t="shared" si="60"/>
        <v>0</v>
      </c>
      <c r="AW88" s="175">
        <f t="shared" si="60"/>
        <v>0</v>
      </c>
      <c r="AX88" s="175">
        <f t="shared" si="60"/>
        <v>0</v>
      </c>
      <c r="AY88" s="175">
        <f t="shared" si="60"/>
        <v>0</v>
      </c>
      <c r="AZ88" s="175">
        <f t="shared" si="60"/>
        <v>0</v>
      </c>
      <c r="BA88" s="175">
        <f t="shared" si="60"/>
        <v>0</v>
      </c>
      <c r="BB88" s="175">
        <f t="shared" si="60"/>
        <v>-456000.07999999996</v>
      </c>
      <c r="BC88" s="169"/>
      <c r="BD88" s="169"/>
      <c r="BE88" s="169"/>
      <c r="BF88" s="169"/>
    </row>
    <row r="89" spans="1:58" ht="63" outlineLevel="2" x14ac:dyDescent="0.25">
      <c r="A89" s="115"/>
      <c r="B89" s="200"/>
      <c r="C89" s="201"/>
      <c r="D89" s="346"/>
      <c r="E89" s="321"/>
      <c r="F89" s="306"/>
      <c r="G89" s="307"/>
      <c r="H89" s="199" t="s">
        <v>424</v>
      </c>
      <c r="I89" s="130" t="s">
        <v>2</v>
      </c>
      <c r="J89" s="126">
        <v>12</v>
      </c>
      <c r="K89" s="126">
        <v>2</v>
      </c>
      <c r="L89" s="125">
        <f>IF(I89&lt;&gt;0,((VLOOKUP(I89,'1. Standard_Cost'!$B$4:$D$11,2)+VLOOKUP(I89,'1. Standard_Cost'!$B$4:$D$11,3))*J89*K89),"0")</f>
        <v>2904000</v>
      </c>
      <c r="M89" s="125">
        <f>L89*'1. Standard_Cost'!$F$4</f>
        <v>484968</v>
      </c>
      <c r="N89" s="126"/>
      <c r="O89" s="126"/>
      <c r="P89" s="126"/>
      <c r="Q89" s="126"/>
      <c r="R89" s="127">
        <f>'1. Standard_Cost'!$B$15*N89*P89</f>
        <v>0</v>
      </c>
      <c r="S89" s="127">
        <f>N89*O89*P89*'1. Standard_Cost'!$C$15</f>
        <v>0</v>
      </c>
      <c r="T89" s="127">
        <f>N89*P89*Q89*'1. Standard_Cost'!$D$15</f>
        <v>0</v>
      </c>
      <c r="U89" s="127">
        <f>N89*O89*'1. Standard_Cost'!$E$15</f>
        <v>0</v>
      </c>
      <c r="V89" s="126"/>
      <c r="W89" s="126"/>
      <c r="X89" s="126"/>
      <c r="Y89" s="127">
        <f>+V89*((X89*'1. Standard_Cost'!$B$19)+(W89*X89*'1. Standard_Cost'!$C$19))</f>
        <v>0</v>
      </c>
      <c r="Z89" s="126"/>
      <c r="AA89" s="126"/>
      <c r="AB89" s="127">
        <f>+Z89*'1. Standard_Cost'!$B$23+AA89*'1. Standard_Cost'!$C$23</f>
        <v>0</v>
      </c>
      <c r="AC89" s="128">
        <v>406676</v>
      </c>
      <c r="AD89" s="129"/>
      <c r="AE89" s="127">
        <f>SUM(AD89,AC89,AB89,Y89,U89,T89,S89,R89)*'1. Standard_Cost'!$B$31</f>
        <v>81335.200000000012</v>
      </c>
      <c r="AF89" s="127">
        <f>SUM(AE89,AD89,AC89,AB89,Y89,U89,T89,S89,R89)</f>
        <v>488011.2</v>
      </c>
      <c r="AG89" s="126"/>
      <c r="AH89" s="126"/>
      <c r="AI89" s="126"/>
      <c r="AJ89" s="130"/>
      <c r="AK89" s="130"/>
      <c r="AL89" s="130"/>
      <c r="AM89" s="127">
        <f>AG89*'1. Standard_Cost'!$B$27+'Incremental_Cost Year 9'!AH89*'1. Standard_Cost'!$C$27+'Incremental_Cost Year 9'!AI89*'1. Standard_Cost'!$D$27+'Incremental_Cost Year 9'!AJ89+'Incremental_Cost Year 9'!AL89+AK89</f>
        <v>0</v>
      </c>
      <c r="AN89" s="127">
        <f>AM89*'1. Standard_Cost'!$C$31</f>
        <v>0</v>
      </c>
      <c r="AO89" s="130"/>
      <c r="AQ89" s="171">
        <f>L89+M89</f>
        <v>3388968</v>
      </c>
      <c r="AR89" s="171">
        <f>AF89</f>
        <v>488011.2</v>
      </c>
      <c r="AS89" s="171">
        <f>AM89+AN89</f>
        <v>0</v>
      </c>
      <c r="AT89" s="171">
        <f>SUM(AQ89,AR89,AS89)</f>
        <v>3876979.2</v>
      </c>
      <c r="AU89" s="250">
        <v>3876979</v>
      </c>
      <c r="AV89" s="250"/>
      <c r="AW89" s="250"/>
      <c r="AX89" s="250"/>
      <c r="AY89" s="250"/>
      <c r="AZ89" s="250"/>
      <c r="BA89" s="250"/>
      <c r="BB89" s="251">
        <f t="shared" ref="BB89:BB91" si="61">SUM(AU89:BA89)-AT89</f>
        <v>-0.20000000018626451</v>
      </c>
      <c r="BC89" s="169"/>
      <c r="BD89" s="169"/>
      <c r="BE89" s="169"/>
      <c r="BF89" s="169"/>
    </row>
    <row r="90" spans="1:58" ht="110.25" outlineLevel="2" x14ac:dyDescent="0.25">
      <c r="A90" s="115"/>
      <c r="B90" s="200"/>
      <c r="C90" s="201"/>
      <c r="D90" s="203"/>
      <c r="E90" s="323"/>
      <c r="F90" s="308"/>
      <c r="G90" s="309"/>
      <c r="H90" s="199" t="s">
        <v>425</v>
      </c>
      <c r="I90" s="130" t="s">
        <v>2</v>
      </c>
      <c r="J90" s="126">
        <v>12</v>
      </c>
      <c r="K90" s="126">
        <v>1</v>
      </c>
      <c r="L90" s="125">
        <f>IF(I90&lt;&gt;0,((VLOOKUP(I90,'1. Standard_Cost'!$B$4:$D$11,2)+VLOOKUP(I90,'1. Standard_Cost'!$B$4:$D$11,3))*J90*K90),"0")</f>
        <v>1452000</v>
      </c>
      <c r="M90" s="125">
        <f>L90*'1. Standard_Cost'!$F$4</f>
        <v>242484</v>
      </c>
      <c r="N90" s="126"/>
      <c r="O90" s="126"/>
      <c r="P90" s="126"/>
      <c r="Q90" s="126"/>
      <c r="R90" s="127">
        <f>'1. Standard_Cost'!$B$15*N90*P90</f>
        <v>0</v>
      </c>
      <c r="S90" s="127">
        <f>N90*O90*P90*'1. Standard_Cost'!$C$15</f>
        <v>0</v>
      </c>
      <c r="T90" s="127">
        <f>N90*P90*Q90*'1. Standard_Cost'!$D$15</f>
        <v>0</v>
      </c>
      <c r="U90" s="127">
        <f>N90*O90*'1. Standard_Cost'!$E$15</f>
        <v>0</v>
      </c>
      <c r="V90" s="126"/>
      <c r="W90" s="126"/>
      <c r="X90" s="126"/>
      <c r="Y90" s="127">
        <f>+V90*((X90*'1. Standard_Cost'!$B$19)+(W90*X90*'1. Standard_Cost'!$C$19))</f>
        <v>0</v>
      </c>
      <c r="Z90" s="126"/>
      <c r="AA90" s="126">
        <v>25</v>
      </c>
      <c r="AB90" s="127">
        <f>+Z90*'1. Standard_Cost'!$B$23+AA90*'1. Standard_Cost'!$C$23</f>
        <v>475000</v>
      </c>
      <c r="AC90" s="128">
        <v>203240</v>
      </c>
      <c r="AD90" s="129"/>
      <c r="AE90" s="127">
        <f>SUM(AD90,AC90,AB90,Y90,U90,T90,S90,R90)*'1. Standard_Cost'!$B$31</f>
        <v>135648</v>
      </c>
      <c r="AF90" s="127">
        <f>SUM(AE90,AD90,AC90,AB90,Y90,U90,T90,S90,R90)</f>
        <v>813888</v>
      </c>
      <c r="AG90" s="126"/>
      <c r="AH90" s="126"/>
      <c r="AI90" s="126"/>
      <c r="AJ90" s="130"/>
      <c r="AK90" s="130"/>
      <c r="AL90" s="130"/>
      <c r="AM90" s="127">
        <f>AG90*'1. Standard_Cost'!$B$27+'Incremental_Cost Year 9'!AH90*'1. Standard_Cost'!$C$27+'Incremental_Cost Year 9'!AI90*'1. Standard_Cost'!$D$27+'Incremental_Cost Year 9'!AJ90+'Incremental_Cost Year 9'!AL90+AK90</f>
        <v>0</v>
      </c>
      <c r="AN90" s="127">
        <f>AM90*'1. Standard_Cost'!$C$31</f>
        <v>0</v>
      </c>
      <c r="AO90" s="130"/>
      <c r="AQ90" s="171">
        <f>L90+M90</f>
        <v>1694484</v>
      </c>
      <c r="AR90" s="171">
        <f>AF90</f>
        <v>813888</v>
      </c>
      <c r="AS90" s="171">
        <f>AM90+AN90</f>
        <v>0</v>
      </c>
      <c r="AT90" s="171">
        <f>SUM(AQ90,AR90,AS90)</f>
        <v>2508372</v>
      </c>
      <c r="AU90" s="250">
        <v>1938372</v>
      </c>
      <c r="AV90" s="250"/>
      <c r="AW90" s="250"/>
      <c r="AX90" s="250"/>
      <c r="AY90" s="250"/>
      <c r="AZ90" s="250"/>
      <c r="BA90" s="250"/>
      <c r="BB90" s="251">
        <f t="shared" si="61"/>
        <v>-570000</v>
      </c>
      <c r="BC90" s="169"/>
      <c r="BD90" s="169"/>
      <c r="BE90" s="169"/>
      <c r="BF90" s="169"/>
    </row>
    <row r="91" spans="1:58" ht="78.75" outlineLevel="2" x14ac:dyDescent="0.25">
      <c r="A91" s="115"/>
      <c r="B91" s="200"/>
      <c r="C91" s="201"/>
      <c r="D91" s="133"/>
      <c r="E91" s="322"/>
      <c r="F91" s="324"/>
      <c r="G91" s="325"/>
      <c r="H91" s="108" t="s">
        <v>426</v>
      </c>
      <c r="I91" s="130" t="s">
        <v>3</v>
      </c>
      <c r="J91" s="126">
        <v>3</v>
      </c>
      <c r="K91" s="126">
        <v>3</v>
      </c>
      <c r="L91" s="125">
        <f>IF(I91&lt;&gt;0,((VLOOKUP(I91,'1. Standard_Cost'!$B$4:$D$11,2)+VLOOKUP(I91,'1. Standard_Cost'!$B$4:$D$11,3))*J91*K91),"0")</f>
        <v>907200</v>
      </c>
      <c r="M91" s="125">
        <f>L91*'1. Standard_Cost'!$F$4</f>
        <v>151502.39999999999</v>
      </c>
      <c r="N91" s="126"/>
      <c r="O91" s="126"/>
      <c r="P91" s="126"/>
      <c r="Q91" s="126"/>
      <c r="R91" s="127">
        <f>'1. Standard_Cost'!$B$15*N91*P91</f>
        <v>0</v>
      </c>
      <c r="S91" s="127">
        <f>N91*O91*P91*'1. Standard_Cost'!$C$15</f>
        <v>0</v>
      </c>
      <c r="T91" s="127">
        <f>N91*P91*Q91*'1. Standard_Cost'!$D$15</f>
        <v>0</v>
      </c>
      <c r="U91" s="127">
        <f>N91*O91*'1. Standard_Cost'!$E$15</f>
        <v>0</v>
      </c>
      <c r="V91" s="126">
        <v>1</v>
      </c>
      <c r="W91" s="126">
        <v>5</v>
      </c>
      <c r="X91" s="126">
        <v>3</v>
      </c>
      <c r="Y91" s="127">
        <f>+V91*((X91*'1. Standard_Cost'!$B$19)+(W91*X91*'1. Standard_Cost'!$C$19))</f>
        <v>255000</v>
      </c>
      <c r="Z91" s="126"/>
      <c r="AA91" s="126"/>
      <c r="AB91" s="127">
        <f>+Z91*'1. Standard_Cost'!$B$23+AA91*'1. Standard_Cost'!$C$23</f>
        <v>0</v>
      </c>
      <c r="AC91" s="128">
        <v>127045</v>
      </c>
      <c r="AD91" s="129"/>
      <c r="AE91" s="127">
        <f>SUM(AD91,AC91,AB91,Y91,U91,T91,S91,R91)*'1. Standard_Cost'!$B$31</f>
        <v>76409</v>
      </c>
      <c r="AF91" s="127">
        <f>SUM(AE91,AD91,AC91,AB91,Y91,U91,T91,S91,R91)</f>
        <v>458454</v>
      </c>
      <c r="AG91" s="126"/>
      <c r="AH91" s="126"/>
      <c r="AI91" s="126"/>
      <c r="AJ91" s="130"/>
      <c r="AK91" s="130"/>
      <c r="AL91" s="130"/>
      <c r="AM91" s="127">
        <f>AG91*'1. Standard_Cost'!$B$27+'Incremental_Cost Year 9'!AH91*'1. Standard_Cost'!$C$27+'Incremental_Cost Year 9'!AI91*'1. Standard_Cost'!$D$27+'Incremental_Cost Year 9'!AJ91+'Incremental_Cost Year 9'!AL91+AK91</f>
        <v>0</v>
      </c>
      <c r="AN91" s="127">
        <f>AM91*'1. Standard_Cost'!$C$31</f>
        <v>0</v>
      </c>
      <c r="AO91" s="130"/>
      <c r="AQ91" s="171">
        <f>L91+M91</f>
        <v>1058702.3999999999</v>
      </c>
      <c r="AR91" s="171">
        <f>AF91</f>
        <v>458454</v>
      </c>
      <c r="AS91" s="171">
        <f>AM91+AN91</f>
        <v>0</v>
      </c>
      <c r="AT91" s="171">
        <f>SUM(AQ91,AR91,AS91)</f>
        <v>1517156.4</v>
      </c>
      <c r="AU91" s="250">
        <v>1517156</v>
      </c>
      <c r="AV91" s="250"/>
      <c r="AW91" s="250"/>
      <c r="AX91" s="250"/>
      <c r="AY91" s="250"/>
      <c r="AZ91" s="250"/>
      <c r="BA91" s="250"/>
      <c r="BB91" s="251">
        <f t="shared" si="61"/>
        <v>-0.39999999990686774</v>
      </c>
      <c r="BC91" s="169"/>
      <c r="BD91" s="169"/>
      <c r="BE91" s="169"/>
      <c r="BF91" s="169"/>
    </row>
    <row r="92" spans="1:58" ht="78.75" outlineLevel="1" x14ac:dyDescent="0.25">
      <c r="A92" s="115"/>
      <c r="B92" s="165"/>
      <c r="C92" s="166"/>
      <c r="D92" s="150" t="s">
        <v>240</v>
      </c>
      <c r="E92" s="212" t="s">
        <v>271</v>
      </c>
      <c r="F92" s="104">
        <v>2021</v>
      </c>
      <c r="G92" s="104">
        <v>2030</v>
      </c>
      <c r="H92" s="110" t="s">
        <v>272</v>
      </c>
      <c r="I92" s="252"/>
      <c r="J92" s="252"/>
      <c r="K92" s="252"/>
      <c r="L92" s="127">
        <f>SUM(L89:L91)</f>
        <v>5263200</v>
      </c>
      <c r="M92" s="127">
        <f>SUM(M89:M91)</f>
        <v>878954.4</v>
      </c>
      <c r="N92" s="252"/>
      <c r="O92" s="252"/>
      <c r="P92" s="252"/>
      <c r="Q92" s="252"/>
      <c r="R92" s="127">
        <f>SUM(R89:R91)</f>
        <v>0</v>
      </c>
      <c r="S92" s="127">
        <f>SUM(S89:S91)</f>
        <v>0</v>
      </c>
      <c r="T92" s="127">
        <f>SUM(T89:T91)</f>
        <v>0</v>
      </c>
      <c r="U92" s="127">
        <f>SUM(U89:U91)</f>
        <v>0</v>
      </c>
      <c r="V92" s="252"/>
      <c r="W92" s="252"/>
      <c r="X92" s="252"/>
      <c r="Y92" s="127">
        <f>SUM(Y89:Y91)</f>
        <v>255000</v>
      </c>
      <c r="Z92" s="252"/>
      <c r="AA92" s="252"/>
      <c r="AB92" s="127">
        <f>SUM(AB89:AB91)</f>
        <v>475000</v>
      </c>
      <c r="AC92" s="127">
        <f>SUM(AC89:AC91)</f>
        <v>736961</v>
      </c>
      <c r="AD92" s="127">
        <f>SUM(AD89:AD91)</f>
        <v>0</v>
      </c>
      <c r="AE92" s="127">
        <f>SUM(AE89:AE91)</f>
        <v>293392.2</v>
      </c>
      <c r="AF92" s="127">
        <f>SUM(AF89:AF91)</f>
        <v>1760353.2</v>
      </c>
      <c r="AG92" s="252"/>
      <c r="AH92" s="252"/>
      <c r="AI92" s="252"/>
      <c r="AJ92" s="127">
        <f>SUM(AJ89:AJ91)</f>
        <v>0</v>
      </c>
      <c r="AK92" s="127">
        <f>SUM(AK89:AK91)</f>
        <v>0</v>
      </c>
      <c r="AL92" s="127">
        <f>SUM(AL89:AL91)</f>
        <v>0</v>
      </c>
      <c r="AM92" s="127">
        <f>SUM(AM89:AM91)</f>
        <v>0</v>
      </c>
      <c r="AN92" s="127">
        <f>SUM(AN89:AN91)</f>
        <v>0</v>
      </c>
      <c r="AO92" s="253"/>
      <c r="AP92" s="254"/>
      <c r="AQ92" s="175">
        <f>SUM(AQ89:AQ91)</f>
        <v>6142154.4000000004</v>
      </c>
      <c r="AR92" s="175">
        <f>SUM(AR89:AR91)</f>
        <v>1760353.2</v>
      </c>
      <c r="AS92" s="175">
        <f>SUM(AS89:AS91)</f>
        <v>0</v>
      </c>
      <c r="AT92" s="175">
        <f>SUM(AT89:AT91)</f>
        <v>7902507.5999999996</v>
      </c>
      <c r="AU92" s="175">
        <f t="shared" ref="AU92:BB92" si="62">SUM(AU89:AU91)</f>
        <v>7332507</v>
      </c>
      <c r="AV92" s="175">
        <f t="shared" si="62"/>
        <v>0</v>
      </c>
      <c r="AW92" s="175">
        <f t="shared" si="62"/>
        <v>0</v>
      </c>
      <c r="AX92" s="175">
        <f t="shared" si="62"/>
        <v>0</v>
      </c>
      <c r="AY92" s="175">
        <f t="shared" si="62"/>
        <v>0</v>
      </c>
      <c r="AZ92" s="175">
        <f t="shared" si="62"/>
        <v>0</v>
      </c>
      <c r="BA92" s="175">
        <f t="shared" si="62"/>
        <v>0</v>
      </c>
      <c r="BB92" s="175">
        <f t="shared" si="62"/>
        <v>-570000.60000000009</v>
      </c>
      <c r="BC92" s="169"/>
      <c r="BD92" s="169"/>
      <c r="BE92" s="169"/>
      <c r="BF92" s="169"/>
    </row>
    <row r="93" spans="1:58" s="184" customFormat="1" ht="15.75" customHeight="1" x14ac:dyDescent="0.25">
      <c r="A93" s="143"/>
      <c r="B93" s="290"/>
      <c r="C93" s="391" t="s">
        <v>537</v>
      </c>
      <c r="D93" s="391"/>
      <c r="E93" s="392"/>
      <c r="F93" s="291"/>
      <c r="G93" s="291"/>
      <c r="H93" s="144" t="s">
        <v>165</v>
      </c>
      <c r="I93" s="257"/>
      <c r="J93" s="257"/>
      <c r="K93" s="257"/>
      <c r="L93" s="258">
        <f>SUM(L99)</f>
        <v>913550</v>
      </c>
      <c r="M93" s="258">
        <f>SUM(M99)</f>
        <v>152562.85</v>
      </c>
      <c r="N93" s="257"/>
      <c r="O93" s="257"/>
      <c r="P93" s="257"/>
      <c r="Q93" s="257"/>
      <c r="R93" s="258">
        <f>SUM(R99)</f>
        <v>0</v>
      </c>
      <c r="S93" s="258">
        <f>SUM(S99)</f>
        <v>0</v>
      </c>
      <c r="T93" s="258">
        <f>SUM(T99)</f>
        <v>0</v>
      </c>
      <c r="U93" s="258">
        <f>SUM(U99)</f>
        <v>0</v>
      </c>
      <c r="V93" s="257"/>
      <c r="W93" s="257"/>
      <c r="X93" s="257"/>
      <c r="Y93" s="258">
        <f>SUM(Y99)</f>
        <v>0</v>
      </c>
      <c r="Z93" s="257"/>
      <c r="AA93" s="257"/>
      <c r="AB93" s="258">
        <f>SUM(AB99)</f>
        <v>1045000</v>
      </c>
      <c r="AC93" s="258">
        <f>SUM(AC99)</f>
        <v>152082</v>
      </c>
      <c r="AD93" s="258">
        <f>SUM(AD99)</f>
        <v>0</v>
      </c>
      <c r="AE93" s="258">
        <f>SUM(AE99)</f>
        <v>239416.4</v>
      </c>
      <c r="AF93" s="258">
        <f>SUM(AF99)</f>
        <v>1436498.4</v>
      </c>
      <c r="AG93" s="257"/>
      <c r="AH93" s="257"/>
      <c r="AI93" s="257"/>
      <c r="AJ93" s="258">
        <f>SUM(AJ99)</f>
        <v>0</v>
      </c>
      <c r="AK93" s="258">
        <f>SUM(AK99)</f>
        <v>0</v>
      </c>
      <c r="AL93" s="258">
        <f>SUM(AL99)</f>
        <v>0</v>
      </c>
      <c r="AM93" s="258">
        <f>SUM(AM99)</f>
        <v>0</v>
      </c>
      <c r="AN93" s="258">
        <f>SUM(AN99)</f>
        <v>0</v>
      </c>
      <c r="AO93" s="259"/>
      <c r="AP93" s="260"/>
      <c r="AQ93" s="261">
        <f>SUM(AQ99)</f>
        <v>1066112.8500000001</v>
      </c>
      <c r="AR93" s="261">
        <f>SUM(AR99)</f>
        <v>1436498.4</v>
      </c>
      <c r="AS93" s="261">
        <f>SUM(AS99)</f>
        <v>0</v>
      </c>
      <c r="AT93" s="261">
        <f>SUM(AT99)</f>
        <v>2502611.25</v>
      </c>
      <c r="AU93" s="261">
        <f t="shared" ref="AU93:BA93" si="63">SUM(AU99)</f>
        <v>1134611</v>
      </c>
      <c r="AV93" s="261">
        <f t="shared" si="63"/>
        <v>0</v>
      </c>
      <c r="AW93" s="261">
        <f t="shared" si="63"/>
        <v>0</v>
      </c>
      <c r="AX93" s="261">
        <f t="shared" si="63"/>
        <v>0</v>
      </c>
      <c r="AY93" s="261">
        <f t="shared" si="63"/>
        <v>0</v>
      </c>
      <c r="AZ93" s="261">
        <f t="shared" si="63"/>
        <v>0</v>
      </c>
      <c r="BA93" s="261">
        <f t="shared" si="63"/>
        <v>0</v>
      </c>
      <c r="BB93" s="261">
        <f>SUM(BB99)</f>
        <v>-1368000.25</v>
      </c>
    </row>
    <row r="94" spans="1:58" ht="110.25" outlineLevel="2" x14ac:dyDescent="0.25">
      <c r="A94" s="115"/>
      <c r="B94" s="200"/>
      <c r="C94" s="201"/>
      <c r="D94" s="346"/>
      <c r="E94" s="321"/>
      <c r="F94" s="306"/>
      <c r="G94" s="307"/>
      <c r="H94" s="109" t="s">
        <v>427</v>
      </c>
      <c r="I94" s="130"/>
      <c r="J94" s="126"/>
      <c r="K94" s="126"/>
      <c r="L94" s="125" t="str">
        <f>IF(I94&lt;&gt;0,((VLOOKUP(I94,'1. Standard_Cost'!$B$4:$D$11,2)+VLOOKUP(I94,'1. Standard_Cost'!$B$4:$D$11,3))*J94*K94),"0")</f>
        <v>0</v>
      </c>
      <c r="M94" s="125">
        <f>L94*'1. Standard_Cost'!$F$4</f>
        <v>0</v>
      </c>
      <c r="N94" s="126"/>
      <c r="O94" s="126"/>
      <c r="P94" s="126"/>
      <c r="Q94" s="126"/>
      <c r="R94" s="127">
        <f>'1. Standard_Cost'!$B$15*N94*P94</f>
        <v>0</v>
      </c>
      <c r="S94" s="127">
        <f>N94*O94*P94*'1. Standard_Cost'!$C$15</f>
        <v>0</v>
      </c>
      <c r="T94" s="127">
        <f>N94*P94*Q94*'1. Standard_Cost'!$D$15</f>
        <v>0</v>
      </c>
      <c r="U94" s="127">
        <f>N94*O94*'1. Standard_Cost'!$E$15</f>
        <v>0</v>
      </c>
      <c r="V94" s="126"/>
      <c r="W94" s="126"/>
      <c r="X94" s="126"/>
      <c r="Y94" s="127">
        <f>+V94*((X94*'1. Standard_Cost'!$B$19)+(W94*X94*'1. Standard_Cost'!$C$19))</f>
        <v>0</v>
      </c>
      <c r="Z94" s="126"/>
      <c r="AA94" s="126"/>
      <c r="AB94" s="127">
        <f>+Z94*'1. Standard_Cost'!$B$23+AA94*'1. Standard_Cost'!$C$23</f>
        <v>0</v>
      </c>
      <c r="AC94" s="128"/>
      <c r="AD94" s="129"/>
      <c r="AE94" s="127">
        <f>SUM(AD94,AC94,AB94,Y94,U94,T94,S94,R94)*'1. Standard_Cost'!$B$31</f>
        <v>0</v>
      </c>
      <c r="AF94" s="127">
        <f>SUM(AE94,AD94,AC94,AB94,Y94,U94,T94,S94,R94)</f>
        <v>0</v>
      </c>
      <c r="AG94" s="126"/>
      <c r="AH94" s="126"/>
      <c r="AI94" s="126"/>
      <c r="AJ94" s="130"/>
      <c r="AK94" s="130"/>
      <c r="AL94" s="130"/>
      <c r="AM94" s="127">
        <f>AG94*'1. Standard_Cost'!$B$27+'Incremental_Cost Year 9'!AH94*'1. Standard_Cost'!$C$27+'Incremental_Cost Year 9'!AI94*'1. Standard_Cost'!$D$27+'Incremental_Cost Year 9'!AJ94+'Incremental_Cost Year 9'!AL94+AK94</f>
        <v>0</v>
      </c>
      <c r="AN94" s="127">
        <f>AM94*'1. Standard_Cost'!$C$31</f>
        <v>0</v>
      </c>
      <c r="AO94" s="130"/>
      <c r="AQ94" s="171">
        <f>L94+M94</f>
        <v>0</v>
      </c>
      <c r="AR94" s="171">
        <f>AF94</f>
        <v>0</v>
      </c>
      <c r="AS94" s="171">
        <f>AM94+AN94</f>
        <v>0</v>
      </c>
      <c r="AT94" s="171">
        <f>SUM(AQ94,AR94,AS94)</f>
        <v>0</v>
      </c>
      <c r="AU94" s="250"/>
      <c r="AV94" s="250"/>
      <c r="AW94" s="250"/>
      <c r="AX94" s="250"/>
      <c r="AY94" s="250"/>
      <c r="AZ94" s="250"/>
      <c r="BA94" s="250"/>
      <c r="BB94" s="251">
        <f t="shared" ref="BB94:BB98" si="64">SUM(AU94:BA94)-AT94</f>
        <v>0</v>
      </c>
      <c r="BC94" s="169"/>
      <c r="BD94" s="169"/>
      <c r="BE94" s="169"/>
      <c r="BF94" s="169"/>
    </row>
    <row r="95" spans="1:58" ht="63" outlineLevel="2" x14ac:dyDescent="0.25">
      <c r="A95" s="115"/>
      <c r="B95" s="200"/>
      <c r="C95" s="201"/>
      <c r="D95" s="203"/>
      <c r="E95" s="323"/>
      <c r="F95" s="308"/>
      <c r="G95" s="309"/>
      <c r="H95" s="109" t="s">
        <v>428</v>
      </c>
      <c r="I95" s="130"/>
      <c r="J95" s="126"/>
      <c r="K95" s="126"/>
      <c r="L95" s="125" t="str">
        <f>IF(I95&lt;&gt;0,((VLOOKUP(I95,'1. Standard_Cost'!$B$4:$D$11,2)+VLOOKUP(I95,'1. Standard_Cost'!$B$4:$D$11,3))*J95*K95),"0")</f>
        <v>0</v>
      </c>
      <c r="M95" s="125">
        <f>L95*'1. Standard_Cost'!$F$4</f>
        <v>0</v>
      </c>
      <c r="N95" s="126"/>
      <c r="O95" s="126"/>
      <c r="P95" s="126"/>
      <c r="Q95" s="126"/>
      <c r="R95" s="127">
        <f>'1. Standard_Cost'!$B$15*N95*P95</f>
        <v>0</v>
      </c>
      <c r="S95" s="127">
        <f>N95*O95*P95*'1. Standard_Cost'!$C$15</f>
        <v>0</v>
      </c>
      <c r="T95" s="127">
        <f>N95*P95*Q95*'1. Standard_Cost'!$D$15</f>
        <v>0</v>
      </c>
      <c r="U95" s="127">
        <f>N95*O95*'1. Standard_Cost'!$E$15</f>
        <v>0</v>
      </c>
      <c r="V95" s="126"/>
      <c r="W95" s="126"/>
      <c r="X95" s="126"/>
      <c r="Y95" s="127">
        <f>+V95*((X95*'1. Standard_Cost'!$B$19)+(W95*X95*'1. Standard_Cost'!$C$19))</f>
        <v>0</v>
      </c>
      <c r="Z95" s="126"/>
      <c r="AA95" s="126"/>
      <c r="AB95" s="127">
        <f>+Z95*'1. Standard_Cost'!$B$23+AA95*'1. Standard_Cost'!$C$23</f>
        <v>0</v>
      </c>
      <c r="AC95" s="128"/>
      <c r="AD95" s="129"/>
      <c r="AE95" s="127">
        <f>SUM(AD95,AC95,AB95,Y95,U95,T95,S95,R95)*'1. Standard_Cost'!$B$31</f>
        <v>0</v>
      </c>
      <c r="AF95" s="127">
        <f>SUM(AE95,AD95,AC95,AB95,Y95,U95,T95,S95,R95)</f>
        <v>0</v>
      </c>
      <c r="AG95" s="126"/>
      <c r="AH95" s="126"/>
      <c r="AI95" s="126"/>
      <c r="AJ95" s="130"/>
      <c r="AK95" s="130"/>
      <c r="AL95" s="130"/>
      <c r="AM95" s="127">
        <f>AG95*'1. Standard_Cost'!$B$27+'Incremental_Cost Year 9'!AH95*'1. Standard_Cost'!$C$27+'Incremental_Cost Year 9'!AI95*'1. Standard_Cost'!$D$27+'Incremental_Cost Year 9'!AJ95+'Incremental_Cost Year 9'!AL95+AK95</f>
        <v>0</v>
      </c>
      <c r="AN95" s="127">
        <f>AM95*'1. Standard_Cost'!$C$31</f>
        <v>0</v>
      </c>
      <c r="AO95" s="130"/>
      <c r="AQ95" s="171">
        <f>L95+M95</f>
        <v>0</v>
      </c>
      <c r="AR95" s="171">
        <f>AF95</f>
        <v>0</v>
      </c>
      <c r="AS95" s="171">
        <f>AM95+AN95</f>
        <v>0</v>
      </c>
      <c r="AT95" s="171">
        <f>SUM(AQ95,AR95,AS95)</f>
        <v>0</v>
      </c>
      <c r="AU95" s="250"/>
      <c r="AV95" s="250"/>
      <c r="AW95" s="250"/>
      <c r="AX95" s="250"/>
      <c r="AY95" s="250"/>
      <c r="AZ95" s="250"/>
      <c r="BA95" s="250"/>
      <c r="BB95" s="251">
        <f t="shared" si="64"/>
        <v>0</v>
      </c>
      <c r="BC95" s="169"/>
      <c r="BD95" s="169"/>
      <c r="BE95" s="169"/>
      <c r="BF95" s="169"/>
    </row>
    <row r="96" spans="1:58" ht="78.75" outlineLevel="2" x14ac:dyDescent="0.25">
      <c r="A96" s="115"/>
      <c r="B96" s="200"/>
      <c r="C96" s="201"/>
      <c r="D96" s="203"/>
      <c r="E96" s="323"/>
      <c r="F96" s="326"/>
      <c r="G96" s="327"/>
      <c r="H96" s="109" t="s">
        <v>429</v>
      </c>
      <c r="I96" s="130" t="s">
        <v>5</v>
      </c>
      <c r="J96" s="126">
        <v>1</v>
      </c>
      <c r="K96" s="126">
        <v>1</v>
      </c>
      <c r="L96" s="125">
        <f>IF(I96&lt;&gt;0,((VLOOKUP(I96,'1. Standard_Cost'!$B$4:$D$11,2)+VLOOKUP(I96,'1. Standard_Cost'!$B$4:$D$11,3))*J96*K96),"0")</f>
        <v>70700</v>
      </c>
      <c r="M96" s="125">
        <f>L96*'1. Standard_Cost'!$F$4</f>
        <v>11806.900000000001</v>
      </c>
      <c r="N96" s="126"/>
      <c r="O96" s="126"/>
      <c r="P96" s="126"/>
      <c r="Q96" s="126"/>
      <c r="R96" s="127">
        <f>'1. Standard_Cost'!$B$15*N96*P96</f>
        <v>0</v>
      </c>
      <c r="S96" s="127">
        <f>N96*O96*P96*'1. Standard_Cost'!$C$15</f>
        <v>0</v>
      </c>
      <c r="T96" s="127">
        <f>N96*P96*Q96*'1. Standard_Cost'!$D$15</f>
        <v>0</v>
      </c>
      <c r="U96" s="127">
        <f>N96*O96*'1. Standard_Cost'!$E$15</f>
        <v>0</v>
      </c>
      <c r="V96" s="126"/>
      <c r="W96" s="126"/>
      <c r="X96" s="126"/>
      <c r="Y96" s="127">
        <f>+V96*((X96*'1. Standard_Cost'!$B$19)+(W96*X96*'1. Standard_Cost'!$C$19))</f>
        <v>0</v>
      </c>
      <c r="Z96" s="126"/>
      <c r="AA96" s="126">
        <v>25</v>
      </c>
      <c r="AB96" s="127">
        <f>+Z96*'1. Standard_Cost'!$B$23+AA96*'1. Standard_Cost'!$C$23</f>
        <v>475000</v>
      </c>
      <c r="AC96" s="128">
        <v>9000</v>
      </c>
      <c r="AD96" s="129"/>
      <c r="AE96" s="127">
        <f>SUM(AD96,AC96,AB96,Y96,U96,T96,S96,R96)*'1. Standard_Cost'!$B$31</f>
        <v>96800</v>
      </c>
      <c r="AF96" s="127">
        <f>SUM(AE96,AD96,AC96,AB96,Y96,U96,T96,S96,R96)</f>
        <v>580800</v>
      </c>
      <c r="AG96" s="126"/>
      <c r="AH96" s="126"/>
      <c r="AI96" s="126"/>
      <c r="AJ96" s="130"/>
      <c r="AK96" s="130"/>
      <c r="AL96" s="130"/>
      <c r="AM96" s="127">
        <f>AG96*'1. Standard_Cost'!$B$27+'Incremental_Cost Year 9'!AH96*'1. Standard_Cost'!$C$27+'Incremental_Cost Year 9'!AI96*'1. Standard_Cost'!$D$27+'Incremental_Cost Year 9'!AJ96+'Incremental_Cost Year 9'!AL96+AK96</f>
        <v>0</v>
      </c>
      <c r="AN96" s="127">
        <f>AM96*'1. Standard_Cost'!$C$31</f>
        <v>0</v>
      </c>
      <c r="AO96" s="130"/>
      <c r="AQ96" s="171">
        <f>L96+M96</f>
        <v>82506.899999999994</v>
      </c>
      <c r="AR96" s="171">
        <f>AF96</f>
        <v>580800</v>
      </c>
      <c r="AS96" s="171">
        <f>AM96+AN96</f>
        <v>0</v>
      </c>
      <c r="AT96" s="171">
        <f>SUM(AQ96,AR96,AS96)</f>
        <v>663306.9</v>
      </c>
      <c r="AU96" s="250">
        <v>93307</v>
      </c>
      <c r="AV96" s="250"/>
      <c r="AW96" s="250"/>
      <c r="AX96" s="250"/>
      <c r="AY96" s="250"/>
      <c r="AZ96" s="250"/>
      <c r="BA96" s="250"/>
      <c r="BB96" s="251">
        <f t="shared" si="64"/>
        <v>-569999.9</v>
      </c>
      <c r="BC96" s="169"/>
      <c r="BD96" s="169"/>
      <c r="BE96" s="169"/>
      <c r="BF96" s="169"/>
    </row>
    <row r="97" spans="1:58" ht="141.75" outlineLevel="2" x14ac:dyDescent="0.25">
      <c r="A97" s="115"/>
      <c r="B97" s="200"/>
      <c r="C97" s="201"/>
      <c r="D97" s="203"/>
      <c r="E97" s="323"/>
      <c r="F97" s="308"/>
      <c r="G97" s="309"/>
      <c r="H97" s="225" t="s">
        <v>430</v>
      </c>
      <c r="I97" s="130" t="s">
        <v>4</v>
      </c>
      <c r="J97" s="126">
        <v>2</v>
      </c>
      <c r="K97" s="126">
        <v>5</v>
      </c>
      <c r="L97" s="125">
        <f>IF(I97&lt;&gt;0,((VLOOKUP(I97,'1. Standard_Cost'!$B$4:$D$11,2)+VLOOKUP(I97,'1. Standard_Cost'!$B$4:$D$11,3))*J97*K97),"0")</f>
        <v>807500</v>
      </c>
      <c r="M97" s="125">
        <f>L97*'1. Standard_Cost'!$F$4</f>
        <v>134852.5</v>
      </c>
      <c r="N97" s="126"/>
      <c r="O97" s="126"/>
      <c r="P97" s="126"/>
      <c r="Q97" s="126"/>
      <c r="R97" s="127">
        <f>'1. Standard_Cost'!$B$15*N97*P97</f>
        <v>0</v>
      </c>
      <c r="S97" s="127">
        <f>N97*O97*P97*'1. Standard_Cost'!$C$15</f>
        <v>0</v>
      </c>
      <c r="T97" s="127">
        <f>N97*P97*Q97*'1. Standard_Cost'!$D$15</f>
        <v>0</v>
      </c>
      <c r="U97" s="127">
        <f>N97*O97*'1. Standard_Cost'!$E$15</f>
        <v>0</v>
      </c>
      <c r="V97" s="126"/>
      <c r="W97" s="126"/>
      <c r="X97" s="126"/>
      <c r="Y97" s="127">
        <f>+V97*((X97*'1. Standard_Cost'!$B$19)+(W97*X97*'1. Standard_Cost'!$C$19))</f>
        <v>0</v>
      </c>
      <c r="Z97" s="126"/>
      <c r="AA97" s="126">
        <v>30</v>
      </c>
      <c r="AB97" s="127">
        <f>+Z97*'1. Standard_Cost'!$B$23+AA97*'1. Standard_Cost'!$C$23</f>
        <v>570000</v>
      </c>
      <c r="AC97" s="128">
        <v>113082</v>
      </c>
      <c r="AD97" s="129"/>
      <c r="AE97" s="127">
        <f>SUM(AD97,AC97,AB97,Y97,U97,T97,S97,R97)*'1. Standard_Cost'!$B$31</f>
        <v>136616.4</v>
      </c>
      <c r="AF97" s="127">
        <f>SUM(AE97,AD97,AC97,AB97,Y97,U97,T97,S97,R97)</f>
        <v>819698.4</v>
      </c>
      <c r="AG97" s="126"/>
      <c r="AH97" s="126"/>
      <c r="AI97" s="126"/>
      <c r="AJ97" s="130"/>
      <c r="AK97" s="130"/>
      <c r="AL97" s="130"/>
      <c r="AM97" s="127">
        <f>AG97*'1. Standard_Cost'!$B$27+'Incremental_Cost Year 9'!AH97*'1. Standard_Cost'!$C$27+'Incremental_Cost Year 9'!AI97*'1. Standard_Cost'!$D$27+'Incremental_Cost Year 9'!AJ97+'Incremental_Cost Year 9'!AL97+AK97</f>
        <v>0</v>
      </c>
      <c r="AN97" s="127">
        <f>AM97*'1. Standard_Cost'!$C$31</f>
        <v>0</v>
      </c>
      <c r="AO97" s="130"/>
      <c r="AQ97" s="171">
        <f>L97+M97</f>
        <v>942352.5</v>
      </c>
      <c r="AR97" s="171">
        <f>AF97</f>
        <v>819698.4</v>
      </c>
      <c r="AS97" s="171">
        <f>AM97+AN97</f>
        <v>0</v>
      </c>
      <c r="AT97" s="171">
        <f>SUM(AQ97,AR97,AS97)</f>
        <v>1762050.9</v>
      </c>
      <c r="AU97" s="250">
        <v>964051</v>
      </c>
      <c r="AV97" s="250"/>
      <c r="AW97" s="250"/>
      <c r="AX97" s="250"/>
      <c r="AY97" s="250"/>
      <c r="AZ97" s="250"/>
      <c r="BA97" s="250"/>
      <c r="BB97" s="251">
        <f t="shared" si="64"/>
        <v>-797999.89999999991</v>
      </c>
      <c r="BC97" s="169"/>
      <c r="BD97" s="169"/>
      <c r="BE97" s="169"/>
      <c r="BF97" s="169"/>
    </row>
    <row r="98" spans="1:58" ht="78.75" outlineLevel="2" x14ac:dyDescent="0.25">
      <c r="A98" s="115"/>
      <c r="B98" s="200"/>
      <c r="C98" s="201"/>
      <c r="D98" s="133"/>
      <c r="E98" s="323"/>
      <c r="F98" s="308"/>
      <c r="G98" s="309"/>
      <c r="H98" s="109" t="s">
        <v>431</v>
      </c>
      <c r="I98" s="130" t="s">
        <v>5</v>
      </c>
      <c r="J98" s="126">
        <v>0.5</v>
      </c>
      <c r="K98" s="126">
        <v>1</v>
      </c>
      <c r="L98" s="125">
        <f>IF(I98&lt;&gt;0,((VLOOKUP(I98,'1. Standard_Cost'!$B$4:$D$11,2)+VLOOKUP(I98,'1. Standard_Cost'!$B$4:$D$11,3))*J98*K98),"0")</f>
        <v>35350</v>
      </c>
      <c r="M98" s="125">
        <f>L98*'1. Standard_Cost'!$F$4</f>
        <v>5903.4500000000007</v>
      </c>
      <c r="N98" s="126"/>
      <c r="O98" s="126"/>
      <c r="P98" s="126"/>
      <c r="Q98" s="126"/>
      <c r="R98" s="127">
        <f>'1. Standard_Cost'!$B$15*N98*P98</f>
        <v>0</v>
      </c>
      <c r="S98" s="127">
        <f>N98*O98*P98*'1. Standard_Cost'!$C$15</f>
        <v>0</v>
      </c>
      <c r="T98" s="127">
        <f>N98*P98*Q98*'1. Standard_Cost'!$D$15</f>
        <v>0</v>
      </c>
      <c r="U98" s="127">
        <f>N98*O98*'1. Standard_Cost'!$E$15</f>
        <v>0</v>
      </c>
      <c r="V98" s="126"/>
      <c r="W98" s="126"/>
      <c r="X98" s="126"/>
      <c r="Y98" s="127">
        <f>+V98*((X98*'1. Standard_Cost'!$B$19)+(W98*X98*'1. Standard_Cost'!$C$19))</f>
        <v>0</v>
      </c>
      <c r="Z98" s="126"/>
      <c r="AA98" s="145"/>
      <c r="AB98" s="127">
        <f>+Z98*'1. Standard_Cost'!$B$23+AA98*'1. Standard_Cost'!$C$23</f>
        <v>0</v>
      </c>
      <c r="AC98" s="128">
        <v>30000</v>
      </c>
      <c r="AD98" s="129"/>
      <c r="AE98" s="127">
        <f>SUM(AD98,AC98,AB98,Y98,U98,T98,S98,R98)*'1. Standard_Cost'!$B$31</f>
        <v>6000</v>
      </c>
      <c r="AF98" s="127">
        <f>SUM(AE98,AD98,AC98,AB98,Y98,U98,T98,S98,R98)</f>
        <v>36000</v>
      </c>
      <c r="AG98" s="126"/>
      <c r="AH98" s="126"/>
      <c r="AI98" s="126"/>
      <c r="AJ98" s="130"/>
      <c r="AK98" s="130"/>
      <c r="AL98" s="130"/>
      <c r="AM98" s="127">
        <f>AG98*'1. Standard_Cost'!$B$27+'Incremental_Cost Year 9'!AH98*'1. Standard_Cost'!$C$27+'Incremental_Cost Year 9'!AI98*'1. Standard_Cost'!$D$27+'Incremental_Cost Year 9'!AJ98+'Incremental_Cost Year 9'!AL98+AK98</f>
        <v>0</v>
      </c>
      <c r="AN98" s="127">
        <f>AM98*'1. Standard_Cost'!$C$31</f>
        <v>0</v>
      </c>
      <c r="AO98" s="262"/>
      <c r="AQ98" s="171">
        <f>L98+M98</f>
        <v>41253.449999999997</v>
      </c>
      <c r="AR98" s="171">
        <f>AF98</f>
        <v>36000</v>
      </c>
      <c r="AS98" s="171">
        <f>AM98+AN98</f>
        <v>0</v>
      </c>
      <c r="AT98" s="171">
        <f>SUM(AQ98,AR98,AS98)</f>
        <v>77253.45</v>
      </c>
      <c r="AU98" s="250">
        <v>77253</v>
      </c>
      <c r="AV98" s="250"/>
      <c r="AW98" s="250"/>
      <c r="AX98" s="250"/>
      <c r="AY98" s="250"/>
      <c r="AZ98" s="250"/>
      <c r="BA98" s="250"/>
      <c r="BB98" s="251">
        <f t="shared" si="64"/>
        <v>-0.44999999999708962</v>
      </c>
      <c r="BC98" s="169"/>
      <c r="BD98" s="169"/>
      <c r="BE98" s="169"/>
      <c r="BF98" s="169"/>
    </row>
    <row r="99" spans="1:58" ht="94.5" outlineLevel="1" x14ac:dyDescent="0.25">
      <c r="A99" s="115"/>
      <c r="B99" s="165"/>
      <c r="C99" s="166"/>
      <c r="D99" s="212" t="s">
        <v>432</v>
      </c>
      <c r="E99" s="212" t="s">
        <v>274</v>
      </c>
      <c r="F99" s="136">
        <v>2022</v>
      </c>
      <c r="G99" s="117">
        <v>2030</v>
      </c>
      <c r="H99" s="110" t="s">
        <v>164</v>
      </c>
      <c r="I99" s="252"/>
      <c r="J99" s="252"/>
      <c r="K99" s="252"/>
      <c r="L99" s="127">
        <f>SUM(L94:L98)</f>
        <v>913550</v>
      </c>
      <c r="M99" s="127">
        <f>SUM(M94:M98)</f>
        <v>152562.85</v>
      </c>
      <c r="N99" s="252"/>
      <c r="O99" s="252"/>
      <c r="P99" s="252"/>
      <c r="Q99" s="252"/>
      <c r="R99" s="127">
        <f>SUM(R94:R98)</f>
        <v>0</v>
      </c>
      <c r="S99" s="127">
        <f>SUM(S94:S98)</f>
        <v>0</v>
      </c>
      <c r="T99" s="127">
        <f>SUM(T94:T98)</f>
        <v>0</v>
      </c>
      <c r="U99" s="127">
        <f>SUM(U94:U98)</f>
        <v>0</v>
      </c>
      <c r="V99" s="252"/>
      <c r="W99" s="252"/>
      <c r="X99" s="252"/>
      <c r="Y99" s="127">
        <f>SUM(Y94:Y98)</f>
        <v>0</v>
      </c>
      <c r="Z99" s="127"/>
      <c r="AA99" s="252"/>
      <c r="AB99" s="127">
        <f>SUM(AB94:AB98)</f>
        <v>1045000</v>
      </c>
      <c r="AC99" s="127">
        <f>SUM(AC94:AC98)</f>
        <v>152082</v>
      </c>
      <c r="AD99" s="127">
        <f>SUM(AD94:AD98)</f>
        <v>0</v>
      </c>
      <c r="AE99" s="127">
        <f>SUM(AE94:AE98)</f>
        <v>239416.4</v>
      </c>
      <c r="AF99" s="127">
        <f>SUM(AF94:AF98)</f>
        <v>1436498.4</v>
      </c>
      <c r="AG99" s="252"/>
      <c r="AH99" s="252"/>
      <c r="AI99" s="252"/>
      <c r="AJ99" s="127">
        <f>SUM(AJ94:AJ98)</f>
        <v>0</v>
      </c>
      <c r="AK99" s="127">
        <f>SUM(AK94:AK98)</f>
        <v>0</v>
      </c>
      <c r="AL99" s="127">
        <f>SUM(AL94:AL98)</f>
        <v>0</v>
      </c>
      <c r="AM99" s="127">
        <f>SUM(AM94:AM98)</f>
        <v>0</v>
      </c>
      <c r="AN99" s="127">
        <f>SUM(AN94:AN98)</f>
        <v>0</v>
      </c>
      <c r="AO99" s="253"/>
      <c r="AP99" s="254"/>
      <c r="AQ99" s="175">
        <f>SUM(AQ94:AQ98)</f>
        <v>1066112.8500000001</v>
      </c>
      <c r="AR99" s="175">
        <f>SUM(AR94:AR98)</f>
        <v>1436498.4</v>
      </c>
      <c r="AS99" s="175">
        <f>SUM(AS94:AS98)</f>
        <v>0</v>
      </c>
      <c r="AT99" s="175">
        <f>SUM(AT94:AT98)</f>
        <v>2502611.25</v>
      </c>
      <c r="AU99" s="175">
        <f t="shared" ref="AU99:BA99" si="65">SUM(AU94:AU98)</f>
        <v>1134611</v>
      </c>
      <c r="AV99" s="175">
        <f t="shared" si="65"/>
        <v>0</v>
      </c>
      <c r="AW99" s="175">
        <f t="shared" si="65"/>
        <v>0</v>
      </c>
      <c r="AX99" s="175">
        <f t="shared" si="65"/>
        <v>0</v>
      </c>
      <c r="AY99" s="175">
        <f t="shared" si="65"/>
        <v>0</v>
      </c>
      <c r="AZ99" s="175">
        <f t="shared" si="65"/>
        <v>0</v>
      </c>
      <c r="BA99" s="175">
        <f t="shared" si="65"/>
        <v>0</v>
      </c>
      <c r="BB99" s="251">
        <f t="shared" ref="BB99" si="66">SUM(AU99:BA99)-AT99</f>
        <v>-1368000.25</v>
      </c>
      <c r="BC99" s="169"/>
      <c r="BD99" s="169"/>
      <c r="BE99" s="169"/>
      <c r="BF99" s="169"/>
    </row>
    <row r="100" spans="1:58" s="184" customFormat="1" ht="15.75" customHeight="1" x14ac:dyDescent="0.25">
      <c r="A100" s="143"/>
      <c r="B100" s="290"/>
      <c r="C100" s="391" t="s">
        <v>176</v>
      </c>
      <c r="D100" s="391"/>
      <c r="E100" s="392"/>
      <c r="F100" s="291"/>
      <c r="G100" s="291"/>
      <c r="H100" s="144" t="s">
        <v>178</v>
      </c>
      <c r="I100" s="257"/>
      <c r="J100" s="257"/>
      <c r="K100" s="257"/>
      <c r="L100" s="258">
        <f>SUM(L105)</f>
        <v>2520000</v>
      </c>
      <c r="M100" s="258">
        <f>SUM(M105)</f>
        <v>420840</v>
      </c>
      <c r="N100" s="257"/>
      <c r="O100" s="257"/>
      <c r="P100" s="257"/>
      <c r="Q100" s="257"/>
      <c r="R100" s="258">
        <f>SUM(R105)</f>
        <v>0</v>
      </c>
      <c r="S100" s="258">
        <f>SUM(S105)</f>
        <v>0</v>
      </c>
      <c r="T100" s="258">
        <f>SUM(T105)</f>
        <v>0</v>
      </c>
      <c r="U100" s="258">
        <f>SUM(U105)</f>
        <v>0</v>
      </c>
      <c r="V100" s="257"/>
      <c r="W100" s="257"/>
      <c r="X100" s="257"/>
      <c r="Y100" s="258">
        <f>SUM(Y105)</f>
        <v>0</v>
      </c>
      <c r="Z100" s="257"/>
      <c r="AA100" s="257"/>
      <c r="AB100" s="258">
        <f>SUM(AB105)</f>
        <v>0</v>
      </c>
      <c r="AC100" s="258">
        <f>SUM(AC105)</f>
        <v>359425</v>
      </c>
      <c r="AD100" s="258">
        <f>SUM(AD105)</f>
        <v>0</v>
      </c>
      <c r="AE100" s="258">
        <f>SUM(AE105)</f>
        <v>71885</v>
      </c>
      <c r="AF100" s="258">
        <f>SUM(AF105)</f>
        <v>431310</v>
      </c>
      <c r="AG100" s="257"/>
      <c r="AH100" s="257"/>
      <c r="AI100" s="257"/>
      <c r="AJ100" s="258">
        <f>SUM(AJ105)</f>
        <v>0</v>
      </c>
      <c r="AK100" s="258">
        <f>SUM(AK105)</f>
        <v>0</v>
      </c>
      <c r="AL100" s="258">
        <f>SUM(AL105)</f>
        <v>0</v>
      </c>
      <c r="AM100" s="258">
        <f>SUM(AM105)</f>
        <v>0</v>
      </c>
      <c r="AN100" s="258">
        <f>SUM(AN105)</f>
        <v>0</v>
      </c>
      <c r="AO100" s="259"/>
      <c r="AP100" s="260"/>
      <c r="AQ100" s="261">
        <f>SUM(AQ105)</f>
        <v>2940840</v>
      </c>
      <c r="AR100" s="261">
        <f>SUM(AR105)</f>
        <v>431310</v>
      </c>
      <c r="AS100" s="261">
        <f>SUM(AS105)</f>
        <v>0</v>
      </c>
      <c r="AT100" s="261">
        <f>SUM(AT105)</f>
        <v>3372150</v>
      </c>
      <c r="AU100" s="261">
        <f t="shared" ref="AU100:BA100" si="67">SUM(AU105)</f>
        <v>3372149</v>
      </c>
      <c r="AV100" s="261">
        <f t="shared" si="67"/>
        <v>0</v>
      </c>
      <c r="AW100" s="261">
        <f t="shared" si="67"/>
        <v>0</v>
      </c>
      <c r="AX100" s="261">
        <f t="shared" si="67"/>
        <v>0</v>
      </c>
      <c r="AY100" s="261">
        <f t="shared" si="67"/>
        <v>0</v>
      </c>
      <c r="AZ100" s="261">
        <f t="shared" si="67"/>
        <v>0</v>
      </c>
      <c r="BA100" s="261">
        <f t="shared" si="67"/>
        <v>0</v>
      </c>
      <c r="BB100" s="261">
        <f>SUM(BB105)</f>
        <v>-0.99999999982537702</v>
      </c>
    </row>
    <row r="101" spans="1:58" ht="47.25" outlineLevel="2" x14ac:dyDescent="0.25">
      <c r="A101" s="115"/>
      <c r="B101" s="303"/>
      <c r="C101" s="329"/>
      <c r="D101" s="342"/>
      <c r="E101" s="328"/>
      <c r="F101" s="328"/>
      <c r="G101" s="328"/>
      <c r="H101" s="199" t="s">
        <v>433</v>
      </c>
      <c r="I101" s="130" t="s">
        <v>3</v>
      </c>
      <c r="J101" s="126">
        <v>2</v>
      </c>
      <c r="K101" s="126">
        <v>7</v>
      </c>
      <c r="L101" s="125">
        <f>IF(I101&lt;&gt;0,((VLOOKUP(I101,'1. Standard_Cost'!$B$4:$D$11,2)+VLOOKUP(I101,'1. Standard_Cost'!$B$4:$D$11,3))*J101*K101),"0")</f>
        <v>1411200</v>
      </c>
      <c r="M101" s="125">
        <f>L101*'1. Standard_Cost'!$F$4</f>
        <v>235670.40000000002</v>
      </c>
      <c r="N101" s="126"/>
      <c r="O101" s="126"/>
      <c r="P101" s="126"/>
      <c r="Q101" s="126"/>
      <c r="R101" s="127">
        <f>'1. Standard_Cost'!$B$15*N101*P101</f>
        <v>0</v>
      </c>
      <c r="S101" s="127">
        <f>N101*O101*P101*'1. Standard_Cost'!$C$15</f>
        <v>0</v>
      </c>
      <c r="T101" s="127">
        <f>N101*P101*Q101*'1. Standard_Cost'!$D$15</f>
        <v>0</v>
      </c>
      <c r="U101" s="127">
        <f>N101*O101*'1. Standard_Cost'!$E$15</f>
        <v>0</v>
      </c>
      <c r="V101" s="126"/>
      <c r="W101" s="126"/>
      <c r="X101" s="126"/>
      <c r="Y101" s="127">
        <f>+V101*((X101*'1. Standard_Cost'!$B$19)+(W101*X101*'1. Standard_Cost'!$C$19))</f>
        <v>0</v>
      </c>
      <c r="Z101" s="126"/>
      <c r="AA101" s="126"/>
      <c r="AB101" s="127">
        <f>+Z101*'1. Standard_Cost'!$B$23+AA101*'1. Standard_Cost'!$C$23</f>
        <v>0</v>
      </c>
      <c r="AC101" s="128">
        <v>211125</v>
      </c>
      <c r="AD101" s="129"/>
      <c r="AE101" s="127">
        <f>SUM(AD101,AC101,AB101,Y101,U101,T101,S101,R101)*'1. Standard_Cost'!$B$31</f>
        <v>42225</v>
      </c>
      <c r="AF101" s="127">
        <f>SUM(AE101,AD101,AC101,AB101,Y101,U101,T101,S101,R101)</f>
        <v>253350</v>
      </c>
      <c r="AG101" s="126"/>
      <c r="AH101" s="126"/>
      <c r="AI101" s="126"/>
      <c r="AJ101" s="130"/>
      <c r="AK101" s="130"/>
      <c r="AL101" s="130"/>
      <c r="AM101" s="127">
        <f>AG101*'1. Standard_Cost'!$B$27+'Incremental_Cost Year 9'!AH101*'1. Standard_Cost'!$C$27+'Incremental_Cost Year 9'!AI101*'1. Standard_Cost'!$D$27+'Incremental_Cost Year 9'!AJ101+'Incremental_Cost Year 9'!AL101+AK101</f>
        <v>0</v>
      </c>
      <c r="AN101" s="127">
        <f>AM101*'1. Standard_Cost'!$C$31</f>
        <v>0</v>
      </c>
      <c r="AO101" s="130"/>
      <c r="AQ101" s="171">
        <f>L101+M101</f>
        <v>1646870.4</v>
      </c>
      <c r="AR101" s="171">
        <f>AF101</f>
        <v>253350</v>
      </c>
      <c r="AS101" s="171">
        <f>AM101+AN101</f>
        <v>0</v>
      </c>
      <c r="AT101" s="171">
        <f>SUM(AQ101,AR101,AS101)</f>
        <v>1900220.4</v>
      </c>
      <c r="AU101" s="250">
        <v>1900220</v>
      </c>
      <c r="AV101" s="250"/>
      <c r="AW101" s="250"/>
      <c r="AX101" s="250"/>
      <c r="AY101" s="250"/>
      <c r="AZ101" s="250"/>
      <c r="BA101" s="250"/>
      <c r="BB101" s="251">
        <f t="shared" ref="BB101:BB104" si="68">SUM(AU101:BA101)-AT101</f>
        <v>-0.39999999990686774</v>
      </c>
      <c r="BC101" s="169"/>
      <c r="BD101" s="169"/>
      <c r="BE101" s="169"/>
      <c r="BF101" s="169"/>
    </row>
    <row r="102" spans="1:58" ht="47.25" outlineLevel="2" x14ac:dyDescent="0.25">
      <c r="A102" s="115"/>
      <c r="B102" s="200"/>
      <c r="C102" s="330"/>
      <c r="D102" s="343"/>
      <c r="E102" s="328"/>
      <c r="F102" s="328"/>
      <c r="G102" s="328"/>
      <c r="H102" s="199" t="s">
        <v>434</v>
      </c>
      <c r="I102" s="130" t="s">
        <v>3</v>
      </c>
      <c r="J102" s="126">
        <v>1</v>
      </c>
      <c r="K102" s="126">
        <v>2</v>
      </c>
      <c r="L102" s="125">
        <f>IF(I102&lt;&gt;0,((VLOOKUP(I102,'1. Standard_Cost'!$B$4:$D$11,2)+VLOOKUP(I102,'1. Standard_Cost'!$B$4:$D$11,3))*J102*K102),"0")</f>
        <v>201600</v>
      </c>
      <c r="M102" s="125">
        <f>L102*'1. Standard_Cost'!$F$4</f>
        <v>33667.200000000004</v>
      </c>
      <c r="N102" s="126"/>
      <c r="O102" s="126"/>
      <c r="P102" s="126"/>
      <c r="Q102" s="126"/>
      <c r="R102" s="127">
        <f>'1. Standard_Cost'!$B$15*N102*P102</f>
        <v>0</v>
      </c>
      <c r="S102" s="127">
        <f>N102*O102*P102*'1. Standard_Cost'!$C$15</f>
        <v>0</v>
      </c>
      <c r="T102" s="127">
        <f>N102*P102*Q102*'1. Standard_Cost'!$D$15</f>
        <v>0</v>
      </c>
      <c r="U102" s="127">
        <f>N102*O102*'1. Standard_Cost'!$E$15</f>
        <v>0</v>
      </c>
      <c r="V102" s="126"/>
      <c r="W102" s="126"/>
      <c r="X102" s="126"/>
      <c r="Y102" s="127">
        <f>+V102*((X102*'1. Standard_Cost'!$B$19)+(W102*X102*'1. Standard_Cost'!$C$19))</f>
        <v>0</v>
      </c>
      <c r="Z102" s="126"/>
      <c r="AA102" s="126"/>
      <c r="AB102" s="127">
        <f>+Z102*'1. Standard_Cost'!$B$23+AA102*'1. Standard_Cost'!$C$23</f>
        <v>0</v>
      </c>
      <c r="AC102" s="128">
        <v>28300</v>
      </c>
      <c r="AD102" s="129"/>
      <c r="AE102" s="127">
        <f>SUM(AD102,AC102,AB102,Y102,U102,T102,S102,R102)*'1. Standard_Cost'!$B$31</f>
        <v>5660</v>
      </c>
      <c r="AF102" s="127">
        <f>SUM(AE102,AD102,AC102,AB102,Y102,U102,T102,S102,R102)</f>
        <v>33960</v>
      </c>
      <c r="AG102" s="126"/>
      <c r="AH102" s="126"/>
      <c r="AI102" s="126"/>
      <c r="AJ102" s="130"/>
      <c r="AK102" s="130"/>
      <c r="AL102" s="130"/>
      <c r="AM102" s="127">
        <f>AG102*'1. Standard_Cost'!$B$27+'Incremental_Cost Year 9'!AH102*'1. Standard_Cost'!$C$27+'Incremental_Cost Year 9'!AI102*'1. Standard_Cost'!$D$27+'Incremental_Cost Year 9'!AJ102+'Incremental_Cost Year 9'!AL102+AK102</f>
        <v>0</v>
      </c>
      <c r="AN102" s="127">
        <f>AM102*'1. Standard_Cost'!$C$31</f>
        <v>0</v>
      </c>
      <c r="AO102" s="130"/>
      <c r="AQ102" s="171">
        <f>L102+M102</f>
        <v>235267.20000000001</v>
      </c>
      <c r="AR102" s="171">
        <f>AF102</f>
        <v>33960</v>
      </c>
      <c r="AS102" s="171">
        <f>AM102+AN102</f>
        <v>0</v>
      </c>
      <c r="AT102" s="171">
        <f>SUM(AQ102,AR102,AS102)</f>
        <v>269227.2</v>
      </c>
      <c r="AU102" s="250">
        <v>269227</v>
      </c>
      <c r="AV102" s="250"/>
      <c r="AW102" s="250"/>
      <c r="AX102" s="250"/>
      <c r="AY102" s="250"/>
      <c r="AZ102" s="250"/>
      <c r="BA102" s="250"/>
      <c r="BB102" s="251">
        <f t="shared" si="68"/>
        <v>-0.20000000001164153</v>
      </c>
      <c r="BC102" s="169"/>
      <c r="BD102" s="169"/>
      <c r="BE102" s="169"/>
      <c r="BF102" s="169"/>
    </row>
    <row r="103" spans="1:58" ht="47.25" outlineLevel="2" x14ac:dyDescent="0.25">
      <c r="A103" s="115"/>
      <c r="B103" s="200"/>
      <c r="C103" s="330"/>
      <c r="D103" s="343"/>
      <c r="E103" s="328"/>
      <c r="F103" s="328"/>
      <c r="G103" s="328"/>
      <c r="H103" s="103" t="s">
        <v>435</v>
      </c>
      <c r="I103" s="130"/>
      <c r="J103" s="126"/>
      <c r="K103" s="126"/>
      <c r="L103" s="125" t="str">
        <f>IF(I103&lt;&gt;0,((VLOOKUP(I103,'1. Standard_Cost'!$B$4:$D$11,2)+VLOOKUP(I103,'1. Standard_Cost'!$B$4:$D$11,3))*J103*K103),"0")</f>
        <v>0</v>
      </c>
      <c r="M103" s="125">
        <f>L103*'1. Standard_Cost'!$F$4</f>
        <v>0</v>
      </c>
      <c r="N103" s="126"/>
      <c r="O103" s="126"/>
      <c r="P103" s="126"/>
      <c r="Q103" s="126"/>
      <c r="R103" s="127">
        <f>'1. Standard_Cost'!$B$15*N103*P103</f>
        <v>0</v>
      </c>
      <c r="S103" s="127">
        <f>N103*O103*P103*'1. Standard_Cost'!$C$15</f>
        <v>0</v>
      </c>
      <c r="T103" s="127">
        <f>N103*P103*Q103*'1. Standard_Cost'!$D$15</f>
        <v>0</v>
      </c>
      <c r="U103" s="127">
        <f>N103*O103*'1. Standard_Cost'!$E$15</f>
        <v>0</v>
      </c>
      <c r="V103" s="126"/>
      <c r="W103" s="126"/>
      <c r="X103" s="126"/>
      <c r="Y103" s="127">
        <f>+V103*((X103*'1. Standard_Cost'!$B$19)+(W103*X103*'1. Standard_Cost'!$C$19))</f>
        <v>0</v>
      </c>
      <c r="Z103" s="126"/>
      <c r="AA103" s="126"/>
      <c r="AB103" s="127">
        <f>+Z103*'1. Standard_Cost'!$B$23+AA103*'1. Standard_Cost'!$C$23</f>
        <v>0</v>
      </c>
      <c r="AC103" s="128"/>
      <c r="AD103" s="129"/>
      <c r="AE103" s="127">
        <f>SUM(AD103,AC103,AB103,Y103,U103,T103,S103,R103)*'1. Standard_Cost'!$B$31</f>
        <v>0</v>
      </c>
      <c r="AF103" s="127">
        <f>SUM(AE103,AD103,AC103,AB103,Y103,U103,T103,S103,R103)</f>
        <v>0</v>
      </c>
      <c r="AG103" s="126"/>
      <c r="AH103" s="126"/>
      <c r="AI103" s="126"/>
      <c r="AJ103" s="130"/>
      <c r="AK103" s="130"/>
      <c r="AL103" s="130"/>
      <c r="AM103" s="127">
        <f>AG103*'1. Standard_Cost'!$B$27+'Incremental_Cost Year 9'!AH103*'1. Standard_Cost'!$C$27+'Incremental_Cost Year 9'!AI103*'1. Standard_Cost'!$D$27+'Incremental_Cost Year 9'!AJ103+'Incremental_Cost Year 9'!AL103+AK103</f>
        <v>0</v>
      </c>
      <c r="AN103" s="127">
        <f>AM103*'1. Standard_Cost'!$C$31</f>
        <v>0</v>
      </c>
      <c r="AO103" s="130"/>
      <c r="AQ103" s="171">
        <f>L103+M103</f>
        <v>0</v>
      </c>
      <c r="AR103" s="171">
        <f>AF103</f>
        <v>0</v>
      </c>
      <c r="AS103" s="171">
        <f>AM103+AN103</f>
        <v>0</v>
      </c>
      <c r="AT103" s="171">
        <f>SUM(AQ103,AR103,AS103)</f>
        <v>0</v>
      </c>
      <c r="AU103" s="250"/>
      <c r="AV103" s="250"/>
      <c r="AW103" s="250"/>
      <c r="AX103" s="250"/>
      <c r="AY103" s="250"/>
      <c r="AZ103" s="250"/>
      <c r="BA103" s="250"/>
      <c r="BB103" s="251">
        <f t="shared" si="68"/>
        <v>0</v>
      </c>
      <c r="BC103" s="169"/>
      <c r="BD103" s="169"/>
      <c r="BE103" s="169"/>
      <c r="BF103" s="169"/>
    </row>
    <row r="104" spans="1:58" ht="63" outlineLevel="2" x14ac:dyDescent="0.25">
      <c r="A104" s="115"/>
      <c r="B104" s="310"/>
      <c r="C104" s="331"/>
      <c r="D104" s="344"/>
      <c r="E104" s="328"/>
      <c r="F104" s="328"/>
      <c r="G104" s="328"/>
      <c r="H104" s="103" t="s">
        <v>436</v>
      </c>
      <c r="I104" s="130" t="s">
        <v>3</v>
      </c>
      <c r="J104" s="126">
        <v>3</v>
      </c>
      <c r="K104" s="126">
        <v>3</v>
      </c>
      <c r="L104" s="125">
        <f>IF(I104&lt;&gt;0,((VLOOKUP(I104,'1. Standard_Cost'!$B$4:$D$11,2)+VLOOKUP(I104,'1. Standard_Cost'!$B$4:$D$11,3))*J104*K104),"0")</f>
        <v>907200</v>
      </c>
      <c r="M104" s="125">
        <f>L104*'1. Standard_Cost'!$F$4</f>
        <v>151502.39999999999</v>
      </c>
      <c r="N104" s="126"/>
      <c r="O104" s="126"/>
      <c r="P104" s="126"/>
      <c r="Q104" s="126"/>
      <c r="R104" s="127">
        <f>'1. Standard_Cost'!$B$15*N104*P104</f>
        <v>0</v>
      </c>
      <c r="S104" s="127">
        <f>N104*O104*P104*'1. Standard_Cost'!$C$15</f>
        <v>0</v>
      </c>
      <c r="T104" s="127">
        <f>N104*P104*Q104*'1. Standard_Cost'!$D$15</f>
        <v>0</v>
      </c>
      <c r="U104" s="127">
        <f>N104*O104*'1. Standard_Cost'!$E$15</f>
        <v>0</v>
      </c>
      <c r="V104" s="126"/>
      <c r="W104" s="126"/>
      <c r="X104" s="126"/>
      <c r="Y104" s="127">
        <f>+V104*((X104*'1. Standard_Cost'!$B$19)+(W104*X104*'1. Standard_Cost'!$C$19))</f>
        <v>0</v>
      </c>
      <c r="Z104" s="126"/>
      <c r="AA104" s="145"/>
      <c r="AB104" s="127">
        <f>+Z104*'1. Standard_Cost'!$B$23+AA104*'1. Standard_Cost'!$C$23</f>
        <v>0</v>
      </c>
      <c r="AC104" s="128">
        <v>120000</v>
      </c>
      <c r="AD104" s="129"/>
      <c r="AE104" s="127">
        <f>SUM(AD104,AC104,AB104,Y104,U104,T104,S104,R104)*'1. Standard_Cost'!$B$31</f>
        <v>24000</v>
      </c>
      <c r="AF104" s="127">
        <f>SUM(AE104,AD104,AC104,AB104,Y104,U104,T104,S104,R104)</f>
        <v>144000</v>
      </c>
      <c r="AG104" s="126"/>
      <c r="AH104" s="126"/>
      <c r="AI104" s="126"/>
      <c r="AJ104" s="130"/>
      <c r="AK104" s="130"/>
      <c r="AL104" s="130"/>
      <c r="AM104" s="127">
        <f>AG104*'1. Standard_Cost'!$B$27+'Incremental_Cost Year 9'!AH104*'1. Standard_Cost'!$C$27+'Incremental_Cost Year 9'!AI104*'1. Standard_Cost'!$D$27+'Incremental_Cost Year 9'!AJ104+'Incremental_Cost Year 9'!AL104+AK104</f>
        <v>0</v>
      </c>
      <c r="AN104" s="127">
        <f>AM104*'1. Standard_Cost'!$C$31</f>
        <v>0</v>
      </c>
      <c r="AO104" s="262"/>
      <c r="AQ104" s="171">
        <f>L104+M104</f>
        <v>1058702.3999999999</v>
      </c>
      <c r="AR104" s="171">
        <f>AF104</f>
        <v>144000</v>
      </c>
      <c r="AS104" s="171">
        <f>AM104+AN104</f>
        <v>0</v>
      </c>
      <c r="AT104" s="171">
        <f>SUM(AQ104,AR104,AS104)</f>
        <v>1202702.3999999999</v>
      </c>
      <c r="AU104" s="250">
        <v>1202702</v>
      </c>
      <c r="AV104" s="250"/>
      <c r="AW104" s="250"/>
      <c r="AX104" s="250"/>
      <c r="AY104" s="250"/>
      <c r="AZ104" s="250"/>
      <c r="BA104" s="250"/>
      <c r="BB104" s="251">
        <f t="shared" si="68"/>
        <v>-0.39999999990686774</v>
      </c>
      <c r="BC104" s="169"/>
      <c r="BD104" s="169"/>
      <c r="BE104" s="169"/>
      <c r="BF104" s="169"/>
    </row>
    <row r="105" spans="1:58" ht="47.25" outlineLevel="1" x14ac:dyDescent="0.25">
      <c r="A105" s="115"/>
      <c r="B105" s="165"/>
      <c r="C105" s="166"/>
      <c r="D105" s="229" t="s">
        <v>432</v>
      </c>
      <c r="E105" s="212" t="s">
        <v>275</v>
      </c>
      <c r="F105" s="136">
        <v>2023</v>
      </c>
      <c r="G105" s="117">
        <v>2030</v>
      </c>
      <c r="H105" s="110" t="s">
        <v>177</v>
      </c>
      <c r="I105" s="252"/>
      <c r="J105" s="252"/>
      <c r="K105" s="252"/>
      <c r="L105" s="127">
        <f>SUM(L101:L104)</f>
        <v>2520000</v>
      </c>
      <c r="M105" s="127">
        <f>SUM(M101:M104)</f>
        <v>420840</v>
      </c>
      <c r="N105" s="127"/>
      <c r="O105" s="252"/>
      <c r="P105" s="252"/>
      <c r="Q105" s="252"/>
      <c r="R105" s="127">
        <f>SUM(R101:R104)</f>
        <v>0</v>
      </c>
      <c r="S105" s="127">
        <f>SUM(S101:S104)</f>
        <v>0</v>
      </c>
      <c r="T105" s="127">
        <f>SUM(T101:T104)</f>
        <v>0</v>
      </c>
      <c r="U105" s="127">
        <f>SUM(U101:U104)</f>
        <v>0</v>
      </c>
      <c r="V105" s="252"/>
      <c r="W105" s="252"/>
      <c r="X105" s="252"/>
      <c r="Y105" s="127">
        <f>SUM(Y101:Y104)</f>
        <v>0</v>
      </c>
      <c r="Z105" s="252"/>
      <c r="AA105" s="252"/>
      <c r="AB105" s="127">
        <f>SUM(AB101:AB104)</f>
        <v>0</v>
      </c>
      <c r="AC105" s="127">
        <f>SUM(AC101:AC104)</f>
        <v>359425</v>
      </c>
      <c r="AD105" s="127">
        <f>SUM(AD101:AD104)</f>
        <v>0</v>
      </c>
      <c r="AE105" s="127">
        <f>SUM(AE101:AE104)</f>
        <v>71885</v>
      </c>
      <c r="AF105" s="127">
        <f>SUM(AF101:AF104)</f>
        <v>431310</v>
      </c>
      <c r="AG105" s="252"/>
      <c r="AH105" s="252"/>
      <c r="AI105" s="252"/>
      <c r="AJ105" s="127">
        <f>SUM(AJ101:AJ104)</f>
        <v>0</v>
      </c>
      <c r="AK105" s="127">
        <f>SUM(AK101:AK104)</f>
        <v>0</v>
      </c>
      <c r="AL105" s="127">
        <f>SUM(AL101:AL104)</f>
        <v>0</v>
      </c>
      <c r="AM105" s="127">
        <f>SUM(AM101:AM104)</f>
        <v>0</v>
      </c>
      <c r="AN105" s="127">
        <f>SUM(AN101:AN104)</f>
        <v>0</v>
      </c>
      <c r="AO105" s="253"/>
      <c r="AP105" s="254"/>
      <c r="AQ105" s="175">
        <f>SUM(AQ101:AQ104)</f>
        <v>2940840</v>
      </c>
      <c r="AR105" s="175">
        <f>SUM(AR101:AR104)</f>
        <v>431310</v>
      </c>
      <c r="AS105" s="175">
        <f>SUM(AS101:AS104)</f>
        <v>0</v>
      </c>
      <c r="AT105" s="175">
        <f>SUM(AT101:AT104)</f>
        <v>3372150</v>
      </c>
      <c r="AU105" s="175">
        <f t="shared" ref="AU105:BB105" si="69">SUM(AU101:AU104)</f>
        <v>3372149</v>
      </c>
      <c r="AV105" s="175">
        <f t="shared" si="69"/>
        <v>0</v>
      </c>
      <c r="AW105" s="175">
        <f t="shared" si="69"/>
        <v>0</v>
      </c>
      <c r="AX105" s="175">
        <f t="shared" si="69"/>
        <v>0</v>
      </c>
      <c r="AY105" s="175">
        <f t="shared" si="69"/>
        <v>0</v>
      </c>
      <c r="AZ105" s="175">
        <f t="shared" si="69"/>
        <v>0</v>
      </c>
      <c r="BA105" s="175">
        <f t="shared" si="69"/>
        <v>0</v>
      </c>
      <c r="BB105" s="175">
        <f t="shared" si="69"/>
        <v>-0.99999999982537702</v>
      </c>
      <c r="BC105" s="169"/>
      <c r="BD105" s="169"/>
      <c r="BE105" s="169"/>
      <c r="BF105" s="169"/>
    </row>
    <row r="106" spans="1:58" s="184" customFormat="1" ht="15.75" customHeight="1" x14ac:dyDescent="0.25">
      <c r="A106" s="143"/>
      <c r="B106" s="290"/>
      <c r="C106" s="391" t="s">
        <v>276</v>
      </c>
      <c r="D106" s="391"/>
      <c r="E106" s="392"/>
      <c r="F106" s="291"/>
      <c r="G106" s="291"/>
      <c r="H106" s="144" t="s">
        <v>258</v>
      </c>
      <c r="I106" s="257"/>
      <c r="J106" s="257"/>
      <c r="K106" s="257"/>
      <c r="L106" s="258">
        <f>SUM(L110)</f>
        <v>1655900</v>
      </c>
      <c r="M106" s="258">
        <f>SUM(M110)</f>
        <v>276535.3</v>
      </c>
      <c r="N106" s="257"/>
      <c r="O106" s="257"/>
      <c r="P106" s="257"/>
      <c r="Q106" s="257"/>
      <c r="R106" s="258">
        <f>SUM(R110)</f>
        <v>0</v>
      </c>
      <c r="S106" s="258">
        <f>SUM(S110)</f>
        <v>0</v>
      </c>
      <c r="T106" s="258">
        <f>SUM(T110)</f>
        <v>0</v>
      </c>
      <c r="U106" s="258">
        <f>SUM(U110)</f>
        <v>0</v>
      </c>
      <c r="V106" s="257"/>
      <c r="W106" s="257"/>
      <c r="X106" s="257"/>
      <c r="Y106" s="258">
        <f>SUM(Y110)</f>
        <v>0</v>
      </c>
      <c r="Z106" s="258"/>
      <c r="AA106" s="258"/>
      <c r="AB106" s="258">
        <f>SUM(AB110)</f>
        <v>1140000</v>
      </c>
      <c r="AC106" s="258">
        <f>SUM(AC110)</f>
        <v>253100</v>
      </c>
      <c r="AD106" s="258">
        <f>SUM(AD110)</f>
        <v>0</v>
      </c>
      <c r="AE106" s="258">
        <f>SUM(AE110)</f>
        <v>278620</v>
      </c>
      <c r="AF106" s="258">
        <f>SUM(AF110)</f>
        <v>1671720</v>
      </c>
      <c r="AG106" s="257"/>
      <c r="AH106" s="257"/>
      <c r="AI106" s="257"/>
      <c r="AJ106" s="258">
        <f>SUM(AJ110)</f>
        <v>0</v>
      </c>
      <c r="AK106" s="258">
        <f>SUM(AK110)</f>
        <v>0</v>
      </c>
      <c r="AL106" s="258">
        <f>SUM(AL110)</f>
        <v>0</v>
      </c>
      <c r="AM106" s="258">
        <f>SUM(AM110)</f>
        <v>0</v>
      </c>
      <c r="AN106" s="258">
        <f>SUM(AN110)</f>
        <v>0</v>
      </c>
      <c r="AO106" s="259"/>
      <c r="AP106" s="260"/>
      <c r="AQ106" s="261">
        <f>SUM(AQ110)</f>
        <v>1932435.3</v>
      </c>
      <c r="AR106" s="261">
        <f>SUM(AR110)</f>
        <v>1671720</v>
      </c>
      <c r="AS106" s="261">
        <f>SUM(AS110)</f>
        <v>0</v>
      </c>
      <c r="AT106" s="261">
        <f>SUM(AT110)</f>
        <v>3604155.3</v>
      </c>
      <c r="AU106" s="261">
        <f t="shared" ref="AU106:BA106" si="70">SUM(AU110)</f>
        <v>2236156</v>
      </c>
      <c r="AV106" s="261">
        <f t="shared" si="70"/>
        <v>0</v>
      </c>
      <c r="AW106" s="261">
        <f t="shared" si="70"/>
        <v>0</v>
      </c>
      <c r="AX106" s="261">
        <f t="shared" si="70"/>
        <v>0</v>
      </c>
      <c r="AY106" s="261">
        <f t="shared" si="70"/>
        <v>0</v>
      </c>
      <c r="AZ106" s="261">
        <f t="shared" si="70"/>
        <v>0</v>
      </c>
      <c r="BA106" s="261">
        <f t="shared" si="70"/>
        <v>0</v>
      </c>
      <c r="BB106" s="261">
        <f>SUM(BB110)</f>
        <v>-1367999.3</v>
      </c>
    </row>
    <row r="107" spans="1:58" ht="63" outlineLevel="2" x14ac:dyDescent="0.25">
      <c r="A107" s="115"/>
      <c r="B107" s="200"/>
      <c r="C107" s="201"/>
      <c r="D107" s="202"/>
      <c r="E107" s="226"/>
      <c r="F107" s="306"/>
      <c r="G107" s="307"/>
      <c r="H107" s="199" t="s">
        <v>437</v>
      </c>
      <c r="I107" s="130" t="s">
        <v>5</v>
      </c>
      <c r="J107" s="126">
        <v>2</v>
      </c>
      <c r="K107" s="126">
        <v>1</v>
      </c>
      <c r="L107" s="125">
        <f>IF(I107&lt;&gt;0,((VLOOKUP(I107,'1. Standard_Cost'!$B$4:$D$11,2)+VLOOKUP(I107,'1. Standard_Cost'!$B$4:$D$11,3))*J107*K107),"0")</f>
        <v>141400</v>
      </c>
      <c r="M107" s="125">
        <f>L107*'1. Standard_Cost'!$F$4</f>
        <v>23613.800000000003</v>
      </c>
      <c r="N107" s="126"/>
      <c r="O107" s="126"/>
      <c r="P107" s="126"/>
      <c r="Q107" s="126"/>
      <c r="R107" s="127">
        <f>'1. Standard_Cost'!$B$15*N107*P107</f>
        <v>0</v>
      </c>
      <c r="S107" s="127">
        <f>N107*O107*P107*'1. Standard_Cost'!$C$15</f>
        <v>0</v>
      </c>
      <c r="T107" s="127">
        <f>N107*P107*Q107*'1. Standard_Cost'!$D$15</f>
        <v>0</v>
      </c>
      <c r="U107" s="127">
        <f>N107*O107*'1. Standard_Cost'!$E$15</f>
        <v>0</v>
      </c>
      <c r="V107" s="126"/>
      <c r="W107" s="126"/>
      <c r="X107" s="126"/>
      <c r="Y107" s="127">
        <f>+V107*((X107*'1. Standard_Cost'!$B$19)+(W107*X107*'1. Standard_Cost'!$C$19))</f>
        <v>0</v>
      </c>
      <c r="Z107" s="126"/>
      <c r="AA107" s="126">
        <v>40</v>
      </c>
      <c r="AB107" s="127">
        <f>+Z107*'1. Standard_Cost'!$B$23+AA107*'1. Standard_Cost'!$C$23</f>
        <v>760000</v>
      </c>
      <c r="AC107" s="128">
        <v>20000</v>
      </c>
      <c r="AD107" s="129"/>
      <c r="AE107" s="127">
        <f>SUM(AD107,AC107,AB107,Y107,U107,T107,S107,R107)*'1. Standard_Cost'!$B$31</f>
        <v>156000</v>
      </c>
      <c r="AF107" s="127">
        <f>SUM(AE107,AD107,AC107,AB107,Y107,U107,T107,S107,R107)</f>
        <v>936000</v>
      </c>
      <c r="AG107" s="126"/>
      <c r="AH107" s="126"/>
      <c r="AI107" s="126"/>
      <c r="AJ107" s="130"/>
      <c r="AK107" s="130"/>
      <c r="AL107" s="130"/>
      <c r="AM107" s="127">
        <f>AG107*'1. Standard_Cost'!$B$27+'Incremental_Cost Year 9'!AH107*'1. Standard_Cost'!$C$27+'Incremental_Cost Year 9'!AI107*'1. Standard_Cost'!$D$27+'Incremental_Cost Year 9'!AJ107+'Incremental_Cost Year 9'!AL107+AK107</f>
        <v>0</v>
      </c>
      <c r="AN107" s="127">
        <f>AM107*'1. Standard_Cost'!$C$31</f>
        <v>0</v>
      </c>
      <c r="AO107" s="130"/>
      <c r="AQ107" s="171">
        <f>L107+M107</f>
        <v>165013.79999999999</v>
      </c>
      <c r="AR107" s="171">
        <f>AF107</f>
        <v>936000</v>
      </c>
      <c r="AS107" s="171">
        <f>AM107+AN107</f>
        <v>0</v>
      </c>
      <c r="AT107" s="171">
        <f>SUM(AQ107,AR107,AS107)</f>
        <v>1101013.8</v>
      </c>
      <c r="AU107" s="250">
        <v>189014</v>
      </c>
      <c r="AV107" s="250"/>
      <c r="AW107" s="250"/>
      <c r="AX107" s="250"/>
      <c r="AY107" s="250"/>
      <c r="AZ107" s="250"/>
      <c r="BA107" s="250"/>
      <c r="BB107" s="251">
        <f t="shared" ref="BB107:BB109" si="71">SUM(AU107:BA107)-AT107</f>
        <v>-911999.8</v>
      </c>
      <c r="BC107" s="169"/>
      <c r="BD107" s="169"/>
      <c r="BE107" s="169"/>
      <c r="BF107" s="169"/>
    </row>
    <row r="108" spans="1:58" ht="78.75" outlineLevel="2" x14ac:dyDescent="0.25">
      <c r="A108" s="115"/>
      <c r="B108" s="200"/>
      <c r="C108" s="201"/>
      <c r="D108" s="202"/>
      <c r="E108" s="202"/>
      <c r="F108" s="308"/>
      <c r="G108" s="309"/>
      <c r="H108" s="199" t="s">
        <v>438</v>
      </c>
      <c r="I108" s="130" t="s">
        <v>4</v>
      </c>
      <c r="J108" s="126">
        <v>2</v>
      </c>
      <c r="K108" s="126">
        <v>5</v>
      </c>
      <c r="L108" s="125">
        <f>IF(I108&lt;&gt;0,((VLOOKUP(I108,'1. Standard_Cost'!$B$4:$D$11,2)+VLOOKUP(I108,'1. Standard_Cost'!$B$4:$D$11,3))*J108*K108),"0")</f>
        <v>807500</v>
      </c>
      <c r="M108" s="125">
        <f>L108*'1. Standard_Cost'!$F$4</f>
        <v>134852.5</v>
      </c>
      <c r="N108" s="126"/>
      <c r="O108" s="126"/>
      <c r="P108" s="126"/>
      <c r="Q108" s="126"/>
      <c r="R108" s="127">
        <f>'1. Standard_Cost'!$B$15*N108*P108</f>
        <v>0</v>
      </c>
      <c r="S108" s="127">
        <f>N108*O108*P108*'1. Standard_Cost'!$C$15</f>
        <v>0</v>
      </c>
      <c r="T108" s="127">
        <f>N108*P108*Q108*'1. Standard_Cost'!$D$15</f>
        <v>0</v>
      </c>
      <c r="U108" s="127">
        <f>N108*O108*'1. Standard_Cost'!$E$15</f>
        <v>0</v>
      </c>
      <c r="V108" s="126"/>
      <c r="W108" s="126"/>
      <c r="X108" s="126"/>
      <c r="Y108" s="127">
        <f>+V108*((X108*'1. Standard_Cost'!$B$19)+(W108*X108*'1. Standard_Cost'!$C$19))</f>
        <v>0</v>
      </c>
      <c r="Z108" s="126"/>
      <c r="AA108" s="126">
        <v>20</v>
      </c>
      <c r="AB108" s="127">
        <f>+Z108*'1. Standard_Cost'!$B$23+AA108*'1. Standard_Cost'!$C$23</f>
        <v>380000</v>
      </c>
      <c r="AC108" s="128">
        <v>113100</v>
      </c>
      <c r="AD108" s="129"/>
      <c r="AE108" s="127">
        <f>SUM(AD108,AC108,AB108,Y108,U108,T108,S108,R108)*'1. Standard_Cost'!$B$31</f>
        <v>98620</v>
      </c>
      <c r="AF108" s="127">
        <f>SUM(AE108,AD108,AC108,AB108,Y108,U108,T108,S108,R108)</f>
        <v>591720</v>
      </c>
      <c r="AG108" s="126"/>
      <c r="AH108" s="126"/>
      <c r="AI108" s="126"/>
      <c r="AJ108" s="130"/>
      <c r="AK108" s="130"/>
      <c r="AL108" s="130"/>
      <c r="AM108" s="127">
        <f>AG108*'1. Standard_Cost'!$B$27+'Incremental_Cost Year 9'!AH108*'1. Standard_Cost'!$C$27+'Incremental_Cost Year 9'!AI108*'1. Standard_Cost'!$D$27+'Incremental_Cost Year 9'!AJ108+'Incremental_Cost Year 9'!AL108+AK108</f>
        <v>0</v>
      </c>
      <c r="AN108" s="127">
        <f>AM108*'1. Standard_Cost'!$C$31</f>
        <v>0</v>
      </c>
      <c r="AO108" s="130"/>
      <c r="AQ108" s="171">
        <f>L108+M108</f>
        <v>942352.5</v>
      </c>
      <c r="AR108" s="171">
        <f>AF108</f>
        <v>591720</v>
      </c>
      <c r="AS108" s="171">
        <f>AM108+AN108</f>
        <v>0</v>
      </c>
      <c r="AT108" s="171">
        <f>SUM(AQ108,AR108,AS108)</f>
        <v>1534072.5</v>
      </c>
      <c r="AU108" s="250">
        <v>1078073</v>
      </c>
      <c r="AV108" s="250"/>
      <c r="AW108" s="250"/>
      <c r="AX108" s="250"/>
      <c r="AY108" s="250"/>
      <c r="AZ108" s="250"/>
      <c r="BA108" s="250"/>
      <c r="BB108" s="251">
        <f t="shared" si="71"/>
        <v>-455999.5</v>
      </c>
      <c r="BC108" s="169"/>
      <c r="BD108" s="169"/>
      <c r="BE108" s="169"/>
      <c r="BF108" s="169"/>
    </row>
    <row r="109" spans="1:58" ht="78.75" outlineLevel="2" x14ac:dyDescent="0.25">
      <c r="A109" s="115"/>
      <c r="B109" s="200"/>
      <c r="C109" s="201"/>
      <c r="D109" s="202"/>
      <c r="E109" s="310"/>
      <c r="F109" s="311"/>
      <c r="G109" s="312"/>
      <c r="H109" s="199" t="s">
        <v>439</v>
      </c>
      <c r="I109" s="130" t="s">
        <v>5</v>
      </c>
      <c r="J109" s="126">
        <v>2</v>
      </c>
      <c r="K109" s="126">
        <v>5</v>
      </c>
      <c r="L109" s="125">
        <f>IF(I109&lt;&gt;0,((VLOOKUP(I109,'1. Standard_Cost'!$B$4:$D$11,2)+VLOOKUP(I109,'1. Standard_Cost'!$B$4:$D$11,3))*J109*K109),"0")</f>
        <v>707000</v>
      </c>
      <c r="M109" s="125">
        <f>L109*'1. Standard_Cost'!$F$4</f>
        <v>118069</v>
      </c>
      <c r="N109" s="126"/>
      <c r="O109" s="126"/>
      <c r="P109" s="126"/>
      <c r="Q109" s="126"/>
      <c r="R109" s="127">
        <f>'1. Standard_Cost'!$B$15*N109*P109</f>
        <v>0</v>
      </c>
      <c r="S109" s="127">
        <f>N109*O109*P109*'1. Standard_Cost'!$C$15</f>
        <v>0</v>
      </c>
      <c r="T109" s="127">
        <f>N109*P109*Q109*'1. Standard_Cost'!$D$15</f>
        <v>0</v>
      </c>
      <c r="U109" s="127">
        <f>N109*O109*'1. Standard_Cost'!$E$15</f>
        <v>0</v>
      </c>
      <c r="V109" s="126"/>
      <c r="W109" s="126"/>
      <c r="X109" s="126"/>
      <c r="Y109" s="127">
        <f>+V109*((X109*'1. Standard_Cost'!$B$19)+(W109*X109*'1. Standard_Cost'!$C$19))</f>
        <v>0</v>
      </c>
      <c r="Z109" s="126"/>
      <c r="AA109" s="126"/>
      <c r="AB109" s="127">
        <f>+Z109*'1. Standard_Cost'!$B$23+AA109*'1. Standard_Cost'!$C$23</f>
        <v>0</v>
      </c>
      <c r="AC109" s="128">
        <v>120000</v>
      </c>
      <c r="AD109" s="129"/>
      <c r="AE109" s="127">
        <f>SUM(AD109,AC109,AB109,Y109,U109,T109,S109,R109)*'1. Standard_Cost'!$B$31</f>
        <v>24000</v>
      </c>
      <c r="AF109" s="127">
        <f>SUM(AE109,AD109,AC109,AB109,Y109,U109,T109,S109,R109)</f>
        <v>144000</v>
      </c>
      <c r="AG109" s="126"/>
      <c r="AH109" s="126"/>
      <c r="AI109" s="126"/>
      <c r="AJ109" s="130"/>
      <c r="AK109" s="130"/>
      <c r="AL109" s="130"/>
      <c r="AM109" s="127">
        <f>AG109*'1. Standard_Cost'!$B$27+'Incremental_Cost Year 9'!AH109*'1. Standard_Cost'!$C$27+'Incremental_Cost Year 9'!AI109*'1. Standard_Cost'!$D$27+'Incremental_Cost Year 9'!AJ109+'Incremental_Cost Year 9'!AL109+AK109</f>
        <v>0</v>
      </c>
      <c r="AN109" s="127">
        <f>AM109*'1. Standard_Cost'!$C$31</f>
        <v>0</v>
      </c>
      <c r="AO109" s="130"/>
      <c r="AQ109" s="171">
        <f>L109+M109</f>
        <v>825069</v>
      </c>
      <c r="AR109" s="171">
        <f>AF109</f>
        <v>144000</v>
      </c>
      <c r="AS109" s="171">
        <f>AM109+AN109</f>
        <v>0</v>
      </c>
      <c r="AT109" s="171">
        <f>SUM(AQ109,AR109,AS109)</f>
        <v>969069</v>
      </c>
      <c r="AU109" s="250">
        <v>969069</v>
      </c>
      <c r="AV109" s="250"/>
      <c r="AW109" s="250"/>
      <c r="AX109" s="250"/>
      <c r="AY109" s="250"/>
      <c r="AZ109" s="250"/>
      <c r="BA109" s="250"/>
      <c r="BB109" s="251">
        <f t="shared" si="71"/>
        <v>0</v>
      </c>
      <c r="BC109" s="169"/>
      <c r="BD109" s="169"/>
      <c r="BE109" s="169"/>
      <c r="BF109" s="169"/>
    </row>
    <row r="110" spans="1:58" ht="47.25" outlineLevel="1" x14ac:dyDescent="0.25">
      <c r="A110" s="115"/>
      <c r="B110" s="200"/>
      <c r="C110" s="201"/>
      <c r="D110" s="227" t="s">
        <v>432</v>
      </c>
      <c r="E110" s="226" t="s">
        <v>275</v>
      </c>
      <c r="F110" s="136">
        <v>2025</v>
      </c>
      <c r="G110" s="117">
        <v>2030</v>
      </c>
      <c r="H110" s="110" t="s">
        <v>277</v>
      </c>
      <c r="I110" s="252"/>
      <c r="J110" s="252"/>
      <c r="K110" s="252"/>
      <c r="L110" s="127">
        <f>SUM(L107:L109)</f>
        <v>1655900</v>
      </c>
      <c r="M110" s="127">
        <f>SUM(M107:M109)</f>
        <v>276535.3</v>
      </c>
      <c r="N110" s="127"/>
      <c r="O110" s="252"/>
      <c r="P110" s="252"/>
      <c r="Q110" s="252"/>
      <c r="R110" s="127">
        <f>SUM(R107:R109)</f>
        <v>0</v>
      </c>
      <c r="S110" s="127">
        <f>SUM(S107:S109)</f>
        <v>0</v>
      </c>
      <c r="T110" s="127">
        <f>SUM(T107:T109)</f>
        <v>0</v>
      </c>
      <c r="U110" s="127">
        <f>SUM(U107:U109)</f>
        <v>0</v>
      </c>
      <c r="V110" s="252"/>
      <c r="W110" s="252"/>
      <c r="X110" s="252"/>
      <c r="Y110" s="127">
        <f>SUM(Y107:Y109)</f>
        <v>0</v>
      </c>
      <c r="Z110" s="252"/>
      <c r="AA110" s="252"/>
      <c r="AB110" s="127">
        <f>SUM(AB107:AB109)</f>
        <v>1140000</v>
      </c>
      <c r="AC110" s="127">
        <f>SUM(AC107:AC109)</f>
        <v>253100</v>
      </c>
      <c r="AD110" s="127">
        <f>SUM(AD107:AD109)</f>
        <v>0</v>
      </c>
      <c r="AE110" s="127">
        <f>SUM(AE107:AE109)</f>
        <v>278620</v>
      </c>
      <c r="AF110" s="127">
        <f>SUM(AF107:AF109)</f>
        <v>1671720</v>
      </c>
      <c r="AG110" s="252"/>
      <c r="AH110" s="252"/>
      <c r="AI110" s="252"/>
      <c r="AJ110" s="127">
        <f>SUM(AJ107:AJ109)</f>
        <v>0</v>
      </c>
      <c r="AK110" s="127">
        <f>SUM(AK107:AK109)</f>
        <v>0</v>
      </c>
      <c r="AL110" s="127">
        <f>SUM(AL107:AL109)</f>
        <v>0</v>
      </c>
      <c r="AM110" s="127">
        <f>SUM(AM107:AM109)</f>
        <v>0</v>
      </c>
      <c r="AN110" s="127">
        <f>SUM(AN107:AN109)</f>
        <v>0</v>
      </c>
      <c r="AO110" s="253"/>
      <c r="AP110" s="254"/>
      <c r="AQ110" s="175">
        <f>SUM(AQ107:AQ109)</f>
        <v>1932435.3</v>
      </c>
      <c r="AR110" s="175">
        <f>SUM(AR107:AR109)</f>
        <v>1671720</v>
      </c>
      <c r="AS110" s="175">
        <f>SUM(AS107:AS109)</f>
        <v>0</v>
      </c>
      <c r="AT110" s="175">
        <f>SUM(AT107:AT109)</f>
        <v>3604155.3</v>
      </c>
      <c r="AU110" s="175">
        <f t="shared" ref="AU110:BB110" si="72">SUM(AU107:AU109)</f>
        <v>2236156</v>
      </c>
      <c r="AV110" s="175">
        <f t="shared" si="72"/>
        <v>0</v>
      </c>
      <c r="AW110" s="175">
        <f t="shared" si="72"/>
        <v>0</v>
      </c>
      <c r="AX110" s="175">
        <f t="shared" si="72"/>
        <v>0</v>
      </c>
      <c r="AY110" s="175">
        <f t="shared" si="72"/>
        <v>0</v>
      </c>
      <c r="AZ110" s="175">
        <f t="shared" si="72"/>
        <v>0</v>
      </c>
      <c r="BA110" s="175">
        <f t="shared" si="72"/>
        <v>0</v>
      </c>
      <c r="BB110" s="175">
        <f t="shared" si="72"/>
        <v>-1367999.3</v>
      </c>
      <c r="BC110" s="169"/>
      <c r="BD110" s="169"/>
      <c r="BE110" s="169"/>
      <c r="BF110" s="169"/>
    </row>
    <row r="111" spans="1:58" s="184" customFormat="1" ht="15.75" customHeight="1" x14ac:dyDescent="0.25">
      <c r="A111" s="143"/>
      <c r="B111" s="290"/>
      <c r="C111" s="391" t="s">
        <v>278</v>
      </c>
      <c r="D111" s="391"/>
      <c r="E111" s="392"/>
      <c r="F111" s="291"/>
      <c r="G111" s="291"/>
      <c r="H111" s="144" t="s">
        <v>262</v>
      </c>
      <c r="I111" s="257"/>
      <c r="J111" s="257"/>
      <c r="K111" s="257"/>
      <c r="L111" s="258">
        <f>SUM(L117)</f>
        <v>2562100</v>
      </c>
      <c r="M111" s="258">
        <f>SUM(M117)</f>
        <v>427870.7</v>
      </c>
      <c r="N111" s="257"/>
      <c r="O111" s="257"/>
      <c r="P111" s="257"/>
      <c r="Q111" s="257"/>
      <c r="R111" s="258">
        <f>SUM(R117)</f>
        <v>0</v>
      </c>
      <c r="S111" s="258">
        <f>SUM(S117)</f>
        <v>0</v>
      </c>
      <c r="T111" s="258">
        <f>SUM(T117)</f>
        <v>0</v>
      </c>
      <c r="U111" s="258">
        <f>SUM(U117)</f>
        <v>0</v>
      </c>
      <c r="V111" s="257"/>
      <c r="W111" s="257"/>
      <c r="X111" s="257"/>
      <c r="Y111" s="258">
        <f>SUM(Y117)</f>
        <v>0</v>
      </c>
      <c r="Z111" s="258"/>
      <c r="AA111" s="258"/>
      <c r="AB111" s="258">
        <f>SUM(AB117)</f>
        <v>475000</v>
      </c>
      <c r="AC111" s="258">
        <f>SUM(AC117)</f>
        <v>358920</v>
      </c>
      <c r="AD111" s="258">
        <f>SUM(AD117)</f>
        <v>0</v>
      </c>
      <c r="AE111" s="258">
        <f>SUM(AE117)</f>
        <v>166784</v>
      </c>
      <c r="AF111" s="258">
        <f>SUM(AF117)</f>
        <v>1000704</v>
      </c>
      <c r="AG111" s="257"/>
      <c r="AH111" s="257"/>
      <c r="AI111" s="257"/>
      <c r="AJ111" s="258">
        <f>SUM(AJ117)</f>
        <v>0</v>
      </c>
      <c r="AK111" s="258">
        <f>SUM(AK117)</f>
        <v>0</v>
      </c>
      <c r="AL111" s="258">
        <f>SUM(AL117)</f>
        <v>0</v>
      </c>
      <c r="AM111" s="258">
        <f>SUM(AM117)</f>
        <v>0</v>
      </c>
      <c r="AN111" s="258">
        <f>SUM(AN117)</f>
        <v>0</v>
      </c>
      <c r="AO111" s="259"/>
      <c r="AP111" s="260"/>
      <c r="AQ111" s="261">
        <f>SUM(AQ117)</f>
        <v>2989970.7</v>
      </c>
      <c r="AR111" s="261">
        <f>SUM(AR117)</f>
        <v>1000704</v>
      </c>
      <c r="AS111" s="261">
        <f>SUM(AS117)</f>
        <v>0</v>
      </c>
      <c r="AT111" s="261">
        <f>SUM(AT117)</f>
        <v>3990674.7</v>
      </c>
      <c r="AU111" s="261">
        <f t="shared" ref="AU111:BA111" si="73">SUM(AU117)</f>
        <v>3420675</v>
      </c>
      <c r="AV111" s="261">
        <f t="shared" si="73"/>
        <v>0</v>
      </c>
      <c r="AW111" s="261">
        <f t="shared" si="73"/>
        <v>0</v>
      </c>
      <c r="AX111" s="261">
        <f t="shared" si="73"/>
        <v>0</v>
      </c>
      <c r="AY111" s="261">
        <f t="shared" si="73"/>
        <v>0</v>
      </c>
      <c r="AZ111" s="261">
        <f t="shared" si="73"/>
        <v>0</v>
      </c>
      <c r="BA111" s="261">
        <f t="shared" si="73"/>
        <v>0</v>
      </c>
      <c r="BB111" s="261">
        <f>SUM(BB117)</f>
        <v>-569999.69999999995</v>
      </c>
    </row>
    <row r="112" spans="1:58" ht="78.75" outlineLevel="2" x14ac:dyDescent="0.25">
      <c r="A112" s="115"/>
      <c r="B112" s="200"/>
      <c r="C112" s="201"/>
      <c r="D112" s="210"/>
      <c r="E112" s="321"/>
      <c r="F112" s="306"/>
      <c r="G112" s="307"/>
      <c r="H112" s="199" t="s">
        <v>440</v>
      </c>
      <c r="I112" s="130" t="s">
        <v>2</v>
      </c>
      <c r="J112" s="126">
        <v>1</v>
      </c>
      <c r="K112" s="126">
        <v>6</v>
      </c>
      <c r="L112" s="125">
        <f>IF(I112&lt;&gt;0,((VLOOKUP(I112,'1. Standard_Cost'!$B$4:$D$11,2)+VLOOKUP(I112,'1. Standard_Cost'!$B$4:$D$11,3))*J112*K112),"0")</f>
        <v>726000</v>
      </c>
      <c r="M112" s="125">
        <f>L112*'1. Standard_Cost'!$F$4</f>
        <v>121242</v>
      </c>
      <c r="N112" s="126"/>
      <c r="O112" s="126"/>
      <c r="P112" s="126"/>
      <c r="Q112" s="126"/>
      <c r="R112" s="127">
        <f>'1. Standard_Cost'!$B$15*N112*P112</f>
        <v>0</v>
      </c>
      <c r="S112" s="127">
        <f>N112*O112*P112*'1. Standard_Cost'!$C$15</f>
        <v>0</v>
      </c>
      <c r="T112" s="127">
        <f>N112*P112*Q112*'1. Standard_Cost'!$D$15</f>
        <v>0</v>
      </c>
      <c r="U112" s="127">
        <f>N112*O112*'1. Standard_Cost'!$E$15</f>
        <v>0</v>
      </c>
      <c r="V112" s="126"/>
      <c r="W112" s="126"/>
      <c r="X112" s="126"/>
      <c r="Y112" s="127">
        <f>+V112*((X112*'1. Standard_Cost'!$B$19)+(W112*X112*'1. Standard_Cost'!$C$19))</f>
        <v>0</v>
      </c>
      <c r="Z112" s="126"/>
      <c r="AA112" s="126"/>
      <c r="AB112" s="127">
        <f>+Z112*'1. Standard_Cost'!$B$23+AA112*'1. Standard_Cost'!$C$23</f>
        <v>0</v>
      </c>
      <c r="AC112" s="128">
        <v>101700</v>
      </c>
      <c r="AD112" s="129"/>
      <c r="AE112" s="127">
        <f>SUM(AD112,AC112,AB112,Y112,U112,T112,S112,R112)*'1. Standard_Cost'!$B$31</f>
        <v>20340</v>
      </c>
      <c r="AF112" s="127">
        <f>SUM(AE112,AD112,AC112,AB112,Y112,U112,T112,S112,R112)</f>
        <v>122040</v>
      </c>
      <c r="AG112" s="126"/>
      <c r="AH112" s="126"/>
      <c r="AI112" s="126"/>
      <c r="AJ112" s="130"/>
      <c r="AK112" s="130"/>
      <c r="AL112" s="130"/>
      <c r="AM112" s="127">
        <f>AG112*'1. Standard_Cost'!$B$27+'Incremental_Cost Year 9'!AH112*'1. Standard_Cost'!$C$27+'Incremental_Cost Year 9'!AI112*'1. Standard_Cost'!$D$27+'Incremental_Cost Year 9'!AJ112+'Incremental_Cost Year 9'!AL112+AK112</f>
        <v>0</v>
      </c>
      <c r="AN112" s="127">
        <f>AM112*'1. Standard_Cost'!$C$31</f>
        <v>0</v>
      </c>
      <c r="AO112" s="130"/>
      <c r="AQ112" s="171">
        <f>L112+M112</f>
        <v>847242</v>
      </c>
      <c r="AR112" s="171">
        <f>AF112</f>
        <v>122040</v>
      </c>
      <c r="AS112" s="171">
        <f>AM112+AN112</f>
        <v>0</v>
      </c>
      <c r="AT112" s="171">
        <f>SUM(AQ112,AR112,AS112)</f>
        <v>969282</v>
      </c>
      <c r="AU112" s="250">
        <v>969282</v>
      </c>
      <c r="AV112" s="250"/>
      <c r="AW112" s="250"/>
      <c r="AX112" s="250"/>
      <c r="AY112" s="250"/>
      <c r="AZ112" s="250"/>
      <c r="BA112" s="250"/>
      <c r="BB112" s="251">
        <f t="shared" ref="BB112:BB116" si="74">SUM(AU112:BA112)-AT112</f>
        <v>0</v>
      </c>
      <c r="BC112" s="169"/>
      <c r="BD112" s="169"/>
      <c r="BE112" s="169"/>
      <c r="BF112" s="169"/>
    </row>
    <row r="113" spans="1:58" ht="78.75" outlineLevel="2" x14ac:dyDescent="0.25">
      <c r="A113" s="115"/>
      <c r="B113" s="200"/>
      <c r="C113" s="201"/>
      <c r="D113" s="208"/>
      <c r="E113" s="323"/>
      <c r="F113" s="308"/>
      <c r="G113" s="309"/>
      <c r="H113" s="199" t="s">
        <v>441</v>
      </c>
      <c r="I113" s="130" t="s">
        <v>3</v>
      </c>
      <c r="J113" s="126">
        <v>1</v>
      </c>
      <c r="K113" s="126">
        <v>7</v>
      </c>
      <c r="L113" s="125">
        <f>IF(I113&lt;&gt;0,((VLOOKUP(I113,'1. Standard_Cost'!$B$4:$D$11,2)+VLOOKUP(I113,'1. Standard_Cost'!$B$4:$D$11,3))*J113*K113),"0")</f>
        <v>705600</v>
      </c>
      <c r="M113" s="125">
        <f>L113*'1. Standard_Cost'!$F$4</f>
        <v>117835.20000000001</v>
      </c>
      <c r="N113" s="126"/>
      <c r="O113" s="126"/>
      <c r="P113" s="126"/>
      <c r="Q113" s="126"/>
      <c r="R113" s="127">
        <f>'1. Standard_Cost'!$B$15*N113*P113</f>
        <v>0</v>
      </c>
      <c r="S113" s="127">
        <f>N113*O113*P113*'1. Standard_Cost'!$C$15</f>
        <v>0</v>
      </c>
      <c r="T113" s="127">
        <f>N113*P113*Q113*'1. Standard_Cost'!$D$15</f>
        <v>0</v>
      </c>
      <c r="U113" s="127">
        <f>N113*O113*'1. Standard_Cost'!$E$15</f>
        <v>0</v>
      </c>
      <c r="V113" s="126"/>
      <c r="W113" s="126"/>
      <c r="X113" s="126"/>
      <c r="Y113" s="127">
        <f>+V113*((X113*'1. Standard_Cost'!$B$19)+(W113*X113*'1. Standard_Cost'!$C$19))</f>
        <v>0</v>
      </c>
      <c r="Z113" s="126"/>
      <c r="AA113" s="126"/>
      <c r="AB113" s="127">
        <f>+Z113*'1. Standard_Cost'!$B$23+AA113*'1. Standard_Cost'!$C$23</f>
        <v>0</v>
      </c>
      <c r="AC113" s="128">
        <v>98900</v>
      </c>
      <c r="AD113" s="129"/>
      <c r="AE113" s="127">
        <f>SUM(AD113,AC113,AB113,Y113,U113,T113,S113,R113)*'1. Standard_Cost'!$B$31</f>
        <v>19780</v>
      </c>
      <c r="AF113" s="127">
        <f>SUM(AE113,AD113,AC113,AB113,Y113,U113,T113,S113,R113)</f>
        <v>118680</v>
      </c>
      <c r="AG113" s="126"/>
      <c r="AH113" s="126"/>
      <c r="AI113" s="126"/>
      <c r="AJ113" s="130"/>
      <c r="AK113" s="130"/>
      <c r="AL113" s="130"/>
      <c r="AM113" s="127">
        <f>AG113*'1. Standard_Cost'!$B$27+'Incremental_Cost Year 9'!AH113*'1. Standard_Cost'!$C$27+'Incremental_Cost Year 9'!AI113*'1. Standard_Cost'!$D$27+'Incremental_Cost Year 9'!AJ113+'Incremental_Cost Year 9'!AL113+AK113</f>
        <v>0</v>
      </c>
      <c r="AN113" s="127">
        <f>AM113*'1. Standard_Cost'!$C$31</f>
        <v>0</v>
      </c>
      <c r="AO113" s="130"/>
      <c r="AQ113" s="171">
        <f>L113+M113</f>
        <v>823435.2</v>
      </c>
      <c r="AR113" s="171">
        <f>AF113</f>
        <v>118680</v>
      </c>
      <c r="AS113" s="171">
        <f>AM113+AN113</f>
        <v>0</v>
      </c>
      <c r="AT113" s="171">
        <f>SUM(AQ113,AR113,AS113)</f>
        <v>942115.2</v>
      </c>
      <c r="AU113" s="250">
        <v>942115</v>
      </c>
      <c r="AV113" s="250"/>
      <c r="AW113" s="250"/>
      <c r="AX113" s="250"/>
      <c r="AY113" s="250"/>
      <c r="AZ113" s="250"/>
      <c r="BA113" s="250"/>
      <c r="BB113" s="251">
        <f t="shared" si="74"/>
        <v>-0.19999999995343387</v>
      </c>
      <c r="BC113" s="169"/>
      <c r="BD113" s="169"/>
      <c r="BE113" s="169"/>
      <c r="BF113" s="169"/>
    </row>
    <row r="114" spans="1:58" ht="78.75" outlineLevel="2" x14ac:dyDescent="0.25">
      <c r="A114" s="115"/>
      <c r="B114" s="200"/>
      <c r="C114" s="201"/>
      <c r="D114" s="203"/>
      <c r="E114" s="323"/>
      <c r="F114" s="308"/>
      <c r="G114" s="309"/>
      <c r="H114" s="199" t="s">
        <v>547</v>
      </c>
      <c r="I114" s="130" t="s">
        <v>4</v>
      </c>
      <c r="J114" s="126">
        <v>2</v>
      </c>
      <c r="K114" s="126">
        <v>7</v>
      </c>
      <c r="L114" s="125">
        <f>IF(I114&lt;&gt;0,((VLOOKUP(I114,'1. Standard_Cost'!$B$4:$D$11,2)+VLOOKUP(I114,'1. Standard_Cost'!$B$4:$D$11,3))*J114*K114),"0")</f>
        <v>1130500</v>
      </c>
      <c r="M114" s="125">
        <f>L114*'1. Standard_Cost'!$F$4</f>
        <v>188793.5</v>
      </c>
      <c r="N114" s="126"/>
      <c r="O114" s="126"/>
      <c r="P114" s="126"/>
      <c r="Q114" s="126"/>
      <c r="R114" s="127">
        <f>'1. Standard_Cost'!$B$15*N114*P114</f>
        <v>0</v>
      </c>
      <c r="S114" s="127">
        <f>N114*O114*P114*'1. Standard_Cost'!$C$15</f>
        <v>0</v>
      </c>
      <c r="T114" s="127">
        <f>N114*P114*Q114*'1. Standard_Cost'!$D$15</f>
        <v>0</v>
      </c>
      <c r="U114" s="127">
        <f>N114*O114*'1. Standard_Cost'!$E$15</f>
        <v>0</v>
      </c>
      <c r="V114" s="126"/>
      <c r="W114" s="126"/>
      <c r="X114" s="126"/>
      <c r="Y114" s="127">
        <f>+V114*((X114*'1. Standard_Cost'!$B$19)+(W114*X114*'1. Standard_Cost'!$C$19))</f>
        <v>0</v>
      </c>
      <c r="Z114" s="126"/>
      <c r="AA114" s="126">
        <v>25</v>
      </c>
      <c r="AB114" s="127">
        <f>+Z114*'1. Standard_Cost'!$B$23+AA114*'1. Standard_Cost'!$C$23</f>
        <v>475000</v>
      </c>
      <c r="AC114" s="128">
        <v>158320</v>
      </c>
      <c r="AD114" s="129"/>
      <c r="AE114" s="127">
        <f>SUM(AD114,AC114,AB114,Y114,U114,T114,S114,R114)*'1. Standard_Cost'!$B$31</f>
        <v>126664</v>
      </c>
      <c r="AF114" s="127">
        <f>SUM(AE114,AD114,AC114,AB114,Y114,U114,T114,S114,R114)</f>
        <v>759984</v>
      </c>
      <c r="AG114" s="126"/>
      <c r="AH114" s="126"/>
      <c r="AI114" s="126"/>
      <c r="AJ114" s="130"/>
      <c r="AK114" s="130"/>
      <c r="AL114" s="130"/>
      <c r="AM114" s="127">
        <f>AG114*'1. Standard_Cost'!$B$27+'Incremental_Cost Year 9'!AH114*'1. Standard_Cost'!$C$27+'Incremental_Cost Year 9'!AI114*'1. Standard_Cost'!$D$27+'Incremental_Cost Year 9'!AJ114+'Incremental_Cost Year 9'!AL114+AK114</f>
        <v>0</v>
      </c>
      <c r="AN114" s="127">
        <f>AM114*'1. Standard_Cost'!$C$31</f>
        <v>0</v>
      </c>
      <c r="AO114" s="130"/>
      <c r="AQ114" s="171">
        <f>L114+M114</f>
        <v>1319293.5</v>
      </c>
      <c r="AR114" s="171">
        <f>AF114</f>
        <v>759984</v>
      </c>
      <c r="AS114" s="171">
        <f>AM114+AN114</f>
        <v>0</v>
      </c>
      <c r="AT114" s="171">
        <f>SUM(AQ114,AR114,AS114)</f>
        <v>2079277.5</v>
      </c>
      <c r="AU114" s="250">
        <v>1509278</v>
      </c>
      <c r="AV114" s="250"/>
      <c r="AW114" s="250"/>
      <c r="AX114" s="250"/>
      <c r="AY114" s="250"/>
      <c r="AZ114" s="250"/>
      <c r="BA114" s="250"/>
      <c r="BB114" s="251">
        <f t="shared" si="74"/>
        <v>-569999.5</v>
      </c>
      <c r="BC114" s="169"/>
      <c r="BD114" s="169"/>
      <c r="BE114" s="169"/>
      <c r="BF114" s="169"/>
    </row>
    <row r="115" spans="1:58" ht="31.5" outlineLevel="2" x14ac:dyDescent="0.25">
      <c r="A115" s="115"/>
      <c r="B115" s="200"/>
      <c r="C115" s="201"/>
      <c r="D115" s="203"/>
      <c r="E115" s="323"/>
      <c r="F115" s="308"/>
      <c r="G115" s="309"/>
      <c r="H115" s="213" t="s">
        <v>279</v>
      </c>
      <c r="I115" s="130"/>
      <c r="J115" s="126"/>
      <c r="K115" s="126"/>
      <c r="L115" s="125" t="str">
        <f>IF(I115&lt;&gt;0,((VLOOKUP(I115,'1. Standard_Cost'!$B$4:$D$11,2)+VLOOKUP(I115,'1. Standard_Cost'!$B$4:$D$11,3))*J115*K115),"0")</f>
        <v>0</v>
      </c>
      <c r="M115" s="125">
        <f>L115*'1. Standard_Cost'!$F$4</f>
        <v>0</v>
      </c>
      <c r="N115" s="126"/>
      <c r="O115" s="126"/>
      <c r="P115" s="126"/>
      <c r="Q115" s="126"/>
      <c r="R115" s="127">
        <f>'1. Standard_Cost'!$B$15*N115*P115</f>
        <v>0</v>
      </c>
      <c r="S115" s="127">
        <f>N115*O115*P115*'1. Standard_Cost'!$C$15</f>
        <v>0</v>
      </c>
      <c r="T115" s="127">
        <f>N115*P115*Q115*'1. Standard_Cost'!$D$15</f>
        <v>0</v>
      </c>
      <c r="U115" s="127">
        <f>N115*O115*'1. Standard_Cost'!$E$15</f>
        <v>0</v>
      </c>
      <c r="V115" s="126"/>
      <c r="W115" s="126"/>
      <c r="X115" s="126"/>
      <c r="Y115" s="127">
        <f>+V115*((X115*'1. Standard_Cost'!$B$19)+(W115*X115*'1. Standard_Cost'!$C$19))</f>
        <v>0</v>
      </c>
      <c r="Z115" s="126"/>
      <c r="AA115" s="126"/>
      <c r="AB115" s="127">
        <f>+Z115*'1. Standard_Cost'!$B$23+AA115*'1. Standard_Cost'!$C$23</f>
        <v>0</v>
      </c>
      <c r="AC115" s="128"/>
      <c r="AD115" s="129"/>
      <c r="AE115" s="127">
        <f>SUM(AD115,AC115,AB115,Y115,U115,T115,S115,R115)*'1. Standard_Cost'!$B$31</f>
        <v>0</v>
      </c>
      <c r="AF115" s="127">
        <f>SUM(AE115,AD115,AC115,AB115,Y115,U115,T115,S115,R115)</f>
        <v>0</v>
      </c>
      <c r="AG115" s="126"/>
      <c r="AH115" s="126"/>
      <c r="AI115" s="126"/>
      <c r="AJ115" s="130"/>
      <c r="AK115" s="130"/>
      <c r="AL115" s="130"/>
      <c r="AM115" s="127">
        <f>AG115*'1. Standard_Cost'!$B$27+'Incremental_Cost Year 9'!AH115*'1. Standard_Cost'!$C$27+'Incremental_Cost Year 9'!AI115*'1. Standard_Cost'!$D$27+'Incremental_Cost Year 9'!AJ115+'Incremental_Cost Year 9'!AL115+AK115</f>
        <v>0</v>
      </c>
      <c r="AN115" s="127">
        <f>AM115*'1. Standard_Cost'!$C$31</f>
        <v>0</v>
      </c>
      <c r="AO115" s="130"/>
      <c r="AQ115" s="171">
        <f>L115+M115</f>
        <v>0</v>
      </c>
      <c r="AR115" s="171">
        <f>AF115</f>
        <v>0</v>
      </c>
      <c r="AS115" s="171">
        <f>AM115+AN115</f>
        <v>0</v>
      </c>
      <c r="AT115" s="171">
        <f>SUM(AQ115,AR115,AS115)</f>
        <v>0</v>
      </c>
      <c r="AU115" s="250"/>
      <c r="AV115" s="250"/>
      <c r="AW115" s="250"/>
      <c r="AX115" s="250"/>
      <c r="AY115" s="250"/>
      <c r="AZ115" s="250"/>
      <c r="BA115" s="250"/>
      <c r="BB115" s="251">
        <f t="shared" si="74"/>
        <v>0</v>
      </c>
      <c r="BC115" s="169"/>
      <c r="BD115" s="169"/>
      <c r="BE115" s="169"/>
      <c r="BF115" s="169"/>
    </row>
    <row r="116" spans="1:58" ht="47.25" outlineLevel="2" x14ac:dyDescent="0.25">
      <c r="A116" s="115"/>
      <c r="B116" s="200"/>
      <c r="C116" s="201"/>
      <c r="D116" s="211"/>
      <c r="E116" s="322"/>
      <c r="F116" s="311"/>
      <c r="G116" s="312"/>
      <c r="H116" s="199" t="s">
        <v>442</v>
      </c>
      <c r="I116" s="130"/>
      <c r="J116" s="126"/>
      <c r="K116" s="126"/>
      <c r="L116" s="125" t="str">
        <f>IF(I116&lt;&gt;0,((VLOOKUP(I116,'1. Standard_Cost'!$B$4:$D$11,2)+VLOOKUP(I116,'1. Standard_Cost'!$B$4:$D$11,3))*J116*K116),"0")</f>
        <v>0</v>
      </c>
      <c r="M116" s="125">
        <f>L116*'1. Standard_Cost'!$F$4</f>
        <v>0</v>
      </c>
      <c r="N116" s="126"/>
      <c r="O116" s="126"/>
      <c r="P116" s="126"/>
      <c r="Q116" s="126"/>
      <c r="R116" s="127">
        <f>'1. Standard_Cost'!$B$15*N116*P116</f>
        <v>0</v>
      </c>
      <c r="S116" s="127">
        <f>N116*O116*P116*'1. Standard_Cost'!$C$15</f>
        <v>0</v>
      </c>
      <c r="T116" s="127">
        <f>N116*P116*Q116*'1. Standard_Cost'!$D$15</f>
        <v>0</v>
      </c>
      <c r="U116" s="127">
        <f>N116*O116*'1. Standard_Cost'!$E$15</f>
        <v>0</v>
      </c>
      <c r="V116" s="126"/>
      <c r="W116" s="126"/>
      <c r="X116" s="126"/>
      <c r="Y116" s="127">
        <f>+V116*((X116*'1. Standard_Cost'!$B$19)+(W116*X116*'1. Standard_Cost'!$C$19))</f>
        <v>0</v>
      </c>
      <c r="Z116" s="126"/>
      <c r="AA116" s="126"/>
      <c r="AB116" s="127">
        <f>+Z116*'1. Standard_Cost'!$B$23+AA116*'1. Standard_Cost'!$C$23</f>
        <v>0</v>
      </c>
      <c r="AC116" s="128"/>
      <c r="AD116" s="129"/>
      <c r="AE116" s="127">
        <f>SUM(AD116,AC116,AB116,Y116,U116,T116,S116,R116)*'1. Standard_Cost'!$B$31</f>
        <v>0</v>
      </c>
      <c r="AF116" s="127">
        <f>SUM(AE116,AD116,AC116,AB116,Y116,U116,T116,S116,R116)</f>
        <v>0</v>
      </c>
      <c r="AG116" s="126"/>
      <c r="AH116" s="126"/>
      <c r="AI116" s="126"/>
      <c r="AJ116" s="130"/>
      <c r="AK116" s="130"/>
      <c r="AL116" s="130"/>
      <c r="AM116" s="127">
        <f>AG116*'1. Standard_Cost'!$B$27+'Incremental_Cost Year 9'!AH116*'1. Standard_Cost'!$C$27+'Incremental_Cost Year 9'!AI116*'1. Standard_Cost'!$D$27+'Incremental_Cost Year 9'!AJ116+'Incremental_Cost Year 9'!AL116+AK116</f>
        <v>0</v>
      </c>
      <c r="AN116" s="127">
        <f>AM116*'1. Standard_Cost'!$C$31</f>
        <v>0</v>
      </c>
      <c r="AO116" s="130"/>
      <c r="AQ116" s="171">
        <f>L116+M116</f>
        <v>0</v>
      </c>
      <c r="AR116" s="171">
        <f>AF116</f>
        <v>0</v>
      </c>
      <c r="AS116" s="171">
        <f>AM116+AN116</f>
        <v>0</v>
      </c>
      <c r="AT116" s="171">
        <f>SUM(AQ116,AR116,AS116)</f>
        <v>0</v>
      </c>
      <c r="AU116" s="250"/>
      <c r="AV116" s="250"/>
      <c r="AW116" s="250"/>
      <c r="AX116" s="250"/>
      <c r="AY116" s="250"/>
      <c r="AZ116" s="250"/>
      <c r="BA116" s="250"/>
      <c r="BB116" s="251">
        <f t="shared" si="74"/>
        <v>0</v>
      </c>
      <c r="BC116" s="169"/>
      <c r="BD116" s="169"/>
      <c r="BE116" s="169"/>
      <c r="BF116" s="169"/>
    </row>
    <row r="117" spans="1:58" ht="47.25" outlineLevel="1" x14ac:dyDescent="0.25">
      <c r="A117" s="115"/>
      <c r="B117" s="165"/>
      <c r="C117" s="166"/>
      <c r="D117" s="229" t="s">
        <v>432</v>
      </c>
      <c r="E117" s="212" t="s">
        <v>280</v>
      </c>
      <c r="F117" s="136">
        <v>2021</v>
      </c>
      <c r="G117" s="117">
        <v>2030</v>
      </c>
      <c r="H117" s="110" t="s">
        <v>281</v>
      </c>
      <c r="I117" s="252"/>
      <c r="J117" s="252"/>
      <c r="K117" s="252"/>
      <c r="L117" s="127">
        <f>SUM(L112:L116)</f>
        <v>2562100</v>
      </c>
      <c r="M117" s="127">
        <f>SUM(M112:M116)</f>
        <v>427870.7</v>
      </c>
      <c r="N117" s="127"/>
      <c r="O117" s="252"/>
      <c r="P117" s="252"/>
      <c r="Q117" s="252"/>
      <c r="R117" s="127">
        <f>SUM(R112:R116)</f>
        <v>0</v>
      </c>
      <c r="S117" s="127">
        <f>SUM(S112:S116)</f>
        <v>0</v>
      </c>
      <c r="T117" s="127">
        <f>SUM(T112:T116)</f>
        <v>0</v>
      </c>
      <c r="U117" s="127">
        <f>SUM(U112:U116)</f>
        <v>0</v>
      </c>
      <c r="V117" s="252"/>
      <c r="W117" s="252"/>
      <c r="X117" s="252"/>
      <c r="Y117" s="127">
        <f>SUM(Y112:Y116)</f>
        <v>0</v>
      </c>
      <c r="Z117" s="252"/>
      <c r="AA117" s="252"/>
      <c r="AB117" s="127">
        <f>SUM(AB112:AB116)</f>
        <v>475000</v>
      </c>
      <c r="AC117" s="127">
        <f>SUM(AC112:AC116)</f>
        <v>358920</v>
      </c>
      <c r="AD117" s="127">
        <f>SUM(AD112:AD116)</f>
        <v>0</v>
      </c>
      <c r="AE117" s="127">
        <f>SUM(AE112:AE116)</f>
        <v>166784</v>
      </c>
      <c r="AF117" s="127">
        <f>SUM(AF112:AF116)</f>
        <v>1000704</v>
      </c>
      <c r="AG117" s="252"/>
      <c r="AH117" s="252"/>
      <c r="AI117" s="252"/>
      <c r="AJ117" s="127">
        <f>SUM(AJ112:AJ116)</f>
        <v>0</v>
      </c>
      <c r="AK117" s="127">
        <f>SUM(AK112:AK116)</f>
        <v>0</v>
      </c>
      <c r="AL117" s="127">
        <f>SUM(AL112:AL116)</f>
        <v>0</v>
      </c>
      <c r="AM117" s="127">
        <f>SUM(AM112:AM116)</f>
        <v>0</v>
      </c>
      <c r="AN117" s="127">
        <f>SUM(AN112:AN116)</f>
        <v>0</v>
      </c>
      <c r="AO117" s="253"/>
      <c r="AP117" s="254"/>
      <c r="AQ117" s="175">
        <f>SUM(AQ112:AQ116)</f>
        <v>2989970.7</v>
      </c>
      <c r="AR117" s="175">
        <f>SUM(AR112:AR116)</f>
        <v>1000704</v>
      </c>
      <c r="AS117" s="175">
        <f>SUM(AS112:AS116)</f>
        <v>0</v>
      </c>
      <c r="AT117" s="175">
        <f>SUM(AT112:AT116)</f>
        <v>3990674.7</v>
      </c>
      <c r="AU117" s="175">
        <f t="shared" ref="AU117:BB117" si="75">SUM(AU112:AU116)</f>
        <v>3420675</v>
      </c>
      <c r="AV117" s="175">
        <f t="shared" si="75"/>
        <v>0</v>
      </c>
      <c r="AW117" s="175">
        <f t="shared" si="75"/>
        <v>0</v>
      </c>
      <c r="AX117" s="175">
        <f t="shared" si="75"/>
        <v>0</v>
      </c>
      <c r="AY117" s="175">
        <f t="shared" si="75"/>
        <v>0</v>
      </c>
      <c r="AZ117" s="175">
        <f t="shared" si="75"/>
        <v>0</v>
      </c>
      <c r="BA117" s="175">
        <f t="shared" si="75"/>
        <v>0</v>
      </c>
      <c r="BB117" s="175">
        <f t="shared" si="75"/>
        <v>-569999.69999999995</v>
      </c>
      <c r="BC117" s="169"/>
      <c r="BD117" s="169"/>
      <c r="BE117" s="169"/>
      <c r="BF117" s="169"/>
    </row>
    <row r="118" spans="1:58" s="184" customFormat="1" ht="15.75" customHeight="1" x14ac:dyDescent="0.25">
      <c r="A118" s="143"/>
      <c r="B118" s="290"/>
      <c r="C118" s="391" t="s">
        <v>282</v>
      </c>
      <c r="D118" s="391"/>
      <c r="E118" s="392"/>
      <c r="F118" s="291"/>
      <c r="G118" s="291"/>
      <c r="H118" s="144" t="s">
        <v>266</v>
      </c>
      <c r="I118" s="257"/>
      <c r="J118" s="257"/>
      <c r="K118" s="257"/>
      <c r="L118" s="258">
        <f>SUM(L122)</f>
        <v>0</v>
      </c>
      <c r="M118" s="258">
        <f>SUM(M122)</f>
        <v>0</v>
      </c>
      <c r="N118" s="257"/>
      <c r="O118" s="257"/>
      <c r="P118" s="257"/>
      <c r="Q118" s="257"/>
      <c r="R118" s="258">
        <f>SUM(R122)</f>
        <v>0</v>
      </c>
      <c r="S118" s="258">
        <f>SUM(S122)</f>
        <v>0</v>
      </c>
      <c r="T118" s="258">
        <f>SUM(T122)</f>
        <v>0</v>
      </c>
      <c r="U118" s="258">
        <f>SUM(U122)</f>
        <v>0</v>
      </c>
      <c r="V118" s="257"/>
      <c r="W118" s="257"/>
      <c r="X118" s="257"/>
      <c r="Y118" s="258">
        <f>SUM(Y122)</f>
        <v>0</v>
      </c>
      <c r="Z118" s="258"/>
      <c r="AA118" s="258"/>
      <c r="AB118" s="258">
        <f>SUM(AB122)</f>
        <v>0</v>
      </c>
      <c r="AC118" s="258">
        <f>SUM(AC122)</f>
        <v>0</v>
      </c>
      <c r="AD118" s="258">
        <f>SUM(AD122)</f>
        <v>0</v>
      </c>
      <c r="AE118" s="258">
        <f>SUM(AE122)</f>
        <v>0</v>
      </c>
      <c r="AF118" s="258">
        <f>SUM(AF122)</f>
        <v>0</v>
      </c>
      <c r="AG118" s="257"/>
      <c r="AH118" s="257"/>
      <c r="AI118" s="257"/>
      <c r="AJ118" s="258">
        <f>SUM(AJ122)</f>
        <v>0</v>
      </c>
      <c r="AK118" s="258">
        <f>SUM(AK122)</f>
        <v>0</v>
      </c>
      <c r="AL118" s="258">
        <f>SUM(AL122)</f>
        <v>0</v>
      </c>
      <c r="AM118" s="258">
        <f>SUM(AM122)</f>
        <v>0</v>
      </c>
      <c r="AN118" s="258">
        <f>SUM(AN122)</f>
        <v>0</v>
      </c>
      <c r="AO118" s="259"/>
      <c r="AP118" s="260"/>
      <c r="AQ118" s="261">
        <f>SUM(AQ122)</f>
        <v>0</v>
      </c>
      <c r="AR118" s="261">
        <f>SUM(AR122)</f>
        <v>0</v>
      </c>
      <c r="AS118" s="261">
        <f>SUM(AS122)</f>
        <v>0</v>
      </c>
      <c r="AT118" s="261">
        <f>SUM(AT122)</f>
        <v>0</v>
      </c>
      <c r="AU118" s="261">
        <f t="shared" ref="AU118:BA118" si="76">SUM(AU122)</f>
        <v>0</v>
      </c>
      <c r="AV118" s="261">
        <f t="shared" si="76"/>
        <v>0</v>
      </c>
      <c r="AW118" s="261">
        <f t="shared" si="76"/>
        <v>0</v>
      </c>
      <c r="AX118" s="261">
        <f t="shared" si="76"/>
        <v>0</v>
      </c>
      <c r="AY118" s="261">
        <f t="shared" si="76"/>
        <v>0</v>
      </c>
      <c r="AZ118" s="261">
        <f t="shared" si="76"/>
        <v>0</v>
      </c>
      <c r="BA118" s="261">
        <f t="shared" si="76"/>
        <v>0</v>
      </c>
      <c r="BB118" s="261">
        <f>SUM(BB122)</f>
        <v>0</v>
      </c>
    </row>
    <row r="119" spans="1:58" ht="94.5" outlineLevel="2" x14ac:dyDescent="0.25">
      <c r="A119" s="115"/>
      <c r="B119" s="200"/>
      <c r="C119" s="201"/>
      <c r="D119" s="348"/>
      <c r="E119" s="321"/>
      <c r="F119" s="306"/>
      <c r="G119" s="307"/>
      <c r="H119" s="199" t="s">
        <v>443</v>
      </c>
      <c r="I119" s="130"/>
      <c r="J119" s="126"/>
      <c r="K119" s="126"/>
      <c r="L119" s="125" t="str">
        <f>IF(I119&lt;&gt;0,((VLOOKUP(I119,'1. Standard_Cost'!$B$4:$D$11,2)+VLOOKUP(I119,'1. Standard_Cost'!$B$4:$D$11,3))*J119*K119),"0")</f>
        <v>0</v>
      </c>
      <c r="M119" s="125">
        <f>L119*'1. Standard_Cost'!$F$4</f>
        <v>0</v>
      </c>
      <c r="N119" s="126"/>
      <c r="O119" s="126"/>
      <c r="P119" s="126"/>
      <c r="Q119" s="126"/>
      <c r="R119" s="127">
        <f>'1. Standard_Cost'!$B$15*N119*P119</f>
        <v>0</v>
      </c>
      <c r="S119" s="127">
        <f>N119*O119*P119*'1. Standard_Cost'!$C$15</f>
        <v>0</v>
      </c>
      <c r="T119" s="127">
        <f>N119*P119*Q119*'1. Standard_Cost'!$D$15</f>
        <v>0</v>
      </c>
      <c r="U119" s="127">
        <f>N119*O119*'1. Standard_Cost'!$E$15</f>
        <v>0</v>
      </c>
      <c r="V119" s="126"/>
      <c r="W119" s="126"/>
      <c r="X119" s="126"/>
      <c r="Y119" s="127">
        <f>+V119*((X119*'1. Standard_Cost'!$B$19)+(W119*X119*'1. Standard_Cost'!$C$19))</f>
        <v>0</v>
      </c>
      <c r="Z119" s="126"/>
      <c r="AA119" s="126"/>
      <c r="AB119" s="127">
        <f>+Z119*'1. Standard_Cost'!$B$23+AA119*'1. Standard_Cost'!$C$23</f>
        <v>0</v>
      </c>
      <c r="AC119" s="128"/>
      <c r="AD119" s="129"/>
      <c r="AE119" s="127">
        <f>SUM(AD119,AC119,AB119,Y119,U119,T119,S119,R119)*'1. Standard_Cost'!$B$31</f>
        <v>0</v>
      </c>
      <c r="AF119" s="127">
        <f>SUM(AE119,AD119,AC119,AB119,Y119,U119,T119,S119,R119)</f>
        <v>0</v>
      </c>
      <c r="AG119" s="126"/>
      <c r="AH119" s="126"/>
      <c r="AI119" s="126"/>
      <c r="AJ119" s="130"/>
      <c r="AK119" s="130"/>
      <c r="AL119" s="130"/>
      <c r="AM119" s="127">
        <f>AG119*'1. Standard_Cost'!$B$27+'Incremental_Cost Year 9'!AH119*'1. Standard_Cost'!$C$27+'Incremental_Cost Year 9'!AI119*'1. Standard_Cost'!$D$27+'Incremental_Cost Year 9'!AJ119+'Incremental_Cost Year 9'!AL119+AK119</f>
        <v>0</v>
      </c>
      <c r="AN119" s="127">
        <f>AM119*'1. Standard_Cost'!$C$31</f>
        <v>0</v>
      </c>
      <c r="AO119" s="130"/>
      <c r="AQ119" s="171">
        <f>L119+M119</f>
        <v>0</v>
      </c>
      <c r="AR119" s="171">
        <f>AF119</f>
        <v>0</v>
      </c>
      <c r="AS119" s="171">
        <f>AM119+AN119</f>
        <v>0</v>
      </c>
      <c r="AT119" s="171">
        <f>SUM(AQ119,AR119,AS119)</f>
        <v>0</v>
      </c>
      <c r="AU119" s="250"/>
      <c r="AV119" s="250"/>
      <c r="AW119" s="250"/>
      <c r="AX119" s="250"/>
      <c r="AY119" s="250"/>
      <c r="AZ119" s="250"/>
      <c r="BA119" s="250"/>
      <c r="BB119" s="251">
        <f t="shared" ref="BB119:BB121" si="77">SUM(AU119:BA119)-AT119</f>
        <v>0</v>
      </c>
      <c r="BC119" s="169"/>
      <c r="BD119" s="169"/>
      <c r="BE119" s="169"/>
      <c r="BF119" s="169"/>
    </row>
    <row r="120" spans="1:58" ht="110.25" outlineLevel="2" x14ac:dyDescent="0.25">
      <c r="A120" s="115"/>
      <c r="B120" s="200"/>
      <c r="C120" s="201"/>
      <c r="D120" s="132"/>
      <c r="E120" s="323"/>
      <c r="F120" s="308"/>
      <c r="G120" s="309"/>
      <c r="H120" s="199" t="s">
        <v>444</v>
      </c>
      <c r="I120" s="130"/>
      <c r="J120" s="126"/>
      <c r="K120" s="126"/>
      <c r="L120" s="125" t="str">
        <f>IF(I120&lt;&gt;0,((VLOOKUP(I120,'1. Standard_Cost'!$B$4:$D$11,2)+VLOOKUP(I120,'1. Standard_Cost'!$B$4:$D$11,3))*J120*K120),"0")</f>
        <v>0</v>
      </c>
      <c r="M120" s="125">
        <f>L120*'1. Standard_Cost'!$F$4</f>
        <v>0</v>
      </c>
      <c r="N120" s="126"/>
      <c r="O120" s="126"/>
      <c r="P120" s="126"/>
      <c r="Q120" s="126"/>
      <c r="R120" s="127">
        <f>'1. Standard_Cost'!$B$15*N120*P120</f>
        <v>0</v>
      </c>
      <c r="S120" s="127">
        <f>N120*O120*P120*'1. Standard_Cost'!$C$15</f>
        <v>0</v>
      </c>
      <c r="T120" s="127">
        <f>N120*P120*Q120*'1. Standard_Cost'!$D$15</f>
        <v>0</v>
      </c>
      <c r="U120" s="127">
        <f>N120*O120*'1. Standard_Cost'!$E$15</f>
        <v>0</v>
      </c>
      <c r="V120" s="126"/>
      <c r="W120" s="126"/>
      <c r="X120" s="126"/>
      <c r="Y120" s="127">
        <f>+V120*((X120*'1. Standard_Cost'!$B$19)+(W120*X120*'1. Standard_Cost'!$C$19))</f>
        <v>0</v>
      </c>
      <c r="Z120" s="126"/>
      <c r="AA120" s="126"/>
      <c r="AB120" s="127">
        <f>+Z120*'1. Standard_Cost'!$B$23+AA120*'1. Standard_Cost'!$C$23</f>
        <v>0</v>
      </c>
      <c r="AC120" s="128"/>
      <c r="AD120" s="129"/>
      <c r="AE120" s="127">
        <f>SUM(AD120,AC120,AB120,Y120,U120,T120,S120,R120)*'1. Standard_Cost'!$B$31</f>
        <v>0</v>
      </c>
      <c r="AF120" s="127">
        <f>SUM(AE120,AD120,AC120,AB120,Y120,U120,T120,S120,R120)</f>
        <v>0</v>
      </c>
      <c r="AG120" s="126"/>
      <c r="AH120" s="126"/>
      <c r="AI120" s="126"/>
      <c r="AJ120" s="130"/>
      <c r="AK120" s="130"/>
      <c r="AL120" s="130"/>
      <c r="AM120" s="127">
        <f>AG120*'1. Standard_Cost'!$B$27+'Incremental_Cost Year 9'!AH120*'1. Standard_Cost'!$C$27+'Incremental_Cost Year 9'!AI120*'1. Standard_Cost'!$D$27+'Incremental_Cost Year 9'!AJ120+'Incremental_Cost Year 9'!AL120+AK120</f>
        <v>0</v>
      </c>
      <c r="AN120" s="127">
        <f>AM120*'1. Standard_Cost'!$C$31</f>
        <v>0</v>
      </c>
      <c r="AO120" s="130"/>
      <c r="AQ120" s="171">
        <f>L120+M120</f>
        <v>0</v>
      </c>
      <c r="AR120" s="171">
        <f>AF120</f>
        <v>0</v>
      </c>
      <c r="AS120" s="171">
        <f>AM120+AN120</f>
        <v>0</v>
      </c>
      <c r="AT120" s="171">
        <f>SUM(AQ120,AR120,AS120)</f>
        <v>0</v>
      </c>
      <c r="AU120" s="250"/>
      <c r="AV120" s="250"/>
      <c r="AW120" s="250"/>
      <c r="AX120" s="250"/>
      <c r="AY120" s="250"/>
      <c r="AZ120" s="250"/>
      <c r="BA120" s="250"/>
      <c r="BB120" s="251">
        <f t="shared" si="77"/>
        <v>0</v>
      </c>
      <c r="BC120" s="169"/>
      <c r="BD120" s="169"/>
      <c r="BE120" s="169"/>
      <c r="BF120" s="169"/>
    </row>
    <row r="121" spans="1:58" ht="126" outlineLevel="2" x14ac:dyDescent="0.25">
      <c r="A121" s="115"/>
      <c r="B121" s="200"/>
      <c r="C121" s="201"/>
      <c r="D121" s="349"/>
      <c r="E121" s="322"/>
      <c r="F121" s="311"/>
      <c r="G121" s="312"/>
      <c r="H121" s="199" t="s">
        <v>445</v>
      </c>
      <c r="I121" s="130"/>
      <c r="J121" s="126"/>
      <c r="K121" s="126"/>
      <c r="L121" s="125" t="str">
        <f>IF(I121&lt;&gt;0,((VLOOKUP(I121,'1. Standard_Cost'!$B$4:$D$11,2)+VLOOKUP(I121,'1. Standard_Cost'!$B$4:$D$11,3))*J121*K121),"0")</f>
        <v>0</v>
      </c>
      <c r="M121" s="125">
        <f>L121*'1. Standard_Cost'!$F$4</f>
        <v>0</v>
      </c>
      <c r="N121" s="126"/>
      <c r="O121" s="126"/>
      <c r="P121" s="126"/>
      <c r="Q121" s="126"/>
      <c r="R121" s="127">
        <f>'1. Standard_Cost'!$B$15*N121*P121</f>
        <v>0</v>
      </c>
      <c r="S121" s="127">
        <f>N121*O121*P121*'1. Standard_Cost'!$C$15</f>
        <v>0</v>
      </c>
      <c r="T121" s="127">
        <f>N121*P121*Q121*'1. Standard_Cost'!$D$15</f>
        <v>0</v>
      </c>
      <c r="U121" s="127">
        <f>N121*O121*'1. Standard_Cost'!$E$15</f>
        <v>0</v>
      </c>
      <c r="V121" s="126"/>
      <c r="W121" s="126"/>
      <c r="X121" s="126"/>
      <c r="Y121" s="127">
        <f>+V121*((X121*'1. Standard_Cost'!$B$19)+(W121*X121*'1. Standard_Cost'!$C$19))</f>
        <v>0</v>
      </c>
      <c r="Z121" s="126"/>
      <c r="AA121" s="126"/>
      <c r="AB121" s="127">
        <f>+Z121*'1. Standard_Cost'!$B$23+AA121*'1. Standard_Cost'!$C$23</f>
        <v>0</v>
      </c>
      <c r="AC121" s="128"/>
      <c r="AD121" s="129"/>
      <c r="AE121" s="127">
        <f>SUM(AD121,AC121,AB121,Y121,U121,T121,S121,R121)*'1. Standard_Cost'!$B$31</f>
        <v>0</v>
      </c>
      <c r="AF121" s="127">
        <f>SUM(AE121,AD121,AC121,AB121,Y121,U121,T121,S121,R121)</f>
        <v>0</v>
      </c>
      <c r="AG121" s="126"/>
      <c r="AH121" s="126"/>
      <c r="AI121" s="126"/>
      <c r="AJ121" s="130"/>
      <c r="AK121" s="130"/>
      <c r="AL121" s="130"/>
      <c r="AM121" s="127">
        <f>AG121*'1. Standard_Cost'!$B$27+'Incremental_Cost Year 9'!AH121*'1. Standard_Cost'!$C$27+'Incremental_Cost Year 9'!AI121*'1. Standard_Cost'!$D$27+'Incremental_Cost Year 9'!AJ121+'Incremental_Cost Year 9'!AL121+AK121</f>
        <v>0</v>
      </c>
      <c r="AN121" s="127">
        <f>AM121*'1. Standard_Cost'!$C$31</f>
        <v>0</v>
      </c>
      <c r="AO121" s="130"/>
      <c r="AQ121" s="171">
        <f>L121+M121</f>
        <v>0</v>
      </c>
      <c r="AR121" s="171">
        <f>AF121</f>
        <v>0</v>
      </c>
      <c r="AS121" s="171">
        <f>AM121+AN121</f>
        <v>0</v>
      </c>
      <c r="AT121" s="171">
        <f>SUM(AQ121,AR121,AS121)</f>
        <v>0</v>
      </c>
      <c r="AU121" s="250"/>
      <c r="AV121" s="250"/>
      <c r="AW121" s="250"/>
      <c r="AX121" s="250"/>
      <c r="AY121" s="250"/>
      <c r="AZ121" s="250"/>
      <c r="BA121" s="250"/>
      <c r="BB121" s="251">
        <f t="shared" si="77"/>
        <v>0</v>
      </c>
      <c r="BC121" s="169"/>
      <c r="BD121" s="169"/>
      <c r="BE121" s="169"/>
      <c r="BF121" s="169"/>
    </row>
    <row r="122" spans="1:58" ht="63" outlineLevel="1" x14ac:dyDescent="0.25">
      <c r="A122" s="115"/>
      <c r="B122" s="200"/>
      <c r="C122" s="201"/>
      <c r="D122" s="146" t="s">
        <v>432</v>
      </c>
      <c r="E122" s="212" t="s">
        <v>283</v>
      </c>
      <c r="F122" s="136">
        <v>2022</v>
      </c>
      <c r="G122" s="117">
        <v>2025</v>
      </c>
      <c r="H122" s="110" t="s">
        <v>268</v>
      </c>
      <c r="I122" s="252"/>
      <c r="J122" s="252"/>
      <c r="K122" s="252"/>
      <c r="L122" s="127">
        <f>SUM(L119:L121)</f>
        <v>0</v>
      </c>
      <c r="M122" s="127">
        <f>SUM(M119:M121)</f>
        <v>0</v>
      </c>
      <c r="N122" s="127"/>
      <c r="O122" s="252"/>
      <c r="P122" s="252"/>
      <c r="Q122" s="252"/>
      <c r="R122" s="127">
        <f>SUM(R119:R121)</f>
        <v>0</v>
      </c>
      <c r="S122" s="127">
        <f>SUM(S119:S121)</f>
        <v>0</v>
      </c>
      <c r="T122" s="127">
        <f>SUM(T119:T121)</f>
        <v>0</v>
      </c>
      <c r="U122" s="127">
        <f>SUM(U119:U121)</f>
        <v>0</v>
      </c>
      <c r="V122" s="252"/>
      <c r="W122" s="252"/>
      <c r="X122" s="252"/>
      <c r="Y122" s="127">
        <f>SUM(Y119:Y121)</f>
        <v>0</v>
      </c>
      <c r="Z122" s="252"/>
      <c r="AA122" s="252"/>
      <c r="AB122" s="127">
        <f>SUM(AB119:AB121)</f>
        <v>0</v>
      </c>
      <c r="AC122" s="127">
        <f>SUM(AC119:AC121)</f>
        <v>0</v>
      </c>
      <c r="AD122" s="127">
        <f>SUM(AD119:AD121)</f>
        <v>0</v>
      </c>
      <c r="AE122" s="127">
        <f>SUM(AE119:AE121)</f>
        <v>0</v>
      </c>
      <c r="AF122" s="127">
        <f>SUM(AF119:AF121)</f>
        <v>0</v>
      </c>
      <c r="AG122" s="252"/>
      <c r="AH122" s="252"/>
      <c r="AI122" s="252"/>
      <c r="AJ122" s="127">
        <f>SUM(AJ119:AJ121)</f>
        <v>0</v>
      </c>
      <c r="AK122" s="127">
        <f>SUM(AK119:AK121)</f>
        <v>0</v>
      </c>
      <c r="AL122" s="127">
        <f>SUM(AL119:AL121)</f>
        <v>0</v>
      </c>
      <c r="AM122" s="127">
        <f>SUM(AM119:AM121)</f>
        <v>0</v>
      </c>
      <c r="AN122" s="127">
        <f>SUM(AN119:AN121)</f>
        <v>0</v>
      </c>
      <c r="AO122" s="253"/>
      <c r="AP122" s="254"/>
      <c r="AQ122" s="175">
        <f>SUM(AQ119:AQ121)</f>
        <v>0</v>
      </c>
      <c r="AR122" s="175">
        <f>SUM(AR119:AR121)</f>
        <v>0</v>
      </c>
      <c r="AS122" s="175">
        <f>SUM(AS119:AS121)</f>
        <v>0</v>
      </c>
      <c r="AT122" s="175">
        <f>SUM(AT119:AT121)</f>
        <v>0</v>
      </c>
      <c r="AU122" s="175">
        <f t="shared" ref="AU122:BB122" si="78">SUM(AU119:AU121)</f>
        <v>0</v>
      </c>
      <c r="AV122" s="175">
        <f t="shared" si="78"/>
        <v>0</v>
      </c>
      <c r="AW122" s="175">
        <f t="shared" si="78"/>
        <v>0</v>
      </c>
      <c r="AX122" s="175">
        <f t="shared" si="78"/>
        <v>0</v>
      </c>
      <c r="AY122" s="175">
        <f t="shared" si="78"/>
        <v>0</v>
      </c>
      <c r="AZ122" s="175">
        <f t="shared" si="78"/>
        <v>0</v>
      </c>
      <c r="BA122" s="175">
        <f t="shared" si="78"/>
        <v>0</v>
      </c>
      <c r="BB122" s="175">
        <f t="shared" si="78"/>
        <v>0</v>
      </c>
      <c r="BC122" s="169"/>
      <c r="BD122" s="169"/>
      <c r="BE122" s="169"/>
      <c r="BF122" s="169"/>
    </row>
    <row r="123" spans="1:58" s="184" customFormat="1" ht="15.75" customHeight="1" x14ac:dyDescent="0.25">
      <c r="A123" s="143"/>
      <c r="B123" s="290"/>
      <c r="C123" s="391" t="s">
        <v>287</v>
      </c>
      <c r="D123" s="391"/>
      <c r="E123" s="392"/>
      <c r="F123" s="291"/>
      <c r="G123" s="289"/>
      <c r="H123" s="144" t="s">
        <v>288</v>
      </c>
      <c r="I123" s="257"/>
      <c r="J123" s="257"/>
      <c r="K123" s="257"/>
      <c r="L123" s="258">
        <f>SUM(L133)</f>
        <v>64119942.857142858</v>
      </c>
      <c r="M123" s="258">
        <f>SUM(M133)</f>
        <v>10708030.457142858</v>
      </c>
      <c r="N123" s="257"/>
      <c r="O123" s="257"/>
      <c r="P123" s="257"/>
      <c r="Q123" s="257"/>
      <c r="R123" s="258">
        <f>SUM(R133)</f>
        <v>0</v>
      </c>
      <c r="S123" s="258">
        <f>SUM(S133)</f>
        <v>0</v>
      </c>
      <c r="T123" s="258">
        <f>SUM(T133)</f>
        <v>0</v>
      </c>
      <c r="U123" s="258">
        <f>SUM(U133)</f>
        <v>0</v>
      </c>
      <c r="V123" s="257"/>
      <c r="W123" s="257"/>
      <c r="X123" s="257"/>
      <c r="Y123" s="258">
        <f>SUM(Y133)</f>
        <v>0</v>
      </c>
      <c r="Z123" s="258"/>
      <c r="AA123" s="258"/>
      <c r="AB123" s="258">
        <f>SUM(AB133)</f>
        <v>0</v>
      </c>
      <c r="AC123" s="258">
        <f>SUM(AC133)</f>
        <v>10872553</v>
      </c>
      <c r="AD123" s="258">
        <f>SUM(AD133)</f>
        <v>0</v>
      </c>
      <c r="AE123" s="258">
        <f>SUM(AE133)</f>
        <v>2174510.6</v>
      </c>
      <c r="AF123" s="258">
        <f>SUM(AF133)</f>
        <v>13047063.6</v>
      </c>
      <c r="AG123" s="257"/>
      <c r="AH123" s="257"/>
      <c r="AI123" s="257"/>
      <c r="AJ123" s="258">
        <f>SUM(AJ133)</f>
        <v>0</v>
      </c>
      <c r="AK123" s="258">
        <f>SUM(AK133)</f>
        <v>0</v>
      </c>
      <c r="AL123" s="258">
        <f>SUM(AL133)</f>
        <v>0</v>
      </c>
      <c r="AM123" s="258">
        <f>SUM(AM133)</f>
        <v>0</v>
      </c>
      <c r="AN123" s="258">
        <f>SUM(AN133)</f>
        <v>0</v>
      </c>
      <c r="AO123" s="259"/>
      <c r="AP123" s="260"/>
      <c r="AQ123" s="261">
        <f>SUM(AQ133)</f>
        <v>74827973.314285725</v>
      </c>
      <c r="AR123" s="261">
        <f>SUM(AR133)</f>
        <v>13047063.6</v>
      </c>
      <c r="AS123" s="261">
        <f>SUM(AS133)</f>
        <v>0</v>
      </c>
      <c r="AT123" s="261">
        <f>SUM(AT133)</f>
        <v>87875036.914285704</v>
      </c>
      <c r="AU123" s="261">
        <f t="shared" ref="AU123:BB123" si="79">SUM(AU133)</f>
        <v>87875038</v>
      </c>
      <c r="AV123" s="261">
        <f t="shared" si="79"/>
        <v>0</v>
      </c>
      <c r="AW123" s="261">
        <f t="shared" si="79"/>
        <v>0</v>
      </c>
      <c r="AX123" s="261">
        <f t="shared" si="79"/>
        <v>0</v>
      </c>
      <c r="AY123" s="261">
        <f t="shared" si="79"/>
        <v>0</v>
      </c>
      <c r="AZ123" s="261">
        <f t="shared" si="79"/>
        <v>0</v>
      </c>
      <c r="BA123" s="261">
        <f t="shared" si="79"/>
        <v>0</v>
      </c>
      <c r="BB123" s="261">
        <f t="shared" si="79"/>
        <v>1.0857142880558968</v>
      </c>
    </row>
    <row r="124" spans="1:58" ht="78.75" outlineLevel="2" x14ac:dyDescent="0.25">
      <c r="A124" s="115"/>
      <c r="B124" s="200"/>
      <c r="C124" s="201"/>
      <c r="D124" s="346"/>
      <c r="E124" s="321"/>
      <c r="F124" s="306"/>
      <c r="G124" s="307"/>
      <c r="H124" s="199" t="s">
        <v>549</v>
      </c>
      <c r="I124" s="130"/>
      <c r="J124" s="126"/>
      <c r="K124" s="126"/>
      <c r="L124" s="125" t="str">
        <f>IF(I124&lt;&gt;0,((VLOOKUP(I124,'1. Standard_Cost'!$B$4:$D$11,2)+VLOOKUP(I124,'1. Standard_Cost'!$B$4:$D$11,3))*J124*K124),"0")</f>
        <v>0</v>
      </c>
      <c r="M124" s="125">
        <f>L124*'1. Standard_Cost'!$F$4</f>
        <v>0</v>
      </c>
      <c r="N124" s="126"/>
      <c r="O124" s="126"/>
      <c r="P124" s="126"/>
      <c r="Q124" s="126"/>
      <c r="R124" s="127">
        <f>'1. Standard_Cost'!$B$15*N124*P124</f>
        <v>0</v>
      </c>
      <c r="S124" s="127">
        <f>N124*O124*P124*'1. Standard_Cost'!$C$15</f>
        <v>0</v>
      </c>
      <c r="T124" s="127">
        <f>N124*P124*Q124*'1. Standard_Cost'!$D$15</f>
        <v>0</v>
      </c>
      <c r="U124" s="127">
        <f>N124*O124*'1. Standard_Cost'!$E$15</f>
        <v>0</v>
      </c>
      <c r="V124" s="126"/>
      <c r="W124" s="126"/>
      <c r="X124" s="126"/>
      <c r="Y124" s="127">
        <f>+V124*((X124*'1. Standard_Cost'!$B$19)+(W124*X124*'1. Standard_Cost'!$C$19))</f>
        <v>0</v>
      </c>
      <c r="Z124" s="126"/>
      <c r="AA124" s="126"/>
      <c r="AB124" s="127">
        <f>+Z124*'1. Standard_Cost'!$B$23+AA124*'1. Standard_Cost'!$C$23</f>
        <v>0</v>
      </c>
      <c r="AC124" s="128"/>
      <c r="AD124" s="129"/>
      <c r="AE124" s="127">
        <f>SUM(AD124,AC124,AB124,Y124,U124,T124,S124,R124)*'1. Standard_Cost'!$B$31</f>
        <v>0</v>
      </c>
      <c r="AF124" s="127">
        <f t="shared" ref="AF124:AF132" si="80">SUM(AE124,AD124,AC124,AB124,Y124,U124,T124,S124,R124)</f>
        <v>0</v>
      </c>
      <c r="AG124" s="126"/>
      <c r="AH124" s="126"/>
      <c r="AI124" s="126"/>
      <c r="AJ124" s="130"/>
      <c r="AK124" s="130"/>
      <c r="AL124" s="130"/>
      <c r="AM124" s="127">
        <f>AG124*'1. Standard_Cost'!$B$27+'Incremental_Cost Year 9'!AH124*'1. Standard_Cost'!$C$27+'Incremental_Cost Year 9'!AI124*'1. Standard_Cost'!$D$27+'Incremental_Cost Year 9'!AJ124+'Incremental_Cost Year 9'!AL124+AK124</f>
        <v>0</v>
      </c>
      <c r="AN124" s="127">
        <f>AM124*'1. Standard_Cost'!$C$31</f>
        <v>0</v>
      </c>
      <c r="AO124" s="130"/>
      <c r="AQ124" s="171">
        <f t="shared" ref="AQ124:AQ132" si="81">L124+M124</f>
        <v>0</v>
      </c>
      <c r="AR124" s="171">
        <f t="shared" ref="AR124:AR132" si="82">AF124</f>
        <v>0</v>
      </c>
      <c r="AS124" s="171">
        <f t="shared" ref="AS124:AS132" si="83">AM124+AN124</f>
        <v>0</v>
      </c>
      <c r="AT124" s="171">
        <f t="shared" ref="AT124:AT132" si="84">SUM(AQ124,AR124,AS124)</f>
        <v>0</v>
      </c>
      <c r="AU124" s="250"/>
      <c r="AV124" s="250"/>
      <c r="AW124" s="250"/>
      <c r="AX124" s="250"/>
      <c r="AY124" s="250"/>
      <c r="AZ124" s="250"/>
      <c r="BA124" s="250"/>
      <c r="BB124" s="251">
        <f t="shared" ref="BB124:BB132" si="85">SUM(AU124:BA124)-AT124</f>
        <v>0</v>
      </c>
      <c r="BC124" s="169"/>
      <c r="BD124" s="169"/>
      <c r="BE124" s="169"/>
      <c r="BF124" s="169"/>
    </row>
    <row r="125" spans="1:58" ht="63" outlineLevel="2" x14ac:dyDescent="0.25">
      <c r="A125" s="115"/>
      <c r="B125" s="200"/>
      <c r="C125" s="201"/>
      <c r="D125" s="131"/>
      <c r="E125" s="323"/>
      <c r="F125" s="308"/>
      <c r="G125" s="309"/>
      <c r="H125" s="199" t="s">
        <v>446</v>
      </c>
      <c r="I125" s="130" t="s">
        <v>1</v>
      </c>
      <c r="J125" s="126">
        <v>12</v>
      </c>
      <c r="K125" s="126">
        <v>12</v>
      </c>
      <c r="L125" s="125">
        <f>IF(I125&lt;&gt;0,((VLOOKUP(I125,'1. Standard_Cost'!$B$4:$D$11,2)+VLOOKUP(I125,'1. Standard_Cost'!$B$4:$D$11,3))*J125*K125),"0")</f>
        <v>10338171.428571429</v>
      </c>
      <c r="M125" s="125">
        <f>L125*'1. Standard_Cost'!$F$4</f>
        <v>1726474.6285714288</v>
      </c>
      <c r="N125" s="126"/>
      <c r="O125" s="126"/>
      <c r="P125" s="126"/>
      <c r="Q125" s="126"/>
      <c r="R125" s="127">
        <f>'1. Standard_Cost'!$B$15*N125*P125</f>
        <v>0</v>
      </c>
      <c r="S125" s="127">
        <f>N125*O125*P125*'1. Standard_Cost'!$C$15</f>
        <v>0</v>
      </c>
      <c r="T125" s="127">
        <f>N125*P125*Q125*'1. Standard_Cost'!$D$15</f>
        <v>0</v>
      </c>
      <c r="U125" s="127">
        <f>N125*O125*'1. Standard_Cost'!$E$15</f>
        <v>0</v>
      </c>
      <c r="V125" s="126"/>
      <c r="W125" s="126"/>
      <c r="X125" s="126"/>
      <c r="Y125" s="127">
        <f>+V125*((X125*'1. Standard_Cost'!$B$19)+(W125*X125*'1. Standard_Cost'!$C$19))</f>
        <v>0</v>
      </c>
      <c r="Z125" s="126"/>
      <c r="AA125" s="126"/>
      <c r="AB125" s="127">
        <f>+Z125*'1. Standard_Cost'!$B$23+AA125*'1. Standard_Cost'!$C$23</f>
        <v>0</v>
      </c>
      <c r="AC125" s="128">
        <v>1448000</v>
      </c>
      <c r="AD125" s="129"/>
      <c r="AE125" s="127">
        <f>SUM(AD125,AC125,AB125,Y125,U125,T125,S125,R125)*'1. Standard_Cost'!$B$31</f>
        <v>289600</v>
      </c>
      <c r="AF125" s="127">
        <f t="shared" si="80"/>
        <v>1737600</v>
      </c>
      <c r="AG125" s="126"/>
      <c r="AH125" s="126"/>
      <c r="AI125" s="126"/>
      <c r="AJ125" s="130"/>
      <c r="AK125" s="130"/>
      <c r="AL125" s="130"/>
      <c r="AM125" s="127">
        <f>AG125*'1. Standard_Cost'!$B$27+'Incremental_Cost Year 9'!AH125*'1. Standard_Cost'!$C$27+'Incremental_Cost Year 9'!AI125*'1. Standard_Cost'!$D$27+'Incremental_Cost Year 9'!AJ125+'Incremental_Cost Year 9'!AL125+AK125</f>
        <v>0</v>
      </c>
      <c r="AN125" s="127">
        <f>AM125*'1. Standard_Cost'!$C$31</f>
        <v>0</v>
      </c>
      <c r="AO125" s="130"/>
      <c r="AQ125" s="171">
        <f t="shared" si="81"/>
        <v>12064646.057142857</v>
      </c>
      <c r="AR125" s="171">
        <f t="shared" si="82"/>
        <v>1737600</v>
      </c>
      <c r="AS125" s="171">
        <f t="shared" si="83"/>
        <v>0</v>
      </c>
      <c r="AT125" s="171">
        <f t="shared" si="84"/>
        <v>13802246.057142857</v>
      </c>
      <c r="AU125" s="250">
        <v>13802246</v>
      </c>
      <c r="AV125" s="250"/>
      <c r="AW125" s="250"/>
      <c r="AX125" s="250"/>
      <c r="AY125" s="250"/>
      <c r="AZ125" s="250"/>
      <c r="BA125" s="250"/>
      <c r="BB125" s="251">
        <f t="shared" si="85"/>
        <v>-5.714285746216774E-2</v>
      </c>
      <c r="BC125" s="169"/>
      <c r="BD125" s="169"/>
      <c r="BE125" s="169"/>
      <c r="BF125" s="169"/>
    </row>
    <row r="126" spans="1:58" ht="63" outlineLevel="2" x14ac:dyDescent="0.25">
      <c r="A126" s="115"/>
      <c r="B126" s="200"/>
      <c r="C126" s="201"/>
      <c r="D126" s="131"/>
      <c r="E126" s="323"/>
      <c r="F126" s="308"/>
      <c r="G126" s="309"/>
      <c r="H126" s="199" t="s">
        <v>447</v>
      </c>
      <c r="I126" s="130" t="s">
        <v>1</v>
      </c>
      <c r="J126" s="126">
        <v>12</v>
      </c>
      <c r="K126" s="126">
        <v>8</v>
      </c>
      <c r="L126" s="125">
        <f>IF(I126&lt;&gt;0,((VLOOKUP(I126,'1. Standard_Cost'!$B$4:$D$11,2)+VLOOKUP(I126,'1. Standard_Cost'!$B$4:$D$11,3))*J126*K126),"0")</f>
        <v>6892114.2857142854</v>
      </c>
      <c r="M126" s="125">
        <f>L126*'1. Standard_Cost'!$F$4</f>
        <v>1150983.0857142857</v>
      </c>
      <c r="N126" s="126"/>
      <c r="O126" s="126"/>
      <c r="P126" s="126"/>
      <c r="Q126" s="126"/>
      <c r="R126" s="127">
        <f>'1. Standard_Cost'!$B$15*N126*P126</f>
        <v>0</v>
      </c>
      <c r="S126" s="127">
        <f>N126*O126*P126*'1. Standard_Cost'!$C$15</f>
        <v>0</v>
      </c>
      <c r="T126" s="127">
        <f>N126*P126*Q126*'1. Standard_Cost'!$D$15</f>
        <v>0</v>
      </c>
      <c r="U126" s="127">
        <f>N126*O126*'1. Standard_Cost'!$E$15</f>
        <v>0</v>
      </c>
      <c r="V126" s="126"/>
      <c r="W126" s="126"/>
      <c r="X126" s="126"/>
      <c r="Y126" s="127">
        <f>+V126*((X126*'1. Standard_Cost'!$B$19)+(W126*X126*'1. Standard_Cost'!$C$19))</f>
        <v>0</v>
      </c>
      <c r="Z126" s="126"/>
      <c r="AA126" s="126"/>
      <c r="AB126" s="127">
        <f>+Z126*'1. Standard_Cost'!$B$23+AA126*'1. Standard_Cost'!$C$23</f>
        <v>0</v>
      </c>
      <c r="AC126" s="128">
        <v>965172</v>
      </c>
      <c r="AD126" s="129"/>
      <c r="AE126" s="127">
        <f>SUM(AD126,AC126,AB126,Y126,U126,T126,S126,R126)*'1. Standard_Cost'!$B$31</f>
        <v>193034.40000000002</v>
      </c>
      <c r="AF126" s="127">
        <f t="shared" si="80"/>
        <v>1158206.3999999999</v>
      </c>
      <c r="AG126" s="126"/>
      <c r="AH126" s="126"/>
      <c r="AI126" s="126"/>
      <c r="AJ126" s="130"/>
      <c r="AK126" s="130"/>
      <c r="AL126" s="130"/>
      <c r="AM126" s="127">
        <f>AG126*'1. Standard_Cost'!$B$27+'Incremental_Cost Year 9'!AH126*'1. Standard_Cost'!$C$27+'Incremental_Cost Year 9'!AI126*'1. Standard_Cost'!$D$27+'Incremental_Cost Year 9'!AJ126+'Incremental_Cost Year 9'!AL126+AK126</f>
        <v>0</v>
      </c>
      <c r="AN126" s="127">
        <f>AM126*'1. Standard_Cost'!$C$31</f>
        <v>0</v>
      </c>
      <c r="AO126" s="130"/>
      <c r="AQ126" s="171">
        <f t="shared" si="81"/>
        <v>8043097.3714285716</v>
      </c>
      <c r="AR126" s="171">
        <f t="shared" si="82"/>
        <v>1158206.3999999999</v>
      </c>
      <c r="AS126" s="171">
        <f t="shared" si="83"/>
        <v>0</v>
      </c>
      <c r="AT126" s="171">
        <f t="shared" si="84"/>
        <v>9201303.771428572</v>
      </c>
      <c r="AU126" s="250">
        <v>9201304</v>
      </c>
      <c r="AV126" s="250"/>
      <c r="AW126" s="250"/>
      <c r="AX126" s="250"/>
      <c r="AY126" s="250"/>
      <c r="AZ126" s="250"/>
      <c r="BA126" s="250"/>
      <c r="BB126" s="251">
        <f t="shared" si="85"/>
        <v>0.22857142798602581</v>
      </c>
      <c r="BC126" s="169"/>
      <c r="BD126" s="169"/>
      <c r="BE126" s="169"/>
      <c r="BF126" s="169"/>
    </row>
    <row r="127" spans="1:58" ht="47.25" outlineLevel="2" x14ac:dyDescent="0.25">
      <c r="A127" s="115"/>
      <c r="B127" s="200"/>
      <c r="C127" s="201"/>
      <c r="D127" s="131"/>
      <c r="E127" s="323"/>
      <c r="F127" s="308"/>
      <c r="G127" s="309"/>
      <c r="H127" s="199" t="s">
        <v>448</v>
      </c>
      <c r="I127" s="263" t="s">
        <v>1</v>
      </c>
      <c r="J127" s="264">
        <v>12</v>
      </c>
      <c r="K127" s="264">
        <v>5</v>
      </c>
      <c r="L127" s="125">
        <f>IF(I127&lt;&gt;0,((VLOOKUP(I127,'1. Standard_Cost'!$B$4:$D$11,2)+VLOOKUP(I127,'1. Standard_Cost'!$B$4:$D$11,3))*J127*K127),"0")</f>
        <v>4307571.4285714282</v>
      </c>
      <c r="M127" s="125">
        <f>L127*'1. Standard_Cost'!$F$4</f>
        <v>719364.42857142852</v>
      </c>
      <c r="N127" s="126"/>
      <c r="O127" s="126"/>
      <c r="P127" s="126"/>
      <c r="Q127" s="126"/>
      <c r="R127" s="127">
        <f>'1. Standard_Cost'!$B$15*N127*P127</f>
        <v>0</v>
      </c>
      <c r="S127" s="127">
        <f>N127*O127*P127*'1. Standard_Cost'!$C$15</f>
        <v>0</v>
      </c>
      <c r="T127" s="127">
        <f>N127*P127*Q127*'1. Standard_Cost'!$D$15</f>
        <v>0</v>
      </c>
      <c r="U127" s="127">
        <f>N127*O127*'1. Standard_Cost'!$E$15</f>
        <v>0</v>
      </c>
      <c r="V127" s="126"/>
      <c r="W127" s="126"/>
      <c r="X127" s="126"/>
      <c r="Y127" s="127">
        <f>+V127*((X127*'1. Standard_Cost'!$B$19)+(W127*X127*'1. Standard_Cost'!$C$19))</f>
        <v>0</v>
      </c>
      <c r="Z127" s="126"/>
      <c r="AA127" s="126"/>
      <c r="AB127" s="127">
        <f>+Z127*'1. Standard_Cost'!$B$23+AA127*'1. Standard_Cost'!$C$23</f>
        <v>0</v>
      </c>
      <c r="AC127" s="128">
        <v>754040</v>
      </c>
      <c r="AD127" s="129"/>
      <c r="AE127" s="127">
        <f>SUM(AD127,AC127,AB127,Y127,U127,T127,S127,R127)*'1. Standard_Cost'!$B$31</f>
        <v>150808</v>
      </c>
      <c r="AF127" s="127">
        <f t="shared" si="80"/>
        <v>904848</v>
      </c>
      <c r="AG127" s="126"/>
      <c r="AH127" s="126"/>
      <c r="AI127" s="126"/>
      <c r="AJ127" s="130"/>
      <c r="AK127" s="130"/>
      <c r="AL127" s="130"/>
      <c r="AM127" s="127">
        <f>AG127*'1. Standard_Cost'!$B$27+'Incremental_Cost Year 9'!AH127*'1. Standard_Cost'!$C$27+'Incremental_Cost Year 9'!AI127*'1. Standard_Cost'!$D$27+'Incremental_Cost Year 9'!AJ127+'Incremental_Cost Year 9'!AL127+AK127</f>
        <v>0</v>
      </c>
      <c r="AN127" s="127">
        <f>AM127*'1. Standard_Cost'!$C$31</f>
        <v>0</v>
      </c>
      <c r="AO127" s="130"/>
      <c r="AQ127" s="171">
        <f t="shared" si="81"/>
        <v>5026935.8571428563</v>
      </c>
      <c r="AR127" s="171">
        <f t="shared" si="82"/>
        <v>904848</v>
      </c>
      <c r="AS127" s="171">
        <f t="shared" si="83"/>
        <v>0</v>
      </c>
      <c r="AT127" s="171">
        <f t="shared" si="84"/>
        <v>5931783.8571428563</v>
      </c>
      <c r="AU127" s="250">
        <v>5931784</v>
      </c>
      <c r="AV127" s="250"/>
      <c r="AW127" s="250"/>
      <c r="AX127" s="250"/>
      <c r="AY127" s="250"/>
      <c r="AZ127" s="250"/>
      <c r="BA127" s="250"/>
      <c r="BB127" s="251">
        <f t="shared" si="85"/>
        <v>0.14285714365541935</v>
      </c>
      <c r="BC127" s="169"/>
      <c r="BD127" s="169"/>
      <c r="BE127" s="169"/>
      <c r="BF127" s="169"/>
    </row>
    <row r="128" spans="1:58" ht="63" outlineLevel="2" x14ac:dyDescent="0.25">
      <c r="A128" s="115"/>
      <c r="B128" s="200"/>
      <c r="C128" s="201"/>
      <c r="D128" s="131"/>
      <c r="E128" s="323"/>
      <c r="F128" s="326"/>
      <c r="G128" s="309"/>
      <c r="H128" s="199" t="s">
        <v>449</v>
      </c>
      <c r="I128" s="130" t="s">
        <v>1</v>
      </c>
      <c r="J128" s="126">
        <v>12</v>
      </c>
      <c r="K128" s="126">
        <v>21</v>
      </c>
      <c r="L128" s="125">
        <f>IF(I128&lt;&gt;0,((VLOOKUP(I128,'1. Standard_Cost'!$B$4:$D$11,2)+VLOOKUP(I128,'1. Standard_Cost'!$B$4:$D$11,3))*J128*K128),"0")</f>
        <v>18091800</v>
      </c>
      <c r="M128" s="125">
        <f>L128*'1. Standard_Cost'!$F$4</f>
        <v>3021330.6</v>
      </c>
      <c r="N128" s="126"/>
      <c r="O128" s="126"/>
      <c r="P128" s="126"/>
      <c r="Q128" s="126"/>
      <c r="R128" s="127">
        <f>'1. Standard_Cost'!$B$15*N128*P128</f>
        <v>0</v>
      </c>
      <c r="S128" s="127">
        <f>N128*O128*P128*'1. Standard_Cost'!$C$15</f>
        <v>0</v>
      </c>
      <c r="T128" s="127">
        <f>N128*P128*Q128*'1. Standard_Cost'!$D$15</f>
        <v>0</v>
      </c>
      <c r="U128" s="127">
        <f>N128*O128*'1. Standard_Cost'!$E$15</f>
        <v>0</v>
      </c>
      <c r="V128" s="126"/>
      <c r="W128" s="126"/>
      <c r="X128" s="126"/>
      <c r="Y128" s="127">
        <f>+V128*((X128*'1. Standard_Cost'!$B$19)+(W128*X128*'1. Standard_Cost'!$C$19))</f>
        <v>0</v>
      </c>
      <c r="Z128" s="126"/>
      <c r="AA128" s="126"/>
      <c r="AB128" s="127">
        <f>+Z128*'1. Standard_Cost'!$B$23+AA128*'1. Standard_Cost'!$C$23</f>
        <v>0</v>
      </c>
      <c r="AC128" s="128">
        <v>3166970</v>
      </c>
      <c r="AD128" s="129"/>
      <c r="AE128" s="127">
        <f>SUM(AD128,AC128,AB128,Y128,U128,T128,S128,R128)*'1. Standard_Cost'!$B$31</f>
        <v>633394</v>
      </c>
      <c r="AF128" s="127">
        <f t="shared" si="80"/>
        <v>3800364</v>
      </c>
      <c r="AG128" s="126"/>
      <c r="AH128" s="126"/>
      <c r="AI128" s="126"/>
      <c r="AJ128" s="130"/>
      <c r="AK128" s="130"/>
      <c r="AL128" s="130"/>
      <c r="AM128" s="127">
        <f>AG128*'1. Standard_Cost'!$B$27+'Incremental_Cost Year 9'!AH128*'1. Standard_Cost'!$C$27+'Incremental_Cost Year 9'!AI128*'1. Standard_Cost'!$D$27+'Incremental_Cost Year 9'!AJ128+'Incremental_Cost Year 9'!AL128+AK128</f>
        <v>0</v>
      </c>
      <c r="AN128" s="127">
        <f>AM128*'1. Standard_Cost'!$C$31</f>
        <v>0</v>
      </c>
      <c r="AO128" s="130"/>
      <c r="AQ128" s="171">
        <f t="shared" si="81"/>
        <v>21113130.600000001</v>
      </c>
      <c r="AR128" s="171">
        <f t="shared" si="82"/>
        <v>3800364</v>
      </c>
      <c r="AS128" s="171">
        <f t="shared" si="83"/>
        <v>0</v>
      </c>
      <c r="AT128" s="171">
        <f t="shared" si="84"/>
        <v>24913494.600000001</v>
      </c>
      <c r="AU128" s="250">
        <v>24913495</v>
      </c>
      <c r="AV128" s="250"/>
      <c r="AW128" s="250"/>
      <c r="AX128" s="250"/>
      <c r="AY128" s="250"/>
      <c r="AZ128" s="250"/>
      <c r="BA128" s="250"/>
      <c r="BB128" s="251">
        <f t="shared" si="85"/>
        <v>0.39999999850988388</v>
      </c>
      <c r="BC128" s="169"/>
      <c r="BD128" s="169"/>
      <c r="BE128" s="169"/>
      <c r="BF128" s="169"/>
    </row>
    <row r="129" spans="1:58" ht="31.5" outlineLevel="2" x14ac:dyDescent="0.25">
      <c r="A129" s="115"/>
      <c r="B129" s="200"/>
      <c r="C129" s="201"/>
      <c r="D129" s="131"/>
      <c r="E129" s="323"/>
      <c r="F129" s="326"/>
      <c r="G129" s="309"/>
      <c r="H129" s="199" t="s">
        <v>284</v>
      </c>
      <c r="I129" s="130" t="s">
        <v>1</v>
      </c>
      <c r="J129" s="126">
        <v>12</v>
      </c>
      <c r="K129" s="126">
        <v>5</v>
      </c>
      <c r="L129" s="125">
        <f>IF(I129&lt;&gt;0,((VLOOKUP(I129,'1. Standard_Cost'!$B$4:$D$11,2)+VLOOKUP(I129,'1. Standard_Cost'!$B$4:$D$11,3))*J129*K129),"0")</f>
        <v>4307571.4285714282</v>
      </c>
      <c r="M129" s="125">
        <f>L129*'1. Standard_Cost'!$F$4</f>
        <v>719364.42857142852</v>
      </c>
      <c r="N129" s="126"/>
      <c r="O129" s="126"/>
      <c r="P129" s="126"/>
      <c r="Q129" s="126"/>
      <c r="R129" s="127">
        <f>'1. Standard_Cost'!$B$15*N129*P129</f>
        <v>0</v>
      </c>
      <c r="S129" s="127">
        <f>N129*O129*P129*'1. Standard_Cost'!$C$15</f>
        <v>0</v>
      </c>
      <c r="T129" s="127">
        <f>N129*P129*Q129*'1. Standard_Cost'!$D$15</f>
        <v>0</v>
      </c>
      <c r="U129" s="127">
        <f>N129*O129*'1. Standard_Cost'!$E$15</f>
        <v>0</v>
      </c>
      <c r="V129" s="126"/>
      <c r="W129" s="126"/>
      <c r="X129" s="126"/>
      <c r="Y129" s="127">
        <f>+V129*((X129*'1. Standard_Cost'!$B$19)+(W129*X129*'1. Standard_Cost'!$C$19))</f>
        <v>0</v>
      </c>
      <c r="Z129" s="126"/>
      <c r="AA129" s="126"/>
      <c r="AB129" s="127">
        <f>+Z129*'1. Standard_Cost'!$B$23+AA129*'1. Standard_Cost'!$C$23</f>
        <v>0</v>
      </c>
      <c r="AC129" s="128">
        <v>1005388</v>
      </c>
      <c r="AD129" s="129"/>
      <c r="AE129" s="127">
        <f>SUM(AD129,AC129,AB129,Y129,U129,T129,S129,R129)*'1. Standard_Cost'!$B$31</f>
        <v>201077.6</v>
      </c>
      <c r="AF129" s="127">
        <f t="shared" si="80"/>
        <v>1206465.6000000001</v>
      </c>
      <c r="AG129" s="126"/>
      <c r="AH129" s="126"/>
      <c r="AI129" s="126"/>
      <c r="AJ129" s="130"/>
      <c r="AK129" s="130"/>
      <c r="AL129" s="130"/>
      <c r="AM129" s="127">
        <f>AG129*'1. Standard_Cost'!$B$27+'Incremental_Cost Year 9'!AH129*'1. Standard_Cost'!$C$27+'Incremental_Cost Year 9'!AI129*'1. Standard_Cost'!$D$27+'Incremental_Cost Year 9'!AJ129+'Incremental_Cost Year 9'!AL129+AK129</f>
        <v>0</v>
      </c>
      <c r="AN129" s="127">
        <f>AM129*'1. Standard_Cost'!$C$31</f>
        <v>0</v>
      </c>
      <c r="AO129" s="130"/>
      <c r="AQ129" s="171">
        <f t="shared" si="81"/>
        <v>5026935.8571428563</v>
      </c>
      <c r="AR129" s="171">
        <f t="shared" si="82"/>
        <v>1206465.6000000001</v>
      </c>
      <c r="AS129" s="171">
        <f t="shared" si="83"/>
        <v>0</v>
      </c>
      <c r="AT129" s="171">
        <f t="shared" si="84"/>
        <v>6233401.457142856</v>
      </c>
      <c r="AU129" s="250">
        <v>6233401</v>
      </c>
      <c r="AV129" s="250"/>
      <c r="AW129" s="250"/>
      <c r="AX129" s="250"/>
      <c r="AY129" s="250"/>
      <c r="AZ129" s="250"/>
      <c r="BA129" s="250"/>
      <c r="BB129" s="251">
        <f t="shared" si="85"/>
        <v>-0.45714285597205162</v>
      </c>
      <c r="BC129" s="169"/>
      <c r="BD129" s="169"/>
      <c r="BE129" s="169"/>
      <c r="BF129" s="169"/>
    </row>
    <row r="130" spans="1:58" ht="78.75" outlineLevel="2" x14ac:dyDescent="0.25">
      <c r="A130" s="115"/>
      <c r="B130" s="200"/>
      <c r="C130" s="201"/>
      <c r="D130" s="131"/>
      <c r="E130" s="323"/>
      <c r="F130" s="326"/>
      <c r="G130" s="309"/>
      <c r="H130" s="199" t="s">
        <v>450</v>
      </c>
      <c r="I130" s="130" t="s">
        <v>1</v>
      </c>
      <c r="J130" s="126">
        <v>12</v>
      </c>
      <c r="K130" s="126">
        <v>10</v>
      </c>
      <c r="L130" s="125">
        <f>IF(I130&lt;&gt;0,((VLOOKUP(I130,'1. Standard_Cost'!$B$4:$D$11,2)+VLOOKUP(I130,'1. Standard_Cost'!$B$4:$D$11,3))*J130*K130),"0")</f>
        <v>8615142.8571428563</v>
      </c>
      <c r="M130" s="125">
        <f>L130*'1. Standard_Cost'!$F$4</f>
        <v>1438728.857142857</v>
      </c>
      <c r="N130" s="126"/>
      <c r="O130" s="126"/>
      <c r="P130" s="126"/>
      <c r="Q130" s="126"/>
      <c r="R130" s="127">
        <f>'1. Standard_Cost'!$B$15*N130*P130</f>
        <v>0</v>
      </c>
      <c r="S130" s="127">
        <f>N130*O130*P130*'1. Standard_Cost'!$C$15</f>
        <v>0</v>
      </c>
      <c r="T130" s="127">
        <f>N130*P130*Q130*'1. Standard_Cost'!$D$15</f>
        <v>0</v>
      </c>
      <c r="U130" s="127">
        <f>N130*O130*'1. Standard_Cost'!$E$15</f>
        <v>0</v>
      </c>
      <c r="V130" s="126"/>
      <c r="W130" s="126"/>
      <c r="X130" s="126"/>
      <c r="Y130" s="127">
        <f>+V130*((X130*'1. Standard_Cost'!$B$19)+(W130*X130*'1. Standard_Cost'!$C$19))</f>
        <v>0</v>
      </c>
      <c r="Z130" s="126"/>
      <c r="AA130" s="126"/>
      <c r="AB130" s="127">
        <f>+Z130*'1. Standard_Cost'!$B$23+AA130*'1. Standard_Cost'!$C$23</f>
        <v>0</v>
      </c>
      <c r="AC130" s="128">
        <v>1508080</v>
      </c>
      <c r="AD130" s="129"/>
      <c r="AE130" s="127">
        <f>SUM(AD130,AC130,AB130,Y130,U130,T130,S130,R130)*'1. Standard_Cost'!$B$31</f>
        <v>301616</v>
      </c>
      <c r="AF130" s="127">
        <f t="shared" si="80"/>
        <v>1809696</v>
      </c>
      <c r="AG130" s="126"/>
      <c r="AH130" s="126"/>
      <c r="AI130" s="126"/>
      <c r="AJ130" s="130"/>
      <c r="AK130" s="130"/>
      <c r="AL130" s="130"/>
      <c r="AM130" s="127">
        <f>AG130*'1. Standard_Cost'!$B$27+'Incremental_Cost Year 9'!AH130*'1. Standard_Cost'!$C$27+'Incremental_Cost Year 9'!AI130*'1. Standard_Cost'!$D$27+'Incremental_Cost Year 9'!AJ130+'Incremental_Cost Year 9'!AL130+AK130</f>
        <v>0</v>
      </c>
      <c r="AN130" s="127">
        <f>AM130*'1. Standard_Cost'!$C$31</f>
        <v>0</v>
      </c>
      <c r="AO130" s="130"/>
      <c r="AQ130" s="171">
        <f t="shared" si="81"/>
        <v>10053871.714285713</v>
      </c>
      <c r="AR130" s="171">
        <f t="shared" si="82"/>
        <v>1809696</v>
      </c>
      <c r="AS130" s="171">
        <f t="shared" si="83"/>
        <v>0</v>
      </c>
      <c r="AT130" s="171">
        <f t="shared" si="84"/>
        <v>11863567.714285713</v>
      </c>
      <c r="AU130" s="250">
        <v>11863568</v>
      </c>
      <c r="AV130" s="250"/>
      <c r="AW130" s="250"/>
      <c r="AX130" s="250"/>
      <c r="AY130" s="250"/>
      <c r="AZ130" s="250"/>
      <c r="BA130" s="250"/>
      <c r="BB130" s="251">
        <f t="shared" si="85"/>
        <v>0.2857142873108387</v>
      </c>
      <c r="BC130" s="169"/>
      <c r="BD130" s="169"/>
      <c r="BE130" s="169"/>
      <c r="BF130" s="169"/>
    </row>
    <row r="131" spans="1:58" ht="47.25" outlineLevel="2" x14ac:dyDescent="0.25">
      <c r="A131" s="115"/>
      <c r="B131" s="200"/>
      <c r="C131" s="201"/>
      <c r="D131" s="131"/>
      <c r="E131" s="323"/>
      <c r="F131" s="326"/>
      <c r="G131" s="309"/>
      <c r="H131" s="225" t="s">
        <v>285</v>
      </c>
      <c r="I131" s="130" t="s">
        <v>1</v>
      </c>
      <c r="J131" s="126">
        <v>12</v>
      </c>
      <c r="K131" s="126">
        <v>5</v>
      </c>
      <c r="L131" s="125">
        <f>IF(I131&lt;&gt;0,((VLOOKUP(I131,'1. Standard_Cost'!$B$4:$D$11,2)+VLOOKUP(I131,'1. Standard_Cost'!$B$4:$D$11,3))*J131*K131),"0")</f>
        <v>4307571.4285714282</v>
      </c>
      <c r="M131" s="125">
        <f>L131*'1. Standard_Cost'!$F$4</f>
        <v>719364.42857142852</v>
      </c>
      <c r="N131" s="126"/>
      <c r="O131" s="126"/>
      <c r="P131" s="126"/>
      <c r="Q131" s="126"/>
      <c r="R131" s="127">
        <f>'1. Standard_Cost'!$B$15*N131*P131</f>
        <v>0</v>
      </c>
      <c r="S131" s="127">
        <f>N131*O131*P131*'1. Standard_Cost'!$C$15</f>
        <v>0</v>
      </c>
      <c r="T131" s="127">
        <f>N131*P131*Q131*'1. Standard_Cost'!$D$15</f>
        <v>0</v>
      </c>
      <c r="U131" s="127">
        <f>N131*O131*'1. Standard_Cost'!$E$15</f>
        <v>0</v>
      </c>
      <c r="V131" s="126"/>
      <c r="W131" s="126"/>
      <c r="X131" s="126"/>
      <c r="Y131" s="127">
        <f>+V131*((X131*'1. Standard_Cost'!$B$19)+(W131*X131*'1. Standard_Cost'!$C$19))</f>
        <v>0</v>
      </c>
      <c r="Z131" s="126"/>
      <c r="AA131" s="126"/>
      <c r="AB131" s="127">
        <f>+Z131*'1. Standard_Cost'!$B$23+AA131*'1. Standard_Cost'!$C$23</f>
        <v>0</v>
      </c>
      <c r="AC131" s="128">
        <v>754040</v>
      </c>
      <c r="AD131" s="129"/>
      <c r="AE131" s="127">
        <f>SUM(AD131,AC131,AB131,Y131,U131,T131,S131,R131)*'1. Standard_Cost'!$B$31</f>
        <v>150808</v>
      </c>
      <c r="AF131" s="127">
        <f t="shared" si="80"/>
        <v>904848</v>
      </c>
      <c r="AG131" s="126"/>
      <c r="AH131" s="126"/>
      <c r="AI131" s="126"/>
      <c r="AJ131" s="130"/>
      <c r="AK131" s="130"/>
      <c r="AL131" s="130"/>
      <c r="AM131" s="127">
        <f>AG131*'1. Standard_Cost'!$B$27+'Incremental_Cost Year 9'!AH131*'1. Standard_Cost'!$C$27+'Incremental_Cost Year 9'!AI131*'1. Standard_Cost'!$D$27+'Incremental_Cost Year 9'!AJ131+'Incremental_Cost Year 9'!AL131+AK131</f>
        <v>0</v>
      </c>
      <c r="AN131" s="127">
        <f>AM131*'1. Standard_Cost'!$C$31</f>
        <v>0</v>
      </c>
      <c r="AO131" s="130"/>
      <c r="AQ131" s="171">
        <f t="shared" si="81"/>
        <v>5026935.8571428563</v>
      </c>
      <c r="AR131" s="171">
        <f t="shared" si="82"/>
        <v>904848</v>
      </c>
      <c r="AS131" s="171">
        <f t="shared" si="83"/>
        <v>0</v>
      </c>
      <c r="AT131" s="171">
        <f t="shared" si="84"/>
        <v>5931783.8571428563</v>
      </c>
      <c r="AU131" s="250">
        <v>5931784</v>
      </c>
      <c r="AV131" s="250"/>
      <c r="AW131" s="250"/>
      <c r="AX131" s="250"/>
      <c r="AY131" s="250"/>
      <c r="AZ131" s="250"/>
      <c r="BA131" s="250"/>
      <c r="BB131" s="251">
        <f t="shared" si="85"/>
        <v>0.14285714365541935</v>
      </c>
      <c r="BC131" s="169"/>
      <c r="BD131" s="169"/>
      <c r="BE131" s="169"/>
      <c r="BF131" s="169"/>
    </row>
    <row r="132" spans="1:58" ht="141.75" outlineLevel="2" x14ac:dyDescent="0.25">
      <c r="A132" s="115"/>
      <c r="B132" s="147"/>
      <c r="C132" s="314"/>
      <c r="D132" s="305"/>
      <c r="E132" s="322"/>
      <c r="F132" s="324"/>
      <c r="G132" s="312"/>
      <c r="H132" s="213" t="s">
        <v>451</v>
      </c>
      <c r="I132" s="130" t="s">
        <v>2</v>
      </c>
      <c r="J132" s="126">
        <v>12</v>
      </c>
      <c r="K132" s="126">
        <v>5</v>
      </c>
      <c r="L132" s="125">
        <f>IF(I132&lt;&gt;0,((VLOOKUP(I132,'1. Standard_Cost'!$B$4:$D$11,2)+VLOOKUP(I132,'1. Standard_Cost'!$B$4:$D$11,3))*J132*K132),"0")</f>
        <v>7260000</v>
      </c>
      <c r="M132" s="125">
        <f>L132*'1. Standard_Cost'!$F$4</f>
        <v>1212420</v>
      </c>
      <c r="N132" s="126"/>
      <c r="O132" s="126"/>
      <c r="P132" s="126"/>
      <c r="Q132" s="126"/>
      <c r="R132" s="127">
        <f>'1. Standard_Cost'!$B$15*N132*P132</f>
        <v>0</v>
      </c>
      <c r="S132" s="127">
        <f>N132*O132*P132*'1. Standard_Cost'!$C$15</f>
        <v>0</v>
      </c>
      <c r="T132" s="127">
        <f>N132*P132*Q132*'1. Standard_Cost'!$D$15</f>
        <v>0</v>
      </c>
      <c r="U132" s="127">
        <f>N132*O132*'1. Standard_Cost'!$E$15</f>
        <v>0</v>
      </c>
      <c r="V132" s="126"/>
      <c r="W132" s="126"/>
      <c r="X132" s="126"/>
      <c r="Y132" s="127">
        <f>+V132*((X132*'1. Standard_Cost'!$B$19)+(W132*X132*'1. Standard_Cost'!$C$19))</f>
        <v>0</v>
      </c>
      <c r="Z132" s="126"/>
      <c r="AA132" s="126"/>
      <c r="AB132" s="127">
        <f>+Z132*'1. Standard_Cost'!$B$23+AA132*'1. Standard_Cost'!$C$23</f>
        <v>0</v>
      </c>
      <c r="AC132" s="128">
        <v>1270863</v>
      </c>
      <c r="AD132" s="129"/>
      <c r="AE132" s="127">
        <f>SUM(AD132,AC132,AB132,Y132,U132,T132,S132,R132)*'1. Standard_Cost'!$B$31</f>
        <v>254172.6</v>
      </c>
      <c r="AF132" s="127">
        <f t="shared" si="80"/>
        <v>1525035.6</v>
      </c>
      <c r="AG132" s="126"/>
      <c r="AH132" s="126"/>
      <c r="AI132" s="126"/>
      <c r="AJ132" s="130"/>
      <c r="AK132" s="130"/>
      <c r="AL132" s="130"/>
      <c r="AM132" s="127">
        <f>AG132*'1. Standard_Cost'!$B$27+'Incremental_Cost Year 9'!AH132*'1. Standard_Cost'!$C$27+'Incremental_Cost Year 9'!AI132*'1. Standard_Cost'!$D$27+'Incremental_Cost Year 9'!AJ132+'Incremental_Cost Year 9'!AL132+AK132</f>
        <v>0</v>
      </c>
      <c r="AN132" s="127">
        <f>AM132*'1. Standard_Cost'!$C$31</f>
        <v>0</v>
      </c>
      <c r="AO132" s="130"/>
      <c r="AQ132" s="171">
        <f t="shared" si="81"/>
        <v>8472420</v>
      </c>
      <c r="AR132" s="171">
        <f t="shared" si="82"/>
        <v>1525035.6</v>
      </c>
      <c r="AS132" s="171">
        <f t="shared" si="83"/>
        <v>0</v>
      </c>
      <c r="AT132" s="171">
        <f t="shared" si="84"/>
        <v>9997455.5999999996</v>
      </c>
      <c r="AU132" s="250">
        <v>9997456</v>
      </c>
      <c r="AV132" s="250"/>
      <c r="AW132" s="250"/>
      <c r="AX132" s="250"/>
      <c r="AY132" s="250"/>
      <c r="AZ132" s="250"/>
      <c r="BA132" s="250"/>
      <c r="BB132" s="251">
        <f t="shared" si="85"/>
        <v>0.40000000037252903</v>
      </c>
      <c r="BC132" s="169"/>
      <c r="BD132" s="169"/>
      <c r="BE132" s="169"/>
      <c r="BF132" s="169"/>
    </row>
    <row r="133" spans="1:58" ht="110.25" outlineLevel="1" x14ac:dyDescent="0.25">
      <c r="A133" s="115"/>
      <c r="B133" s="200"/>
      <c r="C133" s="201"/>
      <c r="D133" s="146" t="s">
        <v>561</v>
      </c>
      <c r="E133" s="310" t="s">
        <v>452</v>
      </c>
      <c r="F133" s="121">
        <v>2021</v>
      </c>
      <c r="G133" s="223">
        <v>2030</v>
      </c>
      <c r="H133" s="110" t="s">
        <v>286</v>
      </c>
      <c r="I133" s="252"/>
      <c r="J133" s="252"/>
      <c r="K133" s="252"/>
      <c r="L133" s="127">
        <f>SUM(L124:L132)</f>
        <v>64119942.857142858</v>
      </c>
      <c r="M133" s="127">
        <f>SUM(M124:M132)</f>
        <v>10708030.457142858</v>
      </c>
      <c r="N133" s="127"/>
      <c r="O133" s="252"/>
      <c r="P133" s="252"/>
      <c r="Q133" s="252"/>
      <c r="R133" s="127">
        <f>SUM(R124:R132)</f>
        <v>0</v>
      </c>
      <c r="S133" s="127">
        <f>SUM(S124:S132)</f>
        <v>0</v>
      </c>
      <c r="T133" s="127">
        <f>SUM(T124:T132)</f>
        <v>0</v>
      </c>
      <c r="U133" s="127">
        <f>SUM(U124:U132)</f>
        <v>0</v>
      </c>
      <c r="V133" s="252"/>
      <c r="W133" s="252"/>
      <c r="X133" s="252"/>
      <c r="Y133" s="127">
        <f>SUM(Y124:Y132)</f>
        <v>0</v>
      </c>
      <c r="Z133" s="252"/>
      <c r="AA133" s="252"/>
      <c r="AB133" s="127">
        <f>SUM(AB124:AB132)</f>
        <v>0</v>
      </c>
      <c r="AC133" s="127">
        <f>SUM(AC124:AC132)</f>
        <v>10872553</v>
      </c>
      <c r="AD133" s="127">
        <f>SUM(AD124:AD132)</f>
        <v>0</v>
      </c>
      <c r="AE133" s="127">
        <f>SUM(AE124:AE132)</f>
        <v>2174510.6</v>
      </c>
      <c r="AF133" s="127">
        <f>SUM(AF124:AF132)</f>
        <v>13047063.6</v>
      </c>
      <c r="AG133" s="252"/>
      <c r="AH133" s="252"/>
      <c r="AI133" s="252"/>
      <c r="AJ133" s="127">
        <f>SUM(AJ124:AJ132)</f>
        <v>0</v>
      </c>
      <c r="AK133" s="127">
        <f>SUM(AK124:AK132)</f>
        <v>0</v>
      </c>
      <c r="AL133" s="127">
        <f>SUM(AL124:AL132)</f>
        <v>0</v>
      </c>
      <c r="AM133" s="127">
        <f>SUM(AM124:AM132)</f>
        <v>0</v>
      </c>
      <c r="AN133" s="127">
        <f>SUM(AN124:AN132)</f>
        <v>0</v>
      </c>
      <c r="AO133" s="253"/>
      <c r="AP133" s="254"/>
      <c r="AQ133" s="175">
        <f>SUM(AQ124:AQ132)</f>
        <v>74827973.314285725</v>
      </c>
      <c r="AR133" s="175">
        <f>SUM(AR124:AR132)</f>
        <v>13047063.6</v>
      </c>
      <c r="AS133" s="175">
        <f>SUM(AS124:AS132)</f>
        <v>0</v>
      </c>
      <c r="AT133" s="175">
        <f>SUM(AT124:AT132)</f>
        <v>87875036.914285704</v>
      </c>
      <c r="AU133" s="175">
        <f t="shared" ref="AU133:BB133" si="86">SUM(AU124:AU132)</f>
        <v>87875038</v>
      </c>
      <c r="AV133" s="175">
        <f t="shared" si="86"/>
        <v>0</v>
      </c>
      <c r="AW133" s="175">
        <f t="shared" si="86"/>
        <v>0</v>
      </c>
      <c r="AX133" s="175">
        <f t="shared" si="86"/>
        <v>0</v>
      </c>
      <c r="AY133" s="175">
        <f t="shared" si="86"/>
        <v>0</v>
      </c>
      <c r="AZ133" s="175">
        <f t="shared" si="86"/>
        <v>0</v>
      </c>
      <c r="BA133" s="175">
        <f t="shared" si="86"/>
        <v>0</v>
      </c>
      <c r="BB133" s="175">
        <f t="shared" si="86"/>
        <v>1.0857142880558968</v>
      </c>
      <c r="BC133" s="169"/>
      <c r="BD133" s="169"/>
      <c r="BE133" s="169"/>
      <c r="BF133" s="169"/>
    </row>
    <row r="134" spans="1:58" s="184" customFormat="1" ht="15.75" customHeight="1" x14ac:dyDescent="0.25">
      <c r="A134" s="143"/>
      <c r="B134" s="290"/>
      <c r="C134" s="391" t="s">
        <v>289</v>
      </c>
      <c r="D134" s="391"/>
      <c r="E134" s="392"/>
      <c r="F134" s="291"/>
      <c r="G134" s="289"/>
      <c r="H134" s="144" t="s">
        <v>290</v>
      </c>
      <c r="I134" s="257"/>
      <c r="J134" s="257"/>
      <c r="K134" s="257"/>
      <c r="L134" s="258">
        <f>SUM(L139)</f>
        <v>5413400</v>
      </c>
      <c r="M134" s="258">
        <f>SUM(M139)</f>
        <v>904037.8</v>
      </c>
      <c r="N134" s="257"/>
      <c r="O134" s="257"/>
      <c r="P134" s="257"/>
      <c r="Q134" s="257"/>
      <c r="R134" s="258">
        <f>SUM(R139)</f>
        <v>0</v>
      </c>
      <c r="S134" s="258">
        <f>SUM(S139)</f>
        <v>0</v>
      </c>
      <c r="T134" s="258">
        <f>SUM(T139)</f>
        <v>0</v>
      </c>
      <c r="U134" s="258">
        <f>SUM(U139)</f>
        <v>0</v>
      </c>
      <c r="V134" s="257"/>
      <c r="W134" s="257"/>
      <c r="X134" s="257"/>
      <c r="Y134" s="258">
        <f>SUM(Y139)</f>
        <v>0</v>
      </c>
      <c r="Z134" s="258"/>
      <c r="AA134" s="258"/>
      <c r="AB134" s="258">
        <f>SUM(AB139)</f>
        <v>0</v>
      </c>
      <c r="AC134" s="258">
        <f>SUM(AC139)</f>
        <v>12140520480</v>
      </c>
      <c r="AD134" s="258">
        <f>SUM(AD139)</f>
        <v>0</v>
      </c>
      <c r="AE134" s="258">
        <f>SUM(AE139)</f>
        <v>104096</v>
      </c>
      <c r="AF134" s="258">
        <f>SUM(AF139)</f>
        <v>12152864576</v>
      </c>
      <c r="AG134" s="257"/>
      <c r="AH134" s="257"/>
      <c r="AI134" s="257"/>
      <c r="AJ134" s="258">
        <f>SUM(AJ139)</f>
        <v>0</v>
      </c>
      <c r="AK134" s="258">
        <f>SUM(AK139)</f>
        <v>0</v>
      </c>
      <c r="AL134" s="258">
        <f>SUM(AL139)</f>
        <v>0</v>
      </c>
      <c r="AM134" s="258">
        <f>SUM(AM139)</f>
        <v>0</v>
      </c>
      <c r="AN134" s="258">
        <f>SUM(AN139)</f>
        <v>0</v>
      </c>
      <c r="AO134" s="259"/>
      <c r="AP134" s="260"/>
      <c r="AQ134" s="261">
        <f>SUM(AQ139)</f>
        <v>6317437.8000000007</v>
      </c>
      <c r="AR134" s="261">
        <f>SUM(AR139)</f>
        <v>12152864576</v>
      </c>
      <c r="AS134" s="261">
        <f>SUM(AS139)</f>
        <v>0</v>
      </c>
      <c r="AT134" s="261">
        <f>SUM(AT139)</f>
        <v>12159182013.800001</v>
      </c>
      <c r="AU134" s="261">
        <f t="shared" ref="AU134:BB134" si="87">SUM(AU139)</f>
        <v>12159182014</v>
      </c>
      <c r="AV134" s="261">
        <f t="shared" si="87"/>
        <v>0</v>
      </c>
      <c r="AW134" s="261">
        <f t="shared" si="87"/>
        <v>0</v>
      </c>
      <c r="AX134" s="261">
        <f t="shared" si="87"/>
        <v>0</v>
      </c>
      <c r="AY134" s="261">
        <f t="shared" si="87"/>
        <v>0</v>
      </c>
      <c r="AZ134" s="261">
        <f t="shared" si="87"/>
        <v>0</v>
      </c>
      <c r="BA134" s="261">
        <f t="shared" si="87"/>
        <v>0</v>
      </c>
      <c r="BB134" s="261">
        <f t="shared" si="87"/>
        <v>0.20000000018626451</v>
      </c>
    </row>
    <row r="135" spans="1:58" ht="126" outlineLevel="2" x14ac:dyDescent="0.25">
      <c r="A135" s="115"/>
      <c r="B135" s="200"/>
      <c r="C135" s="201"/>
      <c r="D135" s="346"/>
      <c r="E135" s="321"/>
      <c r="F135" s="337"/>
      <c r="G135" s="338"/>
      <c r="H135" s="199" t="s">
        <v>453</v>
      </c>
      <c r="I135" s="130"/>
      <c r="J135" s="126"/>
      <c r="K135" s="126"/>
      <c r="L135" s="125" t="str">
        <f>IF(I135&lt;&gt;0,((VLOOKUP(I135,'1. Standard_Cost'!$B$4:$D$11,2)+VLOOKUP(I135,'1. Standard_Cost'!$B$4:$D$11,3))*J135*K135),"0")</f>
        <v>0</v>
      </c>
      <c r="M135" s="125">
        <f>L135*'1. Standard_Cost'!$F$4</f>
        <v>0</v>
      </c>
      <c r="N135" s="126"/>
      <c r="O135" s="126"/>
      <c r="P135" s="126"/>
      <c r="Q135" s="126"/>
      <c r="R135" s="127">
        <f>'1. Standard_Cost'!$B$15*N135*P135</f>
        <v>0</v>
      </c>
      <c r="S135" s="127">
        <f>N135*O135*P135*'1. Standard_Cost'!$C$15</f>
        <v>0</v>
      </c>
      <c r="T135" s="127">
        <f>N135*P135*Q135*'1. Standard_Cost'!$D$15</f>
        <v>0</v>
      </c>
      <c r="U135" s="127">
        <f>N135*O135*'1. Standard_Cost'!$E$15</f>
        <v>0</v>
      </c>
      <c r="V135" s="126"/>
      <c r="W135" s="126"/>
      <c r="X135" s="126"/>
      <c r="Y135" s="127">
        <f>+V135*((X135*'1. Standard_Cost'!$B$19)+(W135*X135*'1. Standard_Cost'!$C$19))</f>
        <v>0</v>
      </c>
      <c r="Z135" s="126"/>
      <c r="AA135" s="126"/>
      <c r="AB135" s="127">
        <f>+Z135*'1. Standard_Cost'!$B$23+AA135*'1. Standard_Cost'!$C$23</f>
        <v>0</v>
      </c>
      <c r="AC135" s="128">
        <v>12140000000</v>
      </c>
      <c r="AD135" s="129"/>
      <c r="AE135" s="127"/>
      <c r="AF135" s="127">
        <f>SUM(AE135,AD135,AC135,AB135,Y135,U135,T135,S135,R135)</f>
        <v>12140000000</v>
      </c>
      <c r="AG135" s="126"/>
      <c r="AH135" s="126"/>
      <c r="AI135" s="126"/>
      <c r="AJ135" s="130"/>
      <c r="AK135" s="130"/>
      <c r="AL135" s="130"/>
      <c r="AM135" s="127">
        <f>AG135*'1. Standard_Cost'!$B$27+'Incremental_Cost Year 9'!AH135*'1. Standard_Cost'!$C$27+'Incremental_Cost Year 9'!AI135*'1. Standard_Cost'!$D$27+'Incremental_Cost Year 9'!AJ135+'Incremental_Cost Year 9'!AL135+AK135</f>
        <v>0</v>
      </c>
      <c r="AN135" s="127">
        <f>AM135*'1. Standard_Cost'!$C$31</f>
        <v>0</v>
      </c>
      <c r="AO135" s="130"/>
      <c r="AQ135" s="171">
        <f>L135+M135</f>
        <v>0</v>
      </c>
      <c r="AR135" s="171">
        <f>AF135</f>
        <v>12140000000</v>
      </c>
      <c r="AS135" s="171">
        <f>AM135+AN135</f>
        <v>0</v>
      </c>
      <c r="AT135" s="171">
        <f>SUM(AQ135,AR135,AS135)</f>
        <v>12140000000</v>
      </c>
      <c r="AU135" s="250">
        <v>12140000000</v>
      </c>
      <c r="AV135" s="250"/>
      <c r="AW135" s="250"/>
      <c r="AX135" s="250"/>
      <c r="AY135" s="250"/>
      <c r="AZ135" s="250"/>
      <c r="BA135" s="250"/>
      <c r="BB135" s="251">
        <f t="shared" ref="BB135:BB138" si="88">SUM(AU135:BA135)-AT135</f>
        <v>0</v>
      </c>
      <c r="BC135" s="169"/>
      <c r="BD135" s="169"/>
      <c r="BE135" s="169"/>
      <c r="BF135" s="169"/>
    </row>
    <row r="136" spans="1:58" ht="94.5" outlineLevel="2" x14ac:dyDescent="0.25">
      <c r="A136" s="115"/>
      <c r="B136" s="200"/>
      <c r="C136" s="201"/>
      <c r="D136" s="203"/>
      <c r="E136" s="323"/>
      <c r="F136" s="335"/>
      <c r="G136" s="336"/>
      <c r="H136" s="199" t="s">
        <v>454</v>
      </c>
      <c r="I136" s="130" t="s">
        <v>5</v>
      </c>
      <c r="J136" s="126">
        <v>12</v>
      </c>
      <c r="K136" s="126">
        <v>4</v>
      </c>
      <c r="L136" s="125">
        <f>IF(I136&lt;&gt;0,((VLOOKUP(I136,'1. Standard_Cost'!$B$4:$D$11,2)+VLOOKUP(I136,'1. Standard_Cost'!$B$4:$D$11,3))*J136*K136),"0")</f>
        <v>3393600</v>
      </c>
      <c r="M136" s="125">
        <f>L136*'1. Standard_Cost'!$F$4</f>
        <v>566731.20000000007</v>
      </c>
      <c r="N136" s="126"/>
      <c r="O136" s="126"/>
      <c r="P136" s="126"/>
      <c r="Q136" s="126"/>
      <c r="R136" s="127">
        <f>'1. Standard_Cost'!$B$15*N136*P136</f>
        <v>0</v>
      </c>
      <c r="S136" s="127">
        <f>N136*O136*P136*'1. Standard_Cost'!$C$15</f>
        <v>0</v>
      </c>
      <c r="T136" s="127">
        <f>N136*P136*Q136*'1. Standard_Cost'!$D$15</f>
        <v>0</v>
      </c>
      <c r="U136" s="127">
        <f>N136*O136*'1. Standard_Cost'!$E$15</f>
        <v>0</v>
      </c>
      <c r="V136" s="126"/>
      <c r="W136" s="126"/>
      <c r="X136" s="126"/>
      <c r="Y136" s="127">
        <f>+V136*((X136*'1. Standard_Cost'!$B$19)+(W136*X136*'1. Standard_Cost'!$C$19))</f>
        <v>0</v>
      </c>
      <c r="Z136" s="126"/>
      <c r="AA136" s="126"/>
      <c r="AB136" s="127">
        <f>+Z136*'1. Standard_Cost'!$B$23+AA136*'1. Standard_Cost'!$C$23</f>
        <v>0</v>
      </c>
      <c r="AC136" s="128">
        <v>475240</v>
      </c>
      <c r="AD136" s="129"/>
      <c r="AE136" s="127">
        <f>SUM(AD136,AC136,AB136,Y136,U136,T136,S136,R136)*'1. Standard_Cost'!$B$31</f>
        <v>95048</v>
      </c>
      <c r="AF136" s="127">
        <f>SUM(AE136,AD136,AC136,AB136,Y136,U136,T136,S136,R136)</f>
        <v>570288</v>
      </c>
      <c r="AG136" s="126"/>
      <c r="AH136" s="126"/>
      <c r="AI136" s="126"/>
      <c r="AJ136" s="130"/>
      <c r="AK136" s="130"/>
      <c r="AL136" s="130"/>
      <c r="AM136" s="127">
        <f>AG136*'1. Standard_Cost'!$B$27+'Incremental_Cost Year 9'!AH136*'1. Standard_Cost'!$C$27+'Incremental_Cost Year 9'!AI136*'1. Standard_Cost'!$D$27+'Incremental_Cost Year 9'!AJ136+'Incremental_Cost Year 9'!AL136+AK136</f>
        <v>0</v>
      </c>
      <c r="AN136" s="127">
        <f>AM136*'1. Standard_Cost'!$C$31</f>
        <v>0</v>
      </c>
      <c r="AO136" s="130"/>
      <c r="AQ136" s="171">
        <f>L136+M136</f>
        <v>3960331.2</v>
      </c>
      <c r="AR136" s="171">
        <f>AF136</f>
        <v>570288</v>
      </c>
      <c r="AS136" s="171">
        <f>AM136+AN136</f>
        <v>0</v>
      </c>
      <c r="AT136" s="171">
        <f>SUM(AQ136,AR136,AS136)</f>
        <v>4530619.2</v>
      </c>
      <c r="AU136" s="250">
        <v>4530619</v>
      </c>
      <c r="AV136" s="250"/>
      <c r="AW136" s="250"/>
      <c r="AX136" s="250"/>
      <c r="AY136" s="250"/>
      <c r="AZ136" s="250"/>
      <c r="BA136" s="250"/>
      <c r="BB136" s="251">
        <f t="shared" si="88"/>
        <v>-0.20000000018626451</v>
      </c>
      <c r="BC136" s="169"/>
      <c r="BD136" s="169"/>
      <c r="BE136" s="169"/>
      <c r="BF136" s="169"/>
    </row>
    <row r="137" spans="1:58" ht="110.25" outlineLevel="2" x14ac:dyDescent="0.25">
      <c r="A137" s="115"/>
      <c r="B137" s="200"/>
      <c r="C137" s="201"/>
      <c r="D137" s="203"/>
      <c r="E137" s="323"/>
      <c r="F137" s="335"/>
      <c r="G137" s="336"/>
      <c r="H137" s="199" t="s">
        <v>455</v>
      </c>
      <c r="I137" s="130" t="s">
        <v>4</v>
      </c>
      <c r="J137" s="126">
        <v>1</v>
      </c>
      <c r="K137" s="126">
        <v>4</v>
      </c>
      <c r="L137" s="125">
        <f>IF(I137&lt;&gt;0,((VLOOKUP(I137,'1. Standard_Cost'!$B$4:$D$11,2)+VLOOKUP(I137,'1. Standard_Cost'!$B$4:$D$11,3))*J137*K137),"0")</f>
        <v>323000</v>
      </c>
      <c r="M137" s="125">
        <f>L137*'1. Standard_Cost'!$F$4</f>
        <v>53941</v>
      </c>
      <c r="N137" s="126"/>
      <c r="O137" s="126"/>
      <c r="P137" s="126"/>
      <c r="Q137" s="126"/>
      <c r="R137" s="127">
        <f>'1. Standard_Cost'!$B$15*N137*P137</f>
        <v>0</v>
      </c>
      <c r="S137" s="127">
        <f>N137*O137*P137*'1. Standard_Cost'!$C$15</f>
        <v>0</v>
      </c>
      <c r="T137" s="127">
        <f>N137*P137*Q137*'1. Standard_Cost'!$D$15</f>
        <v>0</v>
      </c>
      <c r="U137" s="127">
        <f>N137*O137*'1. Standard_Cost'!$E$15</f>
        <v>0</v>
      </c>
      <c r="V137" s="126"/>
      <c r="W137" s="126"/>
      <c r="X137" s="126"/>
      <c r="Y137" s="127">
        <f>+V137*((X137*'1. Standard_Cost'!$B$19)+(W137*X137*'1. Standard_Cost'!$C$19))</f>
        <v>0</v>
      </c>
      <c r="Z137" s="126"/>
      <c r="AA137" s="126"/>
      <c r="AB137" s="127">
        <f>+Z137*'1. Standard_Cost'!$B$23+AA137*'1. Standard_Cost'!$C$23</f>
        <v>0</v>
      </c>
      <c r="AC137" s="128">
        <v>45240</v>
      </c>
      <c r="AD137" s="129"/>
      <c r="AE137" s="127">
        <f>SUM(AD137,AC137,AB137,Y137,U137,T137,S137,R137)*'1. Standard_Cost'!$B$31</f>
        <v>9048</v>
      </c>
      <c r="AF137" s="127">
        <f>SUM(AE137,AD137,AC137,AB137,Y137,U137,T137,S137,R137)</f>
        <v>54288</v>
      </c>
      <c r="AG137" s="126"/>
      <c r="AH137" s="126"/>
      <c r="AI137" s="126"/>
      <c r="AJ137" s="130"/>
      <c r="AK137" s="130"/>
      <c r="AL137" s="130"/>
      <c r="AM137" s="127">
        <f>AG137*'1. Standard_Cost'!$B$27+'Incremental_Cost Year 9'!AH137*'1. Standard_Cost'!$C$27+'Incremental_Cost Year 9'!AI137*'1. Standard_Cost'!$D$27+'Incremental_Cost Year 9'!AJ137+'Incremental_Cost Year 9'!AL137+AK137</f>
        <v>0</v>
      </c>
      <c r="AN137" s="127">
        <f>AM137*'1. Standard_Cost'!$C$31</f>
        <v>0</v>
      </c>
      <c r="AO137" s="130"/>
      <c r="AQ137" s="171">
        <f>L137+M137</f>
        <v>376941</v>
      </c>
      <c r="AR137" s="171">
        <f>AF137</f>
        <v>54288</v>
      </c>
      <c r="AS137" s="171">
        <f>AM137+AN137</f>
        <v>0</v>
      </c>
      <c r="AT137" s="171">
        <f>SUM(AQ137,AR137,AS137)</f>
        <v>431229</v>
      </c>
      <c r="AU137" s="250">
        <v>431229</v>
      </c>
      <c r="AV137" s="250"/>
      <c r="AW137" s="250"/>
      <c r="AX137" s="250"/>
      <c r="AY137" s="250"/>
      <c r="AZ137" s="250"/>
      <c r="BA137" s="250"/>
      <c r="BB137" s="251">
        <f t="shared" si="88"/>
        <v>0</v>
      </c>
      <c r="BC137" s="169"/>
      <c r="BD137" s="169"/>
      <c r="BE137" s="169"/>
      <c r="BF137" s="169"/>
    </row>
    <row r="138" spans="1:58" ht="110.25" outlineLevel="2" x14ac:dyDescent="0.25">
      <c r="A138" s="115"/>
      <c r="B138" s="200"/>
      <c r="C138" s="334"/>
      <c r="D138" s="347"/>
      <c r="E138" s="323"/>
      <c r="F138" s="335"/>
      <c r="G138" s="336"/>
      <c r="H138" s="199" t="s">
        <v>456</v>
      </c>
      <c r="I138" s="130" t="s">
        <v>5</v>
      </c>
      <c r="J138" s="126">
        <v>12</v>
      </c>
      <c r="K138" s="126">
        <v>2</v>
      </c>
      <c r="L138" s="125">
        <f>IF(I138&lt;&gt;0,((VLOOKUP(I138,'1. Standard_Cost'!$B$4:$D$11,2)+VLOOKUP(I138,'1. Standard_Cost'!$B$4:$D$11,3))*J138*K138),"0")</f>
        <v>1696800</v>
      </c>
      <c r="M138" s="125">
        <f>L138*'1. Standard_Cost'!$F$4</f>
        <v>283365.60000000003</v>
      </c>
      <c r="N138" s="126"/>
      <c r="O138" s="126"/>
      <c r="P138" s="126"/>
      <c r="Q138" s="126"/>
      <c r="R138" s="127">
        <f>'1. Standard_Cost'!$B$15*N138*P138</f>
        <v>0</v>
      </c>
      <c r="S138" s="127">
        <f>N138*O138*P138*'1. Standard_Cost'!$C$15</f>
        <v>0</v>
      </c>
      <c r="T138" s="127">
        <f>N138*P138*Q138*'1. Standard_Cost'!$D$15</f>
        <v>0</v>
      </c>
      <c r="U138" s="127">
        <f>N138*O138*'1. Standard_Cost'!$E$15</f>
        <v>0</v>
      </c>
      <c r="V138" s="126"/>
      <c r="W138" s="126"/>
      <c r="X138" s="126"/>
      <c r="Y138" s="127">
        <f>+V138*((X138*'1. Standard_Cost'!$B$19)+(W138*X138*'1. Standard_Cost'!$C$19))</f>
        <v>0</v>
      </c>
      <c r="Z138" s="126"/>
      <c r="AA138" s="145"/>
      <c r="AB138" s="127">
        <f>+Z138*'1. Standard_Cost'!$B$23+AA138*'1. Standard_Cost'!$C$23</f>
        <v>0</v>
      </c>
      <c r="AC138" s="128">
        <v>10200000</v>
      </c>
      <c r="AD138" s="129"/>
      <c r="AE138" s="127">
        <f>SUM(AD138,AC138,AB138,Y138,U138,T138,S138,R138)*'1. Standard_Cost'!$B$31</f>
        <v>2040000</v>
      </c>
      <c r="AF138" s="127">
        <f>SUM(AE138,AD138,AC138,AB138,Y138,U138,T138,S138,R138)</f>
        <v>12240000</v>
      </c>
      <c r="AG138" s="126"/>
      <c r="AH138" s="126"/>
      <c r="AI138" s="126"/>
      <c r="AJ138" s="130"/>
      <c r="AK138" s="130"/>
      <c r="AL138" s="130"/>
      <c r="AM138" s="127">
        <f>AG138*'1. Standard_Cost'!$B$27+'Incremental_Cost Year 9'!AH138*'1. Standard_Cost'!$C$27+'Incremental_Cost Year 9'!AI138*'1. Standard_Cost'!$D$27+'Incremental_Cost Year 9'!AJ138+'Incremental_Cost Year 9'!AL138+AK138</f>
        <v>0</v>
      </c>
      <c r="AN138" s="127">
        <f>AM138*'1. Standard_Cost'!$C$31</f>
        <v>0</v>
      </c>
      <c r="AO138" s="262"/>
      <c r="AQ138" s="171">
        <f>L138+M138</f>
        <v>1980165.6</v>
      </c>
      <c r="AR138" s="171">
        <f>AF138</f>
        <v>12240000</v>
      </c>
      <c r="AS138" s="171">
        <f>AM138+AN138</f>
        <v>0</v>
      </c>
      <c r="AT138" s="171">
        <f>SUM(AQ138,AR138,AS138)</f>
        <v>14220165.6</v>
      </c>
      <c r="AU138" s="250">
        <v>14220166</v>
      </c>
      <c r="AV138" s="250"/>
      <c r="AW138" s="250"/>
      <c r="AX138" s="250"/>
      <c r="AY138" s="250"/>
      <c r="AZ138" s="250"/>
      <c r="BA138" s="250"/>
      <c r="BB138" s="251">
        <f t="shared" si="88"/>
        <v>0.40000000037252903</v>
      </c>
      <c r="BC138" s="169"/>
      <c r="BD138" s="169"/>
      <c r="BE138" s="169"/>
      <c r="BF138" s="169"/>
    </row>
    <row r="139" spans="1:58" ht="47.25" outlineLevel="1" x14ac:dyDescent="0.25">
      <c r="A139" s="115"/>
      <c r="B139" s="165"/>
      <c r="C139" s="166"/>
      <c r="D139" s="228" t="s">
        <v>233</v>
      </c>
      <c r="E139" s="212" t="s">
        <v>291</v>
      </c>
      <c r="F139" s="136">
        <v>2022</v>
      </c>
      <c r="G139" s="117">
        <v>2030</v>
      </c>
      <c r="H139" s="110" t="s">
        <v>292</v>
      </c>
      <c r="I139" s="252"/>
      <c r="J139" s="252"/>
      <c r="K139" s="252"/>
      <c r="L139" s="127">
        <f>SUM(L135:L138)</f>
        <v>5413400</v>
      </c>
      <c r="M139" s="127">
        <f>SUM(M135:M138)</f>
        <v>904037.8</v>
      </c>
      <c r="N139" s="127"/>
      <c r="O139" s="252"/>
      <c r="P139" s="252"/>
      <c r="Q139" s="252"/>
      <c r="R139" s="127">
        <f>SUM(R135:R138)</f>
        <v>0</v>
      </c>
      <c r="S139" s="127">
        <f>SUM(S135:S138)</f>
        <v>0</v>
      </c>
      <c r="T139" s="127">
        <f>SUM(T135:T138)</f>
        <v>0</v>
      </c>
      <c r="U139" s="127">
        <f>SUM(U135:U138)</f>
        <v>0</v>
      </c>
      <c r="V139" s="252"/>
      <c r="W139" s="252"/>
      <c r="X139" s="252"/>
      <c r="Y139" s="127">
        <f>SUM(Y135:Y138)</f>
        <v>0</v>
      </c>
      <c r="Z139" s="252"/>
      <c r="AA139" s="252"/>
      <c r="AB139" s="127">
        <f>SUM(AB135:AB138)</f>
        <v>0</v>
      </c>
      <c r="AC139" s="127">
        <f>SUM(AC135:AC137)</f>
        <v>12140520480</v>
      </c>
      <c r="AD139" s="127">
        <f>SUM(AD135:AD137)</f>
        <v>0</v>
      </c>
      <c r="AE139" s="127">
        <f>SUM(AE135:AE137)</f>
        <v>104096</v>
      </c>
      <c r="AF139" s="127">
        <f>SUM(AF135:AF138)</f>
        <v>12152864576</v>
      </c>
      <c r="AG139" s="252"/>
      <c r="AH139" s="252"/>
      <c r="AI139" s="252"/>
      <c r="AJ139" s="127">
        <f>SUM(AJ135:AJ137)</f>
        <v>0</v>
      </c>
      <c r="AK139" s="127">
        <f>SUM(AK135:AK137)</f>
        <v>0</v>
      </c>
      <c r="AL139" s="127">
        <f>SUM(AL135:AL137)</f>
        <v>0</v>
      </c>
      <c r="AM139" s="127">
        <f>SUM(AM135:AM137)</f>
        <v>0</v>
      </c>
      <c r="AN139" s="127">
        <f>SUM(AN135:AN137)</f>
        <v>0</v>
      </c>
      <c r="AO139" s="253"/>
      <c r="AP139" s="254"/>
      <c r="AQ139" s="175">
        <f>SUM(AQ135:AQ138)</f>
        <v>6317437.8000000007</v>
      </c>
      <c r="AR139" s="175">
        <f>SUM(AR135:AR138)</f>
        <v>12152864576</v>
      </c>
      <c r="AS139" s="175">
        <f>SUM(AS135:AS138)</f>
        <v>0</v>
      </c>
      <c r="AT139" s="175">
        <f>SUM(AT135:AT138)</f>
        <v>12159182013.800001</v>
      </c>
      <c r="AU139" s="175">
        <f t="shared" ref="AU139:BB139" si="89">SUM(AU135:AU138)</f>
        <v>12159182014</v>
      </c>
      <c r="AV139" s="175">
        <f t="shared" si="89"/>
        <v>0</v>
      </c>
      <c r="AW139" s="175">
        <f t="shared" si="89"/>
        <v>0</v>
      </c>
      <c r="AX139" s="175">
        <f t="shared" si="89"/>
        <v>0</v>
      </c>
      <c r="AY139" s="175">
        <f t="shared" si="89"/>
        <v>0</v>
      </c>
      <c r="AZ139" s="175">
        <f t="shared" si="89"/>
        <v>0</v>
      </c>
      <c r="BA139" s="175">
        <f t="shared" si="89"/>
        <v>0</v>
      </c>
      <c r="BB139" s="175">
        <f t="shared" si="89"/>
        <v>0.20000000018626451</v>
      </c>
      <c r="BC139" s="169"/>
      <c r="BD139" s="169"/>
      <c r="BE139" s="169"/>
      <c r="BF139" s="169"/>
    </row>
    <row r="140" spans="1:58" s="184" customFormat="1" ht="15.75" customHeight="1" x14ac:dyDescent="0.25">
      <c r="A140" s="143"/>
      <c r="B140" s="290"/>
      <c r="C140" s="391" t="s">
        <v>293</v>
      </c>
      <c r="D140" s="391"/>
      <c r="E140" s="392"/>
      <c r="F140" s="291"/>
      <c r="G140" s="289"/>
      <c r="H140" s="144" t="s">
        <v>294</v>
      </c>
      <c r="I140" s="257"/>
      <c r="J140" s="257"/>
      <c r="K140" s="257"/>
      <c r="L140" s="258">
        <f>SUM(L149)</f>
        <v>11588500</v>
      </c>
      <c r="M140" s="258">
        <f>SUM(M149)</f>
        <v>1935279.5</v>
      </c>
      <c r="N140" s="257"/>
      <c r="O140" s="257"/>
      <c r="P140" s="257"/>
      <c r="Q140" s="257"/>
      <c r="R140" s="258">
        <f>SUM(R149)</f>
        <v>400000</v>
      </c>
      <c r="S140" s="258">
        <f>SUM(S149)</f>
        <v>300000</v>
      </c>
      <c r="T140" s="258">
        <f>SUM(T149)</f>
        <v>0</v>
      </c>
      <c r="U140" s="258">
        <f>SUM(U149)</f>
        <v>400000</v>
      </c>
      <c r="V140" s="257"/>
      <c r="W140" s="257"/>
      <c r="X140" s="257"/>
      <c r="Y140" s="258">
        <f>SUM(Y149)</f>
        <v>255000</v>
      </c>
      <c r="Z140" s="258"/>
      <c r="AA140" s="258"/>
      <c r="AB140" s="258">
        <f>SUM(AB149)</f>
        <v>779000</v>
      </c>
      <c r="AC140" s="258">
        <f>SUM(AC149)</f>
        <v>3102920</v>
      </c>
      <c r="AD140" s="258">
        <f>SUM(AD149)</f>
        <v>0</v>
      </c>
      <c r="AE140" s="258">
        <f>SUM(AE149)</f>
        <v>1047384</v>
      </c>
      <c r="AF140" s="258">
        <f>SUM(AF149)</f>
        <v>6284304</v>
      </c>
      <c r="AG140" s="257"/>
      <c r="AH140" s="257"/>
      <c r="AI140" s="257"/>
      <c r="AJ140" s="258">
        <f>SUM(AJ149)</f>
        <v>0</v>
      </c>
      <c r="AK140" s="258">
        <f>SUM(AK149)</f>
        <v>0</v>
      </c>
      <c r="AL140" s="258">
        <f>SUM(AL149)</f>
        <v>0</v>
      </c>
      <c r="AM140" s="258">
        <f>SUM(AM149)</f>
        <v>0</v>
      </c>
      <c r="AN140" s="258">
        <f>SUM(AN149)</f>
        <v>0</v>
      </c>
      <c r="AO140" s="259"/>
      <c r="AP140" s="260"/>
      <c r="AQ140" s="261">
        <f>SUM(AQ149)</f>
        <v>13523779.5</v>
      </c>
      <c r="AR140" s="261">
        <f>SUM(AR149)</f>
        <v>6284304</v>
      </c>
      <c r="AS140" s="261">
        <f>SUM(AS149)</f>
        <v>0</v>
      </c>
      <c r="AT140" s="261">
        <f>SUM(AT149)</f>
        <v>19808083.5</v>
      </c>
      <c r="AU140" s="261">
        <f t="shared" ref="AU140:BA140" si="90">SUM(AU149)</f>
        <v>16647283.5</v>
      </c>
      <c r="AV140" s="261">
        <f t="shared" si="90"/>
        <v>0</v>
      </c>
      <c r="AW140" s="261">
        <f t="shared" si="90"/>
        <v>0</v>
      </c>
      <c r="AX140" s="261">
        <f t="shared" si="90"/>
        <v>0</v>
      </c>
      <c r="AY140" s="261">
        <f t="shared" si="90"/>
        <v>0</v>
      </c>
      <c r="AZ140" s="261">
        <f t="shared" si="90"/>
        <v>0</v>
      </c>
      <c r="BA140" s="261">
        <f t="shared" si="90"/>
        <v>0</v>
      </c>
      <c r="BB140" s="261">
        <f t="shared" ref="BB140" si="91">SUM(BB149)</f>
        <v>-3160800</v>
      </c>
    </row>
    <row r="141" spans="1:58" ht="78.75" outlineLevel="2" x14ac:dyDescent="0.25">
      <c r="A141" s="115"/>
      <c r="B141" s="303"/>
      <c r="C141" s="329"/>
      <c r="D141" s="342"/>
      <c r="E141" s="328"/>
      <c r="F141" s="328"/>
      <c r="G141" s="328"/>
      <c r="H141" s="199" t="s">
        <v>457</v>
      </c>
      <c r="I141" s="130"/>
      <c r="J141" s="126"/>
      <c r="K141" s="126"/>
      <c r="L141" s="125" t="str">
        <f>IF(I141&lt;&gt;0,((VLOOKUP(I141,'1. Standard_Cost'!$B$4:$D$11,2)+VLOOKUP(I141,'1. Standard_Cost'!$B$4:$D$11,3))*J141*K141),"0")</f>
        <v>0</v>
      </c>
      <c r="M141" s="125">
        <f>L141*'1. Standard_Cost'!$F$4</f>
        <v>0</v>
      </c>
      <c r="N141" s="126"/>
      <c r="O141" s="126"/>
      <c r="P141" s="126"/>
      <c r="Q141" s="126"/>
      <c r="R141" s="127">
        <f>'1. Standard_Cost'!$B$15*N141*P141</f>
        <v>0</v>
      </c>
      <c r="S141" s="127">
        <f>N141*O141*P141*'1. Standard_Cost'!$C$15</f>
        <v>0</v>
      </c>
      <c r="T141" s="127">
        <f>N141*P141*Q141*'1. Standard_Cost'!$D$15</f>
        <v>0</v>
      </c>
      <c r="U141" s="127">
        <f>N141*O141*'1. Standard_Cost'!$E$15</f>
        <v>0</v>
      </c>
      <c r="V141" s="126"/>
      <c r="W141" s="126"/>
      <c r="X141" s="126"/>
      <c r="Y141" s="127">
        <f>+V141*((X141*'1. Standard_Cost'!$B$19)+(W141*X141*'1. Standard_Cost'!$C$19))</f>
        <v>0</v>
      </c>
      <c r="Z141" s="126"/>
      <c r="AA141" s="126"/>
      <c r="AB141" s="127">
        <f>+Z141*'1. Standard_Cost'!$B$23+AA141*'1. Standard_Cost'!$C$23</f>
        <v>0</v>
      </c>
      <c r="AC141" s="128"/>
      <c r="AD141" s="129"/>
      <c r="AE141" s="127">
        <f>SUM(AD141,AC141,AB141,Y141,U141,T141,S141,R141)*'1. Standard_Cost'!$B$31</f>
        <v>0</v>
      </c>
      <c r="AF141" s="127">
        <f t="shared" ref="AF141:AF148" si="92">SUM(AE141,AD141,AC141,AB141,Y141,U141,T141,S141,R141)</f>
        <v>0</v>
      </c>
      <c r="AG141" s="126"/>
      <c r="AH141" s="126"/>
      <c r="AI141" s="126"/>
      <c r="AJ141" s="130"/>
      <c r="AK141" s="130"/>
      <c r="AL141" s="130"/>
      <c r="AM141" s="127">
        <f>AG141*'1. Standard_Cost'!$B$27+'Incremental_Cost Year 9'!AH141*'1. Standard_Cost'!$C$27+'Incremental_Cost Year 9'!AI141*'1. Standard_Cost'!$D$27+'Incremental_Cost Year 9'!AJ141+'Incremental_Cost Year 9'!AL141+AK141</f>
        <v>0</v>
      </c>
      <c r="AN141" s="127">
        <f>AM141*'1. Standard_Cost'!$C$31</f>
        <v>0</v>
      </c>
      <c r="AO141" s="130"/>
      <c r="AQ141" s="171">
        <f t="shared" ref="AQ141:AQ148" si="93">L141+M141</f>
        <v>0</v>
      </c>
      <c r="AR141" s="171">
        <f t="shared" ref="AR141:AR148" si="94">AF141</f>
        <v>0</v>
      </c>
      <c r="AS141" s="171">
        <f t="shared" ref="AS141:AS148" si="95">AM141+AN141</f>
        <v>0</v>
      </c>
      <c r="AT141" s="171">
        <f t="shared" ref="AT141:AT148" si="96">SUM(AQ141,AR141,AS141)</f>
        <v>0</v>
      </c>
      <c r="AU141" s="250"/>
      <c r="AV141" s="250"/>
      <c r="AW141" s="250"/>
      <c r="AX141" s="250"/>
      <c r="AY141" s="250"/>
      <c r="AZ141" s="250"/>
      <c r="BA141" s="250"/>
      <c r="BB141" s="251">
        <f t="shared" ref="BB141:BB148" si="97">SUM(AU141:BA141)-AT141</f>
        <v>0</v>
      </c>
      <c r="BC141" s="169"/>
      <c r="BD141" s="169"/>
      <c r="BE141" s="169"/>
      <c r="BF141" s="169"/>
    </row>
    <row r="142" spans="1:58" ht="47.25" outlineLevel="2" x14ac:dyDescent="0.25">
      <c r="A142" s="115"/>
      <c r="B142" s="200"/>
      <c r="C142" s="330"/>
      <c r="D142" s="343"/>
      <c r="E142" s="328"/>
      <c r="F142" s="328"/>
      <c r="G142" s="328"/>
      <c r="H142" s="199" t="s">
        <v>458</v>
      </c>
      <c r="I142" s="130"/>
      <c r="J142" s="126"/>
      <c r="K142" s="126"/>
      <c r="L142" s="125" t="str">
        <f>IF(I142&lt;&gt;0,((VLOOKUP(I142,'1. Standard_Cost'!$B$4:$D$11,2)+VLOOKUP(I142,'1. Standard_Cost'!$B$4:$D$11,3))*J142*K142),"0")</f>
        <v>0</v>
      </c>
      <c r="M142" s="125">
        <f>L142*'1. Standard_Cost'!$F$4</f>
        <v>0</v>
      </c>
      <c r="N142" s="126"/>
      <c r="O142" s="126"/>
      <c r="P142" s="126"/>
      <c r="Q142" s="126"/>
      <c r="R142" s="127">
        <f>'1. Standard_Cost'!$B$15*N142*P142</f>
        <v>0</v>
      </c>
      <c r="S142" s="127">
        <f>N142*O142*P142*'1. Standard_Cost'!$C$15</f>
        <v>0</v>
      </c>
      <c r="T142" s="127">
        <f>N142*P142*Q142*'1. Standard_Cost'!$D$15</f>
        <v>0</v>
      </c>
      <c r="U142" s="127">
        <f>N142*O142*'1. Standard_Cost'!$E$15</f>
        <v>0</v>
      </c>
      <c r="V142" s="126"/>
      <c r="W142" s="126"/>
      <c r="X142" s="126"/>
      <c r="Y142" s="127">
        <f>+V142*((X142*'1. Standard_Cost'!$B$19)+(W142*X142*'1. Standard_Cost'!$C$19))</f>
        <v>0</v>
      </c>
      <c r="Z142" s="126"/>
      <c r="AA142" s="126"/>
      <c r="AB142" s="127">
        <f>+Z142*'1. Standard_Cost'!$B$23+AA142*'1. Standard_Cost'!$C$23</f>
        <v>0</v>
      </c>
      <c r="AC142" s="128"/>
      <c r="AD142" s="129"/>
      <c r="AE142" s="127">
        <f>SUM(AD142,AC142,AB142,Y142,U142,T142,S142,R142)*'1. Standard_Cost'!$B$31</f>
        <v>0</v>
      </c>
      <c r="AF142" s="127">
        <f t="shared" si="92"/>
        <v>0</v>
      </c>
      <c r="AG142" s="126"/>
      <c r="AH142" s="126"/>
      <c r="AI142" s="126"/>
      <c r="AJ142" s="130"/>
      <c r="AK142" s="130"/>
      <c r="AL142" s="130"/>
      <c r="AM142" s="127">
        <f>AG142*'1. Standard_Cost'!$B$27+'Incremental_Cost Year 9'!AH142*'1. Standard_Cost'!$C$27+'Incremental_Cost Year 9'!AI142*'1. Standard_Cost'!$D$27+'Incremental_Cost Year 9'!AJ142+'Incremental_Cost Year 9'!AL142+AK142</f>
        <v>0</v>
      </c>
      <c r="AN142" s="127">
        <f>AM142*'1. Standard_Cost'!$C$31</f>
        <v>0</v>
      </c>
      <c r="AO142" s="130"/>
      <c r="AQ142" s="171">
        <f t="shared" si="93"/>
        <v>0</v>
      </c>
      <c r="AR142" s="171">
        <f t="shared" si="94"/>
        <v>0</v>
      </c>
      <c r="AS142" s="171">
        <f t="shared" si="95"/>
        <v>0</v>
      </c>
      <c r="AT142" s="171">
        <f t="shared" si="96"/>
        <v>0</v>
      </c>
      <c r="AU142" s="250"/>
      <c r="AV142" s="250"/>
      <c r="AW142" s="250"/>
      <c r="AX142" s="250"/>
      <c r="AY142" s="250"/>
      <c r="AZ142" s="250"/>
      <c r="BA142" s="250"/>
      <c r="BB142" s="251">
        <f t="shared" si="97"/>
        <v>0</v>
      </c>
      <c r="BC142" s="169"/>
      <c r="BD142" s="169"/>
      <c r="BE142" s="169"/>
      <c r="BF142" s="169"/>
    </row>
    <row r="143" spans="1:58" ht="126" outlineLevel="2" x14ac:dyDescent="0.25">
      <c r="A143" s="115"/>
      <c r="B143" s="200"/>
      <c r="C143" s="330"/>
      <c r="D143" s="343"/>
      <c r="E143" s="328"/>
      <c r="F143" s="328"/>
      <c r="G143" s="328"/>
      <c r="H143" s="199" t="s">
        <v>459</v>
      </c>
      <c r="I143" s="130" t="s">
        <v>3</v>
      </c>
      <c r="J143" s="126">
        <v>12</v>
      </c>
      <c r="K143" s="126">
        <v>5</v>
      </c>
      <c r="L143" s="125">
        <f>IF(I143&lt;&gt;0,((VLOOKUP(I143,'1. Standard_Cost'!$B$4:$D$11,2)+VLOOKUP(I143,'1. Standard_Cost'!$B$4:$D$11,3))*J143*K143),"0")</f>
        <v>6048000</v>
      </c>
      <c r="M143" s="125">
        <f>L143*'1. Standard_Cost'!$F$4</f>
        <v>1010016</v>
      </c>
      <c r="N143" s="126"/>
      <c r="O143" s="126"/>
      <c r="P143" s="126"/>
      <c r="Q143" s="126"/>
      <c r="R143" s="127">
        <f>'1. Standard_Cost'!$B$15*N143*P143</f>
        <v>0</v>
      </c>
      <c r="S143" s="127">
        <f>N143*O143*P143*'1. Standard_Cost'!$C$15</f>
        <v>0</v>
      </c>
      <c r="T143" s="127">
        <f>N143*P143*Q143*'1. Standard_Cost'!$D$15</f>
        <v>0</v>
      </c>
      <c r="U143" s="127">
        <f>N143*O143*'1. Standard_Cost'!$E$15</f>
        <v>0</v>
      </c>
      <c r="V143" s="126"/>
      <c r="W143" s="126"/>
      <c r="X143" s="126"/>
      <c r="Y143" s="127">
        <f>+V143*((X143*'1. Standard_Cost'!$B$19)+(W143*X143*'1. Standard_Cost'!$C$19))</f>
        <v>0</v>
      </c>
      <c r="Z143" s="126"/>
      <c r="AA143" s="126"/>
      <c r="AB143" s="127">
        <f>+Z143*'1. Standard_Cost'!$B$23+AA143*'1. Standard_Cost'!$C$23</f>
        <v>0</v>
      </c>
      <c r="AC143" s="128">
        <v>1200000</v>
      </c>
      <c r="AD143" s="129"/>
      <c r="AE143" s="127">
        <f>SUM(AD143,AC143,AB143,Y143,U143,T143,S143,R143)*'1. Standard_Cost'!$B$31</f>
        <v>240000</v>
      </c>
      <c r="AF143" s="127">
        <f t="shared" si="92"/>
        <v>1440000</v>
      </c>
      <c r="AG143" s="126"/>
      <c r="AH143" s="126"/>
      <c r="AI143" s="126"/>
      <c r="AJ143" s="130"/>
      <c r="AK143" s="130"/>
      <c r="AL143" s="130"/>
      <c r="AM143" s="127">
        <f>AG143*'1. Standard_Cost'!$B$27+'Incremental_Cost Year 9'!AH143*'1. Standard_Cost'!$C$27+'Incremental_Cost Year 9'!AI143*'1. Standard_Cost'!$D$27+'Incremental_Cost Year 9'!AJ143+'Incremental_Cost Year 9'!AL143+AK143</f>
        <v>0</v>
      </c>
      <c r="AN143" s="127">
        <f>AM143*'1. Standard_Cost'!$C$31</f>
        <v>0</v>
      </c>
      <c r="AO143" s="130"/>
      <c r="AQ143" s="171">
        <f t="shared" si="93"/>
        <v>7058016</v>
      </c>
      <c r="AR143" s="171">
        <f t="shared" si="94"/>
        <v>1440000</v>
      </c>
      <c r="AS143" s="171">
        <f t="shared" si="95"/>
        <v>0</v>
      </c>
      <c r="AT143" s="171">
        <f t="shared" si="96"/>
        <v>8498016</v>
      </c>
      <c r="AU143" s="250">
        <v>8498016</v>
      </c>
      <c r="AV143" s="250"/>
      <c r="AW143" s="250"/>
      <c r="AX143" s="250"/>
      <c r="AY143" s="250"/>
      <c r="AZ143" s="250"/>
      <c r="BA143" s="250"/>
      <c r="BB143" s="251">
        <f t="shared" si="97"/>
        <v>0</v>
      </c>
      <c r="BC143" s="169"/>
      <c r="BD143" s="169"/>
      <c r="BE143" s="169"/>
      <c r="BF143" s="169"/>
    </row>
    <row r="144" spans="1:58" ht="47.25" outlineLevel="2" x14ac:dyDescent="0.25">
      <c r="A144" s="115"/>
      <c r="B144" s="200"/>
      <c r="C144" s="330"/>
      <c r="D144" s="343"/>
      <c r="E144" s="328"/>
      <c r="F144" s="328"/>
      <c r="G144" s="328"/>
      <c r="H144" s="199" t="s">
        <v>460</v>
      </c>
      <c r="I144" s="130"/>
      <c r="J144" s="126"/>
      <c r="K144" s="126"/>
      <c r="L144" s="125" t="str">
        <f>IF(I144&lt;&gt;0,((VLOOKUP(I144,'1. Standard_Cost'!$B$4:$D$11,2)+VLOOKUP(I144,'1. Standard_Cost'!$B$4:$D$11,3))*J144*K144),"0")</f>
        <v>0</v>
      </c>
      <c r="M144" s="125">
        <f>L144*'1. Standard_Cost'!$F$4</f>
        <v>0</v>
      </c>
      <c r="N144" s="126"/>
      <c r="O144" s="126"/>
      <c r="P144" s="126"/>
      <c r="Q144" s="126"/>
      <c r="R144" s="127">
        <f>'1. Standard_Cost'!$B$15*N144*P144</f>
        <v>0</v>
      </c>
      <c r="S144" s="127">
        <f>N144*O144*P144*'1. Standard_Cost'!$C$15</f>
        <v>0</v>
      </c>
      <c r="T144" s="127">
        <f>N144*P144*Q144*'1. Standard_Cost'!$D$15</f>
        <v>0</v>
      </c>
      <c r="U144" s="127">
        <f>N144*O144*'1. Standard_Cost'!$E$15</f>
        <v>0</v>
      </c>
      <c r="V144" s="126">
        <v>1</v>
      </c>
      <c r="W144" s="126">
        <v>5</v>
      </c>
      <c r="X144" s="126">
        <v>3</v>
      </c>
      <c r="Y144" s="127">
        <f>+V144*((X144*'1. Standard_Cost'!$B$19)+(W144*X144*'1. Standard_Cost'!$C$19))</f>
        <v>255000</v>
      </c>
      <c r="Z144" s="126"/>
      <c r="AA144" s="126"/>
      <c r="AB144" s="127">
        <f>+Z144*'1. Standard_Cost'!$B$23+AA144*'1. Standard_Cost'!$C$23</f>
        <v>0</v>
      </c>
      <c r="AC144" s="128">
        <v>500000</v>
      </c>
      <c r="AD144" s="129"/>
      <c r="AE144" s="127">
        <f>SUM(AD144,AC144,AB144,Y144,U144,T144,S144,R144)*'1. Standard_Cost'!$B$31</f>
        <v>151000</v>
      </c>
      <c r="AF144" s="127">
        <f t="shared" si="92"/>
        <v>906000</v>
      </c>
      <c r="AG144" s="126"/>
      <c r="AH144" s="126"/>
      <c r="AI144" s="126"/>
      <c r="AJ144" s="130"/>
      <c r="AK144" s="130"/>
      <c r="AL144" s="130"/>
      <c r="AM144" s="127">
        <f>AG144*'1. Standard_Cost'!$B$27+'Incremental_Cost Year 9'!AH144*'1. Standard_Cost'!$C$27+'Incremental_Cost Year 9'!AI144*'1. Standard_Cost'!$D$27+'Incremental_Cost Year 9'!AJ144+'Incremental_Cost Year 9'!AL144+AK144</f>
        <v>0</v>
      </c>
      <c r="AN144" s="127">
        <f>AM144*'1. Standard_Cost'!$C$31</f>
        <v>0</v>
      </c>
      <c r="AO144" s="130"/>
      <c r="AQ144" s="171">
        <f t="shared" si="93"/>
        <v>0</v>
      </c>
      <c r="AR144" s="171">
        <f t="shared" si="94"/>
        <v>906000</v>
      </c>
      <c r="AS144" s="171">
        <f t="shared" si="95"/>
        <v>0</v>
      </c>
      <c r="AT144" s="171">
        <f t="shared" si="96"/>
        <v>906000</v>
      </c>
      <c r="AU144" s="250">
        <v>906000</v>
      </c>
      <c r="AV144" s="250"/>
      <c r="AW144" s="250"/>
      <c r="AX144" s="250"/>
      <c r="AY144" s="250"/>
      <c r="AZ144" s="250"/>
      <c r="BA144" s="250"/>
      <c r="BB144" s="251">
        <f t="shared" si="97"/>
        <v>0</v>
      </c>
      <c r="BC144" s="169"/>
      <c r="BD144" s="169"/>
      <c r="BE144" s="169"/>
      <c r="BF144" s="169"/>
    </row>
    <row r="145" spans="1:58" ht="93.6" customHeight="1" outlineLevel="2" x14ac:dyDescent="0.25">
      <c r="A145" s="115"/>
      <c r="B145" s="200"/>
      <c r="C145" s="330"/>
      <c r="D145" s="343"/>
      <c r="E145" s="328"/>
      <c r="F145" s="328"/>
      <c r="G145" s="328"/>
      <c r="H145" s="199" t="s">
        <v>461</v>
      </c>
      <c r="I145" s="130" t="s">
        <v>4</v>
      </c>
      <c r="J145" s="126">
        <v>3</v>
      </c>
      <c r="K145" s="126">
        <v>8</v>
      </c>
      <c r="L145" s="125">
        <f>IF(I145&lt;&gt;0,((VLOOKUP(I145,'1. Standard_Cost'!$B$4:$D$11,2)+VLOOKUP(I145,'1. Standard_Cost'!$B$4:$D$11,3))*J145*K145),"0")</f>
        <v>1938000</v>
      </c>
      <c r="M145" s="125">
        <f>L145*'1. Standard_Cost'!$F$4</f>
        <v>323646</v>
      </c>
      <c r="N145" s="126"/>
      <c r="O145" s="126"/>
      <c r="P145" s="126"/>
      <c r="Q145" s="126"/>
      <c r="R145" s="127">
        <f>'1. Standard_Cost'!$B$15*N145*P145</f>
        <v>0</v>
      </c>
      <c r="S145" s="127">
        <f>N145*O145*P145*'1. Standard_Cost'!$C$15</f>
        <v>0</v>
      </c>
      <c r="T145" s="127">
        <f>N145*P145*Q145*'1. Standard_Cost'!$D$15</f>
        <v>0</v>
      </c>
      <c r="U145" s="127">
        <f>N145*O145*'1. Standard_Cost'!$E$15</f>
        <v>0</v>
      </c>
      <c r="V145" s="126"/>
      <c r="W145" s="126"/>
      <c r="X145" s="126"/>
      <c r="Y145" s="127">
        <f>+V145*((X145*'1. Standard_Cost'!$B$19)+(W145*X145*'1. Standard_Cost'!$C$19))</f>
        <v>0</v>
      </c>
      <c r="Z145" s="126"/>
      <c r="AA145" s="126"/>
      <c r="AB145" s="127">
        <f>+Z145*'1. Standard_Cost'!$B$23+AA145*'1. Standard_Cost'!$C$23</f>
        <v>0</v>
      </c>
      <c r="AC145" s="128">
        <v>271400</v>
      </c>
      <c r="AD145" s="129"/>
      <c r="AE145" s="127">
        <f>SUM(AD145,AC145,AB145,Y145,U145,T145,S145,R145)*'1. Standard_Cost'!$B$31</f>
        <v>54280</v>
      </c>
      <c r="AF145" s="127">
        <f t="shared" si="92"/>
        <v>325680</v>
      </c>
      <c r="AG145" s="126"/>
      <c r="AH145" s="126"/>
      <c r="AI145" s="126"/>
      <c r="AJ145" s="130"/>
      <c r="AK145" s="130"/>
      <c r="AL145" s="130"/>
      <c r="AM145" s="127">
        <f>AG145*'1. Standard_Cost'!$B$27+'Incremental_Cost Year 9'!AH145*'1. Standard_Cost'!$C$27+'Incremental_Cost Year 9'!AI145*'1. Standard_Cost'!$D$27+'Incremental_Cost Year 9'!AJ145+'Incremental_Cost Year 9'!AL145+AK145</f>
        <v>0</v>
      </c>
      <c r="AN145" s="127">
        <f>AM145*'1. Standard_Cost'!$C$31</f>
        <v>0</v>
      </c>
      <c r="AO145" s="130"/>
      <c r="AQ145" s="171">
        <f t="shared" si="93"/>
        <v>2261646</v>
      </c>
      <c r="AR145" s="171">
        <f t="shared" si="94"/>
        <v>325680</v>
      </c>
      <c r="AS145" s="171">
        <f t="shared" si="95"/>
        <v>0</v>
      </c>
      <c r="AT145" s="171">
        <f t="shared" si="96"/>
        <v>2587326</v>
      </c>
      <c r="AU145" s="250">
        <v>2587326</v>
      </c>
      <c r="AV145" s="250"/>
      <c r="AW145" s="250"/>
      <c r="AX145" s="250"/>
      <c r="AY145" s="250"/>
      <c r="AZ145" s="250"/>
      <c r="BA145" s="250"/>
      <c r="BB145" s="251">
        <f t="shared" si="97"/>
        <v>0</v>
      </c>
      <c r="BC145" s="169"/>
      <c r="BD145" s="169"/>
      <c r="BE145" s="169"/>
      <c r="BF145" s="169"/>
    </row>
    <row r="146" spans="1:58" ht="204.75" outlineLevel="2" x14ac:dyDescent="0.25">
      <c r="A146" s="115"/>
      <c r="B146" s="200"/>
      <c r="C146" s="330"/>
      <c r="D146" s="343"/>
      <c r="E146" s="328"/>
      <c r="F146" s="328"/>
      <c r="G146" s="328"/>
      <c r="H146" s="199" t="s">
        <v>462</v>
      </c>
      <c r="I146" s="130" t="s">
        <v>3</v>
      </c>
      <c r="J146" s="126">
        <v>3</v>
      </c>
      <c r="K146" s="126">
        <v>5</v>
      </c>
      <c r="L146" s="125">
        <f>IF(I146&lt;&gt;0,((VLOOKUP(I146,'1. Standard_Cost'!$B$4:$D$11,2)+VLOOKUP(I146,'1. Standard_Cost'!$B$4:$D$11,3))*J146*K146),"0")</f>
        <v>1512000</v>
      </c>
      <c r="M146" s="125">
        <f>L146*'1. Standard_Cost'!$F$4</f>
        <v>252504</v>
      </c>
      <c r="N146" s="126"/>
      <c r="O146" s="126"/>
      <c r="P146" s="126"/>
      <c r="Q146" s="126"/>
      <c r="R146" s="127">
        <f>'1. Standard_Cost'!$B$15*N146*P146</f>
        <v>0</v>
      </c>
      <c r="S146" s="127">
        <f>N146*O146*P146*'1. Standard_Cost'!$C$15</f>
        <v>0</v>
      </c>
      <c r="T146" s="127">
        <f>N146*P146*Q146*'1. Standard_Cost'!$D$15</f>
        <v>0</v>
      </c>
      <c r="U146" s="127">
        <f>N146*O146*'1. Standard_Cost'!$E$15</f>
        <v>0</v>
      </c>
      <c r="V146" s="126"/>
      <c r="W146" s="126"/>
      <c r="X146" s="126"/>
      <c r="Y146" s="127">
        <f>+V146*((X146*'1. Standard_Cost'!$B$19)+(W146*X146*'1. Standard_Cost'!$C$19))</f>
        <v>0</v>
      </c>
      <c r="Z146" s="126"/>
      <c r="AA146" s="126">
        <v>30</v>
      </c>
      <c r="AB146" s="127">
        <f>+Z146*'1. Standard_Cost'!$B$23+AA146*'1. Standard_Cost'!$C$23</f>
        <v>570000</v>
      </c>
      <c r="AC146" s="128">
        <v>224000</v>
      </c>
      <c r="AD146" s="129"/>
      <c r="AE146" s="127">
        <f>SUM(AD146,AC146,AB146,Y146,U146,T146,S146,R146)*'1. Standard_Cost'!$B$31</f>
        <v>158800</v>
      </c>
      <c r="AF146" s="127">
        <f t="shared" si="92"/>
        <v>952800</v>
      </c>
      <c r="AG146" s="126"/>
      <c r="AH146" s="126"/>
      <c r="AI146" s="126"/>
      <c r="AJ146" s="130"/>
      <c r="AK146" s="130"/>
      <c r="AL146" s="130"/>
      <c r="AM146" s="127">
        <f>AG146*'1. Standard_Cost'!$B$27+'Incremental_Cost Year 9'!AH146*'1. Standard_Cost'!$C$27+'Incremental_Cost Year 9'!AI146*'1. Standard_Cost'!$D$27+'Incremental_Cost Year 9'!AJ146+'Incremental_Cost Year 9'!AL146+AK146</f>
        <v>0</v>
      </c>
      <c r="AN146" s="127">
        <f>AM146*'1. Standard_Cost'!$C$31</f>
        <v>0</v>
      </c>
      <c r="AO146" s="130"/>
      <c r="AQ146" s="171">
        <f t="shared" si="93"/>
        <v>1764504</v>
      </c>
      <c r="AR146" s="171">
        <f t="shared" si="94"/>
        <v>952800</v>
      </c>
      <c r="AS146" s="171">
        <f t="shared" si="95"/>
        <v>0</v>
      </c>
      <c r="AT146" s="171">
        <f t="shared" si="96"/>
        <v>2717304</v>
      </c>
      <c r="AU146" s="250">
        <v>1919304</v>
      </c>
      <c r="AV146" s="250"/>
      <c r="AW146" s="250"/>
      <c r="AX146" s="250"/>
      <c r="AY146" s="250"/>
      <c r="AZ146" s="250"/>
      <c r="BA146" s="250"/>
      <c r="BB146" s="251">
        <f t="shared" si="97"/>
        <v>-798000</v>
      </c>
      <c r="BC146" s="169"/>
      <c r="BD146" s="169"/>
      <c r="BE146" s="169"/>
      <c r="BF146" s="169"/>
    </row>
    <row r="147" spans="1:58" ht="94.5" outlineLevel="2" x14ac:dyDescent="0.25">
      <c r="A147" s="115"/>
      <c r="B147" s="200"/>
      <c r="C147" s="330"/>
      <c r="D147" s="343"/>
      <c r="E147" s="328"/>
      <c r="F147" s="328"/>
      <c r="G147" s="328"/>
      <c r="H147" s="199" t="s">
        <v>295</v>
      </c>
      <c r="I147" s="130" t="s">
        <v>5</v>
      </c>
      <c r="J147" s="126">
        <v>0.5</v>
      </c>
      <c r="K147" s="126">
        <v>50</v>
      </c>
      <c r="L147" s="125">
        <f>IF(I147&lt;&gt;0,((VLOOKUP(I147,'1. Standard_Cost'!$B$4:$D$11,2)+VLOOKUP(I147,'1. Standard_Cost'!$B$4:$D$11,3))*J147*K147),"0")</f>
        <v>1767500</v>
      </c>
      <c r="M147" s="125">
        <f>L147*'1. Standard_Cost'!$F$4</f>
        <v>295172.5</v>
      </c>
      <c r="N147" s="126"/>
      <c r="O147" s="126"/>
      <c r="P147" s="126"/>
      <c r="Q147" s="126"/>
      <c r="R147" s="127">
        <f>'1. Standard_Cost'!$B$15*N147*P147</f>
        <v>0</v>
      </c>
      <c r="S147" s="127">
        <f>N147*O147*P147*'1. Standard_Cost'!$C$15</f>
        <v>0</v>
      </c>
      <c r="T147" s="127">
        <f>N147*P147*Q147*'1. Standard_Cost'!$D$15</f>
        <v>0</v>
      </c>
      <c r="U147" s="127">
        <f>N147*O147*'1. Standard_Cost'!$E$15</f>
        <v>0</v>
      </c>
      <c r="V147" s="126"/>
      <c r="W147" s="126"/>
      <c r="X147" s="126"/>
      <c r="Y147" s="127">
        <f>+V147*((X147*'1. Standard_Cost'!$B$19)+(W147*X147*'1. Standard_Cost'!$C$19))</f>
        <v>0</v>
      </c>
      <c r="Z147" s="126"/>
      <c r="AA147" s="126"/>
      <c r="AB147" s="127">
        <f>+Z147*'1. Standard_Cost'!$B$23+AA147*'1. Standard_Cost'!$C$23</f>
        <v>0</v>
      </c>
      <c r="AC147" s="128">
        <v>247520</v>
      </c>
      <c r="AD147" s="129"/>
      <c r="AE147" s="127">
        <f>SUM(AD147,AC147,AB147,Y147,U147,T147,S147,R147)*'1. Standard_Cost'!$B$31</f>
        <v>49504</v>
      </c>
      <c r="AF147" s="127">
        <f t="shared" si="92"/>
        <v>297024</v>
      </c>
      <c r="AG147" s="126"/>
      <c r="AH147" s="126"/>
      <c r="AI147" s="126"/>
      <c r="AJ147" s="130"/>
      <c r="AK147" s="130"/>
      <c r="AL147" s="130"/>
      <c r="AM147" s="127">
        <f>AG147*'1. Standard_Cost'!$B$27+'Incremental_Cost Year 9'!AH147*'1. Standard_Cost'!$C$27+'Incremental_Cost Year 9'!AI147*'1. Standard_Cost'!$D$27+'Incremental_Cost Year 9'!AJ147+'Incremental_Cost Year 9'!AL147+AK147</f>
        <v>0</v>
      </c>
      <c r="AN147" s="127">
        <f>AM147*'1. Standard_Cost'!$C$31</f>
        <v>0</v>
      </c>
      <c r="AO147" s="130"/>
      <c r="AQ147" s="171">
        <f t="shared" si="93"/>
        <v>2062672.5</v>
      </c>
      <c r="AR147" s="171">
        <f t="shared" si="94"/>
        <v>297024</v>
      </c>
      <c r="AS147" s="171">
        <f t="shared" si="95"/>
        <v>0</v>
      </c>
      <c r="AT147" s="171">
        <f t="shared" si="96"/>
        <v>2359696.5</v>
      </c>
      <c r="AU147" s="250">
        <f>AT147</f>
        <v>2359696.5</v>
      </c>
      <c r="AV147" s="250"/>
      <c r="AW147" s="250"/>
      <c r="AX147" s="250"/>
      <c r="AY147" s="250"/>
      <c r="AZ147" s="250"/>
      <c r="BA147" s="250"/>
      <c r="BB147" s="251">
        <f t="shared" si="97"/>
        <v>0</v>
      </c>
      <c r="BC147" s="169"/>
      <c r="BD147" s="169"/>
      <c r="BE147" s="169"/>
      <c r="BF147" s="169"/>
    </row>
    <row r="148" spans="1:58" ht="141.75" outlineLevel="2" x14ac:dyDescent="0.25">
      <c r="A148" s="115"/>
      <c r="B148" s="147"/>
      <c r="C148" s="341"/>
      <c r="D148" s="343"/>
      <c r="E148" s="328"/>
      <c r="F148" s="328"/>
      <c r="G148" s="328"/>
      <c r="H148" s="199" t="s">
        <v>463</v>
      </c>
      <c r="I148" s="130" t="s">
        <v>4</v>
      </c>
      <c r="J148" s="126">
        <v>2</v>
      </c>
      <c r="K148" s="126">
        <v>2</v>
      </c>
      <c r="L148" s="125">
        <f>IF(I148&lt;&gt;0,((VLOOKUP(I148,'1. Standard_Cost'!$B$4:$D$11,2)+VLOOKUP(I148,'1. Standard_Cost'!$B$4:$D$11,3))*J148*K148),"0")</f>
        <v>323000</v>
      </c>
      <c r="M148" s="125">
        <f>L148*'1. Standard_Cost'!$F$4</f>
        <v>53941</v>
      </c>
      <c r="N148" s="126">
        <v>10</v>
      </c>
      <c r="O148" s="126">
        <v>1</v>
      </c>
      <c r="P148" s="126">
        <v>20</v>
      </c>
      <c r="Q148" s="126"/>
      <c r="R148" s="127">
        <f>'1. Standard_Cost'!$B$15*N148*P148</f>
        <v>400000</v>
      </c>
      <c r="S148" s="127">
        <f>N148*O148*P148*'1. Standard_Cost'!$C$15</f>
        <v>300000</v>
      </c>
      <c r="T148" s="127">
        <f>N148*P148*Q148*'1. Standard_Cost'!$D$15</f>
        <v>0</v>
      </c>
      <c r="U148" s="127">
        <f>N148*O148*'1. Standard_Cost'!$E$15</f>
        <v>400000</v>
      </c>
      <c r="V148" s="126"/>
      <c r="W148" s="126"/>
      <c r="X148" s="126"/>
      <c r="Y148" s="127">
        <f>+V148*((X148*'1. Standard_Cost'!$B$19)+(W148*X148*'1. Standard_Cost'!$C$19))</f>
        <v>0</v>
      </c>
      <c r="Z148" s="126"/>
      <c r="AA148" s="126">
        <v>11</v>
      </c>
      <c r="AB148" s="127">
        <f>+Z148*'1. Standard_Cost'!$B$23+AA148*'1. Standard_Cost'!$C$23</f>
        <v>209000</v>
      </c>
      <c r="AC148" s="128">
        <f>200*3300</f>
        <v>660000</v>
      </c>
      <c r="AD148" s="129"/>
      <c r="AE148" s="127">
        <f>SUM(AD148,AC148,AB148,Y148,U148,T148,S148,R148)*'1. Standard_Cost'!$B$31</f>
        <v>393800</v>
      </c>
      <c r="AF148" s="127">
        <f t="shared" si="92"/>
        <v>2362800</v>
      </c>
      <c r="AG148" s="126"/>
      <c r="AH148" s="126"/>
      <c r="AI148" s="126"/>
      <c r="AJ148" s="130"/>
      <c r="AK148" s="130"/>
      <c r="AL148" s="130"/>
      <c r="AM148" s="127">
        <f>AG148*'1. Standard_Cost'!$B$27+'Incremental_Cost Year 9'!AH148*'1. Standard_Cost'!$C$27+'Incremental_Cost Year 9'!AI148*'1. Standard_Cost'!$D$27+'Incremental_Cost Year 9'!AJ148+'Incremental_Cost Year 9'!AL148+AK148</f>
        <v>0</v>
      </c>
      <c r="AN148" s="127">
        <f>AM148*'1. Standard_Cost'!$C$31</f>
        <v>0</v>
      </c>
      <c r="AO148" s="130"/>
      <c r="AQ148" s="171">
        <f t="shared" si="93"/>
        <v>376941</v>
      </c>
      <c r="AR148" s="171">
        <f t="shared" si="94"/>
        <v>2362800</v>
      </c>
      <c r="AS148" s="171">
        <f t="shared" si="95"/>
        <v>0</v>
      </c>
      <c r="AT148" s="171">
        <f t="shared" si="96"/>
        <v>2739741</v>
      </c>
      <c r="AU148" s="250">
        <v>376941</v>
      </c>
      <c r="AV148" s="250"/>
      <c r="AW148" s="250"/>
      <c r="AX148" s="250"/>
      <c r="AY148" s="250"/>
      <c r="AZ148" s="250"/>
      <c r="BA148" s="250"/>
      <c r="BB148" s="251">
        <f t="shared" si="97"/>
        <v>-2362800</v>
      </c>
      <c r="BC148" s="169"/>
      <c r="BD148" s="169"/>
      <c r="BE148" s="169"/>
      <c r="BF148" s="169"/>
    </row>
    <row r="149" spans="1:58" ht="141.75" outlineLevel="1" x14ac:dyDescent="0.25">
      <c r="A149" s="115"/>
      <c r="B149" s="165"/>
      <c r="C149" s="166"/>
      <c r="D149" s="228" t="s">
        <v>464</v>
      </c>
      <c r="E149" s="345" t="s">
        <v>296</v>
      </c>
      <c r="F149" s="136">
        <v>2024</v>
      </c>
      <c r="G149" s="117">
        <v>2030</v>
      </c>
      <c r="H149" s="110" t="s">
        <v>297</v>
      </c>
      <c r="I149" s="252"/>
      <c r="J149" s="252"/>
      <c r="K149" s="252"/>
      <c r="L149" s="127">
        <f>SUM(L141:L148)</f>
        <v>11588500</v>
      </c>
      <c r="M149" s="127">
        <f>SUM(M141:M148)</f>
        <v>1935279.5</v>
      </c>
      <c r="N149" s="127"/>
      <c r="O149" s="252"/>
      <c r="P149" s="252"/>
      <c r="Q149" s="252"/>
      <c r="R149" s="127">
        <f>SUM(R141:R148)</f>
        <v>400000</v>
      </c>
      <c r="S149" s="127">
        <f>SUM(S141:S148)</f>
        <v>300000</v>
      </c>
      <c r="T149" s="127">
        <f>SUM(T141:T148)</f>
        <v>0</v>
      </c>
      <c r="U149" s="127">
        <f>SUM(U141:U148)</f>
        <v>400000</v>
      </c>
      <c r="V149" s="252"/>
      <c r="W149" s="252"/>
      <c r="X149" s="252"/>
      <c r="Y149" s="127">
        <f>SUM(Y141:Y148)</f>
        <v>255000</v>
      </c>
      <c r="Z149" s="252"/>
      <c r="AA149" s="252"/>
      <c r="AB149" s="127">
        <f>SUM(AB141:AB148)</f>
        <v>779000</v>
      </c>
      <c r="AC149" s="127">
        <f>SUM(AC141:AC148)</f>
        <v>3102920</v>
      </c>
      <c r="AD149" s="127">
        <f>SUM(AD141:AD148)</f>
        <v>0</v>
      </c>
      <c r="AE149" s="127">
        <f>SUM(AE141:AE148)</f>
        <v>1047384</v>
      </c>
      <c r="AF149" s="127">
        <f>SUM(AF141:AF148)</f>
        <v>6284304</v>
      </c>
      <c r="AG149" s="252"/>
      <c r="AH149" s="252"/>
      <c r="AI149" s="252"/>
      <c r="AJ149" s="127">
        <f>SUM(AJ141:AJ148)</f>
        <v>0</v>
      </c>
      <c r="AK149" s="127">
        <f>SUM(AK141:AK148)</f>
        <v>0</v>
      </c>
      <c r="AL149" s="127">
        <f>SUM(AL141:AL148)</f>
        <v>0</v>
      </c>
      <c r="AM149" s="127">
        <f>SUM(AM141:AM148)</f>
        <v>0</v>
      </c>
      <c r="AN149" s="127">
        <f>SUM(AN141:AN148)</f>
        <v>0</v>
      </c>
      <c r="AO149" s="253"/>
      <c r="AP149" s="254"/>
      <c r="AQ149" s="175">
        <f>SUM(AQ141:AQ148)</f>
        <v>13523779.5</v>
      </c>
      <c r="AR149" s="175">
        <f>SUM(AR141:AR148)</f>
        <v>6284304</v>
      </c>
      <c r="AS149" s="175">
        <f>SUM(AS141:AS148)</f>
        <v>0</v>
      </c>
      <c r="AT149" s="175">
        <f>SUM(AT141:AT148)</f>
        <v>19808083.5</v>
      </c>
      <c r="AU149" s="175">
        <f t="shared" ref="AU149:BB149" si="98">SUM(AU141:AU148)</f>
        <v>16647283.5</v>
      </c>
      <c r="AV149" s="175">
        <f t="shared" si="98"/>
        <v>0</v>
      </c>
      <c r="AW149" s="175">
        <f t="shared" si="98"/>
        <v>0</v>
      </c>
      <c r="AX149" s="175">
        <f t="shared" si="98"/>
        <v>0</v>
      </c>
      <c r="AY149" s="175">
        <f t="shared" si="98"/>
        <v>0</v>
      </c>
      <c r="AZ149" s="175">
        <f t="shared" si="98"/>
        <v>0</v>
      </c>
      <c r="BA149" s="175">
        <f t="shared" si="98"/>
        <v>0</v>
      </c>
      <c r="BB149" s="175">
        <f t="shared" si="98"/>
        <v>-3160800</v>
      </c>
      <c r="BC149" s="169"/>
      <c r="BD149" s="169"/>
      <c r="BE149" s="169"/>
      <c r="BF149" s="169"/>
    </row>
    <row r="150" spans="1:58" s="170" customFormat="1" ht="15.75" customHeight="1" x14ac:dyDescent="0.25">
      <c r="A150" s="120"/>
      <c r="B150" s="388" t="s">
        <v>231</v>
      </c>
      <c r="C150" s="393"/>
      <c r="D150" s="393"/>
      <c r="E150" s="394"/>
      <c r="F150" s="339"/>
      <c r="G150" s="339"/>
      <c r="H150" s="148" t="s">
        <v>166</v>
      </c>
      <c r="I150" s="265"/>
      <c r="J150" s="243"/>
      <c r="K150" s="243"/>
      <c r="L150" s="243">
        <f>L151+L163+L182</f>
        <v>11006378200</v>
      </c>
      <c r="M150" s="243">
        <f>M151+M163+M182</f>
        <v>1838065159.3999999</v>
      </c>
      <c r="N150" s="243"/>
      <c r="O150" s="243"/>
      <c r="P150" s="243"/>
      <c r="Q150" s="243"/>
      <c r="R150" s="243">
        <f>R151+R163+R182</f>
        <v>0</v>
      </c>
      <c r="S150" s="243">
        <f>S151+S163+S182</f>
        <v>0</v>
      </c>
      <c r="T150" s="243">
        <f>T151+T163+T182</f>
        <v>0</v>
      </c>
      <c r="U150" s="243">
        <f>U151+U163+U182</f>
        <v>0</v>
      </c>
      <c r="V150" s="243"/>
      <c r="W150" s="243"/>
      <c r="X150" s="243"/>
      <c r="Y150" s="243"/>
      <c r="Z150" s="243">
        <v>0</v>
      </c>
      <c r="AA150" s="243"/>
      <c r="AB150" s="243">
        <f>AB151+AB163+AB182</f>
        <v>0</v>
      </c>
      <c r="AC150" s="243">
        <f>AC151+AC163+AC182</f>
        <v>15531086156</v>
      </c>
      <c r="AD150" s="243">
        <f>AD151+AD163+AD182</f>
        <v>0</v>
      </c>
      <c r="AE150" s="243">
        <f>AE151+AE163+AE182</f>
        <v>2000053151</v>
      </c>
      <c r="AF150" s="243">
        <f>AF151+AF163+AF182</f>
        <v>17531139307</v>
      </c>
      <c r="AG150" s="243"/>
      <c r="AH150" s="243"/>
      <c r="AI150" s="243"/>
      <c r="AJ150" s="243">
        <f>AJ151+AJ163+AJ182</f>
        <v>0</v>
      </c>
      <c r="AK150" s="243">
        <f>AK151+AK163+AK182</f>
        <v>0</v>
      </c>
      <c r="AL150" s="243">
        <f>AL151+AL163+AL182</f>
        <v>0</v>
      </c>
      <c r="AM150" s="243">
        <f>AM151+AM163+AM182</f>
        <v>0</v>
      </c>
      <c r="AN150" s="243">
        <f>AN151+AN163+AN182</f>
        <v>0</v>
      </c>
      <c r="AO150" s="243"/>
      <c r="AP150" s="244"/>
      <c r="AQ150" s="243">
        <f>AQ151+AQ163+AQ182</f>
        <v>12844443359.4</v>
      </c>
      <c r="AR150" s="243">
        <f>AR151+AR163+AR182</f>
        <v>17531139307</v>
      </c>
      <c r="AS150" s="243">
        <f>AS151+AS163+AS182</f>
        <v>0</v>
      </c>
      <c r="AT150" s="243">
        <f>AT151+AT163+AT182</f>
        <v>30375582666.399998</v>
      </c>
      <c r="AU150" s="243">
        <f t="shared" ref="AU150:BB150" si="99">AU151+AU163+AU182</f>
        <v>28575582665.900002</v>
      </c>
      <c r="AV150" s="243">
        <f t="shared" si="99"/>
        <v>0</v>
      </c>
      <c r="AW150" s="243">
        <f t="shared" si="99"/>
        <v>0</v>
      </c>
      <c r="AX150" s="243">
        <f t="shared" si="99"/>
        <v>0</v>
      </c>
      <c r="AY150" s="243">
        <f t="shared" si="99"/>
        <v>0</v>
      </c>
      <c r="AZ150" s="243">
        <f t="shared" si="99"/>
        <v>0</v>
      </c>
      <c r="BA150" s="243">
        <f t="shared" si="99"/>
        <v>0</v>
      </c>
      <c r="BB150" s="243">
        <f t="shared" si="99"/>
        <v>-1800000000.5</v>
      </c>
    </row>
    <row r="151" spans="1:58" s="184" customFormat="1" ht="15.75" customHeight="1" x14ac:dyDescent="0.25">
      <c r="A151" s="143"/>
      <c r="B151" s="290"/>
      <c r="C151" s="391" t="s">
        <v>232</v>
      </c>
      <c r="D151" s="391"/>
      <c r="E151" s="392"/>
      <c r="F151" s="287"/>
      <c r="G151" s="289"/>
      <c r="H151" s="149" t="s">
        <v>167</v>
      </c>
      <c r="I151" s="257"/>
      <c r="J151" s="257"/>
      <c r="K151" s="257"/>
      <c r="L151" s="258">
        <f>L156+L159+L162</f>
        <v>11029200</v>
      </c>
      <c r="M151" s="258">
        <f>M156+M159+M162</f>
        <v>1841876.4000000001</v>
      </c>
      <c r="N151" s="257"/>
      <c r="O151" s="257"/>
      <c r="P151" s="257"/>
      <c r="Q151" s="257"/>
      <c r="R151" s="258">
        <f>R156+R159+R162</f>
        <v>0</v>
      </c>
      <c r="S151" s="258">
        <f>S156+S159+S162</f>
        <v>0</v>
      </c>
      <c r="T151" s="258">
        <f>T156+T159+T162</f>
        <v>0</v>
      </c>
      <c r="U151" s="258">
        <f>U156+U159+U162</f>
        <v>0</v>
      </c>
      <c r="V151" s="257"/>
      <c r="W151" s="257"/>
      <c r="X151" s="257"/>
      <c r="Y151" s="258"/>
      <c r="Z151" s="258">
        <v>0</v>
      </c>
      <c r="AA151" s="257"/>
      <c r="AB151" s="258">
        <f>AB156+AB159+AB162</f>
        <v>0</v>
      </c>
      <c r="AC151" s="258">
        <f>AC156+AC159+AC162</f>
        <v>4221301</v>
      </c>
      <c r="AD151" s="258">
        <f>AD156+AD159+AD162</f>
        <v>0</v>
      </c>
      <c r="AE151" s="258">
        <f>AE156+AE159+AE162</f>
        <v>0</v>
      </c>
      <c r="AF151" s="258">
        <f>AF156+AF159+AF162</f>
        <v>4221301</v>
      </c>
      <c r="AG151" s="257"/>
      <c r="AH151" s="257"/>
      <c r="AI151" s="257"/>
      <c r="AJ151" s="258">
        <f>AJ156+AJ159+AJ162</f>
        <v>0</v>
      </c>
      <c r="AK151" s="258">
        <f>AK156+AK159+AK162</f>
        <v>0</v>
      </c>
      <c r="AL151" s="258">
        <f>AL156+AL159+AL162</f>
        <v>0</v>
      </c>
      <c r="AM151" s="258">
        <f>AM156+AM159+AM162</f>
        <v>0</v>
      </c>
      <c r="AN151" s="258">
        <f>AN156+AN159+AN162</f>
        <v>0</v>
      </c>
      <c r="AO151" s="259"/>
      <c r="AP151" s="260"/>
      <c r="AQ151" s="258">
        <f>AQ156+AQ159+AQ162</f>
        <v>12871076.4</v>
      </c>
      <c r="AR151" s="258">
        <f>AR156+AR159+AR162</f>
        <v>4221301</v>
      </c>
      <c r="AS151" s="258">
        <f>AS156+AS159+AS162</f>
        <v>0</v>
      </c>
      <c r="AT151" s="258">
        <f>AT156+AT159+AT162</f>
        <v>17092377.399999999</v>
      </c>
      <c r="AU151" s="258">
        <f t="shared" ref="AU151:BB151" si="100">AU156+AU159+AU162</f>
        <v>17092377</v>
      </c>
      <c r="AV151" s="258">
        <f t="shared" si="100"/>
        <v>0</v>
      </c>
      <c r="AW151" s="258">
        <f t="shared" si="100"/>
        <v>0</v>
      </c>
      <c r="AX151" s="258">
        <f t="shared" si="100"/>
        <v>0</v>
      </c>
      <c r="AY151" s="258">
        <f t="shared" si="100"/>
        <v>0</v>
      </c>
      <c r="AZ151" s="258">
        <f t="shared" si="100"/>
        <v>0</v>
      </c>
      <c r="BA151" s="258">
        <f t="shared" si="100"/>
        <v>0</v>
      </c>
      <c r="BB151" s="258">
        <f t="shared" si="100"/>
        <v>-0.39999999850988388</v>
      </c>
    </row>
    <row r="152" spans="1:58" ht="47.25" outlineLevel="2" x14ac:dyDescent="0.25">
      <c r="A152" s="115"/>
      <c r="B152" s="200"/>
      <c r="C152" s="201"/>
      <c r="D152" s="202"/>
      <c r="E152" s="294"/>
      <c r="F152" s="306"/>
      <c r="G152" s="307"/>
      <c r="H152" s="199" t="s">
        <v>465</v>
      </c>
      <c r="I152" s="130"/>
      <c r="J152" s="126"/>
      <c r="K152" s="126"/>
      <c r="L152" s="125" t="str">
        <f>IF(I152&lt;&gt;0,((VLOOKUP(I152,'1. Standard_Cost'!$B$4:$D$11,2)+VLOOKUP(I152,'1. Standard_Cost'!$B$4:$D$11,3))*J152*K152),"0")</f>
        <v>0</v>
      </c>
      <c r="M152" s="125">
        <f>L152*'1. Standard_Cost'!$F$4</f>
        <v>0</v>
      </c>
      <c r="N152" s="126"/>
      <c r="O152" s="126"/>
      <c r="P152" s="126"/>
      <c r="Q152" s="126"/>
      <c r="R152" s="127">
        <f>'1. Standard_Cost'!$B$15*N152*P152</f>
        <v>0</v>
      </c>
      <c r="S152" s="127">
        <f>N152*O152*P152*'1. Standard_Cost'!$C$15</f>
        <v>0</v>
      </c>
      <c r="T152" s="127">
        <f>N152*P152*Q152*'1. Standard_Cost'!$D$15</f>
        <v>0</v>
      </c>
      <c r="U152" s="127">
        <f>N152*O152*'1. Standard_Cost'!$E$15</f>
        <v>0</v>
      </c>
      <c r="V152" s="126"/>
      <c r="W152" s="126"/>
      <c r="X152" s="126"/>
      <c r="Y152" s="127">
        <f>+V152*((X152*'1. Standard_Cost'!$B$19)+(W152*X152*'1. Standard_Cost'!$C$19))</f>
        <v>0</v>
      </c>
      <c r="Z152" s="126"/>
      <c r="AA152" s="126"/>
      <c r="AB152" s="127">
        <f>+Z152*'1. Standard_Cost'!$B$23+AA152*'1. Standard_Cost'!$C$23</f>
        <v>0</v>
      </c>
      <c r="AC152" s="128"/>
      <c r="AD152" s="129"/>
      <c r="AE152" s="127">
        <f>SUM(AD152,AC152,AB152,Y152,U152,T152,S152,R152)*'1. Standard_Cost'!$B$31</f>
        <v>0</v>
      </c>
      <c r="AF152" s="127">
        <f>SUM(AE152,AD152,AC152,AB152,Y152,U152,T152,S152,R152)</f>
        <v>0</v>
      </c>
      <c r="AG152" s="126"/>
      <c r="AH152" s="126"/>
      <c r="AI152" s="126"/>
      <c r="AJ152" s="130"/>
      <c r="AK152" s="130"/>
      <c r="AL152" s="130"/>
      <c r="AM152" s="127">
        <f>AG152*'1. Standard_Cost'!$B$27+'Incremental_Cost Year 9'!AH152*'1. Standard_Cost'!$C$27+'Incremental_Cost Year 9'!AI152*'1. Standard_Cost'!$D$27+'Incremental_Cost Year 9'!AJ152+'Incremental_Cost Year 9'!AL152+AK152</f>
        <v>0</v>
      </c>
      <c r="AN152" s="127">
        <f>AM152*'1. Standard_Cost'!$C$31</f>
        <v>0</v>
      </c>
      <c r="AO152" s="130"/>
      <c r="AP152" s="256"/>
      <c r="AQ152" s="171">
        <f>L152+M152</f>
        <v>0</v>
      </c>
      <c r="AR152" s="171">
        <f>AF152</f>
        <v>0</v>
      </c>
      <c r="AS152" s="171">
        <f>AM152+AN152</f>
        <v>0</v>
      </c>
      <c r="AT152" s="171">
        <f>SUM(AQ152,AR152,AS152)</f>
        <v>0</v>
      </c>
      <c r="AU152" s="250"/>
      <c r="AV152" s="250"/>
      <c r="AW152" s="250"/>
      <c r="AX152" s="250"/>
      <c r="AY152" s="250"/>
      <c r="AZ152" s="250"/>
      <c r="BA152" s="250"/>
      <c r="BB152" s="251">
        <f t="shared" ref="BB152:BB155" si="101">SUM(AU152:BA152)-AT152</f>
        <v>0</v>
      </c>
      <c r="BC152" s="169"/>
      <c r="BD152" s="169"/>
      <c r="BE152" s="169"/>
      <c r="BF152" s="169"/>
    </row>
    <row r="153" spans="1:58" ht="141.75" outlineLevel="2" x14ac:dyDescent="0.25">
      <c r="A153" s="115"/>
      <c r="B153" s="200"/>
      <c r="C153" s="201"/>
      <c r="D153" s="116"/>
      <c r="E153" s="230"/>
      <c r="F153" s="308"/>
      <c r="G153" s="309"/>
      <c r="H153" s="199" t="s">
        <v>466</v>
      </c>
      <c r="I153" s="130"/>
      <c r="J153" s="126"/>
      <c r="K153" s="126"/>
      <c r="L153" s="125" t="str">
        <f>IF(I153&lt;&gt;0,((VLOOKUP(I153,'1. Standard_Cost'!$B$4:$D$11,2)+VLOOKUP(I153,'1. Standard_Cost'!$B$4:$D$11,3))*J153*K153),"0")</f>
        <v>0</v>
      </c>
      <c r="M153" s="125">
        <f>L153*'1. Standard_Cost'!$F$4</f>
        <v>0</v>
      </c>
      <c r="N153" s="126"/>
      <c r="O153" s="126"/>
      <c r="P153" s="126"/>
      <c r="Q153" s="126"/>
      <c r="R153" s="127">
        <f>'1. Standard_Cost'!$B$15*N153*P153</f>
        <v>0</v>
      </c>
      <c r="S153" s="127">
        <f>N153*O153*P153*'1. Standard_Cost'!$C$15</f>
        <v>0</v>
      </c>
      <c r="T153" s="127">
        <f>N153*P153*Q153*'1. Standard_Cost'!$D$15</f>
        <v>0</v>
      </c>
      <c r="U153" s="127">
        <f>N153*O153*'1. Standard_Cost'!$E$15</f>
        <v>0</v>
      </c>
      <c r="V153" s="126"/>
      <c r="W153" s="126"/>
      <c r="X153" s="126"/>
      <c r="Y153" s="127">
        <f>+V153*((X153*'1. Standard_Cost'!$B$19)+(W153*X153*'1. Standard_Cost'!$C$19))</f>
        <v>0</v>
      </c>
      <c r="Z153" s="126"/>
      <c r="AA153" s="126"/>
      <c r="AB153" s="127">
        <f>+Z153*'1. Standard_Cost'!$B$23+AA153*'1. Standard_Cost'!$C$23</f>
        <v>0</v>
      </c>
      <c r="AC153" s="128"/>
      <c r="AD153" s="129"/>
      <c r="AE153" s="127">
        <f>SUM(AD153,AC153,AB153,Y153,U153,T153,S153,R153)*'1. Standard_Cost'!$B$31</f>
        <v>0</v>
      </c>
      <c r="AF153" s="127">
        <f>SUM(AE153,AD153,AC153,AB153,Y153,U153,T153,S153,R153)</f>
        <v>0</v>
      </c>
      <c r="AG153" s="126"/>
      <c r="AH153" s="126"/>
      <c r="AI153" s="126"/>
      <c r="AJ153" s="130"/>
      <c r="AK153" s="130"/>
      <c r="AL153" s="130"/>
      <c r="AM153" s="127">
        <f>AG153*'1. Standard_Cost'!$B$27+'Incremental_Cost Year 9'!AH153*'1. Standard_Cost'!$C$27+'Incremental_Cost Year 9'!AI153*'1. Standard_Cost'!$D$27+'Incremental_Cost Year 9'!AJ153+'Incremental_Cost Year 9'!AL153+AK153</f>
        <v>0</v>
      </c>
      <c r="AN153" s="127">
        <f>AM153*'1. Standard_Cost'!$C$31</f>
        <v>0</v>
      </c>
      <c r="AO153" s="130"/>
      <c r="AP153" s="256"/>
      <c r="AQ153" s="171">
        <f>L153+M153</f>
        <v>0</v>
      </c>
      <c r="AR153" s="171">
        <f>AF153</f>
        <v>0</v>
      </c>
      <c r="AS153" s="171">
        <f>AM153+AN153</f>
        <v>0</v>
      </c>
      <c r="AT153" s="171">
        <f>SUM(AQ153,AR153,AS153)</f>
        <v>0</v>
      </c>
      <c r="AU153" s="250"/>
      <c r="AV153" s="250"/>
      <c r="AW153" s="250"/>
      <c r="AX153" s="250"/>
      <c r="AY153" s="250"/>
      <c r="AZ153" s="250"/>
      <c r="BA153" s="250"/>
      <c r="BB153" s="251">
        <f t="shared" si="101"/>
        <v>0</v>
      </c>
      <c r="BC153" s="169"/>
      <c r="BD153" s="169"/>
      <c r="BE153" s="169"/>
      <c r="BF153" s="169"/>
    </row>
    <row r="154" spans="1:58" ht="94.5" outlineLevel="2" x14ac:dyDescent="0.25">
      <c r="A154" s="115"/>
      <c r="B154" s="200"/>
      <c r="C154" s="201"/>
      <c r="D154" s="139"/>
      <c r="E154" s="230"/>
      <c r="F154" s="308"/>
      <c r="G154" s="309"/>
      <c r="H154" s="199" t="s">
        <v>467</v>
      </c>
      <c r="I154" s="130"/>
      <c r="J154" s="126"/>
      <c r="K154" s="126"/>
      <c r="L154" s="125" t="str">
        <f>IF(I154&lt;&gt;0,((VLOOKUP(I154,'1. Standard_Cost'!$B$4:$D$11,2)+VLOOKUP(I154,'1. Standard_Cost'!$B$4:$D$11,3))*J154*K154),"0")</f>
        <v>0</v>
      </c>
      <c r="M154" s="125">
        <f>L154*'1. Standard_Cost'!$F$4</f>
        <v>0</v>
      </c>
      <c r="N154" s="126"/>
      <c r="O154" s="126"/>
      <c r="P154" s="126"/>
      <c r="Q154" s="126"/>
      <c r="R154" s="127">
        <f>'1. Standard_Cost'!$B$15*N154*P154</f>
        <v>0</v>
      </c>
      <c r="S154" s="127">
        <f>N154*O154*P154*'1. Standard_Cost'!$C$15</f>
        <v>0</v>
      </c>
      <c r="T154" s="127">
        <f>N154*P154*Q154*'1. Standard_Cost'!$D$15</f>
        <v>0</v>
      </c>
      <c r="U154" s="127">
        <f>N154*O154*'1. Standard_Cost'!$E$15</f>
        <v>0</v>
      </c>
      <c r="V154" s="126"/>
      <c r="W154" s="126"/>
      <c r="X154" s="126"/>
      <c r="Y154" s="127">
        <f>+V154*((X154*'1. Standard_Cost'!$B$19)+(W154*X154*'1. Standard_Cost'!$C$19))</f>
        <v>0</v>
      </c>
      <c r="Z154" s="126"/>
      <c r="AA154" s="126"/>
      <c r="AB154" s="127">
        <f>+Z154*'1. Standard_Cost'!$B$23+AA154*'1. Standard_Cost'!$C$23</f>
        <v>0</v>
      </c>
      <c r="AC154" s="128"/>
      <c r="AD154" s="129"/>
      <c r="AE154" s="127">
        <f>SUM(AD154,AC154,AB154,Y154,U154,T154,S154,R154)*'1. Standard_Cost'!$B$31</f>
        <v>0</v>
      </c>
      <c r="AF154" s="127">
        <f>SUM(AE154,AD154,AC154,AB154,Y154,U154,T154,S154,R154)</f>
        <v>0</v>
      </c>
      <c r="AG154" s="126"/>
      <c r="AH154" s="126"/>
      <c r="AI154" s="126"/>
      <c r="AJ154" s="130"/>
      <c r="AK154" s="130"/>
      <c r="AL154" s="130"/>
      <c r="AM154" s="127">
        <f>AG154*'1. Standard_Cost'!$B$27+'Incremental_Cost Year 9'!AH154*'1. Standard_Cost'!$C$27+'Incremental_Cost Year 9'!AI154*'1. Standard_Cost'!$D$27+'Incremental_Cost Year 9'!AJ154+'Incremental_Cost Year 9'!AL154+AK154</f>
        <v>0</v>
      </c>
      <c r="AN154" s="127">
        <f>AM154*'1. Standard_Cost'!$C$31</f>
        <v>0</v>
      </c>
      <c r="AO154" s="130"/>
      <c r="AP154" s="256"/>
      <c r="AQ154" s="171">
        <f>L154+M154</f>
        <v>0</v>
      </c>
      <c r="AR154" s="171">
        <f>AF154</f>
        <v>0</v>
      </c>
      <c r="AS154" s="171">
        <f>AM154+AN154</f>
        <v>0</v>
      </c>
      <c r="AT154" s="171">
        <f>SUM(AQ154,AR154,AS154)</f>
        <v>0</v>
      </c>
      <c r="AU154" s="250"/>
      <c r="AV154" s="250"/>
      <c r="AW154" s="250"/>
      <c r="AX154" s="250"/>
      <c r="AY154" s="250"/>
      <c r="AZ154" s="250"/>
      <c r="BA154" s="250"/>
      <c r="BB154" s="251">
        <f t="shared" si="101"/>
        <v>0</v>
      </c>
      <c r="BC154" s="169"/>
      <c r="BD154" s="169"/>
      <c r="BE154" s="169"/>
      <c r="BF154" s="169"/>
    </row>
    <row r="155" spans="1:58" ht="141.75" outlineLevel="2" x14ac:dyDescent="0.25">
      <c r="A155" s="115"/>
      <c r="B155" s="200"/>
      <c r="C155" s="201"/>
      <c r="D155" s="151"/>
      <c r="E155" s="121"/>
      <c r="F155" s="311"/>
      <c r="G155" s="312"/>
      <c r="H155" s="199" t="s">
        <v>540</v>
      </c>
      <c r="I155" s="130"/>
      <c r="J155" s="126"/>
      <c r="K155" s="126"/>
      <c r="L155" s="125" t="str">
        <f>IF(I155&lt;&gt;0,((VLOOKUP(I155,'1. Standard_Cost'!$B$4:$D$11,2)+VLOOKUP(I155,'1. Standard_Cost'!$B$4:$D$11,3))*J155*K155),"0")</f>
        <v>0</v>
      </c>
      <c r="M155" s="125">
        <f>L155*'1. Standard_Cost'!$F$4</f>
        <v>0</v>
      </c>
      <c r="N155" s="126"/>
      <c r="O155" s="126"/>
      <c r="P155" s="126"/>
      <c r="Q155" s="126"/>
      <c r="R155" s="127">
        <f>'1. Standard_Cost'!$B$15*N155*P155</f>
        <v>0</v>
      </c>
      <c r="S155" s="127">
        <f>N155*O155*P155*'1. Standard_Cost'!$C$15</f>
        <v>0</v>
      </c>
      <c r="T155" s="127">
        <f>N155*P155*Q155*'1. Standard_Cost'!$D$15</f>
        <v>0</v>
      </c>
      <c r="U155" s="127">
        <f>N155*O155*'1. Standard_Cost'!$E$15</f>
        <v>0</v>
      </c>
      <c r="V155" s="126"/>
      <c r="W155" s="126"/>
      <c r="X155" s="126"/>
      <c r="Y155" s="127">
        <f>+V155*((X155*'1. Standard_Cost'!$B$19)+(W155*X155*'1. Standard_Cost'!$C$19))</f>
        <v>0</v>
      </c>
      <c r="Z155" s="126"/>
      <c r="AA155" s="126"/>
      <c r="AB155" s="127">
        <f>+Z155*'1. Standard_Cost'!$B$23+AA155*'1. Standard_Cost'!$C$23</f>
        <v>0</v>
      </c>
      <c r="AC155" s="128"/>
      <c r="AD155" s="129"/>
      <c r="AE155" s="127">
        <f>SUM(AD155,AC155,AB155,Y155,U155,T155,S155,R155)*'1. Standard_Cost'!$B$31</f>
        <v>0</v>
      </c>
      <c r="AF155" s="127">
        <f>SUM(AE155,AD155,AC155,AB155,Y155,U155,T155,S155,R155)</f>
        <v>0</v>
      </c>
      <c r="AG155" s="126"/>
      <c r="AH155" s="126"/>
      <c r="AI155" s="126"/>
      <c r="AJ155" s="130"/>
      <c r="AK155" s="130"/>
      <c r="AL155" s="130"/>
      <c r="AM155" s="127">
        <f>AG155*'1. Standard_Cost'!$B$27+'Incremental_Cost Year 9'!AH155*'1. Standard_Cost'!$C$27+'Incremental_Cost Year 9'!AI155*'1. Standard_Cost'!$D$27+'Incremental_Cost Year 9'!AJ155+'Incremental_Cost Year 9'!AL155+AK155</f>
        <v>0</v>
      </c>
      <c r="AN155" s="127">
        <f>AM155*'1. Standard_Cost'!$C$31</f>
        <v>0</v>
      </c>
      <c r="AO155" s="130"/>
      <c r="AP155" s="256"/>
      <c r="AQ155" s="171">
        <f>L155+M155</f>
        <v>0</v>
      </c>
      <c r="AR155" s="171">
        <f>AF155</f>
        <v>0</v>
      </c>
      <c r="AS155" s="171">
        <f>AM155+AN155</f>
        <v>0</v>
      </c>
      <c r="AT155" s="171">
        <f>SUM(AQ155,AR155,AS155)</f>
        <v>0</v>
      </c>
      <c r="AU155" s="250"/>
      <c r="AV155" s="250"/>
      <c r="AW155" s="250"/>
      <c r="AX155" s="250"/>
      <c r="AY155" s="250"/>
      <c r="AZ155" s="250"/>
      <c r="BA155" s="250"/>
      <c r="BB155" s="251">
        <f t="shared" si="101"/>
        <v>0</v>
      </c>
      <c r="BC155" s="169"/>
      <c r="BD155" s="169"/>
      <c r="BE155" s="169"/>
      <c r="BF155" s="169"/>
    </row>
    <row r="156" spans="1:58" ht="47.25" outlineLevel="2" x14ac:dyDescent="0.25">
      <c r="A156" s="115"/>
      <c r="B156" s="165"/>
      <c r="C156" s="166"/>
      <c r="D156" s="212" t="s">
        <v>233</v>
      </c>
      <c r="E156" s="212" t="s">
        <v>468</v>
      </c>
      <c r="F156" s="136">
        <v>2021</v>
      </c>
      <c r="G156" s="117">
        <v>2025</v>
      </c>
      <c r="H156" s="110" t="s">
        <v>168</v>
      </c>
      <c r="I156" s="252"/>
      <c r="J156" s="252"/>
      <c r="K156" s="252"/>
      <c r="L156" s="127">
        <f>SUM(L152:L155)</f>
        <v>0</v>
      </c>
      <c r="M156" s="127">
        <f>SUM(M152:M155)</f>
        <v>0</v>
      </c>
      <c r="N156" s="252"/>
      <c r="O156" s="252"/>
      <c r="P156" s="252"/>
      <c r="Q156" s="252"/>
      <c r="R156" s="127">
        <f>SUM(R152:R155)</f>
        <v>0</v>
      </c>
      <c r="S156" s="127">
        <f>SUM(S152:S155)</f>
        <v>0</v>
      </c>
      <c r="T156" s="127">
        <f>SUM(T152:T155)</f>
        <v>0</v>
      </c>
      <c r="U156" s="127">
        <f>SUM(U152:U155)</f>
        <v>0</v>
      </c>
      <c r="V156" s="252"/>
      <c r="W156" s="252"/>
      <c r="X156" s="252"/>
      <c r="Y156" s="127">
        <f>SUM(Y152:Y155)</f>
        <v>0</v>
      </c>
      <c r="Z156" s="252"/>
      <c r="AA156" s="252"/>
      <c r="AB156" s="127">
        <f>SUM(AB152:AB155)</f>
        <v>0</v>
      </c>
      <c r="AC156" s="127">
        <f>SUM(AC152:AC155)</f>
        <v>0</v>
      </c>
      <c r="AD156" s="127">
        <f>SUM(AD152:AD155)</f>
        <v>0</v>
      </c>
      <c r="AE156" s="127">
        <f>SUM(AE152:AE155)</f>
        <v>0</v>
      </c>
      <c r="AF156" s="127">
        <f>SUM(AF152:AF155)</f>
        <v>0</v>
      </c>
      <c r="AG156" s="252"/>
      <c r="AH156" s="252"/>
      <c r="AI156" s="252"/>
      <c r="AJ156" s="127">
        <f>SUM(AJ152:AJ155)</f>
        <v>0</v>
      </c>
      <c r="AK156" s="127">
        <f>SUM(AK152:AK155)</f>
        <v>0</v>
      </c>
      <c r="AL156" s="127">
        <f>SUM(AL152:AL155)</f>
        <v>0</v>
      </c>
      <c r="AM156" s="127">
        <f>SUM(AM152:AM155)</f>
        <v>0</v>
      </c>
      <c r="AN156" s="127">
        <f>SUM(AN152:AN155)</f>
        <v>0</v>
      </c>
      <c r="AO156" s="253"/>
      <c r="AP156" s="254"/>
      <c r="AQ156" s="175">
        <f>SUM(AQ152:AQ155)</f>
        <v>0</v>
      </c>
      <c r="AR156" s="175">
        <f>SUM(AR152:AR155)</f>
        <v>0</v>
      </c>
      <c r="AS156" s="175">
        <f>SUM(AS152:AS155)</f>
        <v>0</v>
      </c>
      <c r="AT156" s="175">
        <f>SUM(AT152:AT155)</f>
        <v>0</v>
      </c>
      <c r="AU156" s="175">
        <f t="shared" ref="AU156:BA156" si="102">SUM(AU152:AU155)</f>
        <v>0</v>
      </c>
      <c r="AV156" s="175">
        <f t="shared" si="102"/>
        <v>0</v>
      </c>
      <c r="AW156" s="175">
        <f t="shared" si="102"/>
        <v>0</v>
      </c>
      <c r="AX156" s="175">
        <f t="shared" si="102"/>
        <v>0</v>
      </c>
      <c r="AY156" s="175">
        <f t="shared" si="102"/>
        <v>0</v>
      </c>
      <c r="AZ156" s="175">
        <f t="shared" si="102"/>
        <v>0</v>
      </c>
      <c r="BA156" s="175">
        <f t="shared" si="102"/>
        <v>0</v>
      </c>
      <c r="BB156" s="175">
        <f>SUM(BB152:BB155)</f>
        <v>0</v>
      </c>
      <c r="BC156" s="169"/>
      <c r="BD156" s="169"/>
      <c r="BE156" s="169"/>
      <c r="BF156" s="169"/>
    </row>
    <row r="157" spans="1:58" ht="141.75" outlineLevel="1" x14ac:dyDescent="0.25">
      <c r="A157" s="115"/>
      <c r="B157" s="200"/>
      <c r="C157" s="201"/>
      <c r="D157" s="342"/>
      <c r="E157" s="328"/>
      <c r="F157" s="328"/>
      <c r="G157" s="328"/>
      <c r="H157" s="213" t="s">
        <v>469</v>
      </c>
      <c r="I157" s="130"/>
      <c r="J157" s="126"/>
      <c r="K157" s="126"/>
      <c r="L157" s="125" t="str">
        <f>IF(I157&lt;&gt;0,((VLOOKUP(I157,'1. Standard_Cost'!$B$4:$D$11,2)+VLOOKUP(I157,'1. Standard_Cost'!$B$4:$D$11,3))*J157*K157),"0")</f>
        <v>0</v>
      </c>
      <c r="M157" s="125">
        <f>L157*'1. Standard_Cost'!$F$4</f>
        <v>0</v>
      </c>
      <c r="N157" s="126"/>
      <c r="O157" s="126"/>
      <c r="P157" s="126"/>
      <c r="Q157" s="126"/>
      <c r="R157" s="127">
        <f>'1. Standard_Cost'!$B$15*N157*P157</f>
        <v>0</v>
      </c>
      <c r="S157" s="127">
        <f>N157*O157*P157*'1. Standard_Cost'!$C$15</f>
        <v>0</v>
      </c>
      <c r="T157" s="127">
        <f>N157*P157*Q157*'1. Standard_Cost'!$D$15</f>
        <v>0</v>
      </c>
      <c r="U157" s="127">
        <f>N157*O157*'1. Standard_Cost'!$E$15</f>
        <v>0</v>
      </c>
      <c r="V157" s="126"/>
      <c r="W157" s="126"/>
      <c r="X157" s="126"/>
      <c r="Y157" s="127">
        <f>+V157*((X157*'1. Standard_Cost'!$B$19)+(W157*X157*'1. Standard_Cost'!$C$19))</f>
        <v>0</v>
      </c>
      <c r="Z157" s="126"/>
      <c r="AA157" s="126"/>
      <c r="AB157" s="127">
        <f>+Z157*'1. Standard_Cost'!$B$23+AA157*'1. Standard_Cost'!$C$23</f>
        <v>0</v>
      </c>
      <c r="AC157" s="128"/>
      <c r="AD157" s="129"/>
      <c r="AE157" s="127">
        <f>SUM(AD157,AC157,AB157,Y157,U157,T157,S157,R157)*'1. Standard_Cost'!$B$31</f>
        <v>0</v>
      </c>
      <c r="AF157" s="127">
        <f>SUM(AE157,AD157,AC157,AB157,Y157,U157,T157,S157,R157)</f>
        <v>0</v>
      </c>
      <c r="AG157" s="126"/>
      <c r="AH157" s="126"/>
      <c r="AI157" s="126"/>
      <c r="AJ157" s="130"/>
      <c r="AK157" s="130"/>
      <c r="AL157" s="130"/>
      <c r="AM157" s="127">
        <f>AG157*'1. Standard_Cost'!$B$27+'Incremental_Cost Year 9'!AH157*'1. Standard_Cost'!$C$27+'Incremental_Cost Year 9'!AI157*'1. Standard_Cost'!$D$27+'Incremental_Cost Year 9'!AJ157+'Incremental_Cost Year 9'!AL157+AK157</f>
        <v>0</v>
      </c>
      <c r="AN157" s="127">
        <f>AM157*'1. Standard_Cost'!$C$31</f>
        <v>0</v>
      </c>
      <c r="AO157" s="130"/>
      <c r="AP157" s="256"/>
      <c r="AQ157" s="171">
        <f>L157+M157</f>
        <v>0</v>
      </c>
      <c r="AR157" s="171">
        <f>AF157</f>
        <v>0</v>
      </c>
      <c r="AS157" s="171">
        <f>AM157+AN157</f>
        <v>0</v>
      </c>
      <c r="AT157" s="171">
        <f>SUM(AQ157,AR157,AS157)</f>
        <v>0</v>
      </c>
      <c r="AU157" s="250"/>
      <c r="AV157" s="250"/>
      <c r="AW157" s="250"/>
      <c r="AX157" s="250"/>
      <c r="AY157" s="250"/>
      <c r="AZ157" s="250"/>
      <c r="BA157" s="250"/>
      <c r="BB157" s="251">
        <f t="shared" ref="BB157:BB158" si="103">SUM(AU157:BA157)-AT157</f>
        <v>0</v>
      </c>
      <c r="BC157" s="169"/>
      <c r="BD157" s="169"/>
      <c r="BE157" s="169"/>
      <c r="BF157" s="169"/>
    </row>
    <row r="158" spans="1:58" ht="47.25" outlineLevel="2" x14ac:dyDescent="0.25">
      <c r="A158" s="115"/>
      <c r="B158" s="200"/>
      <c r="C158" s="201"/>
      <c r="D158" s="344"/>
      <c r="E158" s="328"/>
      <c r="F158" s="328"/>
      <c r="G158" s="328"/>
      <c r="H158" s="199" t="s">
        <v>470</v>
      </c>
      <c r="I158" s="130"/>
      <c r="J158" s="126"/>
      <c r="K158" s="126"/>
      <c r="L158" s="125" t="str">
        <f>IF(I158&lt;&gt;0,((VLOOKUP(I158,'1. Standard_Cost'!$B$4:$D$11,2)+VLOOKUP(I158,'1. Standard_Cost'!$B$4:$D$11,3))*J158*K158),"0")</f>
        <v>0</v>
      </c>
      <c r="M158" s="125">
        <f>L158*'1. Standard_Cost'!$F$4</f>
        <v>0</v>
      </c>
      <c r="N158" s="126"/>
      <c r="O158" s="126"/>
      <c r="P158" s="126"/>
      <c r="Q158" s="126"/>
      <c r="R158" s="127">
        <f>'1. Standard_Cost'!$B$15*N158*P158</f>
        <v>0</v>
      </c>
      <c r="S158" s="127">
        <f>N158*O158*P158*'1. Standard_Cost'!$C$15</f>
        <v>0</v>
      </c>
      <c r="T158" s="127">
        <f>N158*P158*Q158*'1. Standard_Cost'!$D$15</f>
        <v>0</v>
      </c>
      <c r="U158" s="127">
        <f>N158*O158*'1. Standard_Cost'!$E$15</f>
        <v>0</v>
      </c>
      <c r="V158" s="126"/>
      <c r="W158" s="126"/>
      <c r="X158" s="126"/>
      <c r="Y158" s="127">
        <f>+V158*((X158*'1. Standard_Cost'!$B$19)+(W158*X158*'1. Standard_Cost'!$C$19))</f>
        <v>0</v>
      </c>
      <c r="Z158" s="126"/>
      <c r="AA158" s="126"/>
      <c r="AB158" s="127">
        <f>+Z158*'1. Standard_Cost'!$B$23+AA158*'1. Standard_Cost'!$C$23</f>
        <v>0</v>
      </c>
      <c r="AC158" s="128"/>
      <c r="AD158" s="129"/>
      <c r="AE158" s="127">
        <f>SUM(AD158,AC158,AB158,Y158,U158,T158,S158,R158)*'1. Standard_Cost'!$B$31</f>
        <v>0</v>
      </c>
      <c r="AF158" s="127">
        <f>SUM(AE158,AD158,AC158,AB158,Y158,U158,T158,S158,R158)</f>
        <v>0</v>
      </c>
      <c r="AG158" s="126"/>
      <c r="AH158" s="126"/>
      <c r="AI158" s="126"/>
      <c r="AJ158" s="130"/>
      <c r="AK158" s="130"/>
      <c r="AL158" s="130"/>
      <c r="AM158" s="127">
        <f>AG158*'1. Standard_Cost'!$B$27+'Incremental_Cost Year 9'!AH158*'1. Standard_Cost'!$C$27+'Incremental_Cost Year 9'!AI158*'1. Standard_Cost'!$D$27+'Incremental_Cost Year 9'!AJ158+'Incremental_Cost Year 9'!AL158+AK158</f>
        <v>0</v>
      </c>
      <c r="AN158" s="127">
        <f>AM158*'1. Standard_Cost'!$C$31</f>
        <v>0</v>
      </c>
      <c r="AO158" s="130"/>
      <c r="AP158" s="256"/>
      <c r="AQ158" s="171">
        <f>L158+M158</f>
        <v>0</v>
      </c>
      <c r="AR158" s="171">
        <f>AF158</f>
        <v>0</v>
      </c>
      <c r="AS158" s="171">
        <f>AM158+AN158</f>
        <v>0</v>
      </c>
      <c r="AT158" s="171">
        <f>SUM(AQ158,AR158,AS158)</f>
        <v>0</v>
      </c>
      <c r="AU158" s="250"/>
      <c r="AV158" s="250"/>
      <c r="AW158" s="250"/>
      <c r="AX158" s="250"/>
      <c r="AY158" s="250"/>
      <c r="AZ158" s="250"/>
      <c r="BA158" s="250"/>
      <c r="BB158" s="251">
        <f t="shared" si="103"/>
        <v>0</v>
      </c>
      <c r="BC158" s="169"/>
      <c r="BD158" s="169"/>
      <c r="BE158" s="169"/>
      <c r="BF158" s="169"/>
    </row>
    <row r="159" spans="1:58" ht="63" outlineLevel="2" x14ac:dyDescent="0.25">
      <c r="A159" s="115"/>
      <c r="B159" s="165"/>
      <c r="C159" s="166"/>
      <c r="D159" s="150" t="s">
        <v>471</v>
      </c>
      <c r="E159" s="212" t="s">
        <v>472</v>
      </c>
      <c r="F159" s="106">
        <v>2021</v>
      </c>
      <c r="G159" s="104">
        <v>2030</v>
      </c>
      <c r="H159" s="110" t="s">
        <v>179</v>
      </c>
      <c r="I159" s="252"/>
      <c r="J159" s="252"/>
      <c r="K159" s="252"/>
      <c r="L159" s="127">
        <f>SUM(L157:L158)</f>
        <v>0</v>
      </c>
      <c r="M159" s="127">
        <f>SUM(M157:M158)</f>
        <v>0</v>
      </c>
      <c r="N159" s="252"/>
      <c r="O159" s="252"/>
      <c r="P159" s="252"/>
      <c r="Q159" s="252"/>
      <c r="R159" s="127">
        <f>SUM(R157:R158)</f>
        <v>0</v>
      </c>
      <c r="S159" s="127">
        <f>SUM(S157:S158)</f>
        <v>0</v>
      </c>
      <c r="T159" s="127">
        <f>SUM(T157:T158)</f>
        <v>0</v>
      </c>
      <c r="U159" s="127">
        <f>SUM(U157:U158)</f>
        <v>0</v>
      </c>
      <c r="V159" s="252"/>
      <c r="W159" s="252"/>
      <c r="X159" s="252"/>
      <c r="Y159" s="127">
        <f>SUM(Y157:Y158)</f>
        <v>0</v>
      </c>
      <c r="Z159" s="252"/>
      <c r="AA159" s="252"/>
      <c r="AB159" s="127">
        <f>SUM(AB157:AB158)</f>
        <v>0</v>
      </c>
      <c r="AC159" s="127">
        <f>SUM(AC157:AC158)</f>
        <v>0</v>
      </c>
      <c r="AD159" s="127">
        <f>SUM(AD157:AD158)</f>
        <v>0</v>
      </c>
      <c r="AE159" s="127">
        <f>SUM(AE157:AE158)</f>
        <v>0</v>
      </c>
      <c r="AF159" s="127">
        <f>SUM(AF157:AF158)</f>
        <v>0</v>
      </c>
      <c r="AG159" s="252"/>
      <c r="AH159" s="252"/>
      <c r="AI159" s="252"/>
      <c r="AJ159" s="127">
        <f>SUM(AJ157:AJ158)</f>
        <v>0</v>
      </c>
      <c r="AK159" s="127">
        <f>SUM(AK157:AK158)</f>
        <v>0</v>
      </c>
      <c r="AL159" s="127">
        <f>SUM(AL157:AL158)</f>
        <v>0</v>
      </c>
      <c r="AM159" s="127">
        <f>SUM(AM157:AM158)</f>
        <v>0</v>
      </c>
      <c r="AN159" s="127">
        <f>SUM(AN157:AN158)</f>
        <v>0</v>
      </c>
      <c r="AO159" s="253"/>
      <c r="AP159" s="254"/>
      <c r="AQ159" s="175">
        <f>SUM(AQ157:AQ158)</f>
        <v>0</v>
      </c>
      <c r="AR159" s="175">
        <f>SUM(AR157:AR158)</f>
        <v>0</v>
      </c>
      <c r="AS159" s="175">
        <f>SUM(AS157:AS158)</f>
        <v>0</v>
      </c>
      <c r="AT159" s="175">
        <f>SUM(AT157:AT158)</f>
        <v>0</v>
      </c>
      <c r="AU159" s="175">
        <f t="shared" ref="AU159:BB159" si="104">SUM(AU157:AU158)</f>
        <v>0</v>
      </c>
      <c r="AV159" s="175">
        <f t="shared" si="104"/>
        <v>0</v>
      </c>
      <c r="AW159" s="175">
        <f t="shared" si="104"/>
        <v>0</v>
      </c>
      <c r="AX159" s="175">
        <f t="shared" si="104"/>
        <v>0</v>
      </c>
      <c r="AY159" s="175">
        <f t="shared" si="104"/>
        <v>0</v>
      </c>
      <c r="AZ159" s="175">
        <f t="shared" si="104"/>
        <v>0</v>
      </c>
      <c r="BA159" s="175">
        <f t="shared" si="104"/>
        <v>0</v>
      </c>
      <c r="BB159" s="175">
        <f t="shared" si="104"/>
        <v>0</v>
      </c>
      <c r="BC159" s="169"/>
      <c r="BD159" s="169"/>
      <c r="BE159" s="169"/>
      <c r="BF159" s="169"/>
    </row>
    <row r="160" spans="1:58" ht="110.25" outlineLevel="2" x14ac:dyDescent="0.25">
      <c r="A160" s="115"/>
      <c r="B160" s="200"/>
      <c r="C160" s="201"/>
      <c r="D160" s="328"/>
      <c r="E160" s="328"/>
      <c r="F160" s="328"/>
      <c r="G160" s="328"/>
      <c r="H160" s="199" t="s">
        <v>473</v>
      </c>
      <c r="I160" s="130"/>
      <c r="J160" s="126"/>
      <c r="K160" s="126"/>
      <c r="L160" s="125" t="str">
        <f>IF(I160&lt;&gt;0,((VLOOKUP(I160,'1. Standard_Cost'!$B$4:$D$11,2)+VLOOKUP(I160,'1. Standard_Cost'!$B$4:$D$11,3))*J160*K160),"0")</f>
        <v>0</v>
      </c>
      <c r="M160" s="125">
        <f>L160*'1. Standard_Cost'!$F$4</f>
        <v>0</v>
      </c>
      <c r="N160" s="126"/>
      <c r="O160" s="126"/>
      <c r="P160" s="126"/>
      <c r="Q160" s="126"/>
      <c r="R160" s="127">
        <f>'1. Standard_Cost'!$B$15*N160*P160</f>
        <v>0</v>
      </c>
      <c r="S160" s="127">
        <f>N160*O160*P160*'1. Standard_Cost'!$C$15</f>
        <v>0</v>
      </c>
      <c r="T160" s="127">
        <f>N160*P160*Q160*'1. Standard_Cost'!$D$15</f>
        <v>0</v>
      </c>
      <c r="U160" s="127">
        <f>N160*O160*'1. Standard_Cost'!$E$15</f>
        <v>0</v>
      </c>
      <c r="V160" s="126"/>
      <c r="W160" s="126"/>
      <c r="X160" s="126"/>
      <c r="Y160" s="127">
        <f>+V160*((X160*'1. Standard_Cost'!$B$19)+(W160*X160*'1. Standard_Cost'!$C$19))</f>
        <v>0</v>
      </c>
      <c r="Z160" s="126"/>
      <c r="AA160" s="126"/>
      <c r="AB160" s="127">
        <f>+Z160*'1. Standard_Cost'!$B$23+AA160*'1. Standard_Cost'!$C$23</f>
        <v>0</v>
      </c>
      <c r="AC160" s="128"/>
      <c r="AD160" s="129"/>
      <c r="AE160" s="127">
        <f>SUM(AD160,AC160,AB160,Y160,U160,T160,S160,R160)*'1. Standard_Cost'!$B$31</f>
        <v>0</v>
      </c>
      <c r="AF160" s="127">
        <f>SUM(AE160,AD160,AC160,AB160,Y160,U160,T160,S160,R160)</f>
        <v>0</v>
      </c>
      <c r="AG160" s="126"/>
      <c r="AH160" s="126"/>
      <c r="AI160" s="126"/>
      <c r="AJ160" s="130"/>
      <c r="AK160" s="130"/>
      <c r="AL160" s="130"/>
      <c r="AM160" s="127">
        <f>AG160*'1. Standard_Cost'!$B$27+'Incremental_Cost Year 9'!AH160*'1. Standard_Cost'!$C$27+'Incremental_Cost Year 9'!AI160*'1. Standard_Cost'!$D$27+'Incremental_Cost Year 9'!AJ160+'Incremental_Cost Year 9'!AL160+AK160</f>
        <v>0</v>
      </c>
      <c r="AN160" s="127">
        <f>AM160*'1. Standard_Cost'!$C$31</f>
        <v>0</v>
      </c>
      <c r="AO160" s="130"/>
      <c r="AP160" s="256"/>
      <c r="AQ160" s="171">
        <f>L160+M160</f>
        <v>0</v>
      </c>
      <c r="AR160" s="171">
        <f>AF160</f>
        <v>0</v>
      </c>
      <c r="AS160" s="171">
        <f>AM160+AN160</f>
        <v>0</v>
      </c>
      <c r="AT160" s="171">
        <f>SUM(AQ160,AR160,AS160)</f>
        <v>0</v>
      </c>
      <c r="AU160" s="250"/>
      <c r="AV160" s="250"/>
      <c r="AW160" s="250"/>
      <c r="AX160" s="250"/>
      <c r="AY160" s="250"/>
      <c r="AZ160" s="250"/>
      <c r="BA160" s="250"/>
      <c r="BB160" s="251">
        <f t="shared" ref="BB160:BB161" si="105">SUM(AU160:BA160)-AT160</f>
        <v>0</v>
      </c>
      <c r="BC160" s="169"/>
      <c r="BD160" s="169"/>
      <c r="BE160" s="169"/>
      <c r="BF160" s="169"/>
    </row>
    <row r="161" spans="1:58" ht="47.25" outlineLevel="2" x14ac:dyDescent="0.25">
      <c r="A161" s="115"/>
      <c r="B161" s="200"/>
      <c r="C161" s="201"/>
      <c r="D161" s="328"/>
      <c r="E161" s="328"/>
      <c r="F161" s="328"/>
      <c r="G161" s="328"/>
      <c r="H161" s="213" t="s">
        <v>311</v>
      </c>
      <c r="I161" s="130" t="s">
        <v>5</v>
      </c>
      <c r="J161" s="126">
        <v>12</v>
      </c>
      <c r="K161" s="126">
        <v>13</v>
      </c>
      <c r="L161" s="125">
        <f>IF(I161&lt;&gt;0,((VLOOKUP(I161,'1. Standard_Cost'!$B$4:$D$11,2)+VLOOKUP(I161,'1. Standard_Cost'!$B$4:$D$11,3))*J161*K161),"0")</f>
        <v>11029200</v>
      </c>
      <c r="M161" s="125">
        <f>L161*'1. Standard_Cost'!$F$4</f>
        <v>1841876.4000000001</v>
      </c>
      <c r="N161" s="126"/>
      <c r="O161" s="126"/>
      <c r="P161" s="126"/>
      <c r="Q161" s="126"/>
      <c r="R161" s="127">
        <f>'1. Standard_Cost'!$B$15*N161*P161</f>
        <v>0</v>
      </c>
      <c r="S161" s="127">
        <f>N161*O161*P161*'1. Standard_Cost'!$C$15</f>
        <v>0</v>
      </c>
      <c r="T161" s="127">
        <f>N161*P161*Q161*'1. Standard_Cost'!$D$15</f>
        <v>0</v>
      </c>
      <c r="U161" s="127">
        <f>N161*O161*'1. Standard_Cost'!$E$15</f>
        <v>0</v>
      </c>
      <c r="V161" s="126"/>
      <c r="W161" s="126"/>
      <c r="X161" s="126"/>
      <c r="Y161" s="127">
        <f>+V161*((X161*'1. Standard_Cost'!$B$19)+(W161*X161*'1. Standard_Cost'!$C$19))</f>
        <v>0</v>
      </c>
      <c r="Z161" s="126"/>
      <c r="AA161" s="126"/>
      <c r="AB161" s="127">
        <f>+Z161*'1. Standard_Cost'!$B$23+AA161*'1. Standard_Cost'!$C$23</f>
        <v>0</v>
      </c>
      <c r="AC161" s="128">
        <v>4221301</v>
      </c>
      <c r="AD161" s="129"/>
      <c r="AE161" s="127">
        <f>0</f>
        <v>0</v>
      </c>
      <c r="AF161" s="127">
        <f>SUM(AE161,AD161,AC161,AB161,Y161,U161,T161,S161,R161)</f>
        <v>4221301</v>
      </c>
      <c r="AG161" s="126"/>
      <c r="AH161" s="126"/>
      <c r="AI161" s="126"/>
      <c r="AJ161" s="130"/>
      <c r="AK161" s="130"/>
      <c r="AL161" s="130"/>
      <c r="AM161" s="127">
        <f>AG161*'1. Standard_Cost'!$B$27+'Incremental_Cost Year 9'!AH161*'1. Standard_Cost'!$C$27+'Incremental_Cost Year 9'!AI161*'1. Standard_Cost'!$D$27+'Incremental_Cost Year 9'!AJ161+'Incremental_Cost Year 9'!AL161+AK161</f>
        <v>0</v>
      </c>
      <c r="AN161" s="127">
        <f>AM161*'1. Standard_Cost'!$C$31</f>
        <v>0</v>
      </c>
      <c r="AO161" s="130"/>
      <c r="AP161" s="256"/>
      <c r="AQ161" s="171">
        <f>L161+M161</f>
        <v>12871076.4</v>
      </c>
      <c r="AR161" s="171">
        <f>AF161</f>
        <v>4221301</v>
      </c>
      <c r="AS161" s="171">
        <f>AM161+AN161</f>
        <v>0</v>
      </c>
      <c r="AT161" s="171">
        <f>SUM(AQ161,AR161,AS161)</f>
        <v>17092377.399999999</v>
      </c>
      <c r="AU161" s="250">
        <v>17092377</v>
      </c>
      <c r="AV161" s="250"/>
      <c r="AW161" s="250"/>
      <c r="AX161" s="250"/>
      <c r="AY161" s="250"/>
      <c r="AZ161" s="250"/>
      <c r="BA161" s="250"/>
      <c r="BB161" s="251">
        <f t="shared" si="105"/>
        <v>-0.39999999850988388</v>
      </c>
      <c r="BC161" s="169"/>
      <c r="BD161" s="169"/>
      <c r="BE161" s="169"/>
      <c r="BF161" s="169"/>
    </row>
    <row r="162" spans="1:58" ht="47.25" outlineLevel="2" x14ac:dyDescent="0.25">
      <c r="A162" s="115"/>
      <c r="B162" s="165"/>
      <c r="C162" s="166"/>
      <c r="D162" s="107" t="s">
        <v>233</v>
      </c>
      <c r="E162" s="212" t="s">
        <v>474</v>
      </c>
      <c r="F162" s="136">
        <v>2021</v>
      </c>
      <c r="G162" s="117">
        <v>2030</v>
      </c>
      <c r="H162" s="110" t="s">
        <v>180</v>
      </c>
      <c r="I162" s="252"/>
      <c r="J162" s="252"/>
      <c r="K162" s="252"/>
      <c r="L162" s="127">
        <f>SUM(L160:L161)</f>
        <v>11029200</v>
      </c>
      <c r="M162" s="127">
        <f>SUM(M160:M161)</f>
        <v>1841876.4000000001</v>
      </c>
      <c r="N162" s="252"/>
      <c r="O162" s="252"/>
      <c r="P162" s="252"/>
      <c r="Q162" s="252"/>
      <c r="R162" s="127">
        <f>SUM(R160:R161)</f>
        <v>0</v>
      </c>
      <c r="S162" s="127">
        <f>SUM(S160:S161)</f>
        <v>0</v>
      </c>
      <c r="T162" s="127">
        <f>SUM(T160:T161)</f>
        <v>0</v>
      </c>
      <c r="U162" s="127">
        <f>SUM(U160:U161)</f>
        <v>0</v>
      </c>
      <c r="V162" s="252"/>
      <c r="W162" s="252"/>
      <c r="X162" s="252"/>
      <c r="Y162" s="127">
        <f>SUM(Y160:Y161)</f>
        <v>0</v>
      </c>
      <c r="Z162" s="252"/>
      <c r="AA162" s="252"/>
      <c r="AB162" s="127">
        <f>SUM(AB160:AB161)</f>
        <v>0</v>
      </c>
      <c r="AC162" s="127">
        <f>SUM(AC160:AC161)</f>
        <v>4221301</v>
      </c>
      <c r="AD162" s="127">
        <f>SUM(AD160:AD161)</f>
        <v>0</v>
      </c>
      <c r="AE162" s="127">
        <f>SUM(AE160:AE161)</f>
        <v>0</v>
      </c>
      <c r="AF162" s="127">
        <f>SUM(AF160:AF161)</f>
        <v>4221301</v>
      </c>
      <c r="AG162" s="252"/>
      <c r="AH162" s="252"/>
      <c r="AI162" s="252"/>
      <c r="AJ162" s="127">
        <f>SUM(AJ160:AJ161)</f>
        <v>0</v>
      </c>
      <c r="AK162" s="127">
        <f>SUM(AK160:AK161)</f>
        <v>0</v>
      </c>
      <c r="AL162" s="127">
        <f>SUM(AL160:AL161)</f>
        <v>0</v>
      </c>
      <c r="AM162" s="127">
        <f>SUM(AM160:AM161)</f>
        <v>0</v>
      </c>
      <c r="AN162" s="127">
        <f>SUM(AN160:AN161)</f>
        <v>0</v>
      </c>
      <c r="AO162" s="253"/>
      <c r="AP162" s="254"/>
      <c r="AQ162" s="175">
        <f>SUM(AQ160:AQ161)</f>
        <v>12871076.4</v>
      </c>
      <c r="AR162" s="175">
        <f>SUM(AR160:AR161)</f>
        <v>4221301</v>
      </c>
      <c r="AS162" s="175">
        <f>SUM(AS160:AS161)</f>
        <v>0</v>
      </c>
      <c r="AT162" s="175">
        <f>SUM(AT160:AT161)</f>
        <v>17092377.399999999</v>
      </c>
      <c r="AU162" s="175">
        <f t="shared" ref="AU162:BA162" si="106">SUM(AU160:AU161)</f>
        <v>17092377</v>
      </c>
      <c r="AV162" s="175">
        <f t="shared" si="106"/>
        <v>0</v>
      </c>
      <c r="AW162" s="175">
        <f t="shared" si="106"/>
        <v>0</v>
      </c>
      <c r="AX162" s="175">
        <f t="shared" si="106"/>
        <v>0</v>
      </c>
      <c r="AY162" s="175">
        <f t="shared" si="106"/>
        <v>0</v>
      </c>
      <c r="AZ162" s="175">
        <f t="shared" si="106"/>
        <v>0</v>
      </c>
      <c r="BA162" s="175">
        <f t="shared" si="106"/>
        <v>0</v>
      </c>
      <c r="BB162" s="175">
        <f>SUM(BB160:BB161)</f>
        <v>-0.39999999850988388</v>
      </c>
      <c r="BC162" s="169"/>
      <c r="BD162" s="169"/>
      <c r="BE162" s="169"/>
      <c r="BF162" s="169"/>
    </row>
    <row r="163" spans="1:58" ht="15.75" customHeight="1" outlineLevel="2" x14ac:dyDescent="0.25">
      <c r="A163" s="143"/>
      <c r="B163" s="290"/>
      <c r="C163" s="391" t="s">
        <v>234</v>
      </c>
      <c r="D163" s="391"/>
      <c r="E163" s="392"/>
      <c r="F163" s="287"/>
      <c r="G163" s="289"/>
      <c r="H163" s="144" t="s">
        <v>169</v>
      </c>
      <c r="I163" s="257"/>
      <c r="J163" s="257"/>
      <c r="K163" s="257"/>
      <c r="L163" s="258">
        <f>L168+L178+L181</f>
        <v>436722700</v>
      </c>
      <c r="M163" s="258">
        <f>M168+M178+M181</f>
        <v>72932690.900000006</v>
      </c>
      <c r="N163" s="257"/>
      <c r="O163" s="257"/>
      <c r="P163" s="257"/>
      <c r="Q163" s="257"/>
      <c r="R163" s="258">
        <f>R168+R178+R181</f>
        <v>0</v>
      </c>
      <c r="S163" s="258">
        <f>S168+S178+S181</f>
        <v>0</v>
      </c>
      <c r="T163" s="258">
        <f>T168+T178+T181</f>
        <v>0</v>
      </c>
      <c r="U163" s="258">
        <f>U168+U178+U181</f>
        <v>0</v>
      </c>
      <c r="V163" s="257"/>
      <c r="W163" s="257"/>
      <c r="X163" s="257"/>
      <c r="Y163" s="258">
        <f>Y168+Y178+Y181</f>
        <v>0</v>
      </c>
      <c r="Z163" s="258"/>
      <c r="AA163" s="258"/>
      <c r="AB163" s="258">
        <f>AB168+AB178+AB181</f>
        <v>0</v>
      </c>
      <c r="AC163" s="258">
        <f>AC168+AC178+AC181</f>
        <v>5518296855</v>
      </c>
      <c r="AD163" s="258">
        <f>AD168+AD178+AD181</f>
        <v>0</v>
      </c>
      <c r="AE163" s="258">
        <f>AE168+AE178+AE181</f>
        <v>28151</v>
      </c>
      <c r="AF163" s="258">
        <f>AF168+AF178+AF181</f>
        <v>5518325006</v>
      </c>
      <c r="AG163" s="257"/>
      <c r="AH163" s="257"/>
      <c r="AI163" s="257"/>
      <c r="AJ163" s="258">
        <f>AJ168+AJ178+AJ181</f>
        <v>0</v>
      </c>
      <c r="AK163" s="258">
        <f>AK168+AK178+AK181</f>
        <v>0</v>
      </c>
      <c r="AL163" s="258">
        <f>AL168+AL178+AL181</f>
        <v>0</v>
      </c>
      <c r="AM163" s="258">
        <f>AM168+AM178+AM181</f>
        <v>0</v>
      </c>
      <c r="AN163" s="258">
        <f>AN168+AN178+AN181</f>
        <v>0</v>
      </c>
      <c r="AO163" s="259"/>
      <c r="AP163" s="260"/>
      <c r="AQ163" s="261">
        <f>AQ168+AQ178+AQ181</f>
        <v>509655390.89999998</v>
      </c>
      <c r="AR163" s="261">
        <f>AR168+AR178+AR181</f>
        <v>5518325006</v>
      </c>
      <c r="AS163" s="261">
        <f>AS168+AS178+AS181</f>
        <v>0</v>
      </c>
      <c r="AT163" s="261">
        <f>AT168+AT178+AT181</f>
        <v>6027980396.8999996</v>
      </c>
      <c r="AU163" s="261">
        <f t="shared" ref="AU163:BB163" si="107">AU168+AU178+AU181</f>
        <v>6027980396.8999996</v>
      </c>
      <c r="AV163" s="261">
        <f t="shared" si="107"/>
        <v>0</v>
      </c>
      <c r="AW163" s="261">
        <f t="shared" si="107"/>
        <v>0</v>
      </c>
      <c r="AX163" s="261">
        <f t="shared" si="107"/>
        <v>0</v>
      </c>
      <c r="AY163" s="261">
        <f t="shared" si="107"/>
        <v>0</v>
      </c>
      <c r="AZ163" s="261">
        <f t="shared" si="107"/>
        <v>0</v>
      </c>
      <c r="BA163" s="261">
        <f t="shared" si="107"/>
        <v>0</v>
      </c>
      <c r="BB163" s="261">
        <f t="shared" si="107"/>
        <v>0</v>
      </c>
      <c r="BC163" s="184"/>
      <c r="BD163" s="184"/>
      <c r="BE163" s="184"/>
      <c r="BF163" s="184"/>
    </row>
    <row r="164" spans="1:58" ht="78.75" outlineLevel="2" x14ac:dyDescent="0.25">
      <c r="A164" s="115"/>
      <c r="B164" s="200"/>
      <c r="C164" s="201"/>
      <c r="D164" s="333"/>
      <c r="E164" s="295"/>
      <c r="F164" s="306"/>
      <c r="G164" s="307"/>
      <c r="H164" s="199" t="s">
        <v>475</v>
      </c>
      <c r="I164" s="130"/>
      <c r="J164" s="126"/>
      <c r="K164" s="126"/>
      <c r="L164" s="125" t="str">
        <f>IF(I164&lt;&gt;0,((VLOOKUP(I164,'1. Standard_Cost'!$B$4:$D$11,2)+VLOOKUP(I164,'1. Standard_Cost'!$B$4:$D$11,3))*J164*K164),"0")</f>
        <v>0</v>
      </c>
      <c r="M164" s="125">
        <f>L164*'1. Standard_Cost'!$F$4</f>
        <v>0</v>
      </c>
      <c r="N164" s="126"/>
      <c r="O164" s="126"/>
      <c r="P164" s="126"/>
      <c r="Q164" s="126"/>
      <c r="R164" s="127">
        <f>'1. Standard_Cost'!$B$15*N164*P164</f>
        <v>0</v>
      </c>
      <c r="S164" s="127">
        <f>N164*O164*P164*'1. Standard_Cost'!$C$15</f>
        <v>0</v>
      </c>
      <c r="T164" s="127">
        <f>N164*P164*Q164*'1. Standard_Cost'!$D$15</f>
        <v>0</v>
      </c>
      <c r="U164" s="127">
        <f>N164*O164*'1. Standard_Cost'!$E$15</f>
        <v>0</v>
      </c>
      <c r="V164" s="126"/>
      <c r="W164" s="126"/>
      <c r="X164" s="126"/>
      <c r="Y164" s="127">
        <f>+V164*((X164*'1. Standard_Cost'!$B$19)+(W164*X164*'1. Standard_Cost'!$C$19))</f>
        <v>0</v>
      </c>
      <c r="Z164" s="126"/>
      <c r="AA164" s="126"/>
      <c r="AB164" s="127">
        <f>+Z164*'1. Standard_Cost'!$B$23+AA164*'1. Standard_Cost'!$C$23</f>
        <v>0</v>
      </c>
      <c r="AC164" s="128"/>
      <c r="AD164" s="129"/>
      <c r="AE164" s="127">
        <f>SUM(AD164,AC164,AB164,Y164,U164,T164,S164,R164)*'1. Standard_Cost'!$B$31</f>
        <v>0</v>
      </c>
      <c r="AF164" s="127">
        <f>SUM(AE164,AD164,AC164,AB164,Y164,U164,T164,S164,R164)</f>
        <v>0</v>
      </c>
      <c r="AG164" s="126"/>
      <c r="AH164" s="126"/>
      <c r="AI164" s="126"/>
      <c r="AJ164" s="130"/>
      <c r="AK164" s="130"/>
      <c r="AL164" s="130"/>
      <c r="AM164" s="127">
        <f>AG164*'1. Standard_Cost'!$B$27+'Incremental_Cost Year 9'!AH164*'1. Standard_Cost'!$C$27+'Incremental_Cost Year 9'!AI164*'1. Standard_Cost'!$D$27+'Incremental_Cost Year 9'!AJ164+'Incremental_Cost Year 9'!AL164+AK164</f>
        <v>0</v>
      </c>
      <c r="AN164" s="127">
        <f>AM164*'1. Standard_Cost'!$C$31</f>
        <v>0</v>
      </c>
      <c r="AO164" s="130"/>
      <c r="AP164" s="256"/>
      <c r="AQ164" s="171">
        <f>L164+M164</f>
        <v>0</v>
      </c>
      <c r="AR164" s="171">
        <f>AF164</f>
        <v>0</v>
      </c>
      <c r="AS164" s="171">
        <f>AM164+AN164</f>
        <v>0</v>
      </c>
      <c r="AT164" s="171">
        <f>SUM(AQ164,AR164,AS164)</f>
        <v>0</v>
      </c>
      <c r="AU164" s="250"/>
      <c r="AV164" s="250"/>
      <c r="AW164" s="250"/>
      <c r="AX164" s="250"/>
      <c r="AY164" s="250"/>
      <c r="AZ164" s="250"/>
      <c r="BA164" s="250"/>
      <c r="BB164" s="251">
        <f t="shared" ref="BB164:BB167" si="108">SUM(AU164:BA164)-AT164</f>
        <v>0</v>
      </c>
      <c r="BC164" s="169"/>
      <c r="BD164" s="169"/>
      <c r="BE164" s="169"/>
      <c r="BF164" s="169"/>
    </row>
    <row r="165" spans="1:58" ht="78.75" outlineLevel="2" x14ac:dyDescent="0.25">
      <c r="A165" s="115"/>
      <c r="B165" s="200"/>
      <c r="C165" s="201"/>
      <c r="D165" s="151"/>
      <c r="E165" s="219"/>
      <c r="F165" s="308"/>
      <c r="G165" s="309"/>
      <c r="H165" s="199" t="s">
        <v>476</v>
      </c>
      <c r="I165" s="130"/>
      <c r="J165" s="126"/>
      <c r="K165" s="126"/>
      <c r="L165" s="125" t="str">
        <f>IF(I165&lt;&gt;0,((VLOOKUP(I165,'1. Standard_Cost'!$B$4:$D$11,2)+VLOOKUP(I165,'1. Standard_Cost'!$B$4:$D$11,3))*J165*K165),"0")</f>
        <v>0</v>
      </c>
      <c r="M165" s="125">
        <f>L165*'1. Standard_Cost'!$F$4</f>
        <v>0</v>
      </c>
      <c r="N165" s="126"/>
      <c r="O165" s="126"/>
      <c r="P165" s="126"/>
      <c r="Q165" s="126"/>
      <c r="R165" s="127">
        <f>'1. Standard_Cost'!$B$15*N165*P165</f>
        <v>0</v>
      </c>
      <c r="S165" s="127">
        <f>N165*O165*P165*'1. Standard_Cost'!$C$15</f>
        <v>0</v>
      </c>
      <c r="T165" s="127">
        <f>N165*P165*Q165*'1. Standard_Cost'!$D$15</f>
        <v>0</v>
      </c>
      <c r="U165" s="127">
        <f>N165*O165*'1. Standard_Cost'!$E$15</f>
        <v>0</v>
      </c>
      <c r="V165" s="126"/>
      <c r="W165" s="126"/>
      <c r="X165" s="126"/>
      <c r="Y165" s="127">
        <f>+V165*((X165*'1. Standard_Cost'!$B$19)+(W165*X165*'1. Standard_Cost'!$C$19))</f>
        <v>0</v>
      </c>
      <c r="Z165" s="126"/>
      <c r="AA165" s="126"/>
      <c r="AB165" s="127">
        <f>+Z165*'1. Standard_Cost'!$B$23+AA165*'1. Standard_Cost'!$C$23</f>
        <v>0</v>
      </c>
      <c r="AC165" s="128"/>
      <c r="AD165" s="129"/>
      <c r="AE165" s="127">
        <f>SUM(AD165,AC165,AB165,Y165,U165,T165,S165,R165)*'1. Standard_Cost'!$B$31</f>
        <v>0</v>
      </c>
      <c r="AF165" s="127">
        <f>SUM(AE165,AD165,AC165,AB165,Y165,U165,T165,S165,R165)</f>
        <v>0</v>
      </c>
      <c r="AG165" s="126"/>
      <c r="AH165" s="126"/>
      <c r="AI165" s="126"/>
      <c r="AJ165" s="130"/>
      <c r="AK165" s="130"/>
      <c r="AL165" s="130"/>
      <c r="AM165" s="127">
        <f>AG165*'1. Standard_Cost'!$B$27+'Incremental_Cost Year 9'!AH165*'1. Standard_Cost'!$C$27+'Incremental_Cost Year 9'!AI165*'1. Standard_Cost'!$D$27+'Incremental_Cost Year 9'!AJ165+'Incremental_Cost Year 9'!AL165+AK165</f>
        <v>0</v>
      </c>
      <c r="AN165" s="127">
        <f>AM165*'1. Standard_Cost'!$C$31</f>
        <v>0</v>
      </c>
      <c r="AO165" s="130"/>
      <c r="AP165" s="256"/>
      <c r="AQ165" s="171">
        <f>L165+M165</f>
        <v>0</v>
      </c>
      <c r="AR165" s="171">
        <f>AF165</f>
        <v>0</v>
      </c>
      <c r="AS165" s="171">
        <f>AM165+AN165</f>
        <v>0</v>
      </c>
      <c r="AT165" s="171">
        <f>SUM(AQ165,AR165,AS165)</f>
        <v>0</v>
      </c>
      <c r="AU165" s="250"/>
      <c r="AV165" s="250"/>
      <c r="AW165" s="250"/>
      <c r="AX165" s="250"/>
      <c r="AY165" s="250"/>
      <c r="AZ165" s="250"/>
      <c r="BA165" s="250"/>
      <c r="BB165" s="251">
        <f t="shared" si="108"/>
        <v>0</v>
      </c>
      <c r="BC165" s="169"/>
      <c r="BD165" s="169"/>
      <c r="BE165" s="169"/>
      <c r="BF165" s="169"/>
    </row>
    <row r="166" spans="1:58" ht="110.25" outlineLevel="2" x14ac:dyDescent="0.25">
      <c r="A166" s="115"/>
      <c r="B166" s="200"/>
      <c r="C166" s="201"/>
      <c r="D166" s="151"/>
      <c r="E166" s="219"/>
      <c r="F166" s="308"/>
      <c r="G166" s="309"/>
      <c r="H166" s="199" t="s">
        <v>541</v>
      </c>
      <c r="I166" s="130"/>
      <c r="J166" s="126"/>
      <c r="K166" s="126"/>
      <c r="L166" s="125" t="str">
        <f>IF(I166&lt;&gt;0,((VLOOKUP(I166,'1. Standard_Cost'!$B$4:$D$11,2)+VLOOKUP(I166,'1. Standard_Cost'!$B$4:$D$11,3))*J166*K166),"0")</f>
        <v>0</v>
      </c>
      <c r="M166" s="125">
        <f>L166*'1. Standard_Cost'!$F$4</f>
        <v>0</v>
      </c>
      <c r="N166" s="126"/>
      <c r="O166" s="126"/>
      <c r="P166" s="126"/>
      <c r="Q166" s="126"/>
      <c r="R166" s="127">
        <f>'1. Standard_Cost'!$B$15*N166*P166</f>
        <v>0</v>
      </c>
      <c r="S166" s="127">
        <f>N166*O166*P166*'1. Standard_Cost'!$C$15</f>
        <v>0</v>
      </c>
      <c r="T166" s="127">
        <f>N166*P166*Q166*'1. Standard_Cost'!$D$15</f>
        <v>0</v>
      </c>
      <c r="U166" s="127">
        <f>N166*O166*'1. Standard_Cost'!$E$15</f>
        <v>0</v>
      </c>
      <c r="V166" s="126"/>
      <c r="W166" s="126"/>
      <c r="X166" s="126"/>
      <c r="Y166" s="127">
        <f>+V166*((X166*'1. Standard_Cost'!$B$19)+(W166*X166*'1. Standard_Cost'!$C$19))</f>
        <v>0</v>
      </c>
      <c r="Z166" s="126"/>
      <c r="AA166" s="126"/>
      <c r="AB166" s="127">
        <f>+Z166*'1. Standard_Cost'!$B$23+AA166*'1. Standard_Cost'!$C$23</f>
        <v>0</v>
      </c>
      <c r="AC166" s="128"/>
      <c r="AD166" s="129"/>
      <c r="AE166" s="127">
        <f>SUM(AD166,AC166,AB166,Y166,U166,T166,S166,R166)*'1. Standard_Cost'!$B$31</f>
        <v>0</v>
      </c>
      <c r="AF166" s="127">
        <f>SUM(AE166,AD166,AC166,AB166,Y166,U166,T166,S166,R166)</f>
        <v>0</v>
      </c>
      <c r="AG166" s="126"/>
      <c r="AH166" s="126"/>
      <c r="AI166" s="126"/>
      <c r="AJ166" s="130"/>
      <c r="AK166" s="130"/>
      <c r="AL166" s="130"/>
      <c r="AM166" s="127">
        <f>AG166*'1. Standard_Cost'!$B$27+'Incremental_Cost Year 9'!AH166*'1. Standard_Cost'!$C$27+'Incremental_Cost Year 9'!AI166*'1. Standard_Cost'!$D$27+'Incremental_Cost Year 9'!AJ166+'Incremental_Cost Year 9'!AL166+AK166</f>
        <v>0</v>
      </c>
      <c r="AN166" s="127">
        <f>AM166*'1. Standard_Cost'!$C$31</f>
        <v>0</v>
      </c>
      <c r="AO166" s="130"/>
      <c r="AP166" s="256"/>
      <c r="AQ166" s="171">
        <f>L166+M166</f>
        <v>0</v>
      </c>
      <c r="AR166" s="171">
        <f>AF166</f>
        <v>0</v>
      </c>
      <c r="AS166" s="171">
        <f>AM166+AN166</f>
        <v>0</v>
      </c>
      <c r="AT166" s="171">
        <f>SUM(AQ166,AR166,AS166)</f>
        <v>0</v>
      </c>
      <c r="AU166" s="250"/>
      <c r="AV166" s="250"/>
      <c r="AW166" s="250"/>
      <c r="AX166" s="250"/>
      <c r="AY166" s="250"/>
      <c r="AZ166" s="250"/>
      <c r="BA166" s="250"/>
      <c r="BB166" s="251">
        <f t="shared" si="108"/>
        <v>0</v>
      </c>
      <c r="BC166" s="169"/>
      <c r="BD166" s="169"/>
      <c r="BE166" s="169"/>
      <c r="BF166" s="169"/>
    </row>
    <row r="167" spans="1:58" ht="47.25" outlineLevel="2" x14ac:dyDescent="0.25">
      <c r="A167" s="115"/>
      <c r="B167" s="200"/>
      <c r="C167" s="201"/>
      <c r="D167" s="310"/>
      <c r="E167" s="122"/>
      <c r="F167" s="311"/>
      <c r="G167" s="312"/>
      <c r="H167" s="199" t="s">
        <v>315</v>
      </c>
      <c r="I167" s="130" t="s">
        <v>4</v>
      </c>
      <c r="J167" s="126">
        <v>12</v>
      </c>
      <c r="K167" s="126">
        <v>398</v>
      </c>
      <c r="L167" s="125">
        <f>IF(I167&lt;&gt;0,((VLOOKUP(I167,'1. Standard_Cost'!$B$4:$D$11,2)+VLOOKUP(I167,'1. Standard_Cost'!$B$4:$D$11,3))*J167*K167),"0")</f>
        <v>385662000</v>
      </c>
      <c r="M167" s="125">
        <f>L167*'1. Standard_Cost'!$F$4</f>
        <v>64405554</v>
      </c>
      <c r="N167" s="126"/>
      <c r="O167" s="126"/>
      <c r="P167" s="126"/>
      <c r="Q167" s="126"/>
      <c r="R167" s="127">
        <f>'1. Standard_Cost'!$B$15*N167*P167</f>
        <v>0</v>
      </c>
      <c r="S167" s="127">
        <f>N167*O167*P167*'1. Standard_Cost'!$C$15</f>
        <v>0</v>
      </c>
      <c r="T167" s="127">
        <f>N167*P167*Q167*'1. Standard_Cost'!$D$15</f>
        <v>0</v>
      </c>
      <c r="U167" s="127">
        <f>N167*O167*'1. Standard_Cost'!$E$15</f>
        <v>0</v>
      </c>
      <c r="V167" s="126"/>
      <c r="W167" s="126"/>
      <c r="X167" s="126"/>
      <c r="Y167" s="127">
        <f>+V167*((X167*'1. Standard_Cost'!$B$19)+(W167*X167*'1. Standard_Cost'!$C$19))</f>
        <v>0</v>
      </c>
      <c r="Z167" s="126"/>
      <c r="AA167" s="126"/>
      <c r="AB167" s="127">
        <f>+Z167*'1. Standard_Cost'!$B$23+AA167*'1. Standard_Cost'!$C$23</f>
        <v>0</v>
      </c>
      <c r="AC167" s="128">
        <v>911000000</v>
      </c>
      <c r="AD167" s="129"/>
      <c r="AE167" s="127">
        <f>0</f>
        <v>0</v>
      </c>
      <c r="AF167" s="127">
        <f>SUM(AE167,AD167,AC167,AB167,Y167,U167,T167,S167,R167)</f>
        <v>911000000</v>
      </c>
      <c r="AG167" s="126"/>
      <c r="AH167" s="126"/>
      <c r="AI167" s="126"/>
      <c r="AJ167" s="130"/>
      <c r="AK167" s="130"/>
      <c r="AL167" s="130"/>
      <c r="AM167" s="127">
        <f>AG167*'1. Standard_Cost'!$B$27+'Incremental_Cost Year 9'!AH167*'1. Standard_Cost'!$C$27+'Incremental_Cost Year 9'!AI167*'1. Standard_Cost'!$D$27+'Incremental_Cost Year 9'!AJ167+'Incremental_Cost Year 9'!AL167+AK167</f>
        <v>0</v>
      </c>
      <c r="AN167" s="127">
        <f>AM167*'1. Standard_Cost'!$C$31</f>
        <v>0</v>
      </c>
      <c r="AO167" s="130"/>
      <c r="AP167" s="256"/>
      <c r="AQ167" s="171">
        <f>L167+M167</f>
        <v>450067554</v>
      </c>
      <c r="AR167" s="171">
        <f>AF167</f>
        <v>911000000</v>
      </c>
      <c r="AS167" s="171">
        <f>AM167+AN167</f>
        <v>0</v>
      </c>
      <c r="AT167" s="171">
        <f>SUM(AQ167,AR167,AS167)</f>
        <v>1361067554</v>
      </c>
      <c r="AU167" s="250">
        <v>1361067554</v>
      </c>
      <c r="AV167" s="250"/>
      <c r="AW167" s="250"/>
      <c r="AX167" s="250"/>
      <c r="AY167" s="250"/>
      <c r="AZ167" s="250"/>
      <c r="BA167" s="250"/>
      <c r="BB167" s="251">
        <f t="shared" si="108"/>
        <v>0</v>
      </c>
      <c r="BC167" s="169"/>
      <c r="BD167" s="169"/>
      <c r="BE167" s="169"/>
      <c r="BF167" s="169"/>
    </row>
    <row r="168" spans="1:58" ht="78.75" outlineLevel="2" x14ac:dyDescent="0.25">
      <c r="A168" s="115"/>
      <c r="B168" s="165"/>
      <c r="C168" s="166"/>
      <c r="D168" s="139" t="s">
        <v>477</v>
      </c>
      <c r="E168" s="212" t="s">
        <v>478</v>
      </c>
      <c r="F168" s="136">
        <v>2021</v>
      </c>
      <c r="G168" s="117">
        <v>2030</v>
      </c>
      <c r="H168" s="110" t="s">
        <v>170</v>
      </c>
      <c r="I168" s="252"/>
      <c r="J168" s="252"/>
      <c r="K168" s="252"/>
      <c r="L168" s="127">
        <f>SUM(L164:L167)</f>
        <v>385662000</v>
      </c>
      <c r="M168" s="127">
        <f>SUM(M164:M167)</f>
        <v>64405554</v>
      </c>
      <c r="N168" s="252"/>
      <c r="O168" s="252"/>
      <c r="P168" s="252"/>
      <c r="Q168" s="252"/>
      <c r="R168" s="127">
        <f>SUM(R164:R167)</f>
        <v>0</v>
      </c>
      <c r="S168" s="127">
        <f>SUM(S164:S167)</f>
        <v>0</v>
      </c>
      <c r="T168" s="127">
        <f>SUM(T164:T167)</f>
        <v>0</v>
      </c>
      <c r="U168" s="127">
        <f>SUM(U164:U167)</f>
        <v>0</v>
      </c>
      <c r="V168" s="252"/>
      <c r="W168" s="252"/>
      <c r="X168" s="252"/>
      <c r="Y168" s="127">
        <f>SUM(Y164:Y167)</f>
        <v>0</v>
      </c>
      <c r="Z168" s="127"/>
      <c r="AA168" s="252"/>
      <c r="AB168" s="127">
        <f>SUM(AB164:AB167)</f>
        <v>0</v>
      </c>
      <c r="AC168" s="127">
        <f>SUM(AC164:AC167)</f>
        <v>911000000</v>
      </c>
      <c r="AD168" s="127">
        <f>SUM(AD164:AD167)</f>
        <v>0</v>
      </c>
      <c r="AE168" s="127">
        <f>SUM(AE164:AE167)</f>
        <v>0</v>
      </c>
      <c r="AF168" s="127">
        <f>SUM(AF164:AF167)</f>
        <v>911000000</v>
      </c>
      <c r="AG168" s="252"/>
      <c r="AH168" s="252"/>
      <c r="AI168" s="252"/>
      <c r="AJ168" s="127">
        <f>SUM(AJ164:AJ167)</f>
        <v>0</v>
      </c>
      <c r="AK168" s="127">
        <f>SUM(AK164:AK167)</f>
        <v>0</v>
      </c>
      <c r="AL168" s="127">
        <f>SUM(AL164:AL167)</f>
        <v>0</v>
      </c>
      <c r="AM168" s="127">
        <f>SUM(AM164:AM167)</f>
        <v>0</v>
      </c>
      <c r="AN168" s="127">
        <f>SUM(AN164:AN167)</f>
        <v>0</v>
      </c>
      <c r="AO168" s="253"/>
      <c r="AP168" s="254"/>
      <c r="AQ168" s="175">
        <f>SUM(AQ164:AQ167)</f>
        <v>450067554</v>
      </c>
      <c r="AR168" s="175">
        <f>SUM(AR164:AR167)</f>
        <v>911000000</v>
      </c>
      <c r="AS168" s="175">
        <f>SUM(AS164:AS167)</f>
        <v>0</v>
      </c>
      <c r="AT168" s="175">
        <f>SUM(AT164:AT167)</f>
        <v>1361067554</v>
      </c>
      <c r="AU168" s="175">
        <f t="shared" ref="AU168:BA168" si="109">SUM(AU164:AU167)</f>
        <v>1361067554</v>
      </c>
      <c r="AV168" s="175">
        <f t="shared" si="109"/>
        <v>0</v>
      </c>
      <c r="AW168" s="175">
        <f t="shared" si="109"/>
        <v>0</v>
      </c>
      <c r="AX168" s="175">
        <f t="shared" si="109"/>
        <v>0</v>
      </c>
      <c r="AY168" s="175">
        <f t="shared" si="109"/>
        <v>0</v>
      </c>
      <c r="AZ168" s="175">
        <f t="shared" si="109"/>
        <v>0</v>
      </c>
      <c r="BA168" s="175">
        <f t="shared" si="109"/>
        <v>0</v>
      </c>
      <c r="BB168" s="175">
        <f>SUM(BB164:BB167)</f>
        <v>0</v>
      </c>
      <c r="BC168" s="169"/>
      <c r="BD168" s="169"/>
      <c r="BE168" s="169"/>
      <c r="BF168" s="169"/>
    </row>
    <row r="169" spans="1:58" ht="31.5" outlineLevel="1" x14ac:dyDescent="0.25">
      <c r="A169" s="115"/>
      <c r="B169" s="200"/>
      <c r="C169" s="201"/>
      <c r="D169" s="342"/>
      <c r="E169" s="328"/>
      <c r="F169" s="328"/>
      <c r="G169" s="328"/>
      <c r="H169" s="199" t="s">
        <v>479</v>
      </c>
      <c r="I169" s="130"/>
      <c r="J169" s="126"/>
      <c r="K169" s="126"/>
      <c r="L169" s="125" t="str">
        <f>IF(I169&lt;&gt;0,((VLOOKUP(I169,'1. Standard_Cost'!$B$4:$D$11,2)+VLOOKUP(I169,'1. Standard_Cost'!$B$4:$D$11,3))*J169*K169),"0")</f>
        <v>0</v>
      </c>
      <c r="M169" s="125">
        <f>L169*'1. Standard_Cost'!$F$4</f>
        <v>0</v>
      </c>
      <c r="N169" s="126"/>
      <c r="O169" s="126"/>
      <c r="P169" s="126"/>
      <c r="Q169" s="126"/>
      <c r="R169" s="127">
        <f>'1. Standard_Cost'!$B$15*N169*P169</f>
        <v>0</v>
      </c>
      <c r="S169" s="127">
        <f>N169*O169*P169*'1. Standard_Cost'!$C$15</f>
        <v>0</v>
      </c>
      <c r="T169" s="127">
        <f>N169*P169*Q169*'1. Standard_Cost'!$D$15</f>
        <v>0</v>
      </c>
      <c r="U169" s="127">
        <f>N169*O169*'1. Standard_Cost'!$E$15</f>
        <v>0</v>
      </c>
      <c r="V169" s="126"/>
      <c r="W169" s="126"/>
      <c r="X169" s="126"/>
      <c r="Y169" s="127">
        <f>+V169*((X169*'1. Standard_Cost'!$B$19)+(W169*X169*'1. Standard_Cost'!$C$19))</f>
        <v>0</v>
      </c>
      <c r="Z169" s="126"/>
      <c r="AA169" s="126"/>
      <c r="AB169" s="127">
        <f>+Z169*'1. Standard_Cost'!$B$23+AA169*'1. Standard_Cost'!$C$23</f>
        <v>0</v>
      </c>
      <c r="AC169" s="128">
        <v>1320223000</v>
      </c>
      <c r="AD169" s="129"/>
      <c r="AE169" s="127">
        <f>0</f>
        <v>0</v>
      </c>
      <c r="AF169" s="127">
        <f t="shared" ref="AF169:AF177" si="110">SUM(AE169,AD169,AC169,AB169,Y169,U169,T169,S169,R169)</f>
        <v>1320223000</v>
      </c>
      <c r="AG169" s="126"/>
      <c r="AH169" s="126"/>
      <c r="AI169" s="126"/>
      <c r="AJ169" s="130"/>
      <c r="AK169" s="130"/>
      <c r="AL169" s="130"/>
      <c r="AM169" s="127">
        <f>AG169*'1. Standard_Cost'!$B$27+'Incremental_Cost Year 9'!AH169*'1. Standard_Cost'!$C$27+'Incremental_Cost Year 9'!AI169*'1. Standard_Cost'!$D$27+'Incremental_Cost Year 9'!AJ169+'Incremental_Cost Year 9'!AL169+AK169</f>
        <v>0</v>
      </c>
      <c r="AN169" s="127">
        <f>AM169*'1. Standard_Cost'!$C$31</f>
        <v>0</v>
      </c>
      <c r="AO169" s="130"/>
      <c r="AP169" s="256"/>
      <c r="AQ169" s="171">
        <f t="shared" ref="AQ169:AQ177" si="111">L169+M169</f>
        <v>0</v>
      </c>
      <c r="AR169" s="171">
        <f t="shared" ref="AR169:AR177" si="112">AF169</f>
        <v>1320223000</v>
      </c>
      <c r="AS169" s="171">
        <f t="shared" ref="AS169:AS177" si="113">AM169+AN169</f>
        <v>0</v>
      </c>
      <c r="AT169" s="171">
        <f t="shared" ref="AT169:AT177" si="114">SUM(AQ169,AR169,AS169)</f>
        <v>1320223000</v>
      </c>
      <c r="AU169" s="250">
        <v>1320223000</v>
      </c>
      <c r="AV169" s="250"/>
      <c r="AW169" s="250"/>
      <c r="AX169" s="250"/>
      <c r="AY169" s="250"/>
      <c r="AZ169" s="250"/>
      <c r="BA169" s="250"/>
      <c r="BB169" s="251">
        <f t="shared" ref="BB169:BB177" si="115">SUM(AU169:BA169)-AT169</f>
        <v>0</v>
      </c>
      <c r="BC169" s="169"/>
      <c r="BD169" s="169"/>
      <c r="BE169" s="169"/>
      <c r="BF169" s="169"/>
    </row>
    <row r="170" spans="1:58" ht="47.25" outlineLevel="2" x14ac:dyDescent="0.25">
      <c r="A170" s="115"/>
      <c r="B170" s="200"/>
      <c r="C170" s="201"/>
      <c r="D170" s="343"/>
      <c r="E170" s="328"/>
      <c r="F170" s="328"/>
      <c r="G170" s="328"/>
      <c r="H170" s="213" t="s">
        <v>480</v>
      </c>
      <c r="I170" s="130"/>
      <c r="J170" s="126"/>
      <c r="K170" s="126"/>
      <c r="L170" s="125" t="str">
        <f>IF(I170&lt;&gt;0,((VLOOKUP(I170,'1. Standard_Cost'!$B$4:$D$11,2)+VLOOKUP(I170,'1. Standard_Cost'!$B$4:$D$11,3))*J170*K170),"0")</f>
        <v>0</v>
      </c>
      <c r="M170" s="125">
        <f>L170*'1. Standard_Cost'!$F$4</f>
        <v>0</v>
      </c>
      <c r="N170" s="126"/>
      <c r="O170" s="126"/>
      <c r="P170" s="126"/>
      <c r="Q170" s="126"/>
      <c r="R170" s="127">
        <f>'1. Standard_Cost'!$B$15*N170*P170</f>
        <v>0</v>
      </c>
      <c r="S170" s="127">
        <f>N170*O170*P170*'1. Standard_Cost'!$C$15</f>
        <v>0</v>
      </c>
      <c r="T170" s="127">
        <f>N170*P170*Q170*'1. Standard_Cost'!$D$15</f>
        <v>0</v>
      </c>
      <c r="U170" s="127">
        <f>N170*O170*'1. Standard_Cost'!$E$15</f>
        <v>0</v>
      </c>
      <c r="V170" s="126"/>
      <c r="W170" s="126"/>
      <c r="X170" s="126"/>
      <c r="Y170" s="127">
        <f>+V170*((X170*'1. Standard_Cost'!$B$19)+(W170*X170*'1. Standard_Cost'!$C$19))</f>
        <v>0</v>
      </c>
      <c r="Z170" s="126"/>
      <c r="AA170" s="126"/>
      <c r="AB170" s="127">
        <f>+Z170*'1. Standard_Cost'!$B$23+AA170*'1. Standard_Cost'!$C$23</f>
        <v>0</v>
      </c>
      <c r="AC170" s="266">
        <v>946000000</v>
      </c>
      <c r="AD170" s="129"/>
      <c r="AE170" s="127">
        <f>0</f>
        <v>0</v>
      </c>
      <c r="AF170" s="127">
        <f t="shared" si="110"/>
        <v>946000000</v>
      </c>
      <c r="AG170" s="126"/>
      <c r="AH170" s="126"/>
      <c r="AI170" s="126"/>
      <c r="AJ170" s="130"/>
      <c r="AK170" s="130"/>
      <c r="AL170" s="130"/>
      <c r="AM170" s="127">
        <f>AG170*'1. Standard_Cost'!$B$27+'Incremental_Cost Year 9'!AH170*'1. Standard_Cost'!$C$27+'Incremental_Cost Year 9'!AI170*'1. Standard_Cost'!$D$27+'Incremental_Cost Year 9'!AJ170+'Incremental_Cost Year 9'!AL170+AK170</f>
        <v>0</v>
      </c>
      <c r="AN170" s="127">
        <f>AM170*'1. Standard_Cost'!$C$31</f>
        <v>0</v>
      </c>
      <c r="AO170" s="130"/>
      <c r="AP170" s="256"/>
      <c r="AQ170" s="171">
        <f t="shared" si="111"/>
        <v>0</v>
      </c>
      <c r="AR170" s="171">
        <f t="shared" si="112"/>
        <v>946000000</v>
      </c>
      <c r="AS170" s="171">
        <f t="shared" si="113"/>
        <v>0</v>
      </c>
      <c r="AT170" s="171">
        <f t="shared" si="114"/>
        <v>946000000</v>
      </c>
      <c r="AU170" s="250">
        <v>946000000</v>
      </c>
      <c r="AV170" s="250"/>
      <c r="AW170" s="250"/>
      <c r="AX170" s="250"/>
      <c r="AY170" s="250"/>
      <c r="AZ170" s="250"/>
      <c r="BA170" s="250"/>
      <c r="BB170" s="251">
        <f t="shared" si="115"/>
        <v>0</v>
      </c>
      <c r="BC170" s="169"/>
      <c r="BD170" s="169"/>
      <c r="BE170" s="169"/>
      <c r="BF170" s="169"/>
    </row>
    <row r="171" spans="1:58" ht="31.5" outlineLevel="2" x14ac:dyDescent="0.25">
      <c r="A171" s="115"/>
      <c r="B171" s="200"/>
      <c r="C171" s="201"/>
      <c r="D171" s="343"/>
      <c r="E171" s="328"/>
      <c r="F171" s="328"/>
      <c r="G171" s="328"/>
      <c r="H171" s="213" t="s">
        <v>481</v>
      </c>
      <c r="I171" s="130"/>
      <c r="J171" s="126"/>
      <c r="K171" s="126"/>
      <c r="L171" s="125" t="str">
        <f>IF(I171&lt;&gt;0,((VLOOKUP(I171,'1. Standard_Cost'!$B$4:$D$11,2)+VLOOKUP(I171,'1. Standard_Cost'!$B$4:$D$11,3))*J171*K171),"0")</f>
        <v>0</v>
      </c>
      <c r="M171" s="125">
        <f>L171*'1. Standard_Cost'!$F$4</f>
        <v>0</v>
      </c>
      <c r="N171" s="126"/>
      <c r="O171" s="126"/>
      <c r="P171" s="126"/>
      <c r="Q171" s="126"/>
      <c r="R171" s="127">
        <f>'1. Standard_Cost'!$B$15*N171*P171</f>
        <v>0</v>
      </c>
      <c r="S171" s="127">
        <f>N171*O171*P171*'1. Standard_Cost'!$C$15</f>
        <v>0</v>
      </c>
      <c r="T171" s="127">
        <f>N171*P171*Q171*'1. Standard_Cost'!$D$15</f>
        <v>0</v>
      </c>
      <c r="U171" s="127">
        <f>N171*O171*'1. Standard_Cost'!$E$15</f>
        <v>0</v>
      </c>
      <c r="V171" s="126"/>
      <c r="W171" s="126"/>
      <c r="X171" s="126"/>
      <c r="Y171" s="127">
        <f>+V171*((X171*'1. Standard_Cost'!$B$19)+(W171*X171*'1. Standard_Cost'!$C$19))</f>
        <v>0</v>
      </c>
      <c r="Z171" s="126"/>
      <c r="AA171" s="126"/>
      <c r="AB171" s="127">
        <f>+Z171*'1. Standard_Cost'!$B$23+AA171*'1. Standard_Cost'!$C$23</f>
        <v>0</v>
      </c>
      <c r="AC171" s="128">
        <v>1790000000</v>
      </c>
      <c r="AD171" s="129"/>
      <c r="AE171" s="127">
        <f>0</f>
        <v>0</v>
      </c>
      <c r="AF171" s="127">
        <f t="shared" si="110"/>
        <v>1790000000</v>
      </c>
      <c r="AG171" s="126"/>
      <c r="AH171" s="126"/>
      <c r="AI171" s="126"/>
      <c r="AJ171" s="130"/>
      <c r="AK171" s="130"/>
      <c r="AL171" s="130"/>
      <c r="AM171" s="127">
        <f>AG171*'1. Standard_Cost'!$B$27+'Incremental_Cost Year 9'!AH171*'1. Standard_Cost'!$C$27+'Incremental_Cost Year 9'!AI171*'1. Standard_Cost'!$D$27+'Incremental_Cost Year 9'!AJ171+'Incremental_Cost Year 9'!AL171+AK171</f>
        <v>0</v>
      </c>
      <c r="AN171" s="127">
        <f>AM171*'1. Standard_Cost'!$C$31</f>
        <v>0</v>
      </c>
      <c r="AO171" s="130"/>
      <c r="AP171" s="256"/>
      <c r="AQ171" s="171">
        <f t="shared" si="111"/>
        <v>0</v>
      </c>
      <c r="AR171" s="171">
        <f t="shared" si="112"/>
        <v>1790000000</v>
      </c>
      <c r="AS171" s="171">
        <f t="shared" si="113"/>
        <v>0</v>
      </c>
      <c r="AT171" s="171">
        <f t="shared" si="114"/>
        <v>1790000000</v>
      </c>
      <c r="AU171" s="250">
        <v>1790000000</v>
      </c>
      <c r="AV171" s="250"/>
      <c r="AW171" s="250"/>
      <c r="AX171" s="250"/>
      <c r="AY171" s="250"/>
      <c r="AZ171" s="250"/>
      <c r="BA171" s="250"/>
      <c r="BB171" s="251">
        <f t="shared" si="115"/>
        <v>0</v>
      </c>
      <c r="BC171" s="169"/>
      <c r="BD171" s="169"/>
      <c r="BE171" s="169"/>
      <c r="BF171" s="169"/>
    </row>
    <row r="172" spans="1:58" ht="47.25" outlineLevel="2" x14ac:dyDescent="0.25">
      <c r="A172" s="115"/>
      <c r="B172" s="200"/>
      <c r="C172" s="201"/>
      <c r="D172" s="343"/>
      <c r="E172" s="328"/>
      <c r="F172" s="328"/>
      <c r="G172" s="328"/>
      <c r="H172" s="213" t="s">
        <v>542</v>
      </c>
      <c r="I172" s="130"/>
      <c r="J172" s="126"/>
      <c r="K172" s="126"/>
      <c r="L172" s="125" t="str">
        <f>IF(I172&lt;&gt;0,((VLOOKUP(I172,'1. Standard_Cost'!$B$4:$D$11,2)+VLOOKUP(I172,'1. Standard_Cost'!$B$4:$D$11,3))*J172*K172),"0")</f>
        <v>0</v>
      </c>
      <c r="M172" s="125">
        <f>L172*'1. Standard_Cost'!$F$4</f>
        <v>0</v>
      </c>
      <c r="N172" s="126"/>
      <c r="O172" s="126"/>
      <c r="P172" s="126"/>
      <c r="Q172" s="126"/>
      <c r="R172" s="127">
        <f>'1. Standard_Cost'!$B$15*N172*P172</f>
        <v>0</v>
      </c>
      <c r="S172" s="127">
        <f>N172*O172*P172*'1. Standard_Cost'!$C$15</f>
        <v>0</v>
      </c>
      <c r="T172" s="127">
        <f>N172*P172*Q172*'1. Standard_Cost'!$D$15</f>
        <v>0</v>
      </c>
      <c r="U172" s="127">
        <f>N172*O172*'1. Standard_Cost'!$E$15</f>
        <v>0</v>
      </c>
      <c r="V172" s="126"/>
      <c r="W172" s="126"/>
      <c r="X172" s="126"/>
      <c r="Y172" s="127">
        <f>+V172*((X172*'1. Standard_Cost'!$B$19)+(W172*X172*'1. Standard_Cost'!$C$19))</f>
        <v>0</v>
      </c>
      <c r="Z172" s="126"/>
      <c r="AA172" s="126"/>
      <c r="AB172" s="127">
        <f>+Z172*'1. Standard_Cost'!$B$23+AA172*'1. Standard_Cost'!$C$23</f>
        <v>0</v>
      </c>
      <c r="AC172" s="128"/>
      <c r="AD172" s="129"/>
      <c r="AE172" s="127">
        <f>SUM(AD172,AC172,AB172,Y172,U172,T172,S172,R172)*'1. Standard_Cost'!$B$31</f>
        <v>0</v>
      </c>
      <c r="AF172" s="127">
        <f t="shared" si="110"/>
        <v>0</v>
      </c>
      <c r="AG172" s="126"/>
      <c r="AH172" s="126"/>
      <c r="AI172" s="126"/>
      <c r="AJ172" s="130"/>
      <c r="AK172" s="130"/>
      <c r="AL172" s="130"/>
      <c r="AM172" s="127">
        <f>AG172*'1. Standard_Cost'!$B$27+'Incremental_Cost Year 9'!AH172*'1. Standard_Cost'!$C$27+'Incremental_Cost Year 9'!AI172*'1. Standard_Cost'!$D$27+'Incremental_Cost Year 9'!AJ172+'Incremental_Cost Year 9'!AL172+AK172</f>
        <v>0</v>
      </c>
      <c r="AN172" s="127">
        <f>AM172*'1. Standard_Cost'!$C$31</f>
        <v>0</v>
      </c>
      <c r="AO172" s="130"/>
      <c r="AP172" s="256"/>
      <c r="AQ172" s="171">
        <f t="shared" si="111"/>
        <v>0</v>
      </c>
      <c r="AR172" s="171">
        <f t="shared" si="112"/>
        <v>0</v>
      </c>
      <c r="AS172" s="171">
        <f t="shared" si="113"/>
        <v>0</v>
      </c>
      <c r="AT172" s="171">
        <f t="shared" si="114"/>
        <v>0</v>
      </c>
      <c r="AU172" s="250"/>
      <c r="AV172" s="250"/>
      <c r="AW172" s="250"/>
      <c r="AX172" s="250"/>
      <c r="AY172" s="250"/>
      <c r="AZ172" s="250"/>
      <c r="BA172" s="250"/>
      <c r="BB172" s="251">
        <f t="shared" si="115"/>
        <v>0</v>
      </c>
      <c r="BC172" s="169"/>
      <c r="BD172" s="169"/>
      <c r="BE172" s="169"/>
      <c r="BF172" s="169"/>
    </row>
    <row r="173" spans="1:58" ht="31.5" outlineLevel="2" x14ac:dyDescent="0.25">
      <c r="A173" s="115"/>
      <c r="B173" s="200"/>
      <c r="C173" s="201"/>
      <c r="D173" s="343"/>
      <c r="E173" s="328"/>
      <c r="F173" s="328"/>
      <c r="G173" s="328"/>
      <c r="H173" s="213" t="s">
        <v>482</v>
      </c>
      <c r="I173" s="130" t="s">
        <v>5</v>
      </c>
      <c r="J173" s="126">
        <v>12</v>
      </c>
      <c r="K173" s="126">
        <v>59</v>
      </c>
      <c r="L173" s="125">
        <f>IF(I173&lt;&gt;0,((VLOOKUP(I173,'1. Standard_Cost'!$B$4:$D$11,2)+VLOOKUP(I173,'1. Standard_Cost'!$B$4:$D$11,3))*J173*K173),"0")</f>
        <v>50055600</v>
      </c>
      <c r="M173" s="125">
        <f>L173*'1. Standard_Cost'!$F$4</f>
        <v>8359285.2000000002</v>
      </c>
      <c r="N173" s="126"/>
      <c r="O173" s="126"/>
      <c r="P173" s="126"/>
      <c r="Q173" s="126"/>
      <c r="R173" s="127">
        <f>'1. Standard_Cost'!$B$15*N173*P173</f>
        <v>0</v>
      </c>
      <c r="S173" s="127">
        <f>N173*O173*P173*'1. Standard_Cost'!$C$15</f>
        <v>0</v>
      </c>
      <c r="T173" s="127">
        <f>N173*P173*Q173*'1. Standard_Cost'!$D$15</f>
        <v>0</v>
      </c>
      <c r="U173" s="127">
        <f>N173*O173*'1. Standard_Cost'!$E$15</f>
        <v>0</v>
      </c>
      <c r="V173" s="126"/>
      <c r="W173" s="126"/>
      <c r="X173" s="126"/>
      <c r="Y173" s="127">
        <f>+V173*((X173*'1. Standard_Cost'!$B$19)+(W173*X173*'1. Standard_Cost'!$C$19))</f>
        <v>0</v>
      </c>
      <c r="Z173" s="126"/>
      <c r="AA173" s="126"/>
      <c r="AB173" s="127">
        <f>+Z173*'1. Standard_Cost'!$B$23+AA173*'1. Standard_Cost'!$C$23</f>
        <v>0</v>
      </c>
      <c r="AC173" s="128">
        <v>530933100</v>
      </c>
      <c r="AD173" s="129"/>
      <c r="AE173" s="127">
        <f>0</f>
        <v>0</v>
      </c>
      <c r="AF173" s="127">
        <f t="shared" si="110"/>
        <v>530933100</v>
      </c>
      <c r="AG173" s="126"/>
      <c r="AH173" s="126"/>
      <c r="AI173" s="126"/>
      <c r="AJ173" s="130"/>
      <c r="AK173" s="130"/>
      <c r="AL173" s="130"/>
      <c r="AM173" s="127">
        <f>AG173*'1. Standard_Cost'!$B$27+'Incremental_Cost Year 9'!AH173*'1. Standard_Cost'!$C$27+'Incremental_Cost Year 9'!AI173*'1. Standard_Cost'!$D$27+'Incremental_Cost Year 9'!AJ173+'Incremental_Cost Year 9'!AL173+AK173</f>
        <v>0</v>
      </c>
      <c r="AN173" s="127">
        <f>AM173*'1. Standard_Cost'!$C$31</f>
        <v>0</v>
      </c>
      <c r="AO173" s="130"/>
      <c r="AP173" s="256"/>
      <c r="AQ173" s="171">
        <f t="shared" si="111"/>
        <v>58414885.200000003</v>
      </c>
      <c r="AR173" s="171">
        <f t="shared" si="112"/>
        <v>530933100</v>
      </c>
      <c r="AS173" s="171">
        <f t="shared" si="113"/>
        <v>0</v>
      </c>
      <c r="AT173" s="171">
        <f t="shared" si="114"/>
        <v>589347985.20000005</v>
      </c>
      <c r="AU173" s="250">
        <v>589347985.20000005</v>
      </c>
      <c r="AV173" s="250"/>
      <c r="AW173" s="250"/>
      <c r="AX173" s="250"/>
      <c r="AY173" s="250"/>
      <c r="AZ173" s="250"/>
      <c r="BA173" s="250"/>
      <c r="BB173" s="251">
        <f t="shared" si="115"/>
        <v>0</v>
      </c>
      <c r="BC173" s="169"/>
      <c r="BD173" s="169"/>
      <c r="BE173" s="169"/>
      <c r="BF173" s="169"/>
    </row>
    <row r="174" spans="1:58" ht="15.75" outlineLevel="2" x14ac:dyDescent="0.25">
      <c r="A174" s="115"/>
      <c r="B174" s="200"/>
      <c r="C174" s="201"/>
      <c r="D174" s="343"/>
      <c r="E174" s="328"/>
      <c r="F174" s="328"/>
      <c r="G174" s="328"/>
      <c r="H174" s="199"/>
      <c r="I174" s="130"/>
      <c r="J174" s="126"/>
      <c r="K174" s="126"/>
      <c r="L174" s="125" t="str">
        <f>IF(I174&lt;&gt;0,((VLOOKUP(I174,'1. Standard_Cost'!$B$4:$D$11,2)+VLOOKUP(I174,'1. Standard_Cost'!$B$4:$D$11,3))*J174*K174),"0")</f>
        <v>0</v>
      </c>
      <c r="M174" s="125">
        <f>L174*'1. Standard_Cost'!$F$4</f>
        <v>0</v>
      </c>
      <c r="N174" s="126"/>
      <c r="O174" s="126"/>
      <c r="P174" s="126"/>
      <c r="Q174" s="126"/>
      <c r="R174" s="127">
        <f>'1. Standard_Cost'!$B$15*N174*P174</f>
        <v>0</v>
      </c>
      <c r="S174" s="127">
        <f>N174*O174*P174*'1. Standard_Cost'!$C$15</f>
        <v>0</v>
      </c>
      <c r="T174" s="127">
        <f>N174*P174*Q174*'1. Standard_Cost'!$D$15</f>
        <v>0</v>
      </c>
      <c r="U174" s="127">
        <f>N174*O174*'1. Standard_Cost'!$E$15</f>
        <v>0</v>
      </c>
      <c r="V174" s="126"/>
      <c r="W174" s="126"/>
      <c r="X174" s="126"/>
      <c r="Y174" s="127">
        <f>+V174*((X174*'1. Standard_Cost'!$B$19)+(W174*X174*'1. Standard_Cost'!$C$19))</f>
        <v>0</v>
      </c>
      <c r="Z174" s="126"/>
      <c r="AA174" s="126"/>
      <c r="AB174" s="127">
        <f>+Z174*'1. Standard_Cost'!$B$23+AA174*'1. Standard_Cost'!$C$23</f>
        <v>0</v>
      </c>
      <c r="AC174" s="128"/>
      <c r="AD174" s="129"/>
      <c r="AE174" s="127">
        <f>SUM(AD174,AC174,AB174,Y174,U174,T174,S174,R174)*'1. Standard_Cost'!$B$31</f>
        <v>0</v>
      </c>
      <c r="AF174" s="127">
        <f t="shared" si="110"/>
        <v>0</v>
      </c>
      <c r="AG174" s="126"/>
      <c r="AH174" s="126"/>
      <c r="AI174" s="126"/>
      <c r="AJ174" s="130"/>
      <c r="AK174" s="130"/>
      <c r="AL174" s="130"/>
      <c r="AM174" s="127">
        <f>AG174*'1. Standard_Cost'!$B$27+'Incremental_Cost Year 9'!AH174*'1. Standard_Cost'!$C$27+'Incremental_Cost Year 9'!AI174*'1. Standard_Cost'!$D$27+'Incremental_Cost Year 9'!AJ174+'Incremental_Cost Year 9'!AL174+AK174</f>
        <v>0</v>
      </c>
      <c r="AN174" s="127">
        <f>AM174*'1. Standard_Cost'!$C$31</f>
        <v>0</v>
      </c>
      <c r="AO174" s="130"/>
      <c r="AP174" s="256"/>
      <c r="AQ174" s="171">
        <f t="shared" si="111"/>
        <v>0</v>
      </c>
      <c r="AR174" s="171">
        <f t="shared" si="112"/>
        <v>0</v>
      </c>
      <c r="AS174" s="171">
        <f t="shared" si="113"/>
        <v>0</v>
      </c>
      <c r="AT174" s="171">
        <f t="shared" si="114"/>
        <v>0</v>
      </c>
      <c r="AU174" s="250"/>
      <c r="AV174" s="250"/>
      <c r="AW174" s="250"/>
      <c r="AX174" s="250"/>
      <c r="AY174" s="250"/>
      <c r="AZ174" s="250"/>
      <c r="BA174" s="250"/>
      <c r="BB174" s="251">
        <f t="shared" si="115"/>
        <v>0</v>
      </c>
      <c r="BC174" s="169"/>
      <c r="BD174" s="169"/>
      <c r="BE174" s="169"/>
      <c r="BF174" s="169"/>
    </row>
    <row r="175" spans="1:58" ht="63" outlineLevel="2" x14ac:dyDescent="0.25">
      <c r="A175" s="115"/>
      <c r="B175" s="200"/>
      <c r="C175" s="201"/>
      <c r="D175" s="343"/>
      <c r="E175" s="328"/>
      <c r="F175" s="328"/>
      <c r="G175" s="328"/>
      <c r="H175" s="213" t="s">
        <v>483</v>
      </c>
      <c r="I175" s="130"/>
      <c r="J175" s="126"/>
      <c r="K175" s="126"/>
      <c r="L175" s="125" t="str">
        <f>IF(I175&lt;&gt;0,((VLOOKUP(I175,'1. Standard_Cost'!$B$4:$D$11,2)+VLOOKUP(I175,'1. Standard_Cost'!$B$4:$D$11,3))*J175*K175),"0")</f>
        <v>0</v>
      </c>
      <c r="M175" s="125">
        <f>L175*'1. Standard_Cost'!$F$4</f>
        <v>0</v>
      </c>
      <c r="N175" s="126"/>
      <c r="O175" s="126"/>
      <c r="P175" s="126"/>
      <c r="Q175" s="126"/>
      <c r="R175" s="127">
        <f>'1. Standard_Cost'!$B$15*N175*P175</f>
        <v>0</v>
      </c>
      <c r="S175" s="127">
        <f>N175*O175*P175*'1. Standard_Cost'!$C$15</f>
        <v>0</v>
      </c>
      <c r="T175" s="127">
        <f>N175*P175*Q175*'1. Standard_Cost'!$D$15</f>
        <v>0</v>
      </c>
      <c r="U175" s="127">
        <f>N175*O175*'1. Standard_Cost'!$E$15</f>
        <v>0</v>
      </c>
      <c r="V175" s="126"/>
      <c r="W175" s="126"/>
      <c r="X175" s="126"/>
      <c r="Y175" s="127">
        <f>+V175*((X175*'1. Standard_Cost'!$B$19)+(W175*X175*'1. Standard_Cost'!$C$19))</f>
        <v>0</v>
      </c>
      <c r="Z175" s="126"/>
      <c r="AA175" s="126"/>
      <c r="AB175" s="127">
        <f>+Z175*'1. Standard_Cost'!$B$23+AA175*'1. Standard_Cost'!$C$23</f>
        <v>0</v>
      </c>
      <c r="AC175" s="128"/>
      <c r="AD175" s="129"/>
      <c r="AE175" s="127">
        <f>SUM(AD175,AC175,AB175,Y175,U175,T175,S175,R175)*'1. Standard_Cost'!$B$31</f>
        <v>0</v>
      </c>
      <c r="AF175" s="127">
        <f t="shared" si="110"/>
        <v>0</v>
      </c>
      <c r="AG175" s="126"/>
      <c r="AH175" s="126"/>
      <c r="AI175" s="126"/>
      <c r="AJ175" s="130"/>
      <c r="AK175" s="130"/>
      <c r="AL175" s="130"/>
      <c r="AM175" s="127">
        <f>AG175*'1. Standard_Cost'!$B$27+'Incremental_Cost Year 9'!AH175*'1. Standard_Cost'!$C$27+'Incremental_Cost Year 9'!AI175*'1. Standard_Cost'!$D$27+'Incremental_Cost Year 9'!AJ175+'Incremental_Cost Year 9'!AL175+AK175</f>
        <v>0</v>
      </c>
      <c r="AN175" s="127">
        <f>AM175*'1. Standard_Cost'!$C$31</f>
        <v>0</v>
      </c>
      <c r="AO175" s="130"/>
      <c r="AP175" s="256"/>
      <c r="AQ175" s="171">
        <f t="shared" si="111"/>
        <v>0</v>
      </c>
      <c r="AR175" s="171">
        <f t="shared" si="112"/>
        <v>0</v>
      </c>
      <c r="AS175" s="171">
        <f t="shared" si="113"/>
        <v>0</v>
      </c>
      <c r="AT175" s="171">
        <f t="shared" si="114"/>
        <v>0</v>
      </c>
      <c r="AU175" s="250"/>
      <c r="AV175" s="250"/>
      <c r="AW175" s="250"/>
      <c r="AX175" s="250"/>
      <c r="AY175" s="250"/>
      <c r="AZ175" s="250"/>
      <c r="BA175" s="250"/>
      <c r="BB175" s="251">
        <f t="shared" si="115"/>
        <v>0</v>
      </c>
      <c r="BC175" s="169"/>
      <c r="BD175" s="169"/>
      <c r="BE175" s="169"/>
      <c r="BF175" s="169"/>
    </row>
    <row r="176" spans="1:58" ht="63" outlineLevel="2" x14ac:dyDescent="0.25">
      <c r="A176" s="115"/>
      <c r="B176" s="200"/>
      <c r="C176" s="201"/>
      <c r="D176" s="343"/>
      <c r="E176" s="328"/>
      <c r="F176" s="328"/>
      <c r="G176" s="328"/>
      <c r="H176" s="199" t="s">
        <v>484</v>
      </c>
      <c r="I176" s="130" t="s">
        <v>1</v>
      </c>
      <c r="J176" s="126">
        <v>2</v>
      </c>
      <c r="K176" s="126">
        <v>7</v>
      </c>
      <c r="L176" s="125">
        <f>IF(I176&lt;&gt;0,((VLOOKUP(I176,'1. Standard_Cost'!$B$4:$D$11,2)+VLOOKUP(I176,'1. Standard_Cost'!$B$4:$D$11,3))*J176*K176),"0")</f>
        <v>1005100</v>
      </c>
      <c r="M176" s="125">
        <f>L176*'1. Standard_Cost'!$F$4</f>
        <v>167851.7</v>
      </c>
      <c r="N176" s="126"/>
      <c r="O176" s="126"/>
      <c r="P176" s="126"/>
      <c r="Q176" s="126"/>
      <c r="R176" s="127">
        <f>'1. Standard_Cost'!$B$15*N176*P176</f>
        <v>0</v>
      </c>
      <c r="S176" s="127">
        <f>N176*O176*P176*'1. Standard_Cost'!$C$15</f>
        <v>0</v>
      </c>
      <c r="T176" s="127">
        <f>N176*P176*Q176*'1. Standard_Cost'!$D$15</f>
        <v>0</v>
      </c>
      <c r="U176" s="127">
        <f>N176*O176*'1. Standard_Cost'!$E$15</f>
        <v>0</v>
      </c>
      <c r="V176" s="126"/>
      <c r="W176" s="126"/>
      <c r="X176" s="126"/>
      <c r="Y176" s="127">
        <f>+V176*((X176*'1. Standard_Cost'!$B$19)+(W176*X176*'1. Standard_Cost'!$C$19))</f>
        <v>0</v>
      </c>
      <c r="Z176" s="126"/>
      <c r="AA176" s="126"/>
      <c r="AB176" s="127">
        <f>+Z176*'1. Standard_Cost'!$B$23+AA176*'1. Standard_Cost'!$C$23</f>
        <v>0</v>
      </c>
      <c r="AC176" s="128">
        <v>140755</v>
      </c>
      <c r="AD176" s="129"/>
      <c r="AE176" s="127">
        <f>SUM(AD176,AC176,AB176,Y176,U176,T176,S176,R176)*'1. Standard_Cost'!$B$31</f>
        <v>28151</v>
      </c>
      <c r="AF176" s="127">
        <f t="shared" si="110"/>
        <v>168906</v>
      </c>
      <c r="AG176" s="126"/>
      <c r="AH176" s="126"/>
      <c r="AI176" s="126"/>
      <c r="AJ176" s="130"/>
      <c r="AK176" s="130"/>
      <c r="AL176" s="130"/>
      <c r="AM176" s="127">
        <f>AG176*'1. Standard_Cost'!$B$27+'Incremental_Cost Year 9'!AH176*'1. Standard_Cost'!$C$27+'Incremental_Cost Year 9'!AI176*'1. Standard_Cost'!$D$27+'Incremental_Cost Year 9'!AJ176+'Incremental_Cost Year 9'!AL176+AK176</f>
        <v>0</v>
      </c>
      <c r="AN176" s="127">
        <f>AM176*'1. Standard_Cost'!$C$31</f>
        <v>0</v>
      </c>
      <c r="AO176" s="130"/>
      <c r="AP176" s="256"/>
      <c r="AQ176" s="171">
        <f t="shared" si="111"/>
        <v>1172951.7</v>
      </c>
      <c r="AR176" s="171">
        <f t="shared" si="112"/>
        <v>168906</v>
      </c>
      <c r="AS176" s="171">
        <f t="shared" si="113"/>
        <v>0</v>
      </c>
      <c r="AT176" s="171">
        <f t="shared" si="114"/>
        <v>1341857.7</v>
      </c>
      <c r="AU176" s="250">
        <v>1341857.7</v>
      </c>
      <c r="AV176" s="250"/>
      <c r="AW176" s="250"/>
      <c r="AX176" s="250"/>
      <c r="AY176" s="250"/>
      <c r="AZ176" s="250"/>
      <c r="BA176" s="250"/>
      <c r="BB176" s="251">
        <f t="shared" si="115"/>
        <v>0</v>
      </c>
      <c r="BC176" s="169"/>
      <c r="BD176" s="169"/>
      <c r="BE176" s="169"/>
      <c r="BF176" s="169"/>
    </row>
    <row r="177" spans="1:58" ht="31.5" outlineLevel="2" x14ac:dyDescent="0.25">
      <c r="A177" s="115"/>
      <c r="B177" s="200"/>
      <c r="C177" s="201"/>
      <c r="D177" s="344"/>
      <c r="E177" s="328"/>
      <c r="F177" s="328"/>
      <c r="G177" s="328"/>
      <c r="H177" s="231" t="s">
        <v>235</v>
      </c>
      <c r="I177" s="130"/>
      <c r="J177" s="126"/>
      <c r="K177" s="126"/>
      <c r="L177" s="125" t="str">
        <f>IF(I177&lt;&gt;0,((VLOOKUP(I177,'1. Standard_Cost'!$B$4:$D$11,2)+VLOOKUP(I177,'1. Standard_Cost'!$B$4:$D$11,3))*J177*K177),"0")</f>
        <v>0</v>
      </c>
      <c r="M177" s="125">
        <f>L177*'1. Standard_Cost'!$F$4</f>
        <v>0</v>
      </c>
      <c r="N177" s="126"/>
      <c r="O177" s="126"/>
      <c r="P177" s="126"/>
      <c r="Q177" s="126"/>
      <c r="R177" s="127">
        <f>'1. Standard_Cost'!$B$15*N177*P177</f>
        <v>0</v>
      </c>
      <c r="S177" s="127">
        <f>N177*O177*P177*'1. Standard_Cost'!$C$15</f>
        <v>0</v>
      </c>
      <c r="T177" s="127">
        <f>N177*P177*Q177*'1. Standard_Cost'!$D$15</f>
        <v>0</v>
      </c>
      <c r="U177" s="127">
        <f>N177*O177*'1. Standard_Cost'!$E$15</f>
        <v>0</v>
      </c>
      <c r="V177" s="126"/>
      <c r="W177" s="126"/>
      <c r="X177" s="126"/>
      <c r="Y177" s="127">
        <f>+V177*((X177*'1. Standard_Cost'!$B$19)+(W177*X177*'1. Standard_Cost'!$C$19))</f>
        <v>0</v>
      </c>
      <c r="Z177" s="126"/>
      <c r="AA177" s="126"/>
      <c r="AB177" s="127">
        <f>+Z177*'1. Standard_Cost'!$B$23+AA177*'1. Standard_Cost'!$C$23</f>
        <v>0</v>
      </c>
      <c r="AC177" s="128">
        <v>20000000</v>
      </c>
      <c r="AD177" s="129"/>
      <c r="AE177" s="127">
        <f>0</f>
        <v>0</v>
      </c>
      <c r="AF177" s="127">
        <f t="shared" si="110"/>
        <v>20000000</v>
      </c>
      <c r="AG177" s="126"/>
      <c r="AH177" s="126"/>
      <c r="AI177" s="126"/>
      <c r="AJ177" s="130"/>
      <c r="AK177" s="130"/>
      <c r="AL177" s="130"/>
      <c r="AM177" s="127">
        <f>AG177*'1. Standard_Cost'!$B$27+'Incremental_Cost Year 9'!AH177*'1. Standard_Cost'!$C$27+'Incremental_Cost Year 9'!AI177*'1. Standard_Cost'!$D$27+'Incremental_Cost Year 9'!AJ177+'Incremental_Cost Year 9'!AL177+AK177</f>
        <v>0</v>
      </c>
      <c r="AN177" s="127">
        <f>AM177*'1. Standard_Cost'!$C$31</f>
        <v>0</v>
      </c>
      <c r="AO177" s="130"/>
      <c r="AP177" s="256"/>
      <c r="AQ177" s="171">
        <f t="shared" si="111"/>
        <v>0</v>
      </c>
      <c r="AR177" s="171">
        <f t="shared" si="112"/>
        <v>20000000</v>
      </c>
      <c r="AS177" s="171">
        <f t="shared" si="113"/>
        <v>0</v>
      </c>
      <c r="AT177" s="171">
        <f t="shared" si="114"/>
        <v>20000000</v>
      </c>
      <c r="AU177" s="250">
        <v>20000000</v>
      </c>
      <c r="AV177" s="250"/>
      <c r="AW177" s="250"/>
      <c r="AX177" s="250"/>
      <c r="AY177" s="250"/>
      <c r="AZ177" s="250"/>
      <c r="BA177" s="250"/>
      <c r="BB177" s="251">
        <f t="shared" si="115"/>
        <v>0</v>
      </c>
      <c r="BC177" s="169"/>
      <c r="BD177" s="169"/>
      <c r="BE177" s="169"/>
      <c r="BF177" s="169"/>
    </row>
    <row r="178" spans="1:58" ht="78.75" outlineLevel="2" x14ac:dyDescent="0.25">
      <c r="A178" s="115"/>
      <c r="B178" s="165"/>
      <c r="C178" s="166"/>
      <c r="D178" s="150" t="s">
        <v>485</v>
      </c>
      <c r="E178" s="212" t="s">
        <v>486</v>
      </c>
      <c r="F178" s="106">
        <v>2021</v>
      </c>
      <c r="G178" s="104">
        <v>2030</v>
      </c>
      <c r="H178" s="110" t="s">
        <v>181</v>
      </c>
      <c r="I178" s="252"/>
      <c r="J178" s="252"/>
      <c r="K178" s="252"/>
      <c r="L178" s="127">
        <f>SUM(L169:L177)</f>
        <v>51060700</v>
      </c>
      <c r="M178" s="127">
        <f>SUM(M169:M177)</f>
        <v>8527136.9000000004</v>
      </c>
      <c r="N178" s="252"/>
      <c r="O178" s="252"/>
      <c r="P178" s="252"/>
      <c r="Q178" s="252"/>
      <c r="R178" s="127">
        <f>SUM(R169:R177)</f>
        <v>0</v>
      </c>
      <c r="S178" s="127">
        <f>SUM(S169:S177)</f>
        <v>0</v>
      </c>
      <c r="T178" s="127">
        <f>SUM(T169:T177)</f>
        <v>0</v>
      </c>
      <c r="U178" s="127">
        <f>SUM(U169:U177)</f>
        <v>0</v>
      </c>
      <c r="V178" s="252"/>
      <c r="W178" s="252"/>
      <c r="X178" s="252"/>
      <c r="Y178" s="127">
        <f>SUM(Y169:Y177)</f>
        <v>0</v>
      </c>
      <c r="Z178" s="127"/>
      <c r="AA178" s="252"/>
      <c r="AB178" s="127">
        <f>SUM(AB169:AB177)</f>
        <v>0</v>
      </c>
      <c r="AC178" s="127">
        <f>SUM(AC169:AC177)</f>
        <v>4607296855</v>
      </c>
      <c r="AD178" s="127">
        <f>SUM(AD169:AD177)</f>
        <v>0</v>
      </c>
      <c r="AE178" s="127">
        <f>SUM(AE169:AE177)</f>
        <v>28151</v>
      </c>
      <c r="AF178" s="127">
        <f>SUM(AF169:AF177)</f>
        <v>4607325006</v>
      </c>
      <c r="AG178" s="252"/>
      <c r="AH178" s="252"/>
      <c r="AI178" s="252"/>
      <c r="AJ178" s="127">
        <f>SUM(AJ169:AJ177)</f>
        <v>0</v>
      </c>
      <c r="AK178" s="127">
        <f>SUM(AK169:AK177)</f>
        <v>0</v>
      </c>
      <c r="AL178" s="127">
        <f>SUM(AL169:AL177)</f>
        <v>0</v>
      </c>
      <c r="AM178" s="127">
        <f>SUM(AM169:AM177)</f>
        <v>0</v>
      </c>
      <c r="AN178" s="127">
        <f>SUM(AN169:AN177)</f>
        <v>0</v>
      </c>
      <c r="AO178" s="253"/>
      <c r="AP178" s="254"/>
      <c r="AQ178" s="175">
        <f>SUM(AQ169:AQ177)</f>
        <v>59587836.900000006</v>
      </c>
      <c r="AR178" s="175">
        <f>SUM(AR169:AR177)</f>
        <v>4607325006</v>
      </c>
      <c r="AS178" s="175">
        <f>SUM(AS169:AS177)</f>
        <v>0</v>
      </c>
      <c r="AT178" s="175">
        <f>SUM(AT169:AT177)</f>
        <v>4666912842.8999996</v>
      </c>
      <c r="AU178" s="175">
        <f t="shared" ref="AU178:BA178" si="116">SUM(AU169:AU177)</f>
        <v>4666912842.8999996</v>
      </c>
      <c r="AV178" s="175">
        <f t="shared" si="116"/>
        <v>0</v>
      </c>
      <c r="AW178" s="175">
        <f t="shared" si="116"/>
        <v>0</v>
      </c>
      <c r="AX178" s="175">
        <f t="shared" si="116"/>
        <v>0</v>
      </c>
      <c r="AY178" s="175">
        <f t="shared" si="116"/>
        <v>0</v>
      </c>
      <c r="AZ178" s="175">
        <f t="shared" si="116"/>
        <v>0</v>
      </c>
      <c r="BA178" s="175">
        <f t="shared" si="116"/>
        <v>0</v>
      </c>
      <c r="BB178" s="175">
        <f>SUM(BB169:BB177)</f>
        <v>0</v>
      </c>
      <c r="BC178" s="169"/>
      <c r="BD178" s="169"/>
      <c r="BE178" s="169"/>
      <c r="BF178" s="169"/>
    </row>
    <row r="179" spans="1:58" ht="31.5" outlineLevel="2" x14ac:dyDescent="0.25">
      <c r="A179" s="115"/>
      <c r="B179" s="200"/>
      <c r="C179" s="201"/>
      <c r="D179" s="210"/>
      <c r="E179" s="328"/>
      <c r="F179" s="328"/>
      <c r="G179" s="328"/>
      <c r="H179" s="199" t="s">
        <v>487</v>
      </c>
      <c r="I179" s="130"/>
      <c r="J179" s="126"/>
      <c r="K179" s="126"/>
      <c r="L179" s="125" t="str">
        <f>IF(I179&lt;&gt;0,((VLOOKUP(I179,'1. Standard_Cost'!$B$4:$D$11,2)+VLOOKUP(I179,'1. Standard_Cost'!$B$4:$D$11,3))*J179*K179),"0")</f>
        <v>0</v>
      </c>
      <c r="M179" s="125">
        <f>L179*'1. Standard_Cost'!$F$4</f>
        <v>0</v>
      </c>
      <c r="N179" s="126"/>
      <c r="O179" s="126"/>
      <c r="P179" s="126"/>
      <c r="Q179" s="126"/>
      <c r="R179" s="127">
        <f>'1. Standard_Cost'!$B$15*N179*P179</f>
        <v>0</v>
      </c>
      <c r="S179" s="127">
        <f>N179*O179*P179*'1. Standard_Cost'!$C$15</f>
        <v>0</v>
      </c>
      <c r="T179" s="127">
        <f>N179*P179*Q179*'1. Standard_Cost'!$D$15</f>
        <v>0</v>
      </c>
      <c r="U179" s="127">
        <f>N179*O179*'1. Standard_Cost'!$E$15</f>
        <v>0</v>
      </c>
      <c r="V179" s="126"/>
      <c r="W179" s="126"/>
      <c r="X179" s="126"/>
      <c r="Y179" s="127">
        <f>+V179*((X179*'1. Standard_Cost'!$B$19)+(W179*X179*'1. Standard_Cost'!$C$19))</f>
        <v>0</v>
      </c>
      <c r="Z179" s="126"/>
      <c r="AA179" s="126"/>
      <c r="AB179" s="127">
        <f>+Z179*'1. Standard_Cost'!$B$23+AA179*'1. Standard_Cost'!$C$23</f>
        <v>0</v>
      </c>
      <c r="AC179" s="128"/>
      <c r="AD179" s="129"/>
      <c r="AE179" s="127">
        <f>SUM(AD179,AC179,AB179,Y179,U179,T179,S179,R179)*'1. Standard_Cost'!$B$31</f>
        <v>0</v>
      </c>
      <c r="AF179" s="127">
        <f>SUM(AE179,AD179,AC179,AB179,Y179,U179,T179,S179,R179)</f>
        <v>0</v>
      </c>
      <c r="AG179" s="126"/>
      <c r="AH179" s="126"/>
      <c r="AI179" s="126"/>
      <c r="AJ179" s="130"/>
      <c r="AK179" s="130"/>
      <c r="AL179" s="130"/>
      <c r="AM179" s="127">
        <f>AG179*'1. Standard_Cost'!$B$27+'Incremental_Cost Year 9'!AH179*'1. Standard_Cost'!$C$27+'Incremental_Cost Year 9'!AI179*'1. Standard_Cost'!$D$27+'Incremental_Cost Year 9'!AJ179+'Incremental_Cost Year 9'!AL179+AK179</f>
        <v>0</v>
      </c>
      <c r="AN179" s="127">
        <f>AM179*'1. Standard_Cost'!$C$31</f>
        <v>0</v>
      </c>
      <c r="AO179" s="130"/>
      <c r="AP179" s="256"/>
      <c r="AQ179" s="171">
        <f>L179+M179</f>
        <v>0</v>
      </c>
      <c r="AR179" s="171">
        <f>AF179</f>
        <v>0</v>
      </c>
      <c r="AS179" s="171">
        <f>AM179+AN179</f>
        <v>0</v>
      </c>
      <c r="AT179" s="171">
        <f>SUM(AQ179,AR179,AS179)</f>
        <v>0</v>
      </c>
      <c r="AU179" s="250"/>
      <c r="AV179" s="250"/>
      <c r="AW179" s="250"/>
      <c r="AX179" s="250"/>
      <c r="AY179" s="250"/>
      <c r="AZ179" s="250"/>
      <c r="BA179" s="250"/>
      <c r="BB179" s="251">
        <f t="shared" ref="BB179:BB180" si="117">SUM(AU179:BA179)-AT179</f>
        <v>0</v>
      </c>
      <c r="BC179" s="169"/>
      <c r="BD179" s="169"/>
      <c r="BE179" s="169"/>
      <c r="BF179" s="169"/>
    </row>
    <row r="180" spans="1:58" ht="110.25" outlineLevel="2" x14ac:dyDescent="0.25">
      <c r="A180" s="115"/>
      <c r="B180" s="200"/>
      <c r="C180" s="201"/>
      <c r="D180" s="211"/>
      <c r="E180" s="328"/>
      <c r="F180" s="328"/>
      <c r="G180" s="328"/>
      <c r="H180" s="213" t="s">
        <v>488</v>
      </c>
      <c r="I180" s="130"/>
      <c r="J180" s="126"/>
      <c r="K180" s="126"/>
      <c r="L180" s="125" t="str">
        <f>IF(I180&lt;&gt;0,((VLOOKUP(I180,'1. Standard_Cost'!$B$4:$D$11,2)+VLOOKUP(I180,'1. Standard_Cost'!$B$4:$D$11,3))*J180*K180),"0")</f>
        <v>0</v>
      </c>
      <c r="M180" s="125">
        <f>L180*'1. Standard_Cost'!$F$4</f>
        <v>0</v>
      </c>
      <c r="N180" s="126"/>
      <c r="O180" s="126"/>
      <c r="P180" s="126"/>
      <c r="Q180" s="126"/>
      <c r="R180" s="127">
        <f>'1. Standard_Cost'!$B$15*N180*P180</f>
        <v>0</v>
      </c>
      <c r="S180" s="127">
        <f>N180*O180*P180*'1. Standard_Cost'!$C$15</f>
        <v>0</v>
      </c>
      <c r="T180" s="127">
        <f>N180*P180*Q180*'1. Standard_Cost'!$D$15</f>
        <v>0</v>
      </c>
      <c r="U180" s="127">
        <f>N180*O180*'1. Standard_Cost'!$E$15</f>
        <v>0</v>
      </c>
      <c r="V180" s="126"/>
      <c r="W180" s="126"/>
      <c r="X180" s="126"/>
      <c r="Y180" s="127">
        <f>+V180*((X180*'1. Standard_Cost'!$B$19)+(W180*X180*'1. Standard_Cost'!$C$19))</f>
        <v>0</v>
      </c>
      <c r="Z180" s="126"/>
      <c r="AA180" s="126"/>
      <c r="AB180" s="127">
        <f>+Z180*'1. Standard_Cost'!$B$23+AA180*'1. Standard_Cost'!$C$23</f>
        <v>0</v>
      </c>
      <c r="AC180" s="128"/>
      <c r="AD180" s="129"/>
      <c r="AE180" s="127">
        <f>SUM(AD180,AC180,AB180,Y180,U180,T180,S180,R180)*'1. Standard_Cost'!$B$31</f>
        <v>0</v>
      </c>
      <c r="AF180" s="127">
        <f>SUM(AE180,AD180,AC180,AB180,Y180,U180,T180,S180,R180)</f>
        <v>0</v>
      </c>
      <c r="AG180" s="126"/>
      <c r="AH180" s="126"/>
      <c r="AI180" s="126"/>
      <c r="AJ180" s="130"/>
      <c r="AK180" s="130"/>
      <c r="AL180" s="130"/>
      <c r="AM180" s="127">
        <f>AG180*'1. Standard_Cost'!$B$27+'Incremental_Cost Year 9'!AH180*'1. Standard_Cost'!$C$27+'Incremental_Cost Year 9'!AI180*'1. Standard_Cost'!$D$27+'Incremental_Cost Year 9'!AJ180+'Incremental_Cost Year 9'!AL180+AK180</f>
        <v>0</v>
      </c>
      <c r="AN180" s="127">
        <f>AM180*'1. Standard_Cost'!$C$31</f>
        <v>0</v>
      </c>
      <c r="AO180" s="130"/>
      <c r="AP180" s="256"/>
      <c r="AQ180" s="171">
        <f>L180+M180</f>
        <v>0</v>
      </c>
      <c r="AR180" s="171">
        <f>AF180</f>
        <v>0</v>
      </c>
      <c r="AS180" s="171">
        <f>AM180+AN180</f>
        <v>0</v>
      </c>
      <c r="AT180" s="171">
        <f>SUM(AQ180,AR180,AS180)</f>
        <v>0</v>
      </c>
      <c r="AU180" s="250"/>
      <c r="AV180" s="250"/>
      <c r="AW180" s="250"/>
      <c r="AX180" s="250"/>
      <c r="AY180" s="250"/>
      <c r="AZ180" s="250"/>
      <c r="BA180" s="250"/>
      <c r="BB180" s="251">
        <f t="shared" si="117"/>
        <v>0</v>
      </c>
      <c r="BC180" s="169"/>
      <c r="BD180" s="169"/>
      <c r="BE180" s="169"/>
      <c r="BF180" s="169"/>
    </row>
    <row r="181" spans="1:58" ht="63" outlineLevel="2" x14ac:dyDescent="0.25">
      <c r="A181" s="115"/>
      <c r="B181" s="165"/>
      <c r="C181" s="166"/>
      <c r="D181" s="110" t="s">
        <v>489</v>
      </c>
      <c r="E181" s="139" t="s">
        <v>490</v>
      </c>
      <c r="F181" s="104">
        <v>2022</v>
      </c>
      <c r="G181" s="104">
        <v>2025</v>
      </c>
      <c r="H181" s="150" t="s">
        <v>236</v>
      </c>
      <c r="I181" s="252"/>
      <c r="J181" s="252"/>
      <c r="K181" s="252"/>
      <c r="L181" s="127">
        <f>SUM(L179:L180)</f>
        <v>0</v>
      </c>
      <c r="M181" s="127">
        <f>SUM(M179:M180)</f>
        <v>0</v>
      </c>
      <c r="N181" s="252"/>
      <c r="O181" s="252"/>
      <c r="P181" s="252"/>
      <c r="Q181" s="252"/>
      <c r="R181" s="127">
        <f>SUM(R179:R180)</f>
        <v>0</v>
      </c>
      <c r="S181" s="127">
        <f>SUM(S179:S180)</f>
        <v>0</v>
      </c>
      <c r="T181" s="127">
        <f>SUM(T179:T180)</f>
        <v>0</v>
      </c>
      <c r="U181" s="127">
        <f>SUM(U179:U180)</f>
        <v>0</v>
      </c>
      <c r="V181" s="252"/>
      <c r="W181" s="252"/>
      <c r="X181" s="252"/>
      <c r="Y181" s="127">
        <f>SUM(Y179:Y180)</f>
        <v>0</v>
      </c>
      <c r="Z181" s="127"/>
      <c r="AA181" s="252"/>
      <c r="AB181" s="127">
        <f>SUM(AB179:AB180)</f>
        <v>0</v>
      </c>
      <c r="AC181" s="127">
        <f>SUM(AC179:AC180)</f>
        <v>0</v>
      </c>
      <c r="AD181" s="127">
        <f>SUM(AD179:AD180)</f>
        <v>0</v>
      </c>
      <c r="AE181" s="127">
        <f>SUM(AE179:AE180)</f>
        <v>0</v>
      </c>
      <c r="AF181" s="127">
        <f>SUM(AF179:AF180)</f>
        <v>0</v>
      </c>
      <c r="AG181" s="252"/>
      <c r="AH181" s="252"/>
      <c r="AI181" s="252"/>
      <c r="AJ181" s="127">
        <f>SUM(AJ179:AJ180)</f>
        <v>0</v>
      </c>
      <c r="AK181" s="127">
        <f>SUM(AK179:AK180)</f>
        <v>0</v>
      </c>
      <c r="AL181" s="127">
        <f>SUM(AL179:AL180)</f>
        <v>0</v>
      </c>
      <c r="AM181" s="127">
        <f>SUM(AM179:AM180)</f>
        <v>0</v>
      </c>
      <c r="AN181" s="127">
        <f>SUM(AN179:AN180)</f>
        <v>0</v>
      </c>
      <c r="AO181" s="253"/>
      <c r="AP181" s="254"/>
      <c r="AQ181" s="175">
        <f>SUM(AQ179:AQ180)</f>
        <v>0</v>
      </c>
      <c r="AR181" s="175">
        <f>SUM(AR179:AR180)</f>
        <v>0</v>
      </c>
      <c r="AS181" s="175">
        <f>SUM(AS179:AS180)</f>
        <v>0</v>
      </c>
      <c r="AT181" s="175">
        <f>SUM(AT179:AT180)</f>
        <v>0</v>
      </c>
      <c r="AU181" s="175">
        <f t="shared" ref="AU181:BB181" si="118">SUM(AU179:AU180)</f>
        <v>0</v>
      </c>
      <c r="AV181" s="175">
        <f t="shared" si="118"/>
        <v>0</v>
      </c>
      <c r="AW181" s="175">
        <f t="shared" si="118"/>
        <v>0</v>
      </c>
      <c r="AX181" s="175">
        <f t="shared" si="118"/>
        <v>0</v>
      </c>
      <c r="AY181" s="175">
        <f t="shared" si="118"/>
        <v>0</v>
      </c>
      <c r="AZ181" s="175">
        <f t="shared" si="118"/>
        <v>0</v>
      </c>
      <c r="BA181" s="175">
        <f t="shared" si="118"/>
        <v>0</v>
      </c>
      <c r="BB181" s="175">
        <f t="shared" si="118"/>
        <v>0</v>
      </c>
      <c r="BC181" s="169"/>
      <c r="BD181" s="169"/>
      <c r="BE181" s="169"/>
      <c r="BF181" s="169"/>
    </row>
    <row r="182" spans="1:58" ht="15.75" customHeight="1" outlineLevel="2" x14ac:dyDescent="0.25">
      <c r="A182" s="143"/>
      <c r="B182" s="290"/>
      <c r="C182" s="391" t="s">
        <v>237</v>
      </c>
      <c r="D182" s="391"/>
      <c r="E182" s="392"/>
      <c r="F182" s="287"/>
      <c r="G182" s="289"/>
      <c r="H182" s="144" t="s">
        <v>182</v>
      </c>
      <c r="I182" s="257"/>
      <c r="J182" s="257"/>
      <c r="K182" s="257"/>
      <c r="L182" s="258">
        <f>L190+L193+L196</f>
        <v>10558626300</v>
      </c>
      <c r="M182" s="258">
        <f>M190+M193+M196</f>
        <v>1763290592.0999999</v>
      </c>
      <c r="N182" s="257"/>
      <c r="O182" s="257"/>
      <c r="P182" s="257"/>
      <c r="Q182" s="257"/>
      <c r="R182" s="258">
        <f>R190+R193+R196</f>
        <v>0</v>
      </c>
      <c r="S182" s="258">
        <f>S190+S193+S196</f>
        <v>0</v>
      </c>
      <c r="T182" s="258">
        <f>T190+T193+T196</f>
        <v>0</v>
      </c>
      <c r="U182" s="258">
        <f>U190+U193+U196</f>
        <v>0</v>
      </c>
      <c r="V182" s="257"/>
      <c r="W182" s="257"/>
      <c r="X182" s="257"/>
      <c r="Y182" s="258">
        <f>Y190+Y193+Y196</f>
        <v>0</v>
      </c>
      <c r="Z182" s="258"/>
      <c r="AA182" s="258"/>
      <c r="AB182" s="258">
        <f>AB190+AB193+AB196</f>
        <v>0</v>
      </c>
      <c r="AC182" s="258">
        <f>AC190+AC193+AC196</f>
        <v>10008568000</v>
      </c>
      <c r="AD182" s="258">
        <f>AD190+AD193+AD196</f>
        <v>0</v>
      </c>
      <c r="AE182" s="258">
        <f>AE190+AE193+AE196</f>
        <v>2000025000</v>
      </c>
      <c r="AF182" s="258">
        <f>AF190+AF193+AF196</f>
        <v>12008593000</v>
      </c>
      <c r="AG182" s="257"/>
      <c r="AH182" s="257"/>
      <c r="AI182" s="257"/>
      <c r="AJ182" s="258">
        <f>AJ190+AJ193+AJ196</f>
        <v>0</v>
      </c>
      <c r="AK182" s="258">
        <f>AK190+AK193+AK196</f>
        <v>0</v>
      </c>
      <c r="AL182" s="258">
        <f>AL190+AL193+AL196</f>
        <v>0</v>
      </c>
      <c r="AM182" s="258">
        <f>AM190+AM193+AM196</f>
        <v>0</v>
      </c>
      <c r="AN182" s="258">
        <f>AN190+AN193+AN196</f>
        <v>0</v>
      </c>
      <c r="AO182" s="259"/>
      <c r="AP182" s="260"/>
      <c r="AQ182" s="261">
        <f>AQ190+AQ193+AQ196</f>
        <v>12321916892.1</v>
      </c>
      <c r="AR182" s="261">
        <f>AR190+AR193+AR196</f>
        <v>12008593000</v>
      </c>
      <c r="AS182" s="261">
        <f>AS190+AS193+AS196</f>
        <v>0</v>
      </c>
      <c r="AT182" s="261">
        <f>AT190+AT193+AT196</f>
        <v>24330509892.099998</v>
      </c>
      <c r="AU182" s="261">
        <f t="shared" ref="AU182:BA182" si="119">AU190+AU193+AU196</f>
        <v>22530509892</v>
      </c>
      <c r="AV182" s="261">
        <f t="shared" si="119"/>
        <v>0</v>
      </c>
      <c r="AW182" s="261">
        <f t="shared" si="119"/>
        <v>0</v>
      </c>
      <c r="AX182" s="261">
        <f t="shared" si="119"/>
        <v>0</v>
      </c>
      <c r="AY182" s="261">
        <f t="shared" si="119"/>
        <v>0</v>
      </c>
      <c r="AZ182" s="261">
        <f t="shared" si="119"/>
        <v>0</v>
      </c>
      <c r="BA182" s="261">
        <f t="shared" si="119"/>
        <v>0</v>
      </c>
      <c r="BB182" s="261">
        <f>BB190+BB193+BB196</f>
        <v>-1800000000.0999999</v>
      </c>
      <c r="BC182" s="184"/>
      <c r="BD182" s="184"/>
      <c r="BE182" s="184"/>
      <c r="BF182" s="184"/>
    </row>
    <row r="183" spans="1:58" ht="94.5" outlineLevel="2" x14ac:dyDescent="0.25">
      <c r="A183" s="115"/>
      <c r="B183" s="303"/>
      <c r="C183" s="329"/>
      <c r="D183" s="342"/>
      <c r="E183" s="328"/>
      <c r="F183" s="328"/>
      <c r="G183" s="328"/>
      <c r="H183" s="199" t="s">
        <v>544</v>
      </c>
      <c r="I183" s="130" t="s">
        <v>4</v>
      </c>
      <c r="J183" s="126">
        <v>12</v>
      </c>
      <c r="K183" s="126">
        <v>10882</v>
      </c>
      <c r="L183" s="125">
        <f>IF(I183&lt;&gt;0,((VLOOKUP(I183,'1. Standard_Cost'!$B$4:$D$11,2)+VLOOKUP(I183,'1. Standard_Cost'!$B$4:$D$11,3))*J183*K183),"0")</f>
        <v>10544658000</v>
      </c>
      <c r="M183" s="125">
        <f>L183*'1. Standard_Cost'!$F$4</f>
        <v>1760957886</v>
      </c>
      <c r="N183" s="126"/>
      <c r="O183" s="126"/>
      <c r="P183" s="126"/>
      <c r="Q183" s="126"/>
      <c r="R183" s="127">
        <f>'1. Standard_Cost'!$B$15*N183*P183</f>
        <v>0</v>
      </c>
      <c r="S183" s="127">
        <f>N183*O183*P183*'1. Standard_Cost'!$C$15</f>
        <v>0</v>
      </c>
      <c r="T183" s="127">
        <f>N183*P183*Q183*'1. Standard_Cost'!$D$15</f>
        <v>0</v>
      </c>
      <c r="U183" s="127">
        <f>N183*O183*'1. Standard_Cost'!$E$15</f>
        <v>0</v>
      </c>
      <c r="V183" s="126"/>
      <c r="W183" s="126"/>
      <c r="X183" s="126"/>
      <c r="Y183" s="127">
        <f>+V183*((X183*'1. Standard_Cost'!$B$19)+(W183*X183*'1. Standard_Cost'!$C$19))</f>
        <v>0</v>
      </c>
      <c r="Z183" s="126"/>
      <c r="AA183" s="126"/>
      <c r="AB183" s="127">
        <f>+Z183*'1. Standard_Cost'!$B$23+AA183*'1. Standard_Cost'!$C$23</f>
        <v>0</v>
      </c>
      <c r="AC183" s="128">
        <v>10000000000</v>
      </c>
      <c r="AD183" s="129"/>
      <c r="AE183" s="127">
        <f>SUM(AD183,AC183,AB183,Y183,U183,T183,S183,R183)*'1. Standard_Cost'!$B$31</f>
        <v>2000000000</v>
      </c>
      <c r="AF183" s="127">
        <f t="shared" ref="AF183:AF189" si="120">SUM(AE183,AD183,AC183,AB183,Y183,U183,T183,S183,R183)</f>
        <v>12000000000</v>
      </c>
      <c r="AG183" s="126"/>
      <c r="AH183" s="126"/>
      <c r="AI183" s="126"/>
      <c r="AJ183" s="130"/>
      <c r="AK183" s="130"/>
      <c r="AL183" s="130"/>
      <c r="AM183" s="127">
        <f>AG183*'1. Standard_Cost'!$B$27+'Incremental_Cost Year 9'!AH183*'1. Standard_Cost'!$C$27+'Incremental_Cost Year 9'!AI183*'1. Standard_Cost'!$D$27+'Incremental_Cost Year 9'!AJ183+'Incremental_Cost Year 9'!AL183+AK183</f>
        <v>0</v>
      </c>
      <c r="AN183" s="127">
        <f>AM183*'1. Standard_Cost'!$C$31</f>
        <v>0</v>
      </c>
      <c r="AO183" s="130"/>
      <c r="AP183" s="256"/>
      <c r="AQ183" s="171">
        <f t="shared" ref="AQ183:AQ189" si="121">L183+M183</f>
        <v>12305615886</v>
      </c>
      <c r="AR183" s="171">
        <f t="shared" ref="AR183:AR189" si="122">AF183</f>
        <v>12000000000</v>
      </c>
      <c r="AS183" s="171">
        <f t="shared" ref="AS183:AS189" si="123">AM183+AN183</f>
        <v>0</v>
      </c>
      <c r="AT183" s="171">
        <f t="shared" ref="AT183:AT189" si="124">SUM(AQ183,AR183,AS183)</f>
        <v>24305615886</v>
      </c>
      <c r="AU183" s="250">
        <v>22505615886</v>
      </c>
      <c r="AV183" s="250"/>
      <c r="AW183" s="250"/>
      <c r="AX183" s="250"/>
      <c r="AY183" s="250"/>
      <c r="AZ183" s="250"/>
      <c r="BA183" s="250"/>
      <c r="BB183" s="251">
        <f t="shared" ref="BB183:BB189" si="125">SUM(AU183:BA183)-AT183</f>
        <v>-1800000000</v>
      </c>
      <c r="BC183" s="169"/>
      <c r="BD183" s="169"/>
      <c r="BE183" s="169"/>
      <c r="BF183" s="169"/>
    </row>
    <row r="184" spans="1:58" ht="78.75" outlineLevel="2" x14ac:dyDescent="0.25">
      <c r="A184" s="115"/>
      <c r="B184" s="200"/>
      <c r="C184" s="330"/>
      <c r="D184" s="343"/>
      <c r="E184" s="328"/>
      <c r="F184" s="328"/>
      <c r="G184" s="328"/>
      <c r="H184" s="213" t="s">
        <v>543</v>
      </c>
      <c r="I184" s="267"/>
      <c r="J184" s="268"/>
      <c r="K184" s="268"/>
      <c r="L184" s="125" t="str">
        <f>IF(I184&lt;&gt;0,((VLOOKUP(I184,'1. Standard_Cost'!$B$4:$D$11,2)+VLOOKUP(I184,'1. Standard_Cost'!$B$4:$D$11,3))*J184*K184),"0")</f>
        <v>0</v>
      </c>
      <c r="M184" s="125">
        <f>L184*'1. Standard_Cost'!$F$4</f>
        <v>0</v>
      </c>
      <c r="N184" s="126"/>
      <c r="O184" s="126"/>
      <c r="P184" s="126"/>
      <c r="Q184" s="126"/>
      <c r="R184" s="127">
        <f>'1. Standard_Cost'!$B$15*N184*P184</f>
        <v>0</v>
      </c>
      <c r="S184" s="127">
        <f>N184*O184*P184*'1. Standard_Cost'!$C$15</f>
        <v>0</v>
      </c>
      <c r="T184" s="127">
        <f>N184*P184*Q184*'1. Standard_Cost'!$D$15</f>
        <v>0</v>
      </c>
      <c r="U184" s="127">
        <f>N184*O184*'1. Standard_Cost'!$E$15</f>
        <v>0</v>
      </c>
      <c r="V184" s="126"/>
      <c r="W184" s="126"/>
      <c r="X184" s="126"/>
      <c r="Y184" s="127">
        <f>+V184*((X184*'1. Standard_Cost'!$B$19)+(W184*X184*'1. Standard_Cost'!$C$19))</f>
        <v>0</v>
      </c>
      <c r="Z184" s="126"/>
      <c r="AA184" s="126"/>
      <c r="AB184" s="127">
        <f>+Z184*'1. Standard_Cost'!$B$23+AA184*'1. Standard_Cost'!$C$23</f>
        <v>0</v>
      </c>
      <c r="AC184" s="128"/>
      <c r="AD184" s="129"/>
      <c r="AE184" s="127"/>
      <c r="AF184" s="127">
        <f t="shared" si="120"/>
        <v>0</v>
      </c>
      <c r="AG184" s="126"/>
      <c r="AH184" s="126"/>
      <c r="AI184" s="126"/>
      <c r="AJ184" s="130"/>
      <c r="AK184" s="130"/>
      <c r="AL184" s="130"/>
      <c r="AM184" s="127">
        <f>AG184*'1. Standard_Cost'!$B$27+'Incremental_Cost Year 9'!AH184*'1. Standard_Cost'!$C$27+'Incremental_Cost Year 9'!AI184*'1. Standard_Cost'!$D$27+'Incremental_Cost Year 9'!AJ184+'Incremental_Cost Year 9'!AL184+AK184</f>
        <v>0</v>
      </c>
      <c r="AN184" s="127">
        <f>AM184*'1. Standard_Cost'!$C$31</f>
        <v>0</v>
      </c>
      <c r="AO184" s="130"/>
      <c r="AP184" s="256"/>
      <c r="AQ184" s="171">
        <f t="shared" si="121"/>
        <v>0</v>
      </c>
      <c r="AR184" s="171">
        <f t="shared" si="122"/>
        <v>0</v>
      </c>
      <c r="AS184" s="171">
        <f t="shared" si="123"/>
        <v>0</v>
      </c>
      <c r="AT184" s="171">
        <f t="shared" si="124"/>
        <v>0</v>
      </c>
      <c r="AU184" s="250"/>
      <c r="AV184" s="250"/>
      <c r="AW184" s="250"/>
      <c r="AX184" s="250"/>
      <c r="AY184" s="250"/>
      <c r="AZ184" s="250"/>
      <c r="BA184" s="250"/>
      <c r="BB184" s="251">
        <f t="shared" si="125"/>
        <v>0</v>
      </c>
      <c r="BC184" s="169"/>
      <c r="BD184" s="169"/>
      <c r="BE184" s="169"/>
      <c r="BF184" s="169"/>
    </row>
    <row r="185" spans="1:58" ht="63" outlineLevel="2" x14ac:dyDescent="0.25">
      <c r="A185" s="115"/>
      <c r="B185" s="200"/>
      <c r="C185" s="330"/>
      <c r="D185" s="343"/>
      <c r="E185" s="328"/>
      <c r="F185" s="328"/>
      <c r="G185" s="328"/>
      <c r="H185" s="199" t="s">
        <v>491</v>
      </c>
      <c r="I185" s="130"/>
      <c r="J185" s="126"/>
      <c r="K185" s="126"/>
      <c r="L185" s="125" t="str">
        <f>IF(I185&lt;&gt;0,((VLOOKUP(I185,'1. Standard_Cost'!$B$4:$D$11,2)+VLOOKUP(I185,'1. Standard_Cost'!$B$4:$D$11,3))*J185*K185),"0")</f>
        <v>0</v>
      </c>
      <c r="M185" s="125">
        <f>L185*'1. Standard_Cost'!$F$4</f>
        <v>0</v>
      </c>
      <c r="N185" s="126"/>
      <c r="O185" s="126"/>
      <c r="P185" s="126"/>
      <c r="Q185" s="126"/>
      <c r="R185" s="127">
        <f>'1. Standard_Cost'!$B$15*N185*P185</f>
        <v>0</v>
      </c>
      <c r="S185" s="127">
        <f>N185*O185*P185*'1. Standard_Cost'!$C$15</f>
        <v>0</v>
      </c>
      <c r="T185" s="127">
        <f>N185*P185*Q185*'1. Standard_Cost'!$D$15</f>
        <v>0</v>
      </c>
      <c r="U185" s="127">
        <f>N185*O185*'1. Standard_Cost'!$E$15</f>
        <v>0</v>
      </c>
      <c r="V185" s="126"/>
      <c r="W185" s="126"/>
      <c r="X185" s="126"/>
      <c r="Y185" s="127">
        <f>+V185*((X185*'1. Standard_Cost'!$B$19)+(W185*X185*'1. Standard_Cost'!$C$19))</f>
        <v>0</v>
      </c>
      <c r="Z185" s="126"/>
      <c r="AA185" s="126"/>
      <c r="AB185" s="127">
        <f>+Z185*'1. Standard_Cost'!$B$23+AA185*'1. Standard_Cost'!$C$23</f>
        <v>0</v>
      </c>
      <c r="AC185" s="128"/>
      <c r="AD185" s="129"/>
      <c r="AE185" s="127">
        <f>SUM(AD185,AC185,AB185,Y185,U185,T185,S185,R185)*'1. Standard_Cost'!$B$31</f>
        <v>0</v>
      </c>
      <c r="AF185" s="127">
        <f t="shared" si="120"/>
        <v>0</v>
      </c>
      <c r="AG185" s="126"/>
      <c r="AH185" s="126"/>
      <c r="AI185" s="126"/>
      <c r="AJ185" s="130"/>
      <c r="AK185" s="130"/>
      <c r="AL185" s="130"/>
      <c r="AM185" s="127">
        <f>AG185*'1. Standard_Cost'!$B$27+'Incremental_Cost Year 9'!AH185*'1. Standard_Cost'!$C$27+'Incremental_Cost Year 9'!AI185*'1. Standard_Cost'!$D$27+'Incremental_Cost Year 9'!AJ185+'Incremental_Cost Year 9'!AL185+AK185</f>
        <v>0</v>
      </c>
      <c r="AN185" s="127">
        <f>AM185*'1. Standard_Cost'!$C$31</f>
        <v>0</v>
      </c>
      <c r="AO185" s="130"/>
      <c r="AP185" s="256"/>
      <c r="AQ185" s="171">
        <f t="shared" si="121"/>
        <v>0</v>
      </c>
      <c r="AR185" s="171">
        <f t="shared" si="122"/>
        <v>0</v>
      </c>
      <c r="AS185" s="171">
        <f t="shared" si="123"/>
        <v>0</v>
      </c>
      <c r="AT185" s="171">
        <f t="shared" si="124"/>
        <v>0</v>
      </c>
      <c r="AU185" s="250"/>
      <c r="AV185" s="250"/>
      <c r="AW185" s="250"/>
      <c r="AX185" s="250"/>
      <c r="AY185" s="250"/>
      <c r="AZ185" s="250"/>
      <c r="BA185" s="250"/>
      <c r="BB185" s="251">
        <f t="shared" si="125"/>
        <v>0</v>
      </c>
      <c r="BC185" s="169"/>
      <c r="BD185" s="169"/>
      <c r="BE185" s="169"/>
      <c r="BF185" s="169"/>
    </row>
    <row r="186" spans="1:58" ht="94.5" outlineLevel="2" x14ac:dyDescent="0.25">
      <c r="A186" s="115"/>
      <c r="B186" s="200"/>
      <c r="C186" s="330"/>
      <c r="D186" s="343"/>
      <c r="E186" s="328"/>
      <c r="F186" s="328"/>
      <c r="G186" s="328"/>
      <c r="H186" s="199" t="s">
        <v>492</v>
      </c>
      <c r="I186" s="130"/>
      <c r="J186" s="126"/>
      <c r="K186" s="126"/>
      <c r="L186" s="125" t="str">
        <f>IF(I186&lt;&gt;0,((VLOOKUP(I186,'1. Standard_Cost'!$B$4:$D$11,2)+VLOOKUP(I186,'1. Standard_Cost'!$B$4:$D$11,3))*J186*K186),"0")</f>
        <v>0</v>
      </c>
      <c r="M186" s="125">
        <f>L186*'1. Standard_Cost'!$F$4</f>
        <v>0</v>
      </c>
      <c r="N186" s="126"/>
      <c r="O186" s="126"/>
      <c r="P186" s="126"/>
      <c r="Q186" s="126"/>
      <c r="R186" s="127">
        <f>'1. Standard_Cost'!$B$15*N186*P186</f>
        <v>0</v>
      </c>
      <c r="S186" s="127">
        <f>N186*O186*P186*'1. Standard_Cost'!$C$15</f>
        <v>0</v>
      </c>
      <c r="T186" s="127">
        <f>N186*P186*Q186*'1. Standard_Cost'!$D$15</f>
        <v>0</v>
      </c>
      <c r="U186" s="127">
        <f>N186*O186*'1. Standard_Cost'!$E$15</f>
        <v>0</v>
      </c>
      <c r="V186" s="126"/>
      <c r="W186" s="126"/>
      <c r="X186" s="126"/>
      <c r="Y186" s="127">
        <f>+V186*((X186*'1. Standard_Cost'!$B$19)+(W186*X186*'1. Standard_Cost'!$C$19))</f>
        <v>0</v>
      </c>
      <c r="Z186" s="126"/>
      <c r="AA186" s="126"/>
      <c r="AB186" s="127">
        <f>+Z186*'1. Standard_Cost'!$B$23+AA186*'1. Standard_Cost'!$C$23</f>
        <v>0</v>
      </c>
      <c r="AC186" s="128"/>
      <c r="AD186" s="129"/>
      <c r="AE186" s="127">
        <f>SUM(AD186,AC186,AB186,Y186,U186,T186,S186,R186)*'1. Standard_Cost'!$B$31</f>
        <v>0</v>
      </c>
      <c r="AF186" s="127">
        <f t="shared" si="120"/>
        <v>0</v>
      </c>
      <c r="AG186" s="126"/>
      <c r="AH186" s="126"/>
      <c r="AI186" s="126"/>
      <c r="AJ186" s="130"/>
      <c r="AK186" s="130"/>
      <c r="AL186" s="130"/>
      <c r="AM186" s="127">
        <f>AG186*'1. Standard_Cost'!$B$27+'Incremental_Cost Year 9'!AH186*'1. Standard_Cost'!$C$27+'Incremental_Cost Year 9'!AI186*'1. Standard_Cost'!$D$27+'Incremental_Cost Year 9'!AJ186+'Incremental_Cost Year 9'!AL186+AK186</f>
        <v>0</v>
      </c>
      <c r="AN186" s="127">
        <f>AM186*'1. Standard_Cost'!$C$31</f>
        <v>0</v>
      </c>
      <c r="AO186" s="130"/>
      <c r="AP186" s="256"/>
      <c r="AQ186" s="171">
        <f t="shared" si="121"/>
        <v>0</v>
      </c>
      <c r="AR186" s="171">
        <f t="shared" si="122"/>
        <v>0</v>
      </c>
      <c r="AS186" s="171">
        <f t="shared" si="123"/>
        <v>0</v>
      </c>
      <c r="AT186" s="171">
        <f t="shared" si="124"/>
        <v>0</v>
      </c>
      <c r="AU186" s="250"/>
      <c r="AV186" s="250"/>
      <c r="AW186" s="250"/>
      <c r="AX186" s="250"/>
      <c r="AY186" s="250"/>
      <c r="AZ186" s="250"/>
      <c r="BA186" s="250"/>
      <c r="BB186" s="251">
        <f t="shared" si="125"/>
        <v>0</v>
      </c>
      <c r="BC186" s="169"/>
      <c r="BD186" s="169"/>
      <c r="BE186" s="169"/>
      <c r="BF186" s="169"/>
    </row>
    <row r="187" spans="1:58" ht="78.75" outlineLevel="2" x14ac:dyDescent="0.25">
      <c r="A187" s="115"/>
      <c r="B187" s="200"/>
      <c r="C187" s="330"/>
      <c r="D187" s="343"/>
      <c r="E187" s="328"/>
      <c r="F187" s="328"/>
      <c r="G187" s="328"/>
      <c r="H187" s="199" t="s">
        <v>493</v>
      </c>
      <c r="I187" s="130"/>
      <c r="J187" s="126"/>
      <c r="K187" s="126"/>
      <c r="L187" s="125" t="str">
        <f>IF(I187&lt;&gt;0,((VLOOKUP(I187,'1. Standard_Cost'!$B$4:$D$11,2)+VLOOKUP(I187,'1. Standard_Cost'!$B$4:$D$11,3))*J187*K187),"0")</f>
        <v>0</v>
      </c>
      <c r="M187" s="125">
        <f>L187*'1. Standard_Cost'!$F$4</f>
        <v>0</v>
      </c>
      <c r="N187" s="126"/>
      <c r="O187" s="126"/>
      <c r="P187" s="126"/>
      <c r="Q187" s="126"/>
      <c r="R187" s="127">
        <f>'1. Standard_Cost'!$B$15*N187*P187</f>
        <v>0</v>
      </c>
      <c r="S187" s="127">
        <f>N187*O187*P187*'1. Standard_Cost'!$C$15</f>
        <v>0</v>
      </c>
      <c r="T187" s="127">
        <f>N187*P187*Q187*'1. Standard_Cost'!$D$15</f>
        <v>0</v>
      </c>
      <c r="U187" s="127">
        <f>N187*O187*'1. Standard_Cost'!$E$15</f>
        <v>0</v>
      </c>
      <c r="V187" s="126"/>
      <c r="W187" s="126"/>
      <c r="X187" s="126"/>
      <c r="Y187" s="127">
        <f>+V187*((X187*'1. Standard_Cost'!$B$19)+(W187*X187*'1. Standard_Cost'!$C$19))</f>
        <v>0</v>
      </c>
      <c r="Z187" s="126"/>
      <c r="AA187" s="126"/>
      <c r="AB187" s="127">
        <f>+Z187*'1. Standard_Cost'!$B$23+AA187*'1. Standard_Cost'!$C$23</f>
        <v>0</v>
      </c>
      <c r="AC187" s="128"/>
      <c r="AD187" s="129"/>
      <c r="AE187" s="127">
        <f>SUM(AD187,AC187,AB187,Y187,U187,T187,S187,R187)*'1. Standard_Cost'!$B$31</f>
        <v>0</v>
      </c>
      <c r="AF187" s="127">
        <f t="shared" si="120"/>
        <v>0</v>
      </c>
      <c r="AG187" s="126"/>
      <c r="AH187" s="126"/>
      <c r="AI187" s="126"/>
      <c r="AJ187" s="130"/>
      <c r="AK187" s="130"/>
      <c r="AL187" s="130"/>
      <c r="AM187" s="127">
        <f>AG187*'1. Standard_Cost'!$B$27+'Incremental_Cost Year 9'!AH187*'1. Standard_Cost'!$C$27+'Incremental_Cost Year 9'!AI187*'1. Standard_Cost'!$D$27+'Incremental_Cost Year 9'!AJ187+'Incremental_Cost Year 9'!AL187+AK187</f>
        <v>0</v>
      </c>
      <c r="AN187" s="127">
        <f>AM187*'1. Standard_Cost'!$C$31</f>
        <v>0</v>
      </c>
      <c r="AO187" s="130"/>
      <c r="AP187" s="256"/>
      <c r="AQ187" s="171">
        <f t="shared" si="121"/>
        <v>0</v>
      </c>
      <c r="AR187" s="171">
        <f t="shared" si="122"/>
        <v>0</v>
      </c>
      <c r="AS187" s="171">
        <f t="shared" si="123"/>
        <v>0</v>
      </c>
      <c r="AT187" s="171">
        <f t="shared" si="124"/>
        <v>0</v>
      </c>
      <c r="AU187" s="250"/>
      <c r="AV187" s="250"/>
      <c r="AW187" s="250"/>
      <c r="AX187" s="250"/>
      <c r="AY187" s="250"/>
      <c r="AZ187" s="250"/>
      <c r="BA187" s="250"/>
      <c r="BB187" s="251">
        <f t="shared" si="125"/>
        <v>0</v>
      </c>
      <c r="BC187" s="169"/>
      <c r="BD187" s="169"/>
      <c r="BE187" s="169"/>
      <c r="BF187" s="169"/>
    </row>
    <row r="188" spans="1:58" ht="78.75" outlineLevel="2" x14ac:dyDescent="0.25">
      <c r="A188" s="115"/>
      <c r="B188" s="200"/>
      <c r="C188" s="330"/>
      <c r="D188" s="343"/>
      <c r="E188" s="328"/>
      <c r="F188" s="328"/>
      <c r="G188" s="328"/>
      <c r="H188" s="199" t="s">
        <v>494</v>
      </c>
      <c r="I188" s="130"/>
      <c r="J188" s="126"/>
      <c r="K188" s="126"/>
      <c r="L188" s="125" t="str">
        <f>IF(I188&lt;&gt;0,((VLOOKUP(I188,'1. Standard_Cost'!$B$4:$D$11,2)+VLOOKUP(I188,'1. Standard_Cost'!$B$4:$D$11,3))*J188*K188),"0")</f>
        <v>0</v>
      </c>
      <c r="M188" s="125">
        <f>L188*'1. Standard_Cost'!$F$4</f>
        <v>0</v>
      </c>
      <c r="N188" s="126"/>
      <c r="O188" s="126"/>
      <c r="P188" s="126"/>
      <c r="Q188" s="126"/>
      <c r="R188" s="127">
        <f>'1. Standard_Cost'!$B$15*N188*P188</f>
        <v>0</v>
      </c>
      <c r="S188" s="127">
        <f>N188*O188*P188*'1. Standard_Cost'!$C$15</f>
        <v>0</v>
      </c>
      <c r="T188" s="127">
        <f>N188*P188*Q188*'1. Standard_Cost'!$D$15</f>
        <v>0</v>
      </c>
      <c r="U188" s="127">
        <f>N188*O188*'1. Standard_Cost'!$E$15</f>
        <v>0</v>
      </c>
      <c r="V188" s="126"/>
      <c r="W188" s="126"/>
      <c r="X188" s="126"/>
      <c r="Y188" s="127">
        <f>+V188*((X188*'1. Standard_Cost'!$B$19)+(W188*X188*'1. Standard_Cost'!$C$19))</f>
        <v>0</v>
      </c>
      <c r="Z188" s="126"/>
      <c r="AA188" s="126"/>
      <c r="AB188" s="127">
        <f>+Z188*'1. Standard_Cost'!$B$23+AA188*'1. Standard_Cost'!$C$23</f>
        <v>0</v>
      </c>
      <c r="AC188" s="128"/>
      <c r="AD188" s="129"/>
      <c r="AE188" s="127">
        <f>SUM(AD188,AC188,AB188,Y188,U188,T188,S188,R188)*'1. Standard_Cost'!$B$31</f>
        <v>0</v>
      </c>
      <c r="AF188" s="127">
        <f t="shared" si="120"/>
        <v>0</v>
      </c>
      <c r="AG188" s="126"/>
      <c r="AH188" s="126"/>
      <c r="AI188" s="126"/>
      <c r="AJ188" s="130"/>
      <c r="AK188" s="130"/>
      <c r="AL188" s="130"/>
      <c r="AM188" s="127">
        <f>AG188*'1. Standard_Cost'!$B$27+'Incremental_Cost Year 9'!AH188*'1. Standard_Cost'!$C$27+'Incremental_Cost Year 9'!AI188*'1. Standard_Cost'!$D$27+'Incremental_Cost Year 9'!AJ188+'Incremental_Cost Year 9'!AL188+AK188</f>
        <v>0</v>
      </c>
      <c r="AN188" s="127">
        <f>AM188*'1. Standard_Cost'!$C$31</f>
        <v>0</v>
      </c>
      <c r="AO188" s="130"/>
      <c r="AP188" s="256"/>
      <c r="AQ188" s="171">
        <f t="shared" si="121"/>
        <v>0</v>
      </c>
      <c r="AR188" s="171">
        <f t="shared" si="122"/>
        <v>0</v>
      </c>
      <c r="AS188" s="171">
        <f t="shared" si="123"/>
        <v>0</v>
      </c>
      <c r="AT188" s="171">
        <f t="shared" si="124"/>
        <v>0</v>
      </c>
      <c r="AU188" s="250"/>
      <c r="AV188" s="250"/>
      <c r="AW188" s="250"/>
      <c r="AX188" s="250"/>
      <c r="AY188" s="250"/>
      <c r="AZ188" s="250"/>
      <c r="BA188" s="250"/>
      <c r="BB188" s="251">
        <f t="shared" si="125"/>
        <v>0</v>
      </c>
      <c r="BC188" s="169"/>
      <c r="BD188" s="169"/>
      <c r="BE188" s="169"/>
      <c r="BF188" s="169"/>
    </row>
    <row r="189" spans="1:58" ht="63" outlineLevel="2" x14ac:dyDescent="0.25">
      <c r="A189" s="115"/>
      <c r="B189" s="200"/>
      <c r="C189" s="330"/>
      <c r="D189" s="343"/>
      <c r="E189" s="328"/>
      <c r="F189" s="328"/>
      <c r="G189" s="328"/>
      <c r="H189" s="199" t="s">
        <v>495</v>
      </c>
      <c r="I189" s="130"/>
      <c r="J189" s="126"/>
      <c r="K189" s="126"/>
      <c r="L189" s="125" t="str">
        <f>IF(I189&lt;&gt;0,((VLOOKUP(I189,'1. Standard_Cost'!$B$4:$D$11,2)+VLOOKUP(I189,'1. Standard_Cost'!$B$4:$D$11,3))*J189*K189),"0")</f>
        <v>0</v>
      </c>
      <c r="M189" s="125">
        <f>L189*'1. Standard_Cost'!$F$4</f>
        <v>0</v>
      </c>
      <c r="N189" s="126"/>
      <c r="O189" s="126"/>
      <c r="P189" s="126"/>
      <c r="Q189" s="126"/>
      <c r="R189" s="127">
        <f>'1. Standard_Cost'!$B$15*N189*P189</f>
        <v>0</v>
      </c>
      <c r="S189" s="127">
        <f>N189*O189*P189*'1. Standard_Cost'!$C$15</f>
        <v>0</v>
      </c>
      <c r="T189" s="127">
        <f>N189*P189*Q189*'1. Standard_Cost'!$D$15</f>
        <v>0</v>
      </c>
      <c r="U189" s="127">
        <f>N189*O189*'1. Standard_Cost'!$E$15</f>
        <v>0</v>
      </c>
      <c r="V189" s="126"/>
      <c r="W189" s="126"/>
      <c r="X189" s="126"/>
      <c r="Y189" s="127">
        <f>+V189*((X189*'1. Standard_Cost'!$B$19)+(W189*X189*'1. Standard_Cost'!$C$19))</f>
        <v>0</v>
      </c>
      <c r="Z189" s="126"/>
      <c r="AA189" s="126"/>
      <c r="AB189" s="127">
        <f>+Z189*'1. Standard_Cost'!$B$23+AA189*'1. Standard_Cost'!$C$23</f>
        <v>0</v>
      </c>
      <c r="AC189" s="128"/>
      <c r="AD189" s="129"/>
      <c r="AE189" s="127">
        <f>SUM(AD189,AC189,AB189,Y189,U189,T189,S189,R189)*'1. Standard_Cost'!$B$31</f>
        <v>0</v>
      </c>
      <c r="AF189" s="127">
        <f t="shared" si="120"/>
        <v>0</v>
      </c>
      <c r="AG189" s="126"/>
      <c r="AH189" s="126"/>
      <c r="AI189" s="126"/>
      <c r="AJ189" s="130"/>
      <c r="AK189" s="130"/>
      <c r="AL189" s="130"/>
      <c r="AM189" s="127">
        <f>AG189*'1. Standard_Cost'!$B$27+'Incremental_Cost Year 9'!AH189*'1. Standard_Cost'!$C$27+'Incremental_Cost Year 9'!AI189*'1. Standard_Cost'!$D$27+'Incremental_Cost Year 9'!AJ189+'Incremental_Cost Year 9'!AL189+AK189</f>
        <v>0</v>
      </c>
      <c r="AN189" s="127">
        <f>AM189*'1. Standard_Cost'!$C$31</f>
        <v>0</v>
      </c>
      <c r="AO189" s="130"/>
      <c r="AP189" s="256"/>
      <c r="AQ189" s="171">
        <f t="shared" si="121"/>
        <v>0</v>
      </c>
      <c r="AR189" s="171">
        <f t="shared" si="122"/>
        <v>0</v>
      </c>
      <c r="AS189" s="171">
        <f t="shared" si="123"/>
        <v>0</v>
      </c>
      <c r="AT189" s="171">
        <f t="shared" si="124"/>
        <v>0</v>
      </c>
      <c r="AU189" s="250"/>
      <c r="AV189" s="250"/>
      <c r="AW189" s="250"/>
      <c r="AX189" s="250"/>
      <c r="AY189" s="250"/>
      <c r="AZ189" s="250"/>
      <c r="BA189" s="250"/>
      <c r="BB189" s="251">
        <f t="shared" si="125"/>
        <v>0</v>
      </c>
      <c r="BC189" s="169"/>
      <c r="BD189" s="169"/>
      <c r="BE189" s="169"/>
      <c r="BF189" s="169"/>
    </row>
    <row r="190" spans="1:58" ht="15.75" outlineLevel="2" x14ac:dyDescent="0.25">
      <c r="A190" s="115"/>
      <c r="B190" s="200"/>
      <c r="C190" s="330"/>
      <c r="D190" s="343"/>
      <c r="E190" s="328"/>
      <c r="F190" s="328"/>
      <c r="G190" s="328"/>
      <c r="H190" s="110" t="s">
        <v>183</v>
      </c>
      <c r="I190" s="252"/>
      <c r="J190" s="252"/>
      <c r="K190" s="252"/>
      <c r="L190" s="127">
        <f>SUM(L183:L189)</f>
        <v>10544658000</v>
      </c>
      <c r="M190" s="127">
        <f>SUM(M183:M189)</f>
        <v>1760957886</v>
      </c>
      <c r="N190" s="252"/>
      <c r="O190" s="252"/>
      <c r="P190" s="252"/>
      <c r="Q190" s="252"/>
      <c r="R190" s="127">
        <f>SUM(R183:R189)</f>
        <v>0</v>
      </c>
      <c r="S190" s="127">
        <f>SUM(S183:S189)</f>
        <v>0</v>
      </c>
      <c r="T190" s="127">
        <f>SUM(T183:T189)</f>
        <v>0</v>
      </c>
      <c r="U190" s="127">
        <f>SUM(U183:U189)</f>
        <v>0</v>
      </c>
      <c r="V190" s="252"/>
      <c r="W190" s="252"/>
      <c r="X190" s="252"/>
      <c r="Y190" s="127">
        <f>SUM(Y183:Y189)</f>
        <v>0</v>
      </c>
      <c r="Z190" s="127"/>
      <c r="AA190" s="252"/>
      <c r="AB190" s="127">
        <f>SUM(AB183:AB189)</f>
        <v>0</v>
      </c>
      <c r="AC190" s="127">
        <f>SUM(AC183:AC188)</f>
        <v>10000000000</v>
      </c>
      <c r="AD190" s="127">
        <f>SUM(AD183:AD188)</f>
        <v>0</v>
      </c>
      <c r="AE190" s="127">
        <f>SUM(AE183:AE189)</f>
        <v>2000000000</v>
      </c>
      <c r="AF190" s="127">
        <f>SUM(AF183:AF189)</f>
        <v>12000000000</v>
      </c>
      <c r="AG190" s="252"/>
      <c r="AH190" s="252"/>
      <c r="AI190" s="252"/>
      <c r="AJ190" s="127">
        <f>SUM(AJ183:AJ188)</f>
        <v>0</v>
      </c>
      <c r="AK190" s="127">
        <f>SUM(AK183:AK188)</f>
        <v>0</v>
      </c>
      <c r="AL190" s="127">
        <f>SUM(AL183:AL188)</f>
        <v>0</v>
      </c>
      <c r="AM190" s="127">
        <f>SUM(AM183:AM189)</f>
        <v>0</v>
      </c>
      <c r="AN190" s="127">
        <f>SUM(AN183:AN189)</f>
        <v>0</v>
      </c>
      <c r="AO190" s="253"/>
      <c r="AP190" s="254"/>
      <c r="AQ190" s="175">
        <f>SUM(AQ183:AQ189)</f>
        <v>12305615886</v>
      </c>
      <c r="AR190" s="175">
        <f>SUM(AR183:AR189)</f>
        <v>12000000000</v>
      </c>
      <c r="AS190" s="175">
        <f>SUM(AS183:AS189)</f>
        <v>0</v>
      </c>
      <c r="AT190" s="175">
        <f>SUM(AT183:AT189)</f>
        <v>24305615886</v>
      </c>
      <c r="AU190" s="175">
        <f t="shared" ref="AU190:BA190" si="126">SUM(AU183:AU188)</f>
        <v>22505615886</v>
      </c>
      <c r="AV190" s="175">
        <f t="shared" si="126"/>
        <v>0</v>
      </c>
      <c r="AW190" s="175">
        <f t="shared" si="126"/>
        <v>0</v>
      </c>
      <c r="AX190" s="175">
        <f t="shared" si="126"/>
        <v>0</v>
      </c>
      <c r="AY190" s="175">
        <f t="shared" si="126"/>
        <v>0</v>
      </c>
      <c r="AZ190" s="175">
        <f t="shared" si="126"/>
        <v>0</v>
      </c>
      <c r="BA190" s="175">
        <f t="shared" si="126"/>
        <v>0</v>
      </c>
      <c r="BB190" s="175">
        <f>SUM(BB183:BB189)</f>
        <v>-1800000000</v>
      </c>
      <c r="BC190" s="169"/>
      <c r="BD190" s="169"/>
      <c r="BE190" s="169"/>
      <c r="BF190" s="169"/>
    </row>
    <row r="191" spans="1:58" ht="47.25" outlineLevel="2" x14ac:dyDescent="0.25">
      <c r="A191" s="115"/>
      <c r="B191" s="200"/>
      <c r="C191" s="330"/>
      <c r="D191" s="343"/>
      <c r="E191" s="328"/>
      <c r="F191" s="328"/>
      <c r="G191" s="328"/>
      <c r="H191" s="213" t="s">
        <v>496</v>
      </c>
      <c r="I191" s="130" t="s">
        <v>172</v>
      </c>
      <c r="J191" s="126">
        <v>12</v>
      </c>
      <c r="K191" s="126">
        <v>20</v>
      </c>
      <c r="L191" s="125">
        <f>IF(I191&lt;&gt;0,((VLOOKUP(I191,'1. Standard_Cost'!$B$4:$D$11,2)+VLOOKUP(I191,'1. Standard_Cost'!$B$4:$D$11,3))*J191*K191),"0")</f>
        <v>12120000</v>
      </c>
      <c r="M191" s="125">
        <f>L191*'1. Standard_Cost'!$F$4</f>
        <v>2024040</v>
      </c>
      <c r="N191" s="126"/>
      <c r="O191" s="126"/>
      <c r="P191" s="126"/>
      <c r="Q191" s="126"/>
      <c r="R191" s="127">
        <f>'1. Standard_Cost'!$B$15*N191*P191</f>
        <v>0</v>
      </c>
      <c r="S191" s="127">
        <f>N191*O191*P191*'1. Standard_Cost'!$C$15</f>
        <v>0</v>
      </c>
      <c r="T191" s="127">
        <f>N191*P191*Q191*'1. Standard_Cost'!$D$15</f>
        <v>0</v>
      </c>
      <c r="U191" s="127">
        <f>N191*O191*'1. Standard_Cost'!$E$15</f>
        <v>0</v>
      </c>
      <c r="V191" s="126"/>
      <c r="W191" s="126"/>
      <c r="X191" s="126"/>
      <c r="Y191" s="127">
        <f>+V191*((X191*'1. Standard_Cost'!$B$19)+(W191*X191*'1. Standard_Cost'!$C$19))</f>
        <v>0</v>
      </c>
      <c r="Z191" s="126"/>
      <c r="AA191" s="126"/>
      <c r="AB191" s="127">
        <f>+Z191*'1. Standard_Cost'!$B$23+AA191*'1. Standard_Cost'!$C$23</f>
        <v>0</v>
      </c>
      <c r="AC191" s="128">
        <v>8443000</v>
      </c>
      <c r="AD191" s="129"/>
      <c r="AE191" s="127">
        <f>0</f>
        <v>0</v>
      </c>
      <c r="AF191" s="127">
        <f>SUM(AE191,AD191,AC191,AB191,Y191,U191,T191,S191,R191)</f>
        <v>8443000</v>
      </c>
      <c r="AG191" s="126"/>
      <c r="AH191" s="126"/>
      <c r="AI191" s="126"/>
      <c r="AJ191" s="130"/>
      <c r="AK191" s="130"/>
      <c r="AL191" s="130"/>
      <c r="AM191" s="127">
        <f>AG191*'1. Standard_Cost'!$B$27+'Incremental_Cost Year 9'!AH191*'1. Standard_Cost'!$C$27+'Incremental_Cost Year 9'!AI191*'1. Standard_Cost'!$D$27+'Incremental_Cost Year 9'!AJ191+'Incremental_Cost Year 9'!AL191+AK191</f>
        <v>0</v>
      </c>
      <c r="AN191" s="127">
        <f>AM191*'1. Standard_Cost'!$C$31</f>
        <v>0</v>
      </c>
      <c r="AO191" s="130"/>
      <c r="AP191" s="256"/>
      <c r="AQ191" s="171">
        <f>L191+M191</f>
        <v>14144040</v>
      </c>
      <c r="AR191" s="171">
        <f>AF191</f>
        <v>8443000</v>
      </c>
      <c r="AS191" s="171">
        <f>AM191+AN191</f>
        <v>0</v>
      </c>
      <c r="AT191" s="171">
        <f>SUM(AQ191,AR191,AS191)</f>
        <v>22587040</v>
      </c>
      <c r="AU191" s="250">
        <v>22587040</v>
      </c>
      <c r="AV191" s="250"/>
      <c r="AW191" s="250"/>
      <c r="AX191" s="250"/>
      <c r="AY191" s="250"/>
      <c r="AZ191" s="250"/>
      <c r="BA191" s="250"/>
      <c r="BB191" s="251">
        <f t="shared" ref="BB191:BB192" si="127">SUM(AU191:BA191)-AT191</f>
        <v>0</v>
      </c>
      <c r="BC191" s="169"/>
      <c r="BD191" s="169"/>
      <c r="BE191" s="169"/>
      <c r="BF191" s="169"/>
    </row>
    <row r="192" spans="1:58" ht="47.25" outlineLevel="2" x14ac:dyDescent="0.25">
      <c r="A192" s="115"/>
      <c r="B192" s="200"/>
      <c r="C192" s="330"/>
      <c r="D192" s="343"/>
      <c r="E192" s="328"/>
      <c r="F192" s="328"/>
      <c r="G192" s="328"/>
      <c r="H192" s="199" t="s">
        <v>238</v>
      </c>
      <c r="I192" s="130" t="s">
        <v>172</v>
      </c>
      <c r="J192" s="126">
        <v>12</v>
      </c>
      <c r="K192" s="126">
        <v>2</v>
      </c>
      <c r="L192" s="125">
        <f>IF(I192&lt;&gt;0,((VLOOKUP(I192,'1. Standard_Cost'!$B$4:$D$11,2)+VLOOKUP(I192,'1. Standard_Cost'!$B$4:$D$11,3))*J192*K192),"0")</f>
        <v>1212000</v>
      </c>
      <c r="M192" s="125">
        <f>L192*'1. Standard_Cost'!$F$4</f>
        <v>202404</v>
      </c>
      <c r="N192" s="126"/>
      <c r="O192" s="126"/>
      <c r="P192" s="126"/>
      <c r="Q192" s="126"/>
      <c r="R192" s="127">
        <f>'1. Standard_Cost'!$B$15*N192*P192</f>
        <v>0</v>
      </c>
      <c r="S192" s="127">
        <f>N192*O192*P192*'1. Standard_Cost'!$C$15</f>
        <v>0</v>
      </c>
      <c r="T192" s="127">
        <f>N192*P192*Q192*'1. Standard_Cost'!$D$15</f>
        <v>0</v>
      </c>
      <c r="U192" s="127">
        <f>N192*O192*'1. Standard_Cost'!$E$15</f>
        <v>0</v>
      </c>
      <c r="V192" s="126"/>
      <c r="W192" s="126"/>
      <c r="X192" s="126"/>
      <c r="Y192" s="127">
        <f>+V192*((X192*'1. Standard_Cost'!$B$19)+(W192*X192*'1. Standard_Cost'!$C$19))</f>
        <v>0</v>
      </c>
      <c r="Z192" s="126"/>
      <c r="AA192" s="126"/>
      <c r="AB192" s="127">
        <f>+Z192*'1. Standard_Cost'!$B$23+AA192*'1. Standard_Cost'!$C$23</f>
        <v>0</v>
      </c>
      <c r="AC192" s="128">
        <v>50000</v>
      </c>
      <c r="AD192" s="129"/>
      <c r="AE192" s="127">
        <f>SUM(AD192,AC192,AB192,Y192,U192,T192,S192,R192)*'1. Standard_Cost'!$B$31</f>
        <v>10000</v>
      </c>
      <c r="AF192" s="127">
        <f>SUM(AE192,AD192,AC192,AB192,Y192,U192,T192,S192,R192)</f>
        <v>60000</v>
      </c>
      <c r="AG192" s="126"/>
      <c r="AH192" s="126"/>
      <c r="AI192" s="126"/>
      <c r="AJ192" s="130"/>
      <c r="AK192" s="130"/>
      <c r="AL192" s="130"/>
      <c r="AM192" s="127">
        <f>AG192*'1. Standard_Cost'!$B$27+'Incremental_Cost Year 9'!AH192*'1. Standard_Cost'!$C$27+'Incremental_Cost Year 9'!AI192*'1. Standard_Cost'!$D$27+'Incremental_Cost Year 9'!AJ192+'Incremental_Cost Year 9'!AL192+AK192</f>
        <v>0</v>
      </c>
      <c r="AN192" s="127">
        <f>AM192*'1. Standard_Cost'!$C$31</f>
        <v>0</v>
      </c>
      <c r="AO192" s="130"/>
      <c r="AP192" s="256"/>
      <c r="AQ192" s="171">
        <f>L192+M192</f>
        <v>1414404</v>
      </c>
      <c r="AR192" s="171">
        <f>AF192</f>
        <v>60000</v>
      </c>
      <c r="AS192" s="171">
        <f>AM192+AN192</f>
        <v>0</v>
      </c>
      <c r="AT192" s="171">
        <f>SUM(AQ192,AR192,AS192)</f>
        <v>1474404</v>
      </c>
      <c r="AU192" s="250">
        <f>AT192</f>
        <v>1474404</v>
      </c>
      <c r="AV192" s="250"/>
      <c r="AW192" s="250"/>
      <c r="AX192" s="250"/>
      <c r="AY192" s="250"/>
      <c r="AZ192" s="250"/>
      <c r="BA192" s="250"/>
      <c r="BB192" s="251">
        <f t="shared" si="127"/>
        <v>0</v>
      </c>
      <c r="BC192" s="169"/>
      <c r="BD192" s="169"/>
      <c r="BE192" s="169"/>
      <c r="BF192" s="169"/>
    </row>
    <row r="193" spans="1:58" ht="15.75" outlineLevel="1" x14ac:dyDescent="0.25">
      <c r="A193" s="115"/>
      <c r="B193" s="200"/>
      <c r="C193" s="330"/>
      <c r="D193" s="343"/>
      <c r="E193" s="328"/>
      <c r="F193" s="328"/>
      <c r="G193" s="328"/>
      <c r="H193" s="150" t="s">
        <v>239</v>
      </c>
      <c r="I193" s="252"/>
      <c r="J193" s="252"/>
      <c r="K193" s="252"/>
      <c r="L193" s="127">
        <f>SUM(L191:L192)</f>
        <v>13332000</v>
      </c>
      <c r="M193" s="127">
        <f>SUM(M191:M192)</f>
        <v>2226444</v>
      </c>
      <c r="N193" s="252"/>
      <c r="O193" s="252"/>
      <c r="P193" s="252"/>
      <c r="Q193" s="252"/>
      <c r="R193" s="127">
        <f>SUM(R191:R192)</f>
        <v>0</v>
      </c>
      <c r="S193" s="127">
        <f>SUM(S191:S192)</f>
        <v>0</v>
      </c>
      <c r="T193" s="127">
        <f>SUM(T191:T192)</f>
        <v>0</v>
      </c>
      <c r="U193" s="127">
        <f>SUM(U191:U192)</f>
        <v>0</v>
      </c>
      <c r="V193" s="252"/>
      <c r="W193" s="252"/>
      <c r="X193" s="252"/>
      <c r="Y193" s="127">
        <f>SUM(Y191:Y192)</f>
        <v>0</v>
      </c>
      <c r="Z193" s="127"/>
      <c r="AA193" s="252"/>
      <c r="AB193" s="127">
        <f>SUM(AB191:AB192)</f>
        <v>0</v>
      </c>
      <c r="AC193" s="127">
        <f>SUM(AC191:AC192)</f>
        <v>8493000</v>
      </c>
      <c r="AD193" s="127">
        <f>SUM(AD191:AD192)</f>
        <v>0</v>
      </c>
      <c r="AE193" s="127">
        <f>SUM(AE191:AE192)</f>
        <v>10000</v>
      </c>
      <c r="AF193" s="127">
        <f>SUM(AF191:AF192)</f>
        <v>8503000</v>
      </c>
      <c r="AG193" s="252"/>
      <c r="AH193" s="252"/>
      <c r="AI193" s="252"/>
      <c r="AJ193" s="127">
        <f>SUM(AJ191:AJ192)</f>
        <v>0</v>
      </c>
      <c r="AK193" s="127">
        <f>SUM(AK191:AK192)</f>
        <v>0</v>
      </c>
      <c r="AL193" s="127">
        <f>SUM(AL191:AL192)</f>
        <v>0</v>
      </c>
      <c r="AM193" s="127">
        <f>SUM(AM191:AM192)</f>
        <v>0</v>
      </c>
      <c r="AN193" s="127">
        <f>SUM(AN191:AN192)</f>
        <v>0</v>
      </c>
      <c r="AO193" s="253"/>
      <c r="AP193" s="254"/>
      <c r="AQ193" s="175">
        <f>SUM(AQ191:AQ192)</f>
        <v>15558444</v>
      </c>
      <c r="AR193" s="175">
        <f>SUM(AR191:AR192)</f>
        <v>8503000</v>
      </c>
      <c r="AS193" s="175">
        <f>SUM(AS191:AS192)</f>
        <v>0</v>
      </c>
      <c r="AT193" s="175">
        <f>SUM(AT191:AT192)</f>
        <v>24061444</v>
      </c>
      <c r="AU193" s="175">
        <f t="shared" ref="AU193:BA193" si="128">SUM(AU191:AU192)</f>
        <v>24061444</v>
      </c>
      <c r="AV193" s="175">
        <f t="shared" si="128"/>
        <v>0</v>
      </c>
      <c r="AW193" s="175">
        <f t="shared" si="128"/>
        <v>0</v>
      </c>
      <c r="AX193" s="175">
        <f t="shared" si="128"/>
        <v>0</v>
      </c>
      <c r="AY193" s="175">
        <f t="shared" si="128"/>
        <v>0</v>
      </c>
      <c r="AZ193" s="175">
        <f t="shared" si="128"/>
        <v>0</v>
      </c>
      <c r="BA193" s="175">
        <f t="shared" si="128"/>
        <v>0</v>
      </c>
      <c r="BB193" s="175">
        <f>SUM(BB191:BB192)</f>
        <v>0</v>
      </c>
      <c r="BC193" s="169"/>
      <c r="BD193" s="169"/>
      <c r="BE193" s="169"/>
      <c r="BF193" s="169"/>
    </row>
    <row r="194" spans="1:58" ht="47.25" outlineLevel="2" x14ac:dyDescent="0.25">
      <c r="A194" s="115"/>
      <c r="B194" s="200"/>
      <c r="C194" s="330"/>
      <c r="D194" s="343"/>
      <c r="E194" s="328"/>
      <c r="F194" s="328"/>
      <c r="G194" s="328"/>
      <c r="H194" s="199" t="s">
        <v>497</v>
      </c>
      <c r="I194" s="130" t="s">
        <v>5</v>
      </c>
      <c r="J194" s="126">
        <v>3</v>
      </c>
      <c r="K194" s="126">
        <v>3</v>
      </c>
      <c r="L194" s="125">
        <f>IF(I194&lt;&gt;0,((VLOOKUP(I194,'1. Standard_Cost'!$B$4:$D$11,2)+VLOOKUP(I194,'1. Standard_Cost'!$B$4:$D$11,3))*J194*K194),"0")</f>
        <v>636300</v>
      </c>
      <c r="M194" s="125">
        <f>L194*'1. Standard_Cost'!$F$4</f>
        <v>106262.1</v>
      </c>
      <c r="N194" s="126"/>
      <c r="O194" s="126"/>
      <c r="P194" s="126"/>
      <c r="Q194" s="126"/>
      <c r="R194" s="127">
        <f>'1. Standard_Cost'!$B$15*N194*P194</f>
        <v>0</v>
      </c>
      <c r="S194" s="127">
        <f>N194*O194*P194*'1. Standard_Cost'!$C$15</f>
        <v>0</v>
      </c>
      <c r="T194" s="127">
        <f>N194*P194*Q194*'1. Standard_Cost'!$D$15</f>
        <v>0</v>
      </c>
      <c r="U194" s="127">
        <f>N194*O194*'1. Standard_Cost'!$E$15</f>
        <v>0</v>
      </c>
      <c r="V194" s="126"/>
      <c r="W194" s="126"/>
      <c r="X194" s="126"/>
      <c r="Y194" s="127">
        <f>+V194*((X194*'1. Standard_Cost'!$B$19)+(W194*X194*'1. Standard_Cost'!$C$19))</f>
        <v>0</v>
      </c>
      <c r="Z194" s="126"/>
      <c r="AA194" s="126"/>
      <c r="AB194" s="127">
        <f>+Z194*'1. Standard_Cost'!$B$23+AA194*'1. Standard_Cost'!$C$23</f>
        <v>0</v>
      </c>
      <c r="AC194" s="128">
        <v>75000</v>
      </c>
      <c r="AD194" s="129"/>
      <c r="AE194" s="127">
        <f>SUM(AD194,AC194,AB194,Y194,U194,T194,S194,R194)*'1. Standard_Cost'!$B$31</f>
        <v>15000</v>
      </c>
      <c r="AF194" s="127">
        <f>SUM(AE194,AD194,AC194,AB194,Y194,U194,T194,S194,R194)</f>
        <v>90000</v>
      </c>
      <c r="AG194" s="126"/>
      <c r="AH194" s="126"/>
      <c r="AI194" s="126"/>
      <c r="AJ194" s="130"/>
      <c r="AK194" s="130"/>
      <c r="AL194" s="130"/>
      <c r="AM194" s="127">
        <f>AG194*'1. Standard_Cost'!$B$27+'Incremental_Cost Year 9'!AH194*'1. Standard_Cost'!$C$27+'Incremental_Cost Year 9'!AI194*'1. Standard_Cost'!$D$27+'Incremental_Cost Year 9'!AJ194+'Incremental_Cost Year 9'!AL194+AK194</f>
        <v>0</v>
      </c>
      <c r="AN194" s="127">
        <f>AM194*'1. Standard_Cost'!$C$31</f>
        <v>0</v>
      </c>
      <c r="AO194" s="130"/>
      <c r="AP194" s="256"/>
      <c r="AQ194" s="171">
        <f>L194+M194</f>
        <v>742562.1</v>
      </c>
      <c r="AR194" s="171">
        <f>AF194</f>
        <v>90000</v>
      </c>
      <c r="AS194" s="171">
        <f>AM194+AN194</f>
        <v>0</v>
      </c>
      <c r="AT194" s="171">
        <f>SUM(AQ194,AR194,AS194)</f>
        <v>832562.1</v>
      </c>
      <c r="AU194" s="250">
        <v>832562</v>
      </c>
      <c r="AV194" s="250"/>
      <c r="AW194" s="250"/>
      <c r="AX194" s="250"/>
      <c r="AY194" s="250"/>
      <c r="AZ194" s="250"/>
      <c r="BA194" s="250"/>
      <c r="BB194" s="251">
        <f t="shared" ref="BB194:BB195" si="129">SUM(AU194:BA194)-AT194</f>
        <v>-9.9999999976716936E-2</v>
      </c>
      <c r="BC194" s="169"/>
      <c r="BD194" s="169"/>
      <c r="BE194" s="169"/>
      <c r="BF194" s="169"/>
    </row>
    <row r="195" spans="1:58" ht="47.25" outlineLevel="2" x14ac:dyDescent="0.25">
      <c r="A195" s="115"/>
      <c r="B195" s="147"/>
      <c r="C195" s="341"/>
      <c r="D195" s="344"/>
      <c r="E195" s="328"/>
      <c r="F195" s="328"/>
      <c r="G195" s="328"/>
      <c r="H195" s="199" t="s">
        <v>498</v>
      </c>
      <c r="I195" s="130"/>
      <c r="J195" s="126"/>
      <c r="K195" s="126"/>
      <c r="L195" s="125" t="str">
        <f>IF(I195&lt;&gt;0,((VLOOKUP(I195,'1. Standard_Cost'!$B$4:$D$11,2)+VLOOKUP(I195,'1. Standard_Cost'!$B$4:$D$11,3))*J195*K195),"0")</f>
        <v>0</v>
      </c>
      <c r="M195" s="125">
        <f>L195*'1. Standard_Cost'!$F$4</f>
        <v>0</v>
      </c>
      <c r="N195" s="126"/>
      <c r="O195" s="126"/>
      <c r="P195" s="126"/>
      <c r="Q195" s="126"/>
      <c r="R195" s="127">
        <f>'1. Standard_Cost'!$B$15*N195*P195</f>
        <v>0</v>
      </c>
      <c r="S195" s="127">
        <f>N195*O195*P195*'1. Standard_Cost'!$C$15</f>
        <v>0</v>
      </c>
      <c r="T195" s="127">
        <f>N195*P195*Q195*'1. Standard_Cost'!$D$15</f>
        <v>0</v>
      </c>
      <c r="U195" s="127">
        <f>N195*O195*'1. Standard_Cost'!$E$15</f>
        <v>0</v>
      </c>
      <c r="V195" s="126"/>
      <c r="W195" s="126"/>
      <c r="X195" s="126"/>
      <c r="Y195" s="127">
        <f>+V195*((X195*'1. Standard_Cost'!$B$19)+(W195*X195*'1. Standard_Cost'!$C$19))</f>
        <v>0</v>
      </c>
      <c r="Z195" s="126"/>
      <c r="AA195" s="126"/>
      <c r="AB195" s="127">
        <f>+Z195*'1. Standard_Cost'!$B$23+AA195*'1. Standard_Cost'!$C$23</f>
        <v>0</v>
      </c>
      <c r="AC195" s="128"/>
      <c r="AD195" s="129"/>
      <c r="AE195" s="127">
        <f>SUM(AD195,AC195,AB195,Y195,U195,T195,S195,R195)*'1. Standard_Cost'!$B$31</f>
        <v>0</v>
      </c>
      <c r="AF195" s="127">
        <f>SUM(AE195,AD195,AC195,AB195,Y195,U195,T195,S195,R195)</f>
        <v>0</v>
      </c>
      <c r="AG195" s="126"/>
      <c r="AH195" s="126"/>
      <c r="AI195" s="126"/>
      <c r="AJ195" s="130"/>
      <c r="AK195" s="130"/>
      <c r="AL195" s="130"/>
      <c r="AM195" s="127">
        <f>AG195*'1. Standard_Cost'!$B$27+'Incremental_Cost Year 9'!AH195*'1. Standard_Cost'!$C$27+'Incremental_Cost Year 9'!AI195*'1. Standard_Cost'!$D$27+'Incremental_Cost Year 9'!AJ195+'Incremental_Cost Year 9'!AL195+AK195</f>
        <v>0</v>
      </c>
      <c r="AN195" s="127">
        <f>AM195*'1. Standard_Cost'!$C$31</f>
        <v>0</v>
      </c>
      <c r="AO195" s="130"/>
      <c r="AP195" s="256"/>
      <c r="AQ195" s="171">
        <f>L195+M195</f>
        <v>0</v>
      </c>
      <c r="AR195" s="171">
        <f>AF195</f>
        <v>0</v>
      </c>
      <c r="AS195" s="171">
        <f>AM195+AN195</f>
        <v>0</v>
      </c>
      <c r="AT195" s="171">
        <f>SUM(AQ195,AR195,AS195)</f>
        <v>0</v>
      </c>
      <c r="AU195" s="250"/>
      <c r="AV195" s="250"/>
      <c r="AW195" s="250"/>
      <c r="AX195" s="250"/>
      <c r="AY195" s="250"/>
      <c r="AZ195" s="250"/>
      <c r="BA195" s="250"/>
      <c r="BB195" s="251">
        <f t="shared" si="129"/>
        <v>0</v>
      </c>
      <c r="BC195" s="169"/>
      <c r="BD195" s="169"/>
      <c r="BE195" s="169"/>
      <c r="BF195" s="169"/>
    </row>
    <row r="196" spans="1:58" ht="63" outlineLevel="1" x14ac:dyDescent="0.25">
      <c r="A196" s="115"/>
      <c r="B196" s="200"/>
      <c r="C196" s="201"/>
      <c r="D196" s="107" t="s">
        <v>240</v>
      </c>
      <c r="E196" s="212" t="s">
        <v>499</v>
      </c>
      <c r="F196" s="104">
        <v>2021</v>
      </c>
      <c r="G196" s="104">
        <v>2030</v>
      </c>
      <c r="H196" s="150" t="s">
        <v>241</v>
      </c>
      <c r="I196" s="252"/>
      <c r="J196" s="252"/>
      <c r="K196" s="252"/>
      <c r="L196" s="127">
        <f>SUM(L194:L195)</f>
        <v>636300</v>
      </c>
      <c r="M196" s="127">
        <f>SUM(M194:M195)</f>
        <v>106262.1</v>
      </c>
      <c r="N196" s="252"/>
      <c r="O196" s="252"/>
      <c r="P196" s="252"/>
      <c r="Q196" s="252"/>
      <c r="R196" s="127">
        <f>SUM(R194:R195)</f>
        <v>0</v>
      </c>
      <c r="S196" s="127">
        <f>SUM(S194:S195)</f>
        <v>0</v>
      </c>
      <c r="T196" s="127">
        <f>SUM(T194:T195)</f>
        <v>0</v>
      </c>
      <c r="U196" s="127">
        <f>SUM(U194:U195)</f>
        <v>0</v>
      </c>
      <c r="V196" s="252"/>
      <c r="W196" s="252"/>
      <c r="X196" s="252"/>
      <c r="Y196" s="127">
        <f>SUM(Y194:Y195)</f>
        <v>0</v>
      </c>
      <c r="Z196" s="127"/>
      <c r="AA196" s="252"/>
      <c r="AB196" s="127">
        <f>SUM(AB194:AB195)</f>
        <v>0</v>
      </c>
      <c r="AC196" s="127">
        <f>SUM(AC194:AC195)</f>
        <v>75000</v>
      </c>
      <c r="AD196" s="127">
        <f>SUM(AD194:AD195)</f>
        <v>0</v>
      </c>
      <c r="AE196" s="127">
        <f>SUM(AE194:AE195)</f>
        <v>15000</v>
      </c>
      <c r="AF196" s="127">
        <f>SUM(AF194:AF195)</f>
        <v>90000</v>
      </c>
      <c r="AG196" s="252"/>
      <c r="AH196" s="252"/>
      <c r="AI196" s="252"/>
      <c r="AJ196" s="127">
        <f>SUM(AJ194:AJ195)</f>
        <v>0</v>
      </c>
      <c r="AK196" s="127">
        <f>SUM(AK194:AK195)</f>
        <v>0</v>
      </c>
      <c r="AL196" s="127">
        <f>SUM(AL194:AL195)</f>
        <v>0</v>
      </c>
      <c r="AM196" s="127">
        <f>SUM(AM194:AM195)</f>
        <v>0</v>
      </c>
      <c r="AN196" s="127">
        <f>SUM(AN194:AN195)</f>
        <v>0</v>
      </c>
      <c r="AO196" s="253"/>
      <c r="AP196" s="254"/>
      <c r="AQ196" s="175">
        <f>SUM(AQ194:AQ195)</f>
        <v>742562.1</v>
      </c>
      <c r="AR196" s="175">
        <f>SUM(AR194:AR195)</f>
        <v>90000</v>
      </c>
      <c r="AS196" s="175">
        <f>SUM(AS194:AS195)</f>
        <v>0</v>
      </c>
      <c r="AT196" s="175">
        <f>SUM(AT194:AT195)</f>
        <v>832562.1</v>
      </c>
      <c r="AU196" s="175">
        <f t="shared" ref="AU196:BA196" si="130">SUM(AU194:AU195)</f>
        <v>832562</v>
      </c>
      <c r="AV196" s="175">
        <f t="shared" si="130"/>
        <v>0</v>
      </c>
      <c r="AW196" s="175">
        <f t="shared" si="130"/>
        <v>0</v>
      </c>
      <c r="AX196" s="175">
        <f t="shared" si="130"/>
        <v>0</v>
      </c>
      <c r="AY196" s="175">
        <f t="shared" si="130"/>
        <v>0</v>
      </c>
      <c r="AZ196" s="175">
        <f t="shared" si="130"/>
        <v>0</v>
      </c>
      <c r="BA196" s="175">
        <f t="shared" si="130"/>
        <v>0</v>
      </c>
      <c r="BB196" s="175">
        <f>SUM(BB194:BB195)</f>
        <v>-9.9999999976716936E-2</v>
      </c>
      <c r="BC196" s="169"/>
      <c r="BD196" s="169"/>
      <c r="BE196" s="169"/>
      <c r="BF196" s="169"/>
    </row>
    <row r="197" spans="1:58" s="170" customFormat="1" ht="15.75" customHeight="1" x14ac:dyDescent="0.25">
      <c r="A197" s="120"/>
      <c r="B197" s="396" t="s">
        <v>243</v>
      </c>
      <c r="C197" s="389"/>
      <c r="D197" s="389"/>
      <c r="E197" s="390"/>
      <c r="F197" s="286"/>
      <c r="G197" s="286"/>
      <c r="H197" s="148" t="s">
        <v>184</v>
      </c>
      <c r="I197" s="243"/>
      <c r="J197" s="243"/>
      <c r="K197" s="243"/>
      <c r="L197" s="243">
        <f>SUM(L198,L213,L221,L226,L232,L238)</f>
        <v>913109400</v>
      </c>
      <c r="M197" s="243">
        <f>SUM(M198,M213,M221,M226,M232,M238)</f>
        <v>152489269.79999998</v>
      </c>
      <c r="N197" s="243"/>
      <c r="O197" s="243"/>
      <c r="P197" s="243"/>
      <c r="Q197" s="243"/>
      <c r="R197" s="243">
        <f>SUM(R198,R213,R221,R226,R232,R238)</f>
        <v>0</v>
      </c>
      <c r="S197" s="243">
        <f>SUM(S198,S213,S221,S226,S232,S238)</f>
        <v>0</v>
      </c>
      <c r="T197" s="243">
        <f>SUM(T198,T213,T221,T226,T232,T238)</f>
        <v>0</v>
      </c>
      <c r="U197" s="243">
        <f>SUM(U198,U213,U221,U226,U232,U238)</f>
        <v>0</v>
      </c>
      <c r="V197" s="243"/>
      <c r="W197" s="243"/>
      <c r="X197" s="243"/>
      <c r="Y197" s="243">
        <f>SUM(Y198,Y213,Y221,Y226,Y232,Y238)</f>
        <v>0</v>
      </c>
      <c r="Z197" s="243">
        <f>SUM(Z198,Z213,Z221,Z226,Z232,Z238)</f>
        <v>0</v>
      </c>
      <c r="AA197" s="243"/>
      <c r="AB197" s="243">
        <f>SUM(AB198,AB213,AB221,AB226,AB232,AB238)</f>
        <v>1710000</v>
      </c>
      <c r="AC197" s="243">
        <f>SUM(AC198,AC213,AC221,AC226,AC232,AC238)</f>
        <v>1442487000</v>
      </c>
      <c r="AD197" s="243">
        <f>SUM(AD198,AD213,AD221,AD226,AD232,AD238)</f>
        <v>0</v>
      </c>
      <c r="AE197" s="243">
        <f>SUM(AE198,AE213,AE221,AE226,AE232,AE238)</f>
        <v>406800</v>
      </c>
      <c r="AF197" s="243">
        <f>SUM(AF198,AF213,AF221,AF226,AF232,AF238)</f>
        <v>1444603800</v>
      </c>
      <c r="AG197" s="243"/>
      <c r="AH197" s="243"/>
      <c r="AI197" s="243"/>
      <c r="AJ197" s="243">
        <f>SUM(AJ198,AJ213,AJ221,AJ226,AJ232,AJ238)</f>
        <v>0</v>
      </c>
      <c r="AK197" s="243">
        <f>SUM(AK198,AK213,AK221,AK226,AK232,AK238)</f>
        <v>0</v>
      </c>
      <c r="AL197" s="243">
        <f>SUM(AL198,AL213,AL221,AL226,AL232,AL238)</f>
        <v>0</v>
      </c>
      <c r="AM197" s="243">
        <f>SUM(AM198,AM213,AM221,AM226,AM232,AM238)</f>
        <v>0</v>
      </c>
      <c r="AN197" s="243">
        <f>SUM(AN198,AN213,AN221,AN226,AN232,AN238)</f>
        <v>0</v>
      </c>
      <c r="AO197" s="243"/>
      <c r="AP197" s="244"/>
      <c r="AQ197" s="245">
        <f>SUM(AQ198,AQ213,AQ221,AQ226,AQ232,AQ238)</f>
        <v>1065598669.8</v>
      </c>
      <c r="AR197" s="245">
        <f>SUM(AR198,AR213,AR221,AR226,AR232,AR238)</f>
        <v>1444603800</v>
      </c>
      <c r="AS197" s="245">
        <f>SUM(AS198,AS213,AS221,AS226,AS232,AS238)</f>
        <v>0</v>
      </c>
      <c r="AT197" s="245">
        <f>SUM(AT198,AT213,AT221,AT226,AT232,AT238)</f>
        <v>2510202469.8000002</v>
      </c>
      <c r="AU197" s="245">
        <f t="shared" ref="AU197:BB197" si="131">SUM(AU198,AU213,AU221,AU226,AU232,AU238)</f>
        <v>2508121669.8000002</v>
      </c>
      <c r="AV197" s="245">
        <f t="shared" si="131"/>
        <v>0</v>
      </c>
      <c r="AW197" s="245">
        <f t="shared" si="131"/>
        <v>0</v>
      </c>
      <c r="AX197" s="245">
        <f t="shared" si="131"/>
        <v>0</v>
      </c>
      <c r="AY197" s="245">
        <f t="shared" si="131"/>
        <v>0</v>
      </c>
      <c r="AZ197" s="245">
        <f t="shared" si="131"/>
        <v>0</v>
      </c>
      <c r="BA197" s="245">
        <f t="shared" si="131"/>
        <v>0</v>
      </c>
      <c r="BB197" s="245">
        <f t="shared" si="131"/>
        <v>-2080800</v>
      </c>
    </row>
    <row r="198" spans="1:58" s="184" customFormat="1" ht="15.75" customHeight="1" x14ac:dyDescent="0.25">
      <c r="A198" s="143"/>
      <c r="B198" s="332"/>
      <c r="C198" s="397" t="s">
        <v>244</v>
      </c>
      <c r="D198" s="397"/>
      <c r="E198" s="398"/>
      <c r="F198" s="291"/>
      <c r="G198" s="340"/>
      <c r="H198" s="149" t="s">
        <v>185</v>
      </c>
      <c r="I198" s="269"/>
      <c r="J198" s="257"/>
      <c r="K198" s="257"/>
      <c r="L198" s="258">
        <f>SUM(L203,L209,L212)</f>
        <v>0</v>
      </c>
      <c r="M198" s="258">
        <f>SUM(M203,M209,M212)</f>
        <v>0</v>
      </c>
      <c r="N198" s="257"/>
      <c r="O198" s="257"/>
      <c r="P198" s="257"/>
      <c r="Q198" s="257"/>
      <c r="R198" s="258">
        <f>SUM(R203,R209,R212)</f>
        <v>0</v>
      </c>
      <c r="S198" s="258">
        <f>SUM(S203,S209,S212)</f>
        <v>0</v>
      </c>
      <c r="T198" s="258">
        <f>SUM(T203,T209,T212)</f>
        <v>0</v>
      </c>
      <c r="U198" s="258">
        <f>SUM(U203,U209,U212)</f>
        <v>0</v>
      </c>
      <c r="V198" s="257"/>
      <c r="W198" s="257"/>
      <c r="X198" s="257"/>
      <c r="Y198" s="258">
        <f>SUM(Y203,Y209,Y212)</f>
        <v>0</v>
      </c>
      <c r="Z198" s="258">
        <f>SUM(Z203,Z209,Z212)</f>
        <v>0</v>
      </c>
      <c r="AA198" s="257"/>
      <c r="AB198" s="258">
        <f>SUM(AB203,AB209,AB212)</f>
        <v>1710000</v>
      </c>
      <c r="AC198" s="258">
        <f>SUM(AC203,AC209,AC212)</f>
        <v>24000</v>
      </c>
      <c r="AD198" s="258">
        <f>SUM(AD203,AD209,AD212)</f>
        <v>0</v>
      </c>
      <c r="AE198" s="258">
        <f>SUM(AE203,AE209,AE212)</f>
        <v>346800</v>
      </c>
      <c r="AF198" s="258">
        <f>SUM(AF203,AF209,AF212)</f>
        <v>2080800</v>
      </c>
      <c r="AG198" s="257"/>
      <c r="AH198" s="257"/>
      <c r="AI198" s="257"/>
      <c r="AJ198" s="258">
        <f>SUM(AJ203,AJ209,AJ212)</f>
        <v>0</v>
      </c>
      <c r="AK198" s="258">
        <f>SUM(AK203,AK209,AK212)</f>
        <v>0</v>
      </c>
      <c r="AL198" s="258">
        <f>SUM(AL203,AL209,AL212)</f>
        <v>0</v>
      </c>
      <c r="AM198" s="258">
        <f>SUM(AM203,AM209,AM212)</f>
        <v>0</v>
      </c>
      <c r="AN198" s="258">
        <f>SUM(AN203,AN209,AN212)</f>
        <v>0</v>
      </c>
      <c r="AO198" s="259"/>
      <c r="AP198" s="260"/>
      <c r="AQ198" s="261">
        <f>SUM(AQ203,AQ209,AQ212)</f>
        <v>0</v>
      </c>
      <c r="AR198" s="261">
        <f>SUM(AR203,AR209,AR212)</f>
        <v>2080800</v>
      </c>
      <c r="AS198" s="261">
        <f>SUM(AS203,AS209,AS212)</f>
        <v>0</v>
      </c>
      <c r="AT198" s="261">
        <f>SUM(AT203,AT209,AT212)</f>
        <v>2080800</v>
      </c>
      <c r="AU198" s="261">
        <f t="shared" ref="AU198:BB198" si="132">SUM(AU203,AU209,AU212)</f>
        <v>0</v>
      </c>
      <c r="AV198" s="261">
        <f t="shared" si="132"/>
        <v>0</v>
      </c>
      <c r="AW198" s="261">
        <f t="shared" si="132"/>
        <v>0</v>
      </c>
      <c r="AX198" s="261">
        <f t="shared" si="132"/>
        <v>0</v>
      </c>
      <c r="AY198" s="261">
        <f t="shared" si="132"/>
        <v>0</v>
      </c>
      <c r="AZ198" s="261">
        <f t="shared" si="132"/>
        <v>0</v>
      </c>
      <c r="BA198" s="261">
        <f t="shared" si="132"/>
        <v>0</v>
      </c>
      <c r="BB198" s="261">
        <f t="shared" si="132"/>
        <v>-2080800</v>
      </c>
    </row>
    <row r="199" spans="1:58" ht="63" outlineLevel="2" x14ac:dyDescent="0.25">
      <c r="A199" s="115"/>
      <c r="B199" s="200"/>
      <c r="C199" s="201"/>
      <c r="D199" s="202"/>
      <c r="E199" s="226"/>
      <c r="F199" s="295"/>
      <c r="G199" s="296"/>
      <c r="H199" s="199" t="s">
        <v>500</v>
      </c>
      <c r="I199" s="130"/>
      <c r="J199" s="126"/>
      <c r="K199" s="126"/>
      <c r="L199" s="125" t="str">
        <f>IF(I199&lt;&gt;0,((VLOOKUP(I199,'1. Standard_Cost'!$B$4:$D$11,2)+VLOOKUP(I199,'1. Standard_Cost'!$B$4:$D$11,3))*J199*K199),"0")</f>
        <v>0</v>
      </c>
      <c r="M199" s="125">
        <f>L199*'1. Standard_Cost'!$F$4</f>
        <v>0</v>
      </c>
      <c r="N199" s="126"/>
      <c r="O199" s="126"/>
      <c r="P199" s="126"/>
      <c r="Q199" s="126"/>
      <c r="R199" s="127">
        <f>'1. Standard_Cost'!$B$15*N199*P199</f>
        <v>0</v>
      </c>
      <c r="S199" s="127">
        <f>N199*O199*P199*'1. Standard_Cost'!$C$15</f>
        <v>0</v>
      </c>
      <c r="T199" s="127">
        <f>N199*P199*Q199*'1. Standard_Cost'!$D$15</f>
        <v>0</v>
      </c>
      <c r="U199" s="127">
        <f>N199*O199*'1. Standard_Cost'!$E$15</f>
        <v>0</v>
      </c>
      <c r="V199" s="126"/>
      <c r="W199" s="126"/>
      <c r="X199" s="126"/>
      <c r="Y199" s="127">
        <f>+V199*((X199*'1. Standard_Cost'!$B$19)+(W199*X199*'1. Standard_Cost'!$C$19))</f>
        <v>0</v>
      </c>
      <c r="Z199" s="126"/>
      <c r="AA199" s="126"/>
      <c r="AB199" s="127">
        <f>+Z199*'1. Standard_Cost'!$B$23+AA199*'1. Standard_Cost'!$C$23</f>
        <v>0</v>
      </c>
      <c r="AC199" s="128"/>
      <c r="AD199" s="129"/>
      <c r="AE199" s="127">
        <f>SUM(AD199,AC199,AB199,Y199,U199,T199,S199,R199)*'1. Standard_Cost'!$B$31</f>
        <v>0</v>
      </c>
      <c r="AF199" s="127">
        <f>SUM(AE199,AD199,AC199,AB199,Y199,U199,T199,S199,R199)</f>
        <v>0</v>
      </c>
      <c r="AG199" s="126"/>
      <c r="AH199" s="126"/>
      <c r="AI199" s="126"/>
      <c r="AJ199" s="130"/>
      <c r="AK199" s="130"/>
      <c r="AL199" s="130"/>
      <c r="AM199" s="127">
        <f>AG199*'1. Standard_Cost'!$B$27+'Incremental_Cost Year 9'!AH199*'1. Standard_Cost'!$C$27+'Incremental_Cost Year 9'!AI199*'1. Standard_Cost'!$D$27+'Incremental_Cost Year 9'!AJ199+'Incremental_Cost Year 9'!AL199+AK199</f>
        <v>0</v>
      </c>
      <c r="AN199" s="127">
        <f>AM199*'1. Standard_Cost'!$C$31</f>
        <v>0</v>
      </c>
      <c r="AO199" s="130"/>
      <c r="AQ199" s="171">
        <f>L199+M199</f>
        <v>0</v>
      </c>
      <c r="AR199" s="171">
        <f>AF199</f>
        <v>0</v>
      </c>
      <c r="AS199" s="171">
        <f>AM199+AN199</f>
        <v>0</v>
      </c>
      <c r="AT199" s="171">
        <f>SUM(AQ199,AR199,AS199)</f>
        <v>0</v>
      </c>
      <c r="AU199" s="250">
        <f>AT199</f>
        <v>0</v>
      </c>
      <c r="AV199" s="250"/>
      <c r="AW199" s="250"/>
      <c r="AX199" s="250"/>
      <c r="AY199" s="250"/>
      <c r="AZ199" s="250"/>
      <c r="BA199" s="250"/>
      <c r="BB199" s="251">
        <f t="shared" ref="BB199:BB202" si="133">SUM(AU199:BA199)-AT199</f>
        <v>0</v>
      </c>
      <c r="BC199" s="169"/>
      <c r="BD199" s="169"/>
      <c r="BE199" s="169"/>
      <c r="BF199" s="169"/>
    </row>
    <row r="200" spans="1:58" ht="110.25" outlineLevel="2" x14ac:dyDescent="0.25">
      <c r="A200" s="115"/>
      <c r="B200" s="200"/>
      <c r="C200" s="201"/>
      <c r="D200" s="202"/>
      <c r="E200" s="202"/>
      <c r="F200" s="219"/>
      <c r="G200" s="313"/>
      <c r="H200" s="199" t="s">
        <v>501</v>
      </c>
      <c r="I200" s="130"/>
      <c r="J200" s="126"/>
      <c r="K200" s="126"/>
      <c r="L200" s="125" t="str">
        <f>IF(I200&lt;&gt;0,((VLOOKUP(I200,'1. Standard_Cost'!$B$4:$D$11,2)+VLOOKUP(I200,'1. Standard_Cost'!$B$4:$D$11,3))*J200*K200),"0")</f>
        <v>0</v>
      </c>
      <c r="M200" s="125">
        <f>L200*'1. Standard_Cost'!$F$4</f>
        <v>0</v>
      </c>
      <c r="N200" s="126"/>
      <c r="O200" s="126"/>
      <c r="P200" s="126"/>
      <c r="Q200" s="126"/>
      <c r="R200" s="127">
        <f>'1. Standard_Cost'!$B$15*N200*P200</f>
        <v>0</v>
      </c>
      <c r="S200" s="127">
        <f>N200*O200*P200*'1. Standard_Cost'!$C$15</f>
        <v>0</v>
      </c>
      <c r="T200" s="127">
        <f>N200*P200*Q200*'1. Standard_Cost'!$D$15</f>
        <v>0</v>
      </c>
      <c r="U200" s="127">
        <f>N200*O200*'1. Standard_Cost'!$E$15</f>
        <v>0</v>
      </c>
      <c r="V200" s="126"/>
      <c r="W200" s="126"/>
      <c r="X200" s="126"/>
      <c r="Y200" s="127">
        <f>+V200*((X200*'1. Standard_Cost'!$B$19)+(W200*X200*'1. Standard_Cost'!$C$19))</f>
        <v>0</v>
      </c>
      <c r="Z200" s="126"/>
      <c r="AA200" s="126">
        <v>90</v>
      </c>
      <c r="AB200" s="127">
        <f>+Z200*'1. Standard_Cost'!$B$23+AA200*'1. Standard_Cost'!$C$23</f>
        <v>1710000</v>
      </c>
      <c r="AC200" s="128">
        <f>4*20*300</f>
        <v>24000</v>
      </c>
      <c r="AD200" s="129"/>
      <c r="AE200" s="127">
        <f>SUM(AD200,AC200,AB200,Y200,U200,T200,S200,R200)*'1. Standard_Cost'!$B$31</f>
        <v>346800</v>
      </c>
      <c r="AF200" s="127">
        <f>SUM(AE200,AD200,AC200,AB200,Y200,U200,T200,S200,R200)</f>
        <v>2080800</v>
      </c>
      <c r="AG200" s="126"/>
      <c r="AH200" s="126"/>
      <c r="AI200" s="126"/>
      <c r="AJ200" s="130"/>
      <c r="AK200" s="130"/>
      <c r="AL200" s="130"/>
      <c r="AM200" s="127">
        <f>AG200*'1. Standard_Cost'!$B$27+'Incremental_Cost Year 9'!AH200*'1. Standard_Cost'!$C$27+'Incremental_Cost Year 9'!AI200*'1. Standard_Cost'!$D$27+'Incremental_Cost Year 9'!AJ200+'Incremental_Cost Year 9'!AL200+AK200</f>
        <v>0</v>
      </c>
      <c r="AN200" s="127">
        <f>AM200*'1. Standard_Cost'!$C$31</f>
        <v>0</v>
      </c>
      <c r="AO200" s="130"/>
      <c r="AQ200" s="171">
        <f>L200+M200</f>
        <v>0</v>
      </c>
      <c r="AR200" s="171">
        <f>AF200</f>
        <v>2080800</v>
      </c>
      <c r="AS200" s="171">
        <f>AM200+AN200</f>
        <v>0</v>
      </c>
      <c r="AT200" s="171">
        <f>SUM(AQ200,AR200,AS200)</f>
        <v>2080800</v>
      </c>
      <c r="AU200" s="250">
        <f>AQ200</f>
        <v>0</v>
      </c>
      <c r="AV200" s="250"/>
      <c r="AW200" s="250"/>
      <c r="AX200" s="250"/>
      <c r="AY200" s="250"/>
      <c r="AZ200" s="250"/>
      <c r="BA200" s="250"/>
      <c r="BB200" s="251">
        <f t="shared" si="133"/>
        <v>-2080800</v>
      </c>
      <c r="BC200" s="169"/>
      <c r="BD200" s="169"/>
      <c r="BE200" s="169"/>
      <c r="BF200" s="169"/>
    </row>
    <row r="201" spans="1:58" ht="31.5" outlineLevel="2" x14ac:dyDescent="0.25">
      <c r="A201" s="115"/>
      <c r="B201" s="200"/>
      <c r="C201" s="201"/>
      <c r="D201" s="202"/>
      <c r="E201" s="202"/>
      <c r="F201" s="219"/>
      <c r="G201" s="313"/>
      <c r="H201" s="213" t="s">
        <v>502</v>
      </c>
      <c r="I201" s="130"/>
      <c r="J201" s="126"/>
      <c r="K201" s="126"/>
      <c r="L201" s="125" t="str">
        <f>IF(I201&lt;&gt;0,((VLOOKUP(I201,'1. Standard_Cost'!$B$4:$D$11,2)+VLOOKUP(I201,'1. Standard_Cost'!$B$4:$D$11,3))*J201*K201),"0")</f>
        <v>0</v>
      </c>
      <c r="M201" s="125">
        <f>L201*'1. Standard_Cost'!$F$4</f>
        <v>0</v>
      </c>
      <c r="N201" s="126"/>
      <c r="O201" s="126"/>
      <c r="P201" s="126"/>
      <c r="Q201" s="126"/>
      <c r="R201" s="127">
        <f>'1. Standard_Cost'!$B$15*N201*P201</f>
        <v>0</v>
      </c>
      <c r="S201" s="127">
        <f>N201*O201*P201*'1. Standard_Cost'!$C$15</f>
        <v>0</v>
      </c>
      <c r="T201" s="127">
        <f>N201*P201*Q201*'1. Standard_Cost'!$D$15</f>
        <v>0</v>
      </c>
      <c r="U201" s="127">
        <f>N201*O201*'1. Standard_Cost'!$E$15</f>
        <v>0</v>
      </c>
      <c r="V201" s="126"/>
      <c r="W201" s="126"/>
      <c r="X201" s="126"/>
      <c r="Y201" s="127">
        <f>+V201*((X201*'1. Standard_Cost'!$B$19)+(W201*X201*'1. Standard_Cost'!$C$19))</f>
        <v>0</v>
      </c>
      <c r="Z201" s="126"/>
      <c r="AA201" s="126"/>
      <c r="AB201" s="127">
        <f>+Z201*'1. Standard_Cost'!$B$23+AA201*'1. Standard_Cost'!$C$23</f>
        <v>0</v>
      </c>
      <c r="AC201" s="128"/>
      <c r="AD201" s="129"/>
      <c r="AE201" s="127">
        <f>SUM(AD201,AC201,AB201,Y201,U201,T201,S201,R201)*'1. Standard_Cost'!$B$31</f>
        <v>0</v>
      </c>
      <c r="AF201" s="127">
        <f>SUM(AE201,AD201,AC201,AB201,Y201,U201,T201,S201,R201)</f>
        <v>0</v>
      </c>
      <c r="AG201" s="126"/>
      <c r="AH201" s="126"/>
      <c r="AI201" s="126"/>
      <c r="AJ201" s="130"/>
      <c r="AK201" s="130"/>
      <c r="AL201" s="130"/>
      <c r="AM201" s="127">
        <f>AG201*'1. Standard_Cost'!$B$27+'Incremental_Cost Year 9'!AH201*'1. Standard_Cost'!$C$27+'Incremental_Cost Year 9'!AI201*'1. Standard_Cost'!$D$27+'Incremental_Cost Year 9'!AJ201+'Incremental_Cost Year 9'!AL201+AK201</f>
        <v>0</v>
      </c>
      <c r="AN201" s="127">
        <f>AM201*'1. Standard_Cost'!$C$31</f>
        <v>0</v>
      </c>
      <c r="AO201" s="130"/>
      <c r="AQ201" s="171">
        <f>L201+M201</f>
        <v>0</v>
      </c>
      <c r="AR201" s="171">
        <f>AF201</f>
        <v>0</v>
      </c>
      <c r="AS201" s="171">
        <f>AM201+AN201</f>
        <v>0</v>
      </c>
      <c r="AT201" s="171">
        <f>SUM(AQ201,AR201,AS201)</f>
        <v>0</v>
      </c>
      <c r="AU201" s="250"/>
      <c r="AV201" s="250"/>
      <c r="AW201" s="250"/>
      <c r="AX201" s="250"/>
      <c r="AY201" s="250"/>
      <c r="AZ201" s="250"/>
      <c r="BA201" s="250"/>
      <c r="BB201" s="251">
        <f t="shared" si="133"/>
        <v>0</v>
      </c>
      <c r="BC201" s="169"/>
      <c r="BD201" s="169"/>
      <c r="BE201" s="169"/>
      <c r="BF201" s="169"/>
    </row>
    <row r="202" spans="1:58" ht="47.25" outlineLevel="2" x14ac:dyDescent="0.25">
      <c r="A202" s="115"/>
      <c r="B202" s="200"/>
      <c r="C202" s="201"/>
      <c r="D202" s="202"/>
      <c r="E202" s="310"/>
      <c r="F202" s="122"/>
      <c r="G202" s="123"/>
      <c r="H202" s="213" t="s">
        <v>545</v>
      </c>
      <c r="I202" s="130"/>
      <c r="J202" s="126"/>
      <c r="K202" s="126"/>
      <c r="L202" s="125" t="str">
        <f>IF(I202&lt;&gt;0,((VLOOKUP(I202,'1. Standard_Cost'!$B$4:$D$11,2)+VLOOKUP(I202,'1. Standard_Cost'!$B$4:$D$11,3))*J202*K202),"0")</f>
        <v>0</v>
      </c>
      <c r="M202" s="125">
        <f>L202*'1. Standard_Cost'!$F$4</f>
        <v>0</v>
      </c>
      <c r="N202" s="126"/>
      <c r="O202" s="126"/>
      <c r="P202" s="126"/>
      <c r="Q202" s="126"/>
      <c r="R202" s="127">
        <f>'1. Standard_Cost'!$B$15*N202*P202</f>
        <v>0</v>
      </c>
      <c r="S202" s="127">
        <f>N202*O202*P202*'1. Standard_Cost'!$C$15</f>
        <v>0</v>
      </c>
      <c r="T202" s="127">
        <f>N202*P202*Q202*'1. Standard_Cost'!$D$15</f>
        <v>0</v>
      </c>
      <c r="U202" s="127">
        <f>N202*O202*'1. Standard_Cost'!$E$15</f>
        <v>0</v>
      </c>
      <c r="V202" s="126"/>
      <c r="W202" s="126"/>
      <c r="X202" s="126"/>
      <c r="Y202" s="127">
        <f>+V202*((X202*'1. Standard_Cost'!$B$19)+(W202*X202*'1. Standard_Cost'!$C$19))</f>
        <v>0</v>
      </c>
      <c r="Z202" s="126"/>
      <c r="AA202" s="126"/>
      <c r="AB202" s="127">
        <f>+Z202*'1. Standard_Cost'!$B$23+AA202*'1. Standard_Cost'!$C$23</f>
        <v>0</v>
      </c>
      <c r="AC202" s="128"/>
      <c r="AD202" s="129"/>
      <c r="AE202" s="127">
        <f>SUM(AD202,AC202,AB202,Y202,U202,T202,S202,R202)*'1. Standard_Cost'!$B$31</f>
        <v>0</v>
      </c>
      <c r="AF202" s="127">
        <f>SUM(AE202,AD202,AC202,AB202,Y202,U202,T202,S202,R202)</f>
        <v>0</v>
      </c>
      <c r="AG202" s="126"/>
      <c r="AH202" s="126"/>
      <c r="AI202" s="126"/>
      <c r="AJ202" s="130"/>
      <c r="AK202" s="130"/>
      <c r="AL202" s="130"/>
      <c r="AM202" s="127">
        <f>AG202*'1. Standard_Cost'!$B$27+'Incremental_Cost Year 9'!AH202*'1. Standard_Cost'!$C$27+'Incremental_Cost Year 9'!AI202*'1. Standard_Cost'!$D$27+'Incremental_Cost Year 9'!AJ202+'Incremental_Cost Year 9'!AL202+AK202</f>
        <v>0</v>
      </c>
      <c r="AN202" s="127">
        <f>AM202*'1. Standard_Cost'!$C$31</f>
        <v>0</v>
      </c>
      <c r="AO202" s="130"/>
      <c r="AQ202" s="171">
        <f>L202+M202</f>
        <v>0</v>
      </c>
      <c r="AR202" s="171">
        <f>AF202</f>
        <v>0</v>
      </c>
      <c r="AS202" s="171">
        <f>AM202+AN202</f>
        <v>0</v>
      </c>
      <c r="AT202" s="171">
        <f>SUM(AQ202,AR202,AS202)</f>
        <v>0</v>
      </c>
      <c r="AU202" s="250"/>
      <c r="AV202" s="250"/>
      <c r="AW202" s="250"/>
      <c r="AX202" s="250"/>
      <c r="AY202" s="250"/>
      <c r="AZ202" s="250"/>
      <c r="BA202" s="250"/>
      <c r="BB202" s="251">
        <f t="shared" si="133"/>
        <v>0</v>
      </c>
      <c r="BC202" s="169"/>
      <c r="BD202" s="169"/>
      <c r="BE202" s="169"/>
      <c r="BF202" s="169"/>
    </row>
    <row r="203" spans="1:58" ht="47.25" outlineLevel="1" x14ac:dyDescent="0.25">
      <c r="A203" s="115"/>
      <c r="B203" s="165"/>
      <c r="C203" s="166"/>
      <c r="D203" s="212" t="s">
        <v>240</v>
      </c>
      <c r="E203" s="212" t="s">
        <v>245</v>
      </c>
      <c r="F203" s="117">
        <v>2021</v>
      </c>
      <c r="G203" s="117">
        <v>2025</v>
      </c>
      <c r="H203" s="110" t="s">
        <v>186</v>
      </c>
      <c r="I203" s="252"/>
      <c r="J203" s="252"/>
      <c r="K203" s="252"/>
      <c r="L203" s="127">
        <f>SUM(L199:L202)</f>
        <v>0</v>
      </c>
      <c r="M203" s="127">
        <f>SUM(M199:M202)</f>
        <v>0</v>
      </c>
      <c r="N203" s="252"/>
      <c r="O203" s="252"/>
      <c r="P203" s="252"/>
      <c r="Q203" s="252"/>
      <c r="R203" s="127">
        <f>SUM(R199:R202)</f>
        <v>0</v>
      </c>
      <c r="S203" s="127">
        <f>SUM(S199:S202)</f>
        <v>0</v>
      </c>
      <c r="T203" s="127">
        <f>SUM(T199:T202)</f>
        <v>0</v>
      </c>
      <c r="U203" s="127">
        <f>SUM(U199:U202)</f>
        <v>0</v>
      </c>
      <c r="V203" s="252"/>
      <c r="W203" s="252"/>
      <c r="X203" s="252"/>
      <c r="Y203" s="127">
        <f>SUM(Y199:Y202)</f>
        <v>0</v>
      </c>
      <c r="Z203" s="252"/>
      <c r="AA203" s="252"/>
      <c r="AB203" s="127">
        <f>SUM(AB199:AB202)</f>
        <v>1710000</v>
      </c>
      <c r="AC203" s="127">
        <f>SUM(AC199:AC202)</f>
        <v>24000</v>
      </c>
      <c r="AD203" s="127">
        <f>SUM(AD199:AD202)</f>
        <v>0</v>
      </c>
      <c r="AE203" s="127">
        <f>SUM(AE199:AE202)</f>
        <v>346800</v>
      </c>
      <c r="AF203" s="127">
        <f>SUM(AF199:AF202)</f>
        <v>2080800</v>
      </c>
      <c r="AG203" s="252"/>
      <c r="AH203" s="252"/>
      <c r="AI203" s="252"/>
      <c r="AJ203" s="127">
        <f>SUM(AJ199:AJ202)</f>
        <v>0</v>
      </c>
      <c r="AK203" s="127">
        <f>SUM(AK199:AK202)</f>
        <v>0</v>
      </c>
      <c r="AL203" s="127">
        <f>SUM(AL199:AL202)</f>
        <v>0</v>
      </c>
      <c r="AM203" s="127">
        <f>SUM(AM199:AM202)</f>
        <v>0</v>
      </c>
      <c r="AN203" s="127">
        <f>SUM(AN199:AN202)</f>
        <v>0</v>
      </c>
      <c r="AO203" s="253"/>
      <c r="AP203" s="254"/>
      <c r="AQ203" s="175">
        <f>SUM(AQ199:AQ202)</f>
        <v>0</v>
      </c>
      <c r="AR203" s="175">
        <f>SUM(AR199:AR202)</f>
        <v>2080800</v>
      </c>
      <c r="AS203" s="175">
        <f>SUM(AS199:AS202)</f>
        <v>0</v>
      </c>
      <c r="AT203" s="175">
        <f>SUM(AT199:AT202)</f>
        <v>2080800</v>
      </c>
      <c r="AU203" s="175">
        <f t="shared" ref="AU203:BB203" si="134">SUM(AU199:AU202)</f>
        <v>0</v>
      </c>
      <c r="AV203" s="175">
        <f t="shared" si="134"/>
        <v>0</v>
      </c>
      <c r="AW203" s="175">
        <f t="shared" si="134"/>
        <v>0</v>
      </c>
      <c r="AX203" s="175">
        <f t="shared" si="134"/>
        <v>0</v>
      </c>
      <c r="AY203" s="175">
        <f t="shared" si="134"/>
        <v>0</v>
      </c>
      <c r="AZ203" s="175">
        <f t="shared" si="134"/>
        <v>0</v>
      </c>
      <c r="BA203" s="175">
        <f t="shared" si="134"/>
        <v>0</v>
      </c>
      <c r="BB203" s="175">
        <f t="shared" si="134"/>
        <v>-2080800</v>
      </c>
      <c r="BC203" s="169"/>
      <c r="BD203" s="169"/>
      <c r="BE203" s="169"/>
      <c r="BF203" s="169"/>
    </row>
    <row r="204" spans="1:58" ht="78.75" outlineLevel="2" x14ac:dyDescent="0.25">
      <c r="A204" s="115"/>
      <c r="B204" s="200"/>
      <c r="C204" s="201"/>
      <c r="D204" s="202"/>
      <c r="E204" s="226"/>
      <c r="F204" s="295"/>
      <c r="G204" s="296"/>
      <c r="H204" s="199" t="s">
        <v>503</v>
      </c>
      <c r="I204" s="130"/>
      <c r="J204" s="126"/>
      <c r="K204" s="126"/>
      <c r="L204" s="125" t="str">
        <f>IF(I204&lt;&gt;0,((VLOOKUP(I204,'1. Standard_Cost'!$B$4:$D$11,2)+VLOOKUP(I204,'1. Standard_Cost'!$B$4:$D$11,3))*J204*K204),"0")</f>
        <v>0</v>
      </c>
      <c r="M204" s="125">
        <f>L204*'1. Standard_Cost'!$F$4</f>
        <v>0</v>
      </c>
      <c r="N204" s="126"/>
      <c r="O204" s="126"/>
      <c r="P204" s="126"/>
      <c r="Q204" s="126"/>
      <c r="R204" s="127">
        <f>'1. Standard_Cost'!$B$15*N204*P204</f>
        <v>0</v>
      </c>
      <c r="S204" s="127">
        <f>N204*O204*P204*'1. Standard_Cost'!$C$15</f>
        <v>0</v>
      </c>
      <c r="T204" s="127">
        <f>N204*P204*Q204*'1. Standard_Cost'!$D$15</f>
        <v>0</v>
      </c>
      <c r="U204" s="127">
        <f>N204*O204*'1. Standard_Cost'!$E$15</f>
        <v>0</v>
      </c>
      <c r="V204" s="126"/>
      <c r="W204" s="126"/>
      <c r="X204" s="126"/>
      <c r="Y204" s="127">
        <f>+V204*((X204*'1. Standard_Cost'!$B$19)+(W204*X204*'1. Standard_Cost'!$C$19))</f>
        <v>0</v>
      </c>
      <c r="Z204" s="126"/>
      <c r="AA204" s="126"/>
      <c r="AB204" s="127">
        <f>+Z204*'1. Standard_Cost'!$B$23+AA204*'1. Standard_Cost'!$C$23</f>
        <v>0</v>
      </c>
      <c r="AC204" s="128"/>
      <c r="AD204" s="129"/>
      <c r="AE204" s="127">
        <f>SUM(AD204,AC204,AB204,Y204,U204,T204,S204,R204)*'1. Standard_Cost'!$B$31</f>
        <v>0</v>
      </c>
      <c r="AF204" s="127">
        <f>SUM(AE204,AD204,AC204,AB204,Y204,U204,T204,S204,R204)</f>
        <v>0</v>
      </c>
      <c r="AG204" s="126"/>
      <c r="AH204" s="126"/>
      <c r="AI204" s="126"/>
      <c r="AJ204" s="130"/>
      <c r="AK204" s="130"/>
      <c r="AL204" s="130"/>
      <c r="AM204" s="127">
        <f>AG204*'1. Standard_Cost'!$B$27+'Incremental_Cost Year 9'!AH204*'1. Standard_Cost'!$C$27+'Incremental_Cost Year 9'!AI204*'1. Standard_Cost'!$D$27+'Incremental_Cost Year 9'!AJ204+'Incremental_Cost Year 9'!AL204+AK204</f>
        <v>0</v>
      </c>
      <c r="AN204" s="127">
        <f>AM204*'1. Standard_Cost'!$C$31</f>
        <v>0</v>
      </c>
      <c r="AO204" s="130"/>
      <c r="AQ204" s="171">
        <f>L204+M204</f>
        <v>0</v>
      </c>
      <c r="AR204" s="171">
        <f>AF204</f>
        <v>0</v>
      </c>
      <c r="AS204" s="171">
        <f>AM204+AN204</f>
        <v>0</v>
      </c>
      <c r="AT204" s="171">
        <f>SUM(AQ204,AR204,AS204)</f>
        <v>0</v>
      </c>
      <c r="AU204" s="250">
        <f>AM204</f>
        <v>0</v>
      </c>
      <c r="AV204" s="250"/>
      <c r="AW204" s="250">
        <f>AT204</f>
        <v>0</v>
      </c>
      <c r="AX204" s="250"/>
      <c r="AY204" s="250"/>
      <c r="AZ204" s="250"/>
      <c r="BA204" s="250"/>
      <c r="BB204" s="251">
        <f t="shared" ref="BB204:BB208" si="135">SUM(AU204:BA204)-AT204</f>
        <v>0</v>
      </c>
      <c r="BC204" s="169"/>
      <c r="BD204" s="169"/>
      <c r="BE204" s="169"/>
      <c r="BF204" s="169"/>
    </row>
    <row r="205" spans="1:58" ht="47.25" outlineLevel="2" x14ac:dyDescent="0.25">
      <c r="A205" s="115"/>
      <c r="B205" s="200"/>
      <c r="C205" s="201"/>
      <c r="D205" s="202"/>
      <c r="E205" s="202"/>
      <c r="F205" s="219"/>
      <c r="G205" s="313"/>
      <c r="H205" s="199" t="s">
        <v>504</v>
      </c>
      <c r="I205" s="130"/>
      <c r="J205" s="126"/>
      <c r="K205" s="126"/>
      <c r="L205" s="125" t="str">
        <f>IF(I205&lt;&gt;0,((VLOOKUP(I205,'1. Standard_Cost'!$B$4:$D$11,2)+VLOOKUP(I205,'1. Standard_Cost'!$B$4:$D$11,3))*J205*K205),"0")</f>
        <v>0</v>
      </c>
      <c r="M205" s="125">
        <f>L205*'1. Standard_Cost'!$F$4</f>
        <v>0</v>
      </c>
      <c r="N205" s="126"/>
      <c r="O205" s="126"/>
      <c r="P205" s="126"/>
      <c r="Q205" s="126"/>
      <c r="R205" s="127">
        <f>'1. Standard_Cost'!$B$15*N205*P205</f>
        <v>0</v>
      </c>
      <c r="S205" s="127">
        <f>N205*O205*P205*'1. Standard_Cost'!$C$15</f>
        <v>0</v>
      </c>
      <c r="T205" s="127">
        <f>N205*P205*Q205*'1. Standard_Cost'!$D$15</f>
        <v>0</v>
      </c>
      <c r="U205" s="127">
        <f>N205*O205*'1. Standard_Cost'!$E$15</f>
        <v>0</v>
      </c>
      <c r="V205" s="126"/>
      <c r="W205" s="126"/>
      <c r="X205" s="126"/>
      <c r="Y205" s="127">
        <f>+V205*((X205*'1. Standard_Cost'!$B$19)+(W205*X205*'1. Standard_Cost'!$C$19))</f>
        <v>0</v>
      </c>
      <c r="Z205" s="126"/>
      <c r="AA205" s="126"/>
      <c r="AB205" s="127">
        <f>+Z205*'1. Standard_Cost'!$B$23+AA205*'1. Standard_Cost'!$C$23</f>
        <v>0</v>
      </c>
      <c r="AC205" s="128"/>
      <c r="AD205" s="129"/>
      <c r="AE205" s="127">
        <f>SUM(AD205,AC205,AB205,Y205,U205,T205,S205,R205)*'1. Standard_Cost'!$B$31</f>
        <v>0</v>
      </c>
      <c r="AF205" s="127">
        <f>SUM(AE205,AD205,AC205,AB205,Y205,U205,T205,S205,R205)</f>
        <v>0</v>
      </c>
      <c r="AG205" s="126"/>
      <c r="AH205" s="126"/>
      <c r="AI205" s="126"/>
      <c r="AJ205" s="130"/>
      <c r="AK205" s="130"/>
      <c r="AL205" s="130"/>
      <c r="AM205" s="127">
        <f>AG205*'1. Standard_Cost'!$B$27+'Incremental_Cost Year 9'!AH205*'1. Standard_Cost'!$C$27+'Incremental_Cost Year 9'!AI205*'1. Standard_Cost'!$D$27+'Incremental_Cost Year 9'!AJ205+'Incremental_Cost Year 9'!AL205+AK205</f>
        <v>0</v>
      </c>
      <c r="AN205" s="127">
        <f>AM205*'1. Standard_Cost'!$C$31</f>
        <v>0</v>
      </c>
      <c r="AO205" s="130"/>
      <c r="AQ205" s="171">
        <f>L205+M205</f>
        <v>0</v>
      </c>
      <c r="AR205" s="171">
        <f>AF205</f>
        <v>0</v>
      </c>
      <c r="AS205" s="171">
        <f>AM205+AN205</f>
        <v>0</v>
      </c>
      <c r="AT205" s="171">
        <f>SUM(AQ205,AR205,AS205)</f>
        <v>0</v>
      </c>
      <c r="AU205" s="250">
        <f>AT205</f>
        <v>0</v>
      </c>
      <c r="AV205" s="250"/>
      <c r="AW205" s="250"/>
      <c r="AX205" s="250"/>
      <c r="AY205" s="250"/>
      <c r="AZ205" s="250"/>
      <c r="BA205" s="250"/>
      <c r="BB205" s="251">
        <f t="shared" si="135"/>
        <v>0</v>
      </c>
      <c r="BC205" s="169"/>
      <c r="BD205" s="169"/>
      <c r="BE205" s="169"/>
      <c r="BF205" s="169"/>
    </row>
    <row r="206" spans="1:58" ht="63" outlineLevel="2" x14ac:dyDescent="0.25">
      <c r="A206" s="115"/>
      <c r="B206" s="200"/>
      <c r="C206" s="201"/>
      <c r="D206" s="202"/>
      <c r="E206" s="202"/>
      <c r="F206" s="308"/>
      <c r="G206" s="309"/>
      <c r="H206" s="199" t="s">
        <v>246</v>
      </c>
      <c r="I206" s="130"/>
      <c r="J206" s="126"/>
      <c r="K206" s="126"/>
      <c r="L206" s="125" t="str">
        <f>IF(I206&lt;&gt;0,((VLOOKUP(I206,'1. Standard_Cost'!$B$4:$D$11,2)+VLOOKUP(I206,'1. Standard_Cost'!$B$4:$D$11,3))*J206*K206),"0")</f>
        <v>0</v>
      </c>
      <c r="M206" s="125">
        <f>L206*'1. Standard_Cost'!$F$4</f>
        <v>0</v>
      </c>
      <c r="N206" s="126"/>
      <c r="O206" s="126"/>
      <c r="P206" s="126"/>
      <c r="Q206" s="126"/>
      <c r="R206" s="127">
        <f>'1. Standard_Cost'!$B$15*N206*P206</f>
        <v>0</v>
      </c>
      <c r="S206" s="127">
        <f>N206*O206*P206*'1. Standard_Cost'!$C$15</f>
        <v>0</v>
      </c>
      <c r="T206" s="127">
        <f>N206*P206*Q206*'1. Standard_Cost'!$D$15</f>
        <v>0</v>
      </c>
      <c r="U206" s="127">
        <f>N206*O206*'1. Standard_Cost'!$E$15</f>
        <v>0</v>
      </c>
      <c r="V206" s="126"/>
      <c r="W206" s="126"/>
      <c r="X206" s="126"/>
      <c r="Y206" s="127">
        <f>+V206*((X206*'1. Standard_Cost'!$B$19)+(W206*X206*'1. Standard_Cost'!$C$19))</f>
        <v>0</v>
      </c>
      <c r="Z206" s="126"/>
      <c r="AA206" s="126"/>
      <c r="AB206" s="127">
        <f>+Z206*'1. Standard_Cost'!$B$23+AA206*'1. Standard_Cost'!$C$23</f>
        <v>0</v>
      </c>
      <c r="AC206" s="128"/>
      <c r="AD206" s="129"/>
      <c r="AE206" s="127">
        <f>SUM(AD206,AC206,AB206,Y206,U206,T206,S206,R206)*'1. Standard_Cost'!$B$31</f>
        <v>0</v>
      </c>
      <c r="AF206" s="127">
        <f>SUM(AE206,AD206,AC206,AB206,Y206,U206,T206,S206,R206)</f>
        <v>0</v>
      </c>
      <c r="AG206" s="126"/>
      <c r="AH206" s="126"/>
      <c r="AI206" s="126"/>
      <c r="AJ206" s="130"/>
      <c r="AK206" s="130"/>
      <c r="AL206" s="130"/>
      <c r="AM206" s="127">
        <f>AG206*'1. Standard_Cost'!$B$27+'Incremental_Cost Year 9'!AH206*'1. Standard_Cost'!$C$27+'Incremental_Cost Year 9'!AI206*'1. Standard_Cost'!$D$27+'Incremental_Cost Year 9'!AJ206+'Incremental_Cost Year 9'!AL206+AK206</f>
        <v>0</v>
      </c>
      <c r="AN206" s="127">
        <f>AM206*'1. Standard_Cost'!$C$31</f>
        <v>0</v>
      </c>
      <c r="AO206" s="130"/>
      <c r="AQ206" s="171">
        <f>L206+M206</f>
        <v>0</v>
      </c>
      <c r="AR206" s="171">
        <f>AF206</f>
        <v>0</v>
      </c>
      <c r="AS206" s="171">
        <f>AM206+AN206</f>
        <v>0</v>
      </c>
      <c r="AT206" s="171">
        <f>SUM(AQ206,AR206,AS206)</f>
        <v>0</v>
      </c>
      <c r="AU206" s="250">
        <f>AT206</f>
        <v>0</v>
      </c>
      <c r="AV206" s="250"/>
      <c r="AW206" s="250"/>
      <c r="AX206" s="250"/>
      <c r="AY206" s="250"/>
      <c r="AZ206" s="250"/>
      <c r="BA206" s="250"/>
      <c r="BB206" s="251">
        <f t="shared" si="135"/>
        <v>0</v>
      </c>
      <c r="BC206" s="169"/>
      <c r="BD206" s="169"/>
      <c r="BE206" s="169"/>
      <c r="BF206" s="169"/>
    </row>
    <row r="207" spans="1:58" ht="63" outlineLevel="2" x14ac:dyDescent="0.25">
      <c r="A207" s="115"/>
      <c r="B207" s="200"/>
      <c r="C207" s="201"/>
      <c r="D207" s="202"/>
      <c r="E207" s="202"/>
      <c r="F207" s="308"/>
      <c r="G207" s="309"/>
      <c r="H207" s="199" t="s">
        <v>505</v>
      </c>
      <c r="I207" s="130"/>
      <c r="J207" s="126"/>
      <c r="K207" s="126"/>
      <c r="L207" s="125" t="str">
        <f>IF(I207&lt;&gt;0,((VLOOKUP(I207,'1. Standard_Cost'!$B$4:$D$11,2)+VLOOKUP(I207,'1. Standard_Cost'!$B$4:$D$11,3))*J207*K207),"0")</f>
        <v>0</v>
      </c>
      <c r="M207" s="125">
        <f>L207*'1. Standard_Cost'!$F$4</f>
        <v>0</v>
      </c>
      <c r="N207" s="126"/>
      <c r="O207" s="126"/>
      <c r="P207" s="126"/>
      <c r="Q207" s="126"/>
      <c r="R207" s="127">
        <f>'1. Standard_Cost'!$B$15*N207*P207</f>
        <v>0</v>
      </c>
      <c r="S207" s="127">
        <f>N207*O207*P207*'1. Standard_Cost'!$C$15</f>
        <v>0</v>
      </c>
      <c r="T207" s="127">
        <f>N207*P207*Q207*'1. Standard_Cost'!$D$15</f>
        <v>0</v>
      </c>
      <c r="U207" s="127">
        <f>N207*O207*'1. Standard_Cost'!$E$15</f>
        <v>0</v>
      </c>
      <c r="V207" s="126"/>
      <c r="W207" s="126"/>
      <c r="X207" s="126"/>
      <c r="Y207" s="127">
        <f>+V207*((X207*'1. Standard_Cost'!$B$19)+(W207*X207*'1. Standard_Cost'!$C$19))</f>
        <v>0</v>
      </c>
      <c r="Z207" s="126"/>
      <c r="AA207" s="126"/>
      <c r="AB207" s="127">
        <f>+Z207*'1. Standard_Cost'!$B$23+AA207*'1. Standard_Cost'!$C$23</f>
        <v>0</v>
      </c>
      <c r="AC207" s="128"/>
      <c r="AD207" s="129"/>
      <c r="AE207" s="127">
        <f>SUM(AD207,AC207,AB207,Y207,U207,T207,S207,R207)*'1. Standard_Cost'!$B$31</f>
        <v>0</v>
      </c>
      <c r="AF207" s="127">
        <f>SUM(AE207,AD207,AC207,AB207,Y207,U207,T207,S207,R207)</f>
        <v>0</v>
      </c>
      <c r="AG207" s="126"/>
      <c r="AH207" s="126"/>
      <c r="AI207" s="126"/>
      <c r="AJ207" s="130"/>
      <c r="AK207" s="130"/>
      <c r="AL207" s="130"/>
      <c r="AM207" s="127">
        <f>AG207*'1. Standard_Cost'!$B$27+'Incremental_Cost Year 9'!AH207*'1. Standard_Cost'!$C$27+'Incremental_Cost Year 9'!AI207*'1. Standard_Cost'!$D$27+'Incremental_Cost Year 9'!AJ207+'Incremental_Cost Year 9'!AL207+AK207</f>
        <v>0</v>
      </c>
      <c r="AN207" s="127">
        <f>AM207*'1. Standard_Cost'!$C$31</f>
        <v>0</v>
      </c>
      <c r="AO207" s="130"/>
      <c r="AQ207" s="171">
        <f>L207+M207</f>
        <v>0</v>
      </c>
      <c r="AR207" s="171">
        <f>AF207</f>
        <v>0</v>
      </c>
      <c r="AS207" s="171">
        <f>AM207+AN207</f>
        <v>0</v>
      </c>
      <c r="AT207" s="171">
        <f>SUM(AQ207,AR207,AS207)</f>
        <v>0</v>
      </c>
      <c r="AU207" s="250">
        <f>AT207</f>
        <v>0</v>
      </c>
      <c r="AV207" s="250"/>
      <c r="AW207" s="250"/>
      <c r="AX207" s="250"/>
      <c r="AY207" s="250"/>
      <c r="AZ207" s="250"/>
      <c r="BA207" s="250"/>
      <c r="BB207" s="251">
        <f t="shared" si="135"/>
        <v>0</v>
      </c>
      <c r="BC207" s="169"/>
      <c r="BD207" s="169"/>
      <c r="BE207" s="169"/>
      <c r="BF207" s="169"/>
    </row>
    <row r="208" spans="1:58" ht="63" outlineLevel="2" x14ac:dyDescent="0.25">
      <c r="A208" s="115"/>
      <c r="B208" s="200"/>
      <c r="C208" s="201"/>
      <c r="D208" s="202"/>
      <c r="E208" s="310"/>
      <c r="F208" s="311"/>
      <c r="G208" s="312"/>
      <c r="H208" s="199" t="s">
        <v>506</v>
      </c>
      <c r="I208" s="130"/>
      <c r="J208" s="126"/>
      <c r="K208" s="126"/>
      <c r="L208" s="125" t="str">
        <f>IF(I208&lt;&gt;0,((VLOOKUP(I208,'1. Standard_Cost'!$B$4:$D$11,2)+VLOOKUP(I208,'1. Standard_Cost'!$B$4:$D$11,3))*J208*K208),"0")</f>
        <v>0</v>
      </c>
      <c r="M208" s="125">
        <f>L208*'1. Standard_Cost'!$F$4</f>
        <v>0</v>
      </c>
      <c r="N208" s="126"/>
      <c r="O208" s="126"/>
      <c r="P208" s="126"/>
      <c r="Q208" s="126"/>
      <c r="R208" s="127">
        <f>'1. Standard_Cost'!$B$15*N208*P208</f>
        <v>0</v>
      </c>
      <c r="S208" s="127">
        <f>N208*O208*P208*'1. Standard_Cost'!$C$15</f>
        <v>0</v>
      </c>
      <c r="T208" s="127">
        <f>N208*P208*Q208*'1. Standard_Cost'!$D$15</f>
        <v>0</v>
      </c>
      <c r="U208" s="127">
        <f>N208*O208*'1. Standard_Cost'!$E$15</f>
        <v>0</v>
      </c>
      <c r="V208" s="126"/>
      <c r="W208" s="126"/>
      <c r="X208" s="126"/>
      <c r="Y208" s="127">
        <f>+V208*((X208*'1. Standard_Cost'!$B$19)+(W208*X208*'1. Standard_Cost'!$C$19))</f>
        <v>0</v>
      </c>
      <c r="Z208" s="126"/>
      <c r="AA208" s="126"/>
      <c r="AB208" s="127">
        <f>+Z208*'1. Standard_Cost'!$B$23+AA208*'1. Standard_Cost'!$C$23</f>
        <v>0</v>
      </c>
      <c r="AC208" s="128"/>
      <c r="AD208" s="129"/>
      <c r="AE208" s="127">
        <f>SUM(AD208,AC208,AB208,Y208,U208,T208,S208,R208)*'1. Standard_Cost'!$B$31</f>
        <v>0</v>
      </c>
      <c r="AF208" s="127">
        <f>SUM(AE208,AD208,AC208,AB208,Y208,U208,T208,S208,R208)</f>
        <v>0</v>
      </c>
      <c r="AG208" s="126"/>
      <c r="AH208" s="126"/>
      <c r="AI208" s="126"/>
      <c r="AJ208" s="130"/>
      <c r="AK208" s="130"/>
      <c r="AL208" s="130"/>
      <c r="AM208" s="127">
        <f>AG208*'1. Standard_Cost'!$B$27+'Incremental_Cost Year 9'!AH208*'1. Standard_Cost'!$C$27+'Incremental_Cost Year 9'!AI208*'1. Standard_Cost'!$D$27+'Incremental_Cost Year 9'!AJ208+'Incremental_Cost Year 9'!AL208+AK208</f>
        <v>0</v>
      </c>
      <c r="AN208" s="127">
        <f>AM208*'1. Standard_Cost'!$C$31</f>
        <v>0</v>
      </c>
      <c r="AO208" s="130"/>
      <c r="AQ208" s="171">
        <f>L208+M208</f>
        <v>0</v>
      </c>
      <c r="AR208" s="171">
        <f>AF208</f>
        <v>0</v>
      </c>
      <c r="AS208" s="171">
        <f>AM208+AN208</f>
        <v>0</v>
      </c>
      <c r="AT208" s="171">
        <f>SUM(AQ208,AR208,AS208)</f>
        <v>0</v>
      </c>
      <c r="AU208" s="250">
        <f>AT208</f>
        <v>0</v>
      </c>
      <c r="AV208" s="250"/>
      <c r="AW208" s="250"/>
      <c r="AX208" s="250"/>
      <c r="AY208" s="250"/>
      <c r="AZ208" s="250"/>
      <c r="BA208" s="250"/>
      <c r="BB208" s="251">
        <f t="shared" si="135"/>
        <v>0</v>
      </c>
      <c r="BC208" s="169"/>
      <c r="BD208" s="169"/>
      <c r="BE208" s="169"/>
      <c r="BF208" s="169"/>
    </row>
    <row r="209" spans="1:58" ht="63" outlineLevel="1" x14ac:dyDescent="0.25">
      <c r="A209" s="115"/>
      <c r="B209" s="165"/>
      <c r="C209" s="166"/>
      <c r="D209" s="150" t="s">
        <v>507</v>
      </c>
      <c r="E209" s="212" t="s">
        <v>247</v>
      </c>
      <c r="F209" s="311">
        <v>2021</v>
      </c>
      <c r="G209" s="312">
        <v>2025</v>
      </c>
      <c r="H209" s="110" t="s">
        <v>187</v>
      </c>
      <c r="I209" s="252"/>
      <c r="J209" s="252"/>
      <c r="K209" s="252"/>
      <c r="L209" s="127">
        <f>SUM(L204:L208)</f>
        <v>0</v>
      </c>
      <c r="M209" s="127">
        <f>SUM(M204:M208)</f>
        <v>0</v>
      </c>
      <c r="N209" s="252"/>
      <c r="O209" s="252"/>
      <c r="P209" s="252"/>
      <c r="Q209" s="252"/>
      <c r="R209" s="127">
        <f t="shared" ref="R209:U209" si="136">SUM(R204:R208)</f>
        <v>0</v>
      </c>
      <c r="S209" s="127">
        <f t="shared" si="136"/>
        <v>0</v>
      </c>
      <c r="T209" s="127">
        <f t="shared" si="136"/>
        <v>0</v>
      </c>
      <c r="U209" s="127">
        <f t="shared" si="136"/>
        <v>0</v>
      </c>
      <c r="V209" s="252"/>
      <c r="W209" s="252"/>
      <c r="X209" s="252"/>
      <c r="Y209" s="127">
        <f>SUM(Y204:Y208)</f>
        <v>0</v>
      </c>
      <c r="Z209" s="252"/>
      <c r="AA209" s="252"/>
      <c r="AB209" s="127">
        <f t="shared" ref="AB209:AF209" si="137">SUM(AB204:AB208)</f>
        <v>0</v>
      </c>
      <c r="AC209" s="127">
        <f t="shared" si="137"/>
        <v>0</v>
      </c>
      <c r="AD209" s="127">
        <f t="shared" si="137"/>
        <v>0</v>
      </c>
      <c r="AE209" s="127">
        <f t="shared" si="137"/>
        <v>0</v>
      </c>
      <c r="AF209" s="127">
        <f t="shared" si="137"/>
        <v>0</v>
      </c>
      <c r="AG209" s="252"/>
      <c r="AH209" s="252"/>
      <c r="AI209" s="252"/>
      <c r="AJ209" s="127">
        <f t="shared" ref="AJ209:AN209" si="138">SUM(AJ204:AJ208)</f>
        <v>0</v>
      </c>
      <c r="AK209" s="127">
        <f t="shared" si="138"/>
        <v>0</v>
      </c>
      <c r="AL209" s="127">
        <f t="shared" si="138"/>
        <v>0</v>
      </c>
      <c r="AM209" s="127">
        <f t="shared" si="138"/>
        <v>0</v>
      </c>
      <c r="AN209" s="127">
        <f t="shared" si="138"/>
        <v>0</v>
      </c>
      <c r="AO209" s="253"/>
      <c r="AP209" s="254"/>
      <c r="AQ209" s="127">
        <f t="shared" ref="AQ209:BB209" si="139">SUM(AQ204:AQ208)</f>
        <v>0</v>
      </c>
      <c r="AR209" s="127">
        <f t="shared" si="139"/>
        <v>0</v>
      </c>
      <c r="AS209" s="127">
        <f t="shared" si="139"/>
        <v>0</v>
      </c>
      <c r="AT209" s="127">
        <f t="shared" si="139"/>
        <v>0</v>
      </c>
      <c r="AU209" s="127">
        <f t="shared" si="139"/>
        <v>0</v>
      </c>
      <c r="AV209" s="127">
        <f t="shared" si="139"/>
        <v>0</v>
      </c>
      <c r="AW209" s="127">
        <f t="shared" si="139"/>
        <v>0</v>
      </c>
      <c r="AX209" s="127">
        <f t="shared" si="139"/>
        <v>0</v>
      </c>
      <c r="AY209" s="127">
        <f t="shared" si="139"/>
        <v>0</v>
      </c>
      <c r="AZ209" s="127">
        <f t="shared" si="139"/>
        <v>0</v>
      </c>
      <c r="BA209" s="127">
        <f t="shared" si="139"/>
        <v>0</v>
      </c>
      <c r="BB209" s="127">
        <f t="shared" si="139"/>
        <v>0</v>
      </c>
      <c r="BC209" s="169"/>
      <c r="BD209" s="169"/>
      <c r="BE209" s="169"/>
      <c r="BF209" s="169"/>
    </row>
    <row r="210" spans="1:58" ht="126" outlineLevel="2" x14ac:dyDescent="0.25">
      <c r="A210" s="115"/>
      <c r="B210" s="200"/>
      <c r="C210" s="201"/>
      <c r="D210" s="202"/>
      <c r="E210" s="226"/>
      <c r="F210" s="295"/>
      <c r="G210" s="296"/>
      <c r="H210" s="199" t="s">
        <v>508</v>
      </c>
      <c r="I210" s="130"/>
      <c r="J210" s="126"/>
      <c r="K210" s="126"/>
      <c r="L210" s="125" t="str">
        <f>IF(I210&lt;&gt;0,((VLOOKUP(I210,'1. Standard_Cost'!$B$4:$D$11,2)+VLOOKUP(I210,'1. Standard_Cost'!$B$4:$D$11,3))*J210*K210),"0")</f>
        <v>0</v>
      </c>
      <c r="M210" s="125">
        <f>L210*'1. Standard_Cost'!$F$4</f>
        <v>0</v>
      </c>
      <c r="N210" s="126"/>
      <c r="O210" s="126"/>
      <c r="P210" s="126"/>
      <c r="Q210" s="126"/>
      <c r="R210" s="127">
        <f>'1. Standard_Cost'!$B$15*N210*P210</f>
        <v>0</v>
      </c>
      <c r="S210" s="127">
        <f>N210*O210*P210*'1. Standard_Cost'!$C$15</f>
        <v>0</v>
      </c>
      <c r="T210" s="127">
        <f>N210*P210*Q210*'1. Standard_Cost'!$D$15</f>
        <v>0</v>
      </c>
      <c r="U210" s="127">
        <f>N210*O210*'1. Standard_Cost'!$E$15</f>
        <v>0</v>
      </c>
      <c r="V210" s="126"/>
      <c r="W210" s="126"/>
      <c r="X210" s="126"/>
      <c r="Y210" s="127">
        <f>+V210*((X210*'1. Standard_Cost'!$B$19)+(W210*X210*'1. Standard_Cost'!$C$19))</f>
        <v>0</v>
      </c>
      <c r="Z210" s="126"/>
      <c r="AA210" s="126"/>
      <c r="AB210" s="127">
        <f>+Z210*'1. Standard_Cost'!$B$23+AA210*'1. Standard_Cost'!$C$23</f>
        <v>0</v>
      </c>
      <c r="AC210" s="128"/>
      <c r="AD210" s="129"/>
      <c r="AE210" s="127">
        <f>SUM(AD210,AC210,AB210,Y210,U210,T210,S210,R210)*'1. Standard_Cost'!$B$31</f>
        <v>0</v>
      </c>
      <c r="AF210" s="127">
        <f>SUM(AE210,AD210,AC210,AB210,Y210,U210,T210,S210,R210)</f>
        <v>0</v>
      </c>
      <c r="AG210" s="126"/>
      <c r="AH210" s="126"/>
      <c r="AI210" s="126"/>
      <c r="AJ210" s="130"/>
      <c r="AK210" s="130"/>
      <c r="AL210" s="130"/>
      <c r="AM210" s="127">
        <f>AG210*'1. Standard_Cost'!$B$27+'Incremental_Cost Year 9'!AH210*'1. Standard_Cost'!$C$27+'Incremental_Cost Year 9'!AI210*'1. Standard_Cost'!$D$27+'Incremental_Cost Year 9'!AJ210+'Incremental_Cost Year 9'!AL210+AK210</f>
        <v>0</v>
      </c>
      <c r="AN210" s="127">
        <f>AM210*'1. Standard_Cost'!$C$31</f>
        <v>0</v>
      </c>
      <c r="AO210" s="130"/>
      <c r="AQ210" s="171">
        <f>L210+M210</f>
        <v>0</v>
      </c>
      <c r="AR210" s="171">
        <f>AF210</f>
        <v>0</v>
      </c>
      <c r="AS210" s="171">
        <f>AM210+AN210</f>
        <v>0</v>
      </c>
      <c r="AT210" s="171">
        <f>SUM(AQ210,AR210,AS210)</f>
        <v>0</v>
      </c>
      <c r="AU210" s="250">
        <f>AQ210</f>
        <v>0</v>
      </c>
      <c r="AV210" s="250"/>
      <c r="AW210" s="250"/>
      <c r="AX210" s="250"/>
      <c r="AY210" s="250"/>
      <c r="AZ210" s="250"/>
      <c r="BA210" s="250"/>
      <c r="BB210" s="251">
        <f t="shared" ref="BB210:BB211" si="140">SUM(AU210:BA210)-AT210</f>
        <v>0</v>
      </c>
      <c r="BC210" s="169"/>
      <c r="BD210" s="169"/>
      <c r="BE210" s="169"/>
      <c r="BF210" s="169"/>
    </row>
    <row r="211" spans="1:58" ht="126" outlineLevel="2" x14ac:dyDescent="0.25">
      <c r="A211" s="115"/>
      <c r="B211" s="200"/>
      <c r="C211" s="201"/>
      <c r="D211" s="202"/>
      <c r="E211" s="310"/>
      <c r="F211" s="122"/>
      <c r="G211" s="123"/>
      <c r="H211" s="199" t="s">
        <v>509</v>
      </c>
      <c r="I211" s="130"/>
      <c r="J211" s="126"/>
      <c r="K211" s="126"/>
      <c r="L211" s="125" t="str">
        <f>IF(I211&lt;&gt;0,((VLOOKUP(I211,'1. Standard_Cost'!$B$4:$D$11,2)+VLOOKUP(I211,'1. Standard_Cost'!$B$4:$D$11,3))*J211*K211),"0")</f>
        <v>0</v>
      </c>
      <c r="M211" s="125">
        <f>L211*'1. Standard_Cost'!$F$4</f>
        <v>0</v>
      </c>
      <c r="N211" s="126"/>
      <c r="O211" s="126"/>
      <c r="P211" s="126"/>
      <c r="Q211" s="126"/>
      <c r="R211" s="127">
        <f>'1. Standard_Cost'!$B$15*N211*P211</f>
        <v>0</v>
      </c>
      <c r="S211" s="127">
        <f>N211*O211*P211*'1. Standard_Cost'!$C$15</f>
        <v>0</v>
      </c>
      <c r="T211" s="127">
        <f>N211*P211*Q211*'1. Standard_Cost'!$D$15</f>
        <v>0</v>
      </c>
      <c r="U211" s="127">
        <f>N211*O211*'1. Standard_Cost'!$E$15</f>
        <v>0</v>
      </c>
      <c r="V211" s="126"/>
      <c r="W211" s="126"/>
      <c r="X211" s="126"/>
      <c r="Y211" s="127">
        <f>+V211*((X211*'1. Standard_Cost'!$B$19)+(W211*X211*'1. Standard_Cost'!$C$19))</f>
        <v>0</v>
      </c>
      <c r="Z211" s="126"/>
      <c r="AA211" s="126"/>
      <c r="AB211" s="127">
        <f>+Z211*'1. Standard_Cost'!$B$23+AA211*'1. Standard_Cost'!$C$23</f>
        <v>0</v>
      </c>
      <c r="AC211" s="128"/>
      <c r="AD211" s="129"/>
      <c r="AE211" s="127">
        <f>SUM(AD211,AC211,AB211,Y211,U211,T211,S211,R211)*'1. Standard_Cost'!$B$31</f>
        <v>0</v>
      </c>
      <c r="AF211" s="127">
        <f>SUM(AE211,AD211,AC211,AB211,Y211,U211,T211,S211,R211)</f>
        <v>0</v>
      </c>
      <c r="AG211" s="126"/>
      <c r="AH211" s="126"/>
      <c r="AI211" s="126"/>
      <c r="AJ211" s="130"/>
      <c r="AK211" s="130"/>
      <c r="AL211" s="130"/>
      <c r="AM211" s="127">
        <f>AG211*'1. Standard_Cost'!$B$27+'Incremental_Cost Year 9'!AH211*'1. Standard_Cost'!$C$27+'Incremental_Cost Year 9'!AI211*'1. Standard_Cost'!$D$27+'Incremental_Cost Year 9'!AJ211+'Incremental_Cost Year 9'!AL211+AK211</f>
        <v>0</v>
      </c>
      <c r="AN211" s="127">
        <f>AM211*'1. Standard_Cost'!$C$31</f>
        <v>0</v>
      </c>
      <c r="AO211" s="130"/>
      <c r="AQ211" s="171">
        <f>L211+M211</f>
        <v>0</v>
      </c>
      <c r="AR211" s="171">
        <f>AF211</f>
        <v>0</v>
      </c>
      <c r="AS211" s="171">
        <f>AM211+AN211</f>
        <v>0</v>
      </c>
      <c r="AT211" s="171">
        <f>SUM(AQ211,AR211,AS211)</f>
        <v>0</v>
      </c>
      <c r="AU211" s="250">
        <f>AQ211</f>
        <v>0</v>
      </c>
      <c r="AV211" s="250"/>
      <c r="AW211" s="250"/>
      <c r="AX211" s="250"/>
      <c r="AY211" s="250"/>
      <c r="AZ211" s="250"/>
      <c r="BA211" s="250"/>
      <c r="BB211" s="251">
        <f t="shared" si="140"/>
        <v>0</v>
      </c>
      <c r="BC211" s="169"/>
      <c r="BD211" s="169"/>
      <c r="BE211" s="169"/>
      <c r="BF211" s="169"/>
    </row>
    <row r="212" spans="1:58" ht="47.25" outlineLevel="1" x14ac:dyDescent="0.25">
      <c r="A212" s="115"/>
      <c r="B212" s="165"/>
      <c r="C212" s="166"/>
      <c r="D212" s="107" t="s">
        <v>233</v>
      </c>
      <c r="E212" s="212" t="s">
        <v>248</v>
      </c>
      <c r="F212" s="136">
        <v>2022</v>
      </c>
      <c r="G212" s="117">
        <v>2025</v>
      </c>
      <c r="H212" s="110" t="s">
        <v>188</v>
      </c>
      <c r="I212" s="252"/>
      <c r="J212" s="252"/>
      <c r="K212" s="252"/>
      <c r="L212" s="127">
        <f>SUM(L210:L211)</f>
        <v>0</v>
      </c>
      <c r="M212" s="127">
        <f>SUM(M210:M211)</f>
        <v>0</v>
      </c>
      <c r="N212" s="252"/>
      <c r="O212" s="252"/>
      <c r="P212" s="252"/>
      <c r="Q212" s="252"/>
      <c r="R212" s="127">
        <f>SUM(R210:R211)</f>
        <v>0</v>
      </c>
      <c r="S212" s="127">
        <f>SUM(S210:S211)</f>
        <v>0</v>
      </c>
      <c r="T212" s="127">
        <f>SUM(T210:T211)</f>
        <v>0</v>
      </c>
      <c r="U212" s="127">
        <f>SUM(U210:U211)</f>
        <v>0</v>
      </c>
      <c r="V212" s="252"/>
      <c r="W212" s="252"/>
      <c r="X212" s="252"/>
      <c r="Y212" s="127">
        <f>SUM(Y210:Y211)</f>
        <v>0</v>
      </c>
      <c r="Z212" s="252"/>
      <c r="AA212" s="252"/>
      <c r="AB212" s="127">
        <f>SUM(AB210:AB211)</f>
        <v>0</v>
      </c>
      <c r="AC212" s="127">
        <f>SUM(AC210:AC211)</f>
        <v>0</v>
      </c>
      <c r="AD212" s="127">
        <f>SUM(AD210:AD211)</f>
        <v>0</v>
      </c>
      <c r="AE212" s="127">
        <f>SUM(AE210:AE211)</f>
        <v>0</v>
      </c>
      <c r="AF212" s="127">
        <f>SUM(AF210:AF211)</f>
        <v>0</v>
      </c>
      <c r="AG212" s="252"/>
      <c r="AH212" s="252"/>
      <c r="AI212" s="252"/>
      <c r="AJ212" s="127">
        <f>SUM(AJ210:AJ211)</f>
        <v>0</v>
      </c>
      <c r="AK212" s="127">
        <f>SUM(AK210:AK211)</f>
        <v>0</v>
      </c>
      <c r="AL212" s="127">
        <f>SUM(AL210:AL211)</f>
        <v>0</v>
      </c>
      <c r="AM212" s="127">
        <f>SUM(AM210:AM211)</f>
        <v>0</v>
      </c>
      <c r="AN212" s="127">
        <f>SUM(AN210:AN211)</f>
        <v>0</v>
      </c>
      <c r="AO212" s="253"/>
      <c r="AP212" s="254"/>
      <c r="AQ212" s="175">
        <f>SUM(AQ210:AQ211)</f>
        <v>0</v>
      </c>
      <c r="AR212" s="175">
        <f>SUM(AR210:AR211)</f>
        <v>0</v>
      </c>
      <c r="AS212" s="175">
        <f>SUM(AS210:AS211)</f>
        <v>0</v>
      </c>
      <c r="AT212" s="175">
        <f>SUM(AT210:AT211)</f>
        <v>0</v>
      </c>
      <c r="AU212" s="175">
        <f t="shared" ref="AU212:BB212" si="141">SUM(AU210:AU211)</f>
        <v>0</v>
      </c>
      <c r="AV212" s="175">
        <f t="shared" si="141"/>
        <v>0</v>
      </c>
      <c r="AW212" s="175">
        <f t="shared" si="141"/>
        <v>0</v>
      </c>
      <c r="AX212" s="175">
        <f t="shared" si="141"/>
        <v>0</v>
      </c>
      <c r="AY212" s="175">
        <f t="shared" si="141"/>
        <v>0</v>
      </c>
      <c r="AZ212" s="175">
        <f t="shared" si="141"/>
        <v>0</v>
      </c>
      <c r="BA212" s="175">
        <f t="shared" si="141"/>
        <v>0</v>
      </c>
      <c r="BB212" s="175">
        <f t="shared" si="141"/>
        <v>0</v>
      </c>
      <c r="BC212" s="169"/>
      <c r="BD212" s="169"/>
      <c r="BE212" s="169"/>
      <c r="BF212" s="169"/>
    </row>
    <row r="213" spans="1:58" s="184" customFormat="1" ht="15.75" customHeight="1" x14ac:dyDescent="0.25">
      <c r="A213" s="143"/>
      <c r="B213" s="332"/>
      <c r="C213" s="397" t="s">
        <v>249</v>
      </c>
      <c r="D213" s="397"/>
      <c r="E213" s="398"/>
      <c r="F213" s="291"/>
      <c r="G213" s="340"/>
      <c r="H213" s="144" t="s">
        <v>299</v>
      </c>
      <c r="I213" s="257"/>
      <c r="J213" s="257"/>
      <c r="K213" s="257"/>
      <c r="L213" s="258">
        <f>SUM(L220)</f>
        <v>842465228.57142854</v>
      </c>
      <c r="M213" s="258">
        <f>SUM(M220)</f>
        <v>140691693.17142856</v>
      </c>
      <c r="N213" s="257"/>
      <c r="O213" s="257"/>
      <c r="P213" s="257"/>
      <c r="Q213" s="257"/>
      <c r="R213" s="258">
        <f>SUM(R220)</f>
        <v>0</v>
      </c>
      <c r="S213" s="258">
        <f>SUM(S220)</f>
        <v>0</v>
      </c>
      <c r="T213" s="258">
        <f>SUM(T220)</f>
        <v>0</v>
      </c>
      <c r="U213" s="258">
        <f>SUM(U220)</f>
        <v>0</v>
      </c>
      <c r="V213" s="257"/>
      <c r="W213" s="257"/>
      <c r="X213" s="257"/>
      <c r="Y213" s="258">
        <f>SUM(Y220)</f>
        <v>0</v>
      </c>
      <c r="Z213" s="258"/>
      <c r="AA213" s="258"/>
      <c r="AB213" s="258">
        <f>SUM(AB220)</f>
        <v>0</v>
      </c>
      <c r="AC213" s="258">
        <f>SUM(AC220)</f>
        <v>1442163000</v>
      </c>
      <c r="AD213" s="258">
        <f>SUM(AD220)</f>
        <v>0</v>
      </c>
      <c r="AE213" s="258">
        <f>SUM(AE220)</f>
        <v>0</v>
      </c>
      <c r="AF213" s="258">
        <f>SUM(AF220)</f>
        <v>1442163000</v>
      </c>
      <c r="AG213" s="257"/>
      <c r="AH213" s="257"/>
      <c r="AI213" s="257"/>
      <c r="AJ213" s="258">
        <f>SUM(AJ220)</f>
        <v>0</v>
      </c>
      <c r="AK213" s="258">
        <f>SUM(AK220)</f>
        <v>0</v>
      </c>
      <c r="AL213" s="258">
        <f>SUM(AL220)</f>
        <v>0</v>
      </c>
      <c r="AM213" s="258">
        <f>SUM(AM220)</f>
        <v>0</v>
      </c>
      <c r="AN213" s="258">
        <f>SUM(AN220)</f>
        <v>0</v>
      </c>
      <c r="AO213" s="259"/>
      <c r="AP213" s="260"/>
      <c r="AQ213" s="261">
        <f>SUM(AQ220)</f>
        <v>983156921.7428571</v>
      </c>
      <c r="AR213" s="261">
        <f>SUM(AR220)</f>
        <v>1442163000</v>
      </c>
      <c r="AS213" s="261">
        <f>SUM(AS220)</f>
        <v>0</v>
      </c>
      <c r="AT213" s="261">
        <f>SUM(AT220)</f>
        <v>2425319921.7428575</v>
      </c>
      <c r="AU213" s="261">
        <f t="shared" ref="AU213:BB213" si="142">SUM(AU220)</f>
        <v>2425319921.7428575</v>
      </c>
      <c r="AV213" s="261">
        <f t="shared" si="142"/>
        <v>0</v>
      </c>
      <c r="AW213" s="261">
        <f t="shared" si="142"/>
        <v>0</v>
      </c>
      <c r="AX213" s="261">
        <f t="shared" si="142"/>
        <v>0</v>
      </c>
      <c r="AY213" s="261">
        <f t="shared" si="142"/>
        <v>0</v>
      </c>
      <c r="AZ213" s="261">
        <f t="shared" si="142"/>
        <v>0</v>
      </c>
      <c r="BA213" s="261">
        <f t="shared" si="142"/>
        <v>0</v>
      </c>
      <c r="BB213" s="261">
        <f t="shared" si="142"/>
        <v>0</v>
      </c>
    </row>
    <row r="214" spans="1:58" ht="47.25" outlineLevel="2" x14ac:dyDescent="0.25">
      <c r="A214" s="115"/>
      <c r="B214" s="200"/>
      <c r="C214" s="201"/>
      <c r="D214" s="210"/>
      <c r="E214" s="328"/>
      <c r="F214" s="328"/>
      <c r="G214" s="328"/>
      <c r="H214" s="199" t="s">
        <v>510</v>
      </c>
      <c r="I214" s="130"/>
      <c r="J214" s="126"/>
      <c r="K214" s="126"/>
      <c r="L214" s="125" t="str">
        <f>IF(I214&lt;&gt;0,((VLOOKUP(I214,'1. Standard_Cost'!$B$4:$D$11,2)+VLOOKUP(I214,'1. Standard_Cost'!$B$4:$D$11,3))*J214*K214),"0")</f>
        <v>0</v>
      </c>
      <c r="M214" s="125">
        <f>L214*'1. Standard_Cost'!$F$4</f>
        <v>0</v>
      </c>
      <c r="N214" s="126"/>
      <c r="O214" s="126"/>
      <c r="P214" s="126"/>
      <c r="Q214" s="126"/>
      <c r="R214" s="127">
        <f>'1. Standard_Cost'!$B$15*N214*P214</f>
        <v>0</v>
      </c>
      <c r="S214" s="127">
        <f>N214*O214*P214*'1. Standard_Cost'!$C$15</f>
        <v>0</v>
      </c>
      <c r="T214" s="127">
        <f>N214*P214*Q214*'1. Standard_Cost'!$D$15</f>
        <v>0</v>
      </c>
      <c r="U214" s="127">
        <f>N214*O214*'1. Standard_Cost'!$E$15</f>
        <v>0</v>
      </c>
      <c r="V214" s="126"/>
      <c r="W214" s="126"/>
      <c r="X214" s="126"/>
      <c r="Y214" s="127">
        <f>+V214*((X214*'1. Standard_Cost'!$B$19)+(W214*X214*'1. Standard_Cost'!$C$19))</f>
        <v>0</v>
      </c>
      <c r="Z214" s="126"/>
      <c r="AA214" s="126"/>
      <c r="AB214" s="127">
        <f>+Z214*'1. Standard_Cost'!$B$23+AA214*'1. Standard_Cost'!$C$23</f>
        <v>0</v>
      </c>
      <c r="AC214" s="128"/>
      <c r="AD214" s="129"/>
      <c r="AE214" s="127">
        <f>SUM(AD214,AC214,AB214,Y214,U214,T214,S214,R214)*'1. Standard_Cost'!$B$31</f>
        <v>0</v>
      </c>
      <c r="AF214" s="127">
        <f t="shared" ref="AF214:AF219" si="143">SUM(AE214,AD214,AC214,AB214,Y214,U214,T214,S214,R214)</f>
        <v>0</v>
      </c>
      <c r="AG214" s="126"/>
      <c r="AH214" s="126"/>
      <c r="AI214" s="126"/>
      <c r="AJ214" s="130"/>
      <c r="AK214" s="130"/>
      <c r="AL214" s="130"/>
      <c r="AM214" s="127">
        <f>AG214*'1. Standard_Cost'!$B$27+'Incremental_Cost Year 9'!AH214*'1. Standard_Cost'!$C$27+'Incremental_Cost Year 9'!AI214*'1. Standard_Cost'!$D$27+'Incremental_Cost Year 9'!AJ214+'Incremental_Cost Year 9'!AL214+AK214</f>
        <v>0</v>
      </c>
      <c r="AN214" s="127">
        <f>AM214*'1. Standard_Cost'!$C$31</f>
        <v>0</v>
      </c>
      <c r="AO214" s="130"/>
      <c r="AQ214" s="171">
        <f t="shared" ref="AQ214:AQ219" si="144">L214+M214</f>
        <v>0</v>
      </c>
      <c r="AR214" s="171">
        <f t="shared" ref="AR214:AR219" si="145">AF214</f>
        <v>0</v>
      </c>
      <c r="AS214" s="171">
        <f t="shared" ref="AS214:AS219" si="146">AM214+AN214</f>
        <v>0</v>
      </c>
      <c r="AT214" s="171">
        <f t="shared" ref="AT214:AT219" si="147">SUM(AQ214,AR214,AS214)</f>
        <v>0</v>
      </c>
      <c r="AU214" s="250"/>
      <c r="AV214" s="250"/>
      <c r="AW214" s="250"/>
      <c r="AX214" s="250"/>
      <c r="AY214" s="250"/>
      <c r="AZ214" s="250"/>
      <c r="BA214" s="250"/>
      <c r="BB214" s="251">
        <f t="shared" ref="BB214:BB219" si="148">SUM(AU214:BA214)-AT214</f>
        <v>0</v>
      </c>
      <c r="BC214" s="169"/>
      <c r="BD214" s="169"/>
      <c r="BE214" s="169"/>
      <c r="BF214" s="169"/>
    </row>
    <row r="215" spans="1:58" ht="63" outlineLevel="2" x14ac:dyDescent="0.25">
      <c r="A215" s="115"/>
      <c r="B215" s="200"/>
      <c r="C215" s="201"/>
      <c r="D215" s="203"/>
      <c r="E215" s="328"/>
      <c r="F215" s="328"/>
      <c r="G215" s="328"/>
      <c r="H215" s="199" t="s">
        <v>511</v>
      </c>
      <c r="I215" s="130"/>
      <c r="J215" s="126"/>
      <c r="K215" s="126"/>
      <c r="L215" s="125" t="str">
        <f>IF(I215&lt;&gt;0,((VLOOKUP(I215,'1. Standard_Cost'!$B$4:$D$11,2)+VLOOKUP(I215,'1. Standard_Cost'!$B$4:$D$11,3))*J215*K215),"0")</f>
        <v>0</v>
      </c>
      <c r="M215" s="125">
        <f>L215*'1. Standard_Cost'!$F$4</f>
        <v>0</v>
      </c>
      <c r="N215" s="126"/>
      <c r="O215" s="126"/>
      <c r="P215" s="126"/>
      <c r="Q215" s="126"/>
      <c r="R215" s="127">
        <f>'1. Standard_Cost'!$B$15*N215*P215</f>
        <v>0</v>
      </c>
      <c r="S215" s="127">
        <f>N215*O215*P215*'1. Standard_Cost'!$C$15</f>
        <v>0</v>
      </c>
      <c r="T215" s="127">
        <f>N215*P215*Q215*'1. Standard_Cost'!$D$15</f>
        <v>0</v>
      </c>
      <c r="U215" s="127">
        <f>N215*O215*'1. Standard_Cost'!$E$15</f>
        <v>0</v>
      </c>
      <c r="V215" s="126"/>
      <c r="W215" s="126"/>
      <c r="X215" s="126"/>
      <c r="Y215" s="127">
        <f>+V215*((X215*'1. Standard_Cost'!$B$19)+(W215*X215*'1. Standard_Cost'!$C$19))</f>
        <v>0</v>
      </c>
      <c r="Z215" s="126"/>
      <c r="AA215" s="126"/>
      <c r="AB215" s="127">
        <f>+Z215*'1. Standard_Cost'!$B$23+AA215*'1. Standard_Cost'!$C$23</f>
        <v>0</v>
      </c>
      <c r="AC215" s="128"/>
      <c r="AD215" s="129"/>
      <c r="AE215" s="127">
        <f>SUM(AD215,AC215,AB215,Y215,U215,T215,S215,R215)*'1. Standard_Cost'!$B$31</f>
        <v>0</v>
      </c>
      <c r="AF215" s="127">
        <f t="shared" si="143"/>
        <v>0</v>
      </c>
      <c r="AG215" s="126"/>
      <c r="AH215" s="126"/>
      <c r="AI215" s="126"/>
      <c r="AJ215" s="130"/>
      <c r="AK215" s="130"/>
      <c r="AL215" s="130"/>
      <c r="AM215" s="127">
        <f>AG215*'1. Standard_Cost'!$B$27+'Incremental_Cost Year 9'!AH215*'1. Standard_Cost'!$C$27+'Incremental_Cost Year 9'!AI215*'1. Standard_Cost'!$D$27+'Incremental_Cost Year 9'!AJ215+'Incremental_Cost Year 9'!AL215+AK215</f>
        <v>0</v>
      </c>
      <c r="AN215" s="127">
        <f>AM215*'1. Standard_Cost'!$C$31</f>
        <v>0</v>
      </c>
      <c r="AO215" s="130"/>
      <c r="AQ215" s="171">
        <f t="shared" si="144"/>
        <v>0</v>
      </c>
      <c r="AR215" s="171">
        <f t="shared" si="145"/>
        <v>0</v>
      </c>
      <c r="AS215" s="171">
        <f t="shared" si="146"/>
        <v>0</v>
      </c>
      <c r="AT215" s="171">
        <f t="shared" si="147"/>
        <v>0</v>
      </c>
      <c r="AU215" s="250">
        <f>AT215</f>
        <v>0</v>
      </c>
      <c r="AV215" s="250"/>
      <c r="AW215" s="250"/>
      <c r="AX215" s="250"/>
      <c r="AY215" s="250"/>
      <c r="AZ215" s="250"/>
      <c r="BA215" s="250"/>
      <c r="BB215" s="251">
        <f t="shared" si="148"/>
        <v>0</v>
      </c>
      <c r="BC215" s="169"/>
      <c r="BD215" s="169"/>
      <c r="BE215" s="169"/>
      <c r="BF215" s="169"/>
    </row>
    <row r="216" spans="1:58" ht="78.75" outlineLevel="2" x14ac:dyDescent="0.25">
      <c r="A216" s="115"/>
      <c r="B216" s="200"/>
      <c r="C216" s="201"/>
      <c r="D216" s="203"/>
      <c r="E216" s="328"/>
      <c r="F216" s="328"/>
      <c r="G216" s="328"/>
      <c r="H216" s="199" t="s">
        <v>512</v>
      </c>
      <c r="I216" s="130"/>
      <c r="J216" s="126"/>
      <c r="K216" s="126"/>
      <c r="L216" s="125" t="str">
        <f>IF(I216&lt;&gt;0,((VLOOKUP(I216,'1. Standard_Cost'!$B$4:$D$11,2)+VLOOKUP(I216,'1. Standard_Cost'!$B$4:$D$11,3))*J216*K216),"0")</f>
        <v>0</v>
      </c>
      <c r="M216" s="125">
        <f>L216*'1. Standard_Cost'!$F$4</f>
        <v>0</v>
      </c>
      <c r="N216" s="126"/>
      <c r="O216" s="126"/>
      <c r="P216" s="126"/>
      <c r="Q216" s="126"/>
      <c r="R216" s="127">
        <f>'1. Standard_Cost'!$B$15*N216*P216</f>
        <v>0</v>
      </c>
      <c r="S216" s="127">
        <f>N216*O216*P216*'1. Standard_Cost'!$C$15</f>
        <v>0</v>
      </c>
      <c r="T216" s="127">
        <f>N216*P216*Q216*'1. Standard_Cost'!$D$15</f>
        <v>0</v>
      </c>
      <c r="U216" s="127">
        <f>N216*O216*'1. Standard_Cost'!$E$15</f>
        <v>0</v>
      </c>
      <c r="V216" s="126"/>
      <c r="W216" s="126"/>
      <c r="X216" s="126"/>
      <c r="Y216" s="127">
        <f>+V216*((X216*'1. Standard_Cost'!$B$19)+(W216*X216*'1. Standard_Cost'!$C$19))</f>
        <v>0</v>
      </c>
      <c r="Z216" s="126"/>
      <c r="AA216" s="126"/>
      <c r="AB216" s="127">
        <f>+Z216*'1. Standard_Cost'!$B$23+AA216*'1. Standard_Cost'!$C$23</f>
        <v>0</v>
      </c>
      <c r="AC216" s="128"/>
      <c r="AD216" s="129"/>
      <c r="AE216" s="127">
        <f>SUM(AD216,AC216,AB216,Y216,U216,T216,S216,R216)*'1. Standard_Cost'!$B$31</f>
        <v>0</v>
      </c>
      <c r="AF216" s="127">
        <f t="shared" si="143"/>
        <v>0</v>
      </c>
      <c r="AG216" s="126"/>
      <c r="AH216" s="126"/>
      <c r="AI216" s="126"/>
      <c r="AJ216" s="130"/>
      <c r="AK216" s="130"/>
      <c r="AL216" s="130"/>
      <c r="AM216" s="127">
        <f>AG216*'1. Standard_Cost'!$B$27+'Incremental_Cost Year 9'!AH216*'1. Standard_Cost'!$C$27+'Incremental_Cost Year 9'!AI216*'1. Standard_Cost'!$D$27+'Incremental_Cost Year 9'!AJ216+'Incremental_Cost Year 9'!AL216+AK216</f>
        <v>0</v>
      </c>
      <c r="AN216" s="127">
        <f>AM216*'1. Standard_Cost'!$C$31</f>
        <v>0</v>
      </c>
      <c r="AO216" s="130"/>
      <c r="AQ216" s="171">
        <f t="shared" si="144"/>
        <v>0</v>
      </c>
      <c r="AR216" s="171">
        <f t="shared" si="145"/>
        <v>0</v>
      </c>
      <c r="AS216" s="171">
        <f t="shared" si="146"/>
        <v>0</v>
      </c>
      <c r="AT216" s="171">
        <f t="shared" si="147"/>
        <v>0</v>
      </c>
      <c r="AU216" s="250"/>
      <c r="AV216" s="250"/>
      <c r="AW216" s="250"/>
      <c r="AX216" s="250"/>
      <c r="AY216" s="250"/>
      <c r="AZ216" s="250"/>
      <c r="BA216" s="250"/>
      <c r="BB216" s="251">
        <f t="shared" si="148"/>
        <v>0</v>
      </c>
      <c r="BC216" s="169"/>
      <c r="BD216" s="169"/>
      <c r="BE216" s="169"/>
      <c r="BF216" s="169"/>
    </row>
    <row r="217" spans="1:58" ht="47.25" outlineLevel="2" x14ac:dyDescent="0.25">
      <c r="A217" s="115"/>
      <c r="B217" s="200"/>
      <c r="C217" s="201"/>
      <c r="D217" s="203"/>
      <c r="E217" s="328"/>
      <c r="F217" s="328"/>
      <c r="G217" s="328"/>
      <c r="H217" s="213" t="s">
        <v>250</v>
      </c>
      <c r="I217" s="130" t="s">
        <v>1</v>
      </c>
      <c r="J217" s="126">
        <v>12</v>
      </c>
      <c r="K217" s="126">
        <v>824</v>
      </c>
      <c r="L217" s="125">
        <f>IF(I217&lt;&gt;0,((VLOOKUP(I217,'1. Standard_Cost'!$B$4:$D$11,2)+VLOOKUP(I217,'1. Standard_Cost'!$B$4:$D$11,3))*J217*K217),"0")</f>
        <v>709887771.42857134</v>
      </c>
      <c r="M217" s="125">
        <f>L217*'1. Standard_Cost'!$F$4</f>
        <v>118551257.82857142</v>
      </c>
      <c r="N217" s="126"/>
      <c r="O217" s="126"/>
      <c r="P217" s="126"/>
      <c r="Q217" s="126"/>
      <c r="R217" s="127">
        <f>'1. Standard_Cost'!$B$15*N217*P217</f>
        <v>0</v>
      </c>
      <c r="S217" s="127">
        <f>N217*O217*P217*'1. Standard_Cost'!$C$15</f>
        <v>0</v>
      </c>
      <c r="T217" s="127">
        <f>N217*P217*Q217*'1. Standard_Cost'!$D$15</f>
        <v>0</v>
      </c>
      <c r="U217" s="127">
        <f>N217*O217*'1. Standard_Cost'!$E$15</f>
        <v>0</v>
      </c>
      <c r="V217" s="126"/>
      <c r="W217" s="126"/>
      <c r="X217" s="126"/>
      <c r="Y217" s="127">
        <f>+V217*((X217*'1. Standard_Cost'!$B$19)+(W217*X217*'1. Standard_Cost'!$C$19))</f>
        <v>0</v>
      </c>
      <c r="Z217" s="126"/>
      <c r="AA217" s="126"/>
      <c r="AB217" s="127">
        <f>+Z217*'1. Standard_Cost'!$B$23+AA217*'1. Standard_Cost'!$C$23</f>
        <v>0</v>
      </c>
      <c r="AC217" s="128">
        <f>230000000+250000000*2</f>
        <v>730000000</v>
      </c>
      <c r="AD217" s="129"/>
      <c r="AE217" s="127"/>
      <c r="AF217" s="127">
        <f t="shared" si="143"/>
        <v>730000000</v>
      </c>
      <c r="AG217" s="126"/>
      <c r="AH217" s="126"/>
      <c r="AI217" s="126"/>
      <c r="AJ217" s="130"/>
      <c r="AK217" s="130"/>
      <c r="AL217" s="130"/>
      <c r="AM217" s="127">
        <f>AG217*'1. Standard_Cost'!$B$27+'Incremental_Cost Year 9'!AH217*'1. Standard_Cost'!$C$27+'Incremental_Cost Year 9'!AI217*'1. Standard_Cost'!$D$27+'Incremental_Cost Year 9'!AJ217+'Incremental_Cost Year 9'!AL217+AK217</f>
        <v>0</v>
      </c>
      <c r="AN217" s="127">
        <f>AM217*'1. Standard_Cost'!$C$31</f>
        <v>0</v>
      </c>
      <c r="AO217" s="130"/>
      <c r="AQ217" s="171">
        <f t="shared" si="144"/>
        <v>828439029.25714278</v>
      </c>
      <c r="AR217" s="171">
        <f t="shared" si="145"/>
        <v>730000000</v>
      </c>
      <c r="AS217" s="171">
        <f t="shared" si="146"/>
        <v>0</v>
      </c>
      <c r="AT217" s="171">
        <f t="shared" si="147"/>
        <v>1558439029.2571428</v>
      </c>
      <c r="AU217" s="250">
        <f>AT217</f>
        <v>1558439029.2571428</v>
      </c>
      <c r="AV217" s="250"/>
      <c r="AW217" s="250"/>
      <c r="AX217" s="250"/>
      <c r="AY217" s="250"/>
      <c r="AZ217" s="250"/>
      <c r="BA217" s="250"/>
      <c r="BB217" s="251">
        <f t="shared" si="148"/>
        <v>0</v>
      </c>
      <c r="BC217" s="169"/>
      <c r="BD217" s="169"/>
      <c r="BE217" s="169"/>
      <c r="BF217" s="169"/>
    </row>
    <row r="218" spans="1:58" ht="47.25" outlineLevel="2" x14ac:dyDescent="0.25">
      <c r="A218" s="115"/>
      <c r="B218" s="200"/>
      <c r="C218" s="201"/>
      <c r="D218" s="203"/>
      <c r="E218" s="328"/>
      <c r="F218" s="328"/>
      <c r="G218" s="328"/>
      <c r="H218" s="213" t="s">
        <v>513</v>
      </c>
      <c r="I218" s="130" t="s">
        <v>1</v>
      </c>
      <c r="J218" s="126">
        <v>12</v>
      </c>
      <c r="K218" s="126">
        <v>123</v>
      </c>
      <c r="L218" s="125">
        <f>IF(I218&lt;&gt;0,((VLOOKUP(I218,'1. Standard_Cost'!$B$4:$D$11,2)+VLOOKUP(I218,'1. Standard_Cost'!$B$4:$D$11,3))*J218*K218),"0")</f>
        <v>105966257.14285713</v>
      </c>
      <c r="M218" s="125">
        <f>L218*'1. Standard_Cost'!$F$4</f>
        <v>17696364.942857143</v>
      </c>
      <c r="N218" s="126"/>
      <c r="O218" s="126"/>
      <c r="P218" s="126"/>
      <c r="Q218" s="126"/>
      <c r="R218" s="127">
        <f>'1. Standard_Cost'!$B$15*N218*P218</f>
        <v>0</v>
      </c>
      <c r="S218" s="127">
        <f>N218*O218*P218*'1. Standard_Cost'!$C$15</f>
        <v>0</v>
      </c>
      <c r="T218" s="127">
        <f>N218*P218*Q218*'1. Standard_Cost'!$D$15</f>
        <v>0</v>
      </c>
      <c r="U218" s="127">
        <f>N218*O218*'1. Standard_Cost'!$E$15</f>
        <v>0</v>
      </c>
      <c r="V218" s="126"/>
      <c r="W218" s="126"/>
      <c r="X218" s="126"/>
      <c r="Y218" s="127">
        <f>+V218*((X218*'1. Standard_Cost'!$B$19)+(W218*X218*'1. Standard_Cost'!$C$19))</f>
        <v>0</v>
      </c>
      <c r="Z218" s="126"/>
      <c r="AA218" s="126"/>
      <c r="AB218" s="127">
        <f>+Z218*'1. Standard_Cost'!$B$23+AA218*'1. Standard_Cost'!$C$23</f>
        <v>0</v>
      </c>
      <c r="AC218" s="128">
        <f>220000000*3</f>
        <v>660000000</v>
      </c>
      <c r="AD218" s="129"/>
      <c r="AE218" s="127"/>
      <c r="AF218" s="127">
        <f t="shared" si="143"/>
        <v>660000000</v>
      </c>
      <c r="AG218" s="126"/>
      <c r="AH218" s="126"/>
      <c r="AI218" s="126"/>
      <c r="AJ218" s="130"/>
      <c r="AK218" s="130"/>
      <c r="AL218" s="130"/>
      <c r="AM218" s="127">
        <f>AG218*'1. Standard_Cost'!$B$27+'Incremental_Cost Year 9'!AH218*'1. Standard_Cost'!$C$27+'Incremental_Cost Year 9'!AI218*'1. Standard_Cost'!$D$27+'Incremental_Cost Year 9'!AJ218+'Incremental_Cost Year 9'!AL218+AK218</f>
        <v>0</v>
      </c>
      <c r="AN218" s="127">
        <f>AM218*'1. Standard_Cost'!$C$31</f>
        <v>0</v>
      </c>
      <c r="AO218" s="130"/>
      <c r="AQ218" s="171">
        <f t="shared" si="144"/>
        <v>123662622.08571428</v>
      </c>
      <c r="AR218" s="171">
        <f t="shared" si="145"/>
        <v>660000000</v>
      </c>
      <c r="AS218" s="171">
        <f t="shared" si="146"/>
        <v>0</v>
      </c>
      <c r="AT218" s="171">
        <f t="shared" si="147"/>
        <v>783662622.08571434</v>
      </c>
      <c r="AU218" s="250">
        <f>AT218</f>
        <v>783662622.08571434</v>
      </c>
      <c r="AV218" s="250"/>
      <c r="AW218" s="250"/>
      <c r="AX218" s="250"/>
      <c r="AY218" s="250"/>
      <c r="AZ218" s="250"/>
      <c r="BA218" s="250"/>
      <c r="BB218" s="251">
        <f t="shared" si="148"/>
        <v>0</v>
      </c>
      <c r="BC218" s="169"/>
      <c r="BD218" s="169"/>
      <c r="BE218" s="169"/>
      <c r="BF218" s="169"/>
    </row>
    <row r="219" spans="1:58" ht="63" outlineLevel="2" x14ac:dyDescent="0.25">
      <c r="A219" s="115"/>
      <c r="B219" s="200"/>
      <c r="C219" s="201"/>
      <c r="D219" s="203"/>
      <c r="E219" s="328"/>
      <c r="F219" s="328"/>
      <c r="G219" s="328"/>
      <c r="H219" s="199" t="s">
        <v>514</v>
      </c>
      <c r="I219" s="130" t="s">
        <v>3</v>
      </c>
      <c r="J219" s="126">
        <v>3</v>
      </c>
      <c r="K219" s="126">
        <v>88</v>
      </c>
      <c r="L219" s="125">
        <f>IF(I219&lt;&gt;0,((VLOOKUP(I219,'1. Standard_Cost'!$B$4:$D$11,2)+VLOOKUP(I219,'1. Standard_Cost'!$B$4:$D$11,3))*J219*K219),"0")</f>
        <v>26611200</v>
      </c>
      <c r="M219" s="125">
        <f>L219*'1. Standard_Cost'!$F$4</f>
        <v>4444070.4000000004</v>
      </c>
      <c r="N219" s="126"/>
      <c r="O219" s="126"/>
      <c r="P219" s="126"/>
      <c r="Q219" s="126"/>
      <c r="R219" s="127">
        <f>'1. Standard_Cost'!$B$15*N219*P219</f>
        <v>0</v>
      </c>
      <c r="S219" s="127">
        <f>N219*O219*P219*'1. Standard_Cost'!$C$15</f>
        <v>0</v>
      </c>
      <c r="T219" s="127">
        <f>N219*P219*Q219*'1. Standard_Cost'!$D$15</f>
        <v>0</v>
      </c>
      <c r="U219" s="127">
        <f>N219*O219*'1. Standard_Cost'!$E$15</f>
        <v>0</v>
      </c>
      <c r="V219" s="126"/>
      <c r="W219" s="126"/>
      <c r="X219" s="126"/>
      <c r="Y219" s="127">
        <f>+V219*((X219*'1. Standard_Cost'!$B$19)+(W219*X219*'1. Standard_Cost'!$C$19))</f>
        <v>0</v>
      </c>
      <c r="Z219" s="126"/>
      <c r="AA219" s="126"/>
      <c r="AB219" s="127">
        <f>+Z219*'1. Standard_Cost'!$B$23+AA219*'1. Standard_Cost'!$C$23</f>
        <v>0</v>
      </c>
      <c r="AC219" s="128">
        <v>52163000</v>
      </c>
      <c r="AD219" s="129"/>
      <c r="AE219" s="127"/>
      <c r="AF219" s="127">
        <f t="shared" si="143"/>
        <v>52163000</v>
      </c>
      <c r="AG219" s="126"/>
      <c r="AH219" s="126"/>
      <c r="AI219" s="126"/>
      <c r="AJ219" s="130"/>
      <c r="AK219" s="130"/>
      <c r="AL219" s="130"/>
      <c r="AM219" s="127">
        <f>AG219*'1. Standard_Cost'!$B$27+'Incremental_Cost Year 9'!AH219*'1. Standard_Cost'!$C$27+'Incremental_Cost Year 9'!AI219*'1. Standard_Cost'!$D$27+'Incremental_Cost Year 9'!AJ219+'Incremental_Cost Year 9'!AL219+AK219</f>
        <v>0</v>
      </c>
      <c r="AN219" s="127">
        <f>AM219*'1. Standard_Cost'!$C$31</f>
        <v>0</v>
      </c>
      <c r="AO219" s="130"/>
      <c r="AQ219" s="171">
        <f t="shared" si="144"/>
        <v>31055270.399999999</v>
      </c>
      <c r="AR219" s="171">
        <f t="shared" si="145"/>
        <v>52163000</v>
      </c>
      <c r="AS219" s="171">
        <f t="shared" si="146"/>
        <v>0</v>
      </c>
      <c r="AT219" s="171">
        <f t="shared" si="147"/>
        <v>83218270.400000006</v>
      </c>
      <c r="AU219" s="250">
        <f>AT219</f>
        <v>83218270.400000006</v>
      </c>
      <c r="AV219" s="250"/>
      <c r="AW219" s="250"/>
      <c r="AX219" s="250"/>
      <c r="AY219" s="250"/>
      <c r="AZ219" s="250"/>
      <c r="BA219" s="250"/>
      <c r="BB219" s="251">
        <f t="shared" si="148"/>
        <v>0</v>
      </c>
      <c r="BC219" s="169"/>
      <c r="BD219" s="169"/>
      <c r="BE219" s="169"/>
      <c r="BF219" s="169"/>
    </row>
    <row r="220" spans="1:58" ht="78.75" outlineLevel="1" x14ac:dyDescent="0.25">
      <c r="A220" s="115"/>
      <c r="B220" s="165"/>
      <c r="C220" s="166"/>
      <c r="D220" s="139" t="s">
        <v>557</v>
      </c>
      <c r="E220" s="212" t="s">
        <v>251</v>
      </c>
      <c r="F220" s="352">
        <v>2021</v>
      </c>
      <c r="G220" s="353">
        <v>2030</v>
      </c>
      <c r="H220" s="150" t="s">
        <v>252</v>
      </c>
      <c r="I220" s="252"/>
      <c r="J220" s="252"/>
      <c r="K220" s="252"/>
      <c r="L220" s="127">
        <f>SUM(L214:L219)</f>
        <v>842465228.57142854</v>
      </c>
      <c r="M220" s="127">
        <f>SUM(M214:M219)</f>
        <v>140691693.17142856</v>
      </c>
      <c r="N220" s="252"/>
      <c r="O220" s="252"/>
      <c r="P220" s="252"/>
      <c r="Q220" s="252"/>
      <c r="R220" s="127">
        <f>SUM(R214:R219)</f>
        <v>0</v>
      </c>
      <c r="S220" s="127">
        <f>SUM(S214:S219)</f>
        <v>0</v>
      </c>
      <c r="T220" s="127">
        <f>SUM(T214:T219)</f>
        <v>0</v>
      </c>
      <c r="U220" s="127">
        <f>SUM(U214:U219)</f>
        <v>0</v>
      </c>
      <c r="V220" s="252"/>
      <c r="W220" s="252"/>
      <c r="X220" s="252"/>
      <c r="Y220" s="127">
        <f>SUM(Y214:Y219)</f>
        <v>0</v>
      </c>
      <c r="Z220" s="127"/>
      <c r="AA220" s="252"/>
      <c r="AB220" s="127">
        <f>SUM(AB214:AB219)</f>
        <v>0</v>
      </c>
      <c r="AC220" s="127">
        <f>SUM(AC214:AC219)</f>
        <v>1442163000</v>
      </c>
      <c r="AD220" s="127">
        <f>SUM(AD214:AD219)</f>
        <v>0</v>
      </c>
      <c r="AE220" s="127">
        <f>SUM(AE214:AE219)</f>
        <v>0</v>
      </c>
      <c r="AF220" s="127">
        <f>SUM(AF214:AF219)</f>
        <v>1442163000</v>
      </c>
      <c r="AG220" s="252"/>
      <c r="AH220" s="252"/>
      <c r="AI220" s="252"/>
      <c r="AJ220" s="127">
        <f>SUM(AJ214:AJ219)</f>
        <v>0</v>
      </c>
      <c r="AK220" s="127">
        <f>SUM(AK214:AK219)</f>
        <v>0</v>
      </c>
      <c r="AL220" s="127">
        <f>SUM(AL214:AL219)</f>
        <v>0</v>
      </c>
      <c r="AM220" s="127">
        <f>SUM(AM214:AM219)</f>
        <v>0</v>
      </c>
      <c r="AN220" s="127">
        <f>SUM(AN214:AN219)</f>
        <v>0</v>
      </c>
      <c r="AO220" s="253"/>
      <c r="AP220" s="254"/>
      <c r="AQ220" s="175">
        <f>SUM(AQ214:AQ219)</f>
        <v>983156921.7428571</v>
      </c>
      <c r="AR220" s="175">
        <f>SUM(AR214:AR219)</f>
        <v>1442163000</v>
      </c>
      <c r="AS220" s="175">
        <f>SUM(AS214:AS219)</f>
        <v>0</v>
      </c>
      <c r="AT220" s="175">
        <f>SUM(AT214:AT219)</f>
        <v>2425319921.7428575</v>
      </c>
      <c r="AU220" s="175">
        <f t="shared" ref="AU220:BB220" si="149">SUM(AU214:AU219)</f>
        <v>2425319921.7428575</v>
      </c>
      <c r="AV220" s="175">
        <f t="shared" si="149"/>
        <v>0</v>
      </c>
      <c r="AW220" s="175">
        <f t="shared" si="149"/>
        <v>0</v>
      </c>
      <c r="AX220" s="175">
        <f t="shared" si="149"/>
        <v>0</v>
      </c>
      <c r="AY220" s="175">
        <f t="shared" si="149"/>
        <v>0</v>
      </c>
      <c r="AZ220" s="175">
        <f t="shared" si="149"/>
        <v>0</v>
      </c>
      <c r="BA220" s="175">
        <f t="shared" si="149"/>
        <v>0</v>
      </c>
      <c r="BB220" s="175">
        <f t="shared" si="149"/>
        <v>0</v>
      </c>
      <c r="BC220" s="169"/>
      <c r="BD220" s="169"/>
      <c r="BE220" s="169"/>
      <c r="BF220" s="169"/>
    </row>
    <row r="221" spans="1:58" s="184" customFormat="1" ht="15.75" customHeight="1" x14ac:dyDescent="0.25">
      <c r="A221" s="143"/>
      <c r="B221" s="332"/>
      <c r="C221" s="397" t="s">
        <v>253</v>
      </c>
      <c r="D221" s="397"/>
      <c r="E221" s="398"/>
      <c r="F221" s="291"/>
      <c r="G221" s="340"/>
      <c r="H221" s="144" t="s">
        <v>300</v>
      </c>
      <c r="I221" s="257"/>
      <c r="J221" s="257"/>
      <c r="K221" s="257"/>
      <c r="L221" s="258">
        <f>SUM(L225)</f>
        <v>0</v>
      </c>
      <c r="M221" s="258">
        <f>SUM(M225)</f>
        <v>0</v>
      </c>
      <c r="N221" s="257"/>
      <c r="O221" s="257"/>
      <c r="P221" s="257"/>
      <c r="Q221" s="257"/>
      <c r="R221" s="258">
        <f>SUM(R225)</f>
        <v>0</v>
      </c>
      <c r="S221" s="258">
        <f>SUM(S225)</f>
        <v>0</v>
      </c>
      <c r="T221" s="258">
        <f>SUM(T225)</f>
        <v>0</v>
      </c>
      <c r="U221" s="258">
        <f>SUM(U225)</f>
        <v>0</v>
      </c>
      <c r="V221" s="257"/>
      <c r="W221" s="257"/>
      <c r="X221" s="257"/>
      <c r="Y221" s="258">
        <f>SUM(Y225)</f>
        <v>0</v>
      </c>
      <c r="Z221" s="258"/>
      <c r="AA221" s="258"/>
      <c r="AB221" s="258">
        <f>SUM(AB225)</f>
        <v>0</v>
      </c>
      <c r="AC221" s="258">
        <f>SUM(AC225)</f>
        <v>0</v>
      </c>
      <c r="AD221" s="258">
        <f>SUM(AD225)</f>
        <v>0</v>
      </c>
      <c r="AE221" s="258">
        <f>SUM(AE225)</f>
        <v>0</v>
      </c>
      <c r="AF221" s="258">
        <f>SUM(AF225)</f>
        <v>0</v>
      </c>
      <c r="AG221" s="257"/>
      <c r="AH221" s="257"/>
      <c r="AI221" s="257"/>
      <c r="AJ221" s="258">
        <f>SUM(AJ225)</f>
        <v>0</v>
      </c>
      <c r="AK221" s="258">
        <f>SUM(AK225)</f>
        <v>0</v>
      </c>
      <c r="AL221" s="258">
        <f>SUM(AL225)</f>
        <v>0</v>
      </c>
      <c r="AM221" s="258">
        <f>SUM(AM225)</f>
        <v>0</v>
      </c>
      <c r="AN221" s="258">
        <f>SUM(AN225)</f>
        <v>0</v>
      </c>
      <c r="AO221" s="259"/>
      <c r="AP221" s="260"/>
      <c r="AQ221" s="261">
        <f>SUM(AQ225)</f>
        <v>0</v>
      </c>
      <c r="AR221" s="261">
        <f>SUM(AR225)</f>
        <v>0</v>
      </c>
      <c r="AS221" s="261">
        <f>SUM(AS225)</f>
        <v>0</v>
      </c>
      <c r="AT221" s="261">
        <f>SUM(AT225)</f>
        <v>0</v>
      </c>
      <c r="AU221" s="261">
        <f t="shared" ref="AU221:BB221" si="150">SUM(AU225)</f>
        <v>0</v>
      </c>
      <c r="AV221" s="261">
        <f t="shared" si="150"/>
        <v>0</v>
      </c>
      <c r="AW221" s="261">
        <f t="shared" si="150"/>
        <v>0</v>
      </c>
      <c r="AX221" s="261">
        <f t="shared" si="150"/>
        <v>0</v>
      </c>
      <c r="AY221" s="261">
        <f t="shared" si="150"/>
        <v>0</v>
      </c>
      <c r="AZ221" s="261">
        <f t="shared" si="150"/>
        <v>0</v>
      </c>
      <c r="BA221" s="261">
        <f t="shared" si="150"/>
        <v>0</v>
      </c>
      <c r="BB221" s="261">
        <f t="shared" si="150"/>
        <v>0</v>
      </c>
    </row>
    <row r="222" spans="1:58" ht="63" outlineLevel="2" x14ac:dyDescent="0.25">
      <c r="A222" s="115"/>
      <c r="B222" s="200"/>
      <c r="C222" s="201"/>
      <c r="D222" s="342"/>
      <c r="E222" s="328"/>
      <c r="F222" s="328"/>
      <c r="G222" s="328"/>
      <c r="H222" s="199" t="s">
        <v>515</v>
      </c>
      <c r="I222" s="130"/>
      <c r="J222" s="126"/>
      <c r="K222" s="126"/>
      <c r="L222" s="125" t="str">
        <f>IF(I222&lt;&gt;0,((VLOOKUP(I222,'1. Standard_Cost'!$B$4:$D$11,2)+VLOOKUP(I222,'1. Standard_Cost'!$B$4:$D$11,3))*J222*K222),"0")</f>
        <v>0</v>
      </c>
      <c r="M222" s="125">
        <f>L222*'1. Standard_Cost'!$F$4</f>
        <v>0</v>
      </c>
      <c r="N222" s="126"/>
      <c r="O222" s="126"/>
      <c r="P222" s="126"/>
      <c r="Q222" s="126"/>
      <c r="R222" s="127">
        <f>'1. Standard_Cost'!$B$15*N222*P222</f>
        <v>0</v>
      </c>
      <c r="S222" s="127">
        <f>N222*O222*P222*'1. Standard_Cost'!$C$15</f>
        <v>0</v>
      </c>
      <c r="T222" s="127">
        <f>N222*P222*Q222*'1. Standard_Cost'!$D$15</f>
        <v>0</v>
      </c>
      <c r="U222" s="127">
        <f>N222*O222*'1. Standard_Cost'!$E$15</f>
        <v>0</v>
      </c>
      <c r="V222" s="126"/>
      <c r="W222" s="126"/>
      <c r="X222" s="126"/>
      <c r="Y222" s="127">
        <f>+V222*((X222*'1. Standard_Cost'!$B$19)+(W222*X222*'1. Standard_Cost'!$C$19))</f>
        <v>0</v>
      </c>
      <c r="Z222" s="126"/>
      <c r="AA222" s="126"/>
      <c r="AB222" s="127">
        <f>+Z222*'1. Standard_Cost'!$B$23+AA222*'1. Standard_Cost'!$C$23</f>
        <v>0</v>
      </c>
      <c r="AC222" s="128"/>
      <c r="AD222" s="129"/>
      <c r="AE222" s="127">
        <f>SUM(AD222,AC222,AB222,Y222,U222,T222,S222,R222)*'1. Standard_Cost'!$B$31</f>
        <v>0</v>
      </c>
      <c r="AF222" s="127">
        <f>SUM(AE222,AD222,AC222,AB222,Y222,U222,T222,S222,R222)</f>
        <v>0</v>
      </c>
      <c r="AG222" s="126"/>
      <c r="AH222" s="126"/>
      <c r="AI222" s="126"/>
      <c r="AJ222" s="130"/>
      <c r="AK222" s="130"/>
      <c r="AL222" s="130"/>
      <c r="AM222" s="127">
        <f>AG222*'1. Standard_Cost'!$B$27+'Incremental_Cost Year 9'!AH222*'1. Standard_Cost'!$C$27+'Incremental_Cost Year 9'!AI222*'1. Standard_Cost'!$D$27+'Incremental_Cost Year 9'!AJ222+'Incremental_Cost Year 9'!AL222+AK222</f>
        <v>0</v>
      </c>
      <c r="AN222" s="127">
        <f>AM222*'1. Standard_Cost'!$C$31</f>
        <v>0</v>
      </c>
      <c r="AO222" s="130"/>
      <c r="AQ222" s="171">
        <f>L222+M222</f>
        <v>0</v>
      </c>
      <c r="AR222" s="171">
        <f>AF222</f>
        <v>0</v>
      </c>
      <c r="AS222" s="171">
        <f>AM222+AN222</f>
        <v>0</v>
      </c>
      <c r="AT222" s="171">
        <f>SUM(AQ222,AR222,AS222)</f>
        <v>0</v>
      </c>
      <c r="AU222" s="250">
        <f>AT222</f>
        <v>0</v>
      </c>
      <c r="AV222" s="250"/>
      <c r="AW222" s="250"/>
      <c r="AX222" s="250"/>
      <c r="AY222" s="250"/>
      <c r="AZ222" s="250"/>
      <c r="BA222" s="250"/>
      <c r="BB222" s="251">
        <f t="shared" ref="BB222:BB224" si="151">SUM(AU222:BA222)-AT222</f>
        <v>0</v>
      </c>
      <c r="BC222" s="169"/>
      <c r="BD222" s="169"/>
      <c r="BE222" s="169"/>
      <c r="BF222" s="169"/>
    </row>
    <row r="223" spans="1:58" ht="63" outlineLevel="2" x14ac:dyDescent="0.25">
      <c r="A223" s="115"/>
      <c r="B223" s="200"/>
      <c r="C223" s="201"/>
      <c r="D223" s="343"/>
      <c r="E223" s="328"/>
      <c r="F223" s="328"/>
      <c r="G223" s="328"/>
      <c r="H223" s="199" t="s">
        <v>516</v>
      </c>
      <c r="I223" s="130"/>
      <c r="J223" s="126"/>
      <c r="K223" s="126"/>
      <c r="L223" s="125" t="str">
        <f>IF(I223&lt;&gt;0,((VLOOKUP(I223,'1. Standard_Cost'!$B$4:$D$11,2)+VLOOKUP(I223,'1. Standard_Cost'!$B$4:$D$11,3))*J223*K223),"0")</f>
        <v>0</v>
      </c>
      <c r="M223" s="125">
        <f>L223*'1. Standard_Cost'!$F$4</f>
        <v>0</v>
      </c>
      <c r="N223" s="126"/>
      <c r="O223" s="126"/>
      <c r="P223" s="126"/>
      <c r="Q223" s="126"/>
      <c r="R223" s="127">
        <f>'1. Standard_Cost'!$B$15*N223*P223</f>
        <v>0</v>
      </c>
      <c r="S223" s="127">
        <f>N223*O223*P223*'1. Standard_Cost'!$C$15</f>
        <v>0</v>
      </c>
      <c r="T223" s="127">
        <f>N223*P223*Q223*'1. Standard_Cost'!$D$15</f>
        <v>0</v>
      </c>
      <c r="U223" s="127">
        <f>N223*O223*'1. Standard_Cost'!$E$15</f>
        <v>0</v>
      </c>
      <c r="V223" s="126"/>
      <c r="W223" s="126"/>
      <c r="X223" s="126"/>
      <c r="Y223" s="127">
        <f>+V223*((X223*'1. Standard_Cost'!$B$19)+(W223*X223*'1. Standard_Cost'!$C$19))</f>
        <v>0</v>
      </c>
      <c r="Z223" s="126"/>
      <c r="AA223" s="126"/>
      <c r="AB223" s="127">
        <f>+Z223*'1. Standard_Cost'!$B$23+AA223*'1. Standard_Cost'!$C$23</f>
        <v>0</v>
      </c>
      <c r="AC223" s="128"/>
      <c r="AD223" s="129"/>
      <c r="AE223" s="127">
        <f>SUM(AD223,AC223,AB223,Y223,U223,T223,S223,R223)*'1. Standard_Cost'!$B$31</f>
        <v>0</v>
      </c>
      <c r="AF223" s="127">
        <f>SUM(AE223,AD223,AC223,AB223,Y223,U223,T223,S223,R223)</f>
        <v>0</v>
      </c>
      <c r="AG223" s="126"/>
      <c r="AH223" s="126"/>
      <c r="AI223" s="126"/>
      <c r="AJ223" s="130"/>
      <c r="AK223" s="130"/>
      <c r="AL223" s="130"/>
      <c r="AM223" s="127">
        <f>AG223*'1. Standard_Cost'!$B$27+'Incremental_Cost Year 9'!AH223*'1. Standard_Cost'!$C$27+'Incremental_Cost Year 9'!AI223*'1. Standard_Cost'!$D$27+'Incremental_Cost Year 9'!AJ223+'Incremental_Cost Year 9'!AL223+AK223</f>
        <v>0</v>
      </c>
      <c r="AN223" s="127">
        <f>AM223*'1. Standard_Cost'!$C$31</f>
        <v>0</v>
      </c>
      <c r="AO223" s="130"/>
      <c r="AQ223" s="171">
        <f>L223+M223</f>
        <v>0</v>
      </c>
      <c r="AR223" s="171">
        <f>AF223</f>
        <v>0</v>
      </c>
      <c r="AS223" s="171">
        <f>AM223+AN223</f>
        <v>0</v>
      </c>
      <c r="AT223" s="171">
        <f>SUM(AQ223,AR223,AS223)</f>
        <v>0</v>
      </c>
      <c r="AU223" s="250">
        <f>AT223</f>
        <v>0</v>
      </c>
      <c r="AV223" s="250"/>
      <c r="AW223" s="250"/>
      <c r="AX223" s="250"/>
      <c r="AY223" s="250"/>
      <c r="AZ223" s="250"/>
      <c r="BA223" s="250"/>
      <c r="BB223" s="251">
        <f t="shared" si="151"/>
        <v>0</v>
      </c>
      <c r="BC223" s="169"/>
      <c r="BD223" s="169"/>
      <c r="BE223" s="169"/>
      <c r="BF223" s="169"/>
    </row>
    <row r="224" spans="1:58" ht="31.5" outlineLevel="2" x14ac:dyDescent="0.25">
      <c r="A224" s="115"/>
      <c r="B224" s="200"/>
      <c r="C224" s="201"/>
      <c r="D224" s="344"/>
      <c r="E224" s="328"/>
      <c r="F224" s="328"/>
      <c r="G224" s="328"/>
      <c r="H224" s="199" t="s">
        <v>254</v>
      </c>
      <c r="I224" s="130"/>
      <c r="J224" s="126"/>
      <c r="K224" s="126"/>
      <c r="L224" s="125" t="str">
        <f>IF(I224&lt;&gt;0,((VLOOKUP(I224,'1. Standard_Cost'!$B$4:$D$11,2)+VLOOKUP(I224,'1. Standard_Cost'!$B$4:$D$11,3))*J224*K224),"0")</f>
        <v>0</v>
      </c>
      <c r="M224" s="125">
        <f>L224*'1. Standard_Cost'!$F$4</f>
        <v>0</v>
      </c>
      <c r="N224" s="126"/>
      <c r="O224" s="126"/>
      <c r="P224" s="126"/>
      <c r="Q224" s="126"/>
      <c r="R224" s="127">
        <f>'1. Standard_Cost'!$B$15*N224*P224</f>
        <v>0</v>
      </c>
      <c r="S224" s="127">
        <f>N224*O224*P224*'1. Standard_Cost'!$C$15</f>
        <v>0</v>
      </c>
      <c r="T224" s="127">
        <f>N224*P224*Q224*'1. Standard_Cost'!$D$15</f>
        <v>0</v>
      </c>
      <c r="U224" s="127">
        <f>N224*O224*'1. Standard_Cost'!$E$15</f>
        <v>0</v>
      </c>
      <c r="V224" s="126"/>
      <c r="W224" s="126"/>
      <c r="X224" s="126"/>
      <c r="Y224" s="127">
        <f>+V224*((X224*'1. Standard_Cost'!$B$19)+(W224*X224*'1. Standard_Cost'!$C$19))</f>
        <v>0</v>
      </c>
      <c r="Z224" s="126"/>
      <c r="AA224" s="126"/>
      <c r="AB224" s="127">
        <f>+Z224*'1. Standard_Cost'!$B$23+AA224*'1. Standard_Cost'!$C$23</f>
        <v>0</v>
      </c>
      <c r="AC224" s="128"/>
      <c r="AD224" s="129"/>
      <c r="AE224" s="127">
        <f>SUM(AD224,AC224,AB224,Y224,U224,T224,S224,R224)*'1. Standard_Cost'!$B$31</f>
        <v>0</v>
      </c>
      <c r="AF224" s="127">
        <f>SUM(AE224,AD224,AC224,AB224,Y224,U224,T224,S224,R224)</f>
        <v>0</v>
      </c>
      <c r="AG224" s="126"/>
      <c r="AH224" s="126"/>
      <c r="AI224" s="126"/>
      <c r="AJ224" s="130"/>
      <c r="AK224" s="130"/>
      <c r="AL224" s="130"/>
      <c r="AM224" s="127">
        <f>AG224*'1. Standard_Cost'!$B$27+'Incremental_Cost Year 9'!AH224*'1. Standard_Cost'!$C$27+'Incremental_Cost Year 9'!AI224*'1. Standard_Cost'!$D$27+'Incremental_Cost Year 9'!AJ224+'Incremental_Cost Year 9'!AL224+AK224</f>
        <v>0</v>
      </c>
      <c r="AN224" s="127">
        <f>AM224*'1. Standard_Cost'!$C$31</f>
        <v>0</v>
      </c>
      <c r="AO224" s="130"/>
      <c r="AQ224" s="171">
        <f>L224+M224</f>
        <v>0</v>
      </c>
      <c r="AR224" s="171">
        <f>AF224</f>
        <v>0</v>
      </c>
      <c r="AS224" s="171">
        <f>AM224+AN224</f>
        <v>0</v>
      </c>
      <c r="AT224" s="171">
        <f>SUM(AQ224,AR224,AS224)</f>
        <v>0</v>
      </c>
      <c r="AU224" s="250"/>
      <c r="AV224" s="250"/>
      <c r="AW224" s="250"/>
      <c r="AX224" s="250"/>
      <c r="AY224" s="250"/>
      <c r="AZ224" s="250"/>
      <c r="BA224" s="250"/>
      <c r="BB224" s="251">
        <f t="shared" si="151"/>
        <v>0</v>
      </c>
      <c r="BC224" s="169"/>
      <c r="BD224" s="169"/>
      <c r="BE224" s="169"/>
      <c r="BF224" s="169"/>
    </row>
    <row r="225" spans="1:58" ht="47.25" outlineLevel="1" x14ac:dyDescent="0.25">
      <c r="A225" s="115"/>
      <c r="B225" s="165"/>
      <c r="C225" s="166"/>
      <c r="D225" s="150" t="s">
        <v>240</v>
      </c>
      <c r="E225" s="212" t="s">
        <v>255</v>
      </c>
      <c r="F225" s="142">
        <v>2021</v>
      </c>
      <c r="G225" s="209">
        <v>2022</v>
      </c>
      <c r="H225" s="150" t="s">
        <v>256</v>
      </c>
      <c r="I225" s="252"/>
      <c r="J225" s="252"/>
      <c r="K225" s="252"/>
      <c r="L225" s="127">
        <f>SUM(L222:L224)</f>
        <v>0</v>
      </c>
      <c r="M225" s="127">
        <f>SUM(M222:M224)</f>
        <v>0</v>
      </c>
      <c r="N225" s="252"/>
      <c r="O225" s="252"/>
      <c r="P225" s="252"/>
      <c r="Q225" s="252"/>
      <c r="R225" s="127">
        <f>SUM(R222:R224)</f>
        <v>0</v>
      </c>
      <c r="S225" s="127">
        <f>SUM(S222:S224)</f>
        <v>0</v>
      </c>
      <c r="T225" s="127">
        <f>SUM(T222:T224)</f>
        <v>0</v>
      </c>
      <c r="U225" s="127">
        <f>SUM(U222:U224)</f>
        <v>0</v>
      </c>
      <c r="V225" s="252"/>
      <c r="W225" s="252"/>
      <c r="X225" s="252"/>
      <c r="Y225" s="127">
        <f>SUM(Y222:Y224)</f>
        <v>0</v>
      </c>
      <c r="Z225" s="127"/>
      <c r="AA225" s="252"/>
      <c r="AB225" s="127">
        <f>SUM(AB222:AB224)</f>
        <v>0</v>
      </c>
      <c r="AC225" s="127">
        <f>SUM(AC222:AC224)</f>
        <v>0</v>
      </c>
      <c r="AD225" s="127">
        <f>SUM(AD222:AD224)</f>
        <v>0</v>
      </c>
      <c r="AE225" s="127">
        <f>SUM(AE222:AE224)</f>
        <v>0</v>
      </c>
      <c r="AF225" s="127">
        <f>SUM(AF222:AF224)</f>
        <v>0</v>
      </c>
      <c r="AG225" s="252"/>
      <c r="AH225" s="252"/>
      <c r="AI225" s="252"/>
      <c r="AJ225" s="127">
        <f>SUM(AJ222:AJ224)</f>
        <v>0</v>
      </c>
      <c r="AK225" s="127">
        <f>SUM(AK222:AK224)</f>
        <v>0</v>
      </c>
      <c r="AL225" s="127">
        <f>SUM(AL222:AL224)</f>
        <v>0</v>
      </c>
      <c r="AM225" s="127">
        <f>SUM(AM222:AM224)</f>
        <v>0</v>
      </c>
      <c r="AN225" s="127">
        <f>SUM(AN222:AN224)</f>
        <v>0</v>
      </c>
      <c r="AO225" s="253"/>
      <c r="AP225" s="254"/>
      <c r="AQ225" s="175">
        <f>SUM(AQ222:AQ224)</f>
        <v>0</v>
      </c>
      <c r="AR225" s="175">
        <f>SUM(AR222:AR224)</f>
        <v>0</v>
      </c>
      <c r="AS225" s="175">
        <f>SUM(AS222:AS224)</f>
        <v>0</v>
      </c>
      <c r="AT225" s="175">
        <f>SUM(AT222:AT224)</f>
        <v>0</v>
      </c>
      <c r="AU225" s="175">
        <f t="shared" ref="AU225:BB225" si="152">SUM(AU222:AU224)</f>
        <v>0</v>
      </c>
      <c r="AV225" s="175">
        <f t="shared" si="152"/>
        <v>0</v>
      </c>
      <c r="AW225" s="175">
        <f t="shared" si="152"/>
        <v>0</v>
      </c>
      <c r="AX225" s="175">
        <f t="shared" si="152"/>
        <v>0</v>
      </c>
      <c r="AY225" s="175">
        <f t="shared" si="152"/>
        <v>0</v>
      </c>
      <c r="AZ225" s="175">
        <f t="shared" si="152"/>
        <v>0</v>
      </c>
      <c r="BA225" s="175">
        <f t="shared" si="152"/>
        <v>0</v>
      </c>
      <c r="BB225" s="175">
        <f t="shared" si="152"/>
        <v>0</v>
      </c>
      <c r="BC225" s="169"/>
      <c r="BD225" s="169"/>
      <c r="BE225" s="169"/>
      <c r="BF225" s="169"/>
    </row>
    <row r="226" spans="1:58" s="184" customFormat="1" ht="15.75" customHeight="1" x14ac:dyDescent="0.25">
      <c r="A226" s="143"/>
      <c r="B226" s="332"/>
      <c r="C226" s="397" t="s">
        <v>257</v>
      </c>
      <c r="D226" s="397"/>
      <c r="E226" s="398"/>
      <c r="F226" s="291"/>
      <c r="G226" s="340"/>
      <c r="H226" s="144" t="s">
        <v>301</v>
      </c>
      <c r="I226" s="257"/>
      <c r="J226" s="257"/>
      <c r="K226" s="257"/>
      <c r="L226" s="258">
        <f>SUM(L231)</f>
        <v>70644171.428571418</v>
      </c>
      <c r="M226" s="258">
        <f>SUM(M231)</f>
        <v>11797576.628571428</v>
      </c>
      <c r="N226" s="257"/>
      <c r="O226" s="257"/>
      <c r="P226" s="257"/>
      <c r="Q226" s="257"/>
      <c r="R226" s="258">
        <f>SUM(R231)</f>
        <v>0</v>
      </c>
      <c r="S226" s="258">
        <f>SUM(S231)</f>
        <v>0</v>
      </c>
      <c r="T226" s="258">
        <f>SUM(T231)</f>
        <v>0</v>
      </c>
      <c r="U226" s="258">
        <f>SUM(U231)</f>
        <v>0</v>
      </c>
      <c r="V226" s="257"/>
      <c r="W226" s="257"/>
      <c r="X226" s="257"/>
      <c r="Y226" s="258">
        <f>SUM(Y231)</f>
        <v>0</v>
      </c>
      <c r="Z226" s="258"/>
      <c r="AA226" s="258"/>
      <c r="AB226" s="258">
        <f>SUM(AB231)</f>
        <v>0</v>
      </c>
      <c r="AC226" s="258">
        <f>SUM(AC231)</f>
        <v>300000</v>
      </c>
      <c r="AD226" s="258">
        <f>SUM(AD231)</f>
        <v>0</v>
      </c>
      <c r="AE226" s="258">
        <f>SUM(AE231)</f>
        <v>60000</v>
      </c>
      <c r="AF226" s="258">
        <f>SUM(AF231)</f>
        <v>360000</v>
      </c>
      <c r="AG226" s="257"/>
      <c r="AH226" s="257"/>
      <c r="AI226" s="257"/>
      <c r="AJ226" s="258">
        <f>SUM(AJ231)</f>
        <v>0</v>
      </c>
      <c r="AK226" s="258">
        <f>SUM(AK231)</f>
        <v>0</v>
      </c>
      <c r="AL226" s="258">
        <f>SUM(AL231)</f>
        <v>0</v>
      </c>
      <c r="AM226" s="258">
        <f>SUM(AM231)</f>
        <v>0</v>
      </c>
      <c r="AN226" s="258">
        <f>SUM(AN231)</f>
        <v>0</v>
      </c>
      <c r="AO226" s="259"/>
      <c r="AP226" s="260"/>
      <c r="AQ226" s="261">
        <f>SUM(AQ231)</f>
        <v>82441748.057142854</v>
      </c>
      <c r="AR226" s="261">
        <f>SUM(AR231)</f>
        <v>360000</v>
      </c>
      <c r="AS226" s="261">
        <f>SUM(AS231)</f>
        <v>0</v>
      </c>
      <c r="AT226" s="261">
        <f>SUM(AT231)</f>
        <v>82801748.057142854</v>
      </c>
      <c r="AU226" s="261">
        <f t="shared" ref="AU226:BB226" si="153">SUM(AU231)</f>
        <v>82801748.057142854</v>
      </c>
      <c r="AV226" s="261">
        <f t="shared" si="153"/>
        <v>0</v>
      </c>
      <c r="AW226" s="261">
        <f t="shared" si="153"/>
        <v>0</v>
      </c>
      <c r="AX226" s="261">
        <f t="shared" si="153"/>
        <v>0</v>
      </c>
      <c r="AY226" s="261">
        <f t="shared" si="153"/>
        <v>0</v>
      </c>
      <c r="AZ226" s="261">
        <f t="shared" si="153"/>
        <v>0</v>
      </c>
      <c r="BA226" s="261">
        <f t="shared" si="153"/>
        <v>0</v>
      </c>
      <c r="BB226" s="261">
        <f t="shared" si="153"/>
        <v>0</v>
      </c>
    </row>
    <row r="227" spans="1:58" ht="46.9" customHeight="1" outlineLevel="2" x14ac:dyDescent="0.25">
      <c r="A227" s="115"/>
      <c r="B227" s="200"/>
      <c r="C227" s="201"/>
      <c r="D227" s="210"/>
      <c r="E227" s="328"/>
      <c r="F227" s="328"/>
      <c r="G227" s="328"/>
      <c r="H227" s="199" t="s">
        <v>517</v>
      </c>
      <c r="I227" s="130" t="s">
        <v>1</v>
      </c>
      <c r="J227" s="126">
        <v>12</v>
      </c>
      <c r="K227" s="126">
        <v>72</v>
      </c>
      <c r="L227" s="125">
        <f>IF(I227&lt;&gt;0,((VLOOKUP(I227,'1. Standard_Cost'!$B$4:$D$11,2)+VLOOKUP(I227,'1. Standard_Cost'!$B$4:$D$11,3))*J227*K227),"0")</f>
        <v>62029028.571428567</v>
      </c>
      <c r="M227" s="125">
        <f>L227*'1. Standard_Cost'!$F$4</f>
        <v>10358847.771428572</v>
      </c>
      <c r="N227" s="126"/>
      <c r="O227" s="126"/>
      <c r="P227" s="126"/>
      <c r="Q227" s="126"/>
      <c r="R227" s="127">
        <f>'1. Standard_Cost'!$B$15*N227*P227</f>
        <v>0</v>
      </c>
      <c r="S227" s="127">
        <f>N227*O227*P227*'1. Standard_Cost'!$C$15</f>
        <v>0</v>
      </c>
      <c r="T227" s="127">
        <f>N227*P227*Q227*'1. Standard_Cost'!$D$15</f>
        <v>0</v>
      </c>
      <c r="U227" s="127">
        <f>N227*O227*'1. Standard_Cost'!$E$15</f>
        <v>0</v>
      </c>
      <c r="V227" s="126"/>
      <c r="W227" s="126"/>
      <c r="X227" s="126"/>
      <c r="Y227" s="127">
        <f>+V227*((X227*'1. Standard_Cost'!$B$19)+(W227*X227*'1. Standard_Cost'!$C$19))</f>
        <v>0</v>
      </c>
      <c r="Z227" s="126"/>
      <c r="AA227" s="126"/>
      <c r="AB227" s="127">
        <f>+Z227*'1. Standard_Cost'!$B$23+AA227*'1. Standard_Cost'!$C$23</f>
        <v>0</v>
      </c>
      <c r="AC227" s="128"/>
      <c r="AD227" s="129"/>
      <c r="AE227" s="127">
        <f>SUM(AD227,AC227,AB227,Y227,U227,T227,S227,R227)*'1. Standard_Cost'!$B$31</f>
        <v>0</v>
      </c>
      <c r="AF227" s="127">
        <f>SUM(AE227,AD227,AC227,AB227,Y227,U227,T227,S227,R227)</f>
        <v>0</v>
      </c>
      <c r="AG227" s="126"/>
      <c r="AH227" s="126"/>
      <c r="AI227" s="126"/>
      <c r="AJ227" s="130"/>
      <c r="AK227" s="130"/>
      <c r="AL227" s="130"/>
      <c r="AM227" s="127">
        <f>AG227*'1. Standard_Cost'!$B$27+'Incremental_Cost Year 9'!AH227*'1. Standard_Cost'!$C$27+'Incremental_Cost Year 9'!AI227*'1. Standard_Cost'!$D$27+'Incremental_Cost Year 9'!AJ227+'Incremental_Cost Year 9'!AL227+AK227</f>
        <v>0</v>
      </c>
      <c r="AN227" s="127">
        <f>AM227*'1. Standard_Cost'!$C$31</f>
        <v>0</v>
      </c>
      <c r="AO227" s="130"/>
      <c r="AQ227" s="171">
        <f>L227+M227</f>
        <v>72387876.342857137</v>
      </c>
      <c r="AR227" s="171">
        <f>AF227</f>
        <v>0</v>
      </c>
      <c r="AS227" s="171">
        <f>AM227+AN227</f>
        <v>0</v>
      </c>
      <c r="AT227" s="171">
        <f>SUM(AQ227,AR227,AS227)</f>
        <v>72387876.342857137</v>
      </c>
      <c r="AU227" s="250">
        <f>AT227</f>
        <v>72387876.342857137</v>
      </c>
      <c r="AV227" s="250"/>
      <c r="AW227" s="250"/>
      <c r="AX227" s="250"/>
      <c r="AY227" s="250"/>
      <c r="AZ227" s="250"/>
      <c r="BA227" s="250"/>
      <c r="BB227" s="251">
        <f t="shared" ref="BB227:BB230" si="154">SUM(AU227:BA227)-AT227</f>
        <v>0</v>
      </c>
      <c r="BC227" s="169"/>
      <c r="BD227" s="169"/>
      <c r="BE227" s="169"/>
      <c r="BF227" s="169"/>
    </row>
    <row r="228" spans="1:58" ht="94.5" outlineLevel="2" x14ac:dyDescent="0.25">
      <c r="A228" s="115"/>
      <c r="B228" s="200"/>
      <c r="C228" s="201"/>
      <c r="D228" s="203"/>
      <c r="E228" s="328"/>
      <c r="F228" s="328"/>
      <c r="G228" s="328"/>
      <c r="H228" s="199" t="s">
        <v>518</v>
      </c>
      <c r="I228" s="130" t="s">
        <v>1</v>
      </c>
      <c r="J228" s="126">
        <v>12</v>
      </c>
      <c r="K228" s="126">
        <v>10</v>
      </c>
      <c r="L228" s="125">
        <f>IF(I228&lt;&gt;0,((VLOOKUP(I228,'1. Standard_Cost'!$B$4:$D$11,2)+VLOOKUP(I228,'1. Standard_Cost'!$B$4:$D$11,3))*J228*K228),"0")</f>
        <v>8615142.8571428563</v>
      </c>
      <c r="M228" s="125">
        <f>L228*'1. Standard_Cost'!$F$4</f>
        <v>1438728.857142857</v>
      </c>
      <c r="N228" s="126"/>
      <c r="O228" s="126"/>
      <c r="P228" s="126"/>
      <c r="Q228" s="126"/>
      <c r="R228" s="127">
        <f>'1. Standard_Cost'!$B$15*N228*P228</f>
        <v>0</v>
      </c>
      <c r="S228" s="127">
        <f>N228*O228*P228*'1. Standard_Cost'!$C$15</f>
        <v>0</v>
      </c>
      <c r="T228" s="127">
        <f>N228*P228*Q228*'1. Standard_Cost'!$D$15</f>
        <v>0</v>
      </c>
      <c r="U228" s="127">
        <f>N228*O228*'1. Standard_Cost'!$E$15</f>
        <v>0</v>
      </c>
      <c r="V228" s="126"/>
      <c r="W228" s="126"/>
      <c r="X228" s="126"/>
      <c r="Y228" s="127">
        <f>+V228*((X228*'1. Standard_Cost'!$B$19)+(W228*X228*'1. Standard_Cost'!$C$19))</f>
        <v>0</v>
      </c>
      <c r="Z228" s="126"/>
      <c r="AA228" s="126"/>
      <c r="AB228" s="127">
        <f>+Z228*'1. Standard_Cost'!$B$23+AA228*'1. Standard_Cost'!$C$23</f>
        <v>0</v>
      </c>
      <c r="AC228" s="128">
        <f>300000</f>
        <v>300000</v>
      </c>
      <c r="AD228" s="129"/>
      <c r="AE228" s="127">
        <f>SUM(AD228,AC228,AB228,Y228,U228,T228,S228,R228)*'1. Standard_Cost'!$B$31</f>
        <v>60000</v>
      </c>
      <c r="AF228" s="127">
        <f>SUM(AE228,AD228,AC228,AB228,Y228,U228,T228,S228,R228)</f>
        <v>360000</v>
      </c>
      <c r="AG228" s="126"/>
      <c r="AH228" s="126"/>
      <c r="AI228" s="126"/>
      <c r="AJ228" s="130"/>
      <c r="AK228" s="130"/>
      <c r="AL228" s="130"/>
      <c r="AM228" s="127">
        <f>AG228*'1. Standard_Cost'!$B$27+'Incremental_Cost Year 9'!AH228*'1. Standard_Cost'!$C$27+'Incremental_Cost Year 9'!AI228*'1. Standard_Cost'!$D$27+'Incremental_Cost Year 9'!AJ228+'Incremental_Cost Year 9'!AL228+AK228</f>
        <v>0</v>
      </c>
      <c r="AN228" s="127">
        <f>AM228*'1. Standard_Cost'!$C$31</f>
        <v>0</v>
      </c>
      <c r="AO228" s="130"/>
      <c r="AQ228" s="171">
        <f>L228+M228</f>
        <v>10053871.714285713</v>
      </c>
      <c r="AR228" s="171">
        <f>AF228</f>
        <v>360000</v>
      </c>
      <c r="AS228" s="171">
        <f>AM228+AN228</f>
        <v>0</v>
      </c>
      <c r="AT228" s="171">
        <f>SUM(AQ228,AR228,AS228)</f>
        <v>10413871.714285713</v>
      </c>
      <c r="AU228" s="250">
        <f>AT228</f>
        <v>10413871.714285713</v>
      </c>
      <c r="AV228" s="250"/>
      <c r="AW228" s="250"/>
      <c r="AX228" s="250"/>
      <c r="AY228" s="250"/>
      <c r="AZ228" s="250"/>
      <c r="BA228" s="250"/>
      <c r="BB228" s="251">
        <f t="shared" si="154"/>
        <v>0</v>
      </c>
      <c r="BC228" s="169"/>
      <c r="BD228" s="169"/>
      <c r="BE228" s="169"/>
      <c r="BF228" s="169"/>
    </row>
    <row r="229" spans="1:58" ht="110.25" outlineLevel="2" x14ac:dyDescent="0.25">
      <c r="A229" s="115"/>
      <c r="B229" s="200"/>
      <c r="C229" s="201"/>
      <c r="D229" s="203"/>
      <c r="E229" s="328"/>
      <c r="F229" s="328"/>
      <c r="G229" s="328"/>
      <c r="H229" s="199" t="s">
        <v>519</v>
      </c>
      <c r="I229" s="130"/>
      <c r="J229" s="126"/>
      <c r="K229" s="126"/>
      <c r="L229" s="125" t="str">
        <f>IF(I229&lt;&gt;0,((VLOOKUP(I229,'1. Standard_Cost'!$B$4:$D$11,2)+VLOOKUP(I229,'1. Standard_Cost'!$B$4:$D$11,3))*J229*K229),"0")</f>
        <v>0</v>
      </c>
      <c r="M229" s="125">
        <f>L229*'1. Standard_Cost'!$F$4</f>
        <v>0</v>
      </c>
      <c r="N229" s="126"/>
      <c r="O229" s="126"/>
      <c r="P229" s="126"/>
      <c r="Q229" s="126"/>
      <c r="R229" s="127">
        <f>'1. Standard_Cost'!$B$15*N229*P229</f>
        <v>0</v>
      </c>
      <c r="S229" s="127">
        <f>N229*O229*P229*'1. Standard_Cost'!$C$15</f>
        <v>0</v>
      </c>
      <c r="T229" s="127">
        <f>N229*P229*Q229*'1. Standard_Cost'!$D$15</f>
        <v>0</v>
      </c>
      <c r="U229" s="127">
        <f>N229*O229*'1. Standard_Cost'!$E$15</f>
        <v>0</v>
      </c>
      <c r="V229" s="126"/>
      <c r="W229" s="126"/>
      <c r="X229" s="126"/>
      <c r="Y229" s="127">
        <f>+V229*((X229*'1. Standard_Cost'!$B$19)+(W229*X229*'1. Standard_Cost'!$C$19))</f>
        <v>0</v>
      </c>
      <c r="Z229" s="126"/>
      <c r="AA229" s="126"/>
      <c r="AB229" s="127">
        <f>+Z229*'1. Standard_Cost'!$B$23+AA229*'1. Standard_Cost'!$C$23</f>
        <v>0</v>
      </c>
      <c r="AC229" s="128"/>
      <c r="AD229" s="129"/>
      <c r="AE229" s="127">
        <f>SUM(AD229,AC229,AB229,Y229,U229,T229,S229,R229)*'1. Standard_Cost'!$B$31</f>
        <v>0</v>
      </c>
      <c r="AF229" s="127">
        <f>SUM(AE229,AD229,AC229,AB229,Y229,U229,T229,S229,R229)</f>
        <v>0</v>
      </c>
      <c r="AG229" s="126"/>
      <c r="AH229" s="126"/>
      <c r="AI229" s="126"/>
      <c r="AJ229" s="130"/>
      <c r="AK229" s="130"/>
      <c r="AL229" s="130"/>
      <c r="AM229" s="127">
        <f>AG229*'1. Standard_Cost'!$B$27+'Incremental_Cost Year 9'!AH229*'1. Standard_Cost'!$C$27+'Incremental_Cost Year 9'!AI229*'1. Standard_Cost'!$D$27+'Incremental_Cost Year 9'!AJ229+'Incremental_Cost Year 9'!AL229+AK229</f>
        <v>0</v>
      </c>
      <c r="AN229" s="127">
        <f>AM229*'1. Standard_Cost'!$C$31</f>
        <v>0</v>
      </c>
      <c r="AO229" s="130"/>
      <c r="AQ229" s="171">
        <f>L229+M229</f>
        <v>0</v>
      </c>
      <c r="AR229" s="171">
        <f>AF229</f>
        <v>0</v>
      </c>
      <c r="AS229" s="171">
        <f>AM229+AN229</f>
        <v>0</v>
      </c>
      <c r="AT229" s="171">
        <f>SUM(AQ229,AR229,AS229)</f>
        <v>0</v>
      </c>
      <c r="AU229" s="250">
        <f>AQ229</f>
        <v>0</v>
      </c>
      <c r="AV229" s="250"/>
      <c r="AW229" s="250"/>
      <c r="AX229" s="250"/>
      <c r="AY229" s="250"/>
      <c r="AZ229" s="250"/>
      <c r="BA229" s="250"/>
      <c r="BB229" s="251">
        <f t="shared" si="154"/>
        <v>0</v>
      </c>
      <c r="BC229" s="169"/>
      <c r="BD229" s="169"/>
      <c r="BE229" s="169"/>
      <c r="BF229" s="169"/>
    </row>
    <row r="230" spans="1:58" ht="110.25" outlineLevel="2" x14ac:dyDescent="0.25">
      <c r="A230" s="115"/>
      <c r="B230" s="200"/>
      <c r="C230" s="201"/>
      <c r="D230" s="133"/>
      <c r="E230" s="328"/>
      <c r="F230" s="328"/>
      <c r="G230" s="328"/>
      <c r="H230" s="199" t="s">
        <v>520</v>
      </c>
      <c r="I230" s="130"/>
      <c r="J230" s="126"/>
      <c r="K230" s="126"/>
      <c r="L230" s="125" t="str">
        <f>IF(I230&lt;&gt;0,((VLOOKUP(I230,'1. Standard_Cost'!$B$4:$D$11,2)+VLOOKUP(I230,'1. Standard_Cost'!$B$4:$D$11,3))*J230*K230),"0")</f>
        <v>0</v>
      </c>
      <c r="M230" s="125">
        <f>L230*'1. Standard_Cost'!$F$4</f>
        <v>0</v>
      </c>
      <c r="N230" s="126"/>
      <c r="O230" s="126"/>
      <c r="P230" s="126"/>
      <c r="Q230" s="126"/>
      <c r="R230" s="127">
        <f>'1. Standard_Cost'!$B$15*N230*P230</f>
        <v>0</v>
      </c>
      <c r="S230" s="127">
        <f>N230*O230*P230*'1. Standard_Cost'!$C$15</f>
        <v>0</v>
      </c>
      <c r="T230" s="127">
        <f>N230*P230*Q230*'1. Standard_Cost'!$D$15</f>
        <v>0</v>
      </c>
      <c r="U230" s="127">
        <f>N230*O230*'1. Standard_Cost'!$E$15</f>
        <v>0</v>
      </c>
      <c r="V230" s="126"/>
      <c r="W230" s="126"/>
      <c r="X230" s="126"/>
      <c r="Y230" s="127">
        <f>+V230*((X230*'1. Standard_Cost'!$B$19)+(W230*X230*'1. Standard_Cost'!$C$19))</f>
        <v>0</v>
      </c>
      <c r="Z230" s="126"/>
      <c r="AA230" s="126"/>
      <c r="AB230" s="127">
        <f>+Z230*'1. Standard_Cost'!$B$23+AA230*'1. Standard_Cost'!$C$23</f>
        <v>0</v>
      </c>
      <c r="AC230" s="128"/>
      <c r="AD230" s="129"/>
      <c r="AE230" s="127">
        <f>SUM(AD230,AC230,AB230,Y230,U230,T230,S230,R230)*'1. Standard_Cost'!$B$31</f>
        <v>0</v>
      </c>
      <c r="AF230" s="127">
        <f>SUM(AE230,AD230,AC230,AB230,Y230,U230,T230,S230,R230)</f>
        <v>0</v>
      </c>
      <c r="AG230" s="126"/>
      <c r="AH230" s="126"/>
      <c r="AI230" s="126"/>
      <c r="AJ230" s="130"/>
      <c r="AK230" s="130"/>
      <c r="AL230" s="130"/>
      <c r="AM230" s="127">
        <f>AG230*'1. Standard_Cost'!$B$27+'Incremental_Cost Year 9'!AH230*'1. Standard_Cost'!$C$27+'Incremental_Cost Year 9'!AI230*'1. Standard_Cost'!$D$27+'Incremental_Cost Year 9'!AJ230+'Incremental_Cost Year 9'!AL230+AK230</f>
        <v>0</v>
      </c>
      <c r="AN230" s="127">
        <f>AM230*'1. Standard_Cost'!$C$31</f>
        <v>0</v>
      </c>
      <c r="AO230" s="130"/>
      <c r="AQ230" s="171">
        <f>L230+M230</f>
        <v>0</v>
      </c>
      <c r="AR230" s="171">
        <f>AF230</f>
        <v>0</v>
      </c>
      <c r="AS230" s="171">
        <f>AM230+AN230</f>
        <v>0</v>
      </c>
      <c r="AT230" s="171">
        <f>SUM(AQ230,AR230,AS230)</f>
        <v>0</v>
      </c>
      <c r="AU230" s="250">
        <f>AQ230</f>
        <v>0</v>
      </c>
      <c r="AV230" s="250"/>
      <c r="AW230" s="250"/>
      <c r="AX230" s="250"/>
      <c r="AY230" s="250"/>
      <c r="AZ230" s="250"/>
      <c r="BA230" s="250"/>
      <c r="BB230" s="251">
        <f t="shared" si="154"/>
        <v>0</v>
      </c>
      <c r="BC230" s="169"/>
      <c r="BD230" s="169"/>
      <c r="BE230" s="169"/>
      <c r="BF230" s="169"/>
    </row>
    <row r="231" spans="1:58" ht="63" outlineLevel="1" x14ac:dyDescent="0.25">
      <c r="A231" s="115"/>
      <c r="B231" s="165"/>
      <c r="C231" s="166"/>
      <c r="D231" s="107" t="s">
        <v>507</v>
      </c>
      <c r="E231" s="212" t="s">
        <v>259</v>
      </c>
      <c r="F231" s="142">
        <v>2021</v>
      </c>
      <c r="G231" s="209">
        <v>2025</v>
      </c>
      <c r="H231" s="150" t="s">
        <v>260</v>
      </c>
      <c r="I231" s="252"/>
      <c r="J231" s="252"/>
      <c r="K231" s="252"/>
      <c r="L231" s="127">
        <f>SUM(L227:L230)</f>
        <v>70644171.428571418</v>
      </c>
      <c r="M231" s="127">
        <f>SUM(M227:M230)</f>
        <v>11797576.628571428</v>
      </c>
      <c r="N231" s="252"/>
      <c r="O231" s="252"/>
      <c r="P231" s="252"/>
      <c r="Q231" s="252"/>
      <c r="R231" s="127">
        <f>SUM(R227:R230)</f>
        <v>0</v>
      </c>
      <c r="S231" s="127">
        <f>SUM(S227:S230)</f>
        <v>0</v>
      </c>
      <c r="T231" s="127">
        <f>SUM(T227:T230)</f>
        <v>0</v>
      </c>
      <c r="U231" s="127">
        <f>SUM(U227:U230)</f>
        <v>0</v>
      </c>
      <c r="V231" s="252"/>
      <c r="W231" s="252"/>
      <c r="X231" s="252"/>
      <c r="Y231" s="127">
        <f>SUM(Y227:Y230)</f>
        <v>0</v>
      </c>
      <c r="Z231" s="127"/>
      <c r="AA231" s="252"/>
      <c r="AB231" s="127">
        <f>SUM(AB227:AB230)</f>
        <v>0</v>
      </c>
      <c r="AC231" s="127">
        <f>SUM(AC227:AC230)</f>
        <v>300000</v>
      </c>
      <c r="AD231" s="127">
        <f>SUM(AD227:AD230)</f>
        <v>0</v>
      </c>
      <c r="AE231" s="127">
        <f>SUM(AE227:AE230)</f>
        <v>60000</v>
      </c>
      <c r="AF231" s="127">
        <f>SUM(AF227:AF230)</f>
        <v>360000</v>
      </c>
      <c r="AG231" s="252"/>
      <c r="AH231" s="252"/>
      <c r="AI231" s="252"/>
      <c r="AJ231" s="127">
        <f>SUM(AJ227:AJ230)</f>
        <v>0</v>
      </c>
      <c r="AK231" s="127">
        <f>SUM(AK227:AK230)</f>
        <v>0</v>
      </c>
      <c r="AL231" s="127">
        <f>SUM(AL227:AL230)</f>
        <v>0</v>
      </c>
      <c r="AM231" s="127">
        <f>SUM(AM227:AM230)</f>
        <v>0</v>
      </c>
      <c r="AN231" s="127">
        <f>SUM(AN227:AN230)</f>
        <v>0</v>
      </c>
      <c r="AO231" s="253"/>
      <c r="AP231" s="254"/>
      <c r="AQ231" s="175">
        <f>SUM(AQ227:AQ230)</f>
        <v>82441748.057142854</v>
      </c>
      <c r="AR231" s="175">
        <f>SUM(AR227:AR230)</f>
        <v>360000</v>
      </c>
      <c r="AS231" s="175">
        <f>SUM(AS227:AS230)</f>
        <v>0</v>
      </c>
      <c r="AT231" s="175">
        <f>SUM(AT227:AT230)</f>
        <v>82801748.057142854</v>
      </c>
      <c r="AU231" s="175">
        <f t="shared" ref="AU231:BB231" si="155">SUM(AU227:AU230)</f>
        <v>82801748.057142854</v>
      </c>
      <c r="AV231" s="175">
        <f t="shared" si="155"/>
        <v>0</v>
      </c>
      <c r="AW231" s="175">
        <f t="shared" si="155"/>
        <v>0</v>
      </c>
      <c r="AX231" s="175">
        <f t="shared" si="155"/>
        <v>0</v>
      </c>
      <c r="AY231" s="175">
        <f t="shared" si="155"/>
        <v>0</v>
      </c>
      <c r="AZ231" s="175">
        <f t="shared" si="155"/>
        <v>0</v>
      </c>
      <c r="BA231" s="175">
        <f t="shared" si="155"/>
        <v>0</v>
      </c>
      <c r="BB231" s="175">
        <f t="shared" si="155"/>
        <v>0</v>
      </c>
      <c r="BC231" s="169"/>
      <c r="BD231" s="169"/>
      <c r="BE231" s="169"/>
      <c r="BF231" s="169"/>
    </row>
    <row r="232" spans="1:58" s="184" customFormat="1" ht="15.75" customHeight="1" x14ac:dyDescent="0.25">
      <c r="A232" s="143"/>
      <c r="B232" s="332"/>
      <c r="C232" s="397" t="s">
        <v>261</v>
      </c>
      <c r="D232" s="397"/>
      <c r="E232" s="398"/>
      <c r="F232" s="291"/>
      <c r="G232" s="340"/>
      <c r="H232" s="144" t="s">
        <v>302</v>
      </c>
      <c r="I232" s="257"/>
      <c r="J232" s="257"/>
      <c r="K232" s="257"/>
      <c r="L232" s="258">
        <f>SUM(L237)</f>
        <v>0</v>
      </c>
      <c r="M232" s="258">
        <f>SUM(M237)</f>
        <v>0</v>
      </c>
      <c r="N232" s="257"/>
      <c r="O232" s="257"/>
      <c r="P232" s="257"/>
      <c r="Q232" s="257"/>
      <c r="R232" s="258">
        <f>SUM(R237)</f>
        <v>0</v>
      </c>
      <c r="S232" s="258">
        <f>SUM(S237)</f>
        <v>0</v>
      </c>
      <c r="T232" s="258">
        <f>SUM(T237)</f>
        <v>0</v>
      </c>
      <c r="U232" s="258">
        <f>SUM(U237)</f>
        <v>0</v>
      </c>
      <c r="V232" s="257"/>
      <c r="W232" s="257"/>
      <c r="X232" s="257"/>
      <c r="Y232" s="258">
        <f>SUM(Y237)</f>
        <v>0</v>
      </c>
      <c r="Z232" s="258"/>
      <c r="AA232" s="258"/>
      <c r="AB232" s="258">
        <f>SUM(AB237)</f>
        <v>0</v>
      </c>
      <c r="AC232" s="258">
        <f>SUM(AC237)</f>
        <v>0</v>
      </c>
      <c r="AD232" s="258">
        <f>SUM(AD237)</f>
        <v>0</v>
      </c>
      <c r="AE232" s="258">
        <f>SUM(AE237)</f>
        <v>0</v>
      </c>
      <c r="AF232" s="258">
        <f>SUM(AF237)</f>
        <v>0</v>
      </c>
      <c r="AG232" s="257"/>
      <c r="AH232" s="257"/>
      <c r="AI232" s="257"/>
      <c r="AJ232" s="258">
        <f>SUM(AJ237)</f>
        <v>0</v>
      </c>
      <c r="AK232" s="258">
        <f>SUM(AK237)</f>
        <v>0</v>
      </c>
      <c r="AL232" s="258">
        <f>SUM(AL237)</f>
        <v>0</v>
      </c>
      <c r="AM232" s="258">
        <f>SUM(AM237)</f>
        <v>0</v>
      </c>
      <c r="AN232" s="258">
        <f>SUM(AN237)</f>
        <v>0</v>
      </c>
      <c r="AO232" s="259"/>
      <c r="AP232" s="260"/>
      <c r="AQ232" s="261">
        <f>SUM(AQ237)</f>
        <v>0</v>
      </c>
      <c r="AR232" s="261">
        <f>SUM(AR237)</f>
        <v>0</v>
      </c>
      <c r="AS232" s="261">
        <f>SUM(AS237)</f>
        <v>0</v>
      </c>
      <c r="AT232" s="261">
        <f>SUM(AT237)</f>
        <v>0</v>
      </c>
      <c r="AU232" s="261">
        <f t="shared" ref="AU232:BB232" si="156">SUM(AU237)</f>
        <v>0</v>
      </c>
      <c r="AV232" s="261">
        <f t="shared" si="156"/>
        <v>0</v>
      </c>
      <c r="AW232" s="261">
        <f t="shared" si="156"/>
        <v>0</v>
      </c>
      <c r="AX232" s="261">
        <f t="shared" si="156"/>
        <v>0</v>
      </c>
      <c r="AY232" s="261">
        <f t="shared" si="156"/>
        <v>0</v>
      </c>
      <c r="AZ232" s="261">
        <f t="shared" si="156"/>
        <v>0</v>
      </c>
      <c r="BA232" s="261">
        <f t="shared" si="156"/>
        <v>0</v>
      </c>
      <c r="BB232" s="261">
        <f t="shared" si="156"/>
        <v>0</v>
      </c>
    </row>
    <row r="233" spans="1:58" ht="94.5" outlineLevel="2" x14ac:dyDescent="0.25">
      <c r="A233" s="115"/>
      <c r="B233" s="200"/>
      <c r="C233" s="201"/>
      <c r="D233" s="342"/>
      <c r="E233" s="328"/>
      <c r="F233" s="328"/>
      <c r="G233" s="328"/>
      <c r="H233" s="213" t="s">
        <v>521</v>
      </c>
      <c r="I233" s="130"/>
      <c r="J233" s="126"/>
      <c r="K233" s="126"/>
      <c r="L233" s="125" t="str">
        <f>IF(I233&lt;&gt;0,((VLOOKUP(I233,'1. Standard_Cost'!$B$4:$D$11,2)+VLOOKUP(I233,'1. Standard_Cost'!$B$4:$D$11,3))*J233*K233),"0")</f>
        <v>0</v>
      </c>
      <c r="M233" s="125">
        <f>L233*'1. Standard_Cost'!$F$4</f>
        <v>0</v>
      </c>
      <c r="N233" s="126"/>
      <c r="O233" s="126"/>
      <c r="P233" s="126"/>
      <c r="Q233" s="126"/>
      <c r="R233" s="127">
        <f>'1. Standard_Cost'!$B$15*N233*P233</f>
        <v>0</v>
      </c>
      <c r="S233" s="127">
        <f>N233*O233*P233*'1. Standard_Cost'!$C$15</f>
        <v>0</v>
      </c>
      <c r="T233" s="127">
        <f>N233*P233*Q233*'1. Standard_Cost'!$D$15</f>
        <v>0</v>
      </c>
      <c r="U233" s="127">
        <f>N233*O233*'1. Standard_Cost'!$E$15</f>
        <v>0</v>
      </c>
      <c r="V233" s="126"/>
      <c r="W233" s="126"/>
      <c r="X233" s="126"/>
      <c r="Y233" s="127">
        <f>+V233*((X233*'1. Standard_Cost'!$B$19)+(W233*X233*'1. Standard_Cost'!$C$19))</f>
        <v>0</v>
      </c>
      <c r="Z233" s="126"/>
      <c r="AA233" s="126"/>
      <c r="AB233" s="127">
        <f>+Z233*'1. Standard_Cost'!$B$23+AA233*'1. Standard_Cost'!$C$23</f>
        <v>0</v>
      </c>
      <c r="AC233" s="128"/>
      <c r="AD233" s="129"/>
      <c r="AE233" s="127">
        <f>SUM(AD233,AC233,AB233,Y233,U233,T233,S233,R233)*'1. Standard_Cost'!$B$31</f>
        <v>0</v>
      </c>
      <c r="AF233" s="127">
        <f>SUM(AE233,AD233,AC233,AB233,Y233,U233,T233,S233,R233)</f>
        <v>0</v>
      </c>
      <c r="AG233" s="126"/>
      <c r="AH233" s="126"/>
      <c r="AI233" s="126"/>
      <c r="AJ233" s="130"/>
      <c r="AK233" s="130"/>
      <c r="AL233" s="130"/>
      <c r="AM233" s="127">
        <f>AG233*'1. Standard_Cost'!$B$27+'Incremental_Cost Year 9'!AH233*'1. Standard_Cost'!$C$27+'Incremental_Cost Year 9'!AI233*'1. Standard_Cost'!$D$27+'Incremental_Cost Year 9'!AJ233+'Incremental_Cost Year 9'!AL233+AK233</f>
        <v>0</v>
      </c>
      <c r="AN233" s="127">
        <f>AM233*'1. Standard_Cost'!$C$31</f>
        <v>0</v>
      </c>
      <c r="AO233" s="130"/>
      <c r="AQ233" s="171">
        <f>L233+M233</f>
        <v>0</v>
      </c>
      <c r="AR233" s="171">
        <f>AF233</f>
        <v>0</v>
      </c>
      <c r="AS233" s="171">
        <f>AM233+AN233</f>
        <v>0</v>
      </c>
      <c r="AT233" s="171">
        <f>SUM(AQ233,AR233,AS233)</f>
        <v>0</v>
      </c>
      <c r="AU233" s="250">
        <f>AT233</f>
        <v>0</v>
      </c>
      <c r="AV233" s="250"/>
      <c r="AW233" s="250"/>
      <c r="AX233" s="250"/>
      <c r="AY233" s="250"/>
      <c r="AZ233" s="250"/>
      <c r="BA233" s="250"/>
      <c r="BB233" s="251">
        <f t="shared" ref="BB233:BB236" si="157">SUM(AU233:BA233)-AT233</f>
        <v>0</v>
      </c>
      <c r="BC233" s="169"/>
      <c r="BD233" s="169"/>
      <c r="BE233" s="169"/>
      <c r="BF233" s="169"/>
    </row>
    <row r="234" spans="1:58" ht="110.25" outlineLevel="2" x14ac:dyDescent="0.25">
      <c r="A234" s="115"/>
      <c r="B234" s="200"/>
      <c r="C234" s="201"/>
      <c r="D234" s="343"/>
      <c r="E234" s="328"/>
      <c r="F234" s="328"/>
      <c r="G234" s="328"/>
      <c r="H234" s="199" t="s">
        <v>522</v>
      </c>
      <c r="I234" s="130"/>
      <c r="J234" s="126"/>
      <c r="K234" s="126"/>
      <c r="L234" s="125" t="str">
        <f>IF(I234&lt;&gt;0,((VLOOKUP(I234,'1. Standard_Cost'!$B$4:$D$11,2)+VLOOKUP(I234,'1. Standard_Cost'!$B$4:$D$11,3))*J234*K234),"0")</f>
        <v>0</v>
      </c>
      <c r="M234" s="125">
        <f>L234*'1. Standard_Cost'!$F$4</f>
        <v>0</v>
      </c>
      <c r="N234" s="126"/>
      <c r="O234" s="126"/>
      <c r="P234" s="126"/>
      <c r="Q234" s="126"/>
      <c r="R234" s="127">
        <f>'1. Standard_Cost'!$B$15*N234*P234</f>
        <v>0</v>
      </c>
      <c r="S234" s="127">
        <f>N234*O234*P234*'1. Standard_Cost'!$C$15</f>
        <v>0</v>
      </c>
      <c r="T234" s="127">
        <f>N234*P234*Q234*'1. Standard_Cost'!$D$15</f>
        <v>0</v>
      </c>
      <c r="U234" s="127">
        <f>N234*O234*'1. Standard_Cost'!$E$15</f>
        <v>0</v>
      </c>
      <c r="V234" s="126"/>
      <c r="W234" s="126"/>
      <c r="X234" s="126"/>
      <c r="Y234" s="127">
        <f>+V234*((X234*'1. Standard_Cost'!$B$19)+(W234*X234*'1. Standard_Cost'!$C$19))</f>
        <v>0</v>
      </c>
      <c r="Z234" s="126"/>
      <c r="AA234" s="126"/>
      <c r="AB234" s="127">
        <f>+Z234*'1. Standard_Cost'!$B$23+AA234*'1. Standard_Cost'!$C$23</f>
        <v>0</v>
      </c>
      <c r="AC234" s="128"/>
      <c r="AD234" s="129"/>
      <c r="AE234" s="127"/>
      <c r="AF234" s="127">
        <f>SUM(AE234,AD234,AC234,AB234,Y234,U234,T234,S234,R234)</f>
        <v>0</v>
      </c>
      <c r="AG234" s="126"/>
      <c r="AH234" s="126"/>
      <c r="AI234" s="126"/>
      <c r="AJ234" s="130"/>
      <c r="AK234" s="130"/>
      <c r="AL234" s="130"/>
      <c r="AM234" s="127">
        <f>AG234*'1. Standard_Cost'!$B$27+'Incremental_Cost Year 9'!AH234*'1. Standard_Cost'!$C$27+'Incremental_Cost Year 9'!AI234*'1. Standard_Cost'!$D$27+'Incremental_Cost Year 9'!AJ234+'Incremental_Cost Year 9'!AL234+AK234</f>
        <v>0</v>
      </c>
      <c r="AN234" s="127">
        <f>AM234*'1. Standard_Cost'!$C$31</f>
        <v>0</v>
      </c>
      <c r="AO234" s="130"/>
      <c r="AQ234" s="171">
        <f>L234+M234</f>
        <v>0</v>
      </c>
      <c r="AR234" s="171">
        <f>AF234</f>
        <v>0</v>
      </c>
      <c r="AS234" s="171">
        <f>AM234+AN234</f>
        <v>0</v>
      </c>
      <c r="AT234" s="171">
        <f>SUM(AQ234,AR234,AS234)</f>
        <v>0</v>
      </c>
      <c r="AU234" s="250">
        <f>AT234</f>
        <v>0</v>
      </c>
      <c r="AV234" s="250"/>
      <c r="AW234" s="250"/>
      <c r="AX234" s="250"/>
      <c r="AY234" s="250"/>
      <c r="AZ234" s="250"/>
      <c r="BA234" s="250"/>
      <c r="BB234" s="251">
        <f t="shared" si="157"/>
        <v>0</v>
      </c>
      <c r="BC234" s="169"/>
      <c r="BD234" s="169"/>
      <c r="BE234" s="169"/>
      <c r="BF234" s="169"/>
    </row>
    <row r="235" spans="1:58" ht="110.25" outlineLevel="2" x14ac:dyDescent="0.25">
      <c r="A235" s="115"/>
      <c r="B235" s="200"/>
      <c r="C235" s="201"/>
      <c r="D235" s="343"/>
      <c r="E235" s="328"/>
      <c r="F235" s="328"/>
      <c r="G235" s="328"/>
      <c r="H235" s="199" t="s">
        <v>523</v>
      </c>
      <c r="I235" s="130"/>
      <c r="J235" s="126"/>
      <c r="K235" s="126"/>
      <c r="L235" s="125" t="str">
        <f>IF(I235&lt;&gt;0,((VLOOKUP(I235,'1. Standard_Cost'!$B$4:$D$11,2)+VLOOKUP(I235,'1. Standard_Cost'!$B$4:$D$11,3))*J235*K235),"0")</f>
        <v>0</v>
      </c>
      <c r="M235" s="125">
        <f>L235*'1. Standard_Cost'!$F$4</f>
        <v>0</v>
      </c>
      <c r="N235" s="126"/>
      <c r="O235" s="126"/>
      <c r="P235" s="126"/>
      <c r="Q235" s="126"/>
      <c r="R235" s="127">
        <f>'1. Standard_Cost'!$B$15*N235*P235</f>
        <v>0</v>
      </c>
      <c r="S235" s="127">
        <f>N235*O235*P235*'1. Standard_Cost'!$C$15</f>
        <v>0</v>
      </c>
      <c r="T235" s="127">
        <f>N235*P235*Q235*'1. Standard_Cost'!$D$15</f>
        <v>0</v>
      </c>
      <c r="U235" s="127">
        <f>N235*O235*'1. Standard_Cost'!$E$15</f>
        <v>0</v>
      </c>
      <c r="V235" s="126"/>
      <c r="W235" s="126"/>
      <c r="X235" s="126"/>
      <c r="Y235" s="127">
        <f>+V235*((X235*'1. Standard_Cost'!$B$19)+(W235*X235*'1. Standard_Cost'!$C$19))</f>
        <v>0</v>
      </c>
      <c r="Z235" s="126"/>
      <c r="AA235" s="126"/>
      <c r="AB235" s="127">
        <f>+Z235*'1. Standard_Cost'!$B$23+AA235*'1. Standard_Cost'!$C$23</f>
        <v>0</v>
      </c>
      <c r="AC235" s="128"/>
      <c r="AD235" s="129"/>
      <c r="AE235" s="127">
        <f>SUM(AD235,AC235,AB235,Y235,U235,T235,S235,R235)*'1. Standard_Cost'!$B$31</f>
        <v>0</v>
      </c>
      <c r="AF235" s="127">
        <f>SUM(AE235,AD235,AC235,AB235,Y235,U235,T235,S235,R235)</f>
        <v>0</v>
      </c>
      <c r="AG235" s="126"/>
      <c r="AH235" s="126"/>
      <c r="AI235" s="126"/>
      <c r="AJ235" s="130"/>
      <c r="AK235" s="130"/>
      <c r="AL235" s="130"/>
      <c r="AM235" s="127">
        <f>AG235*'1. Standard_Cost'!$B$27+'Incremental_Cost Year 9'!AH235*'1. Standard_Cost'!$C$27+'Incremental_Cost Year 9'!AI235*'1. Standard_Cost'!$D$27+'Incremental_Cost Year 9'!AJ235+'Incremental_Cost Year 9'!AL235+AK235</f>
        <v>0</v>
      </c>
      <c r="AN235" s="127">
        <f>AM235*'1. Standard_Cost'!$C$31</f>
        <v>0</v>
      </c>
      <c r="AO235" s="130"/>
      <c r="AQ235" s="171">
        <f>L235+M235</f>
        <v>0</v>
      </c>
      <c r="AR235" s="171">
        <f>AF235</f>
        <v>0</v>
      </c>
      <c r="AS235" s="171">
        <f>AM235+AN235</f>
        <v>0</v>
      </c>
      <c r="AT235" s="171">
        <f>SUM(AQ235,AR235,AS235)</f>
        <v>0</v>
      </c>
      <c r="AU235" s="250">
        <f>AT235</f>
        <v>0</v>
      </c>
      <c r="AV235" s="250"/>
      <c r="AW235" s="250"/>
      <c r="AX235" s="250"/>
      <c r="AY235" s="250"/>
      <c r="AZ235" s="250"/>
      <c r="BA235" s="250"/>
      <c r="BB235" s="251">
        <f t="shared" si="157"/>
        <v>0</v>
      </c>
      <c r="BC235" s="169"/>
      <c r="BD235" s="169"/>
      <c r="BE235" s="169"/>
      <c r="BF235" s="169"/>
    </row>
    <row r="236" spans="1:58" ht="78.75" outlineLevel="2" x14ac:dyDescent="0.25">
      <c r="A236" s="115"/>
      <c r="B236" s="200"/>
      <c r="C236" s="201"/>
      <c r="D236" s="344"/>
      <c r="E236" s="328"/>
      <c r="F236" s="328"/>
      <c r="G236" s="328"/>
      <c r="H236" s="199" t="s">
        <v>524</v>
      </c>
      <c r="I236" s="130"/>
      <c r="J236" s="126"/>
      <c r="K236" s="126"/>
      <c r="L236" s="125" t="str">
        <f>IF(I236&lt;&gt;0,((VLOOKUP(I236,'1. Standard_Cost'!$B$4:$D$11,2)+VLOOKUP(I236,'1. Standard_Cost'!$B$4:$D$11,3))*J236*K236),"0")</f>
        <v>0</v>
      </c>
      <c r="M236" s="125">
        <f>L236*'1. Standard_Cost'!$F$4</f>
        <v>0</v>
      </c>
      <c r="N236" s="126"/>
      <c r="O236" s="126"/>
      <c r="P236" s="126"/>
      <c r="Q236" s="126"/>
      <c r="R236" s="127">
        <f>'1. Standard_Cost'!$B$15*N236*P236</f>
        <v>0</v>
      </c>
      <c r="S236" s="127">
        <f>N236*O236*P236*'1. Standard_Cost'!$C$15</f>
        <v>0</v>
      </c>
      <c r="T236" s="127">
        <f>N236*P236*Q236*'1. Standard_Cost'!$D$15</f>
        <v>0</v>
      </c>
      <c r="U236" s="127">
        <f>N236*O236*'1. Standard_Cost'!$E$15</f>
        <v>0</v>
      </c>
      <c r="V236" s="126"/>
      <c r="W236" s="126"/>
      <c r="X236" s="126"/>
      <c r="Y236" s="127">
        <f>+V236*((X236*'1. Standard_Cost'!$B$19)+(W236*X236*'1. Standard_Cost'!$C$19))</f>
        <v>0</v>
      </c>
      <c r="Z236" s="126"/>
      <c r="AA236" s="126"/>
      <c r="AB236" s="127">
        <f>+Z236*'1. Standard_Cost'!$B$23+AA236*'1. Standard_Cost'!$C$23</f>
        <v>0</v>
      </c>
      <c r="AC236" s="128"/>
      <c r="AD236" s="129"/>
      <c r="AE236" s="127">
        <f>SUM(AD236,AC236,AB236,Y236,U236,T236,S236,R236)*'1. Standard_Cost'!$B$31</f>
        <v>0</v>
      </c>
      <c r="AF236" s="127">
        <f>SUM(AE236,AD236,AC236,AB236,Y236,U236,T236,S236,R236)</f>
        <v>0</v>
      </c>
      <c r="AG236" s="126"/>
      <c r="AH236" s="126"/>
      <c r="AI236" s="126"/>
      <c r="AJ236" s="130"/>
      <c r="AK236" s="130"/>
      <c r="AL236" s="130"/>
      <c r="AM236" s="127">
        <f>AG236*'1. Standard_Cost'!$B$27+'Incremental_Cost Year 9'!AH236*'1. Standard_Cost'!$C$27+'Incremental_Cost Year 9'!AI236*'1. Standard_Cost'!$D$27+'Incremental_Cost Year 9'!AJ236+'Incremental_Cost Year 9'!AL236+AK236</f>
        <v>0</v>
      </c>
      <c r="AN236" s="127">
        <f>AM236*'1. Standard_Cost'!$C$31</f>
        <v>0</v>
      </c>
      <c r="AO236" s="130"/>
      <c r="AQ236" s="171">
        <f>L236+M236</f>
        <v>0</v>
      </c>
      <c r="AR236" s="171">
        <f>AF236</f>
        <v>0</v>
      </c>
      <c r="AS236" s="171">
        <f>AM236+AN236</f>
        <v>0</v>
      </c>
      <c r="AT236" s="171">
        <f>SUM(AQ236,AR236,AS236)</f>
        <v>0</v>
      </c>
      <c r="AU236" s="250">
        <f>AT236</f>
        <v>0</v>
      </c>
      <c r="AV236" s="250"/>
      <c r="AW236" s="250"/>
      <c r="AX236" s="250"/>
      <c r="AY236" s="250"/>
      <c r="AZ236" s="250"/>
      <c r="BA236" s="250"/>
      <c r="BB236" s="251">
        <f t="shared" si="157"/>
        <v>0</v>
      </c>
      <c r="BC236" s="169"/>
      <c r="BD236" s="169"/>
      <c r="BE236" s="169"/>
      <c r="BF236" s="169"/>
    </row>
    <row r="237" spans="1:58" ht="63" outlineLevel="1" x14ac:dyDescent="0.25">
      <c r="A237" s="115"/>
      <c r="B237" s="165"/>
      <c r="C237" s="166"/>
      <c r="D237" s="209" t="s">
        <v>563</v>
      </c>
      <c r="E237" s="212" t="s">
        <v>263</v>
      </c>
      <c r="F237" s="136">
        <v>2023</v>
      </c>
      <c r="G237" s="117">
        <v>2025</v>
      </c>
      <c r="H237" s="150" t="s">
        <v>264</v>
      </c>
      <c r="I237" s="252"/>
      <c r="J237" s="252"/>
      <c r="K237" s="252"/>
      <c r="L237" s="127">
        <f>SUM(L233:L236)</f>
        <v>0</v>
      </c>
      <c r="M237" s="127">
        <f>SUM(M233:M236)</f>
        <v>0</v>
      </c>
      <c r="N237" s="252"/>
      <c r="O237" s="252"/>
      <c r="P237" s="252"/>
      <c r="Q237" s="252"/>
      <c r="R237" s="127">
        <f>SUM(R233:R236)</f>
        <v>0</v>
      </c>
      <c r="S237" s="127">
        <f>SUM(S233:S236)</f>
        <v>0</v>
      </c>
      <c r="T237" s="127">
        <f>SUM(T233:T236)</f>
        <v>0</v>
      </c>
      <c r="U237" s="127">
        <f>SUM(U233:U236)</f>
        <v>0</v>
      </c>
      <c r="V237" s="252"/>
      <c r="W237" s="252"/>
      <c r="X237" s="252"/>
      <c r="Y237" s="127">
        <f>SUM(Y233:Y236)</f>
        <v>0</v>
      </c>
      <c r="Z237" s="127"/>
      <c r="AA237" s="252"/>
      <c r="AB237" s="127">
        <f>SUM(AB233:AB236)</f>
        <v>0</v>
      </c>
      <c r="AC237" s="127">
        <f>SUM(AC233:AC236)</f>
        <v>0</v>
      </c>
      <c r="AD237" s="127">
        <f>SUM(AD233:AD236)</f>
        <v>0</v>
      </c>
      <c r="AE237" s="127">
        <f>SUM(AE233:AE236)</f>
        <v>0</v>
      </c>
      <c r="AF237" s="127">
        <f>SUM(AF233:AF236)</f>
        <v>0</v>
      </c>
      <c r="AG237" s="252"/>
      <c r="AH237" s="252"/>
      <c r="AI237" s="252"/>
      <c r="AJ237" s="127">
        <f>SUM(AJ233:AJ236)</f>
        <v>0</v>
      </c>
      <c r="AK237" s="127">
        <f>SUM(AK233:AK236)</f>
        <v>0</v>
      </c>
      <c r="AL237" s="127">
        <f>SUM(AL233:AL236)</f>
        <v>0</v>
      </c>
      <c r="AM237" s="127">
        <f>SUM(AM233:AM236)</f>
        <v>0</v>
      </c>
      <c r="AN237" s="127">
        <f>SUM(AN233:AN236)</f>
        <v>0</v>
      </c>
      <c r="AO237" s="253"/>
      <c r="AP237" s="254"/>
      <c r="AQ237" s="175">
        <f>SUM(AQ233:AQ236)</f>
        <v>0</v>
      </c>
      <c r="AR237" s="175">
        <f>SUM(AR233:AR236)</f>
        <v>0</v>
      </c>
      <c r="AS237" s="175">
        <f>SUM(AS233:AS236)</f>
        <v>0</v>
      </c>
      <c r="AT237" s="175">
        <f>SUM(AT233:AT236)</f>
        <v>0</v>
      </c>
      <c r="AU237" s="175">
        <f t="shared" ref="AU237:BB237" si="158">SUM(AU233:AU236)</f>
        <v>0</v>
      </c>
      <c r="AV237" s="175">
        <f t="shared" si="158"/>
        <v>0</v>
      </c>
      <c r="AW237" s="175">
        <f t="shared" si="158"/>
        <v>0</v>
      </c>
      <c r="AX237" s="175">
        <f t="shared" si="158"/>
        <v>0</v>
      </c>
      <c r="AY237" s="175">
        <f t="shared" si="158"/>
        <v>0</v>
      </c>
      <c r="AZ237" s="175">
        <f t="shared" si="158"/>
        <v>0</v>
      </c>
      <c r="BA237" s="175">
        <f t="shared" si="158"/>
        <v>0</v>
      </c>
      <c r="BB237" s="175">
        <f t="shared" si="158"/>
        <v>0</v>
      </c>
      <c r="BC237" s="169"/>
      <c r="BD237" s="169"/>
      <c r="BE237" s="169"/>
      <c r="BF237" s="169"/>
    </row>
    <row r="238" spans="1:58" s="184" customFormat="1" ht="15.75" customHeight="1" x14ac:dyDescent="0.25">
      <c r="A238" s="143"/>
      <c r="B238" s="332"/>
      <c r="C238" s="397" t="s">
        <v>265</v>
      </c>
      <c r="D238" s="397"/>
      <c r="E238" s="398"/>
      <c r="F238" s="291"/>
      <c r="G238" s="340"/>
      <c r="H238" s="144" t="s">
        <v>303</v>
      </c>
      <c r="I238" s="257"/>
      <c r="J238" s="257"/>
      <c r="K238" s="257"/>
      <c r="L238" s="258">
        <f>SUM(L243)</f>
        <v>0</v>
      </c>
      <c r="M238" s="258">
        <f>SUM(M243)</f>
        <v>0</v>
      </c>
      <c r="N238" s="257"/>
      <c r="O238" s="257"/>
      <c r="P238" s="257"/>
      <c r="Q238" s="257"/>
      <c r="R238" s="258">
        <f>SUM(R243)</f>
        <v>0</v>
      </c>
      <c r="S238" s="258">
        <f>SUM(S243)</f>
        <v>0</v>
      </c>
      <c r="T238" s="258">
        <f>SUM(T243)</f>
        <v>0</v>
      </c>
      <c r="U238" s="258">
        <f>SUM(U243)</f>
        <v>0</v>
      </c>
      <c r="V238" s="257"/>
      <c r="W238" s="257"/>
      <c r="X238" s="257"/>
      <c r="Y238" s="258">
        <f>SUM(Y243)</f>
        <v>0</v>
      </c>
      <c r="Z238" s="258"/>
      <c r="AA238" s="258"/>
      <c r="AB238" s="258">
        <f>SUM(AB243)</f>
        <v>0</v>
      </c>
      <c r="AC238" s="258">
        <f>SUM(AC243)</f>
        <v>0</v>
      </c>
      <c r="AD238" s="258">
        <f>SUM(AD243)</f>
        <v>0</v>
      </c>
      <c r="AE238" s="258">
        <f>SUM(AE243)</f>
        <v>0</v>
      </c>
      <c r="AF238" s="258">
        <f>SUM(AF243)</f>
        <v>0</v>
      </c>
      <c r="AG238" s="257"/>
      <c r="AH238" s="257"/>
      <c r="AI238" s="257"/>
      <c r="AJ238" s="258">
        <f>SUM(AJ243)</f>
        <v>0</v>
      </c>
      <c r="AK238" s="258">
        <f>SUM(AK243)</f>
        <v>0</v>
      </c>
      <c r="AL238" s="258">
        <f>SUM(AL243)</f>
        <v>0</v>
      </c>
      <c r="AM238" s="258">
        <f>SUM(AM243)</f>
        <v>0</v>
      </c>
      <c r="AN238" s="258">
        <f>SUM(AN243)</f>
        <v>0</v>
      </c>
      <c r="AO238" s="259"/>
      <c r="AP238" s="260"/>
      <c r="AQ238" s="261">
        <f>SUM(AQ243)</f>
        <v>0</v>
      </c>
      <c r="AR238" s="261">
        <f>SUM(AR243)</f>
        <v>0</v>
      </c>
      <c r="AS238" s="261">
        <f>SUM(AS243)</f>
        <v>0</v>
      </c>
      <c r="AT238" s="261">
        <f>SUM(AT243)</f>
        <v>0</v>
      </c>
      <c r="AU238" s="261">
        <f t="shared" ref="AU238:BB238" si="159">SUM(AU243)</f>
        <v>0</v>
      </c>
      <c r="AV238" s="261">
        <f t="shared" si="159"/>
        <v>0</v>
      </c>
      <c r="AW238" s="261">
        <f t="shared" si="159"/>
        <v>0</v>
      </c>
      <c r="AX238" s="261">
        <f t="shared" si="159"/>
        <v>0</v>
      </c>
      <c r="AY238" s="261">
        <f t="shared" si="159"/>
        <v>0</v>
      </c>
      <c r="AZ238" s="261">
        <f t="shared" si="159"/>
        <v>0</v>
      </c>
      <c r="BA238" s="261">
        <f t="shared" si="159"/>
        <v>0</v>
      </c>
      <c r="BB238" s="261">
        <f t="shared" si="159"/>
        <v>0</v>
      </c>
    </row>
    <row r="239" spans="1:58" ht="63" outlineLevel="2" x14ac:dyDescent="0.25">
      <c r="A239" s="115"/>
      <c r="B239" s="200"/>
      <c r="C239" s="201"/>
      <c r="D239" s="202"/>
      <c r="E239" s="354"/>
      <c r="F239" s="355"/>
      <c r="G239" s="356"/>
      <c r="H239" s="199" t="s">
        <v>525</v>
      </c>
      <c r="I239" s="130"/>
      <c r="J239" s="126"/>
      <c r="K239" s="126"/>
      <c r="L239" s="125" t="str">
        <f>IF(I239&lt;&gt;0,((VLOOKUP(I239,'1. Standard_Cost'!$B$4:$D$11,2)+VLOOKUP(I239,'1. Standard_Cost'!$B$4:$D$11,3))*J239*K239),"0")</f>
        <v>0</v>
      </c>
      <c r="M239" s="125">
        <f>L239*'1. Standard_Cost'!$F$4</f>
        <v>0</v>
      </c>
      <c r="N239" s="126"/>
      <c r="O239" s="126"/>
      <c r="P239" s="126"/>
      <c r="Q239" s="126"/>
      <c r="R239" s="127">
        <f>'1. Standard_Cost'!$B$15*N239*P239</f>
        <v>0</v>
      </c>
      <c r="S239" s="127">
        <f>N239*O239*P239*'1. Standard_Cost'!$C$15</f>
        <v>0</v>
      </c>
      <c r="T239" s="127">
        <f>N239*P239*Q239*'1. Standard_Cost'!$D$15</f>
        <v>0</v>
      </c>
      <c r="U239" s="127">
        <f>N239*O239*'1. Standard_Cost'!$E$15</f>
        <v>0</v>
      </c>
      <c r="V239" s="126"/>
      <c r="W239" s="126"/>
      <c r="X239" s="126"/>
      <c r="Y239" s="127">
        <f>+V239*((X239*'1. Standard_Cost'!$B$19)+(W239*X239*'1. Standard_Cost'!$C$19))</f>
        <v>0</v>
      </c>
      <c r="Z239" s="126"/>
      <c r="AA239" s="126"/>
      <c r="AB239" s="127">
        <f>+Z239*'1. Standard_Cost'!$B$23+AA239*'1. Standard_Cost'!$C$23</f>
        <v>0</v>
      </c>
      <c r="AC239" s="128"/>
      <c r="AD239" s="129"/>
      <c r="AE239" s="127">
        <f>SUM(AD239,AC239,AB239,Y239,U239,T239,S239,R239)*'1. Standard_Cost'!$B$31</f>
        <v>0</v>
      </c>
      <c r="AF239" s="127">
        <f>SUM(AE239,AD239,AC239,AB239,Y239,U239,T239,S239,R239)</f>
        <v>0</v>
      </c>
      <c r="AG239" s="126"/>
      <c r="AH239" s="126"/>
      <c r="AI239" s="126"/>
      <c r="AJ239" s="130"/>
      <c r="AK239" s="130"/>
      <c r="AL239" s="130"/>
      <c r="AM239" s="127">
        <f>AG239*'1. Standard_Cost'!$B$27+'Incremental_Cost Year 9'!AH239*'1. Standard_Cost'!$C$27+'Incremental_Cost Year 9'!AI239*'1. Standard_Cost'!$D$27+'Incremental_Cost Year 9'!AJ239+'Incremental_Cost Year 9'!AL239+AK239</f>
        <v>0</v>
      </c>
      <c r="AN239" s="127">
        <f>AM239*'1. Standard_Cost'!$C$31</f>
        <v>0</v>
      </c>
      <c r="AO239" s="130"/>
      <c r="AQ239" s="171">
        <f>L239+M239</f>
        <v>0</v>
      </c>
      <c r="AR239" s="171">
        <f>AF239</f>
        <v>0</v>
      </c>
      <c r="AS239" s="171">
        <f>AM239+AN239</f>
        <v>0</v>
      </c>
      <c r="AT239" s="171">
        <f>SUM(AQ239,AR239,AS239)</f>
        <v>0</v>
      </c>
      <c r="AU239" s="250">
        <f>AT239</f>
        <v>0</v>
      </c>
      <c r="AV239" s="250"/>
      <c r="AW239" s="250"/>
      <c r="AX239" s="250"/>
      <c r="AY239" s="250"/>
      <c r="AZ239" s="250"/>
      <c r="BA239" s="250"/>
      <c r="BB239" s="251">
        <f t="shared" ref="BB239:BB242" si="160">SUM(AU239:BA239)-AT239</f>
        <v>0</v>
      </c>
      <c r="BC239" s="169"/>
      <c r="BD239" s="169"/>
      <c r="BE239" s="169"/>
      <c r="BF239" s="169"/>
    </row>
    <row r="240" spans="1:58" ht="31.5" outlineLevel="2" x14ac:dyDescent="0.25">
      <c r="A240" s="115"/>
      <c r="B240" s="200"/>
      <c r="C240" s="201"/>
      <c r="D240" s="202"/>
      <c r="E240" s="357"/>
      <c r="F240" s="358"/>
      <c r="G240" s="359"/>
      <c r="H240" s="199" t="s">
        <v>526</v>
      </c>
      <c r="I240" s="130"/>
      <c r="J240" s="126"/>
      <c r="K240" s="126"/>
      <c r="L240" s="125" t="str">
        <f>IF(I240&lt;&gt;0,((VLOOKUP(I240,'1. Standard_Cost'!$B$4:$D$11,2)+VLOOKUP(I240,'1. Standard_Cost'!$B$4:$D$11,3))*J240*K240),"0")</f>
        <v>0</v>
      </c>
      <c r="M240" s="125">
        <f>L240*'1. Standard_Cost'!$F$4</f>
        <v>0</v>
      </c>
      <c r="N240" s="126"/>
      <c r="O240" s="126"/>
      <c r="P240" s="126"/>
      <c r="Q240" s="126"/>
      <c r="R240" s="127">
        <f>'1. Standard_Cost'!$B$15*N240*P240</f>
        <v>0</v>
      </c>
      <c r="S240" s="127">
        <f>N240*O240*P240*'1. Standard_Cost'!$C$15</f>
        <v>0</v>
      </c>
      <c r="T240" s="127">
        <f>N240*P240*Q240*'1. Standard_Cost'!$D$15</f>
        <v>0</v>
      </c>
      <c r="U240" s="127">
        <f>N240*O240*'1. Standard_Cost'!$E$15</f>
        <v>0</v>
      </c>
      <c r="V240" s="126"/>
      <c r="W240" s="126"/>
      <c r="X240" s="126"/>
      <c r="Y240" s="127">
        <f>+V240*((X240*'1. Standard_Cost'!$B$19)+(W240*X240*'1. Standard_Cost'!$C$19))</f>
        <v>0</v>
      </c>
      <c r="Z240" s="126"/>
      <c r="AA240" s="126"/>
      <c r="AB240" s="127">
        <f>+Z240*'1. Standard_Cost'!$B$23+AA240*'1. Standard_Cost'!$C$23</f>
        <v>0</v>
      </c>
      <c r="AC240" s="128"/>
      <c r="AD240" s="129"/>
      <c r="AE240" s="127">
        <f>SUM(AD240,AC240,AB240,Y240,U240,T240,S240,R240)*'1. Standard_Cost'!$B$31</f>
        <v>0</v>
      </c>
      <c r="AF240" s="127">
        <f>SUM(AE240,AD240,AC240,AB240,Y240,U240,T240,S240,R240)</f>
        <v>0</v>
      </c>
      <c r="AG240" s="126"/>
      <c r="AH240" s="126"/>
      <c r="AI240" s="126"/>
      <c r="AJ240" s="130"/>
      <c r="AK240" s="130"/>
      <c r="AL240" s="130"/>
      <c r="AM240" s="127">
        <f>AG240*'1. Standard_Cost'!$B$27+'Incremental_Cost Year 9'!AH240*'1. Standard_Cost'!$C$27+'Incremental_Cost Year 9'!AI240*'1. Standard_Cost'!$D$27+'Incremental_Cost Year 9'!AJ240+'Incremental_Cost Year 9'!AL240+AK240</f>
        <v>0</v>
      </c>
      <c r="AN240" s="127">
        <f>AM240*'1. Standard_Cost'!$C$31</f>
        <v>0</v>
      </c>
      <c r="AO240" s="130"/>
      <c r="AQ240" s="171">
        <f>L240+M240</f>
        <v>0</v>
      </c>
      <c r="AR240" s="171">
        <f>AF240</f>
        <v>0</v>
      </c>
      <c r="AS240" s="171">
        <f>AM240+AN240</f>
        <v>0</v>
      </c>
      <c r="AT240" s="171">
        <f>SUM(AQ240,AR240,AS240)</f>
        <v>0</v>
      </c>
      <c r="AU240" s="250">
        <f>AT240</f>
        <v>0</v>
      </c>
      <c r="AV240" s="250"/>
      <c r="AW240" s="250"/>
      <c r="AX240" s="250"/>
      <c r="AY240" s="250"/>
      <c r="AZ240" s="250"/>
      <c r="BA240" s="250"/>
      <c r="BB240" s="251">
        <f t="shared" si="160"/>
        <v>0</v>
      </c>
      <c r="BC240" s="169"/>
      <c r="BD240" s="169"/>
      <c r="BE240" s="169"/>
      <c r="BF240" s="169"/>
    </row>
    <row r="241" spans="1:58" ht="47.25" outlineLevel="2" x14ac:dyDescent="0.25">
      <c r="A241" s="115"/>
      <c r="B241" s="200"/>
      <c r="C241" s="201"/>
      <c r="D241" s="202"/>
      <c r="E241" s="357"/>
      <c r="F241" s="358"/>
      <c r="G241" s="359"/>
      <c r="H241" s="199" t="s">
        <v>527</v>
      </c>
      <c r="I241" s="130"/>
      <c r="J241" s="126"/>
      <c r="K241" s="126"/>
      <c r="L241" s="125" t="str">
        <f>IF(I241&lt;&gt;0,((VLOOKUP(I241,'1. Standard_Cost'!$B$4:$D$11,2)+VLOOKUP(I241,'1. Standard_Cost'!$B$4:$D$11,3))*J241*K241),"0")</f>
        <v>0</v>
      </c>
      <c r="M241" s="125">
        <f>L241*'1. Standard_Cost'!$F$4</f>
        <v>0</v>
      </c>
      <c r="N241" s="126"/>
      <c r="O241" s="126"/>
      <c r="P241" s="126"/>
      <c r="Q241" s="126"/>
      <c r="R241" s="127">
        <f>'1. Standard_Cost'!$B$15*N241*P241</f>
        <v>0</v>
      </c>
      <c r="S241" s="127">
        <f>N241*O241*P241*'1. Standard_Cost'!$C$15</f>
        <v>0</v>
      </c>
      <c r="T241" s="127">
        <f>N241*P241*Q241*'1. Standard_Cost'!$D$15</f>
        <v>0</v>
      </c>
      <c r="U241" s="127">
        <f>N241*O241*'1. Standard_Cost'!$E$15</f>
        <v>0</v>
      </c>
      <c r="V241" s="126"/>
      <c r="W241" s="126"/>
      <c r="X241" s="126"/>
      <c r="Y241" s="127">
        <f>+V241*((X241*'1. Standard_Cost'!$B$19)+(W241*X241*'1. Standard_Cost'!$C$19))</f>
        <v>0</v>
      </c>
      <c r="Z241" s="126"/>
      <c r="AA241" s="126"/>
      <c r="AB241" s="127">
        <f>+Z241*'1. Standard_Cost'!$B$23+AA241*'1. Standard_Cost'!$C$23</f>
        <v>0</v>
      </c>
      <c r="AC241" s="128"/>
      <c r="AD241" s="129"/>
      <c r="AE241" s="127">
        <f>SUM(AD241,AC241,AB241,Y241,U241,T241,S241,R241)*'1. Standard_Cost'!$B$31</f>
        <v>0</v>
      </c>
      <c r="AF241" s="127">
        <f>SUM(AE241,AD241,AC241,AB241,Y241,U241,T241,S241,R241)</f>
        <v>0</v>
      </c>
      <c r="AG241" s="126"/>
      <c r="AH241" s="126"/>
      <c r="AI241" s="126"/>
      <c r="AJ241" s="130"/>
      <c r="AK241" s="130"/>
      <c r="AL241" s="130"/>
      <c r="AM241" s="127">
        <f>AG241*'1. Standard_Cost'!$B$27+'Incremental_Cost Year 9'!AH241*'1. Standard_Cost'!$C$27+'Incremental_Cost Year 9'!AI241*'1. Standard_Cost'!$D$27+'Incremental_Cost Year 9'!AJ241+'Incremental_Cost Year 9'!AL241+AK241</f>
        <v>0</v>
      </c>
      <c r="AN241" s="127">
        <f>AM241*'1. Standard_Cost'!$C$31</f>
        <v>0</v>
      </c>
      <c r="AO241" s="130"/>
      <c r="AQ241" s="171">
        <f>L241+M241</f>
        <v>0</v>
      </c>
      <c r="AR241" s="171">
        <f>AF241</f>
        <v>0</v>
      </c>
      <c r="AS241" s="171">
        <f>AM241+AN241</f>
        <v>0</v>
      </c>
      <c r="AT241" s="171">
        <f>SUM(AQ241,AR241,AS241)</f>
        <v>0</v>
      </c>
      <c r="AU241" s="250">
        <f>AT241</f>
        <v>0</v>
      </c>
      <c r="AV241" s="250"/>
      <c r="AW241" s="250"/>
      <c r="AX241" s="250"/>
      <c r="AY241" s="250"/>
      <c r="AZ241" s="250"/>
      <c r="BA241" s="250"/>
      <c r="BB241" s="251">
        <f t="shared" si="160"/>
        <v>0</v>
      </c>
      <c r="BC241" s="169"/>
      <c r="BD241" s="169"/>
      <c r="BE241" s="169"/>
      <c r="BF241" s="169"/>
    </row>
    <row r="242" spans="1:58" ht="110.25" outlineLevel="2" x14ac:dyDescent="0.25">
      <c r="A242" s="115"/>
      <c r="B242" s="200"/>
      <c r="C242" s="201"/>
      <c r="D242" s="202"/>
      <c r="E242" s="360"/>
      <c r="F242" s="361"/>
      <c r="G242" s="362"/>
      <c r="H242" s="213" t="s">
        <v>528</v>
      </c>
      <c r="I242" s="130"/>
      <c r="J242" s="126"/>
      <c r="K242" s="126"/>
      <c r="L242" s="125" t="str">
        <f>IF(I242&lt;&gt;0,((VLOOKUP(I242,'1. Standard_Cost'!$B$4:$D$11,2)+VLOOKUP(I242,'1. Standard_Cost'!$B$4:$D$11,3))*J242*K242),"0")</f>
        <v>0</v>
      </c>
      <c r="M242" s="125">
        <f>L242*'1. Standard_Cost'!$F$4</f>
        <v>0</v>
      </c>
      <c r="N242" s="126"/>
      <c r="O242" s="126"/>
      <c r="P242" s="126"/>
      <c r="Q242" s="126"/>
      <c r="R242" s="127">
        <f>'1. Standard_Cost'!$B$15*N242*P242</f>
        <v>0</v>
      </c>
      <c r="S242" s="127">
        <f>N242*O242*P242*'1. Standard_Cost'!$C$15</f>
        <v>0</v>
      </c>
      <c r="T242" s="127">
        <f>N242*P242*Q242*'1. Standard_Cost'!$D$15</f>
        <v>0</v>
      </c>
      <c r="U242" s="127">
        <f>N242*O242*'1. Standard_Cost'!$E$15</f>
        <v>0</v>
      </c>
      <c r="V242" s="126"/>
      <c r="W242" s="126"/>
      <c r="X242" s="126"/>
      <c r="Y242" s="127">
        <f>+V242*((X242*'1. Standard_Cost'!$B$19)+(W242*X242*'1. Standard_Cost'!$C$19))</f>
        <v>0</v>
      </c>
      <c r="Z242" s="126"/>
      <c r="AA242" s="126"/>
      <c r="AB242" s="127">
        <f>+Z242*'1. Standard_Cost'!$B$23+AA242*'1. Standard_Cost'!$C$23</f>
        <v>0</v>
      </c>
      <c r="AC242" s="128"/>
      <c r="AD242" s="129"/>
      <c r="AE242" s="127">
        <f>SUM(AD242,AC242,AB242,Y242,U242,T242,S242,R242)*'1. Standard_Cost'!$B$31</f>
        <v>0</v>
      </c>
      <c r="AF242" s="127">
        <f>SUM(AE242,AD242,AC242,AB242,Y242,U242,T242,S242,R242)</f>
        <v>0</v>
      </c>
      <c r="AG242" s="126"/>
      <c r="AH242" s="126"/>
      <c r="AI242" s="126"/>
      <c r="AJ242" s="130"/>
      <c r="AK242" s="130"/>
      <c r="AL242" s="130"/>
      <c r="AM242" s="127">
        <f>AG242*'1. Standard_Cost'!$B$27+'Incremental_Cost Year 9'!AH242*'1. Standard_Cost'!$C$27+'Incremental_Cost Year 9'!AI242*'1. Standard_Cost'!$D$27+'Incremental_Cost Year 9'!AJ242+'Incremental_Cost Year 9'!AL242+AK242</f>
        <v>0</v>
      </c>
      <c r="AN242" s="127">
        <f>AM242*'1. Standard_Cost'!$C$31</f>
        <v>0</v>
      </c>
      <c r="AO242" s="130"/>
      <c r="AQ242" s="171">
        <f>L242+M242</f>
        <v>0</v>
      </c>
      <c r="AR242" s="171">
        <f>AF242</f>
        <v>0</v>
      </c>
      <c r="AS242" s="171">
        <f>AM242+AN242</f>
        <v>0</v>
      </c>
      <c r="AT242" s="171">
        <f>SUM(AQ242,AR242,AS242)</f>
        <v>0</v>
      </c>
      <c r="AU242" s="250">
        <f>AT242</f>
        <v>0</v>
      </c>
      <c r="AV242" s="250"/>
      <c r="AW242" s="250"/>
      <c r="AX242" s="250"/>
      <c r="AY242" s="250"/>
      <c r="AZ242" s="250"/>
      <c r="BA242" s="250"/>
      <c r="BB242" s="251">
        <f t="shared" si="160"/>
        <v>0</v>
      </c>
      <c r="BC242" s="169"/>
      <c r="BD242" s="169"/>
      <c r="BE242" s="169"/>
      <c r="BF242" s="169"/>
    </row>
    <row r="243" spans="1:58" ht="94.5" outlineLevel="1" x14ac:dyDescent="0.25">
      <c r="A243" s="115"/>
      <c r="B243" s="165"/>
      <c r="C243" s="166"/>
      <c r="D243" s="150" t="s">
        <v>564</v>
      </c>
      <c r="E243" s="212" t="s">
        <v>267</v>
      </c>
      <c r="F243" s="136">
        <v>2021</v>
      </c>
      <c r="G243" s="117">
        <v>2024</v>
      </c>
      <c r="H243" s="150" t="s">
        <v>304</v>
      </c>
      <c r="I243" s="252"/>
      <c r="J243" s="252"/>
      <c r="K243" s="252"/>
      <c r="L243" s="127">
        <f>SUM(L239:L242)</f>
        <v>0</v>
      </c>
      <c r="M243" s="127">
        <f>SUM(M239:M242)</f>
        <v>0</v>
      </c>
      <c r="N243" s="252"/>
      <c r="O243" s="252"/>
      <c r="P243" s="252"/>
      <c r="Q243" s="252"/>
      <c r="R243" s="127">
        <f>SUM(R239:R242)</f>
        <v>0</v>
      </c>
      <c r="S243" s="127">
        <f>SUM(S239:S242)</f>
        <v>0</v>
      </c>
      <c r="T243" s="127">
        <f>SUM(T239:T242)</f>
        <v>0</v>
      </c>
      <c r="U243" s="127">
        <f>SUM(U239:U242)</f>
        <v>0</v>
      </c>
      <c r="V243" s="252"/>
      <c r="W243" s="252"/>
      <c r="X243" s="252"/>
      <c r="Y243" s="127">
        <f>SUM(Y239:Y242)</f>
        <v>0</v>
      </c>
      <c r="Z243" s="127"/>
      <c r="AA243" s="252"/>
      <c r="AB243" s="127">
        <f>SUM(AB239:AB242)</f>
        <v>0</v>
      </c>
      <c r="AC243" s="127">
        <f>SUM(AC239:AC242)</f>
        <v>0</v>
      </c>
      <c r="AD243" s="127">
        <f>SUM(AD239:AD242)</f>
        <v>0</v>
      </c>
      <c r="AE243" s="127">
        <f>SUM(AE239:AE242)</f>
        <v>0</v>
      </c>
      <c r="AF243" s="127">
        <f>SUM(AF239:AF242)</f>
        <v>0</v>
      </c>
      <c r="AG243" s="252"/>
      <c r="AH243" s="252"/>
      <c r="AI243" s="252"/>
      <c r="AJ243" s="127">
        <f>SUM(AJ239:AJ242)</f>
        <v>0</v>
      </c>
      <c r="AK243" s="127">
        <f>SUM(AK239:AK242)</f>
        <v>0</v>
      </c>
      <c r="AL243" s="127">
        <f>SUM(AL239:AL242)</f>
        <v>0</v>
      </c>
      <c r="AM243" s="127">
        <f>SUM(AM239:AM242)</f>
        <v>0</v>
      </c>
      <c r="AN243" s="127">
        <f>SUM(AN239:AN242)</f>
        <v>0</v>
      </c>
      <c r="AO243" s="253"/>
      <c r="AP243" s="254"/>
      <c r="AQ243" s="175">
        <f>SUM(AQ239:AQ242)</f>
        <v>0</v>
      </c>
      <c r="AR243" s="175">
        <f>SUM(AR239:AR242)</f>
        <v>0</v>
      </c>
      <c r="AS243" s="175">
        <f>SUM(AS239:AS242)</f>
        <v>0</v>
      </c>
      <c r="AT243" s="175">
        <f>SUM(AT239:AT242)</f>
        <v>0</v>
      </c>
      <c r="AU243" s="175">
        <f t="shared" ref="AU243:BB243" si="161">SUM(AU239:AU242)</f>
        <v>0</v>
      </c>
      <c r="AV243" s="175">
        <f t="shared" si="161"/>
        <v>0</v>
      </c>
      <c r="AW243" s="175">
        <f t="shared" si="161"/>
        <v>0</v>
      </c>
      <c r="AX243" s="175">
        <f t="shared" si="161"/>
        <v>0</v>
      </c>
      <c r="AY243" s="175">
        <f t="shared" si="161"/>
        <v>0</v>
      </c>
      <c r="AZ243" s="175">
        <f t="shared" si="161"/>
        <v>0</v>
      </c>
      <c r="BA243" s="175">
        <f t="shared" si="161"/>
        <v>0</v>
      </c>
      <c r="BB243" s="175">
        <f t="shared" si="161"/>
        <v>0</v>
      </c>
      <c r="BC243" s="169"/>
      <c r="BD243" s="169"/>
      <c r="BE243" s="169"/>
      <c r="BF243" s="169"/>
    </row>
    <row r="244" spans="1:58" ht="12.75" customHeight="1" x14ac:dyDescent="0.2">
      <c r="A244" s="173"/>
      <c r="B244" s="399" t="s">
        <v>316</v>
      </c>
      <c r="C244" s="400"/>
      <c r="D244" s="400"/>
      <c r="E244" s="401"/>
      <c r="F244" s="367"/>
      <c r="G244" s="367"/>
      <c r="H244" s="367" t="s">
        <v>317</v>
      </c>
      <c r="I244" s="245"/>
      <c r="J244" s="245"/>
      <c r="K244" s="245"/>
      <c r="L244" s="245">
        <f>L245+L259+L269+L277+L284</f>
        <v>35918400</v>
      </c>
      <c r="M244" s="245">
        <f>M245+M259+M269+M277+M284</f>
        <v>5998372.8000000007</v>
      </c>
      <c r="N244" s="245"/>
      <c r="O244" s="245"/>
      <c r="P244" s="245"/>
      <c r="Q244" s="245"/>
      <c r="R244" s="245">
        <f>R245+R259+R269+R277+R284</f>
        <v>3200000</v>
      </c>
      <c r="S244" s="245">
        <f>S245+S259+S269+S277+S284</f>
        <v>2400000</v>
      </c>
      <c r="T244" s="245">
        <f>T245+T259+T269+T277+T284</f>
        <v>0</v>
      </c>
      <c r="U244" s="245">
        <f>U245+U259+U269+U277+U284</f>
        <v>3200000</v>
      </c>
      <c r="V244" s="245"/>
      <c r="W244" s="245"/>
      <c r="X244" s="245"/>
      <c r="Y244" s="245">
        <f t="shared" ref="Y244" si="162">Y245+Y259+Y269+Y277+Y284</f>
        <v>0</v>
      </c>
      <c r="Z244" s="245">
        <f t="shared" ref="Z244:AF244" si="163">Z245+Z259+Z269+Z277+Z284</f>
        <v>0</v>
      </c>
      <c r="AA244" s="245">
        <f t="shared" si="163"/>
        <v>0</v>
      </c>
      <c r="AB244" s="245">
        <f t="shared" si="163"/>
        <v>1634000</v>
      </c>
      <c r="AC244" s="245">
        <f t="shared" si="163"/>
        <v>77635000</v>
      </c>
      <c r="AD244" s="245">
        <f t="shared" si="163"/>
        <v>529894000</v>
      </c>
      <c r="AE244" s="245">
        <f t="shared" si="163"/>
        <v>19811400</v>
      </c>
      <c r="AF244" s="245">
        <f t="shared" si="163"/>
        <v>637774400</v>
      </c>
      <c r="AG244" s="245"/>
      <c r="AH244" s="245"/>
      <c r="AI244" s="245"/>
      <c r="AJ244" s="245">
        <f>AJ245+AJ259+AJ269+AJ277+AJ284</f>
        <v>0</v>
      </c>
      <c r="AK244" s="245">
        <f>AK245+AK259+AK269+AK277+AK284</f>
        <v>0</v>
      </c>
      <c r="AL244" s="245">
        <f>AL245+AL259+AL269+AL277+AL284</f>
        <v>0</v>
      </c>
      <c r="AM244" s="245">
        <f>AM245+AM259+AM269+AM277+AM284</f>
        <v>0</v>
      </c>
      <c r="AN244" s="245">
        <f>AN245+AN259+AN269+AN277+AN284</f>
        <v>0</v>
      </c>
      <c r="AO244" s="245"/>
      <c r="AP244" s="244"/>
      <c r="AQ244" s="245">
        <f t="shared" ref="AQ244:BB244" si="164">AQ245+AQ259+AQ269+AQ277+AQ284</f>
        <v>41916772.800000004</v>
      </c>
      <c r="AR244" s="245">
        <f t="shared" si="164"/>
        <v>637774400</v>
      </c>
      <c r="AS244" s="245">
        <f t="shared" si="164"/>
        <v>0</v>
      </c>
      <c r="AT244" s="245">
        <f t="shared" si="164"/>
        <v>679691172.79999995</v>
      </c>
      <c r="AU244" s="245">
        <f t="shared" si="164"/>
        <v>67571772.399999991</v>
      </c>
      <c r="AV244" s="245">
        <f t="shared" si="164"/>
        <v>0</v>
      </c>
      <c r="AW244" s="245">
        <f t="shared" si="164"/>
        <v>0</v>
      </c>
      <c r="AX244" s="245">
        <f t="shared" si="164"/>
        <v>0</v>
      </c>
      <c r="AY244" s="245">
        <f t="shared" si="164"/>
        <v>0</v>
      </c>
      <c r="AZ244" s="245">
        <f t="shared" si="164"/>
        <v>0</v>
      </c>
      <c r="BA244" s="245">
        <f t="shared" si="164"/>
        <v>0</v>
      </c>
      <c r="BB244" s="245">
        <f t="shared" si="164"/>
        <v>-612119400.39999998</v>
      </c>
      <c r="BC244" s="170"/>
      <c r="BD244" s="170"/>
      <c r="BE244" s="170"/>
      <c r="BF244" s="170"/>
    </row>
    <row r="245" spans="1:58" ht="12.75" customHeight="1" x14ac:dyDescent="0.2">
      <c r="A245" s="179"/>
      <c r="B245" s="290"/>
      <c r="C245" s="391" t="s">
        <v>318</v>
      </c>
      <c r="D245" s="391"/>
      <c r="E245" s="392"/>
      <c r="F245" s="287"/>
      <c r="G245" s="289"/>
      <c r="H245" s="181" t="s">
        <v>319</v>
      </c>
      <c r="I245" s="270"/>
      <c r="J245" s="271"/>
      <c r="K245" s="271"/>
      <c r="L245" s="261">
        <f>L250+L254+L258</f>
        <v>5191200</v>
      </c>
      <c r="M245" s="261">
        <f>M250+M254+M258</f>
        <v>866930.4</v>
      </c>
      <c r="N245" s="271"/>
      <c r="O245" s="271"/>
      <c r="P245" s="271"/>
      <c r="Q245" s="271"/>
      <c r="R245" s="261">
        <f>R250+R254+R258</f>
        <v>3200000</v>
      </c>
      <c r="S245" s="261">
        <f>S250+S254+S258</f>
        <v>2400000</v>
      </c>
      <c r="T245" s="261">
        <f>T250+T254+T258</f>
        <v>0</v>
      </c>
      <c r="U245" s="261">
        <f>U250+U254+U258</f>
        <v>3200000</v>
      </c>
      <c r="V245" s="271"/>
      <c r="W245" s="271"/>
      <c r="X245" s="271"/>
      <c r="Y245" s="261">
        <f>Y250+Y254+Y258</f>
        <v>0</v>
      </c>
      <c r="Z245" s="261">
        <f>Z250+Z254+Z258</f>
        <v>0</v>
      </c>
      <c r="AA245" s="271"/>
      <c r="AB245" s="261">
        <f>AB250+AB254+AB258</f>
        <v>1634000</v>
      </c>
      <c r="AC245" s="261">
        <f>AC250+AC254+AC258</f>
        <v>51980000</v>
      </c>
      <c r="AD245" s="261">
        <f>AD250+AD254+AD258</f>
        <v>184500000</v>
      </c>
      <c r="AE245" s="261">
        <f>AE250+AE254+AE258</f>
        <v>1361400</v>
      </c>
      <c r="AF245" s="261">
        <f>AF250+AF254+AF258</f>
        <v>248275400</v>
      </c>
      <c r="AG245" s="271"/>
      <c r="AH245" s="271"/>
      <c r="AI245" s="271"/>
      <c r="AJ245" s="261">
        <f>AJ250+AJ254+AJ258</f>
        <v>0</v>
      </c>
      <c r="AK245" s="261">
        <f>AK250+AK254+AK258</f>
        <v>0</v>
      </c>
      <c r="AL245" s="261">
        <f>AL250+AL254+AL258</f>
        <v>0</v>
      </c>
      <c r="AM245" s="261">
        <f>AM250+AM254+AM258</f>
        <v>0</v>
      </c>
      <c r="AN245" s="261">
        <f>AN250+AN254+AN258</f>
        <v>0</v>
      </c>
      <c r="AO245" s="272"/>
      <c r="AP245" s="260"/>
      <c r="AQ245" s="261">
        <f t="shared" ref="AQ245:BB245" si="165">AQ250+AQ254+AQ258</f>
        <v>6058130.4000000004</v>
      </c>
      <c r="AR245" s="261">
        <f t="shared" si="165"/>
        <v>248275400</v>
      </c>
      <c r="AS245" s="261">
        <f t="shared" si="165"/>
        <v>0</v>
      </c>
      <c r="AT245" s="261">
        <f t="shared" si="165"/>
        <v>254333530.39999998</v>
      </c>
      <c r="AU245" s="261">
        <f t="shared" si="165"/>
        <v>6058130.4000000004</v>
      </c>
      <c r="AV245" s="261">
        <f t="shared" si="165"/>
        <v>0</v>
      </c>
      <c r="AW245" s="261">
        <f t="shared" si="165"/>
        <v>0</v>
      </c>
      <c r="AX245" s="261">
        <f t="shared" si="165"/>
        <v>0</v>
      </c>
      <c r="AY245" s="261">
        <f t="shared" si="165"/>
        <v>0</v>
      </c>
      <c r="AZ245" s="261">
        <f t="shared" si="165"/>
        <v>0</v>
      </c>
      <c r="BA245" s="261">
        <f t="shared" si="165"/>
        <v>0</v>
      </c>
      <c r="BB245" s="261">
        <f t="shared" si="165"/>
        <v>-248275400</v>
      </c>
      <c r="BC245" s="184"/>
      <c r="BD245" s="184"/>
      <c r="BE245" s="184"/>
      <c r="BF245" s="184"/>
    </row>
    <row r="246" spans="1:58" ht="94.5" x14ac:dyDescent="0.25">
      <c r="A246" s="172"/>
      <c r="B246" s="200"/>
      <c r="C246" s="201"/>
      <c r="D246" s="346"/>
      <c r="E246" s="355"/>
      <c r="F246" s="355"/>
      <c r="G246" s="356"/>
      <c r="H246" s="199" t="s">
        <v>320</v>
      </c>
      <c r="I246" s="178" t="s">
        <v>3</v>
      </c>
      <c r="J246" s="174">
        <v>3</v>
      </c>
      <c r="K246" s="174">
        <v>6</v>
      </c>
      <c r="L246" s="125">
        <f>IF(I246&lt;&gt;0,((VLOOKUP(I246,'1. Standard_Cost'!$B$4:$D$11,2)+VLOOKUP(I246,'1. Standard_Cost'!$B$4:$D$11,3))*J246*K246),"0")</f>
        <v>1814400</v>
      </c>
      <c r="M246" s="125">
        <f>L246*'1. Standard_Cost'!$F$4</f>
        <v>303004.79999999999</v>
      </c>
      <c r="N246" s="174"/>
      <c r="O246" s="174"/>
      <c r="P246" s="174"/>
      <c r="Q246" s="174"/>
      <c r="R246" s="127">
        <f>'1. Standard_Cost'!$B$15*N246*P246</f>
        <v>0</v>
      </c>
      <c r="S246" s="127">
        <f>N246*O246*P246*'1. Standard_Cost'!$C$15</f>
        <v>0</v>
      </c>
      <c r="T246" s="127">
        <f>N246*P246*Q246*'1. Standard_Cost'!$D$15</f>
        <v>0</v>
      </c>
      <c r="U246" s="127">
        <f>N246*O246*'1. Standard_Cost'!$E$15</f>
        <v>0</v>
      </c>
      <c r="V246" s="174"/>
      <c r="W246" s="174"/>
      <c r="X246" s="174"/>
      <c r="Y246" s="127">
        <f>+V246*((X246*'1. Standard_Cost'!$B$19)+(W246*X246*'1. Standard_Cost'!$C$19))</f>
        <v>0</v>
      </c>
      <c r="Z246" s="174"/>
      <c r="AA246" s="174"/>
      <c r="AB246" s="127">
        <v>0</v>
      </c>
      <c r="AC246" s="176"/>
      <c r="AD246" s="177">
        <f>246000000*25%</f>
        <v>61500000</v>
      </c>
      <c r="AE246" s="127"/>
      <c r="AF246" s="127">
        <f>SUM(AE246,AD246,AC246,AB246,Y246,U246,T246,S246,R246)</f>
        <v>61500000</v>
      </c>
      <c r="AG246" s="174"/>
      <c r="AH246" s="174"/>
      <c r="AI246" s="174"/>
      <c r="AJ246" s="178"/>
      <c r="AK246" s="178"/>
      <c r="AL246" s="178"/>
      <c r="AM246" s="127">
        <f>AG246*'1. Standard_Cost'!$B$27+'Incremental_Cost Year 9'!AH246*'1. Standard_Cost'!$C$27+'Incremental_Cost Year 9'!AI246*'1. Standard_Cost'!$D$27+'Incremental_Cost Year 9'!AJ246+'Incremental_Cost Year 9'!AL246+AK246</f>
        <v>0</v>
      </c>
      <c r="AN246" s="127">
        <f>AM246*'1. Standard_Cost'!$C$31</f>
        <v>0</v>
      </c>
      <c r="AO246" s="178"/>
      <c r="AP246" s="256"/>
      <c r="AQ246" s="171">
        <f>L246+M246</f>
        <v>2117404.7999999998</v>
      </c>
      <c r="AR246" s="171">
        <f>AF246</f>
        <v>61500000</v>
      </c>
      <c r="AS246" s="171">
        <f>AM246+AN246</f>
        <v>0</v>
      </c>
      <c r="AT246" s="171">
        <f>SUM(AQ246,AR246,AS246)</f>
        <v>63617404.799999997</v>
      </c>
      <c r="AU246" s="250">
        <f>AQ246</f>
        <v>2117404.7999999998</v>
      </c>
      <c r="AV246" s="250"/>
      <c r="AW246" s="250"/>
      <c r="AX246" s="250"/>
      <c r="AY246" s="250"/>
      <c r="AZ246" s="250"/>
      <c r="BA246" s="250"/>
      <c r="BB246" s="251">
        <f t="shared" ref="BB246:BB249" si="166">SUM(AU246:BA246)-AT246</f>
        <v>-61500000</v>
      </c>
      <c r="BC246" s="169"/>
      <c r="BD246" s="169"/>
      <c r="BE246" s="169"/>
      <c r="BF246" s="169"/>
    </row>
    <row r="247" spans="1:58" ht="63" x14ac:dyDescent="0.25">
      <c r="A247" s="172"/>
      <c r="B247" s="200"/>
      <c r="C247" s="201"/>
      <c r="D247" s="203"/>
      <c r="E247" s="358"/>
      <c r="F247" s="358"/>
      <c r="G247" s="359"/>
      <c r="H247" s="199" t="s">
        <v>321</v>
      </c>
      <c r="I247" s="178" t="s">
        <v>3</v>
      </c>
      <c r="J247" s="174">
        <v>0.5</v>
      </c>
      <c r="K247" s="174">
        <v>1</v>
      </c>
      <c r="L247" s="125">
        <f>IF(I247&lt;&gt;0,((VLOOKUP(I247,'1. Standard_Cost'!$B$4:$D$11,2)+VLOOKUP(I247,'1. Standard_Cost'!$B$4:$D$11,3))*J247*K247),"0")</f>
        <v>50400</v>
      </c>
      <c r="M247" s="125">
        <f>L247*'1. Standard_Cost'!$F$4</f>
        <v>8416.8000000000011</v>
      </c>
      <c r="N247" s="174"/>
      <c r="O247" s="174"/>
      <c r="P247" s="174"/>
      <c r="Q247" s="174"/>
      <c r="R247" s="127">
        <f>'1. Standard_Cost'!$B$15*N247*P247</f>
        <v>0</v>
      </c>
      <c r="S247" s="127">
        <f>N247*O247*P247*'1. Standard_Cost'!$C$15</f>
        <v>0</v>
      </c>
      <c r="T247" s="127">
        <f>N247*P247*Q247*'1. Standard_Cost'!$D$15</f>
        <v>0</v>
      </c>
      <c r="U247" s="127">
        <f>N247*O247*'1. Standard_Cost'!$E$15</f>
        <v>0</v>
      </c>
      <c r="V247" s="174"/>
      <c r="W247" s="174"/>
      <c r="X247" s="174"/>
      <c r="Y247" s="127">
        <f>+V247*((X247*'1. Standard_Cost'!$B$19)+(W247*X247*'1. Standard_Cost'!$C$19))</f>
        <v>0</v>
      </c>
      <c r="Z247" s="174"/>
      <c r="AA247" s="174"/>
      <c r="AB247" s="127">
        <v>0</v>
      </c>
      <c r="AC247" s="176">
        <v>1500000</v>
      </c>
      <c r="AD247" s="177"/>
      <c r="AE247" s="127"/>
      <c r="AF247" s="127">
        <f>SUM(AE247,AD247,AC247,AB247,Y247,U247,T247,S247,R247)</f>
        <v>1500000</v>
      </c>
      <c r="AG247" s="174"/>
      <c r="AH247" s="174"/>
      <c r="AI247" s="174"/>
      <c r="AJ247" s="178"/>
      <c r="AK247" s="178"/>
      <c r="AL247" s="178"/>
      <c r="AM247" s="127">
        <f>AG247*'1. Standard_Cost'!$B$27+'Incremental_Cost Year 9'!AH247*'1. Standard_Cost'!$C$27+'Incremental_Cost Year 9'!AI247*'1. Standard_Cost'!$D$27+'Incremental_Cost Year 9'!AJ247+'Incremental_Cost Year 9'!AL247+AK247</f>
        <v>0</v>
      </c>
      <c r="AN247" s="127">
        <f>AM247*'1. Standard_Cost'!$C$31</f>
        <v>0</v>
      </c>
      <c r="AO247" s="178"/>
      <c r="AP247" s="256"/>
      <c r="AQ247" s="171">
        <f>L247+M247</f>
        <v>58816.800000000003</v>
      </c>
      <c r="AR247" s="171">
        <f>AF247</f>
        <v>1500000</v>
      </c>
      <c r="AS247" s="171">
        <f>AM247+AN247</f>
        <v>0</v>
      </c>
      <c r="AT247" s="171">
        <f>SUM(AQ247,AR247,AS247)</f>
        <v>1558816.8</v>
      </c>
      <c r="AU247" s="250">
        <f>AQ247</f>
        <v>58816.800000000003</v>
      </c>
      <c r="AV247" s="250"/>
      <c r="AW247" s="250"/>
      <c r="AX247" s="250"/>
      <c r="AY247" s="250"/>
      <c r="AZ247" s="250"/>
      <c r="BA247" s="250"/>
      <c r="BB247" s="251">
        <f t="shared" si="166"/>
        <v>-1500000</v>
      </c>
      <c r="BC247" s="169"/>
      <c r="BD247" s="169"/>
      <c r="BE247" s="169"/>
      <c r="BF247" s="169"/>
    </row>
    <row r="248" spans="1:58" ht="110.25" x14ac:dyDescent="0.25">
      <c r="A248" s="172"/>
      <c r="B248" s="200"/>
      <c r="C248" s="201"/>
      <c r="D248" s="203"/>
      <c r="E248" s="358"/>
      <c r="F248" s="358"/>
      <c r="G248" s="359"/>
      <c r="H248" s="213" t="s">
        <v>322</v>
      </c>
      <c r="I248" s="178" t="s">
        <v>3</v>
      </c>
      <c r="J248" s="174">
        <v>0.5</v>
      </c>
      <c r="K248" s="174">
        <v>2</v>
      </c>
      <c r="L248" s="125">
        <f>IF(I248&lt;&gt;0,((VLOOKUP(I248,'1. Standard_Cost'!$B$4:$D$11,2)+VLOOKUP(I248,'1. Standard_Cost'!$B$4:$D$11,3))*J248*K248),"0")</f>
        <v>100800</v>
      </c>
      <c r="M248" s="125">
        <f>L248*'1. Standard_Cost'!$F$4</f>
        <v>16833.600000000002</v>
      </c>
      <c r="N248" s="174"/>
      <c r="O248" s="174"/>
      <c r="P248" s="174"/>
      <c r="Q248" s="174"/>
      <c r="R248" s="127">
        <f>'1. Standard_Cost'!$B$15*N248*P248</f>
        <v>0</v>
      </c>
      <c r="S248" s="127">
        <f>N248*O248*P248*'1. Standard_Cost'!$C$15</f>
        <v>0</v>
      </c>
      <c r="T248" s="127">
        <f>N248*P248*Q248*'1. Standard_Cost'!$D$15</f>
        <v>0</v>
      </c>
      <c r="U248" s="127">
        <f>N248*O248*'1. Standard_Cost'!$E$15</f>
        <v>0</v>
      </c>
      <c r="V248" s="174"/>
      <c r="W248" s="174"/>
      <c r="X248" s="174"/>
      <c r="Y248" s="127">
        <f>+V248*((X248*'1. Standard_Cost'!$B$19)+(W248*X248*'1. Standard_Cost'!$C$19))</f>
        <v>0</v>
      </c>
      <c r="Z248" s="174"/>
      <c r="AA248" s="174"/>
      <c r="AB248" s="127">
        <v>0</v>
      </c>
      <c r="AC248" s="176">
        <f>1000000*50</f>
        <v>50000000</v>
      </c>
      <c r="AD248" s="177"/>
      <c r="AE248" s="127"/>
      <c r="AF248" s="127">
        <f>SUM(AE248,AD248,AC248,AB248,Y248,U248,T248,S248,R248)</f>
        <v>50000000</v>
      </c>
      <c r="AG248" s="174"/>
      <c r="AH248" s="174"/>
      <c r="AI248" s="174"/>
      <c r="AJ248" s="178"/>
      <c r="AK248" s="178"/>
      <c r="AL248" s="178"/>
      <c r="AM248" s="127">
        <f>AG248*'1. Standard_Cost'!$B$27+'Incremental_Cost Year 9'!AH248*'1. Standard_Cost'!$C$27+'Incremental_Cost Year 9'!AI248*'1. Standard_Cost'!$D$27+'Incremental_Cost Year 9'!AJ248+'Incremental_Cost Year 9'!AL248+AK248</f>
        <v>0</v>
      </c>
      <c r="AN248" s="127">
        <f>AM248*'1. Standard_Cost'!$C$31</f>
        <v>0</v>
      </c>
      <c r="AO248" s="178"/>
      <c r="AP248" s="256"/>
      <c r="AQ248" s="171">
        <f>L248+M248</f>
        <v>117633.60000000001</v>
      </c>
      <c r="AR248" s="171">
        <f>AF248</f>
        <v>50000000</v>
      </c>
      <c r="AS248" s="171">
        <f>AM248+AN248</f>
        <v>0</v>
      </c>
      <c r="AT248" s="171">
        <f>SUM(AQ248,AR248,AS248)</f>
        <v>50117633.600000001</v>
      </c>
      <c r="AU248" s="250">
        <f>AQ248</f>
        <v>117633.60000000001</v>
      </c>
      <c r="AV248" s="250"/>
      <c r="AW248" s="250"/>
      <c r="AX248" s="250"/>
      <c r="AY248" s="250"/>
      <c r="AZ248" s="250"/>
      <c r="BA248" s="250"/>
      <c r="BB248" s="251">
        <f t="shared" si="166"/>
        <v>-50000000</v>
      </c>
      <c r="BC248" s="169"/>
      <c r="BD248" s="169"/>
      <c r="BE248" s="169"/>
      <c r="BF248" s="169"/>
    </row>
    <row r="249" spans="1:58" ht="47.25" x14ac:dyDescent="0.25">
      <c r="A249" s="172"/>
      <c r="B249" s="200"/>
      <c r="C249" s="201"/>
      <c r="D249" s="133"/>
      <c r="E249" s="361"/>
      <c r="F249" s="361"/>
      <c r="G249" s="362"/>
      <c r="H249" s="199" t="s">
        <v>323</v>
      </c>
      <c r="I249" s="178"/>
      <c r="J249" s="174"/>
      <c r="K249" s="174"/>
      <c r="L249" s="125" t="str">
        <f>IF(I249&lt;&gt;0,((VLOOKUP(I249,'1. Standard_Cost'!$B$4:$D$11,2)+VLOOKUP(I249,'1. Standard_Cost'!$B$4:$D$11,3))*J249*K249),"0")</f>
        <v>0</v>
      </c>
      <c r="M249" s="125">
        <f>L249*'1. Standard_Cost'!$F$4</f>
        <v>0</v>
      </c>
      <c r="N249" s="174"/>
      <c r="O249" s="174"/>
      <c r="P249" s="174"/>
      <c r="Q249" s="174"/>
      <c r="R249" s="127">
        <f>'1. Standard_Cost'!$B$15*N249*P249</f>
        <v>0</v>
      </c>
      <c r="S249" s="127">
        <f>N249*O249*P249*'1. Standard_Cost'!$C$15</f>
        <v>0</v>
      </c>
      <c r="T249" s="127">
        <f>N249*P249*Q249*'1. Standard_Cost'!$D$15</f>
        <v>0</v>
      </c>
      <c r="U249" s="127">
        <f>N249*O249*'1. Standard_Cost'!$E$15</f>
        <v>0</v>
      </c>
      <c r="V249" s="174"/>
      <c r="W249" s="174"/>
      <c r="X249" s="174"/>
      <c r="Y249" s="127">
        <f>+V249*((X249*'1. Standard_Cost'!$B$19)+(W249*X249*'1. Standard_Cost'!$C$19))</f>
        <v>0</v>
      </c>
      <c r="Z249" s="174"/>
      <c r="AA249" s="174"/>
      <c r="AB249" s="127">
        <v>0</v>
      </c>
      <c r="AC249" s="176"/>
      <c r="AD249" s="177"/>
      <c r="AE249" s="127">
        <f>SUM(AD249,AC249,AB249,Y249,U249,T249,S249,R249)*'1. Standard_Cost'!$B$31</f>
        <v>0</v>
      </c>
      <c r="AF249" s="127">
        <f>SUM(AE249,AD249,AC249,AB249,Y249,U249,T249,S249,R249)</f>
        <v>0</v>
      </c>
      <c r="AG249" s="174"/>
      <c r="AH249" s="174"/>
      <c r="AI249" s="174"/>
      <c r="AJ249" s="178"/>
      <c r="AK249" s="178"/>
      <c r="AL249" s="178"/>
      <c r="AM249" s="127">
        <f>AG249*'1. Standard_Cost'!$B$27+'Incremental_Cost Year 9'!AH249*'1. Standard_Cost'!$C$27+'Incremental_Cost Year 9'!AI249*'1. Standard_Cost'!$D$27+'Incremental_Cost Year 9'!AJ249+'Incremental_Cost Year 9'!AL249+AK249</f>
        <v>0</v>
      </c>
      <c r="AN249" s="127">
        <f>AM249*'1. Standard_Cost'!$C$31</f>
        <v>0</v>
      </c>
      <c r="AO249" s="178"/>
      <c r="AP249" s="256"/>
      <c r="AQ249" s="171">
        <f>L249+M249</f>
        <v>0</v>
      </c>
      <c r="AR249" s="171">
        <f>AF249</f>
        <v>0</v>
      </c>
      <c r="AS249" s="171">
        <f>AM249+AN249</f>
        <v>0</v>
      </c>
      <c r="AT249" s="171">
        <f>SUM(AQ249,AR249,AS249)</f>
        <v>0</v>
      </c>
      <c r="AU249" s="250"/>
      <c r="AV249" s="250"/>
      <c r="AW249" s="250"/>
      <c r="AX249" s="250"/>
      <c r="AY249" s="250"/>
      <c r="AZ249" s="250"/>
      <c r="BA249" s="250"/>
      <c r="BB249" s="251">
        <f t="shared" si="166"/>
        <v>0</v>
      </c>
      <c r="BC249" s="169"/>
      <c r="BD249" s="169"/>
      <c r="BE249" s="169"/>
      <c r="BF249" s="169"/>
    </row>
    <row r="250" spans="1:58" ht="30" x14ac:dyDescent="0.25">
      <c r="A250" s="172"/>
      <c r="B250" s="363"/>
      <c r="C250" s="364"/>
      <c r="D250" s="365" t="s">
        <v>559</v>
      </c>
      <c r="E250" s="365" t="s">
        <v>324</v>
      </c>
      <c r="F250" s="366">
        <v>2025</v>
      </c>
      <c r="G250" s="209">
        <v>2030</v>
      </c>
      <c r="H250" s="180" t="s">
        <v>325</v>
      </c>
      <c r="I250" s="273"/>
      <c r="J250" s="273"/>
      <c r="K250" s="273"/>
      <c r="L250" s="175">
        <f>SUM(L246:L249)</f>
        <v>1965600</v>
      </c>
      <c r="M250" s="175">
        <f>SUM(M246:M249)</f>
        <v>328255.19999999995</v>
      </c>
      <c r="N250" s="273"/>
      <c r="O250" s="273"/>
      <c r="P250" s="273"/>
      <c r="Q250" s="273"/>
      <c r="R250" s="175">
        <f>SUM(R246:R249)</f>
        <v>0</v>
      </c>
      <c r="S250" s="175">
        <f>SUM(S246:S249)</f>
        <v>0</v>
      </c>
      <c r="T250" s="175">
        <f>SUM(T246:T249)</f>
        <v>0</v>
      </c>
      <c r="U250" s="175">
        <f>SUM(U246:U249)</f>
        <v>0</v>
      </c>
      <c r="V250" s="273"/>
      <c r="W250" s="273"/>
      <c r="X250" s="273"/>
      <c r="Y250" s="175">
        <f>SUM(Y246:Y249)</f>
        <v>0</v>
      </c>
      <c r="Z250" s="273"/>
      <c r="AA250" s="273"/>
      <c r="AB250" s="175">
        <f>SUM(AB246:AB249)</f>
        <v>0</v>
      </c>
      <c r="AC250" s="175">
        <f>SUM(AC246:AC249)</f>
        <v>51500000</v>
      </c>
      <c r="AD250" s="175">
        <f>SUM(AD246:AD249)</f>
        <v>61500000</v>
      </c>
      <c r="AE250" s="175">
        <f>SUM(AE246:AE249)</f>
        <v>0</v>
      </c>
      <c r="AF250" s="175">
        <f>SUM(AF246:AF249)</f>
        <v>113000000</v>
      </c>
      <c r="AG250" s="273"/>
      <c r="AH250" s="273"/>
      <c r="AI250" s="273"/>
      <c r="AJ250" s="175">
        <f>SUM(AJ246:AJ249)</f>
        <v>0</v>
      </c>
      <c r="AK250" s="175">
        <f>SUM(AK246:AK249)</f>
        <v>0</v>
      </c>
      <c r="AL250" s="175">
        <f>SUM(AL246:AL249)</f>
        <v>0</v>
      </c>
      <c r="AM250" s="175">
        <f>SUM(AM246:AM249)</f>
        <v>0</v>
      </c>
      <c r="AN250" s="175">
        <f>SUM(AN246:AN249)</f>
        <v>0</v>
      </c>
      <c r="AO250" s="274"/>
      <c r="AP250" s="254"/>
      <c r="AQ250" s="175">
        <f t="shared" ref="AQ250:AT250" si="167">SUM(AQ246:AQ249)</f>
        <v>2293855.1999999997</v>
      </c>
      <c r="AR250" s="175">
        <f t="shared" si="167"/>
        <v>113000000</v>
      </c>
      <c r="AS250" s="175">
        <f t="shared" si="167"/>
        <v>0</v>
      </c>
      <c r="AT250" s="175">
        <f t="shared" si="167"/>
        <v>115293855.19999999</v>
      </c>
      <c r="AU250" s="175">
        <f t="shared" ref="AU250:BB250" si="168">SUM(AU246:AU249)</f>
        <v>2293855.1999999997</v>
      </c>
      <c r="AV250" s="175">
        <f t="shared" si="168"/>
        <v>0</v>
      </c>
      <c r="AW250" s="175">
        <f t="shared" si="168"/>
        <v>0</v>
      </c>
      <c r="AX250" s="175">
        <f t="shared" si="168"/>
        <v>0</v>
      </c>
      <c r="AY250" s="175">
        <f t="shared" si="168"/>
        <v>0</v>
      </c>
      <c r="AZ250" s="175">
        <f t="shared" si="168"/>
        <v>0</v>
      </c>
      <c r="BA250" s="175">
        <f t="shared" si="168"/>
        <v>0</v>
      </c>
      <c r="BB250" s="175">
        <f t="shared" si="168"/>
        <v>-113000000</v>
      </c>
      <c r="BC250" s="169"/>
      <c r="BD250" s="169"/>
      <c r="BE250" s="169"/>
      <c r="BF250" s="169"/>
    </row>
    <row r="251" spans="1:58" ht="110.25" x14ac:dyDescent="0.25">
      <c r="A251" s="172"/>
      <c r="B251" s="200"/>
      <c r="C251" s="201"/>
      <c r="D251" s="202"/>
      <c r="E251" s="354"/>
      <c r="F251" s="355"/>
      <c r="G251" s="356"/>
      <c r="H251" s="213" t="s">
        <v>361</v>
      </c>
      <c r="I251" s="178"/>
      <c r="J251" s="174"/>
      <c r="K251" s="174"/>
      <c r="L251" s="125" t="str">
        <f>IF(I251&lt;&gt;0,((VLOOKUP(I251,'1. Standard_Cost'!$B$4:$D$11,2)+VLOOKUP(I251,'1. Standard_Cost'!$B$4:$D$11,3))*J251*K251),"0")</f>
        <v>0</v>
      </c>
      <c r="M251" s="125">
        <f>L251*'1. Standard_Cost'!$F$4</f>
        <v>0</v>
      </c>
      <c r="N251" s="174"/>
      <c r="O251" s="174"/>
      <c r="P251" s="174"/>
      <c r="Q251" s="174"/>
      <c r="R251" s="127">
        <f>'1. Standard_Cost'!$B$15*N251*P251</f>
        <v>0</v>
      </c>
      <c r="S251" s="127">
        <f>N251*O251*P251*'1. Standard_Cost'!$C$15</f>
        <v>0</v>
      </c>
      <c r="T251" s="127">
        <f>N251*P251*Q251*'1. Standard_Cost'!$D$15</f>
        <v>0</v>
      </c>
      <c r="U251" s="127">
        <f>N251*O251*'1. Standard_Cost'!$E$15</f>
        <v>0</v>
      </c>
      <c r="V251" s="174"/>
      <c r="W251" s="174"/>
      <c r="X251" s="174"/>
      <c r="Y251" s="127">
        <f>+V251*((X251*'1. Standard_Cost'!$B$19)+(W251*X251*'1. Standard_Cost'!$C$19))</f>
        <v>0</v>
      </c>
      <c r="Z251" s="174"/>
      <c r="AA251" s="174"/>
      <c r="AB251" s="127">
        <v>0</v>
      </c>
      <c r="AC251" s="176"/>
      <c r="AD251" s="177"/>
      <c r="AE251" s="127">
        <f>SUM(AD251,AC251,AB251,Y251,U251,T251,S251,R251)*'1. Standard_Cost'!$B$31</f>
        <v>0</v>
      </c>
      <c r="AF251" s="127">
        <f>SUM(AE251,AD251,AC251,AB251,Y251,U251,T251,S251,R251)</f>
        <v>0</v>
      </c>
      <c r="AG251" s="174"/>
      <c r="AH251" s="174"/>
      <c r="AI251" s="174"/>
      <c r="AJ251" s="178"/>
      <c r="AK251" s="178"/>
      <c r="AL251" s="178"/>
      <c r="AM251" s="127">
        <f>AG251*'1. Standard_Cost'!$B$27+'Incremental_Cost Year 9'!AH251*'1. Standard_Cost'!$C$27+'Incremental_Cost Year 9'!AI251*'1. Standard_Cost'!$D$27+'Incremental_Cost Year 9'!AJ251+'Incremental_Cost Year 9'!AL251+AK251</f>
        <v>0</v>
      </c>
      <c r="AN251" s="127">
        <f>AM251*'1. Standard_Cost'!$C$31</f>
        <v>0</v>
      </c>
      <c r="AO251" s="178"/>
      <c r="AP251" s="256"/>
      <c r="AQ251" s="171">
        <f>L251+M251</f>
        <v>0</v>
      </c>
      <c r="AR251" s="171">
        <f>AF251</f>
        <v>0</v>
      </c>
      <c r="AS251" s="171">
        <f>AM251+AN251</f>
        <v>0</v>
      </c>
      <c r="AT251" s="171">
        <f>SUM(AQ251,AR251,AS251)</f>
        <v>0</v>
      </c>
      <c r="AU251" s="250"/>
      <c r="AV251" s="250"/>
      <c r="AW251" s="250">
        <f>AT251</f>
        <v>0</v>
      </c>
      <c r="AX251" s="250"/>
      <c r="AY251" s="250"/>
      <c r="AZ251" s="250"/>
      <c r="BA251" s="250"/>
      <c r="BB251" s="251">
        <f t="shared" ref="BB251:BB253" si="169">SUM(AU251:BA251)-AT251</f>
        <v>0</v>
      </c>
      <c r="BC251" s="169"/>
      <c r="BD251" s="169"/>
      <c r="BE251" s="169"/>
      <c r="BF251" s="169"/>
    </row>
    <row r="252" spans="1:58" ht="189" x14ac:dyDescent="0.25">
      <c r="A252" s="172"/>
      <c r="B252" s="200"/>
      <c r="C252" s="201"/>
      <c r="D252" s="202"/>
      <c r="E252" s="357"/>
      <c r="F252" s="358"/>
      <c r="G252" s="359"/>
      <c r="H252" s="199" t="s">
        <v>326</v>
      </c>
      <c r="I252" s="178" t="s">
        <v>3</v>
      </c>
      <c r="J252" s="174">
        <v>3</v>
      </c>
      <c r="K252" s="174">
        <v>3</v>
      </c>
      <c r="L252" s="125">
        <f>IF(I252&lt;&gt;0,((VLOOKUP(I252,'1. Standard_Cost'!$B$4:$D$11,2)+VLOOKUP(I252,'1. Standard_Cost'!$B$4:$D$11,3))*J252*K252),"0")</f>
        <v>907200</v>
      </c>
      <c r="M252" s="125">
        <f>L252*'1. Standard_Cost'!$F$4</f>
        <v>151502.39999999999</v>
      </c>
      <c r="N252" s="174">
        <v>30</v>
      </c>
      <c r="O252" s="174">
        <v>1</v>
      </c>
      <c r="P252" s="174">
        <v>20</v>
      </c>
      <c r="Q252" s="174"/>
      <c r="R252" s="127">
        <f>'1. Standard_Cost'!$B$15*N252*P252</f>
        <v>1200000</v>
      </c>
      <c r="S252" s="127">
        <f>N252*O252*P252*'1. Standard_Cost'!$C$15</f>
        <v>900000</v>
      </c>
      <c r="T252" s="127">
        <f>N252*P252*Q252*'1. Standard_Cost'!$D$15</f>
        <v>0</v>
      </c>
      <c r="U252" s="127">
        <f>N252*O252*'1. Standard_Cost'!$E$15</f>
        <v>1200000</v>
      </c>
      <c r="V252" s="174"/>
      <c r="W252" s="174"/>
      <c r="X252" s="174"/>
      <c r="Y252" s="127">
        <f>+V252*((X252*'1. Standard_Cost'!$B$19)+(W252*X252*'1. Standard_Cost'!$C$19))</f>
        <v>0</v>
      </c>
      <c r="Z252" s="174"/>
      <c r="AA252" s="174">
        <v>33</v>
      </c>
      <c r="AB252" s="127">
        <v>627000</v>
      </c>
      <c r="AC252" s="176">
        <f>600*300</f>
        <v>180000</v>
      </c>
      <c r="AD252" s="177"/>
      <c r="AE252" s="127"/>
      <c r="AF252" s="127">
        <f>SUM(AE252,AD252,AC252,AB252,Y252,U252,T252,S252,R252)</f>
        <v>4107000</v>
      </c>
      <c r="AG252" s="174"/>
      <c r="AH252" s="174"/>
      <c r="AI252" s="174"/>
      <c r="AJ252" s="178"/>
      <c r="AK252" s="178"/>
      <c r="AL252" s="178"/>
      <c r="AM252" s="127">
        <f>AG252*'1. Standard_Cost'!$B$27+'Incremental_Cost Year 9'!AH252*'1. Standard_Cost'!$C$27+'Incremental_Cost Year 9'!AI252*'1. Standard_Cost'!$D$27+'Incremental_Cost Year 9'!AJ252+'Incremental_Cost Year 9'!AL252+AK252</f>
        <v>0</v>
      </c>
      <c r="AN252" s="127">
        <f>AM252*'1. Standard_Cost'!$C$31</f>
        <v>0</v>
      </c>
      <c r="AO252" s="178"/>
      <c r="AP252" s="256"/>
      <c r="AQ252" s="171">
        <f>L252+M252</f>
        <v>1058702.3999999999</v>
      </c>
      <c r="AR252" s="171">
        <f>AF252</f>
        <v>4107000</v>
      </c>
      <c r="AS252" s="171">
        <f>AM252+AN252</f>
        <v>0</v>
      </c>
      <c r="AT252" s="171">
        <f>SUM(AQ252,AR252,AS252)</f>
        <v>5165702.4000000004</v>
      </c>
      <c r="AU252" s="250">
        <f>AQ252</f>
        <v>1058702.3999999999</v>
      </c>
      <c r="AV252" s="250"/>
      <c r="AW252" s="250"/>
      <c r="AX252" s="250"/>
      <c r="AY252" s="250"/>
      <c r="AZ252" s="250"/>
      <c r="BA252" s="250"/>
      <c r="BB252" s="251">
        <f t="shared" si="169"/>
        <v>-4107000.0000000005</v>
      </c>
      <c r="BC252" s="169"/>
      <c r="BD252" s="169"/>
      <c r="BE252" s="169"/>
      <c r="BF252" s="169"/>
    </row>
    <row r="253" spans="1:58" ht="141.75" x14ac:dyDescent="0.25">
      <c r="A253" s="172"/>
      <c r="B253" s="200"/>
      <c r="C253" s="201"/>
      <c r="D253" s="202"/>
      <c r="E253" s="360"/>
      <c r="F253" s="361"/>
      <c r="G253" s="362"/>
      <c r="H253" s="199" t="s">
        <v>327</v>
      </c>
      <c r="I253" s="178" t="s">
        <v>3</v>
      </c>
      <c r="J253" s="174">
        <v>3</v>
      </c>
      <c r="K253" s="174">
        <v>3</v>
      </c>
      <c r="L253" s="125">
        <f>IF(I253&lt;&gt;0,((VLOOKUP(I253,'1. Standard_Cost'!$B$4:$D$11,2)+VLOOKUP(I253,'1. Standard_Cost'!$B$4:$D$11,3))*J253*K253),"0")</f>
        <v>907200</v>
      </c>
      <c r="M253" s="125">
        <f>L253*'1. Standard_Cost'!$F$4</f>
        <v>151502.39999999999</v>
      </c>
      <c r="N253" s="174">
        <v>50</v>
      </c>
      <c r="O253" s="174">
        <v>1</v>
      </c>
      <c r="P253" s="174">
        <v>20</v>
      </c>
      <c r="Q253" s="174"/>
      <c r="R253" s="127">
        <f>'1. Standard_Cost'!$B$15*N253*P253</f>
        <v>2000000</v>
      </c>
      <c r="S253" s="127">
        <f>N253*O253*P253*'1. Standard_Cost'!$C$15</f>
        <v>1500000</v>
      </c>
      <c r="T253" s="127">
        <f>N253*P253*Q253*'1. Standard_Cost'!$D$15</f>
        <v>0</v>
      </c>
      <c r="U253" s="127">
        <f>N253*O253*'1. Standard_Cost'!$E$15</f>
        <v>2000000</v>
      </c>
      <c r="V253" s="174"/>
      <c r="W253" s="174"/>
      <c r="X253" s="174"/>
      <c r="Y253" s="127">
        <f>+V253*((X253*'1. Standard_Cost'!$B$19)+(W253*X253*'1. Standard_Cost'!$C$19))</f>
        <v>0</v>
      </c>
      <c r="Z253" s="174"/>
      <c r="AA253" s="174">
        <v>53</v>
      </c>
      <c r="AB253" s="127">
        <v>1007000</v>
      </c>
      <c r="AC253" s="176">
        <f>1000*300</f>
        <v>300000</v>
      </c>
      <c r="AD253" s="177"/>
      <c r="AE253" s="127">
        <f>SUM(AD253,AC253,AB253,Y253,U253,T253,S253,R253)*'1. Standard_Cost'!$B$31</f>
        <v>1361400</v>
      </c>
      <c r="AF253" s="127">
        <f>SUM(AE253,AD253,AC253,AB253,Y253,U253,T253,S253,R253)</f>
        <v>8168400</v>
      </c>
      <c r="AG253" s="174"/>
      <c r="AH253" s="174"/>
      <c r="AI253" s="174"/>
      <c r="AJ253" s="178"/>
      <c r="AK253" s="178"/>
      <c r="AL253" s="178"/>
      <c r="AM253" s="127">
        <f>AG253*'1. Standard_Cost'!$B$27+'Incremental_Cost Year 9'!AH253*'1. Standard_Cost'!$C$27+'Incremental_Cost Year 9'!AI253*'1. Standard_Cost'!$D$27+'Incremental_Cost Year 9'!AJ253+'Incremental_Cost Year 9'!AL253+AK253</f>
        <v>0</v>
      </c>
      <c r="AN253" s="127">
        <f>AM253*'1. Standard_Cost'!$C$31</f>
        <v>0</v>
      </c>
      <c r="AO253" s="178"/>
      <c r="AP253" s="256"/>
      <c r="AQ253" s="171">
        <f>L253+M253</f>
        <v>1058702.3999999999</v>
      </c>
      <c r="AR253" s="171">
        <f>AF253</f>
        <v>8168400</v>
      </c>
      <c r="AS253" s="171">
        <f>AM253+AN253</f>
        <v>0</v>
      </c>
      <c r="AT253" s="171">
        <f>SUM(AQ253,AR253,AS253)</f>
        <v>9227102.4000000004</v>
      </c>
      <c r="AU253" s="250">
        <f>AQ253</f>
        <v>1058702.3999999999</v>
      </c>
      <c r="AV253" s="250"/>
      <c r="AW253" s="250"/>
      <c r="AX253" s="250"/>
      <c r="AY253" s="250"/>
      <c r="AZ253" s="250"/>
      <c r="BA253" s="250"/>
      <c r="BB253" s="251">
        <f t="shared" si="169"/>
        <v>-8168400</v>
      </c>
      <c r="BC253" s="169"/>
      <c r="BD253" s="169"/>
      <c r="BE253" s="169"/>
      <c r="BF253" s="169"/>
    </row>
    <row r="254" spans="1:58" ht="51" x14ac:dyDescent="0.2">
      <c r="A254" s="172"/>
      <c r="B254" s="168"/>
      <c r="C254" s="204"/>
      <c r="D254" s="195" t="s">
        <v>558</v>
      </c>
      <c r="E254" s="205" t="s">
        <v>328</v>
      </c>
      <c r="F254" s="206">
        <v>2021</v>
      </c>
      <c r="G254" s="209">
        <v>2030</v>
      </c>
      <c r="H254" s="180" t="s">
        <v>329</v>
      </c>
      <c r="I254" s="273"/>
      <c r="J254" s="273"/>
      <c r="K254" s="273"/>
      <c r="L254" s="175">
        <f>SUM(L251:L253)</f>
        <v>1814400</v>
      </c>
      <c r="M254" s="175">
        <f>SUM(M251:M253)</f>
        <v>303004.79999999999</v>
      </c>
      <c r="N254" s="273"/>
      <c r="O254" s="273"/>
      <c r="P254" s="273"/>
      <c r="Q254" s="273"/>
      <c r="R254" s="175">
        <f>SUM(R251:R253)</f>
        <v>3200000</v>
      </c>
      <c r="S254" s="175">
        <f>SUM(S251:S253)</f>
        <v>2400000</v>
      </c>
      <c r="T254" s="175">
        <f>SUM(T251:T253)</f>
        <v>0</v>
      </c>
      <c r="U254" s="175">
        <f>SUM(U251:U253)</f>
        <v>3200000</v>
      </c>
      <c r="V254" s="273"/>
      <c r="W254" s="273"/>
      <c r="X254" s="273"/>
      <c r="Y254" s="175">
        <f>SUM(Y251:Y253)</f>
        <v>0</v>
      </c>
      <c r="Z254" s="273"/>
      <c r="AA254" s="273"/>
      <c r="AB254" s="175">
        <f>SUM(AB251:AB253)</f>
        <v>1634000</v>
      </c>
      <c r="AC254" s="175">
        <f>SUM(AC251:AC253)</f>
        <v>480000</v>
      </c>
      <c r="AD254" s="175">
        <f>SUM(AD251:AD253)</f>
        <v>0</v>
      </c>
      <c r="AE254" s="175">
        <f>SUM(AE251:AE253)</f>
        <v>1361400</v>
      </c>
      <c r="AF254" s="175">
        <f>SUM(AF251:AF253)</f>
        <v>12275400</v>
      </c>
      <c r="AG254" s="273"/>
      <c r="AH254" s="273"/>
      <c r="AI254" s="273"/>
      <c r="AJ254" s="175">
        <f>SUM(AJ251:AJ253)</f>
        <v>0</v>
      </c>
      <c r="AK254" s="175">
        <f>SUM(AK251:AK253)</f>
        <v>0</v>
      </c>
      <c r="AL254" s="175">
        <f>SUM(AL251:AL253)</f>
        <v>0</v>
      </c>
      <c r="AM254" s="175">
        <f>SUM(AM251:AM253)</f>
        <v>0</v>
      </c>
      <c r="AN254" s="175">
        <f>SUM(AN251:AN253)</f>
        <v>0</v>
      </c>
      <c r="AO254" s="274"/>
      <c r="AP254" s="254"/>
      <c r="AQ254" s="175">
        <f t="shared" ref="AQ254:AT254" si="170">SUM(AQ251:AQ253)</f>
        <v>2117404.7999999998</v>
      </c>
      <c r="AR254" s="175">
        <f t="shared" si="170"/>
        <v>12275400</v>
      </c>
      <c r="AS254" s="175">
        <f t="shared" si="170"/>
        <v>0</v>
      </c>
      <c r="AT254" s="175">
        <f t="shared" si="170"/>
        <v>14392804.800000001</v>
      </c>
      <c r="AU254" s="175">
        <f t="shared" ref="AU254:BB254" si="171">SUM(AU251:AU253)</f>
        <v>2117404.7999999998</v>
      </c>
      <c r="AV254" s="175">
        <f t="shared" si="171"/>
        <v>0</v>
      </c>
      <c r="AW254" s="175">
        <f t="shared" si="171"/>
        <v>0</v>
      </c>
      <c r="AX254" s="175">
        <f t="shared" si="171"/>
        <v>0</v>
      </c>
      <c r="AY254" s="175">
        <f t="shared" si="171"/>
        <v>0</v>
      </c>
      <c r="AZ254" s="175">
        <f t="shared" si="171"/>
        <v>0</v>
      </c>
      <c r="BA254" s="175">
        <f t="shared" si="171"/>
        <v>0</v>
      </c>
      <c r="BB254" s="175">
        <f t="shared" si="171"/>
        <v>-12275400</v>
      </c>
      <c r="BC254" s="169"/>
      <c r="BD254" s="169"/>
      <c r="BE254" s="169"/>
      <c r="BF254" s="169"/>
    </row>
    <row r="255" spans="1:58" ht="78.75" x14ac:dyDescent="0.25">
      <c r="A255" s="172"/>
      <c r="B255" s="200"/>
      <c r="C255" s="201"/>
      <c r="D255" s="202"/>
      <c r="E255" s="354"/>
      <c r="F255" s="355"/>
      <c r="G255" s="356"/>
      <c r="H255" s="213" t="s">
        <v>330</v>
      </c>
      <c r="I255" s="178" t="s">
        <v>3</v>
      </c>
      <c r="J255" s="174">
        <v>1</v>
      </c>
      <c r="K255" s="174">
        <v>2</v>
      </c>
      <c r="L255" s="125">
        <f>IF(I255&lt;&gt;0,((VLOOKUP(I255,'1. Standard_Cost'!$B$4:$D$11,2)+VLOOKUP(I255,'1. Standard_Cost'!$B$4:$D$11,3))*J255*K255),"0")</f>
        <v>201600</v>
      </c>
      <c r="M255" s="125">
        <f>L255*'1. Standard_Cost'!$F$4</f>
        <v>33667.200000000004</v>
      </c>
      <c r="N255" s="174"/>
      <c r="O255" s="174"/>
      <c r="P255" s="174"/>
      <c r="Q255" s="174"/>
      <c r="R255" s="127">
        <f>'1. Standard_Cost'!$B$15*N255*P255</f>
        <v>0</v>
      </c>
      <c r="S255" s="127">
        <f>N255*O255*P255*'1. Standard_Cost'!$C$15</f>
        <v>0</v>
      </c>
      <c r="T255" s="127">
        <f>N255*P255*Q255*'1. Standard_Cost'!$D$15</f>
        <v>0</v>
      </c>
      <c r="U255" s="127">
        <f>N255*O255*'1. Standard_Cost'!$E$15</f>
        <v>0</v>
      </c>
      <c r="V255" s="174"/>
      <c r="W255" s="174"/>
      <c r="X255" s="174"/>
      <c r="Y255" s="127">
        <f>+V255*((X255*'1. Standard_Cost'!$B$19)+(W255*X255*'1. Standard_Cost'!$C$19))</f>
        <v>0</v>
      </c>
      <c r="Z255" s="174"/>
      <c r="AA255" s="174"/>
      <c r="AB255" s="127">
        <v>0</v>
      </c>
      <c r="AC255" s="176"/>
      <c r="AD255" s="177">
        <f>123000000*25%</f>
        <v>30750000</v>
      </c>
      <c r="AE255" s="127"/>
      <c r="AF255" s="127">
        <f>SUM(AE255,AD255,AC255,AB255,Y255,U255,T255,S255,R255)</f>
        <v>30750000</v>
      </c>
      <c r="AG255" s="174"/>
      <c r="AH255" s="174"/>
      <c r="AI255" s="174"/>
      <c r="AJ255" s="178"/>
      <c r="AK255" s="178"/>
      <c r="AL255" s="178"/>
      <c r="AM255" s="127">
        <f>AG255*'1. Standard_Cost'!$B$27+'Incremental_Cost Year 9'!AH255*'1. Standard_Cost'!$C$27+'Incremental_Cost Year 9'!AI255*'1. Standard_Cost'!$D$27+'Incremental_Cost Year 9'!AJ255+'Incremental_Cost Year 9'!AL255+AK255</f>
        <v>0</v>
      </c>
      <c r="AN255" s="127">
        <f>AM255*'1. Standard_Cost'!$C$31</f>
        <v>0</v>
      </c>
      <c r="AO255" s="178"/>
      <c r="AP255" s="256"/>
      <c r="AQ255" s="171">
        <f>L255+M255</f>
        <v>235267.20000000001</v>
      </c>
      <c r="AR255" s="171">
        <f>AF255</f>
        <v>30750000</v>
      </c>
      <c r="AS255" s="171">
        <f>AM255+AN255</f>
        <v>0</v>
      </c>
      <c r="AT255" s="171">
        <f>SUM(AQ255,AR255,AS255)</f>
        <v>30985267.199999999</v>
      </c>
      <c r="AU255" s="250">
        <f>AQ255</f>
        <v>235267.20000000001</v>
      </c>
      <c r="AV255" s="250"/>
      <c r="AW255" s="250"/>
      <c r="AX255" s="250"/>
      <c r="AY255" s="250"/>
      <c r="AZ255" s="250"/>
      <c r="BA255" s="250"/>
      <c r="BB255" s="251">
        <f t="shared" ref="BB255:BB257" si="172">SUM(AU255:BA255)-AT255</f>
        <v>-30750000</v>
      </c>
      <c r="BC255" s="169"/>
      <c r="BD255" s="169"/>
      <c r="BE255" s="169"/>
      <c r="BF255" s="169"/>
    </row>
    <row r="256" spans="1:58" ht="78.75" x14ac:dyDescent="0.25">
      <c r="A256" s="172"/>
      <c r="B256" s="200"/>
      <c r="C256" s="201"/>
      <c r="D256" s="202"/>
      <c r="E256" s="357"/>
      <c r="F256" s="358"/>
      <c r="G256" s="359"/>
      <c r="H256" s="199" t="s">
        <v>331</v>
      </c>
      <c r="I256" s="178" t="s">
        <v>3</v>
      </c>
      <c r="J256" s="174">
        <v>2</v>
      </c>
      <c r="K256" s="174">
        <v>6</v>
      </c>
      <c r="L256" s="125">
        <f>IF(I256&lt;&gt;0,((VLOOKUP(I256,'1. Standard_Cost'!$B$4:$D$11,2)+VLOOKUP(I256,'1. Standard_Cost'!$B$4:$D$11,3))*J256*K256),"0")</f>
        <v>1209600</v>
      </c>
      <c r="M256" s="125">
        <f>L256*'1. Standard_Cost'!$F$4</f>
        <v>202003.20000000001</v>
      </c>
      <c r="N256" s="174"/>
      <c r="O256" s="174"/>
      <c r="P256" s="174"/>
      <c r="Q256" s="174"/>
      <c r="R256" s="127">
        <f>'1. Standard_Cost'!$B$15*N256*P256</f>
        <v>0</v>
      </c>
      <c r="S256" s="127">
        <f>N256*O256*P256*'1. Standard_Cost'!$C$15</f>
        <v>0</v>
      </c>
      <c r="T256" s="127">
        <f>N256*P256*Q256*'1. Standard_Cost'!$D$15</f>
        <v>0</v>
      </c>
      <c r="U256" s="127">
        <f>N256*O256*'1. Standard_Cost'!$E$15</f>
        <v>0</v>
      </c>
      <c r="V256" s="174"/>
      <c r="W256" s="174"/>
      <c r="X256" s="174"/>
      <c r="Y256" s="127">
        <f>+V256*((X256*'1. Standard_Cost'!$B$19)+(W256*X256*'1. Standard_Cost'!$C$19))</f>
        <v>0</v>
      </c>
      <c r="Z256" s="174"/>
      <c r="AA256" s="174"/>
      <c r="AB256" s="127">
        <v>0</v>
      </c>
      <c r="AC256" s="176"/>
      <c r="AD256" s="177"/>
      <c r="AE256" s="127">
        <f>SUM(AD256,AC256,AB256,Y256,U256,T256,S256,R256)*'1. Standard_Cost'!$B$31</f>
        <v>0</v>
      </c>
      <c r="AF256" s="127">
        <f>SUM(AE256,AD256,AC256,AB256,Y256,U256,T256,S256,R256)</f>
        <v>0</v>
      </c>
      <c r="AG256" s="174"/>
      <c r="AH256" s="174"/>
      <c r="AI256" s="174"/>
      <c r="AJ256" s="178"/>
      <c r="AK256" s="178"/>
      <c r="AL256" s="178"/>
      <c r="AM256" s="127">
        <f>AG256*'1. Standard_Cost'!$B$27+'Incremental_Cost Year 9'!AH256*'1. Standard_Cost'!$C$27+'Incremental_Cost Year 9'!AI256*'1. Standard_Cost'!$D$27+'Incremental_Cost Year 9'!AJ256+'Incremental_Cost Year 9'!AL256+AK256</f>
        <v>0</v>
      </c>
      <c r="AN256" s="127">
        <f>AM256*'1. Standard_Cost'!$C$31</f>
        <v>0</v>
      </c>
      <c r="AO256" s="178"/>
      <c r="AP256" s="256"/>
      <c r="AQ256" s="171">
        <f>L256+M256</f>
        <v>1411603.2</v>
      </c>
      <c r="AR256" s="171">
        <f>AF256</f>
        <v>0</v>
      </c>
      <c r="AS256" s="171">
        <f>AM256+AN256</f>
        <v>0</v>
      </c>
      <c r="AT256" s="171">
        <f>SUM(AQ256,AR256,AS256)</f>
        <v>1411603.2</v>
      </c>
      <c r="AU256" s="250">
        <f>AT256</f>
        <v>1411603.2</v>
      </c>
      <c r="AV256" s="250"/>
      <c r="AW256" s="250"/>
      <c r="AX256" s="250"/>
      <c r="AY256" s="250"/>
      <c r="AZ256" s="250"/>
      <c r="BA256" s="250"/>
      <c r="BB256" s="251">
        <f t="shared" si="172"/>
        <v>0</v>
      </c>
      <c r="BC256" s="169"/>
      <c r="BD256" s="169"/>
      <c r="BE256" s="169"/>
      <c r="BF256" s="169"/>
    </row>
    <row r="257" spans="1:58" ht="110.25" x14ac:dyDescent="0.25">
      <c r="A257" s="172"/>
      <c r="B257" s="200"/>
      <c r="C257" s="201"/>
      <c r="D257" s="202"/>
      <c r="E257" s="360"/>
      <c r="F257" s="361"/>
      <c r="G257" s="362"/>
      <c r="H257" s="199" t="s">
        <v>332</v>
      </c>
      <c r="I257" s="178"/>
      <c r="J257" s="174"/>
      <c r="K257" s="174"/>
      <c r="L257" s="125" t="str">
        <f>IF(I257&lt;&gt;0,((VLOOKUP(I257,'1. Standard_Cost'!$B$4:$D$11,2)+VLOOKUP(I257,'1. Standard_Cost'!$B$4:$D$11,3))*J257*K257),"0")</f>
        <v>0</v>
      </c>
      <c r="M257" s="125">
        <f>L257*'1. Standard_Cost'!$F$4</f>
        <v>0</v>
      </c>
      <c r="N257" s="174"/>
      <c r="O257" s="174"/>
      <c r="P257" s="174"/>
      <c r="Q257" s="174"/>
      <c r="R257" s="127">
        <f>'1. Standard_Cost'!$B$15*N257*P257</f>
        <v>0</v>
      </c>
      <c r="S257" s="127">
        <f>N257*O257*P257*'1. Standard_Cost'!$C$15</f>
        <v>0</v>
      </c>
      <c r="T257" s="127">
        <f>N257*P257*Q257*'1. Standard_Cost'!$D$15</f>
        <v>0</v>
      </c>
      <c r="U257" s="127">
        <f>N257*O257*'1. Standard_Cost'!$E$15</f>
        <v>0</v>
      </c>
      <c r="V257" s="174"/>
      <c r="W257" s="174"/>
      <c r="X257" s="174"/>
      <c r="Y257" s="127">
        <f>+V257*((X257*'1. Standard_Cost'!$B$19)+(W257*X257*'1. Standard_Cost'!$C$19))</f>
        <v>0</v>
      </c>
      <c r="Z257" s="174"/>
      <c r="AA257" s="174"/>
      <c r="AB257" s="127">
        <v>0</v>
      </c>
      <c r="AC257" s="176"/>
      <c r="AD257" s="177">
        <f>369000000*25%</f>
        <v>92250000</v>
      </c>
      <c r="AE257" s="127"/>
      <c r="AF257" s="127">
        <f>SUM(AE257,AD257,AC257,AB257,Y257,U257,T257,S257,R257)</f>
        <v>92250000</v>
      </c>
      <c r="AG257" s="174"/>
      <c r="AH257" s="174"/>
      <c r="AI257" s="174"/>
      <c r="AJ257" s="178"/>
      <c r="AK257" s="178"/>
      <c r="AL257" s="178"/>
      <c r="AM257" s="127">
        <f>AG257*'1. Standard_Cost'!$B$27+'Incremental_Cost Year 9'!AH257*'1. Standard_Cost'!$C$27+'Incremental_Cost Year 9'!AI257*'1. Standard_Cost'!$D$27+'Incremental_Cost Year 9'!AJ257+'Incremental_Cost Year 9'!AL257+AK257</f>
        <v>0</v>
      </c>
      <c r="AN257" s="127">
        <f>AM257*'1. Standard_Cost'!$C$31</f>
        <v>0</v>
      </c>
      <c r="AO257" s="178"/>
      <c r="AP257" s="256"/>
      <c r="AQ257" s="171">
        <f>L257+M257</f>
        <v>0</v>
      </c>
      <c r="AR257" s="171">
        <f>AF257</f>
        <v>92250000</v>
      </c>
      <c r="AS257" s="171">
        <f>AM257+AN257</f>
        <v>0</v>
      </c>
      <c r="AT257" s="171">
        <f>SUM(AQ257,AR257,AS257)</f>
        <v>92250000</v>
      </c>
      <c r="AU257" s="250"/>
      <c r="AV257" s="250"/>
      <c r="AW257" s="250"/>
      <c r="AX257" s="250"/>
      <c r="AY257" s="250"/>
      <c r="AZ257" s="250"/>
      <c r="BA257" s="250"/>
      <c r="BB257" s="251">
        <f t="shared" si="172"/>
        <v>-92250000</v>
      </c>
      <c r="BC257" s="169"/>
      <c r="BD257" s="169"/>
      <c r="BE257" s="169"/>
      <c r="BF257" s="169"/>
    </row>
    <row r="258" spans="1:58" ht="38.25" x14ac:dyDescent="0.2">
      <c r="A258" s="172"/>
      <c r="B258" s="168"/>
      <c r="C258" s="204"/>
      <c r="D258" s="195" t="s">
        <v>559</v>
      </c>
      <c r="E258" s="205" t="s">
        <v>333</v>
      </c>
      <c r="F258" s="206">
        <v>2025</v>
      </c>
      <c r="G258" s="207">
        <v>2030</v>
      </c>
      <c r="H258" s="180" t="s">
        <v>334</v>
      </c>
      <c r="I258" s="273"/>
      <c r="J258" s="273"/>
      <c r="K258" s="273"/>
      <c r="L258" s="175">
        <f>SUM(L255:L257)</f>
        <v>1411200</v>
      </c>
      <c r="M258" s="175">
        <f>SUM(M255:M257)</f>
        <v>235670.40000000002</v>
      </c>
      <c r="N258" s="273"/>
      <c r="O258" s="273"/>
      <c r="P258" s="273"/>
      <c r="Q258" s="273"/>
      <c r="R258" s="175">
        <f>SUM(R255:R257)</f>
        <v>0</v>
      </c>
      <c r="S258" s="175">
        <f>SUM(S255:S257)</f>
        <v>0</v>
      </c>
      <c r="T258" s="175">
        <f>SUM(T255:T257)</f>
        <v>0</v>
      </c>
      <c r="U258" s="175">
        <f>SUM(U255:U257)</f>
        <v>0</v>
      </c>
      <c r="V258" s="273"/>
      <c r="W258" s="273"/>
      <c r="X258" s="273"/>
      <c r="Y258" s="175">
        <f>SUM(Y255:Y257)</f>
        <v>0</v>
      </c>
      <c r="Z258" s="273"/>
      <c r="AA258" s="273"/>
      <c r="AB258" s="175">
        <f>SUM(AB255:AB257)</f>
        <v>0</v>
      </c>
      <c r="AC258" s="175">
        <f>SUM(AC255:AC257)</f>
        <v>0</v>
      </c>
      <c r="AD258" s="175">
        <f>SUM(AD255:AD257)</f>
        <v>123000000</v>
      </c>
      <c r="AE258" s="175">
        <f>SUM(AE255:AE257)</f>
        <v>0</v>
      </c>
      <c r="AF258" s="175">
        <f>SUM(AF255:AF257)</f>
        <v>123000000</v>
      </c>
      <c r="AG258" s="273"/>
      <c r="AH258" s="273"/>
      <c r="AI258" s="273"/>
      <c r="AJ258" s="175">
        <f>SUM(AJ255:AJ257)</f>
        <v>0</v>
      </c>
      <c r="AK258" s="175">
        <f>SUM(AK255:AK257)</f>
        <v>0</v>
      </c>
      <c r="AL258" s="175">
        <f>SUM(AL255:AL257)</f>
        <v>0</v>
      </c>
      <c r="AM258" s="175">
        <f>SUM(AM255:AM257)</f>
        <v>0</v>
      </c>
      <c r="AN258" s="175">
        <f>SUM(AN255:AN257)</f>
        <v>0</v>
      </c>
      <c r="AO258" s="274"/>
      <c r="AP258" s="254"/>
      <c r="AQ258" s="175">
        <f t="shared" ref="AQ258:AT258" si="173">SUM(AQ255:AQ257)</f>
        <v>1646870.4</v>
      </c>
      <c r="AR258" s="175">
        <f t="shared" si="173"/>
        <v>123000000</v>
      </c>
      <c r="AS258" s="175">
        <f t="shared" si="173"/>
        <v>0</v>
      </c>
      <c r="AT258" s="175">
        <f t="shared" si="173"/>
        <v>124646870.40000001</v>
      </c>
      <c r="AU258" s="175">
        <f t="shared" ref="AU258:BB258" si="174">SUM(AU255:AU257)</f>
        <v>1646870.4</v>
      </c>
      <c r="AV258" s="175">
        <f t="shared" si="174"/>
        <v>0</v>
      </c>
      <c r="AW258" s="175">
        <f t="shared" si="174"/>
        <v>0</v>
      </c>
      <c r="AX258" s="175">
        <f t="shared" si="174"/>
        <v>0</v>
      </c>
      <c r="AY258" s="175">
        <f t="shared" si="174"/>
        <v>0</v>
      </c>
      <c r="AZ258" s="175">
        <f t="shared" si="174"/>
        <v>0</v>
      </c>
      <c r="BA258" s="175">
        <f t="shared" si="174"/>
        <v>0</v>
      </c>
      <c r="BB258" s="175">
        <f t="shared" si="174"/>
        <v>-123000000</v>
      </c>
      <c r="BC258" s="169"/>
      <c r="BD258" s="169"/>
      <c r="BE258" s="169"/>
      <c r="BF258" s="169"/>
    </row>
    <row r="259" spans="1:58" ht="15.6" customHeight="1" x14ac:dyDescent="0.2">
      <c r="A259" s="179"/>
      <c r="B259" s="290"/>
      <c r="C259" s="391" t="s">
        <v>335</v>
      </c>
      <c r="D259" s="391"/>
      <c r="E259" s="392"/>
      <c r="F259" s="287"/>
      <c r="G259" s="289"/>
      <c r="H259" s="181" t="s">
        <v>336</v>
      </c>
      <c r="I259" s="271"/>
      <c r="J259" s="271"/>
      <c r="K259" s="271"/>
      <c r="L259" s="261">
        <f>L263+L268</f>
        <v>23066400</v>
      </c>
      <c r="M259" s="261">
        <f>M263+M268</f>
        <v>3852088.8000000003</v>
      </c>
      <c r="N259" s="271"/>
      <c r="O259" s="271"/>
      <c r="P259" s="271"/>
      <c r="Q259" s="271"/>
      <c r="R259" s="261">
        <f>R263+R268</f>
        <v>0</v>
      </c>
      <c r="S259" s="261">
        <f>S263+S268</f>
        <v>0</v>
      </c>
      <c r="T259" s="261">
        <f>T263+T268</f>
        <v>0</v>
      </c>
      <c r="U259" s="261">
        <f>U263+U268</f>
        <v>0</v>
      </c>
      <c r="V259" s="261"/>
      <c r="W259" s="271"/>
      <c r="X259" s="271"/>
      <c r="Y259" s="261">
        <f>Y263+Y268</f>
        <v>0</v>
      </c>
      <c r="Z259" s="261"/>
      <c r="AA259" s="261"/>
      <c r="AB259" s="261">
        <f>AB263+AB268</f>
        <v>0</v>
      </c>
      <c r="AC259" s="261">
        <f>AC263+AC268</f>
        <v>25655000</v>
      </c>
      <c r="AD259" s="261">
        <f>AD263+AD268</f>
        <v>345394000</v>
      </c>
      <c r="AE259" s="261">
        <f>AE263+AE268</f>
        <v>18450000</v>
      </c>
      <c r="AF259" s="261">
        <f>AF263+AF268</f>
        <v>389499000</v>
      </c>
      <c r="AG259" s="271"/>
      <c r="AH259" s="271"/>
      <c r="AI259" s="271"/>
      <c r="AJ259" s="261">
        <f>AJ263+AJ268</f>
        <v>0</v>
      </c>
      <c r="AK259" s="261">
        <f>AK263+AK268</f>
        <v>0</v>
      </c>
      <c r="AL259" s="261">
        <f>AL263+AL268</f>
        <v>0</v>
      </c>
      <c r="AM259" s="261">
        <f>AM263+AM268</f>
        <v>0</v>
      </c>
      <c r="AN259" s="261">
        <f>AN263+AN268</f>
        <v>0</v>
      </c>
      <c r="AO259" s="272"/>
      <c r="AP259" s="260"/>
      <c r="AQ259" s="261">
        <f t="shared" ref="AQ259:BB259" si="175">AQ263+AQ268</f>
        <v>26918488.800000001</v>
      </c>
      <c r="AR259" s="261">
        <f t="shared" si="175"/>
        <v>389499000</v>
      </c>
      <c r="AS259" s="261">
        <f t="shared" si="175"/>
        <v>0</v>
      </c>
      <c r="AT259" s="261">
        <f t="shared" si="175"/>
        <v>416417488.79999995</v>
      </c>
      <c r="AU259" s="261">
        <f t="shared" si="175"/>
        <v>52573488.399999999</v>
      </c>
      <c r="AV259" s="261">
        <f t="shared" si="175"/>
        <v>0</v>
      </c>
      <c r="AW259" s="261">
        <f t="shared" si="175"/>
        <v>0</v>
      </c>
      <c r="AX259" s="261">
        <f t="shared" si="175"/>
        <v>0</v>
      </c>
      <c r="AY259" s="261">
        <f t="shared" si="175"/>
        <v>0</v>
      </c>
      <c r="AZ259" s="261">
        <f t="shared" si="175"/>
        <v>0</v>
      </c>
      <c r="BA259" s="261">
        <f t="shared" si="175"/>
        <v>0</v>
      </c>
      <c r="BB259" s="261">
        <f t="shared" si="175"/>
        <v>-363844000.39999998</v>
      </c>
      <c r="BC259" s="184"/>
      <c r="BD259" s="184"/>
      <c r="BE259" s="184"/>
      <c r="BF259" s="184"/>
    </row>
    <row r="260" spans="1:58" ht="78.75" x14ac:dyDescent="0.25">
      <c r="A260" s="172"/>
      <c r="B260" s="354"/>
      <c r="C260" s="356"/>
      <c r="D260" s="342"/>
      <c r="E260" s="328"/>
      <c r="F260" s="328"/>
      <c r="G260" s="328"/>
      <c r="H260" s="199" t="s">
        <v>551</v>
      </c>
      <c r="I260" s="178" t="s">
        <v>3</v>
      </c>
      <c r="J260" s="174">
        <v>1</v>
      </c>
      <c r="K260" s="174">
        <v>2</v>
      </c>
      <c r="L260" s="125">
        <f>IF(I260&lt;&gt;0,((VLOOKUP(I260,'1. Standard_Cost'!$B$4:$D$11,2)+VLOOKUP(I260,'1. Standard_Cost'!$B$4:$D$11,3))*J260*K260),"0")</f>
        <v>201600</v>
      </c>
      <c r="M260" s="125">
        <f>L260*'1. Standard_Cost'!$F$4</f>
        <v>33667.200000000004</v>
      </c>
      <c r="N260" s="174"/>
      <c r="O260" s="174"/>
      <c r="P260" s="174"/>
      <c r="Q260" s="174"/>
      <c r="R260" s="127">
        <f>'1. Standard_Cost'!$B$15*N260*P260</f>
        <v>0</v>
      </c>
      <c r="S260" s="127">
        <f>N260*O260*P260*'1. Standard_Cost'!$C$15</f>
        <v>0</v>
      </c>
      <c r="T260" s="127">
        <f>N260*P260*Q260*'1. Standard_Cost'!$D$15</f>
        <v>0</v>
      </c>
      <c r="U260" s="127">
        <f>N260*O260*'1. Standard_Cost'!$E$15</f>
        <v>0</v>
      </c>
      <c r="V260" s="174"/>
      <c r="W260" s="174"/>
      <c r="X260" s="174"/>
      <c r="Y260" s="127">
        <f>+V260*((X260*'1. Standard_Cost'!$B$19)+(W260*X260*'1. Standard_Cost'!$C$19))</f>
        <v>0</v>
      </c>
      <c r="Z260" s="174"/>
      <c r="AA260" s="174"/>
      <c r="AB260" s="127">
        <v>0</v>
      </c>
      <c r="AC260" s="176"/>
      <c r="AD260" s="177">
        <f>538740000*25%</f>
        <v>134685000</v>
      </c>
      <c r="AE260" s="127"/>
      <c r="AF260" s="127">
        <f>SUM(AE260,AD260,AC260,AB260,Y260,U260,T260,S260,R260)</f>
        <v>134685000</v>
      </c>
      <c r="AG260" s="174"/>
      <c r="AH260" s="174"/>
      <c r="AI260" s="174"/>
      <c r="AJ260" s="178"/>
      <c r="AK260" s="178"/>
      <c r="AL260" s="178"/>
      <c r="AM260" s="127">
        <f>AG260*'1. Standard_Cost'!$B$27+'Incremental_Cost Year 9'!AH260*'1. Standard_Cost'!$C$27+'Incremental_Cost Year 9'!AI260*'1. Standard_Cost'!$D$27+'Incremental_Cost Year 9'!AJ260+'Incremental_Cost Year 9'!AL260+AK260</f>
        <v>0</v>
      </c>
      <c r="AN260" s="127">
        <f>AM260*'1. Standard_Cost'!$C$31</f>
        <v>0</v>
      </c>
      <c r="AO260" s="178"/>
      <c r="AP260" s="256"/>
      <c r="AQ260" s="171">
        <f>L260+M260</f>
        <v>235267.20000000001</v>
      </c>
      <c r="AR260" s="171">
        <f>AF260</f>
        <v>134685000</v>
      </c>
      <c r="AS260" s="171">
        <f>AM260+AN260</f>
        <v>0</v>
      </c>
      <c r="AT260" s="171">
        <f>SUM(AQ260,AR260,AS260)</f>
        <v>134920267.19999999</v>
      </c>
      <c r="AU260" s="250">
        <f>AQ260</f>
        <v>235267.20000000001</v>
      </c>
      <c r="AV260" s="250"/>
      <c r="AW260" s="250"/>
      <c r="AX260" s="250"/>
      <c r="AY260" s="250"/>
      <c r="AZ260" s="250"/>
      <c r="BA260" s="250"/>
      <c r="BB260" s="251">
        <f t="shared" ref="BB260:BB262" si="176">SUM(AU260:BA260)-AT260</f>
        <v>-134685000</v>
      </c>
      <c r="BC260" s="169"/>
      <c r="BD260" s="169"/>
      <c r="BE260" s="169"/>
      <c r="BF260" s="169"/>
    </row>
    <row r="261" spans="1:58" ht="63" x14ac:dyDescent="0.25">
      <c r="A261" s="172"/>
      <c r="B261" s="357"/>
      <c r="C261" s="359"/>
      <c r="D261" s="343"/>
      <c r="E261" s="328"/>
      <c r="F261" s="328"/>
      <c r="G261" s="328"/>
      <c r="H261" s="199" t="s">
        <v>337</v>
      </c>
      <c r="I261" s="178" t="s">
        <v>3</v>
      </c>
      <c r="J261" s="174">
        <v>1</v>
      </c>
      <c r="K261" s="174">
        <v>2</v>
      </c>
      <c r="L261" s="125">
        <f>IF(I261&lt;&gt;0,((VLOOKUP(I261,'1. Standard_Cost'!$B$4:$D$11,2)+VLOOKUP(I261,'1. Standard_Cost'!$B$4:$D$11,3))*J261*K261),"0")</f>
        <v>201600</v>
      </c>
      <c r="M261" s="125">
        <f>L261*'1. Standard_Cost'!$F$4</f>
        <v>33667.200000000004</v>
      </c>
      <c r="N261" s="174"/>
      <c r="O261" s="174"/>
      <c r="P261" s="174"/>
      <c r="Q261" s="174"/>
      <c r="R261" s="127">
        <f>'1. Standard_Cost'!$B$15*N261*P261</f>
        <v>0</v>
      </c>
      <c r="S261" s="127">
        <f>N261*O261*P261*'1. Standard_Cost'!$C$15</f>
        <v>0</v>
      </c>
      <c r="T261" s="127">
        <f>N261*P261*Q261*'1. Standard_Cost'!$D$15</f>
        <v>0</v>
      </c>
      <c r="U261" s="127">
        <f>N261*O261*'1. Standard_Cost'!$E$15</f>
        <v>0</v>
      </c>
      <c r="V261" s="174"/>
      <c r="W261" s="174"/>
      <c r="X261" s="174"/>
      <c r="Y261" s="127">
        <f>+V261*((X261*'1. Standard_Cost'!$B$19)+(W261*X261*'1. Standard_Cost'!$C$19))</f>
        <v>0</v>
      </c>
      <c r="Z261" s="174"/>
      <c r="AA261" s="174"/>
      <c r="AB261" s="127">
        <v>0</v>
      </c>
      <c r="AC261" s="176"/>
      <c r="AD261" s="177">
        <f>51700000*25%</f>
        <v>12925000</v>
      </c>
      <c r="AE261" s="127"/>
      <c r="AF261" s="127">
        <f>SUM(AE261,AD261,AC261,AB261,Y261,U261,T261,S261,R261)</f>
        <v>12925000</v>
      </c>
      <c r="AG261" s="174"/>
      <c r="AH261" s="174"/>
      <c r="AI261" s="174"/>
      <c r="AJ261" s="178"/>
      <c r="AK261" s="178"/>
      <c r="AL261" s="178"/>
      <c r="AM261" s="127">
        <f>AG261*'1. Standard_Cost'!$B$27+'Incremental_Cost Year 9'!AH261*'1. Standard_Cost'!$C$27+'Incremental_Cost Year 9'!AI261*'1. Standard_Cost'!$D$27+'Incremental_Cost Year 9'!AJ261+'Incremental_Cost Year 9'!AL261+AK261</f>
        <v>0</v>
      </c>
      <c r="AN261" s="127">
        <f>AM261*'1. Standard_Cost'!$C$31</f>
        <v>0</v>
      </c>
      <c r="AO261" s="178"/>
      <c r="AP261" s="256"/>
      <c r="AQ261" s="171">
        <f>L261+M261</f>
        <v>235267.20000000001</v>
      </c>
      <c r="AR261" s="171">
        <f>AF261</f>
        <v>12925000</v>
      </c>
      <c r="AS261" s="171">
        <f>AM261+AN261</f>
        <v>0</v>
      </c>
      <c r="AT261" s="171">
        <f>SUM(AQ261,AR261,AS261)</f>
        <v>13160267.199999999</v>
      </c>
      <c r="AU261" s="250">
        <f>AQ261</f>
        <v>235267.20000000001</v>
      </c>
      <c r="AV261" s="250"/>
      <c r="AW261" s="250"/>
      <c r="AX261" s="250"/>
      <c r="AY261" s="250"/>
      <c r="AZ261" s="250"/>
      <c r="BA261" s="250"/>
      <c r="BB261" s="251">
        <f t="shared" si="176"/>
        <v>-12925000</v>
      </c>
      <c r="BC261" s="169"/>
      <c r="BD261" s="169"/>
      <c r="BE261" s="169"/>
      <c r="BF261" s="169"/>
    </row>
    <row r="262" spans="1:58" ht="63" x14ac:dyDescent="0.25">
      <c r="A262" s="172"/>
      <c r="B262" s="357"/>
      <c r="C262" s="359"/>
      <c r="D262" s="343"/>
      <c r="E262" s="328"/>
      <c r="F262" s="328"/>
      <c r="G262" s="328"/>
      <c r="H262" s="199" t="s">
        <v>552</v>
      </c>
      <c r="I262" s="178" t="s">
        <v>3</v>
      </c>
      <c r="J262" s="174">
        <v>1</v>
      </c>
      <c r="K262" s="174">
        <v>2</v>
      </c>
      <c r="L262" s="125">
        <f>IF(I262&lt;&gt;0,((VLOOKUP(I262,'1. Standard_Cost'!$B$4:$D$11,2)+VLOOKUP(I262,'1. Standard_Cost'!$B$4:$D$11,3))*J262*K262),"0")</f>
        <v>201600</v>
      </c>
      <c r="M262" s="125">
        <f>L262*'1. Standard_Cost'!$F$4</f>
        <v>33667.200000000004</v>
      </c>
      <c r="N262" s="174"/>
      <c r="O262" s="174"/>
      <c r="P262" s="174"/>
      <c r="Q262" s="174"/>
      <c r="R262" s="127">
        <f>'1. Standard_Cost'!$B$15*N262*P262</f>
        <v>0</v>
      </c>
      <c r="S262" s="127">
        <f>N262*O262*P262*'1. Standard_Cost'!$C$15</f>
        <v>0</v>
      </c>
      <c r="T262" s="127">
        <f>N262*P262*Q262*'1. Standard_Cost'!$D$15</f>
        <v>0</v>
      </c>
      <c r="U262" s="127">
        <f>N262*O262*'1. Standard_Cost'!$E$15</f>
        <v>0</v>
      </c>
      <c r="V262" s="174"/>
      <c r="W262" s="174"/>
      <c r="X262" s="174"/>
      <c r="Y262" s="127">
        <f>+V262*((X262*'1. Standard_Cost'!$B$19)+(W262*X262*'1. Standard_Cost'!$C$19))</f>
        <v>0</v>
      </c>
      <c r="Z262" s="174"/>
      <c r="AA262" s="174"/>
      <c r="AB262" s="127">
        <v>0</v>
      </c>
      <c r="AC262" s="176"/>
      <c r="AD262" s="177">
        <f>53136000*25%</f>
        <v>13284000</v>
      </c>
      <c r="AE262" s="127"/>
      <c r="AF262" s="127">
        <f>SUM(AE262,AD262,AC262,AB262,Y262,U262,T262,S262,R262)</f>
        <v>13284000</v>
      </c>
      <c r="AG262" s="174"/>
      <c r="AH262" s="174"/>
      <c r="AI262" s="174"/>
      <c r="AJ262" s="178"/>
      <c r="AK262" s="178"/>
      <c r="AL262" s="178"/>
      <c r="AM262" s="127">
        <f>AG262*'1. Standard_Cost'!$B$27+'Incremental_Cost Year 9'!AH262*'1. Standard_Cost'!$C$27+'Incremental_Cost Year 9'!AI262*'1. Standard_Cost'!$D$27+'Incremental_Cost Year 9'!AJ262+'Incremental_Cost Year 9'!AL262+AK262</f>
        <v>0</v>
      </c>
      <c r="AN262" s="127">
        <f>AM262*'1. Standard_Cost'!$C$31</f>
        <v>0</v>
      </c>
      <c r="AO262" s="178"/>
      <c r="AP262" s="256"/>
      <c r="AQ262" s="171">
        <f>L262+M262</f>
        <v>235267.20000000001</v>
      </c>
      <c r="AR262" s="171">
        <f>AF262</f>
        <v>13284000</v>
      </c>
      <c r="AS262" s="171">
        <f>AM262+AN262</f>
        <v>0</v>
      </c>
      <c r="AT262" s="171">
        <f>SUM(AQ262,AR262,AS262)</f>
        <v>13519267.199999999</v>
      </c>
      <c r="AU262" s="250">
        <f>AQ262</f>
        <v>235267.20000000001</v>
      </c>
      <c r="AV262" s="250"/>
      <c r="AW262" s="250"/>
      <c r="AX262" s="250"/>
      <c r="AY262" s="250"/>
      <c r="AZ262" s="250"/>
      <c r="BA262" s="250"/>
      <c r="BB262" s="251">
        <f t="shared" si="176"/>
        <v>-13284000</v>
      </c>
      <c r="BC262" s="169"/>
      <c r="BD262" s="169"/>
      <c r="BE262" s="169"/>
      <c r="BF262" s="169"/>
    </row>
    <row r="263" spans="1:58" x14ac:dyDescent="0.25">
      <c r="A263" s="172"/>
      <c r="B263" s="357"/>
      <c r="C263" s="359"/>
      <c r="D263" s="343"/>
      <c r="E263" s="328"/>
      <c r="F263" s="328"/>
      <c r="G263" s="328"/>
      <c r="H263" s="182" t="s">
        <v>338</v>
      </c>
      <c r="I263" s="273"/>
      <c r="J263" s="273"/>
      <c r="K263" s="273"/>
      <c r="L263" s="175">
        <f>SUM(L260:L262)</f>
        <v>604800</v>
      </c>
      <c r="M263" s="175">
        <f>SUM(M260:M262)</f>
        <v>101001.60000000001</v>
      </c>
      <c r="N263" s="273"/>
      <c r="O263" s="273"/>
      <c r="P263" s="273"/>
      <c r="Q263" s="273"/>
      <c r="R263" s="175">
        <f>SUM(R260:R262)</f>
        <v>0</v>
      </c>
      <c r="S263" s="175">
        <f>SUM(S260:S262)</f>
        <v>0</v>
      </c>
      <c r="T263" s="175">
        <f>SUM(T260:T262)</f>
        <v>0</v>
      </c>
      <c r="U263" s="175">
        <f>SUM(U260:U262)</f>
        <v>0</v>
      </c>
      <c r="V263" s="273"/>
      <c r="W263" s="273"/>
      <c r="X263" s="273"/>
      <c r="Y263" s="175">
        <f>SUM(Y260:Y262)</f>
        <v>0</v>
      </c>
      <c r="Z263" s="175"/>
      <c r="AA263" s="273"/>
      <c r="AB263" s="175">
        <f>SUM(AB260:AB262)</f>
        <v>0</v>
      </c>
      <c r="AC263" s="175">
        <f>SUM(AC260:AC262)</f>
        <v>0</v>
      </c>
      <c r="AD263" s="175">
        <f>SUM(AD260:AD262)</f>
        <v>160894000</v>
      </c>
      <c r="AE263" s="175">
        <f>SUM(AE260:AE262)</f>
        <v>0</v>
      </c>
      <c r="AF263" s="175">
        <f>SUM(AF260:AF262)</f>
        <v>160894000</v>
      </c>
      <c r="AG263" s="273"/>
      <c r="AH263" s="273"/>
      <c r="AI263" s="273"/>
      <c r="AJ263" s="175">
        <f>SUM(AJ260:AJ262)</f>
        <v>0</v>
      </c>
      <c r="AK263" s="175">
        <f>SUM(AK260:AK262)</f>
        <v>0</v>
      </c>
      <c r="AL263" s="175">
        <f>SUM(AL260:AL262)</f>
        <v>0</v>
      </c>
      <c r="AM263" s="175">
        <f>SUM(AM260:AM262)</f>
        <v>0</v>
      </c>
      <c r="AN263" s="175">
        <f>SUM(AN260:AN262)</f>
        <v>0</v>
      </c>
      <c r="AO263" s="274"/>
      <c r="AP263" s="254"/>
      <c r="AQ263" s="175">
        <f t="shared" ref="AQ263:AT263" si="177">SUM(AQ260:AQ262)</f>
        <v>705801.60000000009</v>
      </c>
      <c r="AR263" s="175">
        <f t="shared" si="177"/>
        <v>160894000</v>
      </c>
      <c r="AS263" s="175">
        <f t="shared" si="177"/>
        <v>0</v>
      </c>
      <c r="AT263" s="175">
        <f t="shared" si="177"/>
        <v>161599801.59999996</v>
      </c>
      <c r="AU263" s="175">
        <f t="shared" ref="AU263:BB263" si="178">SUM(AU260:AU262)</f>
        <v>705801.60000000009</v>
      </c>
      <c r="AV263" s="175">
        <f t="shared" si="178"/>
        <v>0</v>
      </c>
      <c r="AW263" s="175">
        <f t="shared" si="178"/>
        <v>0</v>
      </c>
      <c r="AX263" s="175">
        <f t="shared" si="178"/>
        <v>0</v>
      </c>
      <c r="AY263" s="175">
        <f t="shared" si="178"/>
        <v>0</v>
      </c>
      <c r="AZ263" s="175">
        <f t="shared" si="178"/>
        <v>0</v>
      </c>
      <c r="BA263" s="175">
        <f t="shared" si="178"/>
        <v>0</v>
      </c>
      <c r="BB263" s="175">
        <f t="shared" si="178"/>
        <v>-160894000</v>
      </c>
      <c r="BC263" s="169"/>
      <c r="BD263" s="169"/>
      <c r="BE263" s="169"/>
      <c r="BF263" s="169"/>
    </row>
    <row r="264" spans="1:58" ht="94.5" x14ac:dyDescent="0.25">
      <c r="A264" s="172"/>
      <c r="B264" s="357"/>
      <c r="C264" s="359"/>
      <c r="D264" s="343"/>
      <c r="E264" s="328"/>
      <c r="F264" s="328"/>
      <c r="G264" s="328"/>
      <c r="H264" s="199" t="s">
        <v>553</v>
      </c>
      <c r="I264" s="178" t="s">
        <v>3</v>
      </c>
      <c r="J264" s="174">
        <v>2</v>
      </c>
      <c r="K264" s="174">
        <v>2</v>
      </c>
      <c r="L264" s="125">
        <f>IF(I264&lt;&gt;0,((VLOOKUP(I264,'1. Standard_Cost'!$B$4:$D$11,2)+VLOOKUP(I264,'1. Standard_Cost'!$B$4:$D$11,3))*J264*K264),"0")</f>
        <v>403200</v>
      </c>
      <c r="M264" s="125">
        <f>L264*'1. Standard_Cost'!$F$4</f>
        <v>67334.400000000009</v>
      </c>
      <c r="N264" s="174"/>
      <c r="O264" s="174"/>
      <c r="P264" s="174"/>
      <c r="Q264" s="174"/>
      <c r="R264" s="127">
        <f>'1. Standard_Cost'!$B$15*N264*P264</f>
        <v>0</v>
      </c>
      <c r="S264" s="127">
        <f>N264*O264*P264*'1. Standard_Cost'!$C$15</f>
        <v>0</v>
      </c>
      <c r="T264" s="127">
        <f>N264*P264*Q264*'1. Standard_Cost'!$D$15</f>
        <v>0</v>
      </c>
      <c r="U264" s="127">
        <f>N264*O264*'1. Standard_Cost'!$E$15</f>
        <v>0</v>
      </c>
      <c r="V264" s="174"/>
      <c r="W264" s="174"/>
      <c r="X264" s="174"/>
      <c r="Y264" s="127">
        <f>+V264*((X264*'1. Standard_Cost'!$B$19)+(W264*X264*'1. Standard_Cost'!$C$19))</f>
        <v>0</v>
      </c>
      <c r="Z264" s="174"/>
      <c r="AA264" s="174"/>
      <c r="AB264" s="127">
        <v>0</v>
      </c>
      <c r="AC264" s="176"/>
      <c r="AD264" s="177">
        <f>369000000*0.25</f>
        <v>92250000</v>
      </c>
      <c r="AE264" s="127">
        <f>SUM(AD264,AC264,AB264,Y264,U264,T264,S264,R264)*'1. Standard_Cost'!$B$31</f>
        <v>18450000</v>
      </c>
      <c r="AF264" s="127">
        <f>SUM(AE264,AD264,AC264,AB264,Y264,U264,T264,S264,R264)</f>
        <v>110700000</v>
      </c>
      <c r="AG264" s="174"/>
      <c r="AH264" s="174"/>
      <c r="AI264" s="174"/>
      <c r="AJ264" s="178"/>
      <c r="AK264" s="178"/>
      <c r="AL264" s="178"/>
      <c r="AM264" s="127">
        <f>AG264*'1. Standard_Cost'!$B$27+'Incremental_Cost Year 9'!AH264*'1. Standard_Cost'!$C$27+'Incremental_Cost Year 9'!AI264*'1. Standard_Cost'!$D$27+'Incremental_Cost Year 9'!AJ264+'Incremental_Cost Year 9'!AL264+AK264</f>
        <v>0</v>
      </c>
      <c r="AN264" s="127">
        <f>AM264*'1. Standard_Cost'!$C$31</f>
        <v>0</v>
      </c>
      <c r="AO264" s="178"/>
      <c r="AP264" s="256"/>
      <c r="AQ264" s="171">
        <f>L264+M264</f>
        <v>470534.40000000002</v>
      </c>
      <c r="AR264" s="171">
        <f>AF264</f>
        <v>110700000</v>
      </c>
      <c r="AS264" s="171">
        <f>AM264+AN264</f>
        <v>0</v>
      </c>
      <c r="AT264" s="171">
        <f>SUM(AQ264,AR264,AS264)</f>
        <v>111170534.40000001</v>
      </c>
      <c r="AU264" s="250">
        <v>470534</v>
      </c>
      <c r="AV264" s="250"/>
      <c r="AW264" s="250"/>
      <c r="AX264" s="250"/>
      <c r="AY264" s="250"/>
      <c r="AZ264" s="250"/>
      <c r="BA264" s="250"/>
      <c r="BB264" s="251">
        <f t="shared" ref="BB264:BB267" si="179">SUM(AU264:BA264)-AT264</f>
        <v>-110700000.40000001</v>
      </c>
      <c r="BC264" s="169"/>
      <c r="BD264" s="169"/>
      <c r="BE264" s="169"/>
      <c r="BF264" s="169"/>
    </row>
    <row r="265" spans="1:58" ht="63" x14ac:dyDescent="0.25">
      <c r="A265" s="172"/>
      <c r="B265" s="357"/>
      <c r="C265" s="359"/>
      <c r="D265" s="343"/>
      <c r="E265" s="328"/>
      <c r="F265" s="328"/>
      <c r="G265" s="328"/>
      <c r="H265" s="199" t="s">
        <v>339</v>
      </c>
      <c r="I265" s="178"/>
      <c r="J265" s="174"/>
      <c r="K265" s="174"/>
      <c r="L265" s="125" t="str">
        <f>IF(I265&lt;&gt;0,((VLOOKUP(I265,'1. Standard_Cost'!$B$4:$D$11,2)+VLOOKUP(I265,'1. Standard_Cost'!$B$4:$D$11,3))*J265*K265),"0")</f>
        <v>0</v>
      </c>
      <c r="M265" s="125">
        <f>L265*'1. Standard_Cost'!$F$4</f>
        <v>0</v>
      </c>
      <c r="N265" s="174"/>
      <c r="O265" s="174"/>
      <c r="P265" s="174"/>
      <c r="Q265" s="174"/>
      <c r="R265" s="127">
        <f>'1. Standard_Cost'!$B$15*N265*P265</f>
        <v>0</v>
      </c>
      <c r="S265" s="127">
        <f>N265*O265*P265*'1. Standard_Cost'!$C$15</f>
        <v>0</v>
      </c>
      <c r="T265" s="127">
        <f>N265*P265*Q265*'1. Standard_Cost'!$D$15</f>
        <v>0</v>
      </c>
      <c r="U265" s="127">
        <f>N265*O265*'1. Standard_Cost'!$E$15</f>
        <v>0</v>
      </c>
      <c r="V265" s="174"/>
      <c r="W265" s="174"/>
      <c r="X265" s="174"/>
      <c r="Y265" s="127">
        <f>+V265*((X265*'1. Standard_Cost'!$B$19)+(W265*X265*'1. Standard_Cost'!$C$19))</f>
        <v>0</v>
      </c>
      <c r="Z265" s="174"/>
      <c r="AA265" s="174"/>
      <c r="AB265" s="127">
        <v>0</v>
      </c>
      <c r="AC265" s="176"/>
      <c r="AD265" s="177"/>
      <c r="AE265" s="127">
        <f>SUM(AD265,AC265,AB265,Y265,U265,T265,S265,R265)*'1. Standard_Cost'!$B$31</f>
        <v>0</v>
      </c>
      <c r="AF265" s="127">
        <f>SUM(AE265,AD265,AC265,AB265,Y265,U265,T265,S265,R265)</f>
        <v>0</v>
      </c>
      <c r="AG265" s="174"/>
      <c r="AH265" s="174"/>
      <c r="AI265" s="174"/>
      <c r="AJ265" s="178"/>
      <c r="AK265" s="178"/>
      <c r="AL265" s="178"/>
      <c r="AM265" s="127">
        <f>AG265*'1. Standard_Cost'!$B$27+'Incremental_Cost Year 9'!AH265*'1. Standard_Cost'!$C$27+'Incremental_Cost Year 9'!AI265*'1. Standard_Cost'!$D$27+'Incremental_Cost Year 9'!AJ265+'Incremental_Cost Year 9'!AL265+AK265</f>
        <v>0</v>
      </c>
      <c r="AN265" s="127">
        <f>AM265*'1. Standard_Cost'!$C$31</f>
        <v>0</v>
      </c>
      <c r="AO265" s="178"/>
      <c r="AP265" s="256"/>
      <c r="AQ265" s="171">
        <f>L265+M265</f>
        <v>0</v>
      </c>
      <c r="AR265" s="171">
        <f>AF265</f>
        <v>0</v>
      </c>
      <c r="AS265" s="171">
        <f>AM265+AN265</f>
        <v>0</v>
      </c>
      <c r="AT265" s="171">
        <f>SUM(AQ265,AR265,AS265)</f>
        <v>0</v>
      </c>
      <c r="AU265" s="250"/>
      <c r="AV265" s="250"/>
      <c r="AW265" s="250"/>
      <c r="AX265" s="250"/>
      <c r="AY265" s="250"/>
      <c r="AZ265" s="250"/>
      <c r="BA265" s="250"/>
      <c r="BB265" s="251">
        <f t="shared" si="179"/>
        <v>0</v>
      </c>
      <c r="BC265" s="169"/>
      <c r="BD265" s="169"/>
      <c r="BE265" s="169"/>
      <c r="BF265" s="169"/>
    </row>
    <row r="266" spans="1:58" ht="94.5" x14ac:dyDescent="0.25">
      <c r="A266" s="172"/>
      <c r="B266" s="357"/>
      <c r="C266" s="359"/>
      <c r="D266" s="343"/>
      <c r="E266" s="328"/>
      <c r="F266" s="328"/>
      <c r="G266" s="328"/>
      <c r="H266" s="199" t="s">
        <v>362</v>
      </c>
      <c r="I266" s="178" t="s">
        <v>5</v>
      </c>
      <c r="J266" s="174">
        <v>12</v>
      </c>
      <c r="K266" s="174">
        <v>26</v>
      </c>
      <c r="L266" s="125">
        <f>IF(I266&lt;&gt;0,((VLOOKUP(I266,'1. Standard_Cost'!$B$4:$D$11,2)+VLOOKUP(I266,'1. Standard_Cost'!$B$4:$D$11,3))*J266*K266),"0")</f>
        <v>22058400</v>
      </c>
      <c r="M266" s="125">
        <f>L266*'1. Standard_Cost'!$F$4</f>
        <v>3683752.8000000003</v>
      </c>
      <c r="N266" s="174"/>
      <c r="O266" s="174"/>
      <c r="P266" s="174"/>
      <c r="Q266" s="174"/>
      <c r="R266" s="127">
        <f>'1. Standard_Cost'!$B$15*N266*P266</f>
        <v>0</v>
      </c>
      <c r="S266" s="127">
        <f>N266*O266*P266*'1. Standard_Cost'!$C$15</f>
        <v>0</v>
      </c>
      <c r="T266" s="127">
        <f>N266*P266*Q266*'1. Standard_Cost'!$D$15</f>
        <v>0</v>
      </c>
      <c r="U266" s="127">
        <f>N266*O266*'1. Standard_Cost'!$E$15</f>
        <v>0</v>
      </c>
      <c r="V266" s="174"/>
      <c r="W266" s="174"/>
      <c r="X266" s="174"/>
      <c r="Y266" s="127">
        <f>+V266*((X266*'1. Standard_Cost'!$B$19)+(W266*X266*'1. Standard_Cost'!$C$19))</f>
        <v>0</v>
      </c>
      <c r="Z266" s="174"/>
      <c r="AA266" s="174"/>
      <c r="AB266" s="127">
        <v>0</v>
      </c>
      <c r="AC266" s="176">
        <v>25655000</v>
      </c>
      <c r="AD266" s="177"/>
      <c r="AE266" s="127"/>
      <c r="AF266" s="127">
        <f>SUM(AE266,AD266,AC266,AB266,Y266,U266,T266,S266,R266)</f>
        <v>25655000</v>
      </c>
      <c r="AG266" s="174"/>
      <c r="AH266" s="174"/>
      <c r="AI266" s="174"/>
      <c r="AJ266" s="178"/>
      <c r="AK266" s="178"/>
      <c r="AL266" s="178"/>
      <c r="AM266" s="127">
        <f>AG266*'1. Standard_Cost'!$B$27+'Incremental_Cost Year 9'!AH266*'1. Standard_Cost'!$C$27+'Incremental_Cost Year 9'!AI266*'1. Standard_Cost'!$D$27+'Incremental_Cost Year 9'!AJ266+'Incremental_Cost Year 9'!AL266+AK266</f>
        <v>0</v>
      </c>
      <c r="AN266" s="127">
        <f>AM266*'1. Standard_Cost'!$C$31</f>
        <v>0</v>
      </c>
      <c r="AO266" s="178"/>
      <c r="AP266" s="256"/>
      <c r="AQ266" s="171">
        <f>L266+M266</f>
        <v>25742152.800000001</v>
      </c>
      <c r="AR266" s="171">
        <f>AF266</f>
        <v>25655000</v>
      </c>
      <c r="AS266" s="171">
        <f>AM266+AN266</f>
        <v>0</v>
      </c>
      <c r="AT266" s="171">
        <f>SUM(AQ266,AR266,AS266)</f>
        <v>51397152.799999997</v>
      </c>
      <c r="AU266" s="250">
        <f>AT266</f>
        <v>51397152.799999997</v>
      </c>
      <c r="AV266" s="250"/>
      <c r="AW266" s="250"/>
      <c r="AX266" s="250"/>
      <c r="AY266" s="250"/>
      <c r="AZ266" s="250"/>
      <c r="BA266" s="250"/>
      <c r="BB266" s="251">
        <f t="shared" si="179"/>
        <v>0</v>
      </c>
      <c r="BC266" s="169"/>
      <c r="BD266" s="169"/>
      <c r="BE266" s="169"/>
      <c r="BF266" s="169"/>
    </row>
    <row r="267" spans="1:58" ht="47.25" x14ac:dyDescent="0.25">
      <c r="A267" s="172"/>
      <c r="B267" s="360"/>
      <c r="C267" s="362"/>
      <c r="D267" s="344"/>
      <c r="E267" s="328"/>
      <c r="F267" s="328"/>
      <c r="G267" s="328"/>
      <c r="H267" s="199" t="s">
        <v>554</v>
      </c>
      <c r="I267" s="178"/>
      <c r="J267" s="174"/>
      <c r="K267" s="174"/>
      <c r="L267" s="125" t="str">
        <f>IF(I267&lt;&gt;0,((VLOOKUP(I267,'1. Standard_Cost'!$B$4:$D$11,2)+VLOOKUP(I267,'1. Standard_Cost'!$B$4:$D$11,3))*J267*K267),"0")</f>
        <v>0</v>
      </c>
      <c r="M267" s="125">
        <f>L267*'1. Standard_Cost'!$F$4</f>
        <v>0</v>
      </c>
      <c r="N267" s="174"/>
      <c r="O267" s="174"/>
      <c r="P267" s="174"/>
      <c r="Q267" s="174"/>
      <c r="R267" s="127">
        <f>'1. Standard_Cost'!$B$15*N267*P267</f>
        <v>0</v>
      </c>
      <c r="S267" s="127">
        <f>N267*O267*P267*'1. Standard_Cost'!$C$15</f>
        <v>0</v>
      </c>
      <c r="T267" s="127">
        <f>N267*P267*Q267*'1. Standard_Cost'!$D$15</f>
        <v>0</v>
      </c>
      <c r="U267" s="127">
        <f>N267*O267*'1. Standard_Cost'!$E$15</f>
        <v>0</v>
      </c>
      <c r="V267" s="174"/>
      <c r="W267" s="174"/>
      <c r="X267" s="174"/>
      <c r="Y267" s="127">
        <f>+V267*((X267*'1. Standard_Cost'!$B$19)+(W267*X267*'1. Standard_Cost'!$C$19))</f>
        <v>0</v>
      </c>
      <c r="Z267" s="174"/>
      <c r="AA267" s="174"/>
      <c r="AB267" s="127">
        <v>0</v>
      </c>
      <c r="AC267" s="176"/>
      <c r="AD267" s="177">
        <f>25%*369000000</f>
        <v>92250000</v>
      </c>
      <c r="AE267" s="127"/>
      <c r="AF267" s="127">
        <f>SUM(AE267,AD267,AC267,AB267,Y267,U267,T267,S267,R267)</f>
        <v>92250000</v>
      </c>
      <c r="AG267" s="174"/>
      <c r="AH267" s="174"/>
      <c r="AI267" s="174"/>
      <c r="AJ267" s="178"/>
      <c r="AK267" s="178"/>
      <c r="AL267" s="178"/>
      <c r="AM267" s="127">
        <f>AG267*'1. Standard_Cost'!$B$27+'Incremental_Cost Year 9'!AH267*'1. Standard_Cost'!$C$27+'Incremental_Cost Year 9'!AI267*'1. Standard_Cost'!$D$27+'Incremental_Cost Year 9'!AJ267+'Incremental_Cost Year 9'!AL267+AK267</f>
        <v>0</v>
      </c>
      <c r="AN267" s="127">
        <f>AM267*'1. Standard_Cost'!$C$31</f>
        <v>0</v>
      </c>
      <c r="AO267" s="178"/>
      <c r="AP267" s="256"/>
      <c r="AQ267" s="171">
        <f>L267+M267</f>
        <v>0</v>
      </c>
      <c r="AR267" s="171">
        <f>AF267</f>
        <v>92250000</v>
      </c>
      <c r="AS267" s="171">
        <f>AM267+AN267</f>
        <v>0</v>
      </c>
      <c r="AT267" s="171">
        <f>SUM(AQ267,AR267,AS267)</f>
        <v>92250000</v>
      </c>
      <c r="AU267" s="250"/>
      <c r="AV267" s="250"/>
      <c r="AW267" s="250"/>
      <c r="AX267" s="250"/>
      <c r="AY267" s="250"/>
      <c r="AZ267" s="250"/>
      <c r="BA267" s="250"/>
      <c r="BB267" s="251">
        <f t="shared" si="179"/>
        <v>-92250000</v>
      </c>
      <c r="BC267" s="169"/>
      <c r="BD267" s="169"/>
      <c r="BE267" s="169"/>
      <c r="BF267" s="169"/>
    </row>
    <row r="268" spans="1:58" ht="25.5" x14ac:dyDescent="0.25">
      <c r="A268" s="172"/>
      <c r="B268" s="168"/>
      <c r="C268" s="204"/>
      <c r="D268" s="344" t="s">
        <v>560</v>
      </c>
      <c r="E268" s="205" t="s">
        <v>340</v>
      </c>
      <c r="F268" s="205">
        <v>2021</v>
      </c>
      <c r="G268" s="205">
        <v>2030</v>
      </c>
      <c r="H268" s="182" t="s">
        <v>341</v>
      </c>
      <c r="I268" s="273"/>
      <c r="J268" s="273"/>
      <c r="K268" s="273"/>
      <c r="L268" s="175">
        <f>SUM(L264:L267)</f>
        <v>22461600</v>
      </c>
      <c r="M268" s="175">
        <f>SUM(M264:M267)</f>
        <v>3751087.2</v>
      </c>
      <c r="N268" s="273"/>
      <c r="O268" s="273"/>
      <c r="P268" s="273"/>
      <c r="Q268" s="273"/>
      <c r="R268" s="175">
        <f>SUM(R264:R267)</f>
        <v>0</v>
      </c>
      <c r="S268" s="175">
        <f>SUM(S264:S267)</f>
        <v>0</v>
      </c>
      <c r="T268" s="175">
        <f>SUM(T264:T267)</f>
        <v>0</v>
      </c>
      <c r="U268" s="175">
        <f>SUM(U264:U267)</f>
        <v>0</v>
      </c>
      <c r="V268" s="273"/>
      <c r="W268" s="273"/>
      <c r="X268" s="273"/>
      <c r="Y268" s="175">
        <f>SUM(Y264:Y267)</f>
        <v>0</v>
      </c>
      <c r="Z268" s="175"/>
      <c r="AA268" s="273"/>
      <c r="AB268" s="175">
        <f>SUM(AB264:AB267)</f>
        <v>0</v>
      </c>
      <c r="AC268" s="175">
        <f>SUM(AC264:AC267)</f>
        <v>25655000</v>
      </c>
      <c r="AD268" s="175">
        <f>SUM(AD264:AD267)</f>
        <v>184500000</v>
      </c>
      <c r="AE268" s="175">
        <f>SUM(AE264:AE267)</f>
        <v>18450000</v>
      </c>
      <c r="AF268" s="175">
        <f>SUM(AF264:AF267)</f>
        <v>228605000</v>
      </c>
      <c r="AG268" s="273"/>
      <c r="AH268" s="273"/>
      <c r="AI268" s="273"/>
      <c r="AJ268" s="175">
        <f>SUM(AJ264:AJ267)</f>
        <v>0</v>
      </c>
      <c r="AK268" s="175">
        <f>SUM(AK264:AK267)</f>
        <v>0</v>
      </c>
      <c r="AL268" s="175">
        <f>SUM(AL264:AL267)</f>
        <v>0</v>
      </c>
      <c r="AM268" s="175">
        <f>SUM(AM264:AM267)</f>
        <v>0</v>
      </c>
      <c r="AN268" s="175">
        <f>SUM(AN264:AN267)</f>
        <v>0</v>
      </c>
      <c r="AO268" s="274"/>
      <c r="AP268" s="254"/>
      <c r="AQ268" s="175">
        <f t="shared" ref="AQ268:AT268" si="180">SUM(AQ264:AQ267)</f>
        <v>26212687.199999999</v>
      </c>
      <c r="AR268" s="175">
        <f t="shared" si="180"/>
        <v>228605000</v>
      </c>
      <c r="AS268" s="175">
        <f t="shared" si="180"/>
        <v>0</v>
      </c>
      <c r="AT268" s="175">
        <f t="shared" si="180"/>
        <v>254817687.19999999</v>
      </c>
      <c r="AU268" s="175">
        <f t="shared" ref="AU268:BB268" si="181">SUM(AU264:AU267)</f>
        <v>51867686.799999997</v>
      </c>
      <c r="AV268" s="175">
        <f t="shared" si="181"/>
        <v>0</v>
      </c>
      <c r="AW268" s="175">
        <f t="shared" si="181"/>
        <v>0</v>
      </c>
      <c r="AX268" s="175">
        <f t="shared" si="181"/>
        <v>0</v>
      </c>
      <c r="AY268" s="175">
        <f t="shared" si="181"/>
        <v>0</v>
      </c>
      <c r="AZ268" s="175">
        <f t="shared" si="181"/>
        <v>0</v>
      </c>
      <c r="BA268" s="175">
        <f t="shared" si="181"/>
        <v>0</v>
      </c>
      <c r="BB268" s="175">
        <f t="shared" si="181"/>
        <v>-202950000.40000001</v>
      </c>
      <c r="BC268" s="169"/>
      <c r="BD268" s="169"/>
      <c r="BE268" s="169"/>
      <c r="BF268" s="169"/>
    </row>
    <row r="269" spans="1:58" ht="15.6" customHeight="1" x14ac:dyDescent="0.2">
      <c r="A269" s="179"/>
      <c r="B269" s="290"/>
      <c r="C269" s="391" t="s">
        <v>342</v>
      </c>
      <c r="D269" s="391"/>
      <c r="E269" s="392"/>
      <c r="F269" s="287"/>
      <c r="G269" s="289"/>
      <c r="H269" s="181" t="s">
        <v>343</v>
      </c>
      <c r="I269" s="271"/>
      <c r="J269" s="271"/>
      <c r="K269" s="271"/>
      <c r="L269" s="261">
        <f>L273+L276</f>
        <v>0</v>
      </c>
      <c r="M269" s="261">
        <f>M273+M276</f>
        <v>0</v>
      </c>
      <c r="N269" s="271"/>
      <c r="O269" s="271"/>
      <c r="P269" s="271"/>
      <c r="Q269" s="271"/>
      <c r="R269" s="261">
        <f>R273+R276</f>
        <v>0</v>
      </c>
      <c r="S269" s="261">
        <f>S273+S276</f>
        <v>0</v>
      </c>
      <c r="T269" s="261">
        <f>T273+T276</f>
        <v>0</v>
      </c>
      <c r="U269" s="261">
        <f>U273+U276</f>
        <v>0</v>
      </c>
      <c r="V269" s="271"/>
      <c r="W269" s="271"/>
      <c r="X269" s="271"/>
      <c r="Y269" s="261">
        <f>Y273+Y276</f>
        <v>0</v>
      </c>
      <c r="Z269" s="261"/>
      <c r="AA269" s="261"/>
      <c r="AB269" s="261">
        <f>AB273+AB276</f>
        <v>0</v>
      </c>
      <c r="AC269" s="261">
        <f>AC273+AC276</f>
        <v>0</v>
      </c>
      <c r="AD269" s="261">
        <f>AD273+AD276</f>
        <v>0</v>
      </c>
      <c r="AE269" s="261">
        <f>AE273+AE276</f>
        <v>0</v>
      </c>
      <c r="AF269" s="261">
        <f>AF273+AF276</f>
        <v>0</v>
      </c>
      <c r="AG269" s="271"/>
      <c r="AH269" s="271"/>
      <c r="AI269" s="271"/>
      <c r="AJ269" s="261">
        <f>AJ273+AJ276</f>
        <v>0</v>
      </c>
      <c r="AK269" s="261">
        <f>AK273+AK276</f>
        <v>0</v>
      </c>
      <c r="AL269" s="261">
        <f>AL273+AL276</f>
        <v>0</v>
      </c>
      <c r="AM269" s="261">
        <f>AM273+AM276</f>
        <v>0</v>
      </c>
      <c r="AN269" s="261">
        <f>AN273+AN276</f>
        <v>0</v>
      </c>
      <c r="AO269" s="272"/>
      <c r="AP269" s="260"/>
      <c r="AQ269" s="261">
        <f t="shared" ref="AQ269:BB269" si="182">AQ273+AQ276</f>
        <v>0</v>
      </c>
      <c r="AR269" s="261">
        <f t="shared" si="182"/>
        <v>0</v>
      </c>
      <c r="AS269" s="261">
        <f t="shared" si="182"/>
        <v>0</v>
      </c>
      <c r="AT269" s="261">
        <f t="shared" si="182"/>
        <v>0</v>
      </c>
      <c r="AU269" s="261">
        <f t="shared" si="182"/>
        <v>0</v>
      </c>
      <c r="AV269" s="261">
        <f t="shared" si="182"/>
        <v>0</v>
      </c>
      <c r="AW269" s="261">
        <f t="shared" si="182"/>
        <v>0</v>
      </c>
      <c r="AX269" s="261">
        <f t="shared" si="182"/>
        <v>0</v>
      </c>
      <c r="AY269" s="261">
        <f t="shared" si="182"/>
        <v>0</v>
      </c>
      <c r="AZ269" s="261">
        <f t="shared" si="182"/>
        <v>0</v>
      </c>
      <c r="BA269" s="261">
        <f t="shared" si="182"/>
        <v>0</v>
      </c>
      <c r="BB269" s="261">
        <f t="shared" si="182"/>
        <v>0</v>
      </c>
      <c r="BC269" s="184"/>
      <c r="BD269" s="184"/>
      <c r="BE269" s="184"/>
      <c r="BF269" s="184"/>
    </row>
    <row r="270" spans="1:58" ht="78.75" x14ac:dyDescent="0.25">
      <c r="A270" s="172"/>
      <c r="B270" s="200"/>
      <c r="C270" s="201"/>
      <c r="D270" s="202"/>
      <c r="E270" s="354"/>
      <c r="F270" s="355"/>
      <c r="G270" s="356"/>
      <c r="H270" s="199" t="s">
        <v>344</v>
      </c>
      <c r="I270" s="178"/>
      <c r="J270" s="174"/>
      <c r="K270" s="174"/>
      <c r="L270" s="125" t="str">
        <f>IF(I270&lt;&gt;0,((VLOOKUP(I270,'1. Standard_Cost'!$B$4:$D$11,2)+VLOOKUP(I270,'1. Standard_Cost'!$B$4:$D$11,3))*J270*K270),"0")</f>
        <v>0</v>
      </c>
      <c r="M270" s="125">
        <f>L270*'1. Standard_Cost'!$F$4</f>
        <v>0</v>
      </c>
      <c r="N270" s="174"/>
      <c r="O270" s="174"/>
      <c r="P270" s="174"/>
      <c r="Q270" s="174"/>
      <c r="R270" s="127">
        <f>'1. Standard_Cost'!$B$15*N270*P270</f>
        <v>0</v>
      </c>
      <c r="S270" s="127">
        <f>N270*O270*P270*'1. Standard_Cost'!$C$15</f>
        <v>0</v>
      </c>
      <c r="T270" s="127">
        <f>N270*P270*Q270*'1. Standard_Cost'!$D$15</f>
        <v>0</v>
      </c>
      <c r="U270" s="127">
        <f>N270*O270*'1. Standard_Cost'!$E$15</f>
        <v>0</v>
      </c>
      <c r="V270" s="174"/>
      <c r="W270" s="174"/>
      <c r="X270" s="174"/>
      <c r="Y270" s="127">
        <f>+V270*((X270*'1. Standard_Cost'!$B$19)+(W270*X270*'1. Standard_Cost'!$C$19))</f>
        <v>0</v>
      </c>
      <c r="Z270" s="174"/>
      <c r="AA270" s="174"/>
      <c r="AB270" s="127">
        <v>0</v>
      </c>
      <c r="AC270" s="176"/>
      <c r="AD270" s="177"/>
      <c r="AE270" s="127">
        <f>SUM(AD270,AC270,AB270,Y270,U270,T270,S270,R270)*'1. Standard_Cost'!$B$31</f>
        <v>0</v>
      </c>
      <c r="AF270" s="127">
        <f>SUM(AE270,AD270,AC270,AB270,Y270,U270,T270,S270,R270)</f>
        <v>0</v>
      </c>
      <c r="AG270" s="174"/>
      <c r="AH270" s="174"/>
      <c r="AI270" s="174"/>
      <c r="AJ270" s="178"/>
      <c r="AK270" s="178"/>
      <c r="AL270" s="178"/>
      <c r="AM270" s="127">
        <f>AG270*'1. Standard_Cost'!$B$27+'Incremental_Cost Year 9'!AH270*'1. Standard_Cost'!$C$27+'Incremental_Cost Year 9'!AI270*'1. Standard_Cost'!$D$27+'Incremental_Cost Year 9'!AJ270+'Incremental_Cost Year 9'!AL270+AK270</f>
        <v>0</v>
      </c>
      <c r="AN270" s="127">
        <f>AM270*'1. Standard_Cost'!$C$31</f>
        <v>0</v>
      </c>
      <c r="AO270" s="178"/>
      <c r="AP270" s="256"/>
      <c r="AQ270" s="171">
        <f>L270+M270</f>
        <v>0</v>
      </c>
      <c r="AR270" s="171">
        <f>AF270</f>
        <v>0</v>
      </c>
      <c r="AS270" s="171">
        <f>AM270+AN270</f>
        <v>0</v>
      </c>
      <c r="AT270" s="171">
        <f>SUM(AQ270,AR270,AS270)</f>
        <v>0</v>
      </c>
      <c r="AU270" s="250">
        <f>AQ270</f>
        <v>0</v>
      </c>
      <c r="AV270" s="250"/>
      <c r="AW270" s="250"/>
      <c r="AX270" s="250"/>
      <c r="AY270" s="250"/>
      <c r="AZ270" s="250"/>
      <c r="BA270" s="250"/>
      <c r="BB270" s="251">
        <f t="shared" ref="BB270:BB272" si="183">SUM(AU270:BA270)-AT270</f>
        <v>0</v>
      </c>
      <c r="BC270" s="169"/>
      <c r="BD270" s="169"/>
      <c r="BE270" s="169"/>
      <c r="BF270" s="169"/>
    </row>
    <row r="271" spans="1:58" ht="63" x14ac:dyDescent="0.25">
      <c r="A271" s="172"/>
      <c r="B271" s="200"/>
      <c r="C271" s="201"/>
      <c r="D271" s="202"/>
      <c r="E271" s="357"/>
      <c r="F271" s="358"/>
      <c r="G271" s="359"/>
      <c r="H271" s="199" t="s">
        <v>345</v>
      </c>
      <c r="I271" s="178"/>
      <c r="J271" s="174"/>
      <c r="K271" s="174"/>
      <c r="L271" s="125" t="str">
        <f>IF(I271&lt;&gt;0,((VLOOKUP(I271,'1. Standard_Cost'!$B$4:$D$11,2)+VLOOKUP(I271,'1. Standard_Cost'!$B$4:$D$11,3))*J271*K271),"0")</f>
        <v>0</v>
      </c>
      <c r="M271" s="125">
        <f>L271*'1. Standard_Cost'!$F$4</f>
        <v>0</v>
      </c>
      <c r="N271" s="174"/>
      <c r="O271" s="174"/>
      <c r="P271" s="174"/>
      <c r="Q271" s="174"/>
      <c r="R271" s="127">
        <f>'1. Standard_Cost'!$B$15*N271*P271</f>
        <v>0</v>
      </c>
      <c r="S271" s="127">
        <f>N271*O271*P271*'1. Standard_Cost'!$C$15</f>
        <v>0</v>
      </c>
      <c r="T271" s="127">
        <f>N271*P271*Q271*'1. Standard_Cost'!$D$15</f>
        <v>0</v>
      </c>
      <c r="U271" s="127">
        <f>N271*O271*'1. Standard_Cost'!$E$15</f>
        <v>0</v>
      </c>
      <c r="V271" s="174"/>
      <c r="W271" s="174"/>
      <c r="X271" s="174"/>
      <c r="Y271" s="127">
        <f>+V271*((X271*'1. Standard_Cost'!$B$19)+(W271*X271*'1. Standard_Cost'!$C$19))</f>
        <v>0</v>
      </c>
      <c r="Z271" s="174"/>
      <c r="AA271" s="174"/>
      <c r="AB271" s="127">
        <v>0</v>
      </c>
      <c r="AC271" s="176"/>
      <c r="AD271" s="177"/>
      <c r="AE271" s="127">
        <f>SUM(AD271,AC271,AB271,Y271,U271,T271,S271,R271)*'1. Standard_Cost'!$B$31</f>
        <v>0</v>
      </c>
      <c r="AF271" s="127">
        <f>SUM(AE271,AD271,AC271,AB271,Y271,U271,T271,S271,R271)</f>
        <v>0</v>
      </c>
      <c r="AG271" s="174"/>
      <c r="AH271" s="174"/>
      <c r="AI271" s="174"/>
      <c r="AJ271" s="178"/>
      <c r="AK271" s="178"/>
      <c r="AL271" s="178"/>
      <c r="AM271" s="127">
        <f>AG271*'1. Standard_Cost'!$B$27+'Incremental_Cost Year 9'!AH271*'1. Standard_Cost'!$C$27+'Incremental_Cost Year 9'!AI271*'1. Standard_Cost'!$D$27+'Incremental_Cost Year 9'!AJ271+'Incremental_Cost Year 9'!AL271+AK271</f>
        <v>0</v>
      </c>
      <c r="AN271" s="127">
        <f>AM271*'1. Standard_Cost'!$C$31</f>
        <v>0</v>
      </c>
      <c r="AO271" s="178"/>
      <c r="AP271" s="256"/>
      <c r="AQ271" s="171">
        <f>L271+M271</f>
        <v>0</v>
      </c>
      <c r="AR271" s="171">
        <f>AF271</f>
        <v>0</v>
      </c>
      <c r="AS271" s="171">
        <f>AM271+AN271</f>
        <v>0</v>
      </c>
      <c r="AT271" s="171">
        <f>SUM(AQ271,AR271,AS271)</f>
        <v>0</v>
      </c>
      <c r="AU271" s="250">
        <f>AQ271</f>
        <v>0</v>
      </c>
      <c r="AV271" s="250"/>
      <c r="AW271" s="250"/>
      <c r="AX271" s="250"/>
      <c r="AY271" s="250"/>
      <c r="AZ271" s="250"/>
      <c r="BA271" s="250"/>
      <c r="BB271" s="251">
        <f t="shared" si="183"/>
        <v>0</v>
      </c>
      <c r="BC271" s="169"/>
      <c r="BD271" s="169"/>
      <c r="BE271" s="169"/>
      <c r="BF271" s="169"/>
    </row>
    <row r="272" spans="1:58" ht="63" x14ac:dyDescent="0.25">
      <c r="A272" s="172"/>
      <c r="B272" s="200"/>
      <c r="C272" s="201"/>
      <c r="D272" s="202"/>
      <c r="E272" s="360"/>
      <c r="F272" s="361"/>
      <c r="G272" s="362"/>
      <c r="H272" s="199" t="s">
        <v>346</v>
      </c>
      <c r="I272" s="178"/>
      <c r="J272" s="174"/>
      <c r="K272" s="174"/>
      <c r="L272" s="125" t="str">
        <f>IF(I272&lt;&gt;0,((VLOOKUP(I272,'1. Standard_Cost'!$B$4:$D$11,2)+VLOOKUP(I272,'1. Standard_Cost'!$B$4:$D$11,3))*J272*K272),"0")</f>
        <v>0</v>
      </c>
      <c r="M272" s="125">
        <f>L272*'1. Standard_Cost'!$F$4</f>
        <v>0</v>
      </c>
      <c r="N272" s="174"/>
      <c r="O272" s="174"/>
      <c r="P272" s="174"/>
      <c r="Q272" s="174"/>
      <c r="R272" s="127">
        <f>'1. Standard_Cost'!$B$15*N272*P272</f>
        <v>0</v>
      </c>
      <c r="S272" s="127">
        <f>N272*O272*P272*'1. Standard_Cost'!$C$15</f>
        <v>0</v>
      </c>
      <c r="T272" s="127">
        <f>N272*P272*Q272*'1. Standard_Cost'!$D$15</f>
        <v>0</v>
      </c>
      <c r="U272" s="127">
        <f>N272*O272*'1. Standard_Cost'!$E$15</f>
        <v>0</v>
      </c>
      <c r="V272" s="174"/>
      <c r="W272" s="174"/>
      <c r="X272" s="174"/>
      <c r="Y272" s="127">
        <f>+V272*((X272*'1. Standard_Cost'!$B$19)+(W272*X272*'1. Standard_Cost'!$C$19))</f>
        <v>0</v>
      </c>
      <c r="Z272" s="174"/>
      <c r="AA272" s="174"/>
      <c r="AB272" s="127">
        <v>0</v>
      </c>
      <c r="AC272" s="176"/>
      <c r="AD272" s="177"/>
      <c r="AE272" s="127">
        <f>SUM(AD272,AC272,AB272,Y272,U272,T272,S272,R272)*'1. Standard_Cost'!$B$31</f>
        <v>0</v>
      </c>
      <c r="AF272" s="127">
        <f>SUM(AE272,AD272,AC272,AB272,Y272,U272,T272,S272,R272)</f>
        <v>0</v>
      </c>
      <c r="AG272" s="174"/>
      <c r="AH272" s="174"/>
      <c r="AI272" s="174"/>
      <c r="AJ272" s="178"/>
      <c r="AK272" s="178"/>
      <c r="AL272" s="178"/>
      <c r="AM272" s="127">
        <f>AG272*'1. Standard_Cost'!$B$27+'Incremental_Cost Year 9'!AH272*'1. Standard_Cost'!$C$27+'Incremental_Cost Year 9'!AI272*'1. Standard_Cost'!$D$27+'Incremental_Cost Year 9'!AJ272+'Incremental_Cost Year 9'!AL272+AK272</f>
        <v>0</v>
      </c>
      <c r="AN272" s="127">
        <f>AM272*'1. Standard_Cost'!$C$31</f>
        <v>0</v>
      </c>
      <c r="AO272" s="178"/>
      <c r="AP272" s="256"/>
      <c r="AQ272" s="171">
        <f>L272+M272</f>
        <v>0</v>
      </c>
      <c r="AR272" s="171">
        <f>AF272</f>
        <v>0</v>
      </c>
      <c r="AS272" s="171">
        <f>AM272+AN272</f>
        <v>0</v>
      </c>
      <c r="AT272" s="171">
        <f>SUM(AQ272,AR272,AS272)</f>
        <v>0</v>
      </c>
      <c r="AU272" s="250">
        <f>AQ272</f>
        <v>0</v>
      </c>
      <c r="AV272" s="250"/>
      <c r="AW272" s="250"/>
      <c r="AX272" s="250"/>
      <c r="AY272" s="250"/>
      <c r="AZ272" s="250"/>
      <c r="BA272" s="250"/>
      <c r="BB272" s="251">
        <f t="shared" si="183"/>
        <v>0</v>
      </c>
      <c r="BC272" s="169"/>
      <c r="BD272" s="169"/>
      <c r="BE272" s="169"/>
      <c r="BF272" s="169"/>
    </row>
    <row r="273" spans="1:58" ht="63" x14ac:dyDescent="0.2">
      <c r="A273" s="172"/>
      <c r="B273" s="168"/>
      <c r="C273" s="204"/>
      <c r="D273" s="212" t="s">
        <v>559</v>
      </c>
      <c r="E273" s="212" t="s">
        <v>347</v>
      </c>
      <c r="F273" s="206">
        <v>2026</v>
      </c>
      <c r="G273" s="207">
        <v>2028</v>
      </c>
      <c r="H273" s="182" t="s">
        <v>348</v>
      </c>
      <c r="I273" s="273"/>
      <c r="J273" s="273"/>
      <c r="K273" s="273"/>
      <c r="L273" s="175">
        <f>SUM(L270:L272)</f>
        <v>0</v>
      </c>
      <c r="M273" s="175">
        <f>SUM(M270:M272)</f>
        <v>0</v>
      </c>
      <c r="N273" s="273"/>
      <c r="O273" s="273"/>
      <c r="P273" s="273"/>
      <c r="Q273" s="273"/>
      <c r="R273" s="175">
        <f>SUM(R270:R272)</f>
        <v>0</v>
      </c>
      <c r="S273" s="175">
        <f>SUM(S270:S272)</f>
        <v>0</v>
      </c>
      <c r="T273" s="175">
        <f>SUM(T270:T272)</f>
        <v>0</v>
      </c>
      <c r="U273" s="175">
        <f>SUM(U270:U272)</f>
        <v>0</v>
      </c>
      <c r="V273" s="273"/>
      <c r="W273" s="273"/>
      <c r="X273" s="273"/>
      <c r="Y273" s="175">
        <f>SUM(Y270:Y272)</f>
        <v>0</v>
      </c>
      <c r="Z273" s="175"/>
      <c r="AA273" s="273"/>
      <c r="AB273" s="175">
        <f>SUM(AB270:AB272)</f>
        <v>0</v>
      </c>
      <c r="AC273" s="175">
        <f>SUM(AC270:AC272)</f>
        <v>0</v>
      </c>
      <c r="AD273" s="175">
        <f>SUM(AD270:AD272)</f>
        <v>0</v>
      </c>
      <c r="AE273" s="175">
        <f>SUM(AE270:AE272)</f>
        <v>0</v>
      </c>
      <c r="AF273" s="175">
        <f>SUM(AF270:AF272)</f>
        <v>0</v>
      </c>
      <c r="AG273" s="273"/>
      <c r="AH273" s="273"/>
      <c r="AI273" s="273"/>
      <c r="AJ273" s="175">
        <f>SUM(AJ270:AJ272)</f>
        <v>0</v>
      </c>
      <c r="AK273" s="175">
        <f>SUM(AK270:AK272)</f>
        <v>0</v>
      </c>
      <c r="AL273" s="175">
        <f>SUM(AL270:AL272)</f>
        <v>0</v>
      </c>
      <c r="AM273" s="175">
        <f>SUM(AM270:AM272)</f>
        <v>0</v>
      </c>
      <c r="AN273" s="175">
        <f>SUM(AN270:AN272)</f>
        <v>0</v>
      </c>
      <c r="AO273" s="274"/>
      <c r="AP273" s="254"/>
      <c r="AQ273" s="175">
        <f t="shared" ref="AQ273:AT273" si="184">SUM(AQ270:AQ272)</f>
        <v>0</v>
      </c>
      <c r="AR273" s="175">
        <f t="shared" si="184"/>
        <v>0</v>
      </c>
      <c r="AS273" s="175">
        <f t="shared" si="184"/>
        <v>0</v>
      </c>
      <c r="AT273" s="175">
        <f t="shared" si="184"/>
        <v>0</v>
      </c>
      <c r="AU273" s="175">
        <f t="shared" ref="AU273:BB273" si="185">SUM(AU270:AU272)</f>
        <v>0</v>
      </c>
      <c r="AV273" s="175">
        <f t="shared" si="185"/>
        <v>0</v>
      </c>
      <c r="AW273" s="175">
        <f t="shared" si="185"/>
        <v>0</v>
      </c>
      <c r="AX273" s="175">
        <f t="shared" si="185"/>
        <v>0</v>
      </c>
      <c r="AY273" s="175">
        <f t="shared" si="185"/>
        <v>0</v>
      </c>
      <c r="AZ273" s="175">
        <f t="shared" si="185"/>
        <v>0</v>
      </c>
      <c r="BA273" s="175">
        <f t="shared" si="185"/>
        <v>0</v>
      </c>
      <c r="BB273" s="175">
        <f t="shared" si="185"/>
        <v>0</v>
      </c>
      <c r="BC273" s="169"/>
      <c r="BD273" s="169"/>
      <c r="BE273" s="169"/>
      <c r="BF273" s="169"/>
    </row>
    <row r="274" spans="1:58" ht="94.5" x14ac:dyDescent="0.25">
      <c r="A274" s="172"/>
      <c r="B274" s="200"/>
      <c r="C274" s="201"/>
      <c r="D274" s="202"/>
      <c r="E274" s="354"/>
      <c r="F274" s="355"/>
      <c r="G274" s="356"/>
      <c r="H274" s="199" t="s">
        <v>349</v>
      </c>
      <c r="I274" s="178"/>
      <c r="J274" s="174"/>
      <c r="K274" s="174"/>
      <c r="L274" s="125" t="str">
        <f>IF(I274&lt;&gt;0,((VLOOKUP(I274,'1. Standard_Cost'!$B$4:$D$11,2)+VLOOKUP(I274,'1. Standard_Cost'!$B$4:$D$11,3))*J274*K274),"0")</f>
        <v>0</v>
      </c>
      <c r="M274" s="125">
        <f>L274*'1. Standard_Cost'!$F$4</f>
        <v>0</v>
      </c>
      <c r="N274" s="174"/>
      <c r="O274" s="174"/>
      <c r="P274" s="174"/>
      <c r="Q274" s="174"/>
      <c r="R274" s="127">
        <f>'1. Standard_Cost'!$B$15*N274*P274</f>
        <v>0</v>
      </c>
      <c r="S274" s="127">
        <f>N274*O274*P274*'1. Standard_Cost'!$C$15</f>
        <v>0</v>
      </c>
      <c r="T274" s="127">
        <f>N274*P274*Q274*'1. Standard_Cost'!$D$15</f>
        <v>0</v>
      </c>
      <c r="U274" s="127">
        <f>N274*O274*'1. Standard_Cost'!$E$15</f>
        <v>0</v>
      </c>
      <c r="V274" s="174"/>
      <c r="W274" s="174"/>
      <c r="X274" s="174"/>
      <c r="Y274" s="127">
        <f>+V274*((X274*'1. Standard_Cost'!$B$19)+(W274*X274*'1. Standard_Cost'!$C$19))</f>
        <v>0</v>
      </c>
      <c r="Z274" s="174"/>
      <c r="AA274" s="174"/>
      <c r="AB274" s="127">
        <v>0</v>
      </c>
      <c r="AC274" s="176"/>
      <c r="AD274" s="177"/>
      <c r="AE274" s="127">
        <f>SUM(AD274,AC274,AB274,Y274,U274,T274,S274,R274)*'1. Standard_Cost'!$B$31</f>
        <v>0</v>
      </c>
      <c r="AF274" s="127">
        <f>SUM(AE274,AD274,AC274,AB274,Y274,U274,T274,S274,R274)</f>
        <v>0</v>
      </c>
      <c r="AG274" s="174"/>
      <c r="AH274" s="174"/>
      <c r="AI274" s="174"/>
      <c r="AJ274" s="178"/>
      <c r="AK274" s="178"/>
      <c r="AL274" s="178"/>
      <c r="AM274" s="127">
        <f>AG274*'1. Standard_Cost'!$B$27+'Incremental_Cost Year 9'!AH274*'1. Standard_Cost'!$C$27+'Incremental_Cost Year 9'!AI274*'1. Standard_Cost'!$D$27+'Incremental_Cost Year 9'!AJ274+'Incremental_Cost Year 9'!AL274+AK274</f>
        <v>0</v>
      </c>
      <c r="AN274" s="127">
        <f>AM274*'1. Standard_Cost'!$C$31</f>
        <v>0</v>
      </c>
      <c r="AO274" s="178"/>
      <c r="AP274" s="256"/>
      <c r="AQ274" s="171">
        <f>L274+M274</f>
        <v>0</v>
      </c>
      <c r="AR274" s="171">
        <f>AF274</f>
        <v>0</v>
      </c>
      <c r="AS274" s="171">
        <f>AM274+AN274</f>
        <v>0</v>
      </c>
      <c r="AT274" s="171">
        <f>SUM(AQ274,AR274,AS274)</f>
        <v>0</v>
      </c>
      <c r="AU274" s="250">
        <f>AT274</f>
        <v>0</v>
      </c>
      <c r="AV274" s="250"/>
      <c r="AW274" s="250"/>
      <c r="AX274" s="250"/>
      <c r="AY274" s="250"/>
      <c r="AZ274" s="250"/>
      <c r="BA274" s="250"/>
      <c r="BB274" s="251">
        <f t="shared" ref="BB274:BB275" si="186">SUM(AU274:BA274)-AT274</f>
        <v>0</v>
      </c>
      <c r="BC274" s="169"/>
      <c r="BD274" s="169"/>
      <c r="BE274" s="169"/>
      <c r="BF274" s="169"/>
    </row>
    <row r="275" spans="1:58" ht="126" x14ac:dyDescent="0.25">
      <c r="A275" s="172"/>
      <c r="B275" s="200"/>
      <c r="C275" s="201"/>
      <c r="D275" s="202"/>
      <c r="E275" s="360"/>
      <c r="F275" s="361"/>
      <c r="G275" s="362"/>
      <c r="H275" s="199" t="s">
        <v>350</v>
      </c>
      <c r="I275" s="178"/>
      <c r="J275" s="174"/>
      <c r="K275" s="174"/>
      <c r="L275" s="125" t="str">
        <f>IF(I275&lt;&gt;0,((VLOOKUP(I275,'1. Standard_Cost'!$B$4:$D$11,2)+VLOOKUP(I275,'1. Standard_Cost'!$B$4:$D$11,3))*J275*K275),"0")</f>
        <v>0</v>
      </c>
      <c r="M275" s="125">
        <f>L275*'1. Standard_Cost'!$F$4</f>
        <v>0</v>
      </c>
      <c r="N275" s="174"/>
      <c r="O275" s="174"/>
      <c r="P275" s="174"/>
      <c r="Q275" s="174"/>
      <c r="R275" s="127">
        <f>'1. Standard_Cost'!$B$15*N275*P275</f>
        <v>0</v>
      </c>
      <c r="S275" s="127">
        <f>N275*O275*P275*'1. Standard_Cost'!$C$15</f>
        <v>0</v>
      </c>
      <c r="T275" s="127">
        <f>N275*P275*Q275*'1. Standard_Cost'!$D$15</f>
        <v>0</v>
      </c>
      <c r="U275" s="127">
        <f>N275*O275*'1. Standard_Cost'!$E$15</f>
        <v>0</v>
      </c>
      <c r="V275" s="174"/>
      <c r="W275" s="174"/>
      <c r="X275" s="174"/>
      <c r="Y275" s="127">
        <f>+V275*((X275*'1. Standard_Cost'!$B$19)+(W275*X275*'1. Standard_Cost'!$C$19))</f>
        <v>0</v>
      </c>
      <c r="Z275" s="174"/>
      <c r="AA275" s="174"/>
      <c r="AB275" s="127">
        <v>0</v>
      </c>
      <c r="AC275" s="176"/>
      <c r="AD275" s="177"/>
      <c r="AE275" s="127">
        <f>SUM(AD275,AC275,AB275,Y275,U275,T275,S275,R275)*'1. Standard_Cost'!$B$31</f>
        <v>0</v>
      </c>
      <c r="AF275" s="127">
        <f>SUM(AE275,AD275,AC275,AB275,Y275,U275,T275,S275,R275)</f>
        <v>0</v>
      </c>
      <c r="AG275" s="174"/>
      <c r="AH275" s="174"/>
      <c r="AI275" s="174"/>
      <c r="AJ275" s="178"/>
      <c r="AK275" s="178"/>
      <c r="AL275" s="178"/>
      <c r="AM275" s="127">
        <f>AG275*'1. Standard_Cost'!$B$27+'Incremental_Cost Year 9'!AH275*'1. Standard_Cost'!$C$27+'Incremental_Cost Year 9'!AI275*'1. Standard_Cost'!$D$27+'Incremental_Cost Year 9'!AJ275+'Incremental_Cost Year 9'!AL275+AK275</f>
        <v>0</v>
      </c>
      <c r="AN275" s="127">
        <f>AM275*'1. Standard_Cost'!$C$31</f>
        <v>0</v>
      </c>
      <c r="AO275" s="178"/>
      <c r="AP275" s="256"/>
      <c r="AQ275" s="171">
        <f>L275+M275</f>
        <v>0</v>
      </c>
      <c r="AR275" s="171">
        <f>AF275</f>
        <v>0</v>
      </c>
      <c r="AS275" s="171">
        <f>AM275+AN275</f>
        <v>0</v>
      </c>
      <c r="AT275" s="171">
        <f>SUM(AQ275,AR275,AS275)</f>
        <v>0</v>
      </c>
      <c r="AU275" s="250">
        <f>AQ275</f>
        <v>0</v>
      </c>
      <c r="AV275" s="250"/>
      <c r="AW275" s="250"/>
      <c r="AX275" s="250"/>
      <c r="AY275" s="250"/>
      <c r="AZ275" s="250"/>
      <c r="BA275" s="250"/>
      <c r="BB275" s="251">
        <f t="shared" si="186"/>
        <v>0</v>
      </c>
      <c r="BC275" s="169"/>
      <c r="BD275" s="169"/>
      <c r="BE275" s="169"/>
      <c r="BF275" s="169"/>
    </row>
    <row r="276" spans="1:58" ht="78.75" x14ac:dyDescent="0.2">
      <c r="A276" s="172"/>
      <c r="B276" s="168"/>
      <c r="C276" s="204"/>
      <c r="D276" s="212" t="s">
        <v>485</v>
      </c>
      <c r="E276" s="212" t="s">
        <v>351</v>
      </c>
      <c r="F276" s="206">
        <v>2022</v>
      </c>
      <c r="G276" s="207">
        <v>2025</v>
      </c>
      <c r="H276" s="182" t="s">
        <v>352</v>
      </c>
      <c r="I276" s="273"/>
      <c r="J276" s="273"/>
      <c r="K276" s="273"/>
      <c r="L276" s="175">
        <f>SUM(L274:L275)</f>
        <v>0</v>
      </c>
      <c r="M276" s="175">
        <f>SUM(M274:M275)</f>
        <v>0</v>
      </c>
      <c r="N276" s="273"/>
      <c r="O276" s="273"/>
      <c r="P276" s="273"/>
      <c r="Q276" s="273"/>
      <c r="R276" s="175">
        <f>SUM(R274:R275)</f>
        <v>0</v>
      </c>
      <c r="S276" s="175">
        <f>SUM(S274:S275)</f>
        <v>0</v>
      </c>
      <c r="T276" s="175">
        <f>SUM(T274:T275)</f>
        <v>0</v>
      </c>
      <c r="U276" s="175">
        <f>SUM(U274:U275)</f>
        <v>0</v>
      </c>
      <c r="V276" s="273"/>
      <c r="W276" s="273"/>
      <c r="X276" s="273"/>
      <c r="Y276" s="175">
        <f>SUM(Y274:Y275)</f>
        <v>0</v>
      </c>
      <c r="Z276" s="175"/>
      <c r="AA276" s="273"/>
      <c r="AB276" s="175">
        <f>SUM(AB274:AB275)</f>
        <v>0</v>
      </c>
      <c r="AC276" s="175">
        <f>SUM(AC274:AC275)</f>
        <v>0</v>
      </c>
      <c r="AD276" s="175">
        <f>SUM(AD274:AD275)</f>
        <v>0</v>
      </c>
      <c r="AE276" s="175">
        <f>SUM(AE274:AE275)</f>
        <v>0</v>
      </c>
      <c r="AF276" s="175">
        <f>SUM(AF274:AF275)</f>
        <v>0</v>
      </c>
      <c r="AG276" s="273"/>
      <c r="AH276" s="273"/>
      <c r="AI276" s="273"/>
      <c r="AJ276" s="175">
        <f>SUM(AJ274:AJ275)</f>
        <v>0</v>
      </c>
      <c r="AK276" s="175">
        <f>SUM(AK274:AK275)</f>
        <v>0</v>
      </c>
      <c r="AL276" s="175">
        <f>SUM(AL274:AL275)</f>
        <v>0</v>
      </c>
      <c r="AM276" s="175">
        <f>SUM(AM274:AM275)</f>
        <v>0</v>
      </c>
      <c r="AN276" s="175">
        <f>SUM(AN274:AN275)</f>
        <v>0</v>
      </c>
      <c r="AO276" s="274"/>
      <c r="AP276" s="254"/>
      <c r="AQ276" s="175">
        <f t="shared" ref="AQ276:AT276" si="187">SUM(AQ274:AQ275)</f>
        <v>0</v>
      </c>
      <c r="AR276" s="175">
        <f t="shared" si="187"/>
        <v>0</v>
      </c>
      <c r="AS276" s="175">
        <f t="shared" si="187"/>
        <v>0</v>
      </c>
      <c r="AT276" s="175">
        <f t="shared" si="187"/>
        <v>0</v>
      </c>
      <c r="AU276" s="175">
        <f t="shared" ref="AU276:BB276" si="188">SUM(AU274:AU275)</f>
        <v>0</v>
      </c>
      <c r="AV276" s="175">
        <f t="shared" si="188"/>
        <v>0</v>
      </c>
      <c r="AW276" s="175">
        <f t="shared" si="188"/>
        <v>0</v>
      </c>
      <c r="AX276" s="175">
        <f t="shared" si="188"/>
        <v>0</v>
      </c>
      <c r="AY276" s="175">
        <f t="shared" si="188"/>
        <v>0</v>
      </c>
      <c r="AZ276" s="175">
        <f t="shared" si="188"/>
        <v>0</v>
      </c>
      <c r="BA276" s="175">
        <f t="shared" si="188"/>
        <v>0</v>
      </c>
      <c r="BB276" s="175">
        <f t="shared" si="188"/>
        <v>0</v>
      </c>
      <c r="BC276" s="169"/>
      <c r="BD276" s="169"/>
      <c r="BE276" s="169"/>
      <c r="BF276" s="169"/>
    </row>
    <row r="277" spans="1:58" ht="15.6" customHeight="1" x14ac:dyDescent="0.2">
      <c r="A277" s="179"/>
      <c r="B277" s="290"/>
      <c r="C277" s="391" t="s">
        <v>353</v>
      </c>
      <c r="D277" s="391"/>
      <c r="E277" s="392"/>
      <c r="F277" s="287"/>
      <c r="G277" s="289"/>
      <c r="H277" s="181" t="s">
        <v>354</v>
      </c>
      <c r="I277" s="271"/>
      <c r="J277" s="271"/>
      <c r="K277" s="271"/>
      <c r="L277" s="261">
        <f>L283</f>
        <v>7660800</v>
      </c>
      <c r="M277" s="261">
        <f>M283</f>
        <v>1279353.6000000001</v>
      </c>
      <c r="N277" s="271"/>
      <c r="O277" s="271"/>
      <c r="P277" s="271"/>
      <c r="Q277" s="271"/>
      <c r="R277" s="261">
        <f>R283</f>
        <v>0</v>
      </c>
      <c r="S277" s="261">
        <f>S283</f>
        <v>0</v>
      </c>
      <c r="T277" s="261">
        <f>T283</f>
        <v>0</v>
      </c>
      <c r="U277" s="261">
        <f>U283</f>
        <v>0</v>
      </c>
      <c r="V277" s="271"/>
      <c r="W277" s="271"/>
      <c r="X277" s="271"/>
      <c r="Y277" s="261">
        <f>Y283</f>
        <v>0</v>
      </c>
      <c r="Z277" s="261"/>
      <c r="AA277" s="261"/>
      <c r="AB277" s="261">
        <f>AB283</f>
        <v>0</v>
      </c>
      <c r="AC277" s="261">
        <f>AC283</f>
        <v>0</v>
      </c>
      <c r="AD277" s="261">
        <f>AD283</f>
        <v>0</v>
      </c>
      <c r="AE277" s="261">
        <f>AE283</f>
        <v>0</v>
      </c>
      <c r="AF277" s="261">
        <f>AF283</f>
        <v>0</v>
      </c>
      <c r="AG277" s="271"/>
      <c r="AH277" s="271"/>
      <c r="AI277" s="271"/>
      <c r="AJ277" s="261">
        <f>AJ283</f>
        <v>0</v>
      </c>
      <c r="AK277" s="261">
        <f>AK283</f>
        <v>0</v>
      </c>
      <c r="AL277" s="261">
        <f>AL283</f>
        <v>0</v>
      </c>
      <c r="AM277" s="261">
        <f>AM283</f>
        <v>0</v>
      </c>
      <c r="AN277" s="261">
        <f>AN283</f>
        <v>0</v>
      </c>
      <c r="AO277" s="272"/>
      <c r="AP277" s="260"/>
      <c r="AQ277" s="261">
        <f t="shared" ref="AQ277:BB277" si="189">AQ283</f>
        <v>8940153.5999999996</v>
      </c>
      <c r="AR277" s="261">
        <f t="shared" si="189"/>
        <v>0</v>
      </c>
      <c r="AS277" s="261">
        <f t="shared" si="189"/>
        <v>0</v>
      </c>
      <c r="AT277" s="261">
        <f t="shared" si="189"/>
        <v>8940153.5999999996</v>
      </c>
      <c r="AU277" s="261">
        <f t="shared" si="189"/>
        <v>8940153.5999999996</v>
      </c>
      <c r="AV277" s="261">
        <f t="shared" si="189"/>
        <v>0</v>
      </c>
      <c r="AW277" s="261">
        <f t="shared" si="189"/>
        <v>0</v>
      </c>
      <c r="AX277" s="261">
        <f t="shared" si="189"/>
        <v>0</v>
      </c>
      <c r="AY277" s="261">
        <f t="shared" si="189"/>
        <v>0</v>
      </c>
      <c r="AZ277" s="261">
        <f t="shared" si="189"/>
        <v>0</v>
      </c>
      <c r="BA277" s="261">
        <f t="shared" si="189"/>
        <v>0</v>
      </c>
      <c r="BB277" s="261">
        <f t="shared" si="189"/>
        <v>0</v>
      </c>
      <c r="BC277" s="184"/>
      <c r="BD277" s="184"/>
      <c r="BE277" s="184"/>
      <c r="BF277" s="184"/>
    </row>
    <row r="278" spans="1:58" ht="47.25" x14ac:dyDescent="0.25">
      <c r="A278" s="172"/>
      <c r="B278" s="200"/>
      <c r="C278" s="201"/>
      <c r="D278" s="202"/>
      <c r="E278" s="354"/>
      <c r="F278" s="355"/>
      <c r="G278" s="356"/>
      <c r="H278" s="213" t="s">
        <v>363</v>
      </c>
      <c r="I278" s="178"/>
      <c r="J278" s="174"/>
      <c r="K278" s="174"/>
      <c r="L278" s="125" t="str">
        <f>IF(I278&lt;&gt;0,((VLOOKUP(I278,'1. Standard_Cost'!$B$4:$D$11,2)+VLOOKUP(I278,'1. Standard_Cost'!$B$4:$D$11,3))*J278*K278),"0")</f>
        <v>0</v>
      </c>
      <c r="M278" s="125">
        <f>L278*'1. Standard_Cost'!$F$4</f>
        <v>0</v>
      </c>
      <c r="N278" s="174"/>
      <c r="O278" s="174"/>
      <c r="P278" s="174"/>
      <c r="Q278" s="174"/>
      <c r="R278" s="127">
        <f>'1. Standard_Cost'!$B$15*N278*P278</f>
        <v>0</v>
      </c>
      <c r="S278" s="127">
        <f>N278*O278*P278*'1. Standard_Cost'!$C$15</f>
        <v>0</v>
      </c>
      <c r="T278" s="127">
        <f>N278*P278*Q278*'1. Standard_Cost'!$D$15</f>
        <v>0</v>
      </c>
      <c r="U278" s="127">
        <f>N278*O278*'1. Standard_Cost'!$E$15</f>
        <v>0</v>
      </c>
      <c r="V278" s="174"/>
      <c r="W278" s="174"/>
      <c r="X278" s="174"/>
      <c r="Y278" s="127">
        <f>+V278*((X278*'1. Standard_Cost'!$B$19)+(W278*X278*'1. Standard_Cost'!$C$19))</f>
        <v>0</v>
      </c>
      <c r="Z278" s="174"/>
      <c r="AA278" s="174"/>
      <c r="AB278" s="127">
        <v>0</v>
      </c>
      <c r="AC278" s="176"/>
      <c r="AD278" s="177"/>
      <c r="AE278" s="127">
        <f>SUM(AD278,AC278,AB278,Y278,U278,T278,S278,R278)*'1. Standard_Cost'!$B$31</f>
        <v>0</v>
      </c>
      <c r="AF278" s="127">
        <f>SUM(AE278,AD278,AC278,AB278,Y278,U278,T278,S278,R278)</f>
        <v>0</v>
      </c>
      <c r="AG278" s="174"/>
      <c r="AH278" s="174"/>
      <c r="AI278" s="174"/>
      <c r="AJ278" s="178"/>
      <c r="AK278" s="178"/>
      <c r="AL278" s="178"/>
      <c r="AM278" s="127">
        <f>AG278*'1. Standard_Cost'!$B$27+'Incremental_Cost Year 9'!AH278*'1. Standard_Cost'!$C$27+'Incremental_Cost Year 9'!AI278*'1. Standard_Cost'!$D$27+'Incremental_Cost Year 9'!AJ278+'Incremental_Cost Year 9'!AL278+AK278</f>
        <v>0</v>
      </c>
      <c r="AN278" s="127">
        <f>AM278*'1. Standard_Cost'!$C$31</f>
        <v>0</v>
      </c>
      <c r="AO278" s="178"/>
      <c r="AP278" s="256"/>
      <c r="AQ278" s="171">
        <f>L278+M278</f>
        <v>0</v>
      </c>
      <c r="AR278" s="171">
        <f>AF278</f>
        <v>0</v>
      </c>
      <c r="AS278" s="171">
        <f>AM278+AN278</f>
        <v>0</v>
      </c>
      <c r="AT278" s="171">
        <f>SUM(AQ278,AR278,AS278)</f>
        <v>0</v>
      </c>
      <c r="AU278" s="250">
        <f>AT278</f>
        <v>0</v>
      </c>
      <c r="AV278" s="250"/>
      <c r="AW278" s="250"/>
      <c r="AX278" s="250"/>
      <c r="AY278" s="250"/>
      <c r="AZ278" s="250"/>
      <c r="BA278" s="250"/>
      <c r="BB278" s="251">
        <f t="shared" ref="BB278:BB282" si="190">SUM(AU278:BA278)-AT278</f>
        <v>0</v>
      </c>
      <c r="BC278" s="169"/>
      <c r="BD278" s="169"/>
      <c r="BE278" s="169"/>
      <c r="BF278" s="169"/>
    </row>
    <row r="279" spans="1:58" ht="63" x14ac:dyDescent="0.25">
      <c r="A279" s="172"/>
      <c r="B279" s="200"/>
      <c r="C279" s="201"/>
      <c r="D279" s="202"/>
      <c r="E279" s="357"/>
      <c r="F279" s="358"/>
      <c r="G279" s="359"/>
      <c r="H279" s="213" t="s">
        <v>364</v>
      </c>
      <c r="I279" s="178"/>
      <c r="J279" s="174"/>
      <c r="K279" s="174"/>
      <c r="L279" s="125" t="str">
        <f>IF(I279&lt;&gt;0,((VLOOKUP(I279,'1. Standard_Cost'!$B$4:$D$11,2)+VLOOKUP(I279,'1. Standard_Cost'!$B$4:$D$11,3))*J279*K279),"0")</f>
        <v>0</v>
      </c>
      <c r="M279" s="125">
        <f>L279*'1. Standard_Cost'!$F$4</f>
        <v>0</v>
      </c>
      <c r="N279" s="174"/>
      <c r="O279" s="174"/>
      <c r="P279" s="174"/>
      <c r="Q279" s="174"/>
      <c r="R279" s="127">
        <f>'1. Standard_Cost'!$B$15*N279*P279</f>
        <v>0</v>
      </c>
      <c r="S279" s="127">
        <f>N279*O279*P279*'1. Standard_Cost'!$C$15</f>
        <v>0</v>
      </c>
      <c r="T279" s="127">
        <f>N279*P279*Q279*'1. Standard_Cost'!$D$15</f>
        <v>0</v>
      </c>
      <c r="U279" s="127">
        <f>N279*O279*'1. Standard_Cost'!$E$15</f>
        <v>0</v>
      </c>
      <c r="V279" s="174"/>
      <c r="W279" s="174"/>
      <c r="X279" s="174"/>
      <c r="Y279" s="127">
        <f>+V279*((X279*'1. Standard_Cost'!$B$19)+(W279*X279*'1. Standard_Cost'!$C$19))</f>
        <v>0</v>
      </c>
      <c r="Z279" s="174"/>
      <c r="AA279" s="174"/>
      <c r="AB279" s="127">
        <v>0</v>
      </c>
      <c r="AC279" s="176"/>
      <c r="AD279" s="177"/>
      <c r="AE279" s="127">
        <f>SUM(AD279,AC279,AB279,Y279,U279,T279,S279,R279)*'1. Standard_Cost'!$B$31</f>
        <v>0</v>
      </c>
      <c r="AF279" s="127">
        <f>SUM(AE279,AD279,AC279,AB279,Y279,U279,T279,S279,R279)</f>
        <v>0</v>
      </c>
      <c r="AG279" s="174"/>
      <c r="AH279" s="174"/>
      <c r="AI279" s="174"/>
      <c r="AJ279" s="178"/>
      <c r="AK279" s="178"/>
      <c r="AL279" s="178"/>
      <c r="AM279" s="127">
        <f>AG279*'1. Standard_Cost'!$B$27+'Incremental_Cost Year 9'!AH279*'1. Standard_Cost'!$C$27+'Incremental_Cost Year 9'!AI279*'1. Standard_Cost'!$D$27+'Incremental_Cost Year 9'!AJ279+'Incremental_Cost Year 9'!AL279+AK279</f>
        <v>0</v>
      </c>
      <c r="AN279" s="127">
        <f>AM279*'1. Standard_Cost'!$C$31</f>
        <v>0</v>
      </c>
      <c r="AO279" s="178"/>
      <c r="AP279" s="256"/>
      <c r="AQ279" s="171">
        <f>L279+M279</f>
        <v>0</v>
      </c>
      <c r="AR279" s="171">
        <f>AF279</f>
        <v>0</v>
      </c>
      <c r="AS279" s="171">
        <f>AM279+AN279</f>
        <v>0</v>
      </c>
      <c r="AT279" s="171">
        <f>SUM(AQ279,AR279,AS279)</f>
        <v>0</v>
      </c>
      <c r="AU279" s="250">
        <f>AT279</f>
        <v>0</v>
      </c>
      <c r="AV279" s="250"/>
      <c r="AW279" s="250"/>
      <c r="AX279" s="250"/>
      <c r="AY279" s="250"/>
      <c r="AZ279" s="250"/>
      <c r="BA279" s="250"/>
      <c r="BB279" s="251">
        <f t="shared" si="190"/>
        <v>0</v>
      </c>
      <c r="BC279" s="169"/>
      <c r="BD279" s="169"/>
      <c r="BE279" s="169"/>
      <c r="BF279" s="169"/>
    </row>
    <row r="280" spans="1:58" ht="31.5" x14ac:dyDescent="0.25">
      <c r="A280" s="172"/>
      <c r="B280" s="200"/>
      <c r="C280" s="201"/>
      <c r="D280" s="202"/>
      <c r="E280" s="357"/>
      <c r="F280" s="358"/>
      <c r="G280" s="359"/>
      <c r="H280" s="213" t="s">
        <v>365</v>
      </c>
      <c r="I280" s="178" t="s">
        <v>3</v>
      </c>
      <c r="J280" s="174">
        <v>2</v>
      </c>
      <c r="K280" s="174">
        <v>20</v>
      </c>
      <c r="L280" s="125">
        <f>IF(I280&lt;&gt;0,((VLOOKUP(I280,'1. Standard_Cost'!$B$4:$D$11,2)+VLOOKUP(I280,'1. Standard_Cost'!$B$4:$D$11,3))*J280*K280),"0")</f>
        <v>4032000</v>
      </c>
      <c r="M280" s="125">
        <f>L280*'1. Standard_Cost'!$F$4</f>
        <v>673344</v>
      </c>
      <c r="N280" s="174"/>
      <c r="O280" s="174"/>
      <c r="P280" s="174"/>
      <c r="Q280" s="174"/>
      <c r="R280" s="127">
        <f>'1. Standard_Cost'!$B$15*N280*P280</f>
        <v>0</v>
      </c>
      <c r="S280" s="127">
        <f>N280*O280*P280*'1. Standard_Cost'!$C$15</f>
        <v>0</v>
      </c>
      <c r="T280" s="127">
        <f>N280*P280*Q280*'1. Standard_Cost'!$D$15</f>
        <v>0</v>
      </c>
      <c r="U280" s="127">
        <f>N280*O280*'1. Standard_Cost'!$E$15</f>
        <v>0</v>
      </c>
      <c r="V280" s="174"/>
      <c r="W280" s="174"/>
      <c r="X280" s="174"/>
      <c r="Y280" s="127">
        <f>+V280*((X280*'1. Standard_Cost'!$B$19)+(W280*X280*'1. Standard_Cost'!$C$19))</f>
        <v>0</v>
      </c>
      <c r="Z280" s="174"/>
      <c r="AA280" s="174"/>
      <c r="AB280" s="127">
        <v>0</v>
      </c>
      <c r="AC280" s="176"/>
      <c r="AD280" s="177"/>
      <c r="AE280" s="127">
        <f>SUM(AD280,AC280,AB280,Y280,U280,T280,S280,R280)*'1. Standard_Cost'!$B$31</f>
        <v>0</v>
      </c>
      <c r="AF280" s="127">
        <f>SUM(AE280,AD280,AC280,AB280,Y280,U280,T280,S280,R280)</f>
        <v>0</v>
      </c>
      <c r="AG280" s="174"/>
      <c r="AH280" s="174"/>
      <c r="AI280" s="174"/>
      <c r="AJ280" s="178"/>
      <c r="AK280" s="178"/>
      <c r="AL280" s="178"/>
      <c r="AM280" s="127">
        <f>AG280*'1. Standard_Cost'!$B$27+'Incremental_Cost Year 9'!AH280*'1. Standard_Cost'!$C$27+'Incremental_Cost Year 9'!AI280*'1. Standard_Cost'!$D$27+'Incremental_Cost Year 9'!AJ280+'Incremental_Cost Year 9'!AL280+AK280</f>
        <v>0</v>
      </c>
      <c r="AN280" s="127">
        <f>AM280*'1. Standard_Cost'!$C$31</f>
        <v>0</v>
      </c>
      <c r="AO280" s="178"/>
      <c r="AP280" s="256"/>
      <c r="AQ280" s="171">
        <f>L280+M280</f>
        <v>4705344</v>
      </c>
      <c r="AR280" s="171">
        <f>AF280</f>
        <v>0</v>
      </c>
      <c r="AS280" s="171">
        <f>AM280+AN280</f>
        <v>0</v>
      </c>
      <c r="AT280" s="171">
        <f>SUM(AQ280,AR280,AS280)</f>
        <v>4705344</v>
      </c>
      <c r="AU280" s="250">
        <f>AQ280</f>
        <v>4705344</v>
      </c>
      <c r="AV280" s="250"/>
      <c r="AW280" s="250"/>
      <c r="AX280" s="250"/>
      <c r="AY280" s="250"/>
      <c r="AZ280" s="250"/>
      <c r="BA280" s="250"/>
      <c r="BB280" s="251">
        <f t="shared" si="190"/>
        <v>0</v>
      </c>
      <c r="BC280" s="169"/>
      <c r="BD280" s="169"/>
      <c r="BE280" s="169"/>
      <c r="BF280" s="169"/>
    </row>
    <row r="281" spans="1:58" ht="15.75" x14ac:dyDescent="0.25">
      <c r="A281" s="172"/>
      <c r="B281" s="200"/>
      <c r="C281" s="201"/>
      <c r="D281" s="202"/>
      <c r="E281" s="357"/>
      <c r="F281" s="358"/>
      <c r="G281" s="359"/>
      <c r="H281" s="369"/>
      <c r="I281" s="178"/>
      <c r="J281" s="174"/>
      <c r="K281" s="174"/>
      <c r="L281" s="125" t="str">
        <f>IF(I281&lt;&gt;0,((VLOOKUP(I281,'1. Standard_Cost'!$B$4:$D$11,2)+VLOOKUP(I281,'1. Standard_Cost'!$B$4:$D$11,3))*J281*K281),"0")</f>
        <v>0</v>
      </c>
      <c r="M281" s="125">
        <f>L281*'1. Standard_Cost'!$F$4</f>
        <v>0</v>
      </c>
      <c r="N281" s="174"/>
      <c r="O281" s="174"/>
      <c r="P281" s="174"/>
      <c r="Q281" s="174"/>
      <c r="R281" s="127">
        <f>'1. Standard_Cost'!$B$15*N281*P281</f>
        <v>0</v>
      </c>
      <c r="S281" s="127">
        <f>N281*O281*P281*'1. Standard_Cost'!$C$15</f>
        <v>0</v>
      </c>
      <c r="T281" s="127">
        <f>N281*P281*Q281*'1. Standard_Cost'!$D$15</f>
        <v>0</v>
      </c>
      <c r="U281" s="127">
        <f>N281*O281*'1. Standard_Cost'!$E$15</f>
        <v>0</v>
      </c>
      <c r="V281" s="174"/>
      <c r="W281" s="174"/>
      <c r="X281" s="174"/>
      <c r="Y281" s="127">
        <f>+V281*((X281*'1. Standard_Cost'!$B$19)+(W281*X281*'1. Standard_Cost'!$C$19))</f>
        <v>0</v>
      </c>
      <c r="Z281" s="174"/>
      <c r="AA281" s="174"/>
      <c r="AB281" s="127">
        <v>0</v>
      </c>
      <c r="AC281" s="176"/>
      <c r="AD281" s="177"/>
      <c r="AE281" s="127">
        <f>SUM(AD281,AC281,AB281,Y281,U281,T281,S281,R281)*'1. Standard_Cost'!$B$31</f>
        <v>0</v>
      </c>
      <c r="AF281" s="127">
        <f>SUM(AE281,AD281,AC281,AB281,Y281,U281,T281,S281,R281)</f>
        <v>0</v>
      </c>
      <c r="AG281" s="174"/>
      <c r="AH281" s="174"/>
      <c r="AI281" s="174"/>
      <c r="AJ281" s="178"/>
      <c r="AK281" s="178"/>
      <c r="AL281" s="178"/>
      <c r="AM281" s="127">
        <f>AG281*'1. Standard_Cost'!$B$27+'Incremental_Cost Year 9'!AH281*'1. Standard_Cost'!$C$27+'Incremental_Cost Year 9'!AI281*'1. Standard_Cost'!$D$27+'Incremental_Cost Year 9'!AJ281+'Incremental_Cost Year 9'!AL281+AK281</f>
        <v>0</v>
      </c>
      <c r="AN281" s="127">
        <f>AM281*'1. Standard_Cost'!$C$31</f>
        <v>0</v>
      </c>
      <c r="AO281" s="178"/>
      <c r="AP281" s="256"/>
      <c r="AQ281" s="171">
        <f>L281+M281</f>
        <v>0</v>
      </c>
      <c r="AR281" s="171">
        <f>AF281</f>
        <v>0</v>
      </c>
      <c r="AS281" s="171">
        <f>AM281+AN281</f>
        <v>0</v>
      </c>
      <c r="AT281" s="171">
        <f>SUM(AQ281,AR281,AS281)</f>
        <v>0</v>
      </c>
      <c r="AU281" s="250">
        <f>AQ281</f>
        <v>0</v>
      </c>
      <c r="AV281" s="250"/>
      <c r="AW281" s="250"/>
      <c r="AX281" s="250"/>
      <c r="AY281" s="250"/>
      <c r="AZ281" s="250"/>
      <c r="BA281" s="250"/>
      <c r="BB281" s="251">
        <f t="shared" si="190"/>
        <v>0</v>
      </c>
      <c r="BC281" s="169"/>
      <c r="BD281" s="169"/>
      <c r="BE281" s="169"/>
      <c r="BF281" s="169"/>
    </row>
    <row r="282" spans="1:58" ht="31.5" x14ac:dyDescent="0.25">
      <c r="A282" s="172"/>
      <c r="B282" s="200"/>
      <c r="C282" s="201"/>
      <c r="D282" s="202"/>
      <c r="E282" s="360"/>
      <c r="F282" s="361"/>
      <c r="G282" s="362"/>
      <c r="H282" s="213" t="s">
        <v>366</v>
      </c>
      <c r="I282" s="178" t="s">
        <v>3</v>
      </c>
      <c r="J282" s="174">
        <v>12</v>
      </c>
      <c r="K282" s="174">
        <v>3</v>
      </c>
      <c r="L282" s="125">
        <f>IF(I282&lt;&gt;0,((VLOOKUP(I282,'1. Standard_Cost'!$B$4:$D$11,2)+VLOOKUP(I282,'1. Standard_Cost'!$B$4:$D$11,3))*J282*K282),"0")</f>
        <v>3628800</v>
      </c>
      <c r="M282" s="125">
        <f>L282*'1. Standard_Cost'!$F$4</f>
        <v>606009.59999999998</v>
      </c>
      <c r="N282" s="174"/>
      <c r="O282" s="174"/>
      <c r="P282" s="174"/>
      <c r="Q282" s="174"/>
      <c r="R282" s="127">
        <f>'1. Standard_Cost'!$B$15*N282*P282</f>
        <v>0</v>
      </c>
      <c r="S282" s="127">
        <f>N282*O282*P282*'1. Standard_Cost'!$C$15</f>
        <v>0</v>
      </c>
      <c r="T282" s="127">
        <f>N282*P282*Q282*'1. Standard_Cost'!$D$15</f>
        <v>0</v>
      </c>
      <c r="U282" s="127">
        <f>N282*O282*'1. Standard_Cost'!$E$15</f>
        <v>0</v>
      </c>
      <c r="V282" s="174"/>
      <c r="W282" s="174"/>
      <c r="X282" s="174"/>
      <c r="Y282" s="127">
        <f>+V282*((X282*'1. Standard_Cost'!$B$19)+(W282*X282*'1. Standard_Cost'!$C$19))</f>
        <v>0</v>
      </c>
      <c r="Z282" s="174"/>
      <c r="AA282" s="174"/>
      <c r="AB282" s="127">
        <v>0</v>
      </c>
      <c r="AC282" s="176"/>
      <c r="AD282" s="177"/>
      <c r="AE282" s="127">
        <f>SUM(AD282,AC282,AB282,Y282,U282,T282,S282,R282)*'1. Standard_Cost'!$B$31</f>
        <v>0</v>
      </c>
      <c r="AF282" s="127">
        <f>SUM(AE282,AD282,AC282,AB282,Y282,U282,T282,S282,R282)</f>
        <v>0</v>
      </c>
      <c r="AG282" s="174"/>
      <c r="AH282" s="174"/>
      <c r="AI282" s="174"/>
      <c r="AJ282" s="178"/>
      <c r="AK282" s="178"/>
      <c r="AL282" s="178"/>
      <c r="AM282" s="127">
        <f>AG282*'1. Standard_Cost'!$B$27+'Incremental_Cost Year 9'!AH282*'1. Standard_Cost'!$C$27+'Incremental_Cost Year 9'!AI282*'1. Standard_Cost'!$D$27+'Incremental_Cost Year 9'!AJ282+'Incremental_Cost Year 9'!AL282+AK282</f>
        <v>0</v>
      </c>
      <c r="AN282" s="127">
        <f>AM282*'1. Standard_Cost'!$C$31</f>
        <v>0</v>
      </c>
      <c r="AO282" s="178"/>
      <c r="AP282" s="256"/>
      <c r="AQ282" s="171">
        <f>L282+M282</f>
        <v>4234809.5999999996</v>
      </c>
      <c r="AR282" s="171">
        <f>AF282</f>
        <v>0</v>
      </c>
      <c r="AS282" s="171">
        <f>AM282+AN282</f>
        <v>0</v>
      </c>
      <c r="AT282" s="171">
        <f>SUM(AQ282,AR282,AS282)</f>
        <v>4234809.5999999996</v>
      </c>
      <c r="AU282" s="250">
        <f>AQ282</f>
        <v>4234809.5999999996</v>
      </c>
      <c r="AV282" s="250"/>
      <c r="AW282" s="250"/>
      <c r="AX282" s="250"/>
      <c r="AY282" s="250"/>
      <c r="AZ282" s="250"/>
      <c r="BA282" s="250"/>
      <c r="BB282" s="251">
        <f t="shared" si="190"/>
        <v>0</v>
      </c>
      <c r="BC282" s="169"/>
      <c r="BD282" s="169"/>
      <c r="BE282" s="169"/>
      <c r="BF282" s="169"/>
    </row>
    <row r="283" spans="1:58" ht="31.5" x14ac:dyDescent="0.2">
      <c r="A283" s="172"/>
      <c r="B283" s="168"/>
      <c r="C283" s="204"/>
      <c r="D283" s="212" t="s">
        <v>559</v>
      </c>
      <c r="E283" s="212" t="s">
        <v>355</v>
      </c>
      <c r="F283" s="212">
        <v>2021</v>
      </c>
      <c r="G283" s="212">
        <v>2030</v>
      </c>
      <c r="H283" s="182" t="s">
        <v>356</v>
      </c>
      <c r="I283" s="273"/>
      <c r="J283" s="273"/>
      <c r="K283" s="273"/>
      <c r="L283" s="175">
        <f>SUM(L278:L282)</f>
        <v>7660800</v>
      </c>
      <c r="M283" s="175">
        <f>SUM(M278:M282)</f>
        <v>1279353.6000000001</v>
      </c>
      <c r="N283" s="273"/>
      <c r="O283" s="273"/>
      <c r="P283" s="273"/>
      <c r="Q283" s="273"/>
      <c r="R283" s="175">
        <f>SUM(R278:R282)</f>
        <v>0</v>
      </c>
      <c r="S283" s="175">
        <f>SUM(S278:S282)</f>
        <v>0</v>
      </c>
      <c r="T283" s="175">
        <f>SUM(T278:T282)</f>
        <v>0</v>
      </c>
      <c r="U283" s="175">
        <f>SUM(U278:U282)</f>
        <v>0</v>
      </c>
      <c r="V283" s="273"/>
      <c r="W283" s="273"/>
      <c r="X283" s="273"/>
      <c r="Y283" s="175">
        <f>SUM(Y278:Y282)</f>
        <v>0</v>
      </c>
      <c r="Z283" s="175"/>
      <c r="AA283" s="273"/>
      <c r="AB283" s="175">
        <f>SUM(AB278:AB282)</f>
        <v>0</v>
      </c>
      <c r="AC283" s="175">
        <f>SUM(AC278:AC282)</f>
        <v>0</v>
      </c>
      <c r="AD283" s="175">
        <f>SUM(AD278:AD282)</f>
        <v>0</v>
      </c>
      <c r="AE283" s="175">
        <f>SUM(AE278:AE282)</f>
        <v>0</v>
      </c>
      <c r="AF283" s="175">
        <f>SUM(AF278:AF282)</f>
        <v>0</v>
      </c>
      <c r="AG283" s="273"/>
      <c r="AH283" s="273"/>
      <c r="AI283" s="273"/>
      <c r="AJ283" s="175">
        <f>SUM(AJ278:AJ282)</f>
        <v>0</v>
      </c>
      <c r="AK283" s="175">
        <f>SUM(AK278:AK282)</f>
        <v>0</v>
      </c>
      <c r="AL283" s="175">
        <f>SUM(AL278:AL282)</f>
        <v>0</v>
      </c>
      <c r="AM283" s="175">
        <f>SUM(AM278:AM282)</f>
        <v>0</v>
      </c>
      <c r="AN283" s="175">
        <f>SUM(AN278:AN282)</f>
        <v>0</v>
      </c>
      <c r="AO283" s="274"/>
      <c r="AP283" s="254"/>
      <c r="AQ283" s="175">
        <f t="shared" ref="AQ283:AT283" si="191">SUM(AQ278:AQ282)</f>
        <v>8940153.5999999996</v>
      </c>
      <c r="AR283" s="175">
        <f t="shared" si="191"/>
        <v>0</v>
      </c>
      <c r="AS283" s="175">
        <f t="shared" si="191"/>
        <v>0</v>
      </c>
      <c r="AT283" s="175">
        <f t="shared" si="191"/>
        <v>8940153.5999999996</v>
      </c>
      <c r="AU283" s="175">
        <f t="shared" ref="AU283:BB283" si="192">SUM(AU278:AU282)</f>
        <v>8940153.5999999996</v>
      </c>
      <c r="AV283" s="175">
        <f t="shared" si="192"/>
        <v>0</v>
      </c>
      <c r="AW283" s="175">
        <f t="shared" si="192"/>
        <v>0</v>
      </c>
      <c r="AX283" s="175">
        <f t="shared" si="192"/>
        <v>0</v>
      </c>
      <c r="AY283" s="175">
        <f t="shared" si="192"/>
        <v>0</v>
      </c>
      <c r="AZ283" s="175">
        <f t="shared" si="192"/>
        <v>0</v>
      </c>
      <c r="BA283" s="175">
        <f t="shared" si="192"/>
        <v>0</v>
      </c>
      <c r="BB283" s="175">
        <f t="shared" si="192"/>
        <v>0</v>
      </c>
      <c r="BC283" s="169"/>
      <c r="BD283" s="169"/>
      <c r="BE283" s="169"/>
      <c r="BF283" s="169"/>
    </row>
    <row r="284" spans="1:58" ht="15.6" customHeight="1" x14ac:dyDescent="0.2">
      <c r="A284" s="179"/>
      <c r="B284" s="290"/>
      <c r="C284" s="391" t="s">
        <v>357</v>
      </c>
      <c r="D284" s="391"/>
      <c r="E284" s="392"/>
      <c r="F284" s="287"/>
      <c r="G284" s="289"/>
      <c r="H284" s="181" t="s">
        <v>358</v>
      </c>
      <c r="I284" s="271"/>
      <c r="J284" s="271"/>
      <c r="K284" s="271"/>
      <c r="L284" s="261">
        <f>L289</f>
        <v>0</v>
      </c>
      <c r="M284" s="261">
        <f>M289</f>
        <v>0</v>
      </c>
      <c r="N284" s="271"/>
      <c r="O284" s="271"/>
      <c r="P284" s="271"/>
      <c r="Q284" s="271"/>
      <c r="R284" s="261">
        <f>R289</f>
        <v>0</v>
      </c>
      <c r="S284" s="261">
        <f>S289</f>
        <v>0</v>
      </c>
      <c r="T284" s="261">
        <f>T289</f>
        <v>0</v>
      </c>
      <c r="U284" s="261">
        <f>U289</f>
        <v>0</v>
      </c>
      <c r="V284" s="271"/>
      <c r="W284" s="271"/>
      <c r="X284" s="271"/>
      <c r="Y284" s="261">
        <f>Y289</f>
        <v>0</v>
      </c>
      <c r="Z284" s="261"/>
      <c r="AA284" s="261"/>
      <c r="AB284" s="261">
        <f>AB289</f>
        <v>0</v>
      </c>
      <c r="AC284" s="261">
        <f>AC289</f>
        <v>0</v>
      </c>
      <c r="AD284" s="261">
        <f>AD289</f>
        <v>0</v>
      </c>
      <c r="AE284" s="261">
        <f>AE289</f>
        <v>0</v>
      </c>
      <c r="AF284" s="261">
        <f>AF289</f>
        <v>0</v>
      </c>
      <c r="AG284" s="271"/>
      <c r="AH284" s="271"/>
      <c r="AI284" s="271"/>
      <c r="AJ284" s="261">
        <f>AJ289</f>
        <v>0</v>
      </c>
      <c r="AK284" s="261">
        <f>AK289</f>
        <v>0</v>
      </c>
      <c r="AL284" s="261">
        <f>AL289</f>
        <v>0</v>
      </c>
      <c r="AM284" s="261">
        <f>AM289</f>
        <v>0</v>
      </c>
      <c r="AN284" s="261">
        <f>AN289</f>
        <v>0</v>
      </c>
      <c r="AO284" s="272"/>
      <c r="AP284" s="260"/>
      <c r="AQ284" s="261">
        <f t="shared" ref="AQ284:BB284" si="193">AQ289</f>
        <v>0</v>
      </c>
      <c r="AR284" s="261">
        <f t="shared" si="193"/>
        <v>0</v>
      </c>
      <c r="AS284" s="261">
        <f t="shared" si="193"/>
        <v>0</v>
      </c>
      <c r="AT284" s="261">
        <f t="shared" si="193"/>
        <v>0</v>
      </c>
      <c r="AU284" s="261">
        <f t="shared" si="193"/>
        <v>0</v>
      </c>
      <c r="AV284" s="261">
        <f t="shared" si="193"/>
        <v>0</v>
      </c>
      <c r="AW284" s="261">
        <f t="shared" si="193"/>
        <v>0</v>
      </c>
      <c r="AX284" s="261">
        <f t="shared" si="193"/>
        <v>0</v>
      </c>
      <c r="AY284" s="261">
        <f t="shared" si="193"/>
        <v>0</v>
      </c>
      <c r="AZ284" s="261">
        <f t="shared" si="193"/>
        <v>0</v>
      </c>
      <c r="BA284" s="261">
        <f t="shared" si="193"/>
        <v>0</v>
      </c>
      <c r="BB284" s="261">
        <f t="shared" si="193"/>
        <v>0</v>
      </c>
      <c r="BC284" s="184"/>
      <c r="BD284" s="184"/>
      <c r="BE284" s="184"/>
      <c r="BF284" s="184"/>
    </row>
    <row r="285" spans="1:58" ht="173.25" x14ac:dyDescent="0.25">
      <c r="A285" s="172"/>
      <c r="B285" s="354"/>
      <c r="C285" s="356"/>
      <c r="D285" s="342"/>
      <c r="E285" s="328"/>
      <c r="F285" s="328"/>
      <c r="G285" s="328"/>
      <c r="H285" s="213" t="s">
        <v>550</v>
      </c>
      <c r="I285" s="178"/>
      <c r="J285" s="174"/>
      <c r="K285" s="174"/>
      <c r="L285" s="125" t="str">
        <f>IF(I285&lt;&gt;0,((VLOOKUP(I285,'1. Standard_Cost'!$B$4:$D$11,2)+VLOOKUP(I285,'1. Standard_Cost'!$B$4:$D$11,3))*J285*K285),"0")</f>
        <v>0</v>
      </c>
      <c r="M285" s="125">
        <f>L285*'1. Standard_Cost'!$F$4</f>
        <v>0</v>
      </c>
      <c r="N285" s="174"/>
      <c r="O285" s="174"/>
      <c r="P285" s="174"/>
      <c r="Q285" s="174"/>
      <c r="R285" s="127">
        <f>'1. Standard_Cost'!$B$15*N285*P285</f>
        <v>0</v>
      </c>
      <c r="S285" s="127">
        <f>N285*O285*P285*'1. Standard_Cost'!$C$15</f>
        <v>0</v>
      </c>
      <c r="T285" s="127">
        <f>N285*P285*Q285*'1. Standard_Cost'!$D$15</f>
        <v>0</v>
      </c>
      <c r="U285" s="127">
        <f>N285*O285*'1. Standard_Cost'!$E$15</f>
        <v>0</v>
      </c>
      <c r="V285" s="174"/>
      <c r="W285" s="174"/>
      <c r="X285" s="174"/>
      <c r="Y285" s="127">
        <f>+V285*((X285*'1. Standard_Cost'!$B$19)+(W285*X285*'1. Standard_Cost'!$C$19))</f>
        <v>0</v>
      </c>
      <c r="Z285" s="174"/>
      <c r="AA285" s="174"/>
      <c r="AB285" s="127">
        <v>0</v>
      </c>
      <c r="AC285" s="176"/>
      <c r="AD285" s="177"/>
      <c r="AE285" s="127">
        <f>SUM(AD285,AC285,AB285,Y285,U285,T285,S285,R285)*'1. Standard_Cost'!$B$31</f>
        <v>0</v>
      </c>
      <c r="AF285" s="127">
        <f>SUM(AE285,AD285,AC285,AB285,Y285,U285,T285,S285,R285)</f>
        <v>0</v>
      </c>
      <c r="AG285" s="174"/>
      <c r="AH285" s="174"/>
      <c r="AI285" s="174"/>
      <c r="AJ285" s="178"/>
      <c r="AK285" s="178"/>
      <c r="AL285" s="178"/>
      <c r="AM285" s="127">
        <f>AG285*'1. Standard_Cost'!$B$27+'Incremental_Cost Year 9'!AH285*'1. Standard_Cost'!$C$27+'Incremental_Cost Year 9'!AI285*'1. Standard_Cost'!$D$27+'Incremental_Cost Year 9'!AJ285+'Incremental_Cost Year 9'!AL285+AK285</f>
        <v>0</v>
      </c>
      <c r="AN285" s="127">
        <f>AM285*'1. Standard_Cost'!$C$31</f>
        <v>0</v>
      </c>
      <c r="AO285" s="178"/>
      <c r="AP285" s="256"/>
      <c r="AQ285" s="171">
        <f>L285+M285</f>
        <v>0</v>
      </c>
      <c r="AR285" s="171">
        <f>AF285</f>
        <v>0</v>
      </c>
      <c r="AS285" s="171">
        <f>AM285+AN285</f>
        <v>0</v>
      </c>
      <c r="AT285" s="171">
        <f>SUM(AQ285,AR285,AS285)</f>
        <v>0</v>
      </c>
      <c r="AU285" s="250"/>
      <c r="AV285" s="250"/>
      <c r="AW285" s="250"/>
      <c r="AX285" s="250"/>
      <c r="AY285" s="250"/>
      <c r="AZ285" s="250"/>
      <c r="BA285" s="250"/>
      <c r="BB285" s="251">
        <f t="shared" ref="BB285:BB288" si="194">SUM(AU285:BA285)-AT285</f>
        <v>0</v>
      </c>
      <c r="BC285" s="169"/>
      <c r="BD285" s="169"/>
      <c r="BE285" s="169"/>
      <c r="BF285" s="169"/>
    </row>
    <row r="286" spans="1:58" ht="78.75" customHeight="1" x14ac:dyDescent="0.25">
      <c r="A286" s="172"/>
      <c r="B286" s="357"/>
      <c r="C286" s="359"/>
      <c r="D286" s="343"/>
      <c r="E286" s="328"/>
      <c r="F286" s="328"/>
      <c r="G286" s="328"/>
      <c r="H286" s="213" t="s">
        <v>555</v>
      </c>
      <c r="I286" s="178"/>
      <c r="J286" s="174"/>
      <c r="K286" s="174"/>
      <c r="L286" s="125" t="str">
        <f>IF(I286&lt;&gt;0,((VLOOKUP(I286,'1. Standard_Cost'!$B$4:$D$11,2)+VLOOKUP(I286,'1. Standard_Cost'!$B$4:$D$11,3))*J286*K286),"0")</f>
        <v>0</v>
      </c>
      <c r="M286" s="125">
        <f>L286*'1. Standard_Cost'!$F$4</f>
        <v>0</v>
      </c>
      <c r="N286" s="174"/>
      <c r="O286" s="174"/>
      <c r="P286" s="174"/>
      <c r="Q286" s="174"/>
      <c r="R286" s="127">
        <f>'1. Standard_Cost'!$B$15*N286*P286</f>
        <v>0</v>
      </c>
      <c r="S286" s="127">
        <f>N286*O286*P286*'1. Standard_Cost'!$C$15</f>
        <v>0</v>
      </c>
      <c r="T286" s="127">
        <f>N286*P286*Q286*'1. Standard_Cost'!$D$15</f>
        <v>0</v>
      </c>
      <c r="U286" s="127">
        <f>N286*O286*'1. Standard_Cost'!$E$15</f>
        <v>0</v>
      </c>
      <c r="V286" s="174"/>
      <c r="W286" s="174"/>
      <c r="X286" s="174"/>
      <c r="Y286" s="127">
        <f>+V286*((X286*'1. Standard_Cost'!$B$19)+(W286*X286*'1. Standard_Cost'!$C$19))</f>
        <v>0</v>
      </c>
      <c r="Z286" s="174"/>
      <c r="AA286" s="174"/>
      <c r="AB286" s="127">
        <v>0</v>
      </c>
      <c r="AC286" s="176"/>
      <c r="AD286" s="177"/>
      <c r="AE286" s="127">
        <f>SUM(AD286,AC286,AB286,Y286,U286,T286,S286,R286)*'1. Standard_Cost'!$B$31</f>
        <v>0</v>
      </c>
      <c r="AF286" s="127">
        <f>SUM(AE286,AD286,AC286,AB286,Y286,U286,T286,S286,R286)</f>
        <v>0</v>
      </c>
      <c r="AG286" s="174"/>
      <c r="AH286" s="174"/>
      <c r="AI286" s="174"/>
      <c r="AJ286" s="178"/>
      <c r="AK286" s="178"/>
      <c r="AL286" s="178"/>
      <c r="AM286" s="127">
        <f>AG286*'1. Standard_Cost'!$B$27+'Incremental_Cost Year 9'!AH286*'1. Standard_Cost'!$C$27+'Incremental_Cost Year 9'!AI286*'1. Standard_Cost'!$D$27+'Incremental_Cost Year 9'!AJ286+'Incremental_Cost Year 9'!AL286+AK286</f>
        <v>0</v>
      </c>
      <c r="AN286" s="127">
        <f>AM286*'1. Standard_Cost'!$C$31</f>
        <v>0</v>
      </c>
      <c r="AO286" s="178"/>
      <c r="AP286" s="256"/>
      <c r="AQ286" s="171">
        <f>L286+M286</f>
        <v>0</v>
      </c>
      <c r="AR286" s="171">
        <f>AF286</f>
        <v>0</v>
      </c>
      <c r="AS286" s="171">
        <f>AM286+AN286</f>
        <v>0</v>
      </c>
      <c r="AT286" s="171">
        <f>SUM(AQ286,AR286,AS286)</f>
        <v>0</v>
      </c>
      <c r="AU286" s="250"/>
      <c r="AV286" s="250"/>
      <c r="AW286" s="250"/>
      <c r="AX286" s="250"/>
      <c r="AY286" s="250"/>
      <c r="AZ286" s="250"/>
      <c r="BA286" s="250"/>
      <c r="BB286" s="251">
        <f t="shared" si="194"/>
        <v>0</v>
      </c>
      <c r="BC286" s="169"/>
      <c r="BD286" s="169"/>
      <c r="BE286" s="169"/>
      <c r="BF286" s="169"/>
    </row>
    <row r="287" spans="1:58" ht="126" x14ac:dyDescent="0.25">
      <c r="A287" s="172"/>
      <c r="B287" s="357"/>
      <c r="C287" s="359"/>
      <c r="D287" s="343"/>
      <c r="E287" s="328"/>
      <c r="F287" s="328"/>
      <c r="G287" s="328"/>
      <c r="H287" s="213" t="s">
        <v>367</v>
      </c>
      <c r="I287" s="178"/>
      <c r="J287" s="174"/>
      <c r="K287" s="174"/>
      <c r="L287" s="125" t="str">
        <f>IF(I287&lt;&gt;0,((VLOOKUP(I287,'1. Standard_Cost'!$B$4:$D$11,2)+VLOOKUP(I287,'1. Standard_Cost'!$B$4:$D$11,3))*J287*K287),"0")</f>
        <v>0</v>
      </c>
      <c r="M287" s="125">
        <f>L287*'1. Standard_Cost'!$F$4</f>
        <v>0</v>
      </c>
      <c r="N287" s="174"/>
      <c r="O287" s="174"/>
      <c r="P287" s="174"/>
      <c r="Q287" s="174"/>
      <c r="R287" s="127">
        <f>'1. Standard_Cost'!$B$15*N287*P287</f>
        <v>0</v>
      </c>
      <c r="S287" s="127">
        <f>N287*O287*P287*'1. Standard_Cost'!$C$15</f>
        <v>0</v>
      </c>
      <c r="T287" s="127">
        <f>N287*P287*Q287*'1. Standard_Cost'!$D$15</f>
        <v>0</v>
      </c>
      <c r="U287" s="127">
        <f>N287*O287*'1. Standard_Cost'!$E$15</f>
        <v>0</v>
      </c>
      <c r="V287" s="174"/>
      <c r="W287" s="174"/>
      <c r="X287" s="174"/>
      <c r="Y287" s="127">
        <f>+V287*((X287*'1. Standard_Cost'!$B$19)+(W287*X287*'1. Standard_Cost'!$C$19))</f>
        <v>0</v>
      </c>
      <c r="Z287" s="174"/>
      <c r="AA287" s="174"/>
      <c r="AB287" s="127">
        <v>0</v>
      </c>
      <c r="AC287" s="176"/>
      <c r="AD287" s="177"/>
      <c r="AE287" s="127">
        <f>SUM(AD287,AC287,AB287,Y287,U287,T287,S287,R287)*'1. Standard_Cost'!$B$31</f>
        <v>0</v>
      </c>
      <c r="AF287" s="127">
        <f>SUM(AE287,AD287,AC287,AB287,Y287,U287,T287,S287,R287)</f>
        <v>0</v>
      </c>
      <c r="AG287" s="174"/>
      <c r="AH287" s="174"/>
      <c r="AI287" s="174"/>
      <c r="AJ287" s="178"/>
      <c r="AK287" s="178"/>
      <c r="AL287" s="178"/>
      <c r="AM287" s="127">
        <f>AG287*'1. Standard_Cost'!$B$27+'Incremental_Cost Year 9'!AH287*'1. Standard_Cost'!$C$27+'Incremental_Cost Year 9'!AI287*'1. Standard_Cost'!$D$27+'Incremental_Cost Year 9'!AJ287+'Incremental_Cost Year 9'!AL287+AK287</f>
        <v>0</v>
      </c>
      <c r="AN287" s="127">
        <f>AM287*'1. Standard_Cost'!$C$31</f>
        <v>0</v>
      </c>
      <c r="AO287" s="178"/>
      <c r="AP287" s="256"/>
      <c r="AQ287" s="171">
        <f>L287+M287</f>
        <v>0</v>
      </c>
      <c r="AR287" s="171">
        <f>AF287</f>
        <v>0</v>
      </c>
      <c r="AS287" s="171">
        <f>AM287+AN287</f>
        <v>0</v>
      </c>
      <c r="AT287" s="171">
        <f>SUM(AQ287,AR287,AS287)</f>
        <v>0</v>
      </c>
      <c r="AU287" s="250">
        <f>AT287</f>
        <v>0</v>
      </c>
      <c r="AV287" s="250"/>
      <c r="AW287" s="250"/>
      <c r="AX287" s="250"/>
      <c r="AY287" s="250"/>
      <c r="AZ287" s="250"/>
      <c r="BA287" s="250"/>
      <c r="BB287" s="251">
        <f t="shared" si="194"/>
        <v>0</v>
      </c>
      <c r="BC287" s="169"/>
      <c r="BD287" s="169"/>
      <c r="BE287" s="169"/>
      <c r="BF287" s="169"/>
    </row>
    <row r="288" spans="1:58" ht="126" x14ac:dyDescent="0.25">
      <c r="A288" s="172"/>
      <c r="B288" s="360"/>
      <c r="C288" s="362"/>
      <c r="D288" s="344"/>
      <c r="E288" s="328"/>
      <c r="F288" s="328"/>
      <c r="G288" s="328"/>
      <c r="H288" s="213" t="s">
        <v>368</v>
      </c>
      <c r="I288" s="178"/>
      <c r="J288" s="174"/>
      <c r="K288" s="174"/>
      <c r="L288" s="125" t="str">
        <f>IF(I288&lt;&gt;0,((VLOOKUP(I288,'1. Standard_Cost'!$B$4:$D$11,2)+VLOOKUP(I288,'1. Standard_Cost'!$B$4:$D$11,3))*J288*K288),"0")</f>
        <v>0</v>
      </c>
      <c r="M288" s="125">
        <f>L288*'1. Standard_Cost'!$F$4</f>
        <v>0</v>
      </c>
      <c r="N288" s="174"/>
      <c r="O288" s="174"/>
      <c r="P288" s="174"/>
      <c r="Q288" s="174"/>
      <c r="R288" s="127">
        <f>'1. Standard_Cost'!$B$15*N288*P288</f>
        <v>0</v>
      </c>
      <c r="S288" s="127">
        <f>N288*O288*P288*'1. Standard_Cost'!$C$15</f>
        <v>0</v>
      </c>
      <c r="T288" s="127">
        <f>N288*P288*Q288*'1. Standard_Cost'!$D$15</f>
        <v>0</v>
      </c>
      <c r="U288" s="127">
        <f>N288*O288*'1. Standard_Cost'!$E$15</f>
        <v>0</v>
      </c>
      <c r="V288" s="174"/>
      <c r="W288" s="174"/>
      <c r="X288" s="174"/>
      <c r="Y288" s="127">
        <f>+V288*((X288*'1. Standard_Cost'!$B$19)+(W288*X288*'1. Standard_Cost'!$C$19))</f>
        <v>0</v>
      </c>
      <c r="Z288" s="174"/>
      <c r="AA288" s="174"/>
      <c r="AB288" s="127">
        <v>0</v>
      </c>
      <c r="AC288" s="176"/>
      <c r="AD288" s="177"/>
      <c r="AE288" s="127">
        <f>SUM(AD288,AC288,AB288,Y288,U288,T288,S288,R288)*'1. Standard_Cost'!$B$31</f>
        <v>0</v>
      </c>
      <c r="AF288" s="127">
        <f>SUM(AE288,AD288,AC288,AB288,Y288,U288,T288,S288,R288)</f>
        <v>0</v>
      </c>
      <c r="AG288" s="174"/>
      <c r="AH288" s="174"/>
      <c r="AI288" s="174"/>
      <c r="AJ288" s="178"/>
      <c r="AK288" s="178"/>
      <c r="AL288" s="178"/>
      <c r="AM288" s="127">
        <f>AG288*'1. Standard_Cost'!$B$27+'Incremental_Cost Year 9'!AH288*'1. Standard_Cost'!$C$27+'Incremental_Cost Year 9'!AI288*'1. Standard_Cost'!$D$27+'Incremental_Cost Year 9'!AJ288+'Incremental_Cost Year 9'!AL288+AK288</f>
        <v>0</v>
      </c>
      <c r="AN288" s="127">
        <f>AM288*'1. Standard_Cost'!$C$31</f>
        <v>0</v>
      </c>
      <c r="AO288" s="178"/>
      <c r="AP288" s="256"/>
      <c r="AQ288" s="171">
        <f>L288+M288</f>
        <v>0</v>
      </c>
      <c r="AR288" s="171">
        <f>AF288</f>
        <v>0</v>
      </c>
      <c r="AS288" s="171">
        <f>AM288+AN288</f>
        <v>0</v>
      </c>
      <c r="AT288" s="171">
        <f>SUM(AQ288,AR288,AS288)</f>
        <v>0</v>
      </c>
      <c r="AU288" s="250">
        <f>AT288</f>
        <v>0</v>
      </c>
      <c r="AV288" s="250"/>
      <c r="AW288" s="250"/>
      <c r="AX288" s="250"/>
      <c r="AY288" s="250"/>
      <c r="AZ288" s="250"/>
      <c r="BA288" s="250"/>
      <c r="BB288" s="251">
        <f t="shared" si="194"/>
        <v>0</v>
      </c>
      <c r="BC288" s="169"/>
      <c r="BD288" s="169"/>
      <c r="BE288" s="169"/>
      <c r="BF288" s="169"/>
    </row>
    <row r="289" spans="1:54" ht="31.5" x14ac:dyDescent="0.25">
      <c r="A289" s="167"/>
      <c r="B289" s="168"/>
      <c r="C289" s="204"/>
      <c r="D289" s="212" t="s">
        <v>388</v>
      </c>
      <c r="E289" s="212" t="s">
        <v>359</v>
      </c>
      <c r="F289" s="212">
        <v>2021</v>
      </c>
      <c r="G289" s="212">
        <v>2023</v>
      </c>
      <c r="H289" s="182" t="s">
        <v>360</v>
      </c>
      <c r="I289" s="273"/>
      <c r="J289" s="273"/>
      <c r="K289" s="273"/>
      <c r="L289" s="175">
        <f>SUM(L285:L288)</f>
        <v>0</v>
      </c>
      <c r="M289" s="175">
        <f>SUM(M285:M288)</f>
        <v>0</v>
      </c>
      <c r="N289" s="273"/>
      <c r="O289" s="273"/>
      <c r="P289" s="273"/>
      <c r="Q289" s="273"/>
      <c r="R289" s="175">
        <f>SUM(R285:R288)</f>
        <v>0</v>
      </c>
      <c r="S289" s="175">
        <f>SUM(S285:S288)</f>
        <v>0</v>
      </c>
      <c r="T289" s="175">
        <f>SUM(T285:T288)</f>
        <v>0</v>
      </c>
      <c r="U289" s="175">
        <f>SUM(U285:U288)</f>
        <v>0</v>
      </c>
      <c r="V289" s="273"/>
      <c r="W289" s="273"/>
      <c r="X289" s="273"/>
      <c r="Y289" s="175">
        <f>SUM(Y285:Y288)</f>
        <v>0</v>
      </c>
      <c r="Z289" s="175"/>
      <c r="AA289" s="273"/>
      <c r="AB289" s="175">
        <f>SUM(AB285:AB288)</f>
        <v>0</v>
      </c>
      <c r="AC289" s="175">
        <f>SUM(AC285:AC287)</f>
        <v>0</v>
      </c>
      <c r="AD289" s="175">
        <f>SUM(AD285:AD287)</f>
        <v>0</v>
      </c>
      <c r="AE289" s="175">
        <f>SUM(AE285:AE288)</f>
        <v>0</v>
      </c>
      <c r="AF289" s="175">
        <f>SUM(AF285:AF288)</f>
        <v>0</v>
      </c>
      <c r="AG289" s="273"/>
      <c r="AH289" s="273"/>
      <c r="AI289" s="273"/>
      <c r="AJ289" s="175">
        <f>SUM(AJ285:AJ288)</f>
        <v>0</v>
      </c>
      <c r="AK289" s="175">
        <f>SUM(AK285:AK288)</f>
        <v>0</v>
      </c>
      <c r="AL289" s="175">
        <f>SUM(AL285:AL288)</f>
        <v>0</v>
      </c>
      <c r="AM289" s="175">
        <f>SUM(AM285:AM288)</f>
        <v>0</v>
      </c>
      <c r="AN289" s="175">
        <f>SUM(AN285:AN288)</f>
        <v>0</v>
      </c>
      <c r="AO289" s="274"/>
      <c r="AP289" s="254"/>
      <c r="AQ289" s="175">
        <f t="shared" ref="AQ289:AT289" si="195">SUM(AQ285:AQ288)</f>
        <v>0</v>
      </c>
      <c r="AR289" s="175">
        <f t="shared" si="195"/>
        <v>0</v>
      </c>
      <c r="AS289" s="175">
        <f t="shared" si="195"/>
        <v>0</v>
      </c>
      <c r="AT289" s="175">
        <f t="shared" si="195"/>
        <v>0</v>
      </c>
      <c r="AU289" s="175">
        <f t="shared" ref="AU289:BB289" si="196">SUM(AU285:AU288)</f>
        <v>0</v>
      </c>
      <c r="AV289" s="175">
        <f t="shared" si="196"/>
        <v>0</v>
      </c>
      <c r="AW289" s="175">
        <f t="shared" si="196"/>
        <v>0</v>
      </c>
      <c r="AX289" s="175">
        <f t="shared" si="196"/>
        <v>0</v>
      </c>
      <c r="AY289" s="175">
        <f t="shared" si="196"/>
        <v>0</v>
      </c>
      <c r="AZ289" s="175">
        <f t="shared" si="196"/>
        <v>0</v>
      </c>
      <c r="BA289" s="175">
        <f t="shared" si="196"/>
        <v>0</v>
      </c>
      <c r="BB289" s="175">
        <f t="shared" si="196"/>
        <v>0</v>
      </c>
    </row>
    <row r="292" spans="1:54" x14ac:dyDescent="0.25">
      <c r="AQ292" s="239">
        <f>AQ5+AQ78+AQ150+AQ197+AQ244</f>
        <v>16400470561.96714</v>
      </c>
      <c r="AR292" s="239">
        <f t="shared" ref="AR292:BB292" si="197">AR5+AR78+AR150+AR197+AR244</f>
        <v>36377949429.199997</v>
      </c>
      <c r="AS292" s="239">
        <f t="shared" si="197"/>
        <v>0</v>
      </c>
      <c r="AT292" s="239">
        <f t="shared" si="197"/>
        <v>52778419991.167145</v>
      </c>
      <c r="AU292" s="239">
        <f t="shared" si="197"/>
        <v>50036072590.622864</v>
      </c>
      <c r="AV292" s="239">
        <f t="shared" si="197"/>
        <v>0</v>
      </c>
      <c r="AW292" s="239">
        <f t="shared" si="197"/>
        <v>0</v>
      </c>
      <c r="AX292" s="239">
        <f t="shared" si="197"/>
        <v>0</v>
      </c>
      <c r="AY292" s="239">
        <f t="shared" si="197"/>
        <v>2346000</v>
      </c>
      <c r="AZ292" s="239">
        <f t="shared" si="197"/>
        <v>0</v>
      </c>
      <c r="BA292" s="239">
        <f t="shared" si="197"/>
        <v>0</v>
      </c>
      <c r="BB292" s="239">
        <f t="shared" si="197"/>
        <v>-2740001400.5442858</v>
      </c>
    </row>
  </sheetData>
  <mergeCells count="38">
    <mergeCell ref="C277:E277"/>
    <mergeCell ref="C284:E284"/>
    <mergeCell ref="B244:E244"/>
    <mergeCell ref="C245:E245"/>
    <mergeCell ref="C259:E259"/>
    <mergeCell ref="C269:E269"/>
    <mergeCell ref="C232:E232"/>
    <mergeCell ref="C238:E238"/>
    <mergeCell ref="AQ2:BB2"/>
    <mergeCell ref="B3:E3"/>
    <mergeCell ref="B5:E5"/>
    <mergeCell ref="C6:E6"/>
    <mergeCell ref="C40:E40"/>
    <mergeCell ref="C45:E45"/>
    <mergeCell ref="C163:E163"/>
    <mergeCell ref="C79:E79"/>
    <mergeCell ref="C213:E213"/>
    <mergeCell ref="C182:E182"/>
    <mergeCell ref="B197:E197"/>
    <mergeCell ref="C198:E198"/>
    <mergeCell ref="C221:E221"/>
    <mergeCell ref="C226:E226"/>
    <mergeCell ref="B150:E150"/>
    <mergeCell ref="C151:E151"/>
    <mergeCell ref="B1:L1"/>
    <mergeCell ref="B2:E2"/>
    <mergeCell ref="C16:E16"/>
    <mergeCell ref="C20:E20"/>
    <mergeCell ref="C140:E140"/>
    <mergeCell ref="C93:E93"/>
    <mergeCell ref="C100:E100"/>
    <mergeCell ref="C106:E106"/>
    <mergeCell ref="C61:E61"/>
    <mergeCell ref="C111:E111"/>
    <mergeCell ref="C118:E118"/>
    <mergeCell ref="C123:E123"/>
    <mergeCell ref="C134:E134"/>
    <mergeCell ref="B78:E78"/>
  </mergeCells>
  <conditionalFormatting sqref="BB203 BB220:BB221 BB235:BB243 BB231:BB233 BB212:BB213 BB225:BB226">
    <cfRule type="cellIs" dxfId="8945" priority="4245" operator="lessThan">
      <formula>0</formula>
    </cfRule>
    <cfRule type="cellIs" dxfId="8944" priority="4246" operator="lessThan">
      <formula>-105575</formula>
    </cfRule>
  </conditionalFormatting>
  <conditionalFormatting sqref="BB220 BB212:BB213 BB235:BB238 BB240:BB243 BB225:BB226 BB231:BB233">
    <cfRule type="cellIs" dxfId="8943" priority="4243" operator="lessThan">
      <formula>0</formula>
    </cfRule>
    <cfRule type="cellIs" dxfId="8942" priority="4244" operator="lessThan">
      <formula>-105575</formula>
    </cfRule>
  </conditionalFormatting>
  <conditionalFormatting sqref="BB220:BB221 BB243 BB226 BB231:BB236 BB238:BB241 BB203 BB213">
    <cfRule type="cellIs" dxfId="8941" priority="4241" operator="lessThan">
      <formula>0</formula>
    </cfRule>
    <cfRule type="cellIs" dxfId="8940" priority="4242" operator="lessThan">
      <formula>-105575</formula>
    </cfRule>
  </conditionalFormatting>
  <conditionalFormatting sqref="BB235:BB243 BB231:BB233 BB220 BB212:BB213 BB225:BB226">
    <cfRule type="cellIs" dxfId="8939" priority="4239" operator="lessThan">
      <formula>0</formula>
    </cfRule>
    <cfRule type="cellIs" dxfId="8938" priority="4240" operator="lessThan">
      <formula>-105575</formula>
    </cfRule>
  </conditionalFormatting>
  <conditionalFormatting sqref="BB220:BB221 BB237:BB243 BB203 BB231:BB235 BB212:BB213 BB225:BB226">
    <cfRule type="cellIs" dxfId="8937" priority="4237" operator="lessThan">
      <formula>0</formula>
    </cfRule>
    <cfRule type="cellIs" dxfId="8936" priority="4238" operator="lessThan">
      <formula>-105575</formula>
    </cfRule>
  </conditionalFormatting>
  <conditionalFormatting sqref="BB220:BB221 BB237:BB240 BB242:BB243 BB225:BB226 BB231:BB235">
    <cfRule type="cellIs" dxfId="8935" priority="4235" operator="lessThan">
      <formula>0</formula>
    </cfRule>
    <cfRule type="cellIs" dxfId="8934" priority="4236" operator="lessThan">
      <formula>-105575</formula>
    </cfRule>
  </conditionalFormatting>
  <conditionalFormatting sqref="BB212 BB231 BB233:BB238 BB240:BB243 BB225">
    <cfRule type="cellIs" dxfId="8933" priority="4233" operator="lessThan">
      <formula>0</formula>
    </cfRule>
    <cfRule type="cellIs" dxfId="8932" priority="4234" operator="lessThan">
      <formula>-105575</formula>
    </cfRule>
  </conditionalFormatting>
  <conditionalFormatting sqref="BB237:BB243 BB231:BB235 BB220:BB221 BB225:BB226">
    <cfRule type="cellIs" dxfId="8931" priority="4231" operator="lessThan">
      <formula>0</formula>
    </cfRule>
    <cfRule type="cellIs" dxfId="8930" priority="4232" operator="lessThan">
      <formula>-105575</formula>
    </cfRule>
  </conditionalFormatting>
  <conditionalFormatting sqref="BB233:BB237 BB231 BB239:BB243">
    <cfRule type="cellIs" dxfId="8929" priority="4229" operator="lessThan">
      <formula>0</formula>
    </cfRule>
    <cfRule type="cellIs" dxfId="8928" priority="4230" operator="lessThan">
      <formula>-105575</formula>
    </cfRule>
  </conditionalFormatting>
  <conditionalFormatting sqref="BB233:BB237 BB231 BB239:BB243">
    <cfRule type="cellIs" dxfId="8927" priority="4227" operator="lessThan">
      <formula>0</formula>
    </cfRule>
    <cfRule type="cellIs" dxfId="8926" priority="4228" operator="lessThan">
      <formula>-105575</formula>
    </cfRule>
  </conditionalFormatting>
  <conditionalFormatting sqref="BB119:BB128 BB106:BB117 BB101:BB104 BB80:BB98">
    <cfRule type="cellIs" dxfId="8925" priority="4225" operator="lessThan">
      <formula>0</formula>
    </cfRule>
    <cfRule type="cellIs" dxfId="8924" priority="4226" operator="lessThan">
      <formula>-105575</formula>
    </cfRule>
  </conditionalFormatting>
  <conditionalFormatting sqref="BB130 BB132 BB134">
    <cfRule type="cellIs" dxfId="8923" priority="4223" operator="lessThan">
      <formula>0</formula>
    </cfRule>
    <cfRule type="cellIs" dxfId="8922" priority="4224" operator="lessThan">
      <formula>-105575</formula>
    </cfRule>
  </conditionalFormatting>
  <conditionalFormatting sqref="BB130 BB132 BB134">
    <cfRule type="cellIs" dxfId="8921" priority="4221" operator="lessThan">
      <formula>0</formula>
    </cfRule>
    <cfRule type="cellIs" dxfId="8920" priority="4222" operator="lessThan">
      <formula>-105575</formula>
    </cfRule>
  </conditionalFormatting>
  <conditionalFormatting sqref="BB129 BB131 BB133 BB135">
    <cfRule type="cellIs" dxfId="8919" priority="4219" operator="lessThan">
      <formula>0</formula>
    </cfRule>
    <cfRule type="cellIs" dxfId="8918" priority="4220" operator="lessThan">
      <formula>-105575</formula>
    </cfRule>
  </conditionalFormatting>
  <conditionalFormatting sqref="BB140 BB145 BB142:BB143 BB137:BB138">
    <cfRule type="cellIs" dxfId="8917" priority="4209" operator="lessThan">
      <formula>0</formula>
    </cfRule>
    <cfRule type="cellIs" dxfId="8916" priority="4210" operator="lessThan">
      <formula>-105575</formula>
    </cfRule>
  </conditionalFormatting>
  <conditionalFormatting sqref="BB149">
    <cfRule type="cellIs" dxfId="8915" priority="4205" operator="lessThan">
      <formula>0</formula>
    </cfRule>
    <cfRule type="cellIs" dxfId="8914" priority="4206" operator="lessThan">
      <formula>-105575</formula>
    </cfRule>
  </conditionalFormatting>
  <conditionalFormatting sqref="BB129:BB138 BB140:BB149">
    <cfRule type="cellIs" dxfId="8913" priority="4203" operator="lessThan">
      <formula>0</formula>
    </cfRule>
    <cfRule type="cellIs" dxfId="8912" priority="4204" operator="lessThan">
      <formula>-105575</formula>
    </cfRule>
  </conditionalFormatting>
  <conditionalFormatting sqref="BB94:BB98 BB86:BB87 BB89:BB91 BB141:BB149 BB124:BB133 BB107:BB110 BB112:BB117 BB119:BB122 BB135:BB138 BB101:BB104 BB80:BB84">
    <cfRule type="cellIs" dxfId="8911" priority="4199" operator="lessThan">
      <formula>0</formula>
    </cfRule>
    <cfRule type="cellIs" dxfId="8910" priority="4200" operator="lessThan">
      <formula>-105575</formula>
    </cfRule>
  </conditionalFormatting>
  <conditionalFormatting sqref="BB129 BB131 BB133 BB135">
    <cfRule type="cellIs" dxfId="8909" priority="4217" operator="lessThan">
      <formula>0</formula>
    </cfRule>
    <cfRule type="cellIs" dxfId="8908" priority="4218" operator="lessThan">
      <formula>-105575</formula>
    </cfRule>
  </conditionalFormatting>
  <conditionalFormatting sqref="BB146 BB144 BB141">
    <cfRule type="cellIs" dxfId="8907" priority="4215" operator="lessThan">
      <formula>0</formula>
    </cfRule>
    <cfRule type="cellIs" dxfId="8906" priority="4216" operator="lessThan">
      <formula>-105575</formula>
    </cfRule>
  </conditionalFormatting>
  <conditionalFormatting sqref="BB146 BB144 BB141">
    <cfRule type="cellIs" dxfId="8905" priority="4213" operator="lessThan">
      <formula>0</formula>
    </cfRule>
    <cfRule type="cellIs" dxfId="8904" priority="4214" operator="lessThan">
      <formula>-105575</formula>
    </cfRule>
  </conditionalFormatting>
  <conditionalFormatting sqref="BB140 BB145 BB142:BB143 BB137:BB138">
    <cfRule type="cellIs" dxfId="8903" priority="4211" operator="lessThan">
      <formula>0</formula>
    </cfRule>
    <cfRule type="cellIs" dxfId="8902" priority="4212" operator="lessThan">
      <formula>-105575</formula>
    </cfRule>
  </conditionalFormatting>
  <conditionalFormatting sqref="BB149">
    <cfRule type="cellIs" dxfId="8901" priority="4207" operator="lessThan">
      <formula>0</formula>
    </cfRule>
    <cfRule type="cellIs" dxfId="8900" priority="4208" operator="lessThan">
      <formula>-105575</formula>
    </cfRule>
  </conditionalFormatting>
  <conditionalFormatting sqref="BB94:BB98 BB86:BB87 BB89:BB91 BB141:BB149 BB124:BB133 BB107:BB110 BB112:BB117 BB119:BB122 BB135:BB138 BB101:BB104 BB80:BB84">
    <cfRule type="cellIs" dxfId="8899" priority="4201" operator="lessThan">
      <formula>0</formula>
    </cfRule>
    <cfRule type="cellIs" dxfId="8898" priority="4202" operator="lessThan">
      <formula>-105575</formula>
    </cfRule>
  </conditionalFormatting>
  <conditionalFormatting sqref="BB246:BB249 BB262 BB267 BB279:BB282 BB285:BB288 BB274:BB275 BB306:BB309 BB311:BB325 BB327:BB330 BB332:BB341 BB344:BB347 BB349:BB353 BB355:BB358 BB360:BB384 BB386:BB389 BB392:BB395 BB397:BB411 BB413:BB416 BB418:BB432 BB434:BB437 BB439:BB453 BB455:BB458 BB460:BB469 BB7:BB10 BB12:BB14 BB17:BB18 BB21:BB24 BB26:BB28 BB30:BB36 BB38 BB41:BB43 BB46:BB49 BB51:BB55 BB57:BB59 BB62:BB76 BB251:BB253 BB255:BB257 BB293:BB304 BB264:BB265 BB260 BB290:BB291 BB270:BB272">
    <cfRule type="cellIs" dxfId="8897" priority="4249" operator="lessThan">
      <formula>0</formula>
    </cfRule>
    <cfRule type="cellIs" dxfId="8896" priority="4250" operator="lessThan">
      <formula>-105575</formula>
    </cfRule>
  </conditionalFormatting>
  <conditionalFormatting sqref="BB41">
    <cfRule type="cellIs" dxfId="8895" priority="4247" operator="lessThan">
      <formula>0</formula>
    </cfRule>
    <cfRule type="cellIs" dxfId="8894" priority="4248" operator="lessThan">
      <formula>-105575</formula>
    </cfRule>
  </conditionalFormatting>
  <conditionalFormatting sqref="BB152:BB155">
    <cfRule type="cellIs" dxfId="8893" priority="4197" operator="lessThan">
      <formula>0</formula>
    </cfRule>
    <cfRule type="cellIs" dxfId="8892" priority="4198" operator="lessThan">
      <formula>-105575</formula>
    </cfRule>
  </conditionalFormatting>
  <conditionalFormatting sqref="BB152:BB155">
    <cfRule type="cellIs" dxfId="8891" priority="4193" operator="lessThan">
      <formula>0</formula>
    </cfRule>
    <cfRule type="cellIs" dxfId="8890" priority="4194" operator="lessThan">
      <formula>-105575</formula>
    </cfRule>
  </conditionalFormatting>
  <conditionalFormatting sqref="BB152:BB155">
    <cfRule type="cellIs" dxfId="8889" priority="4195" operator="lessThan">
      <formula>0</formula>
    </cfRule>
    <cfRule type="cellIs" dxfId="8888" priority="4196" operator="lessThan">
      <formula>-105575</formula>
    </cfRule>
  </conditionalFormatting>
  <conditionalFormatting sqref="BB157:BB158">
    <cfRule type="cellIs" dxfId="8887" priority="4191" operator="lessThan">
      <formula>0</formula>
    </cfRule>
    <cfRule type="cellIs" dxfId="8886" priority="4192" operator="lessThan">
      <formula>-105575</formula>
    </cfRule>
  </conditionalFormatting>
  <conditionalFormatting sqref="BB157:BB158">
    <cfRule type="cellIs" dxfId="8885" priority="4187" operator="lessThan">
      <formula>0</formula>
    </cfRule>
    <cfRule type="cellIs" dxfId="8884" priority="4188" operator="lessThan">
      <formula>-105575</formula>
    </cfRule>
  </conditionalFormatting>
  <conditionalFormatting sqref="BB157:BB158">
    <cfRule type="cellIs" dxfId="8883" priority="4189" operator="lessThan">
      <formula>0</formula>
    </cfRule>
    <cfRule type="cellIs" dxfId="8882" priority="4190" operator="lessThan">
      <formula>-105575</formula>
    </cfRule>
  </conditionalFormatting>
  <conditionalFormatting sqref="BB160:BB161">
    <cfRule type="cellIs" dxfId="8881" priority="4185" operator="lessThan">
      <formula>0</formula>
    </cfRule>
    <cfRule type="cellIs" dxfId="8880" priority="4186" operator="lessThan">
      <formula>-105575</formula>
    </cfRule>
  </conditionalFormatting>
  <conditionalFormatting sqref="BB160:BB161">
    <cfRule type="cellIs" dxfId="8879" priority="4181" operator="lessThan">
      <formula>0</formula>
    </cfRule>
    <cfRule type="cellIs" dxfId="8878" priority="4182" operator="lessThan">
      <formula>-105575</formula>
    </cfRule>
  </conditionalFormatting>
  <conditionalFormatting sqref="BB160:BB161">
    <cfRule type="cellIs" dxfId="8877" priority="4183" operator="lessThan">
      <formula>0</formula>
    </cfRule>
    <cfRule type="cellIs" dxfId="8876" priority="4184" operator="lessThan">
      <formula>-105575</formula>
    </cfRule>
  </conditionalFormatting>
  <conditionalFormatting sqref="BB164:BB167">
    <cfRule type="cellIs" dxfId="8875" priority="4179" operator="lessThan">
      <formula>0</formula>
    </cfRule>
    <cfRule type="cellIs" dxfId="8874" priority="4180" operator="lessThan">
      <formula>-105575</formula>
    </cfRule>
  </conditionalFormatting>
  <conditionalFormatting sqref="BB164:BB167">
    <cfRule type="cellIs" dxfId="8873" priority="4175" operator="lessThan">
      <formula>0</formula>
    </cfRule>
    <cfRule type="cellIs" dxfId="8872" priority="4176" operator="lessThan">
      <formula>-105575</formula>
    </cfRule>
  </conditionalFormatting>
  <conditionalFormatting sqref="BB164:BB167">
    <cfRule type="cellIs" dxfId="8871" priority="4177" operator="lessThan">
      <formula>0</formula>
    </cfRule>
    <cfRule type="cellIs" dxfId="8870" priority="4178" operator="lessThan">
      <formula>-105575</formula>
    </cfRule>
  </conditionalFormatting>
  <conditionalFormatting sqref="BB169:BB177">
    <cfRule type="cellIs" dxfId="8869" priority="4173" operator="lessThan">
      <formula>0</formula>
    </cfRule>
    <cfRule type="cellIs" dxfId="8868" priority="4174" operator="lessThan">
      <formula>-105575</formula>
    </cfRule>
  </conditionalFormatting>
  <conditionalFormatting sqref="BB169:BB177">
    <cfRule type="cellIs" dxfId="8867" priority="4169" operator="lessThan">
      <formula>0</formula>
    </cfRule>
    <cfRule type="cellIs" dxfId="8866" priority="4170" operator="lessThan">
      <formula>-105575</formula>
    </cfRule>
  </conditionalFormatting>
  <conditionalFormatting sqref="BB169:BB177">
    <cfRule type="cellIs" dxfId="8865" priority="4171" operator="lessThan">
      <formula>0</formula>
    </cfRule>
    <cfRule type="cellIs" dxfId="8864" priority="4172" operator="lessThan">
      <formula>-105575</formula>
    </cfRule>
  </conditionalFormatting>
  <conditionalFormatting sqref="BB179:BB180">
    <cfRule type="cellIs" dxfId="8863" priority="4167" operator="lessThan">
      <formula>0</formula>
    </cfRule>
    <cfRule type="cellIs" dxfId="8862" priority="4168" operator="lessThan">
      <formula>-105575</formula>
    </cfRule>
  </conditionalFormatting>
  <conditionalFormatting sqref="BB179:BB180">
    <cfRule type="cellIs" dxfId="8861" priority="4163" operator="lessThan">
      <formula>0</formula>
    </cfRule>
    <cfRule type="cellIs" dxfId="8860" priority="4164" operator="lessThan">
      <formula>-105575</formula>
    </cfRule>
  </conditionalFormatting>
  <conditionalFormatting sqref="BB179:BB180">
    <cfRule type="cellIs" dxfId="8859" priority="4165" operator="lessThan">
      <formula>0</formula>
    </cfRule>
    <cfRule type="cellIs" dxfId="8858" priority="4166" operator="lessThan">
      <formula>-105575</formula>
    </cfRule>
  </conditionalFormatting>
  <conditionalFormatting sqref="BB183:BB189">
    <cfRule type="cellIs" dxfId="8857" priority="4161" operator="lessThan">
      <formula>0</formula>
    </cfRule>
    <cfRule type="cellIs" dxfId="8856" priority="4162" operator="lessThan">
      <formula>-105575</formula>
    </cfRule>
  </conditionalFormatting>
  <conditionalFormatting sqref="BB183:BB189">
    <cfRule type="cellIs" dxfId="8855" priority="4157" operator="lessThan">
      <formula>0</formula>
    </cfRule>
    <cfRule type="cellIs" dxfId="8854" priority="4158" operator="lessThan">
      <formula>-105575</formula>
    </cfRule>
  </conditionalFormatting>
  <conditionalFormatting sqref="BB183:BB189">
    <cfRule type="cellIs" dxfId="8853" priority="4159" operator="lessThan">
      <formula>0</formula>
    </cfRule>
    <cfRule type="cellIs" dxfId="8852" priority="4160" operator="lessThan">
      <formula>-105575</formula>
    </cfRule>
  </conditionalFormatting>
  <conditionalFormatting sqref="BB191:BB192">
    <cfRule type="cellIs" dxfId="8851" priority="4155" operator="lessThan">
      <formula>0</formula>
    </cfRule>
    <cfRule type="cellIs" dxfId="8850" priority="4156" operator="lessThan">
      <formula>-105575</formula>
    </cfRule>
  </conditionalFormatting>
  <conditionalFormatting sqref="BB191:BB192">
    <cfRule type="cellIs" dxfId="8849" priority="4151" operator="lessThan">
      <formula>0</formula>
    </cfRule>
    <cfRule type="cellIs" dxfId="8848" priority="4152" operator="lessThan">
      <formula>-105575</formula>
    </cfRule>
  </conditionalFormatting>
  <conditionalFormatting sqref="BB191:BB192">
    <cfRule type="cellIs" dxfId="8847" priority="4153" operator="lessThan">
      <formula>0</formula>
    </cfRule>
    <cfRule type="cellIs" dxfId="8846" priority="4154" operator="lessThan">
      <formula>-105575</formula>
    </cfRule>
  </conditionalFormatting>
  <conditionalFormatting sqref="BB194:BB195">
    <cfRule type="cellIs" dxfId="8845" priority="4149" operator="lessThan">
      <formula>0</formula>
    </cfRule>
    <cfRule type="cellIs" dxfId="8844" priority="4150" operator="lessThan">
      <formula>-105575</formula>
    </cfRule>
  </conditionalFormatting>
  <conditionalFormatting sqref="BB194:BB195">
    <cfRule type="cellIs" dxfId="8843" priority="4145" operator="lessThan">
      <formula>0</formula>
    </cfRule>
    <cfRule type="cellIs" dxfId="8842" priority="4146" operator="lessThan">
      <formula>-105575</formula>
    </cfRule>
  </conditionalFormatting>
  <conditionalFormatting sqref="BB194:BB195">
    <cfRule type="cellIs" dxfId="8841" priority="4147" operator="lessThan">
      <formula>0</formula>
    </cfRule>
    <cfRule type="cellIs" dxfId="8840" priority="4148" operator="lessThan">
      <formula>-105575</formula>
    </cfRule>
  </conditionalFormatting>
  <conditionalFormatting sqref="BB199:BB202">
    <cfRule type="cellIs" dxfId="8839" priority="4143" operator="lessThan">
      <formula>0</formula>
    </cfRule>
    <cfRule type="cellIs" dxfId="8838" priority="4144" operator="lessThan">
      <formula>-105575</formula>
    </cfRule>
  </conditionalFormatting>
  <conditionalFormatting sqref="BB199:BB202">
    <cfRule type="cellIs" dxfId="8837" priority="4139" operator="lessThan">
      <formula>0</formula>
    </cfRule>
    <cfRule type="cellIs" dxfId="8836" priority="4140" operator="lessThan">
      <formula>-105575</formula>
    </cfRule>
  </conditionalFormatting>
  <conditionalFormatting sqref="BB199:BB202">
    <cfRule type="cellIs" dxfId="8835" priority="4141" operator="lessThan">
      <formula>0</formula>
    </cfRule>
    <cfRule type="cellIs" dxfId="8834" priority="4142" operator="lessThan">
      <formula>-105575</formula>
    </cfRule>
  </conditionalFormatting>
  <conditionalFormatting sqref="BB204:BB208">
    <cfRule type="cellIs" dxfId="8833" priority="4137" operator="lessThan">
      <formula>0</formula>
    </cfRule>
    <cfRule type="cellIs" dxfId="8832" priority="4138" operator="lessThan">
      <formula>-105575</formula>
    </cfRule>
  </conditionalFormatting>
  <conditionalFormatting sqref="BB204:BB208">
    <cfRule type="cellIs" dxfId="8831" priority="4133" operator="lessThan">
      <formula>0</formula>
    </cfRule>
    <cfRule type="cellIs" dxfId="8830" priority="4134" operator="lessThan">
      <formula>-105575</formula>
    </cfRule>
  </conditionalFormatting>
  <conditionalFormatting sqref="BB204:BB208">
    <cfRule type="cellIs" dxfId="8829" priority="4135" operator="lessThan">
      <formula>0</formula>
    </cfRule>
    <cfRule type="cellIs" dxfId="8828" priority="4136" operator="lessThan">
      <formula>-105575</formula>
    </cfRule>
  </conditionalFormatting>
  <conditionalFormatting sqref="BB210:BB211">
    <cfRule type="cellIs" dxfId="8827" priority="4131" operator="lessThan">
      <formula>0</formula>
    </cfRule>
    <cfRule type="cellIs" dxfId="8826" priority="4132" operator="lessThan">
      <formula>-105575</formula>
    </cfRule>
  </conditionalFormatting>
  <conditionalFormatting sqref="BB210:BB211">
    <cfRule type="cellIs" dxfId="8825" priority="4127" operator="lessThan">
      <formula>0</formula>
    </cfRule>
    <cfRule type="cellIs" dxfId="8824" priority="4128" operator="lessThan">
      <formula>-105575</formula>
    </cfRule>
  </conditionalFormatting>
  <conditionalFormatting sqref="BB210:BB211">
    <cfRule type="cellIs" dxfId="8823" priority="4129" operator="lessThan">
      <formula>0</formula>
    </cfRule>
    <cfRule type="cellIs" dxfId="8822" priority="4130" operator="lessThan">
      <formula>-105575</formula>
    </cfRule>
  </conditionalFormatting>
  <conditionalFormatting sqref="BB214:BB219">
    <cfRule type="cellIs" dxfId="8821" priority="4125" operator="lessThan">
      <formula>0</formula>
    </cfRule>
    <cfRule type="cellIs" dxfId="8820" priority="4126" operator="lessThan">
      <formula>-105575</formula>
    </cfRule>
  </conditionalFormatting>
  <conditionalFormatting sqref="BB214:BB219">
    <cfRule type="cellIs" dxfId="8819" priority="4121" operator="lessThan">
      <formula>0</formula>
    </cfRule>
    <cfRule type="cellIs" dxfId="8818" priority="4122" operator="lessThan">
      <formula>-105575</formula>
    </cfRule>
  </conditionalFormatting>
  <conditionalFormatting sqref="BB214:BB219">
    <cfRule type="cellIs" dxfId="8817" priority="4123" operator="lessThan">
      <formula>0</formula>
    </cfRule>
    <cfRule type="cellIs" dxfId="8816" priority="4124" operator="lessThan">
      <formula>-105575</formula>
    </cfRule>
  </conditionalFormatting>
  <conditionalFormatting sqref="BB222:BB224">
    <cfRule type="cellIs" dxfId="8815" priority="4119" operator="lessThan">
      <formula>0</formula>
    </cfRule>
    <cfRule type="cellIs" dxfId="8814" priority="4120" operator="lessThan">
      <formula>-105575</formula>
    </cfRule>
  </conditionalFormatting>
  <conditionalFormatting sqref="BB222:BB224">
    <cfRule type="cellIs" dxfId="8813" priority="4115" operator="lessThan">
      <formula>0</formula>
    </cfRule>
    <cfRule type="cellIs" dxfId="8812" priority="4116" operator="lessThan">
      <formula>-105575</formula>
    </cfRule>
  </conditionalFormatting>
  <conditionalFormatting sqref="BB222:BB224">
    <cfRule type="cellIs" dxfId="8811" priority="4117" operator="lessThan">
      <formula>0</formula>
    </cfRule>
    <cfRule type="cellIs" dxfId="8810" priority="4118" operator="lessThan">
      <formula>-105575</formula>
    </cfRule>
  </conditionalFormatting>
  <conditionalFormatting sqref="BB227:BB230">
    <cfRule type="cellIs" dxfId="8809" priority="4113" operator="lessThan">
      <formula>0</formula>
    </cfRule>
    <cfRule type="cellIs" dxfId="8808" priority="4114" operator="lessThan">
      <formula>-105575</formula>
    </cfRule>
  </conditionalFormatting>
  <conditionalFormatting sqref="BB227:BB230">
    <cfRule type="cellIs" dxfId="8807" priority="4109" operator="lessThan">
      <formula>0</formula>
    </cfRule>
    <cfRule type="cellIs" dxfId="8806" priority="4110" operator="lessThan">
      <formula>-105575</formula>
    </cfRule>
  </conditionalFormatting>
  <conditionalFormatting sqref="BB227:BB230">
    <cfRule type="cellIs" dxfId="8805" priority="4111" operator="lessThan">
      <formula>0</formula>
    </cfRule>
    <cfRule type="cellIs" dxfId="8804" priority="4112" operator="lessThan">
      <formula>-105575</formula>
    </cfRule>
  </conditionalFormatting>
  <conditionalFormatting sqref="BB203 BB220:BB221 BB235:BB243 BB231:BB233 BB212:BB213 BB225:BB226">
    <cfRule type="cellIs" dxfId="8803" priority="4107" operator="lessThan">
      <formula>0</formula>
    </cfRule>
    <cfRule type="cellIs" dxfId="8802" priority="4108" operator="lessThan">
      <formula>-105575</formula>
    </cfRule>
  </conditionalFormatting>
  <conditionalFormatting sqref="BB220 BB212:BB213 BB235:BB238 BB240:BB243 BB225:BB226 BB231:BB233">
    <cfRule type="cellIs" dxfId="8801" priority="4105" operator="lessThan">
      <formula>0</formula>
    </cfRule>
    <cfRule type="cellIs" dxfId="8800" priority="4106" operator="lessThan">
      <formula>-105575</formula>
    </cfRule>
  </conditionalFormatting>
  <conditionalFormatting sqref="BB220:BB221 BB243 BB226 BB231:BB236 BB238:BB241 BB203 BB213">
    <cfRule type="cellIs" dxfId="8799" priority="4103" operator="lessThan">
      <formula>0</formula>
    </cfRule>
    <cfRule type="cellIs" dxfId="8798" priority="4104" operator="lessThan">
      <formula>-105575</formula>
    </cfRule>
  </conditionalFormatting>
  <conditionalFormatting sqref="BB235:BB243 BB231:BB233 BB220 BB212:BB213 BB225:BB226">
    <cfRule type="cellIs" dxfId="8797" priority="4101" operator="lessThan">
      <formula>0</formula>
    </cfRule>
    <cfRule type="cellIs" dxfId="8796" priority="4102" operator="lessThan">
      <formula>-105575</formula>
    </cfRule>
  </conditionalFormatting>
  <conditionalFormatting sqref="BB220:BB221 BB237:BB243 BB203 BB231:BB235 BB212:BB213 BB225:BB226">
    <cfRule type="cellIs" dxfId="8795" priority="4099" operator="lessThan">
      <formula>0</formula>
    </cfRule>
    <cfRule type="cellIs" dxfId="8794" priority="4100" operator="lessThan">
      <formula>-105575</formula>
    </cfRule>
  </conditionalFormatting>
  <conditionalFormatting sqref="BB220:BB221 BB237:BB240 BB242:BB243 BB225:BB226 BB231:BB235">
    <cfRule type="cellIs" dxfId="8793" priority="4097" operator="lessThan">
      <formula>0</formula>
    </cfRule>
    <cfRule type="cellIs" dxfId="8792" priority="4098" operator="lessThan">
      <formula>-105575</formula>
    </cfRule>
  </conditionalFormatting>
  <conditionalFormatting sqref="BB212 BB231 BB233:BB238 BB240:BB243 BB225">
    <cfRule type="cellIs" dxfId="8791" priority="4095" operator="lessThan">
      <formula>0</formula>
    </cfRule>
    <cfRule type="cellIs" dxfId="8790" priority="4096" operator="lessThan">
      <formula>-105575</formula>
    </cfRule>
  </conditionalFormatting>
  <conditionalFormatting sqref="BB237:BB243 BB231:BB235 BB220:BB221 BB225:BB226">
    <cfRule type="cellIs" dxfId="8789" priority="4093" operator="lessThan">
      <formula>0</formula>
    </cfRule>
    <cfRule type="cellIs" dxfId="8788" priority="4094" operator="lessThan">
      <formula>-105575</formula>
    </cfRule>
  </conditionalFormatting>
  <conditionalFormatting sqref="BB233:BB237 BB231 BB239:BB243">
    <cfRule type="cellIs" dxfId="8787" priority="4091" operator="lessThan">
      <formula>0</formula>
    </cfRule>
    <cfRule type="cellIs" dxfId="8786" priority="4092" operator="lessThan">
      <formula>-105575</formula>
    </cfRule>
  </conditionalFormatting>
  <conditionalFormatting sqref="BB233:BB237 BB231 BB239:BB243">
    <cfRule type="cellIs" dxfId="8785" priority="4089" operator="lessThan">
      <formula>0</formula>
    </cfRule>
    <cfRule type="cellIs" dxfId="8784" priority="4090" operator="lessThan">
      <formula>-105575</formula>
    </cfRule>
  </conditionalFormatting>
  <conditionalFormatting sqref="BB119:BB128 BB106:BB117 BB101:BB104 BB80:BB98">
    <cfRule type="cellIs" dxfId="8783" priority="4087" operator="lessThan">
      <formula>0</formula>
    </cfRule>
    <cfRule type="cellIs" dxfId="8782" priority="4088" operator="lessThan">
      <formula>-105575</formula>
    </cfRule>
  </conditionalFormatting>
  <conditionalFormatting sqref="BB130 BB132 BB134">
    <cfRule type="cellIs" dxfId="8781" priority="4085" operator="lessThan">
      <formula>0</formula>
    </cfRule>
    <cfRule type="cellIs" dxfId="8780" priority="4086" operator="lessThan">
      <formula>-105575</formula>
    </cfRule>
  </conditionalFormatting>
  <conditionalFormatting sqref="BB130 BB132 BB134">
    <cfRule type="cellIs" dxfId="8779" priority="4083" operator="lessThan">
      <formula>0</formula>
    </cfRule>
    <cfRule type="cellIs" dxfId="8778" priority="4084" operator="lessThan">
      <formula>-105575</formula>
    </cfRule>
  </conditionalFormatting>
  <conditionalFormatting sqref="BB129 BB131 BB133 BB135">
    <cfRule type="cellIs" dxfId="8777" priority="4081" operator="lessThan">
      <formula>0</formula>
    </cfRule>
    <cfRule type="cellIs" dxfId="8776" priority="4082" operator="lessThan">
      <formula>-105575</formula>
    </cfRule>
  </conditionalFormatting>
  <conditionalFormatting sqref="BB140 BB145 BB142:BB143 BB137:BB138">
    <cfRule type="cellIs" dxfId="8775" priority="4079" operator="lessThan">
      <formula>0</formula>
    </cfRule>
    <cfRule type="cellIs" dxfId="8774" priority="4080" operator="lessThan">
      <formula>-105575</formula>
    </cfRule>
  </conditionalFormatting>
  <conditionalFormatting sqref="BB149">
    <cfRule type="cellIs" dxfId="8773" priority="4077" operator="lessThan">
      <formula>0</formula>
    </cfRule>
    <cfRule type="cellIs" dxfId="8772" priority="4078" operator="lessThan">
      <formula>-105575</formula>
    </cfRule>
  </conditionalFormatting>
  <conditionalFormatting sqref="BB129:BB138 BB140:BB149">
    <cfRule type="cellIs" dxfId="8771" priority="4075" operator="lessThan">
      <formula>0</formula>
    </cfRule>
    <cfRule type="cellIs" dxfId="8770" priority="4076" operator="lessThan">
      <formula>-105575</formula>
    </cfRule>
  </conditionalFormatting>
  <conditionalFormatting sqref="BB94:BB98 BB86:BB87 BB89:BB91 BB141:BB149 BB124:BB133 BB107:BB110 BB112:BB117 BB119:BB122 BB135:BB138 BB101:BB104 BB80:BB84">
    <cfRule type="cellIs" dxfId="8769" priority="4073" operator="lessThan">
      <formula>0</formula>
    </cfRule>
    <cfRule type="cellIs" dxfId="8768" priority="4074" operator="lessThan">
      <formula>-105575</formula>
    </cfRule>
  </conditionalFormatting>
  <conditionalFormatting sqref="BB129 BB131 BB133 BB135">
    <cfRule type="cellIs" dxfId="8767" priority="4071" operator="lessThan">
      <formula>0</formula>
    </cfRule>
    <cfRule type="cellIs" dxfId="8766" priority="4072" operator="lessThan">
      <formula>-105575</formula>
    </cfRule>
  </conditionalFormatting>
  <conditionalFormatting sqref="BB146 BB144 BB141">
    <cfRule type="cellIs" dxfId="8765" priority="4069" operator="lessThan">
      <formula>0</formula>
    </cfRule>
    <cfRule type="cellIs" dxfId="8764" priority="4070" operator="lessThan">
      <formula>-105575</formula>
    </cfRule>
  </conditionalFormatting>
  <conditionalFormatting sqref="BB146 BB144 BB141">
    <cfRule type="cellIs" dxfId="8763" priority="4067" operator="lessThan">
      <formula>0</formula>
    </cfRule>
    <cfRule type="cellIs" dxfId="8762" priority="4068" operator="lessThan">
      <formula>-105575</formula>
    </cfRule>
  </conditionalFormatting>
  <conditionalFormatting sqref="BB140 BB145 BB142:BB143 BB137:BB138">
    <cfRule type="cellIs" dxfId="8761" priority="4065" operator="lessThan">
      <formula>0</formula>
    </cfRule>
    <cfRule type="cellIs" dxfId="8760" priority="4066" operator="lessThan">
      <formula>-105575</formula>
    </cfRule>
  </conditionalFormatting>
  <conditionalFormatting sqref="BB149">
    <cfRule type="cellIs" dxfId="8759" priority="4063" operator="lessThan">
      <formula>0</formula>
    </cfRule>
    <cfRule type="cellIs" dxfId="8758" priority="4064" operator="lessThan">
      <formula>-105575</formula>
    </cfRule>
  </conditionalFormatting>
  <conditionalFormatting sqref="BB94:BB98 BB86:BB87 BB89:BB91 BB141:BB149 BB124:BB133 BB107:BB110 BB112:BB117 BB119:BB122 BB135:BB138 BB101:BB104 BB80:BB84">
    <cfRule type="cellIs" dxfId="8757" priority="4061" operator="lessThan">
      <formula>0</formula>
    </cfRule>
    <cfRule type="cellIs" dxfId="8756" priority="4062" operator="lessThan">
      <formula>-105575</formula>
    </cfRule>
  </conditionalFormatting>
  <conditionalFormatting sqref="BB62:BB76 BB306:BB309 BB311:BB325 BB327:BB330 BB332:BB341 BB344:BB347 BB349:BB353 BB355:BB358 BB360:BB384 BB386:BB389 BB392:BB395 BB397:BB411 BB413:BB416 BB418:BB432 BB434:BB437 BB439:BB453 BB455:BB458 BB460:BB469 BB7:BB10 BB12:BB14 BB17:BB18 BB21:BB24 BB26:BB28 BB30:BB36 BB38 BB41:BB43 BB46:BB49 BB51:BB55 BB57:BB59 BB290:BB291 BB293:BB304">
    <cfRule type="cellIs" dxfId="8755" priority="4059" operator="lessThan">
      <formula>0</formula>
    </cfRule>
    <cfRule type="cellIs" dxfId="8754" priority="4060" operator="lessThan">
      <formula>-105575</formula>
    </cfRule>
  </conditionalFormatting>
  <conditionalFormatting sqref="BB41">
    <cfRule type="cellIs" dxfId="8753" priority="4057" operator="lessThan">
      <formula>0</formula>
    </cfRule>
    <cfRule type="cellIs" dxfId="8752" priority="4058" operator="lessThan">
      <formula>-105575</formula>
    </cfRule>
  </conditionalFormatting>
  <conditionalFormatting sqref="BB152:BB155">
    <cfRule type="cellIs" dxfId="8751" priority="4055" operator="lessThan">
      <formula>0</formula>
    </cfRule>
    <cfRule type="cellIs" dxfId="8750" priority="4056" operator="lessThan">
      <formula>-105575</formula>
    </cfRule>
  </conditionalFormatting>
  <conditionalFormatting sqref="BB152:BB155">
    <cfRule type="cellIs" dxfId="8749" priority="4053" operator="lessThan">
      <formula>0</formula>
    </cfRule>
    <cfRule type="cellIs" dxfId="8748" priority="4054" operator="lessThan">
      <formula>-105575</formula>
    </cfRule>
  </conditionalFormatting>
  <conditionalFormatting sqref="BB152:BB155">
    <cfRule type="cellIs" dxfId="8747" priority="4051" operator="lessThan">
      <formula>0</formula>
    </cfRule>
    <cfRule type="cellIs" dxfId="8746" priority="4052" operator="lessThan">
      <formula>-105575</formula>
    </cfRule>
  </conditionalFormatting>
  <conditionalFormatting sqref="BB157:BB158">
    <cfRule type="cellIs" dxfId="8745" priority="4049" operator="lessThan">
      <formula>0</formula>
    </cfRule>
    <cfRule type="cellIs" dxfId="8744" priority="4050" operator="lessThan">
      <formula>-105575</formula>
    </cfRule>
  </conditionalFormatting>
  <conditionalFormatting sqref="BB157:BB158">
    <cfRule type="cellIs" dxfId="8743" priority="4047" operator="lessThan">
      <formula>0</formula>
    </cfRule>
    <cfRule type="cellIs" dxfId="8742" priority="4048" operator="lessThan">
      <formula>-105575</formula>
    </cfRule>
  </conditionalFormatting>
  <conditionalFormatting sqref="BB157:BB158">
    <cfRule type="cellIs" dxfId="8741" priority="4045" operator="lessThan">
      <formula>0</formula>
    </cfRule>
    <cfRule type="cellIs" dxfId="8740" priority="4046" operator="lessThan">
      <formula>-105575</formula>
    </cfRule>
  </conditionalFormatting>
  <conditionalFormatting sqref="BB160:BB161">
    <cfRule type="cellIs" dxfId="8739" priority="4043" operator="lessThan">
      <formula>0</formula>
    </cfRule>
    <cfRule type="cellIs" dxfId="8738" priority="4044" operator="lessThan">
      <formula>-105575</formula>
    </cfRule>
  </conditionalFormatting>
  <conditionalFormatting sqref="BB160:BB161">
    <cfRule type="cellIs" dxfId="8737" priority="4041" operator="lessThan">
      <formula>0</formula>
    </cfRule>
    <cfRule type="cellIs" dxfId="8736" priority="4042" operator="lessThan">
      <formula>-105575</formula>
    </cfRule>
  </conditionalFormatting>
  <conditionalFormatting sqref="BB160:BB161">
    <cfRule type="cellIs" dxfId="8735" priority="4039" operator="lessThan">
      <formula>0</formula>
    </cfRule>
    <cfRule type="cellIs" dxfId="8734" priority="4040" operator="lessThan">
      <formula>-105575</formula>
    </cfRule>
  </conditionalFormatting>
  <conditionalFormatting sqref="BB164:BB167">
    <cfRule type="cellIs" dxfId="8733" priority="4037" operator="lessThan">
      <formula>0</formula>
    </cfRule>
    <cfRule type="cellIs" dxfId="8732" priority="4038" operator="lessThan">
      <formula>-105575</formula>
    </cfRule>
  </conditionalFormatting>
  <conditionalFormatting sqref="BB164:BB167">
    <cfRule type="cellIs" dxfId="8731" priority="4035" operator="lessThan">
      <formula>0</formula>
    </cfRule>
    <cfRule type="cellIs" dxfId="8730" priority="4036" operator="lessThan">
      <formula>-105575</formula>
    </cfRule>
  </conditionalFormatting>
  <conditionalFormatting sqref="BB164:BB167">
    <cfRule type="cellIs" dxfId="8729" priority="4033" operator="lessThan">
      <formula>0</formula>
    </cfRule>
    <cfRule type="cellIs" dxfId="8728" priority="4034" operator="lessThan">
      <formula>-105575</formula>
    </cfRule>
  </conditionalFormatting>
  <conditionalFormatting sqref="BB169:BB177">
    <cfRule type="cellIs" dxfId="8727" priority="4031" operator="lessThan">
      <formula>0</formula>
    </cfRule>
    <cfRule type="cellIs" dxfId="8726" priority="4032" operator="lessThan">
      <formula>-105575</formula>
    </cfRule>
  </conditionalFormatting>
  <conditionalFormatting sqref="BB169:BB177">
    <cfRule type="cellIs" dxfId="8725" priority="4029" operator="lessThan">
      <formula>0</formula>
    </cfRule>
    <cfRule type="cellIs" dxfId="8724" priority="4030" operator="lessThan">
      <formula>-105575</formula>
    </cfRule>
  </conditionalFormatting>
  <conditionalFormatting sqref="BB169:BB177">
    <cfRule type="cellIs" dxfId="8723" priority="4027" operator="lessThan">
      <formula>0</formula>
    </cfRule>
    <cfRule type="cellIs" dxfId="8722" priority="4028" operator="lessThan">
      <formula>-105575</formula>
    </cfRule>
  </conditionalFormatting>
  <conditionalFormatting sqref="BB179:BB180">
    <cfRule type="cellIs" dxfId="8721" priority="4025" operator="lessThan">
      <formula>0</formula>
    </cfRule>
    <cfRule type="cellIs" dxfId="8720" priority="4026" operator="lessThan">
      <formula>-105575</formula>
    </cfRule>
  </conditionalFormatting>
  <conditionalFormatting sqref="BB179:BB180">
    <cfRule type="cellIs" dxfId="8719" priority="4023" operator="lessThan">
      <formula>0</formula>
    </cfRule>
    <cfRule type="cellIs" dxfId="8718" priority="4024" operator="lessThan">
      <formula>-105575</formula>
    </cfRule>
  </conditionalFormatting>
  <conditionalFormatting sqref="BB179:BB180">
    <cfRule type="cellIs" dxfId="8717" priority="4021" operator="lessThan">
      <formula>0</formula>
    </cfRule>
    <cfRule type="cellIs" dxfId="8716" priority="4022" operator="lessThan">
      <formula>-105575</formula>
    </cfRule>
  </conditionalFormatting>
  <conditionalFormatting sqref="BB183:BB189">
    <cfRule type="cellIs" dxfId="8715" priority="4019" operator="lessThan">
      <formula>0</formula>
    </cfRule>
    <cfRule type="cellIs" dxfId="8714" priority="4020" operator="lessThan">
      <formula>-105575</formula>
    </cfRule>
  </conditionalFormatting>
  <conditionalFormatting sqref="BB183:BB189">
    <cfRule type="cellIs" dxfId="8713" priority="4017" operator="lessThan">
      <formula>0</formula>
    </cfRule>
    <cfRule type="cellIs" dxfId="8712" priority="4018" operator="lessThan">
      <formula>-105575</formula>
    </cfRule>
  </conditionalFormatting>
  <conditionalFormatting sqref="BB183:BB189">
    <cfRule type="cellIs" dxfId="8711" priority="4015" operator="lessThan">
      <formula>0</formula>
    </cfRule>
    <cfRule type="cellIs" dxfId="8710" priority="4016" operator="lessThan">
      <formula>-105575</formula>
    </cfRule>
  </conditionalFormatting>
  <conditionalFormatting sqref="BB191:BB192">
    <cfRule type="cellIs" dxfId="8709" priority="4013" operator="lessThan">
      <formula>0</formula>
    </cfRule>
    <cfRule type="cellIs" dxfId="8708" priority="4014" operator="lessThan">
      <formula>-105575</formula>
    </cfRule>
  </conditionalFormatting>
  <conditionalFormatting sqref="BB191:BB192">
    <cfRule type="cellIs" dxfId="8707" priority="4011" operator="lessThan">
      <formula>0</formula>
    </cfRule>
    <cfRule type="cellIs" dxfId="8706" priority="4012" operator="lessThan">
      <formula>-105575</formula>
    </cfRule>
  </conditionalFormatting>
  <conditionalFormatting sqref="BB191:BB192">
    <cfRule type="cellIs" dxfId="8705" priority="4009" operator="lessThan">
      <formula>0</formula>
    </cfRule>
    <cfRule type="cellIs" dxfId="8704" priority="4010" operator="lessThan">
      <formula>-105575</formula>
    </cfRule>
  </conditionalFormatting>
  <conditionalFormatting sqref="BB194:BB195">
    <cfRule type="cellIs" dxfId="8703" priority="4007" operator="lessThan">
      <formula>0</formula>
    </cfRule>
    <cfRule type="cellIs" dxfId="8702" priority="4008" operator="lessThan">
      <formula>-105575</formula>
    </cfRule>
  </conditionalFormatting>
  <conditionalFormatting sqref="BB194:BB195">
    <cfRule type="cellIs" dxfId="8701" priority="4005" operator="lessThan">
      <formula>0</formula>
    </cfRule>
    <cfRule type="cellIs" dxfId="8700" priority="4006" operator="lessThan">
      <formula>-105575</formula>
    </cfRule>
  </conditionalFormatting>
  <conditionalFormatting sqref="BB194:BB195">
    <cfRule type="cellIs" dxfId="8699" priority="4003" operator="lessThan">
      <formula>0</formula>
    </cfRule>
    <cfRule type="cellIs" dxfId="8698" priority="4004" operator="lessThan">
      <formula>-105575</formula>
    </cfRule>
  </conditionalFormatting>
  <conditionalFormatting sqref="BB199:BB202">
    <cfRule type="cellIs" dxfId="8697" priority="4001" operator="lessThan">
      <formula>0</formula>
    </cfRule>
    <cfRule type="cellIs" dxfId="8696" priority="4002" operator="lessThan">
      <formula>-105575</formula>
    </cfRule>
  </conditionalFormatting>
  <conditionalFormatting sqref="BB199:BB202">
    <cfRule type="cellIs" dxfId="8695" priority="3999" operator="lessThan">
      <formula>0</formula>
    </cfRule>
    <cfRule type="cellIs" dxfId="8694" priority="4000" operator="lessThan">
      <formula>-105575</formula>
    </cfRule>
  </conditionalFormatting>
  <conditionalFormatting sqref="BB199:BB202">
    <cfRule type="cellIs" dxfId="8693" priority="3997" operator="lessThan">
      <formula>0</formula>
    </cfRule>
    <cfRule type="cellIs" dxfId="8692" priority="3998" operator="lessThan">
      <formula>-105575</formula>
    </cfRule>
  </conditionalFormatting>
  <conditionalFormatting sqref="BB204:BB208">
    <cfRule type="cellIs" dxfId="8691" priority="3995" operator="lessThan">
      <formula>0</formula>
    </cfRule>
    <cfRule type="cellIs" dxfId="8690" priority="3996" operator="lessThan">
      <formula>-105575</formula>
    </cfRule>
  </conditionalFormatting>
  <conditionalFormatting sqref="BB204:BB208">
    <cfRule type="cellIs" dxfId="8689" priority="3993" operator="lessThan">
      <formula>0</formula>
    </cfRule>
    <cfRule type="cellIs" dxfId="8688" priority="3994" operator="lessThan">
      <formula>-105575</formula>
    </cfRule>
  </conditionalFormatting>
  <conditionalFormatting sqref="BB204:BB208">
    <cfRule type="cellIs" dxfId="8687" priority="3991" operator="lessThan">
      <formula>0</formula>
    </cfRule>
    <cfRule type="cellIs" dxfId="8686" priority="3992" operator="lessThan">
      <formula>-105575</formula>
    </cfRule>
  </conditionalFormatting>
  <conditionalFormatting sqref="BB210:BB211">
    <cfRule type="cellIs" dxfId="8685" priority="3989" operator="lessThan">
      <formula>0</formula>
    </cfRule>
    <cfRule type="cellIs" dxfId="8684" priority="3990" operator="lessThan">
      <formula>-105575</formula>
    </cfRule>
  </conditionalFormatting>
  <conditionalFormatting sqref="BB210:BB211">
    <cfRule type="cellIs" dxfId="8683" priority="3987" operator="lessThan">
      <formula>0</formula>
    </cfRule>
    <cfRule type="cellIs" dxfId="8682" priority="3988" operator="lessThan">
      <formula>-105575</formula>
    </cfRule>
  </conditionalFormatting>
  <conditionalFormatting sqref="BB210:BB211">
    <cfRule type="cellIs" dxfId="8681" priority="3985" operator="lessThan">
      <formula>0</formula>
    </cfRule>
    <cfRule type="cellIs" dxfId="8680" priority="3986" operator="lessThan">
      <formula>-105575</formula>
    </cfRule>
  </conditionalFormatting>
  <conditionalFormatting sqref="BB214:BB219">
    <cfRule type="cellIs" dxfId="8679" priority="3983" operator="lessThan">
      <formula>0</formula>
    </cfRule>
    <cfRule type="cellIs" dxfId="8678" priority="3984" operator="lessThan">
      <formula>-105575</formula>
    </cfRule>
  </conditionalFormatting>
  <conditionalFormatting sqref="BB214:BB219">
    <cfRule type="cellIs" dxfId="8677" priority="3981" operator="lessThan">
      <formula>0</formula>
    </cfRule>
    <cfRule type="cellIs" dxfId="8676" priority="3982" operator="lessThan">
      <formula>-105575</formula>
    </cfRule>
  </conditionalFormatting>
  <conditionalFormatting sqref="BB214:BB219">
    <cfRule type="cellIs" dxfId="8675" priority="3979" operator="lessThan">
      <formula>0</formula>
    </cfRule>
    <cfRule type="cellIs" dxfId="8674" priority="3980" operator="lessThan">
      <formula>-105575</formula>
    </cfRule>
  </conditionalFormatting>
  <conditionalFormatting sqref="BB222:BB224">
    <cfRule type="cellIs" dxfId="8673" priority="3977" operator="lessThan">
      <formula>0</formula>
    </cfRule>
    <cfRule type="cellIs" dxfId="8672" priority="3978" operator="lessThan">
      <formula>-105575</formula>
    </cfRule>
  </conditionalFormatting>
  <conditionalFormatting sqref="BB222:BB224">
    <cfRule type="cellIs" dxfId="8671" priority="3975" operator="lessThan">
      <formula>0</formula>
    </cfRule>
    <cfRule type="cellIs" dxfId="8670" priority="3976" operator="lessThan">
      <formula>-105575</formula>
    </cfRule>
  </conditionalFormatting>
  <conditionalFormatting sqref="BB222:BB224">
    <cfRule type="cellIs" dxfId="8669" priority="3973" operator="lessThan">
      <formula>0</formula>
    </cfRule>
    <cfRule type="cellIs" dxfId="8668" priority="3974" operator="lessThan">
      <formula>-105575</formula>
    </cfRule>
  </conditionalFormatting>
  <conditionalFormatting sqref="BB227:BB230">
    <cfRule type="cellIs" dxfId="8667" priority="3971" operator="lessThan">
      <formula>0</formula>
    </cfRule>
    <cfRule type="cellIs" dxfId="8666" priority="3972" operator="lessThan">
      <formula>-105575</formula>
    </cfRule>
  </conditionalFormatting>
  <conditionalFormatting sqref="BB227:BB230">
    <cfRule type="cellIs" dxfId="8665" priority="3969" operator="lessThan">
      <formula>0</formula>
    </cfRule>
    <cfRule type="cellIs" dxfId="8664" priority="3970" operator="lessThan">
      <formula>-105575</formula>
    </cfRule>
  </conditionalFormatting>
  <conditionalFormatting sqref="BB227:BB230">
    <cfRule type="cellIs" dxfId="8663" priority="3967" operator="lessThan">
      <formula>0</formula>
    </cfRule>
    <cfRule type="cellIs" dxfId="8662" priority="3968" operator="lessThan">
      <formula>-105575</formula>
    </cfRule>
  </conditionalFormatting>
  <conditionalFormatting sqref="BB246:BB249">
    <cfRule type="cellIs" dxfId="8661" priority="3965" operator="lessThan">
      <formula>0</formula>
    </cfRule>
    <cfRule type="cellIs" dxfId="8660" priority="3966" operator="lessThan">
      <formula>-105575</formula>
    </cfRule>
  </conditionalFormatting>
  <conditionalFormatting sqref="BB246:BB249">
    <cfRule type="cellIs" dxfId="8659" priority="3963" operator="lessThan">
      <formula>0</formula>
    </cfRule>
    <cfRule type="cellIs" dxfId="8658" priority="3964" operator="lessThan">
      <formula>-105575</formula>
    </cfRule>
  </conditionalFormatting>
  <conditionalFormatting sqref="BB246:BB249">
    <cfRule type="cellIs" dxfId="8657" priority="3961" operator="lessThan">
      <formula>0</formula>
    </cfRule>
    <cfRule type="cellIs" dxfId="8656" priority="3962" operator="lessThan">
      <formula>-105575</formula>
    </cfRule>
  </conditionalFormatting>
  <conditionalFormatting sqref="BB246:BB249">
    <cfRule type="cellIs" dxfId="8655" priority="3959" operator="lessThan">
      <formula>0</formula>
    </cfRule>
    <cfRule type="cellIs" dxfId="8654" priority="3960" operator="lessThan">
      <formula>-105575</formula>
    </cfRule>
  </conditionalFormatting>
  <conditionalFormatting sqref="BB246:BB249">
    <cfRule type="cellIs" dxfId="8653" priority="3957" operator="lessThan">
      <formula>0</formula>
    </cfRule>
    <cfRule type="cellIs" dxfId="8652" priority="3958" operator="lessThan">
      <formula>-105575</formula>
    </cfRule>
  </conditionalFormatting>
  <conditionalFormatting sqref="BB246:BB249">
    <cfRule type="cellIs" dxfId="8651" priority="3955" operator="lessThan">
      <formula>0</formula>
    </cfRule>
    <cfRule type="cellIs" dxfId="8650" priority="3956" operator="lessThan">
      <formula>-105575</formula>
    </cfRule>
  </conditionalFormatting>
  <conditionalFormatting sqref="BB246:BB249">
    <cfRule type="cellIs" dxfId="8649" priority="3953" operator="lessThan">
      <formula>0</formula>
    </cfRule>
    <cfRule type="cellIs" dxfId="8648" priority="3954" operator="lessThan">
      <formula>-105575</formula>
    </cfRule>
  </conditionalFormatting>
  <conditionalFormatting sqref="BB246:BB249">
    <cfRule type="cellIs" dxfId="8647" priority="3951" operator="lessThan">
      <formula>0</formula>
    </cfRule>
    <cfRule type="cellIs" dxfId="8646" priority="3952" operator="lessThan">
      <formula>-105575</formula>
    </cfRule>
  </conditionalFormatting>
  <conditionalFormatting sqref="BB246:BB249">
    <cfRule type="cellIs" dxfId="8645" priority="3949" operator="lessThan">
      <formula>0</formula>
    </cfRule>
    <cfRule type="cellIs" dxfId="8644" priority="3950" operator="lessThan">
      <formula>-105575</formula>
    </cfRule>
  </conditionalFormatting>
  <conditionalFormatting sqref="BB251:BB253">
    <cfRule type="cellIs" dxfId="8643" priority="3947" operator="lessThan">
      <formula>0</formula>
    </cfRule>
    <cfRule type="cellIs" dxfId="8642" priority="3948" operator="lessThan">
      <formula>-105575</formula>
    </cfRule>
  </conditionalFormatting>
  <conditionalFormatting sqref="BB251:BB253">
    <cfRule type="cellIs" dxfId="8641" priority="3945" operator="lessThan">
      <formula>0</formula>
    </cfRule>
    <cfRule type="cellIs" dxfId="8640" priority="3946" operator="lessThan">
      <formula>-105575</formula>
    </cfRule>
  </conditionalFormatting>
  <conditionalFormatting sqref="BB251:BB253">
    <cfRule type="cellIs" dxfId="8639" priority="3943" operator="lessThan">
      <formula>0</formula>
    </cfRule>
    <cfRule type="cellIs" dxfId="8638" priority="3944" operator="lessThan">
      <formula>-105575</formula>
    </cfRule>
  </conditionalFormatting>
  <conditionalFormatting sqref="BB251:BB253">
    <cfRule type="cellIs" dxfId="8637" priority="3941" operator="lessThan">
      <formula>0</formula>
    </cfRule>
    <cfRule type="cellIs" dxfId="8636" priority="3942" operator="lessThan">
      <formula>-105575</formula>
    </cfRule>
  </conditionalFormatting>
  <conditionalFormatting sqref="BB251:BB253">
    <cfRule type="cellIs" dxfId="8635" priority="3939" operator="lessThan">
      <formula>0</formula>
    </cfRule>
    <cfRule type="cellIs" dxfId="8634" priority="3940" operator="lessThan">
      <formula>-105575</formula>
    </cfRule>
  </conditionalFormatting>
  <conditionalFormatting sqref="BB251:BB253">
    <cfRule type="cellIs" dxfId="8633" priority="3937" operator="lessThan">
      <formula>0</formula>
    </cfRule>
    <cfRule type="cellIs" dxfId="8632" priority="3938" operator="lessThan">
      <formula>-105575</formula>
    </cfRule>
  </conditionalFormatting>
  <conditionalFormatting sqref="BB251:BB253">
    <cfRule type="cellIs" dxfId="8631" priority="3935" operator="lessThan">
      <formula>0</formula>
    </cfRule>
    <cfRule type="cellIs" dxfId="8630" priority="3936" operator="lessThan">
      <formula>-105575</formula>
    </cfRule>
  </conditionalFormatting>
  <conditionalFormatting sqref="BB251:BB253">
    <cfRule type="cellIs" dxfId="8629" priority="3933" operator="lessThan">
      <formula>0</formula>
    </cfRule>
    <cfRule type="cellIs" dxfId="8628" priority="3934" operator="lessThan">
      <formula>-105575</formula>
    </cfRule>
  </conditionalFormatting>
  <conditionalFormatting sqref="BB251:BB253">
    <cfRule type="cellIs" dxfId="8627" priority="3931" operator="lessThan">
      <formula>0</formula>
    </cfRule>
    <cfRule type="cellIs" dxfId="8626" priority="3932" operator="lessThan">
      <formula>-105575</formula>
    </cfRule>
  </conditionalFormatting>
  <conditionalFormatting sqref="BB255:BB257">
    <cfRule type="cellIs" dxfId="8625" priority="3929" operator="lessThan">
      <formula>0</formula>
    </cfRule>
    <cfRule type="cellIs" dxfId="8624" priority="3930" operator="lessThan">
      <formula>-105575</formula>
    </cfRule>
  </conditionalFormatting>
  <conditionalFormatting sqref="BB255:BB257">
    <cfRule type="cellIs" dxfId="8623" priority="3927" operator="lessThan">
      <formula>0</formula>
    </cfRule>
    <cfRule type="cellIs" dxfId="8622" priority="3928" operator="lessThan">
      <formula>-105575</formula>
    </cfRule>
  </conditionalFormatting>
  <conditionalFormatting sqref="BB255:BB257">
    <cfRule type="cellIs" dxfId="8621" priority="3925" operator="lessThan">
      <formula>0</formula>
    </cfRule>
    <cfRule type="cellIs" dxfId="8620" priority="3926" operator="lessThan">
      <formula>-105575</formula>
    </cfRule>
  </conditionalFormatting>
  <conditionalFormatting sqref="BB255:BB257">
    <cfRule type="cellIs" dxfId="8619" priority="3923" operator="lessThan">
      <formula>0</formula>
    </cfRule>
    <cfRule type="cellIs" dxfId="8618" priority="3924" operator="lessThan">
      <formula>-105575</formula>
    </cfRule>
  </conditionalFormatting>
  <conditionalFormatting sqref="BB255:BB257">
    <cfRule type="cellIs" dxfId="8617" priority="3921" operator="lessThan">
      <formula>0</formula>
    </cfRule>
    <cfRule type="cellIs" dxfId="8616" priority="3922" operator="lessThan">
      <formula>-105575</formula>
    </cfRule>
  </conditionalFormatting>
  <conditionalFormatting sqref="BB255:BB257">
    <cfRule type="cellIs" dxfId="8615" priority="3919" operator="lessThan">
      <formula>0</formula>
    </cfRule>
    <cfRule type="cellIs" dxfId="8614" priority="3920" operator="lessThan">
      <formula>-105575</formula>
    </cfRule>
  </conditionalFormatting>
  <conditionalFormatting sqref="BB255:BB257">
    <cfRule type="cellIs" dxfId="8613" priority="3917" operator="lessThan">
      <formula>0</formula>
    </cfRule>
    <cfRule type="cellIs" dxfId="8612" priority="3918" operator="lessThan">
      <formula>-105575</formula>
    </cfRule>
  </conditionalFormatting>
  <conditionalFormatting sqref="BB255:BB257">
    <cfRule type="cellIs" dxfId="8611" priority="3915" operator="lessThan">
      <formula>0</formula>
    </cfRule>
    <cfRule type="cellIs" dxfId="8610" priority="3916" operator="lessThan">
      <formula>-105575</formula>
    </cfRule>
  </conditionalFormatting>
  <conditionalFormatting sqref="BB255:BB257">
    <cfRule type="cellIs" dxfId="8609" priority="3913" operator="lessThan">
      <formula>0</formula>
    </cfRule>
    <cfRule type="cellIs" dxfId="8608" priority="3914" operator="lessThan">
      <formula>-105575</formula>
    </cfRule>
  </conditionalFormatting>
  <conditionalFormatting sqref="BB260:BB262">
    <cfRule type="cellIs" dxfId="8607" priority="3911" operator="lessThan">
      <formula>0</formula>
    </cfRule>
    <cfRule type="cellIs" dxfId="8606" priority="3912" operator="lessThan">
      <formula>-105575</formula>
    </cfRule>
  </conditionalFormatting>
  <conditionalFormatting sqref="BB260:BB262">
    <cfRule type="cellIs" dxfId="8605" priority="3909" operator="lessThan">
      <formula>0</formula>
    </cfRule>
    <cfRule type="cellIs" dxfId="8604" priority="3910" operator="lessThan">
      <formula>-105575</formula>
    </cfRule>
  </conditionalFormatting>
  <conditionalFormatting sqref="BB260:BB262">
    <cfRule type="cellIs" dxfId="8603" priority="3907" operator="lessThan">
      <formula>0</formula>
    </cfRule>
    <cfRule type="cellIs" dxfId="8602" priority="3908" operator="lessThan">
      <formula>-105575</formula>
    </cfRule>
  </conditionalFormatting>
  <conditionalFormatting sqref="BB260:BB262">
    <cfRule type="cellIs" dxfId="8601" priority="3905" operator="lessThan">
      <formula>0</formula>
    </cfRule>
    <cfRule type="cellIs" dxfId="8600" priority="3906" operator="lessThan">
      <formula>-105575</formula>
    </cfRule>
  </conditionalFormatting>
  <conditionalFormatting sqref="BB260:BB262">
    <cfRule type="cellIs" dxfId="8599" priority="3903" operator="lessThan">
      <formula>0</formula>
    </cfRule>
    <cfRule type="cellIs" dxfId="8598" priority="3904" operator="lessThan">
      <formula>-105575</formula>
    </cfRule>
  </conditionalFormatting>
  <conditionalFormatting sqref="BB260:BB262">
    <cfRule type="cellIs" dxfId="8597" priority="3901" operator="lessThan">
      <formula>0</formula>
    </cfRule>
    <cfRule type="cellIs" dxfId="8596" priority="3902" operator="lessThan">
      <formula>-105575</formula>
    </cfRule>
  </conditionalFormatting>
  <conditionalFormatting sqref="BB260:BB262">
    <cfRule type="cellIs" dxfId="8595" priority="3899" operator="lessThan">
      <formula>0</formula>
    </cfRule>
    <cfRule type="cellIs" dxfId="8594" priority="3900" operator="lessThan">
      <formula>-105575</formula>
    </cfRule>
  </conditionalFormatting>
  <conditionalFormatting sqref="BB260:BB262">
    <cfRule type="cellIs" dxfId="8593" priority="3897" operator="lessThan">
      <formula>0</formula>
    </cfRule>
    <cfRule type="cellIs" dxfId="8592" priority="3898" operator="lessThan">
      <formula>-105575</formula>
    </cfRule>
  </conditionalFormatting>
  <conditionalFormatting sqref="BB260:BB262">
    <cfRule type="cellIs" dxfId="8591" priority="3895" operator="lessThan">
      <formula>0</formula>
    </cfRule>
    <cfRule type="cellIs" dxfId="8590" priority="3896" operator="lessThan">
      <formula>-105575</formula>
    </cfRule>
  </conditionalFormatting>
  <conditionalFormatting sqref="BB264:BB267">
    <cfRule type="cellIs" dxfId="8589" priority="3893" operator="lessThan">
      <formula>0</formula>
    </cfRule>
    <cfRule type="cellIs" dxfId="8588" priority="3894" operator="lessThan">
      <formula>-105575</formula>
    </cfRule>
  </conditionalFormatting>
  <conditionalFormatting sqref="BB264:BB267">
    <cfRule type="cellIs" dxfId="8587" priority="3891" operator="lessThan">
      <formula>0</formula>
    </cfRule>
    <cfRule type="cellIs" dxfId="8586" priority="3892" operator="lessThan">
      <formula>-105575</formula>
    </cfRule>
  </conditionalFormatting>
  <conditionalFormatting sqref="BB264:BB267">
    <cfRule type="cellIs" dxfId="8585" priority="3889" operator="lessThan">
      <formula>0</formula>
    </cfRule>
    <cfRule type="cellIs" dxfId="8584" priority="3890" operator="lessThan">
      <formula>-105575</formula>
    </cfRule>
  </conditionalFormatting>
  <conditionalFormatting sqref="BB264:BB267">
    <cfRule type="cellIs" dxfId="8583" priority="3887" operator="lessThan">
      <formula>0</formula>
    </cfRule>
    <cfRule type="cellIs" dxfId="8582" priority="3888" operator="lessThan">
      <formula>-105575</formula>
    </cfRule>
  </conditionalFormatting>
  <conditionalFormatting sqref="BB264:BB267">
    <cfRule type="cellIs" dxfId="8581" priority="3885" operator="lessThan">
      <formula>0</formula>
    </cfRule>
    <cfRule type="cellIs" dxfId="8580" priority="3886" operator="lessThan">
      <formula>-105575</formula>
    </cfRule>
  </conditionalFormatting>
  <conditionalFormatting sqref="BB264:BB267">
    <cfRule type="cellIs" dxfId="8579" priority="3883" operator="lessThan">
      <formula>0</formula>
    </cfRule>
    <cfRule type="cellIs" dxfId="8578" priority="3884" operator="lessThan">
      <formula>-105575</formula>
    </cfRule>
  </conditionalFormatting>
  <conditionalFormatting sqref="BB264:BB267">
    <cfRule type="cellIs" dxfId="8577" priority="3881" operator="lessThan">
      <formula>0</formula>
    </cfRule>
    <cfRule type="cellIs" dxfId="8576" priority="3882" operator="lessThan">
      <formula>-105575</formula>
    </cfRule>
  </conditionalFormatting>
  <conditionalFormatting sqref="BB264:BB267">
    <cfRule type="cellIs" dxfId="8575" priority="3879" operator="lessThan">
      <formula>0</formula>
    </cfRule>
    <cfRule type="cellIs" dxfId="8574" priority="3880" operator="lessThan">
      <formula>-105575</formula>
    </cfRule>
  </conditionalFormatting>
  <conditionalFormatting sqref="BB264:BB267">
    <cfRule type="cellIs" dxfId="8573" priority="3877" operator="lessThan">
      <formula>0</formula>
    </cfRule>
    <cfRule type="cellIs" dxfId="8572" priority="3878" operator="lessThan">
      <formula>-105575</formula>
    </cfRule>
  </conditionalFormatting>
  <conditionalFormatting sqref="BB270:BB272">
    <cfRule type="cellIs" dxfId="8571" priority="3875" operator="lessThan">
      <formula>0</formula>
    </cfRule>
    <cfRule type="cellIs" dxfId="8570" priority="3876" operator="lessThan">
      <formula>-105575</formula>
    </cfRule>
  </conditionalFormatting>
  <conditionalFormatting sqref="BB270:BB272">
    <cfRule type="cellIs" dxfId="8569" priority="3873" operator="lessThan">
      <formula>0</formula>
    </cfRule>
    <cfRule type="cellIs" dxfId="8568" priority="3874" operator="lessThan">
      <formula>-105575</formula>
    </cfRule>
  </conditionalFormatting>
  <conditionalFormatting sqref="BB270:BB272">
    <cfRule type="cellIs" dxfId="8567" priority="3871" operator="lessThan">
      <formula>0</formula>
    </cfRule>
    <cfRule type="cellIs" dxfId="8566" priority="3872" operator="lessThan">
      <formula>-105575</formula>
    </cfRule>
  </conditionalFormatting>
  <conditionalFormatting sqref="BB270:BB272">
    <cfRule type="cellIs" dxfId="8565" priority="3869" operator="lessThan">
      <formula>0</formula>
    </cfRule>
    <cfRule type="cellIs" dxfId="8564" priority="3870" operator="lessThan">
      <formula>-105575</formula>
    </cfRule>
  </conditionalFormatting>
  <conditionalFormatting sqref="BB270:BB272">
    <cfRule type="cellIs" dxfId="8563" priority="3867" operator="lessThan">
      <formula>0</formula>
    </cfRule>
    <cfRule type="cellIs" dxfId="8562" priority="3868" operator="lessThan">
      <formula>-105575</formula>
    </cfRule>
  </conditionalFormatting>
  <conditionalFormatting sqref="BB270:BB272">
    <cfRule type="cellIs" dxfId="8561" priority="3865" operator="lessThan">
      <formula>0</formula>
    </cfRule>
    <cfRule type="cellIs" dxfId="8560" priority="3866" operator="lessThan">
      <formula>-105575</formula>
    </cfRule>
  </conditionalFormatting>
  <conditionalFormatting sqref="BB270:BB272">
    <cfRule type="cellIs" dxfId="8559" priority="3863" operator="lessThan">
      <formula>0</formula>
    </cfRule>
    <cfRule type="cellIs" dxfId="8558" priority="3864" operator="lessThan">
      <formula>-105575</formula>
    </cfRule>
  </conditionalFormatting>
  <conditionalFormatting sqref="BB270:BB272">
    <cfRule type="cellIs" dxfId="8557" priority="3861" operator="lessThan">
      <formula>0</formula>
    </cfRule>
    <cfRule type="cellIs" dxfId="8556" priority="3862" operator="lessThan">
      <formula>-105575</formula>
    </cfRule>
  </conditionalFormatting>
  <conditionalFormatting sqref="BB270:BB272">
    <cfRule type="cellIs" dxfId="8555" priority="3859" operator="lessThan">
      <formula>0</formula>
    </cfRule>
    <cfRule type="cellIs" dxfId="8554" priority="3860" operator="lessThan">
      <formula>-105575</formula>
    </cfRule>
  </conditionalFormatting>
  <conditionalFormatting sqref="BB274:BB275">
    <cfRule type="cellIs" dxfId="8553" priority="3857" operator="lessThan">
      <formula>0</formula>
    </cfRule>
    <cfRule type="cellIs" dxfId="8552" priority="3858" operator="lessThan">
      <formula>-105575</formula>
    </cfRule>
  </conditionalFormatting>
  <conditionalFormatting sqref="BB274:BB275">
    <cfRule type="cellIs" dxfId="8551" priority="3855" operator="lessThan">
      <formula>0</formula>
    </cfRule>
    <cfRule type="cellIs" dxfId="8550" priority="3856" operator="lessThan">
      <formula>-105575</formula>
    </cfRule>
  </conditionalFormatting>
  <conditionalFormatting sqref="BB274:BB275">
    <cfRule type="cellIs" dxfId="8549" priority="3853" operator="lessThan">
      <formula>0</formula>
    </cfRule>
    <cfRule type="cellIs" dxfId="8548" priority="3854" operator="lessThan">
      <formula>-105575</formula>
    </cfRule>
  </conditionalFormatting>
  <conditionalFormatting sqref="BB274:BB275">
    <cfRule type="cellIs" dxfId="8547" priority="3851" operator="lessThan">
      <formula>0</formula>
    </cfRule>
    <cfRule type="cellIs" dxfId="8546" priority="3852" operator="lessThan">
      <formula>-105575</formula>
    </cfRule>
  </conditionalFormatting>
  <conditionalFormatting sqref="BB274:BB275">
    <cfRule type="cellIs" dxfId="8545" priority="3849" operator="lessThan">
      <formula>0</formula>
    </cfRule>
    <cfRule type="cellIs" dxfId="8544" priority="3850" operator="lessThan">
      <formula>-105575</formula>
    </cfRule>
  </conditionalFormatting>
  <conditionalFormatting sqref="BB274:BB275">
    <cfRule type="cellIs" dxfId="8543" priority="3847" operator="lessThan">
      <formula>0</formula>
    </cfRule>
    <cfRule type="cellIs" dxfId="8542" priority="3848" operator="lessThan">
      <formula>-105575</formula>
    </cfRule>
  </conditionalFormatting>
  <conditionalFormatting sqref="BB274:BB275">
    <cfRule type="cellIs" dxfId="8541" priority="3845" operator="lessThan">
      <formula>0</formula>
    </cfRule>
    <cfRule type="cellIs" dxfId="8540" priority="3846" operator="lessThan">
      <formula>-105575</formula>
    </cfRule>
  </conditionalFormatting>
  <conditionalFormatting sqref="BB274:BB275">
    <cfRule type="cellIs" dxfId="8539" priority="3843" operator="lessThan">
      <formula>0</formula>
    </cfRule>
    <cfRule type="cellIs" dxfId="8538" priority="3844" operator="lessThan">
      <formula>-105575</formula>
    </cfRule>
  </conditionalFormatting>
  <conditionalFormatting sqref="BB274:BB275">
    <cfRule type="cellIs" dxfId="8537" priority="3841" operator="lessThan">
      <formula>0</formula>
    </cfRule>
    <cfRule type="cellIs" dxfId="8536" priority="3842" operator="lessThan">
      <formula>-105575</formula>
    </cfRule>
  </conditionalFormatting>
  <conditionalFormatting sqref="BB278:BB282">
    <cfRule type="cellIs" dxfId="8535" priority="3839" operator="lessThan">
      <formula>0</formula>
    </cfRule>
    <cfRule type="cellIs" dxfId="8534" priority="3840" operator="lessThan">
      <formula>-105575</formula>
    </cfRule>
  </conditionalFormatting>
  <conditionalFormatting sqref="BB278:BB282">
    <cfRule type="cellIs" dxfId="8533" priority="3837" operator="lessThan">
      <formula>0</formula>
    </cfRule>
    <cfRule type="cellIs" dxfId="8532" priority="3838" operator="lessThan">
      <formula>-105575</formula>
    </cfRule>
  </conditionalFormatting>
  <conditionalFormatting sqref="BB278:BB282">
    <cfRule type="cellIs" dxfId="8531" priority="3835" operator="lessThan">
      <formula>0</formula>
    </cfRule>
    <cfRule type="cellIs" dxfId="8530" priority="3836" operator="lessThan">
      <formula>-105575</formula>
    </cfRule>
  </conditionalFormatting>
  <conditionalFormatting sqref="BB278:BB282">
    <cfRule type="cellIs" dxfId="8529" priority="3833" operator="lessThan">
      <formula>0</formula>
    </cfRule>
    <cfRule type="cellIs" dxfId="8528" priority="3834" operator="lessThan">
      <formula>-105575</formula>
    </cfRule>
  </conditionalFormatting>
  <conditionalFormatting sqref="BB278:BB282">
    <cfRule type="cellIs" dxfId="8527" priority="3831" operator="lessThan">
      <formula>0</formula>
    </cfRule>
    <cfRule type="cellIs" dxfId="8526" priority="3832" operator="lessThan">
      <formula>-105575</formula>
    </cfRule>
  </conditionalFormatting>
  <conditionalFormatting sqref="BB278:BB282">
    <cfRule type="cellIs" dxfId="8525" priority="3829" operator="lessThan">
      <formula>0</formula>
    </cfRule>
    <cfRule type="cellIs" dxfId="8524" priority="3830" operator="lessThan">
      <formula>-105575</formula>
    </cfRule>
  </conditionalFormatting>
  <conditionalFormatting sqref="BB278:BB282">
    <cfRule type="cellIs" dxfId="8523" priority="3827" operator="lessThan">
      <formula>0</formula>
    </cfRule>
    <cfRule type="cellIs" dxfId="8522" priority="3828" operator="lessThan">
      <formula>-105575</formula>
    </cfRule>
  </conditionalFormatting>
  <conditionalFormatting sqref="BB278:BB282">
    <cfRule type="cellIs" dxfId="8521" priority="3825" operator="lessThan">
      <formula>0</formula>
    </cfRule>
    <cfRule type="cellIs" dxfId="8520" priority="3826" operator="lessThan">
      <formula>-105575</formula>
    </cfRule>
  </conditionalFormatting>
  <conditionalFormatting sqref="BB278:BB282">
    <cfRule type="cellIs" dxfId="8519" priority="3823" operator="lessThan">
      <formula>0</formula>
    </cfRule>
    <cfRule type="cellIs" dxfId="8518" priority="3824" operator="lessThan">
      <formula>-105575</formula>
    </cfRule>
  </conditionalFormatting>
  <conditionalFormatting sqref="BB285:BB288">
    <cfRule type="cellIs" dxfId="8517" priority="3821" operator="lessThan">
      <formula>0</formula>
    </cfRule>
    <cfRule type="cellIs" dxfId="8516" priority="3822" operator="lessThan">
      <formula>-105575</formula>
    </cfRule>
  </conditionalFormatting>
  <conditionalFormatting sqref="BB285:BB288">
    <cfRule type="cellIs" dxfId="8515" priority="3819" operator="lessThan">
      <formula>0</formula>
    </cfRule>
    <cfRule type="cellIs" dxfId="8514" priority="3820" operator="lessThan">
      <formula>-105575</formula>
    </cfRule>
  </conditionalFormatting>
  <conditionalFormatting sqref="BB285:BB288">
    <cfRule type="cellIs" dxfId="8513" priority="3817" operator="lessThan">
      <formula>0</formula>
    </cfRule>
    <cfRule type="cellIs" dxfId="8512" priority="3818" operator="lessThan">
      <formula>-105575</formula>
    </cfRule>
  </conditionalFormatting>
  <conditionalFormatting sqref="BB285:BB288">
    <cfRule type="cellIs" dxfId="8511" priority="3815" operator="lessThan">
      <formula>0</formula>
    </cfRule>
    <cfRule type="cellIs" dxfId="8510" priority="3816" operator="lessThan">
      <formula>-105575</formula>
    </cfRule>
  </conditionalFormatting>
  <conditionalFormatting sqref="BB285:BB288">
    <cfRule type="cellIs" dxfId="8509" priority="3813" operator="lessThan">
      <formula>0</formula>
    </cfRule>
    <cfRule type="cellIs" dxfId="8508" priority="3814" operator="lessThan">
      <formula>-105575</formula>
    </cfRule>
  </conditionalFormatting>
  <conditionalFormatting sqref="BB285:BB288">
    <cfRule type="cellIs" dxfId="8507" priority="3811" operator="lessThan">
      <formula>0</formula>
    </cfRule>
    <cfRule type="cellIs" dxfId="8506" priority="3812" operator="lessThan">
      <formula>-105575</formula>
    </cfRule>
  </conditionalFormatting>
  <conditionalFormatting sqref="BB285:BB288">
    <cfRule type="cellIs" dxfId="8505" priority="3809" operator="lessThan">
      <formula>0</formula>
    </cfRule>
    <cfRule type="cellIs" dxfId="8504" priority="3810" operator="lessThan">
      <formula>-105575</formula>
    </cfRule>
  </conditionalFormatting>
  <conditionalFormatting sqref="BB285:BB288">
    <cfRule type="cellIs" dxfId="8503" priority="3807" operator="lessThan">
      <formula>0</formula>
    </cfRule>
    <cfRule type="cellIs" dxfId="8502" priority="3808" operator="lessThan">
      <formula>-105575</formula>
    </cfRule>
  </conditionalFormatting>
  <conditionalFormatting sqref="BB285:BB288">
    <cfRule type="cellIs" dxfId="8501" priority="3805" operator="lessThan">
      <formula>0</formula>
    </cfRule>
    <cfRule type="cellIs" dxfId="8500" priority="3806" operator="lessThan">
      <formula>-105575</formula>
    </cfRule>
  </conditionalFormatting>
  <conditionalFormatting sqref="BB203 BB220:BB221 BB235:BB243 BB231:BB233 BB212:BB213 BB225:BB226">
    <cfRule type="cellIs" dxfId="8499" priority="3803" operator="lessThan">
      <formula>0</formula>
    </cfRule>
    <cfRule type="cellIs" dxfId="8498" priority="3804" operator="lessThan">
      <formula>-105575</formula>
    </cfRule>
  </conditionalFormatting>
  <conditionalFormatting sqref="BB220 BB212:BB213 BB235:BB238 BB240:BB243 BB225:BB226 BB231:BB233">
    <cfRule type="cellIs" dxfId="8497" priority="3801" operator="lessThan">
      <formula>0</formula>
    </cfRule>
    <cfRule type="cellIs" dxfId="8496" priority="3802" operator="lessThan">
      <formula>-105575</formula>
    </cfRule>
  </conditionalFormatting>
  <conditionalFormatting sqref="BB220:BB221 BB243 BB226 BB231:BB236 BB238:BB241 BB203 BB213">
    <cfRule type="cellIs" dxfId="8495" priority="3799" operator="lessThan">
      <formula>0</formula>
    </cfRule>
    <cfRule type="cellIs" dxfId="8494" priority="3800" operator="lessThan">
      <formula>-105575</formula>
    </cfRule>
  </conditionalFormatting>
  <conditionalFormatting sqref="BB235:BB243 BB231:BB233 BB220 BB212:BB213 BB225:BB226">
    <cfRule type="cellIs" dxfId="8493" priority="3797" operator="lessThan">
      <formula>0</formula>
    </cfRule>
    <cfRule type="cellIs" dxfId="8492" priority="3798" operator="lessThan">
      <formula>-105575</formula>
    </cfRule>
  </conditionalFormatting>
  <conditionalFormatting sqref="BB220:BB221 BB237:BB243 BB203 BB231:BB235 BB212:BB213 BB225:BB226">
    <cfRule type="cellIs" dxfId="8491" priority="3795" operator="lessThan">
      <formula>0</formula>
    </cfRule>
    <cfRule type="cellIs" dxfId="8490" priority="3796" operator="lessThan">
      <formula>-105575</formula>
    </cfRule>
  </conditionalFormatting>
  <conditionalFormatting sqref="BB220:BB221 BB237:BB240 BB242:BB243 BB225:BB226 BB231:BB235">
    <cfRule type="cellIs" dxfId="8489" priority="3793" operator="lessThan">
      <formula>0</formula>
    </cfRule>
    <cfRule type="cellIs" dxfId="8488" priority="3794" operator="lessThan">
      <formula>-105575</formula>
    </cfRule>
  </conditionalFormatting>
  <conditionalFormatting sqref="BB212 BB231 BB233:BB238 BB240:BB243 BB225">
    <cfRule type="cellIs" dxfId="8487" priority="3791" operator="lessThan">
      <formula>0</formula>
    </cfRule>
    <cfRule type="cellIs" dxfId="8486" priority="3792" operator="lessThan">
      <formula>-105575</formula>
    </cfRule>
  </conditionalFormatting>
  <conditionalFormatting sqref="BB237:BB243 BB231:BB235 BB220:BB221 BB225:BB226">
    <cfRule type="cellIs" dxfId="8485" priority="3789" operator="lessThan">
      <formula>0</formula>
    </cfRule>
    <cfRule type="cellIs" dxfId="8484" priority="3790" operator="lessThan">
      <formula>-105575</formula>
    </cfRule>
  </conditionalFormatting>
  <conditionalFormatting sqref="BB233:BB237 BB231 BB239:BB243">
    <cfRule type="cellIs" dxfId="8483" priority="3787" operator="lessThan">
      <formula>0</formula>
    </cfRule>
    <cfRule type="cellIs" dxfId="8482" priority="3788" operator="lessThan">
      <formula>-105575</formula>
    </cfRule>
  </conditionalFormatting>
  <conditionalFormatting sqref="BB233:BB237 BB231 BB239:BB243">
    <cfRule type="cellIs" dxfId="8481" priority="3785" operator="lessThan">
      <formula>0</formula>
    </cfRule>
    <cfRule type="cellIs" dxfId="8480" priority="3786" operator="lessThan">
      <formula>-105575</formula>
    </cfRule>
  </conditionalFormatting>
  <conditionalFormatting sqref="BB119:BB128 BB106:BB117 BB101:BB104 BB80:BB98">
    <cfRule type="cellIs" dxfId="8479" priority="3783" operator="lessThan">
      <formula>0</formula>
    </cfRule>
    <cfRule type="cellIs" dxfId="8478" priority="3784" operator="lessThan">
      <formula>-105575</formula>
    </cfRule>
  </conditionalFormatting>
  <conditionalFormatting sqref="BB130 BB132 BB134">
    <cfRule type="cellIs" dxfId="8477" priority="3781" operator="lessThan">
      <formula>0</formula>
    </cfRule>
    <cfRule type="cellIs" dxfId="8476" priority="3782" operator="lessThan">
      <formula>-105575</formula>
    </cfRule>
  </conditionalFormatting>
  <conditionalFormatting sqref="BB130 BB132 BB134">
    <cfRule type="cellIs" dxfId="8475" priority="3779" operator="lessThan">
      <formula>0</formula>
    </cfRule>
    <cfRule type="cellIs" dxfId="8474" priority="3780" operator="lessThan">
      <formula>-105575</formula>
    </cfRule>
  </conditionalFormatting>
  <conditionalFormatting sqref="BB129 BB131 BB133 BB135">
    <cfRule type="cellIs" dxfId="8473" priority="3777" operator="lessThan">
      <formula>0</formula>
    </cfRule>
    <cfRule type="cellIs" dxfId="8472" priority="3778" operator="lessThan">
      <formula>-105575</formula>
    </cfRule>
  </conditionalFormatting>
  <conditionalFormatting sqref="BB140 BB145 BB142:BB143 BB137:BB138">
    <cfRule type="cellIs" dxfId="8471" priority="3775" operator="lessThan">
      <formula>0</formula>
    </cfRule>
    <cfRule type="cellIs" dxfId="8470" priority="3776" operator="lessThan">
      <formula>-105575</formula>
    </cfRule>
  </conditionalFormatting>
  <conditionalFormatting sqref="BB149">
    <cfRule type="cellIs" dxfId="8469" priority="3773" operator="lessThan">
      <formula>0</formula>
    </cfRule>
    <cfRule type="cellIs" dxfId="8468" priority="3774" operator="lessThan">
      <formula>-105575</formula>
    </cfRule>
  </conditionalFormatting>
  <conditionalFormatting sqref="BB129:BB138 BB140:BB149">
    <cfRule type="cellIs" dxfId="8467" priority="3771" operator="lessThan">
      <formula>0</formula>
    </cfRule>
    <cfRule type="cellIs" dxfId="8466" priority="3772" operator="lessThan">
      <formula>-105575</formula>
    </cfRule>
  </conditionalFormatting>
  <conditionalFormatting sqref="BB94:BB98 BB86:BB87 BB89:BB91 BB141:BB149 BB124:BB133 BB107:BB110 BB112:BB117 BB119:BB122 BB135:BB138 BB101:BB104 BB80:BB84">
    <cfRule type="cellIs" dxfId="8465" priority="3769" operator="lessThan">
      <formula>0</formula>
    </cfRule>
    <cfRule type="cellIs" dxfId="8464" priority="3770" operator="lessThan">
      <formula>-105575</formula>
    </cfRule>
  </conditionalFormatting>
  <conditionalFormatting sqref="BB129 BB131 BB133 BB135">
    <cfRule type="cellIs" dxfId="8463" priority="3767" operator="lessThan">
      <formula>0</formula>
    </cfRule>
    <cfRule type="cellIs" dxfId="8462" priority="3768" operator="lessThan">
      <formula>-105575</formula>
    </cfRule>
  </conditionalFormatting>
  <conditionalFormatting sqref="BB146 BB144 BB141">
    <cfRule type="cellIs" dxfId="8461" priority="3765" operator="lessThan">
      <formula>0</formula>
    </cfRule>
    <cfRule type="cellIs" dxfId="8460" priority="3766" operator="lessThan">
      <formula>-105575</formula>
    </cfRule>
  </conditionalFormatting>
  <conditionalFormatting sqref="BB146 BB144 BB141">
    <cfRule type="cellIs" dxfId="8459" priority="3763" operator="lessThan">
      <formula>0</formula>
    </cfRule>
    <cfRule type="cellIs" dxfId="8458" priority="3764" operator="lessThan">
      <formula>-105575</formula>
    </cfRule>
  </conditionalFormatting>
  <conditionalFormatting sqref="BB140 BB145 BB142:BB143 BB137:BB138">
    <cfRule type="cellIs" dxfId="8457" priority="3761" operator="lessThan">
      <formula>0</formula>
    </cfRule>
    <cfRule type="cellIs" dxfId="8456" priority="3762" operator="lessThan">
      <formula>-105575</formula>
    </cfRule>
  </conditionalFormatting>
  <conditionalFormatting sqref="BB149">
    <cfRule type="cellIs" dxfId="8455" priority="3759" operator="lessThan">
      <formula>0</formula>
    </cfRule>
    <cfRule type="cellIs" dxfId="8454" priority="3760" operator="lessThan">
      <formula>-105575</formula>
    </cfRule>
  </conditionalFormatting>
  <conditionalFormatting sqref="BB94:BB98 BB86:BB87 BB89:BB91 BB141:BB149 BB124:BB133 BB107:BB110 BB112:BB117 BB119:BB122 BB135:BB138 BB101:BB104 BB80:BB84">
    <cfRule type="cellIs" dxfId="8453" priority="3757" operator="lessThan">
      <formula>0</formula>
    </cfRule>
    <cfRule type="cellIs" dxfId="8452" priority="3758" operator="lessThan">
      <formula>-105575</formula>
    </cfRule>
  </conditionalFormatting>
  <conditionalFormatting sqref="BB246:BB249 BB262 BB267 BB279:BB282 BB285:BB288 BB274:BB275 BB306:BB309 BB311:BB325 BB327:BB330 BB332:BB341 BB344:BB347 BB349:BB353 BB355:BB358 BB360:BB384 BB386:BB389 BB392:BB395 BB397:BB411 BB413:BB416 BB418:BB432 BB434:BB437 BB439:BB453 BB455:BB458 BB460:BB469 BB7:BB10 BB12:BB14 BB17:BB18 BB21:BB24 BB26:BB28 BB30:BB36 BB38 BB41:BB43 BB46:BB49 BB51:BB55 BB57:BB59 BB62:BB76 BB251:BB253 BB255:BB257 BB293:BB304 BB264:BB265 BB260 BB290:BB291 BB270:BB272">
    <cfRule type="cellIs" dxfId="8451" priority="3755" operator="lessThan">
      <formula>0</formula>
    </cfRule>
    <cfRule type="cellIs" dxfId="8450" priority="3756" operator="lessThan">
      <formula>-105575</formula>
    </cfRule>
  </conditionalFormatting>
  <conditionalFormatting sqref="BB41">
    <cfRule type="cellIs" dxfId="8449" priority="3753" operator="lessThan">
      <formula>0</formula>
    </cfRule>
    <cfRule type="cellIs" dxfId="8448" priority="3754" operator="lessThan">
      <formula>-105575</formula>
    </cfRule>
  </conditionalFormatting>
  <conditionalFormatting sqref="BB152:BB155">
    <cfRule type="cellIs" dxfId="8447" priority="3751" operator="lessThan">
      <formula>0</formula>
    </cfRule>
    <cfRule type="cellIs" dxfId="8446" priority="3752" operator="lessThan">
      <formula>-105575</formula>
    </cfRule>
  </conditionalFormatting>
  <conditionalFormatting sqref="BB152:BB155">
    <cfRule type="cellIs" dxfId="8445" priority="3749" operator="lessThan">
      <formula>0</formula>
    </cfRule>
    <cfRule type="cellIs" dxfId="8444" priority="3750" operator="lessThan">
      <formula>-105575</formula>
    </cfRule>
  </conditionalFormatting>
  <conditionalFormatting sqref="BB152:BB155">
    <cfRule type="cellIs" dxfId="8443" priority="3747" operator="lessThan">
      <formula>0</formula>
    </cfRule>
    <cfRule type="cellIs" dxfId="8442" priority="3748" operator="lessThan">
      <formula>-105575</formula>
    </cfRule>
  </conditionalFormatting>
  <conditionalFormatting sqref="BB157:BB158">
    <cfRule type="cellIs" dxfId="8441" priority="3745" operator="lessThan">
      <formula>0</formula>
    </cfRule>
    <cfRule type="cellIs" dxfId="8440" priority="3746" operator="lessThan">
      <formula>-105575</formula>
    </cfRule>
  </conditionalFormatting>
  <conditionalFormatting sqref="BB157:BB158">
    <cfRule type="cellIs" dxfId="8439" priority="3743" operator="lessThan">
      <formula>0</formula>
    </cfRule>
    <cfRule type="cellIs" dxfId="8438" priority="3744" operator="lessThan">
      <formula>-105575</formula>
    </cfRule>
  </conditionalFormatting>
  <conditionalFormatting sqref="BB157:BB158">
    <cfRule type="cellIs" dxfId="8437" priority="3741" operator="lessThan">
      <formula>0</formula>
    </cfRule>
    <cfRule type="cellIs" dxfId="8436" priority="3742" operator="lessThan">
      <formula>-105575</formula>
    </cfRule>
  </conditionalFormatting>
  <conditionalFormatting sqref="BB160:BB161">
    <cfRule type="cellIs" dxfId="8435" priority="3739" operator="lessThan">
      <formula>0</formula>
    </cfRule>
    <cfRule type="cellIs" dxfId="8434" priority="3740" operator="lessThan">
      <formula>-105575</formula>
    </cfRule>
  </conditionalFormatting>
  <conditionalFormatting sqref="BB160:BB161">
    <cfRule type="cellIs" dxfId="8433" priority="3737" operator="lessThan">
      <formula>0</formula>
    </cfRule>
    <cfRule type="cellIs" dxfId="8432" priority="3738" operator="lessThan">
      <formula>-105575</formula>
    </cfRule>
  </conditionalFormatting>
  <conditionalFormatting sqref="BB160:BB161">
    <cfRule type="cellIs" dxfId="8431" priority="3735" operator="lessThan">
      <formula>0</formula>
    </cfRule>
    <cfRule type="cellIs" dxfId="8430" priority="3736" operator="lessThan">
      <formula>-105575</formula>
    </cfRule>
  </conditionalFormatting>
  <conditionalFormatting sqref="BB164:BB167">
    <cfRule type="cellIs" dxfId="8429" priority="3733" operator="lessThan">
      <formula>0</formula>
    </cfRule>
    <cfRule type="cellIs" dxfId="8428" priority="3734" operator="lessThan">
      <formula>-105575</formula>
    </cfRule>
  </conditionalFormatting>
  <conditionalFormatting sqref="BB164:BB167">
    <cfRule type="cellIs" dxfId="8427" priority="3731" operator="lessThan">
      <formula>0</formula>
    </cfRule>
    <cfRule type="cellIs" dxfId="8426" priority="3732" operator="lessThan">
      <formula>-105575</formula>
    </cfRule>
  </conditionalFormatting>
  <conditionalFormatting sqref="BB164:BB167">
    <cfRule type="cellIs" dxfId="8425" priority="3729" operator="lessThan">
      <formula>0</formula>
    </cfRule>
    <cfRule type="cellIs" dxfId="8424" priority="3730" operator="lessThan">
      <formula>-105575</formula>
    </cfRule>
  </conditionalFormatting>
  <conditionalFormatting sqref="BB169:BB177">
    <cfRule type="cellIs" dxfId="8423" priority="3727" operator="lessThan">
      <formula>0</formula>
    </cfRule>
    <cfRule type="cellIs" dxfId="8422" priority="3728" operator="lessThan">
      <formula>-105575</formula>
    </cfRule>
  </conditionalFormatting>
  <conditionalFormatting sqref="BB169:BB177">
    <cfRule type="cellIs" dxfId="8421" priority="3725" operator="lessThan">
      <formula>0</formula>
    </cfRule>
    <cfRule type="cellIs" dxfId="8420" priority="3726" operator="lessThan">
      <formula>-105575</formula>
    </cfRule>
  </conditionalFormatting>
  <conditionalFormatting sqref="BB169:BB177">
    <cfRule type="cellIs" dxfId="8419" priority="3723" operator="lessThan">
      <formula>0</formula>
    </cfRule>
    <cfRule type="cellIs" dxfId="8418" priority="3724" operator="lessThan">
      <formula>-105575</formula>
    </cfRule>
  </conditionalFormatting>
  <conditionalFormatting sqref="BB179:BB180">
    <cfRule type="cellIs" dxfId="8417" priority="3721" operator="lessThan">
      <formula>0</formula>
    </cfRule>
    <cfRule type="cellIs" dxfId="8416" priority="3722" operator="lessThan">
      <formula>-105575</formula>
    </cfRule>
  </conditionalFormatting>
  <conditionalFormatting sqref="BB179:BB180">
    <cfRule type="cellIs" dxfId="8415" priority="3719" operator="lessThan">
      <formula>0</formula>
    </cfRule>
    <cfRule type="cellIs" dxfId="8414" priority="3720" operator="lessThan">
      <formula>-105575</formula>
    </cfRule>
  </conditionalFormatting>
  <conditionalFormatting sqref="BB179:BB180">
    <cfRule type="cellIs" dxfId="8413" priority="3717" operator="lessThan">
      <formula>0</formula>
    </cfRule>
    <cfRule type="cellIs" dxfId="8412" priority="3718" operator="lessThan">
      <formula>-105575</formula>
    </cfRule>
  </conditionalFormatting>
  <conditionalFormatting sqref="BB183:BB189">
    <cfRule type="cellIs" dxfId="8411" priority="3715" operator="lessThan">
      <formula>0</formula>
    </cfRule>
    <cfRule type="cellIs" dxfId="8410" priority="3716" operator="lessThan">
      <formula>-105575</formula>
    </cfRule>
  </conditionalFormatting>
  <conditionalFormatting sqref="BB183:BB189">
    <cfRule type="cellIs" dxfId="8409" priority="3713" operator="lessThan">
      <formula>0</formula>
    </cfRule>
    <cfRule type="cellIs" dxfId="8408" priority="3714" operator="lessThan">
      <formula>-105575</formula>
    </cfRule>
  </conditionalFormatting>
  <conditionalFormatting sqref="BB183:BB189">
    <cfRule type="cellIs" dxfId="8407" priority="3711" operator="lessThan">
      <formula>0</formula>
    </cfRule>
    <cfRule type="cellIs" dxfId="8406" priority="3712" operator="lessThan">
      <formula>-105575</formula>
    </cfRule>
  </conditionalFormatting>
  <conditionalFormatting sqref="BB191:BB192">
    <cfRule type="cellIs" dxfId="8405" priority="3709" operator="lessThan">
      <formula>0</formula>
    </cfRule>
    <cfRule type="cellIs" dxfId="8404" priority="3710" operator="lessThan">
      <formula>-105575</formula>
    </cfRule>
  </conditionalFormatting>
  <conditionalFormatting sqref="BB191:BB192">
    <cfRule type="cellIs" dxfId="8403" priority="3707" operator="lessThan">
      <formula>0</formula>
    </cfRule>
    <cfRule type="cellIs" dxfId="8402" priority="3708" operator="lessThan">
      <formula>-105575</formula>
    </cfRule>
  </conditionalFormatting>
  <conditionalFormatting sqref="BB191:BB192">
    <cfRule type="cellIs" dxfId="8401" priority="3705" operator="lessThan">
      <formula>0</formula>
    </cfRule>
    <cfRule type="cellIs" dxfId="8400" priority="3706" operator="lessThan">
      <formula>-105575</formula>
    </cfRule>
  </conditionalFormatting>
  <conditionalFormatting sqref="BB194:BB195">
    <cfRule type="cellIs" dxfId="8399" priority="3703" operator="lessThan">
      <formula>0</formula>
    </cfRule>
    <cfRule type="cellIs" dxfId="8398" priority="3704" operator="lessThan">
      <formula>-105575</formula>
    </cfRule>
  </conditionalFormatting>
  <conditionalFormatting sqref="BB194:BB195">
    <cfRule type="cellIs" dxfId="8397" priority="3701" operator="lessThan">
      <formula>0</formula>
    </cfRule>
    <cfRule type="cellIs" dxfId="8396" priority="3702" operator="lessThan">
      <formula>-105575</formula>
    </cfRule>
  </conditionalFormatting>
  <conditionalFormatting sqref="BB194:BB195">
    <cfRule type="cellIs" dxfId="8395" priority="3699" operator="lessThan">
      <formula>0</formula>
    </cfRule>
    <cfRule type="cellIs" dxfId="8394" priority="3700" operator="lessThan">
      <formula>-105575</formula>
    </cfRule>
  </conditionalFormatting>
  <conditionalFormatting sqref="BB199:BB202">
    <cfRule type="cellIs" dxfId="8393" priority="3697" operator="lessThan">
      <formula>0</formula>
    </cfRule>
    <cfRule type="cellIs" dxfId="8392" priority="3698" operator="lessThan">
      <formula>-105575</formula>
    </cfRule>
  </conditionalFormatting>
  <conditionalFormatting sqref="BB199:BB202">
    <cfRule type="cellIs" dxfId="8391" priority="3695" operator="lessThan">
      <formula>0</formula>
    </cfRule>
    <cfRule type="cellIs" dxfId="8390" priority="3696" operator="lessThan">
      <formula>-105575</formula>
    </cfRule>
  </conditionalFormatting>
  <conditionalFormatting sqref="BB199:BB202">
    <cfRule type="cellIs" dxfId="8389" priority="3693" operator="lessThan">
      <formula>0</formula>
    </cfRule>
    <cfRule type="cellIs" dxfId="8388" priority="3694" operator="lessThan">
      <formula>-105575</formula>
    </cfRule>
  </conditionalFormatting>
  <conditionalFormatting sqref="BB204:BB208">
    <cfRule type="cellIs" dxfId="8387" priority="3691" operator="lessThan">
      <formula>0</formula>
    </cfRule>
    <cfRule type="cellIs" dxfId="8386" priority="3692" operator="lessThan">
      <formula>-105575</formula>
    </cfRule>
  </conditionalFormatting>
  <conditionalFormatting sqref="BB204:BB208">
    <cfRule type="cellIs" dxfId="8385" priority="3689" operator="lessThan">
      <formula>0</formula>
    </cfRule>
    <cfRule type="cellIs" dxfId="8384" priority="3690" operator="lessThan">
      <formula>-105575</formula>
    </cfRule>
  </conditionalFormatting>
  <conditionalFormatting sqref="BB204:BB208">
    <cfRule type="cellIs" dxfId="8383" priority="3687" operator="lessThan">
      <formula>0</formula>
    </cfRule>
    <cfRule type="cellIs" dxfId="8382" priority="3688" operator="lessThan">
      <formula>-105575</formula>
    </cfRule>
  </conditionalFormatting>
  <conditionalFormatting sqref="BB210:BB211">
    <cfRule type="cellIs" dxfId="8381" priority="3685" operator="lessThan">
      <formula>0</formula>
    </cfRule>
    <cfRule type="cellIs" dxfId="8380" priority="3686" operator="lessThan">
      <formula>-105575</formula>
    </cfRule>
  </conditionalFormatting>
  <conditionalFormatting sqref="BB210:BB211">
    <cfRule type="cellIs" dxfId="8379" priority="3683" operator="lessThan">
      <formula>0</formula>
    </cfRule>
    <cfRule type="cellIs" dxfId="8378" priority="3684" operator="lessThan">
      <formula>-105575</formula>
    </cfRule>
  </conditionalFormatting>
  <conditionalFormatting sqref="BB210:BB211">
    <cfRule type="cellIs" dxfId="8377" priority="3681" operator="lessThan">
      <formula>0</formula>
    </cfRule>
    <cfRule type="cellIs" dxfId="8376" priority="3682" operator="lessThan">
      <formula>-105575</formula>
    </cfRule>
  </conditionalFormatting>
  <conditionalFormatting sqref="BB214:BB219">
    <cfRule type="cellIs" dxfId="8375" priority="3679" operator="lessThan">
      <formula>0</formula>
    </cfRule>
    <cfRule type="cellIs" dxfId="8374" priority="3680" operator="lessThan">
      <formula>-105575</formula>
    </cfRule>
  </conditionalFormatting>
  <conditionalFormatting sqref="BB214:BB219">
    <cfRule type="cellIs" dxfId="8373" priority="3677" operator="lessThan">
      <formula>0</formula>
    </cfRule>
    <cfRule type="cellIs" dxfId="8372" priority="3678" operator="lessThan">
      <formula>-105575</formula>
    </cfRule>
  </conditionalFormatting>
  <conditionalFormatting sqref="BB214:BB219">
    <cfRule type="cellIs" dxfId="8371" priority="3675" operator="lessThan">
      <formula>0</formula>
    </cfRule>
    <cfRule type="cellIs" dxfId="8370" priority="3676" operator="lessThan">
      <formula>-105575</formula>
    </cfRule>
  </conditionalFormatting>
  <conditionalFormatting sqref="BB222:BB224">
    <cfRule type="cellIs" dxfId="8369" priority="3673" operator="lessThan">
      <formula>0</formula>
    </cfRule>
    <cfRule type="cellIs" dxfId="8368" priority="3674" operator="lessThan">
      <formula>-105575</formula>
    </cfRule>
  </conditionalFormatting>
  <conditionalFormatting sqref="BB222:BB224">
    <cfRule type="cellIs" dxfId="8367" priority="3671" operator="lessThan">
      <formula>0</formula>
    </cfRule>
    <cfRule type="cellIs" dxfId="8366" priority="3672" operator="lessThan">
      <formula>-105575</formula>
    </cfRule>
  </conditionalFormatting>
  <conditionalFormatting sqref="BB222:BB224">
    <cfRule type="cellIs" dxfId="8365" priority="3669" operator="lessThan">
      <formula>0</formula>
    </cfRule>
    <cfRule type="cellIs" dxfId="8364" priority="3670" operator="lessThan">
      <formula>-105575</formula>
    </cfRule>
  </conditionalFormatting>
  <conditionalFormatting sqref="BB227:BB230">
    <cfRule type="cellIs" dxfId="8363" priority="3667" operator="lessThan">
      <formula>0</formula>
    </cfRule>
    <cfRule type="cellIs" dxfId="8362" priority="3668" operator="lessThan">
      <formula>-105575</formula>
    </cfRule>
  </conditionalFormatting>
  <conditionalFormatting sqref="BB227:BB230">
    <cfRule type="cellIs" dxfId="8361" priority="3665" operator="lessThan">
      <formula>0</formula>
    </cfRule>
    <cfRule type="cellIs" dxfId="8360" priority="3666" operator="lessThan">
      <formula>-105575</formula>
    </cfRule>
  </conditionalFormatting>
  <conditionalFormatting sqref="BB227:BB230">
    <cfRule type="cellIs" dxfId="8359" priority="3663" operator="lessThan">
      <formula>0</formula>
    </cfRule>
    <cfRule type="cellIs" dxfId="8358" priority="3664" operator="lessThan">
      <formula>-105575</formula>
    </cfRule>
  </conditionalFormatting>
  <conditionalFormatting sqref="BB203 BB220:BB221 BB235:BB243 BB231:BB233 BB212:BB213 BB225:BB226">
    <cfRule type="cellIs" dxfId="8357" priority="3661" operator="lessThan">
      <formula>0</formula>
    </cfRule>
    <cfRule type="cellIs" dxfId="8356" priority="3662" operator="lessThan">
      <formula>-105575</formula>
    </cfRule>
  </conditionalFormatting>
  <conditionalFormatting sqref="BB220 BB212:BB213 BB235:BB238 BB240:BB243 BB225:BB226 BB231:BB233">
    <cfRule type="cellIs" dxfId="8355" priority="3659" operator="lessThan">
      <formula>0</formula>
    </cfRule>
    <cfRule type="cellIs" dxfId="8354" priority="3660" operator="lessThan">
      <formula>-105575</formula>
    </cfRule>
  </conditionalFormatting>
  <conditionalFormatting sqref="BB220:BB221 BB243 BB226 BB231:BB236 BB238:BB241 BB203 BB213">
    <cfRule type="cellIs" dxfId="8353" priority="3657" operator="lessThan">
      <formula>0</formula>
    </cfRule>
    <cfRule type="cellIs" dxfId="8352" priority="3658" operator="lessThan">
      <formula>-105575</formula>
    </cfRule>
  </conditionalFormatting>
  <conditionalFormatting sqref="BB235:BB243 BB231:BB233 BB220 BB212:BB213 BB225:BB226">
    <cfRule type="cellIs" dxfId="8351" priority="3655" operator="lessThan">
      <formula>0</formula>
    </cfRule>
    <cfRule type="cellIs" dxfId="8350" priority="3656" operator="lessThan">
      <formula>-105575</formula>
    </cfRule>
  </conditionalFormatting>
  <conditionalFormatting sqref="BB220:BB221 BB237:BB243 BB203 BB231:BB235 BB212:BB213 BB225:BB226">
    <cfRule type="cellIs" dxfId="8349" priority="3653" operator="lessThan">
      <formula>0</formula>
    </cfRule>
    <cfRule type="cellIs" dxfId="8348" priority="3654" operator="lessThan">
      <formula>-105575</formula>
    </cfRule>
  </conditionalFormatting>
  <conditionalFormatting sqref="BB220:BB221 BB237:BB240 BB242:BB243 BB225:BB226 BB231:BB235">
    <cfRule type="cellIs" dxfId="8347" priority="3651" operator="lessThan">
      <formula>0</formula>
    </cfRule>
    <cfRule type="cellIs" dxfId="8346" priority="3652" operator="lessThan">
      <formula>-105575</formula>
    </cfRule>
  </conditionalFormatting>
  <conditionalFormatting sqref="BB212 BB231 BB233:BB238 BB240:BB243 BB225">
    <cfRule type="cellIs" dxfId="8345" priority="3649" operator="lessThan">
      <formula>0</formula>
    </cfRule>
    <cfRule type="cellIs" dxfId="8344" priority="3650" operator="lessThan">
      <formula>-105575</formula>
    </cfRule>
  </conditionalFormatting>
  <conditionalFormatting sqref="BB237:BB243 BB231:BB235 BB220:BB221 BB225:BB226">
    <cfRule type="cellIs" dxfId="8343" priority="3647" operator="lessThan">
      <formula>0</formula>
    </cfRule>
    <cfRule type="cellIs" dxfId="8342" priority="3648" operator="lessThan">
      <formula>-105575</formula>
    </cfRule>
  </conditionalFormatting>
  <conditionalFormatting sqref="BB233:BB237 BB231 BB239:BB243">
    <cfRule type="cellIs" dxfId="8341" priority="3645" operator="lessThan">
      <formula>0</formula>
    </cfRule>
    <cfRule type="cellIs" dxfId="8340" priority="3646" operator="lessThan">
      <formula>-105575</formula>
    </cfRule>
  </conditionalFormatting>
  <conditionalFormatting sqref="BB233:BB237 BB231 BB239:BB243">
    <cfRule type="cellIs" dxfId="8339" priority="3643" operator="lessThan">
      <formula>0</formula>
    </cfRule>
    <cfRule type="cellIs" dxfId="8338" priority="3644" operator="lessThan">
      <formula>-105575</formula>
    </cfRule>
  </conditionalFormatting>
  <conditionalFormatting sqref="BB119:BB128 BB106:BB117 BB101:BB104 BB80:BB98">
    <cfRule type="cellIs" dxfId="8337" priority="3641" operator="lessThan">
      <formula>0</formula>
    </cfRule>
    <cfRule type="cellIs" dxfId="8336" priority="3642" operator="lessThan">
      <formula>-105575</formula>
    </cfRule>
  </conditionalFormatting>
  <conditionalFormatting sqref="BB130 BB132 BB134">
    <cfRule type="cellIs" dxfId="8335" priority="3639" operator="lessThan">
      <formula>0</formula>
    </cfRule>
    <cfRule type="cellIs" dxfId="8334" priority="3640" operator="lessThan">
      <formula>-105575</formula>
    </cfRule>
  </conditionalFormatting>
  <conditionalFormatting sqref="BB130 BB132 BB134">
    <cfRule type="cellIs" dxfId="8333" priority="3637" operator="lessThan">
      <formula>0</formula>
    </cfRule>
    <cfRule type="cellIs" dxfId="8332" priority="3638" operator="lessThan">
      <formula>-105575</formula>
    </cfRule>
  </conditionalFormatting>
  <conditionalFormatting sqref="BB129 BB131 BB133 BB135">
    <cfRule type="cellIs" dxfId="8331" priority="3635" operator="lessThan">
      <formula>0</formula>
    </cfRule>
    <cfRule type="cellIs" dxfId="8330" priority="3636" operator="lessThan">
      <formula>-105575</formula>
    </cfRule>
  </conditionalFormatting>
  <conditionalFormatting sqref="BB140 BB145 BB142:BB143 BB137:BB138">
    <cfRule type="cellIs" dxfId="8329" priority="3633" operator="lessThan">
      <formula>0</formula>
    </cfRule>
    <cfRule type="cellIs" dxfId="8328" priority="3634" operator="lessThan">
      <formula>-105575</formula>
    </cfRule>
  </conditionalFormatting>
  <conditionalFormatting sqref="BB149">
    <cfRule type="cellIs" dxfId="8327" priority="3631" operator="lessThan">
      <formula>0</formula>
    </cfRule>
    <cfRule type="cellIs" dxfId="8326" priority="3632" operator="lessThan">
      <formula>-105575</formula>
    </cfRule>
  </conditionalFormatting>
  <conditionalFormatting sqref="BB129:BB138 BB140:BB149">
    <cfRule type="cellIs" dxfId="8325" priority="3629" operator="lessThan">
      <formula>0</formula>
    </cfRule>
    <cfRule type="cellIs" dxfId="8324" priority="3630" operator="lessThan">
      <formula>-105575</formula>
    </cfRule>
  </conditionalFormatting>
  <conditionalFormatting sqref="BB94:BB98 BB86:BB87 BB89:BB91 BB141:BB149 BB124:BB133 BB107:BB110 BB112:BB117 BB119:BB122 BB135:BB138 BB101:BB104 BB80:BB84">
    <cfRule type="cellIs" dxfId="8323" priority="3627" operator="lessThan">
      <formula>0</formula>
    </cfRule>
    <cfRule type="cellIs" dxfId="8322" priority="3628" operator="lessThan">
      <formula>-105575</formula>
    </cfRule>
  </conditionalFormatting>
  <conditionalFormatting sqref="BB129 BB131 BB133 BB135">
    <cfRule type="cellIs" dxfId="8321" priority="3625" operator="lessThan">
      <formula>0</formula>
    </cfRule>
    <cfRule type="cellIs" dxfId="8320" priority="3626" operator="lessThan">
      <formula>-105575</formula>
    </cfRule>
  </conditionalFormatting>
  <conditionalFormatting sqref="BB146 BB144 BB141">
    <cfRule type="cellIs" dxfId="8319" priority="3623" operator="lessThan">
      <formula>0</formula>
    </cfRule>
    <cfRule type="cellIs" dxfId="8318" priority="3624" operator="lessThan">
      <formula>-105575</formula>
    </cfRule>
  </conditionalFormatting>
  <conditionalFormatting sqref="BB146 BB144 BB141">
    <cfRule type="cellIs" dxfId="8317" priority="3621" operator="lessThan">
      <formula>0</formula>
    </cfRule>
    <cfRule type="cellIs" dxfId="8316" priority="3622" operator="lessThan">
      <formula>-105575</formula>
    </cfRule>
  </conditionalFormatting>
  <conditionalFormatting sqref="BB140 BB145 BB142:BB143 BB137:BB138">
    <cfRule type="cellIs" dxfId="8315" priority="3619" operator="lessThan">
      <formula>0</formula>
    </cfRule>
    <cfRule type="cellIs" dxfId="8314" priority="3620" operator="lessThan">
      <formula>-105575</formula>
    </cfRule>
  </conditionalFormatting>
  <conditionalFormatting sqref="BB149">
    <cfRule type="cellIs" dxfId="8313" priority="3617" operator="lessThan">
      <formula>0</formula>
    </cfRule>
    <cfRule type="cellIs" dxfId="8312" priority="3618" operator="lessThan">
      <formula>-105575</formula>
    </cfRule>
  </conditionalFormatting>
  <conditionalFormatting sqref="BB94:BB98 BB86:BB87 BB89:BB91 BB141:BB149 BB124:BB133 BB107:BB110 BB112:BB117 BB119:BB122 BB135:BB138 BB101:BB104 BB80:BB84">
    <cfRule type="cellIs" dxfId="8311" priority="3615" operator="lessThan">
      <formula>0</formula>
    </cfRule>
    <cfRule type="cellIs" dxfId="8310" priority="3616" operator="lessThan">
      <formula>-105575</formula>
    </cfRule>
  </conditionalFormatting>
  <conditionalFormatting sqref="BB62:BB76 BB306:BB309 BB311:BB325 BB327:BB330 BB332:BB341 BB344:BB347 BB349:BB353 BB355:BB358 BB360:BB384 BB386:BB389 BB392:BB395 BB397:BB411 BB413:BB416 BB418:BB432 BB434:BB437 BB439:BB453 BB455:BB458 BB460:BB469 BB7:BB10 BB12:BB14 BB17:BB18 BB21:BB24 BB26:BB28 BB30:BB36 BB38 BB41:BB43 BB46:BB49 BB51:BB55 BB57:BB59 BB290:BB291 BB293:BB304">
    <cfRule type="cellIs" dxfId="8309" priority="3613" operator="lessThan">
      <formula>0</formula>
    </cfRule>
    <cfRule type="cellIs" dxfId="8308" priority="3614" operator="lessThan">
      <formula>-105575</formula>
    </cfRule>
  </conditionalFormatting>
  <conditionalFormatting sqref="BB41">
    <cfRule type="cellIs" dxfId="8307" priority="3611" operator="lessThan">
      <formula>0</formula>
    </cfRule>
    <cfRule type="cellIs" dxfId="8306" priority="3612" operator="lessThan">
      <formula>-105575</formula>
    </cfRule>
  </conditionalFormatting>
  <conditionalFormatting sqref="BB152:BB155">
    <cfRule type="cellIs" dxfId="8305" priority="3609" operator="lessThan">
      <formula>0</formula>
    </cfRule>
    <cfRule type="cellIs" dxfId="8304" priority="3610" operator="lessThan">
      <formula>-105575</formula>
    </cfRule>
  </conditionalFormatting>
  <conditionalFormatting sqref="BB152:BB155">
    <cfRule type="cellIs" dxfId="8303" priority="3607" operator="lessThan">
      <formula>0</formula>
    </cfRule>
    <cfRule type="cellIs" dxfId="8302" priority="3608" operator="lessThan">
      <formula>-105575</formula>
    </cfRule>
  </conditionalFormatting>
  <conditionalFormatting sqref="BB152:BB155">
    <cfRule type="cellIs" dxfId="8301" priority="3605" operator="lessThan">
      <formula>0</formula>
    </cfRule>
    <cfRule type="cellIs" dxfId="8300" priority="3606" operator="lessThan">
      <formula>-105575</formula>
    </cfRule>
  </conditionalFormatting>
  <conditionalFormatting sqref="BB157:BB158">
    <cfRule type="cellIs" dxfId="8299" priority="3603" operator="lessThan">
      <formula>0</formula>
    </cfRule>
    <cfRule type="cellIs" dxfId="8298" priority="3604" operator="lessThan">
      <formula>-105575</formula>
    </cfRule>
  </conditionalFormatting>
  <conditionalFormatting sqref="BB157:BB158">
    <cfRule type="cellIs" dxfId="8297" priority="3601" operator="lessThan">
      <formula>0</formula>
    </cfRule>
    <cfRule type="cellIs" dxfId="8296" priority="3602" operator="lessThan">
      <formula>-105575</formula>
    </cfRule>
  </conditionalFormatting>
  <conditionalFormatting sqref="BB157:BB158">
    <cfRule type="cellIs" dxfId="8295" priority="3599" operator="lessThan">
      <formula>0</formula>
    </cfRule>
    <cfRule type="cellIs" dxfId="8294" priority="3600" operator="lessThan">
      <formula>-105575</formula>
    </cfRule>
  </conditionalFormatting>
  <conditionalFormatting sqref="BB160:BB161">
    <cfRule type="cellIs" dxfId="8293" priority="3597" operator="lessThan">
      <formula>0</formula>
    </cfRule>
    <cfRule type="cellIs" dxfId="8292" priority="3598" operator="lessThan">
      <formula>-105575</formula>
    </cfRule>
  </conditionalFormatting>
  <conditionalFormatting sqref="BB160:BB161">
    <cfRule type="cellIs" dxfId="8291" priority="3595" operator="lessThan">
      <formula>0</formula>
    </cfRule>
    <cfRule type="cellIs" dxfId="8290" priority="3596" operator="lessThan">
      <formula>-105575</formula>
    </cfRule>
  </conditionalFormatting>
  <conditionalFormatting sqref="BB160:BB161">
    <cfRule type="cellIs" dxfId="8289" priority="3593" operator="lessThan">
      <formula>0</formula>
    </cfRule>
    <cfRule type="cellIs" dxfId="8288" priority="3594" operator="lessThan">
      <formula>-105575</formula>
    </cfRule>
  </conditionalFormatting>
  <conditionalFormatting sqref="BB164:BB167">
    <cfRule type="cellIs" dxfId="8287" priority="3591" operator="lessThan">
      <formula>0</formula>
    </cfRule>
    <cfRule type="cellIs" dxfId="8286" priority="3592" operator="lessThan">
      <formula>-105575</formula>
    </cfRule>
  </conditionalFormatting>
  <conditionalFormatting sqref="BB164:BB167">
    <cfRule type="cellIs" dxfId="8285" priority="3589" operator="lessThan">
      <formula>0</formula>
    </cfRule>
    <cfRule type="cellIs" dxfId="8284" priority="3590" operator="lessThan">
      <formula>-105575</formula>
    </cfRule>
  </conditionalFormatting>
  <conditionalFormatting sqref="BB164:BB167">
    <cfRule type="cellIs" dxfId="8283" priority="3587" operator="lessThan">
      <formula>0</formula>
    </cfRule>
    <cfRule type="cellIs" dxfId="8282" priority="3588" operator="lessThan">
      <formula>-105575</formula>
    </cfRule>
  </conditionalFormatting>
  <conditionalFormatting sqref="BB169:BB177">
    <cfRule type="cellIs" dxfId="8281" priority="3585" operator="lessThan">
      <formula>0</formula>
    </cfRule>
    <cfRule type="cellIs" dxfId="8280" priority="3586" operator="lessThan">
      <formula>-105575</formula>
    </cfRule>
  </conditionalFormatting>
  <conditionalFormatting sqref="BB169:BB177">
    <cfRule type="cellIs" dxfId="8279" priority="3583" operator="lessThan">
      <formula>0</formula>
    </cfRule>
    <cfRule type="cellIs" dxfId="8278" priority="3584" operator="lessThan">
      <formula>-105575</formula>
    </cfRule>
  </conditionalFormatting>
  <conditionalFormatting sqref="BB169:BB177">
    <cfRule type="cellIs" dxfId="8277" priority="3581" operator="lessThan">
      <formula>0</formula>
    </cfRule>
    <cfRule type="cellIs" dxfId="8276" priority="3582" operator="lessThan">
      <formula>-105575</formula>
    </cfRule>
  </conditionalFormatting>
  <conditionalFormatting sqref="BB179:BB180">
    <cfRule type="cellIs" dxfId="8275" priority="3579" operator="lessThan">
      <formula>0</formula>
    </cfRule>
    <cfRule type="cellIs" dxfId="8274" priority="3580" operator="lessThan">
      <formula>-105575</formula>
    </cfRule>
  </conditionalFormatting>
  <conditionalFormatting sqref="BB179:BB180">
    <cfRule type="cellIs" dxfId="8273" priority="3577" operator="lessThan">
      <formula>0</formula>
    </cfRule>
    <cfRule type="cellIs" dxfId="8272" priority="3578" operator="lessThan">
      <formula>-105575</formula>
    </cfRule>
  </conditionalFormatting>
  <conditionalFormatting sqref="BB179:BB180">
    <cfRule type="cellIs" dxfId="8271" priority="3575" operator="lessThan">
      <formula>0</formula>
    </cfRule>
    <cfRule type="cellIs" dxfId="8270" priority="3576" operator="lessThan">
      <formula>-105575</formula>
    </cfRule>
  </conditionalFormatting>
  <conditionalFormatting sqref="BB183:BB189">
    <cfRule type="cellIs" dxfId="8269" priority="3573" operator="lessThan">
      <formula>0</formula>
    </cfRule>
    <cfRule type="cellIs" dxfId="8268" priority="3574" operator="lessThan">
      <formula>-105575</formula>
    </cfRule>
  </conditionalFormatting>
  <conditionalFormatting sqref="BB183:BB189">
    <cfRule type="cellIs" dxfId="8267" priority="3571" operator="lessThan">
      <formula>0</formula>
    </cfRule>
    <cfRule type="cellIs" dxfId="8266" priority="3572" operator="lessThan">
      <formula>-105575</formula>
    </cfRule>
  </conditionalFormatting>
  <conditionalFormatting sqref="BB183:BB189">
    <cfRule type="cellIs" dxfId="8265" priority="3569" operator="lessThan">
      <formula>0</formula>
    </cfRule>
    <cfRule type="cellIs" dxfId="8264" priority="3570" operator="lessThan">
      <formula>-105575</formula>
    </cfRule>
  </conditionalFormatting>
  <conditionalFormatting sqref="BB191:BB192">
    <cfRule type="cellIs" dxfId="8263" priority="3567" operator="lessThan">
      <formula>0</formula>
    </cfRule>
    <cfRule type="cellIs" dxfId="8262" priority="3568" operator="lessThan">
      <formula>-105575</formula>
    </cfRule>
  </conditionalFormatting>
  <conditionalFormatting sqref="BB191:BB192">
    <cfRule type="cellIs" dxfId="8261" priority="3565" operator="lessThan">
      <formula>0</formula>
    </cfRule>
    <cfRule type="cellIs" dxfId="8260" priority="3566" operator="lessThan">
      <formula>-105575</formula>
    </cfRule>
  </conditionalFormatting>
  <conditionalFormatting sqref="BB191:BB192">
    <cfRule type="cellIs" dxfId="8259" priority="3563" operator="lessThan">
      <formula>0</formula>
    </cfRule>
    <cfRule type="cellIs" dxfId="8258" priority="3564" operator="lessThan">
      <formula>-105575</formula>
    </cfRule>
  </conditionalFormatting>
  <conditionalFormatting sqref="BB194:BB195">
    <cfRule type="cellIs" dxfId="8257" priority="3561" operator="lessThan">
      <formula>0</formula>
    </cfRule>
    <cfRule type="cellIs" dxfId="8256" priority="3562" operator="lessThan">
      <formula>-105575</formula>
    </cfRule>
  </conditionalFormatting>
  <conditionalFormatting sqref="BB194:BB195">
    <cfRule type="cellIs" dxfId="8255" priority="3559" operator="lessThan">
      <formula>0</formula>
    </cfRule>
    <cfRule type="cellIs" dxfId="8254" priority="3560" operator="lessThan">
      <formula>-105575</formula>
    </cfRule>
  </conditionalFormatting>
  <conditionalFormatting sqref="BB194:BB195">
    <cfRule type="cellIs" dxfId="8253" priority="3557" operator="lessThan">
      <formula>0</formula>
    </cfRule>
    <cfRule type="cellIs" dxfId="8252" priority="3558" operator="lessThan">
      <formula>-105575</formula>
    </cfRule>
  </conditionalFormatting>
  <conditionalFormatting sqref="BB199:BB202">
    <cfRule type="cellIs" dxfId="8251" priority="3555" operator="lessThan">
      <formula>0</formula>
    </cfRule>
    <cfRule type="cellIs" dxfId="8250" priority="3556" operator="lessThan">
      <formula>-105575</formula>
    </cfRule>
  </conditionalFormatting>
  <conditionalFormatting sqref="BB199:BB202">
    <cfRule type="cellIs" dxfId="8249" priority="3553" operator="lessThan">
      <formula>0</formula>
    </cfRule>
    <cfRule type="cellIs" dxfId="8248" priority="3554" operator="lessThan">
      <formula>-105575</formula>
    </cfRule>
  </conditionalFormatting>
  <conditionalFormatting sqref="BB199:BB202">
    <cfRule type="cellIs" dxfId="8247" priority="3551" operator="lessThan">
      <formula>0</formula>
    </cfRule>
    <cfRule type="cellIs" dxfId="8246" priority="3552" operator="lessThan">
      <formula>-105575</formula>
    </cfRule>
  </conditionalFormatting>
  <conditionalFormatting sqref="BB204:BB208">
    <cfRule type="cellIs" dxfId="8245" priority="3549" operator="lessThan">
      <formula>0</formula>
    </cfRule>
    <cfRule type="cellIs" dxfId="8244" priority="3550" operator="lessThan">
      <formula>-105575</formula>
    </cfRule>
  </conditionalFormatting>
  <conditionalFormatting sqref="BB204:BB208">
    <cfRule type="cellIs" dxfId="8243" priority="3547" operator="lessThan">
      <formula>0</formula>
    </cfRule>
    <cfRule type="cellIs" dxfId="8242" priority="3548" operator="lessThan">
      <formula>-105575</formula>
    </cfRule>
  </conditionalFormatting>
  <conditionalFormatting sqref="BB204:BB208">
    <cfRule type="cellIs" dxfId="8241" priority="3545" operator="lessThan">
      <formula>0</formula>
    </cfRule>
    <cfRule type="cellIs" dxfId="8240" priority="3546" operator="lessThan">
      <formula>-105575</formula>
    </cfRule>
  </conditionalFormatting>
  <conditionalFormatting sqref="BB210:BB211">
    <cfRule type="cellIs" dxfId="8239" priority="3543" operator="lessThan">
      <formula>0</formula>
    </cfRule>
    <cfRule type="cellIs" dxfId="8238" priority="3544" operator="lessThan">
      <formula>-105575</formula>
    </cfRule>
  </conditionalFormatting>
  <conditionalFormatting sqref="BB210:BB211">
    <cfRule type="cellIs" dxfId="8237" priority="3541" operator="lessThan">
      <formula>0</formula>
    </cfRule>
    <cfRule type="cellIs" dxfId="8236" priority="3542" operator="lessThan">
      <formula>-105575</formula>
    </cfRule>
  </conditionalFormatting>
  <conditionalFormatting sqref="BB210:BB211">
    <cfRule type="cellIs" dxfId="8235" priority="3539" operator="lessThan">
      <formula>0</formula>
    </cfRule>
    <cfRule type="cellIs" dxfId="8234" priority="3540" operator="lessThan">
      <formula>-105575</formula>
    </cfRule>
  </conditionalFormatting>
  <conditionalFormatting sqref="BB214:BB219">
    <cfRule type="cellIs" dxfId="8233" priority="3537" operator="lessThan">
      <formula>0</formula>
    </cfRule>
    <cfRule type="cellIs" dxfId="8232" priority="3538" operator="lessThan">
      <formula>-105575</formula>
    </cfRule>
  </conditionalFormatting>
  <conditionalFormatting sqref="BB214:BB219">
    <cfRule type="cellIs" dxfId="8231" priority="3535" operator="lessThan">
      <formula>0</formula>
    </cfRule>
    <cfRule type="cellIs" dxfId="8230" priority="3536" operator="lessThan">
      <formula>-105575</formula>
    </cfRule>
  </conditionalFormatting>
  <conditionalFormatting sqref="BB214:BB219">
    <cfRule type="cellIs" dxfId="8229" priority="3533" operator="lessThan">
      <formula>0</formula>
    </cfRule>
    <cfRule type="cellIs" dxfId="8228" priority="3534" operator="lessThan">
      <formula>-105575</formula>
    </cfRule>
  </conditionalFormatting>
  <conditionalFormatting sqref="BB222:BB224">
    <cfRule type="cellIs" dxfId="8227" priority="3531" operator="lessThan">
      <formula>0</formula>
    </cfRule>
    <cfRule type="cellIs" dxfId="8226" priority="3532" operator="lessThan">
      <formula>-105575</formula>
    </cfRule>
  </conditionalFormatting>
  <conditionalFormatting sqref="BB222:BB224">
    <cfRule type="cellIs" dxfId="8225" priority="3529" operator="lessThan">
      <formula>0</formula>
    </cfRule>
    <cfRule type="cellIs" dxfId="8224" priority="3530" operator="lessThan">
      <formula>-105575</formula>
    </cfRule>
  </conditionalFormatting>
  <conditionalFormatting sqref="BB222:BB224">
    <cfRule type="cellIs" dxfId="8223" priority="3527" operator="lessThan">
      <formula>0</formula>
    </cfRule>
    <cfRule type="cellIs" dxfId="8222" priority="3528" operator="lessThan">
      <formula>-105575</formula>
    </cfRule>
  </conditionalFormatting>
  <conditionalFormatting sqref="BB227:BB230">
    <cfRule type="cellIs" dxfId="8221" priority="3525" operator="lessThan">
      <formula>0</formula>
    </cfRule>
    <cfRule type="cellIs" dxfId="8220" priority="3526" operator="lessThan">
      <formula>-105575</formula>
    </cfRule>
  </conditionalFormatting>
  <conditionalFormatting sqref="BB227:BB230">
    <cfRule type="cellIs" dxfId="8219" priority="3523" operator="lessThan">
      <formula>0</formula>
    </cfRule>
    <cfRule type="cellIs" dxfId="8218" priority="3524" operator="lessThan">
      <formula>-105575</formula>
    </cfRule>
  </conditionalFormatting>
  <conditionalFormatting sqref="BB227:BB230">
    <cfRule type="cellIs" dxfId="8217" priority="3521" operator="lessThan">
      <formula>0</formula>
    </cfRule>
    <cfRule type="cellIs" dxfId="8216" priority="3522" operator="lessThan">
      <formula>-105575</formula>
    </cfRule>
  </conditionalFormatting>
  <conditionalFormatting sqref="BB246:BB249">
    <cfRule type="cellIs" dxfId="8215" priority="3519" operator="lessThan">
      <formula>0</formula>
    </cfRule>
    <cfRule type="cellIs" dxfId="8214" priority="3520" operator="lessThan">
      <formula>-105575</formula>
    </cfRule>
  </conditionalFormatting>
  <conditionalFormatting sqref="BB246:BB249">
    <cfRule type="cellIs" dxfId="8213" priority="3517" operator="lessThan">
      <formula>0</formula>
    </cfRule>
    <cfRule type="cellIs" dxfId="8212" priority="3518" operator="lessThan">
      <formula>-105575</formula>
    </cfRule>
  </conditionalFormatting>
  <conditionalFormatting sqref="BB246:BB249">
    <cfRule type="cellIs" dxfId="8211" priority="3515" operator="lessThan">
      <formula>0</formula>
    </cfRule>
    <cfRule type="cellIs" dxfId="8210" priority="3516" operator="lessThan">
      <formula>-105575</formula>
    </cfRule>
  </conditionalFormatting>
  <conditionalFormatting sqref="BB246:BB249">
    <cfRule type="cellIs" dxfId="8209" priority="3513" operator="lessThan">
      <formula>0</formula>
    </cfRule>
    <cfRule type="cellIs" dxfId="8208" priority="3514" operator="lessThan">
      <formula>-105575</formula>
    </cfRule>
  </conditionalFormatting>
  <conditionalFormatting sqref="BB246:BB249">
    <cfRule type="cellIs" dxfId="8207" priority="3511" operator="lessThan">
      <formula>0</formula>
    </cfRule>
    <cfRule type="cellIs" dxfId="8206" priority="3512" operator="lessThan">
      <formula>-105575</formula>
    </cfRule>
  </conditionalFormatting>
  <conditionalFormatting sqref="BB246:BB249">
    <cfRule type="cellIs" dxfId="8205" priority="3509" operator="lessThan">
      <formula>0</formula>
    </cfRule>
    <cfRule type="cellIs" dxfId="8204" priority="3510" operator="lessThan">
      <formula>-105575</formula>
    </cfRule>
  </conditionalFormatting>
  <conditionalFormatting sqref="BB246:BB249">
    <cfRule type="cellIs" dxfId="8203" priority="3507" operator="lessThan">
      <formula>0</formula>
    </cfRule>
    <cfRule type="cellIs" dxfId="8202" priority="3508" operator="lessThan">
      <formula>-105575</formula>
    </cfRule>
  </conditionalFormatting>
  <conditionalFormatting sqref="BB246:BB249">
    <cfRule type="cellIs" dxfId="8201" priority="3505" operator="lessThan">
      <formula>0</formula>
    </cfRule>
    <cfRule type="cellIs" dxfId="8200" priority="3506" operator="lessThan">
      <formula>-105575</formula>
    </cfRule>
  </conditionalFormatting>
  <conditionalFormatting sqref="BB246:BB249">
    <cfRule type="cellIs" dxfId="8199" priority="3503" operator="lessThan">
      <formula>0</formula>
    </cfRule>
    <cfRule type="cellIs" dxfId="8198" priority="3504" operator="lessThan">
      <formula>-105575</formula>
    </cfRule>
  </conditionalFormatting>
  <conditionalFormatting sqref="BB251:BB253">
    <cfRule type="cellIs" dxfId="8197" priority="3501" operator="lessThan">
      <formula>0</formula>
    </cfRule>
    <cfRule type="cellIs" dxfId="8196" priority="3502" operator="lessThan">
      <formula>-105575</formula>
    </cfRule>
  </conditionalFormatting>
  <conditionalFormatting sqref="BB251:BB253">
    <cfRule type="cellIs" dxfId="8195" priority="3499" operator="lessThan">
      <formula>0</formula>
    </cfRule>
    <cfRule type="cellIs" dxfId="8194" priority="3500" operator="lessThan">
      <formula>-105575</formula>
    </cfRule>
  </conditionalFormatting>
  <conditionalFormatting sqref="BB251:BB253">
    <cfRule type="cellIs" dxfId="8193" priority="3497" operator="lessThan">
      <formula>0</formula>
    </cfRule>
    <cfRule type="cellIs" dxfId="8192" priority="3498" operator="lessThan">
      <formula>-105575</formula>
    </cfRule>
  </conditionalFormatting>
  <conditionalFormatting sqref="BB251:BB253">
    <cfRule type="cellIs" dxfId="8191" priority="3495" operator="lessThan">
      <formula>0</formula>
    </cfRule>
    <cfRule type="cellIs" dxfId="8190" priority="3496" operator="lessThan">
      <formula>-105575</formula>
    </cfRule>
  </conditionalFormatting>
  <conditionalFormatting sqref="BB251:BB253">
    <cfRule type="cellIs" dxfId="8189" priority="3493" operator="lessThan">
      <formula>0</formula>
    </cfRule>
    <cfRule type="cellIs" dxfId="8188" priority="3494" operator="lessThan">
      <formula>-105575</formula>
    </cfRule>
  </conditionalFormatting>
  <conditionalFormatting sqref="BB251:BB253">
    <cfRule type="cellIs" dxfId="8187" priority="3491" operator="lessThan">
      <formula>0</formula>
    </cfRule>
    <cfRule type="cellIs" dxfId="8186" priority="3492" operator="lessThan">
      <formula>-105575</formula>
    </cfRule>
  </conditionalFormatting>
  <conditionalFormatting sqref="BB251:BB253">
    <cfRule type="cellIs" dxfId="8185" priority="3489" operator="lessThan">
      <formula>0</formula>
    </cfRule>
    <cfRule type="cellIs" dxfId="8184" priority="3490" operator="lessThan">
      <formula>-105575</formula>
    </cfRule>
  </conditionalFormatting>
  <conditionalFormatting sqref="BB251:BB253">
    <cfRule type="cellIs" dxfId="8183" priority="3487" operator="lessThan">
      <formula>0</formula>
    </cfRule>
    <cfRule type="cellIs" dxfId="8182" priority="3488" operator="lessThan">
      <formula>-105575</formula>
    </cfRule>
  </conditionalFormatting>
  <conditionalFormatting sqref="BB251:BB253">
    <cfRule type="cellIs" dxfId="8181" priority="3485" operator="lessThan">
      <formula>0</formula>
    </cfRule>
    <cfRule type="cellIs" dxfId="8180" priority="3486" operator="lessThan">
      <formula>-105575</formula>
    </cfRule>
  </conditionalFormatting>
  <conditionalFormatting sqref="BB255:BB257">
    <cfRule type="cellIs" dxfId="8179" priority="3483" operator="lessThan">
      <formula>0</formula>
    </cfRule>
    <cfRule type="cellIs" dxfId="8178" priority="3484" operator="lessThan">
      <formula>-105575</formula>
    </cfRule>
  </conditionalFormatting>
  <conditionalFormatting sqref="BB255:BB257">
    <cfRule type="cellIs" dxfId="8177" priority="3481" operator="lessThan">
      <formula>0</formula>
    </cfRule>
    <cfRule type="cellIs" dxfId="8176" priority="3482" operator="lessThan">
      <formula>-105575</formula>
    </cfRule>
  </conditionalFormatting>
  <conditionalFormatting sqref="BB255:BB257">
    <cfRule type="cellIs" dxfId="8175" priority="3479" operator="lessThan">
      <formula>0</formula>
    </cfRule>
    <cfRule type="cellIs" dxfId="8174" priority="3480" operator="lessThan">
      <formula>-105575</formula>
    </cfRule>
  </conditionalFormatting>
  <conditionalFormatting sqref="BB255:BB257">
    <cfRule type="cellIs" dxfId="8173" priority="3477" operator="lessThan">
      <formula>0</formula>
    </cfRule>
    <cfRule type="cellIs" dxfId="8172" priority="3478" operator="lessThan">
      <formula>-105575</formula>
    </cfRule>
  </conditionalFormatting>
  <conditionalFormatting sqref="BB255:BB257">
    <cfRule type="cellIs" dxfId="8171" priority="3475" operator="lessThan">
      <formula>0</formula>
    </cfRule>
    <cfRule type="cellIs" dxfId="8170" priority="3476" operator="lessThan">
      <formula>-105575</formula>
    </cfRule>
  </conditionalFormatting>
  <conditionalFormatting sqref="BB255:BB257">
    <cfRule type="cellIs" dxfId="8169" priority="3473" operator="lessThan">
      <formula>0</formula>
    </cfRule>
    <cfRule type="cellIs" dxfId="8168" priority="3474" operator="lessThan">
      <formula>-105575</formula>
    </cfRule>
  </conditionalFormatting>
  <conditionalFormatting sqref="BB255:BB257">
    <cfRule type="cellIs" dxfId="8167" priority="3471" operator="lessThan">
      <formula>0</formula>
    </cfRule>
    <cfRule type="cellIs" dxfId="8166" priority="3472" operator="lessThan">
      <formula>-105575</formula>
    </cfRule>
  </conditionalFormatting>
  <conditionalFormatting sqref="BB255:BB257">
    <cfRule type="cellIs" dxfId="8165" priority="3469" operator="lessThan">
      <formula>0</formula>
    </cfRule>
    <cfRule type="cellIs" dxfId="8164" priority="3470" operator="lessThan">
      <formula>-105575</formula>
    </cfRule>
  </conditionalFormatting>
  <conditionalFormatting sqref="BB255:BB257">
    <cfRule type="cellIs" dxfId="8163" priority="3467" operator="lessThan">
      <formula>0</formula>
    </cfRule>
    <cfRule type="cellIs" dxfId="8162" priority="3468" operator="lessThan">
      <formula>-105575</formula>
    </cfRule>
  </conditionalFormatting>
  <conditionalFormatting sqref="BB260:BB262">
    <cfRule type="cellIs" dxfId="8161" priority="3465" operator="lessThan">
      <formula>0</formula>
    </cfRule>
    <cfRule type="cellIs" dxfId="8160" priority="3466" operator="lessThan">
      <formula>-105575</formula>
    </cfRule>
  </conditionalFormatting>
  <conditionalFormatting sqref="BB260:BB262">
    <cfRule type="cellIs" dxfId="8159" priority="3463" operator="lessThan">
      <formula>0</formula>
    </cfRule>
    <cfRule type="cellIs" dxfId="8158" priority="3464" operator="lessThan">
      <formula>-105575</formula>
    </cfRule>
  </conditionalFormatting>
  <conditionalFormatting sqref="BB260:BB262">
    <cfRule type="cellIs" dxfId="8157" priority="3461" operator="lessThan">
      <formula>0</formula>
    </cfRule>
    <cfRule type="cellIs" dxfId="8156" priority="3462" operator="lessThan">
      <formula>-105575</formula>
    </cfRule>
  </conditionalFormatting>
  <conditionalFormatting sqref="BB260:BB262">
    <cfRule type="cellIs" dxfId="8155" priority="3459" operator="lessThan">
      <formula>0</formula>
    </cfRule>
    <cfRule type="cellIs" dxfId="8154" priority="3460" operator="lessThan">
      <formula>-105575</formula>
    </cfRule>
  </conditionalFormatting>
  <conditionalFormatting sqref="BB260:BB262">
    <cfRule type="cellIs" dxfId="8153" priority="3457" operator="lessThan">
      <formula>0</formula>
    </cfRule>
    <cfRule type="cellIs" dxfId="8152" priority="3458" operator="lessThan">
      <formula>-105575</formula>
    </cfRule>
  </conditionalFormatting>
  <conditionalFormatting sqref="BB260:BB262">
    <cfRule type="cellIs" dxfId="8151" priority="3455" operator="lessThan">
      <formula>0</formula>
    </cfRule>
    <cfRule type="cellIs" dxfId="8150" priority="3456" operator="lessThan">
      <formula>-105575</formula>
    </cfRule>
  </conditionalFormatting>
  <conditionalFormatting sqref="BB260:BB262">
    <cfRule type="cellIs" dxfId="8149" priority="3453" operator="lessThan">
      <formula>0</formula>
    </cfRule>
    <cfRule type="cellIs" dxfId="8148" priority="3454" operator="lessThan">
      <formula>-105575</formula>
    </cfRule>
  </conditionalFormatting>
  <conditionalFormatting sqref="BB260:BB262">
    <cfRule type="cellIs" dxfId="8147" priority="3451" operator="lessThan">
      <formula>0</formula>
    </cfRule>
    <cfRule type="cellIs" dxfId="8146" priority="3452" operator="lessThan">
      <formula>-105575</formula>
    </cfRule>
  </conditionalFormatting>
  <conditionalFormatting sqref="BB260:BB262">
    <cfRule type="cellIs" dxfId="8145" priority="3449" operator="lessThan">
      <formula>0</formula>
    </cfRule>
    <cfRule type="cellIs" dxfId="8144" priority="3450" operator="lessThan">
      <formula>-105575</formula>
    </cfRule>
  </conditionalFormatting>
  <conditionalFormatting sqref="BB264:BB267">
    <cfRule type="cellIs" dxfId="8143" priority="3447" operator="lessThan">
      <formula>0</formula>
    </cfRule>
    <cfRule type="cellIs" dxfId="8142" priority="3448" operator="lessThan">
      <formula>-105575</formula>
    </cfRule>
  </conditionalFormatting>
  <conditionalFormatting sqref="BB264:BB267">
    <cfRule type="cellIs" dxfId="8141" priority="3445" operator="lessThan">
      <formula>0</formula>
    </cfRule>
    <cfRule type="cellIs" dxfId="8140" priority="3446" operator="lessThan">
      <formula>-105575</formula>
    </cfRule>
  </conditionalFormatting>
  <conditionalFormatting sqref="BB264:BB267">
    <cfRule type="cellIs" dxfId="8139" priority="3443" operator="lessThan">
      <formula>0</formula>
    </cfRule>
    <cfRule type="cellIs" dxfId="8138" priority="3444" operator="lessThan">
      <formula>-105575</formula>
    </cfRule>
  </conditionalFormatting>
  <conditionalFormatting sqref="BB264:BB267">
    <cfRule type="cellIs" dxfId="8137" priority="3441" operator="lessThan">
      <formula>0</formula>
    </cfRule>
    <cfRule type="cellIs" dxfId="8136" priority="3442" operator="lessThan">
      <formula>-105575</formula>
    </cfRule>
  </conditionalFormatting>
  <conditionalFormatting sqref="BB264:BB267">
    <cfRule type="cellIs" dxfId="8135" priority="3439" operator="lessThan">
      <formula>0</formula>
    </cfRule>
    <cfRule type="cellIs" dxfId="8134" priority="3440" operator="lessThan">
      <formula>-105575</formula>
    </cfRule>
  </conditionalFormatting>
  <conditionalFormatting sqref="BB264:BB267">
    <cfRule type="cellIs" dxfId="8133" priority="3437" operator="lessThan">
      <formula>0</formula>
    </cfRule>
    <cfRule type="cellIs" dxfId="8132" priority="3438" operator="lessThan">
      <formula>-105575</formula>
    </cfRule>
  </conditionalFormatting>
  <conditionalFormatting sqref="BB264:BB267">
    <cfRule type="cellIs" dxfId="8131" priority="3435" operator="lessThan">
      <formula>0</formula>
    </cfRule>
    <cfRule type="cellIs" dxfId="8130" priority="3436" operator="lessThan">
      <formula>-105575</formula>
    </cfRule>
  </conditionalFormatting>
  <conditionalFormatting sqref="BB264:BB267">
    <cfRule type="cellIs" dxfId="8129" priority="3433" operator="lessThan">
      <formula>0</formula>
    </cfRule>
    <cfRule type="cellIs" dxfId="8128" priority="3434" operator="lessThan">
      <formula>-105575</formula>
    </cfRule>
  </conditionalFormatting>
  <conditionalFormatting sqref="BB264:BB267">
    <cfRule type="cellIs" dxfId="8127" priority="3431" operator="lessThan">
      <formula>0</formula>
    </cfRule>
    <cfRule type="cellIs" dxfId="8126" priority="3432" operator="lessThan">
      <formula>-105575</formula>
    </cfRule>
  </conditionalFormatting>
  <conditionalFormatting sqref="BB270:BB272">
    <cfRule type="cellIs" dxfId="8125" priority="3429" operator="lessThan">
      <formula>0</formula>
    </cfRule>
    <cfRule type="cellIs" dxfId="8124" priority="3430" operator="lessThan">
      <formula>-105575</formula>
    </cfRule>
  </conditionalFormatting>
  <conditionalFormatting sqref="BB270:BB272">
    <cfRule type="cellIs" dxfId="8123" priority="3427" operator="lessThan">
      <formula>0</formula>
    </cfRule>
    <cfRule type="cellIs" dxfId="8122" priority="3428" operator="lessThan">
      <formula>-105575</formula>
    </cfRule>
  </conditionalFormatting>
  <conditionalFormatting sqref="BB270:BB272">
    <cfRule type="cellIs" dxfId="8121" priority="3425" operator="lessThan">
      <formula>0</formula>
    </cfRule>
    <cfRule type="cellIs" dxfId="8120" priority="3426" operator="lessThan">
      <formula>-105575</formula>
    </cfRule>
  </conditionalFormatting>
  <conditionalFormatting sqref="BB270:BB272">
    <cfRule type="cellIs" dxfId="8119" priority="3423" operator="lessThan">
      <formula>0</formula>
    </cfRule>
    <cfRule type="cellIs" dxfId="8118" priority="3424" operator="lessThan">
      <formula>-105575</formula>
    </cfRule>
  </conditionalFormatting>
  <conditionalFormatting sqref="BB270:BB272">
    <cfRule type="cellIs" dxfId="8117" priority="3421" operator="lessThan">
      <formula>0</formula>
    </cfRule>
    <cfRule type="cellIs" dxfId="8116" priority="3422" operator="lessThan">
      <formula>-105575</formula>
    </cfRule>
  </conditionalFormatting>
  <conditionalFormatting sqref="BB270:BB272">
    <cfRule type="cellIs" dxfId="8115" priority="3419" operator="lessThan">
      <formula>0</formula>
    </cfRule>
    <cfRule type="cellIs" dxfId="8114" priority="3420" operator="lessThan">
      <formula>-105575</formula>
    </cfRule>
  </conditionalFormatting>
  <conditionalFormatting sqref="BB270:BB272">
    <cfRule type="cellIs" dxfId="8113" priority="3417" operator="lessThan">
      <formula>0</formula>
    </cfRule>
    <cfRule type="cellIs" dxfId="8112" priority="3418" operator="lessThan">
      <formula>-105575</formula>
    </cfRule>
  </conditionalFormatting>
  <conditionalFormatting sqref="BB270:BB272">
    <cfRule type="cellIs" dxfId="8111" priority="3415" operator="lessThan">
      <formula>0</formula>
    </cfRule>
    <cfRule type="cellIs" dxfId="8110" priority="3416" operator="lessThan">
      <formula>-105575</formula>
    </cfRule>
  </conditionalFormatting>
  <conditionalFormatting sqref="BB270:BB272">
    <cfRule type="cellIs" dxfId="8109" priority="3413" operator="lessThan">
      <formula>0</formula>
    </cfRule>
    <cfRule type="cellIs" dxfId="8108" priority="3414" operator="lessThan">
      <formula>-105575</formula>
    </cfRule>
  </conditionalFormatting>
  <conditionalFormatting sqref="BB274:BB275">
    <cfRule type="cellIs" dxfId="8107" priority="3411" operator="lessThan">
      <formula>0</formula>
    </cfRule>
    <cfRule type="cellIs" dxfId="8106" priority="3412" operator="lessThan">
      <formula>-105575</formula>
    </cfRule>
  </conditionalFormatting>
  <conditionalFormatting sqref="BB274:BB275">
    <cfRule type="cellIs" dxfId="8105" priority="3409" operator="lessThan">
      <formula>0</formula>
    </cfRule>
    <cfRule type="cellIs" dxfId="8104" priority="3410" operator="lessThan">
      <formula>-105575</formula>
    </cfRule>
  </conditionalFormatting>
  <conditionalFormatting sqref="BB274:BB275">
    <cfRule type="cellIs" dxfId="8103" priority="3407" operator="lessThan">
      <formula>0</formula>
    </cfRule>
    <cfRule type="cellIs" dxfId="8102" priority="3408" operator="lessThan">
      <formula>-105575</formula>
    </cfRule>
  </conditionalFormatting>
  <conditionalFormatting sqref="BB274:BB275">
    <cfRule type="cellIs" dxfId="8101" priority="3405" operator="lessThan">
      <formula>0</formula>
    </cfRule>
    <cfRule type="cellIs" dxfId="8100" priority="3406" operator="lessThan">
      <formula>-105575</formula>
    </cfRule>
  </conditionalFormatting>
  <conditionalFormatting sqref="BB274:BB275">
    <cfRule type="cellIs" dxfId="8099" priority="3403" operator="lessThan">
      <formula>0</formula>
    </cfRule>
    <cfRule type="cellIs" dxfId="8098" priority="3404" operator="lessThan">
      <formula>-105575</formula>
    </cfRule>
  </conditionalFormatting>
  <conditionalFormatting sqref="BB274:BB275">
    <cfRule type="cellIs" dxfId="8097" priority="3401" operator="lessThan">
      <formula>0</formula>
    </cfRule>
    <cfRule type="cellIs" dxfId="8096" priority="3402" operator="lessThan">
      <formula>-105575</formula>
    </cfRule>
  </conditionalFormatting>
  <conditionalFormatting sqref="BB274:BB275">
    <cfRule type="cellIs" dxfId="8095" priority="3399" operator="lessThan">
      <formula>0</formula>
    </cfRule>
    <cfRule type="cellIs" dxfId="8094" priority="3400" operator="lessThan">
      <formula>-105575</formula>
    </cfRule>
  </conditionalFormatting>
  <conditionalFormatting sqref="BB274:BB275">
    <cfRule type="cellIs" dxfId="8093" priority="3397" operator="lessThan">
      <formula>0</formula>
    </cfRule>
    <cfRule type="cellIs" dxfId="8092" priority="3398" operator="lessThan">
      <formula>-105575</formula>
    </cfRule>
  </conditionalFormatting>
  <conditionalFormatting sqref="BB274:BB275">
    <cfRule type="cellIs" dxfId="8091" priority="3395" operator="lessThan">
      <formula>0</formula>
    </cfRule>
    <cfRule type="cellIs" dxfId="8090" priority="3396" operator="lessThan">
      <formula>-105575</formula>
    </cfRule>
  </conditionalFormatting>
  <conditionalFormatting sqref="BB278:BB282">
    <cfRule type="cellIs" dxfId="8089" priority="3393" operator="lessThan">
      <formula>0</formula>
    </cfRule>
    <cfRule type="cellIs" dxfId="8088" priority="3394" operator="lessThan">
      <formula>-105575</formula>
    </cfRule>
  </conditionalFormatting>
  <conditionalFormatting sqref="BB278:BB282">
    <cfRule type="cellIs" dxfId="8087" priority="3391" operator="lessThan">
      <formula>0</formula>
    </cfRule>
    <cfRule type="cellIs" dxfId="8086" priority="3392" operator="lessThan">
      <formula>-105575</formula>
    </cfRule>
  </conditionalFormatting>
  <conditionalFormatting sqref="BB278:BB282">
    <cfRule type="cellIs" dxfId="8085" priority="3389" operator="lessThan">
      <formula>0</formula>
    </cfRule>
    <cfRule type="cellIs" dxfId="8084" priority="3390" operator="lessThan">
      <formula>-105575</formula>
    </cfRule>
  </conditionalFormatting>
  <conditionalFormatting sqref="BB278:BB282">
    <cfRule type="cellIs" dxfId="8083" priority="3387" operator="lessThan">
      <formula>0</formula>
    </cfRule>
    <cfRule type="cellIs" dxfId="8082" priority="3388" operator="lessThan">
      <formula>-105575</formula>
    </cfRule>
  </conditionalFormatting>
  <conditionalFormatting sqref="BB278:BB282">
    <cfRule type="cellIs" dxfId="8081" priority="3385" operator="lessThan">
      <formula>0</formula>
    </cfRule>
    <cfRule type="cellIs" dxfId="8080" priority="3386" operator="lessThan">
      <formula>-105575</formula>
    </cfRule>
  </conditionalFormatting>
  <conditionalFormatting sqref="BB278:BB282">
    <cfRule type="cellIs" dxfId="8079" priority="3383" operator="lessThan">
      <formula>0</formula>
    </cfRule>
    <cfRule type="cellIs" dxfId="8078" priority="3384" operator="lessThan">
      <formula>-105575</formula>
    </cfRule>
  </conditionalFormatting>
  <conditionalFormatting sqref="BB278:BB282">
    <cfRule type="cellIs" dxfId="8077" priority="3381" operator="lessThan">
      <formula>0</formula>
    </cfRule>
    <cfRule type="cellIs" dxfId="8076" priority="3382" operator="lessThan">
      <formula>-105575</formula>
    </cfRule>
  </conditionalFormatting>
  <conditionalFormatting sqref="BB278:BB282">
    <cfRule type="cellIs" dxfId="8075" priority="3379" operator="lessThan">
      <formula>0</formula>
    </cfRule>
    <cfRule type="cellIs" dxfId="8074" priority="3380" operator="lessThan">
      <formula>-105575</formula>
    </cfRule>
  </conditionalFormatting>
  <conditionalFormatting sqref="BB278:BB282">
    <cfRule type="cellIs" dxfId="8073" priority="3377" operator="lessThan">
      <formula>0</formula>
    </cfRule>
    <cfRule type="cellIs" dxfId="8072" priority="3378" operator="lessThan">
      <formula>-105575</formula>
    </cfRule>
  </conditionalFormatting>
  <conditionalFormatting sqref="BB285:BB288">
    <cfRule type="cellIs" dxfId="8071" priority="3375" operator="lessThan">
      <formula>0</formula>
    </cfRule>
    <cfRule type="cellIs" dxfId="8070" priority="3376" operator="lessThan">
      <formula>-105575</formula>
    </cfRule>
  </conditionalFormatting>
  <conditionalFormatting sqref="BB285:BB288">
    <cfRule type="cellIs" dxfId="8069" priority="3373" operator="lessThan">
      <formula>0</formula>
    </cfRule>
    <cfRule type="cellIs" dxfId="8068" priority="3374" operator="lessThan">
      <formula>-105575</formula>
    </cfRule>
  </conditionalFormatting>
  <conditionalFormatting sqref="BB285:BB288">
    <cfRule type="cellIs" dxfId="8067" priority="3371" operator="lessThan">
      <formula>0</formula>
    </cfRule>
    <cfRule type="cellIs" dxfId="8066" priority="3372" operator="lessThan">
      <formula>-105575</formula>
    </cfRule>
  </conditionalFormatting>
  <conditionalFormatting sqref="BB285:BB288">
    <cfRule type="cellIs" dxfId="8065" priority="3369" operator="lessThan">
      <formula>0</formula>
    </cfRule>
    <cfRule type="cellIs" dxfId="8064" priority="3370" operator="lessThan">
      <formula>-105575</formula>
    </cfRule>
  </conditionalFormatting>
  <conditionalFormatting sqref="BB285:BB288">
    <cfRule type="cellIs" dxfId="8063" priority="3367" operator="lessThan">
      <formula>0</formula>
    </cfRule>
    <cfRule type="cellIs" dxfId="8062" priority="3368" operator="lessThan">
      <formula>-105575</formula>
    </cfRule>
  </conditionalFormatting>
  <conditionalFormatting sqref="BB285:BB288">
    <cfRule type="cellIs" dxfId="8061" priority="3365" operator="lessThan">
      <formula>0</formula>
    </cfRule>
    <cfRule type="cellIs" dxfId="8060" priority="3366" operator="lessThan">
      <formula>-105575</formula>
    </cfRule>
  </conditionalFormatting>
  <conditionalFormatting sqref="BB285:BB288">
    <cfRule type="cellIs" dxfId="8059" priority="3363" operator="lessThan">
      <formula>0</formula>
    </cfRule>
    <cfRule type="cellIs" dxfId="8058" priority="3364" operator="lessThan">
      <formula>-105575</formula>
    </cfRule>
  </conditionalFormatting>
  <conditionalFormatting sqref="BB285:BB288">
    <cfRule type="cellIs" dxfId="8057" priority="3361" operator="lessThan">
      <formula>0</formula>
    </cfRule>
    <cfRule type="cellIs" dxfId="8056" priority="3362" operator="lessThan">
      <formula>-105575</formula>
    </cfRule>
  </conditionalFormatting>
  <conditionalFormatting sqref="BB285:BB288">
    <cfRule type="cellIs" dxfId="8055" priority="3359" operator="lessThan">
      <formula>0</formula>
    </cfRule>
    <cfRule type="cellIs" dxfId="8054" priority="3360" operator="lessThan">
      <formula>-105575</formula>
    </cfRule>
  </conditionalFormatting>
  <conditionalFormatting sqref="BB203 BB220:BB221 BB235:BB243 BB231:BB233 BB212:BB213 BB225:BB226">
    <cfRule type="cellIs" dxfId="8053" priority="3357" operator="lessThan">
      <formula>0</formula>
    </cfRule>
    <cfRule type="cellIs" dxfId="8052" priority="3358" operator="lessThan">
      <formula>-105575</formula>
    </cfRule>
  </conditionalFormatting>
  <conditionalFormatting sqref="BB220 BB212:BB213 BB235:BB238 BB240:BB243 BB225:BB226 BB231:BB233">
    <cfRule type="cellIs" dxfId="8051" priority="3355" operator="lessThan">
      <formula>0</formula>
    </cfRule>
    <cfRule type="cellIs" dxfId="8050" priority="3356" operator="lessThan">
      <formula>-105575</formula>
    </cfRule>
  </conditionalFormatting>
  <conditionalFormatting sqref="BB220:BB221 BB243 BB226 BB231:BB236 BB238:BB241 BB203 BB213">
    <cfRule type="cellIs" dxfId="8049" priority="3353" operator="lessThan">
      <formula>0</formula>
    </cfRule>
    <cfRule type="cellIs" dxfId="8048" priority="3354" operator="lessThan">
      <formula>-105575</formula>
    </cfRule>
  </conditionalFormatting>
  <conditionalFormatting sqref="BB235:BB243 BB231:BB233 BB220 BB212:BB213 BB225:BB226">
    <cfRule type="cellIs" dxfId="8047" priority="3351" operator="lessThan">
      <formula>0</formula>
    </cfRule>
    <cfRule type="cellIs" dxfId="8046" priority="3352" operator="lessThan">
      <formula>-105575</formula>
    </cfRule>
  </conditionalFormatting>
  <conditionalFormatting sqref="BB220:BB221 BB237:BB243 BB203 BB231:BB235 BB212:BB213 BB225:BB226">
    <cfRule type="cellIs" dxfId="8045" priority="3349" operator="lessThan">
      <formula>0</formula>
    </cfRule>
    <cfRule type="cellIs" dxfId="8044" priority="3350" operator="lessThan">
      <formula>-105575</formula>
    </cfRule>
  </conditionalFormatting>
  <conditionalFormatting sqref="BB220:BB221 BB237:BB240 BB242:BB243 BB225:BB226 BB231:BB235">
    <cfRule type="cellIs" dxfId="8043" priority="3347" operator="lessThan">
      <formula>0</formula>
    </cfRule>
    <cfRule type="cellIs" dxfId="8042" priority="3348" operator="lessThan">
      <formula>-105575</formula>
    </cfRule>
  </conditionalFormatting>
  <conditionalFormatting sqref="BB212 BB231 BB233:BB238 BB240:BB243 BB225">
    <cfRule type="cellIs" dxfId="8041" priority="3345" operator="lessThan">
      <formula>0</formula>
    </cfRule>
    <cfRule type="cellIs" dxfId="8040" priority="3346" operator="lessThan">
      <formula>-105575</formula>
    </cfRule>
  </conditionalFormatting>
  <conditionalFormatting sqref="BB237:BB243 BB231:BB235 BB220:BB221 BB225:BB226">
    <cfRule type="cellIs" dxfId="8039" priority="3343" operator="lessThan">
      <formula>0</formula>
    </cfRule>
    <cfRule type="cellIs" dxfId="8038" priority="3344" operator="lessThan">
      <formula>-105575</formula>
    </cfRule>
  </conditionalFormatting>
  <conditionalFormatting sqref="BB233:BB237 BB231 BB239:BB243">
    <cfRule type="cellIs" dxfId="8037" priority="3341" operator="lessThan">
      <formula>0</formula>
    </cfRule>
    <cfRule type="cellIs" dxfId="8036" priority="3342" operator="lessThan">
      <formula>-105575</formula>
    </cfRule>
  </conditionalFormatting>
  <conditionalFormatting sqref="BB233:BB237 BB231 BB239:BB243">
    <cfRule type="cellIs" dxfId="8035" priority="3339" operator="lessThan">
      <formula>0</formula>
    </cfRule>
    <cfRule type="cellIs" dxfId="8034" priority="3340" operator="lessThan">
      <formula>-105575</formula>
    </cfRule>
  </conditionalFormatting>
  <conditionalFormatting sqref="BB119:BB128 BB106:BB117 BB101:BB104 BB80:BB98">
    <cfRule type="cellIs" dxfId="8033" priority="3337" operator="lessThan">
      <formula>0</formula>
    </cfRule>
    <cfRule type="cellIs" dxfId="8032" priority="3338" operator="lessThan">
      <formula>-105575</formula>
    </cfRule>
  </conditionalFormatting>
  <conditionalFormatting sqref="BB130 BB132 BB134">
    <cfRule type="cellIs" dxfId="8031" priority="3335" operator="lessThan">
      <formula>0</formula>
    </cfRule>
    <cfRule type="cellIs" dxfId="8030" priority="3336" operator="lessThan">
      <formula>-105575</formula>
    </cfRule>
  </conditionalFormatting>
  <conditionalFormatting sqref="BB130 BB132 BB134">
    <cfRule type="cellIs" dxfId="8029" priority="3333" operator="lessThan">
      <formula>0</formula>
    </cfRule>
    <cfRule type="cellIs" dxfId="8028" priority="3334" operator="lessThan">
      <formula>-105575</formula>
    </cfRule>
  </conditionalFormatting>
  <conditionalFormatting sqref="BB129 BB131 BB133 BB135">
    <cfRule type="cellIs" dxfId="8027" priority="3331" operator="lessThan">
      <formula>0</formula>
    </cfRule>
    <cfRule type="cellIs" dxfId="8026" priority="3332" operator="lessThan">
      <formula>-105575</formula>
    </cfRule>
  </conditionalFormatting>
  <conditionalFormatting sqref="BB140 BB145 BB142:BB143 BB137:BB138">
    <cfRule type="cellIs" dxfId="8025" priority="3329" operator="lessThan">
      <formula>0</formula>
    </cfRule>
    <cfRule type="cellIs" dxfId="8024" priority="3330" operator="lessThan">
      <formula>-105575</formula>
    </cfRule>
  </conditionalFormatting>
  <conditionalFormatting sqref="BB149">
    <cfRule type="cellIs" dxfId="8023" priority="3327" operator="lessThan">
      <formula>0</formula>
    </cfRule>
    <cfRule type="cellIs" dxfId="8022" priority="3328" operator="lessThan">
      <formula>-105575</formula>
    </cfRule>
  </conditionalFormatting>
  <conditionalFormatting sqref="BB129:BB138 BB140:BB149">
    <cfRule type="cellIs" dxfId="8021" priority="3325" operator="lessThan">
      <formula>0</formula>
    </cfRule>
    <cfRule type="cellIs" dxfId="8020" priority="3326" operator="lessThan">
      <formula>-105575</formula>
    </cfRule>
  </conditionalFormatting>
  <conditionalFormatting sqref="BB94:BB98 BB86:BB87 BB89:BB91 BB141:BB149 BB124:BB133 BB107:BB110 BB112:BB117 BB119:BB122 BB135:BB138 BB101:BB104 BB80:BB84">
    <cfRule type="cellIs" dxfId="8019" priority="3323" operator="lessThan">
      <formula>0</formula>
    </cfRule>
    <cfRule type="cellIs" dxfId="8018" priority="3324" operator="lessThan">
      <formula>-105575</formula>
    </cfRule>
  </conditionalFormatting>
  <conditionalFormatting sqref="BB129 BB131 BB133 BB135">
    <cfRule type="cellIs" dxfId="8017" priority="3321" operator="lessThan">
      <formula>0</formula>
    </cfRule>
    <cfRule type="cellIs" dxfId="8016" priority="3322" operator="lessThan">
      <formula>-105575</formula>
    </cfRule>
  </conditionalFormatting>
  <conditionalFormatting sqref="BB146 BB144 BB141">
    <cfRule type="cellIs" dxfId="8015" priority="3319" operator="lessThan">
      <formula>0</formula>
    </cfRule>
    <cfRule type="cellIs" dxfId="8014" priority="3320" operator="lessThan">
      <formula>-105575</formula>
    </cfRule>
  </conditionalFormatting>
  <conditionalFormatting sqref="BB146 BB144 BB141">
    <cfRule type="cellIs" dxfId="8013" priority="3317" operator="lessThan">
      <formula>0</formula>
    </cfRule>
    <cfRule type="cellIs" dxfId="8012" priority="3318" operator="lessThan">
      <formula>-105575</formula>
    </cfRule>
  </conditionalFormatting>
  <conditionalFormatting sqref="BB140 BB145 BB142:BB143 BB137:BB138">
    <cfRule type="cellIs" dxfId="8011" priority="3315" operator="lessThan">
      <formula>0</formula>
    </cfRule>
    <cfRule type="cellIs" dxfId="8010" priority="3316" operator="lessThan">
      <formula>-105575</formula>
    </cfRule>
  </conditionalFormatting>
  <conditionalFormatting sqref="BB149">
    <cfRule type="cellIs" dxfId="8009" priority="3313" operator="lessThan">
      <formula>0</formula>
    </cfRule>
    <cfRule type="cellIs" dxfId="8008" priority="3314" operator="lessThan">
      <formula>-105575</formula>
    </cfRule>
  </conditionalFormatting>
  <conditionalFormatting sqref="BB94:BB98 BB86:BB87 BB89:BB91 BB141:BB149 BB124:BB133 BB107:BB110 BB112:BB117 BB119:BB122 BB135:BB138 BB101:BB104 BB80:BB84">
    <cfRule type="cellIs" dxfId="8007" priority="3311" operator="lessThan">
      <formula>0</formula>
    </cfRule>
    <cfRule type="cellIs" dxfId="8006" priority="3312" operator="lessThan">
      <formula>-105575</formula>
    </cfRule>
  </conditionalFormatting>
  <conditionalFormatting sqref="BB246:BB249 BB262 BB267 BB279:BB282 BB285:BB288 BB274:BB275 BB306:BB309 BB311:BB325 BB327:BB330 BB332:BB341 BB344:BB347 BB349:BB353 BB355:BB358 BB360:BB384 BB386:BB389 BB392:BB395 BB397:BB411 BB413:BB416 BB418:BB432 BB434:BB437 BB439:BB453 BB455:BB458 BB460:BB469 BB7:BB10 BB12:BB14 BB17:BB18 BB21:BB24 BB26:BB28 BB30:BB36 BB38 BB41:BB43 BB46:BB49 BB51:BB55 BB57:BB59 BB62:BB76 BB251:BB253 BB255:BB257 BB293:BB304 BB264:BB265 BB260 BB290:BB291 BB270:BB272">
    <cfRule type="cellIs" dxfId="8005" priority="3309" operator="lessThan">
      <formula>0</formula>
    </cfRule>
    <cfRule type="cellIs" dxfId="8004" priority="3310" operator="lessThan">
      <formula>-105575</formula>
    </cfRule>
  </conditionalFormatting>
  <conditionalFormatting sqref="BB41">
    <cfRule type="cellIs" dxfId="8003" priority="3307" operator="lessThan">
      <formula>0</formula>
    </cfRule>
    <cfRule type="cellIs" dxfId="8002" priority="3308" operator="lessThan">
      <formula>-105575</formula>
    </cfRule>
  </conditionalFormatting>
  <conditionalFormatting sqref="BB152:BB155">
    <cfRule type="cellIs" dxfId="8001" priority="3305" operator="lessThan">
      <formula>0</formula>
    </cfRule>
    <cfRule type="cellIs" dxfId="8000" priority="3306" operator="lessThan">
      <formula>-105575</formula>
    </cfRule>
  </conditionalFormatting>
  <conditionalFormatting sqref="BB152:BB155">
    <cfRule type="cellIs" dxfId="7999" priority="3303" operator="lessThan">
      <formula>0</formula>
    </cfRule>
    <cfRule type="cellIs" dxfId="7998" priority="3304" operator="lessThan">
      <formula>-105575</formula>
    </cfRule>
  </conditionalFormatting>
  <conditionalFormatting sqref="BB152:BB155">
    <cfRule type="cellIs" dxfId="7997" priority="3301" operator="lessThan">
      <formula>0</formula>
    </cfRule>
    <cfRule type="cellIs" dxfId="7996" priority="3302" operator="lessThan">
      <formula>-105575</formula>
    </cfRule>
  </conditionalFormatting>
  <conditionalFormatting sqref="BB157:BB158">
    <cfRule type="cellIs" dxfId="7995" priority="3299" operator="lessThan">
      <formula>0</formula>
    </cfRule>
    <cfRule type="cellIs" dxfId="7994" priority="3300" operator="lessThan">
      <formula>-105575</formula>
    </cfRule>
  </conditionalFormatting>
  <conditionalFormatting sqref="BB157:BB158">
    <cfRule type="cellIs" dxfId="7993" priority="3297" operator="lessThan">
      <formula>0</formula>
    </cfRule>
    <cfRule type="cellIs" dxfId="7992" priority="3298" operator="lessThan">
      <formula>-105575</formula>
    </cfRule>
  </conditionalFormatting>
  <conditionalFormatting sqref="BB157:BB158">
    <cfRule type="cellIs" dxfId="7991" priority="3295" operator="lessThan">
      <formula>0</formula>
    </cfRule>
    <cfRule type="cellIs" dxfId="7990" priority="3296" operator="lessThan">
      <formula>-105575</formula>
    </cfRule>
  </conditionalFormatting>
  <conditionalFormatting sqref="BB160:BB161">
    <cfRule type="cellIs" dxfId="7989" priority="3293" operator="lessThan">
      <formula>0</formula>
    </cfRule>
    <cfRule type="cellIs" dxfId="7988" priority="3294" operator="lessThan">
      <formula>-105575</formula>
    </cfRule>
  </conditionalFormatting>
  <conditionalFormatting sqref="BB160:BB161">
    <cfRule type="cellIs" dxfId="7987" priority="3291" operator="lessThan">
      <formula>0</formula>
    </cfRule>
    <cfRule type="cellIs" dxfId="7986" priority="3292" operator="lessThan">
      <formula>-105575</formula>
    </cfRule>
  </conditionalFormatting>
  <conditionalFormatting sqref="BB160:BB161">
    <cfRule type="cellIs" dxfId="7985" priority="3289" operator="lessThan">
      <formula>0</formula>
    </cfRule>
    <cfRule type="cellIs" dxfId="7984" priority="3290" operator="lessThan">
      <formula>-105575</formula>
    </cfRule>
  </conditionalFormatting>
  <conditionalFormatting sqref="BB164:BB167">
    <cfRule type="cellIs" dxfId="7983" priority="3287" operator="lessThan">
      <formula>0</formula>
    </cfRule>
    <cfRule type="cellIs" dxfId="7982" priority="3288" operator="lessThan">
      <formula>-105575</formula>
    </cfRule>
  </conditionalFormatting>
  <conditionalFormatting sqref="BB164:BB167">
    <cfRule type="cellIs" dxfId="7981" priority="3285" operator="lessThan">
      <formula>0</formula>
    </cfRule>
    <cfRule type="cellIs" dxfId="7980" priority="3286" operator="lessThan">
      <formula>-105575</formula>
    </cfRule>
  </conditionalFormatting>
  <conditionalFormatting sqref="BB164:BB167">
    <cfRule type="cellIs" dxfId="7979" priority="3283" operator="lessThan">
      <formula>0</formula>
    </cfRule>
    <cfRule type="cellIs" dxfId="7978" priority="3284" operator="lessThan">
      <formula>-105575</formula>
    </cfRule>
  </conditionalFormatting>
  <conditionalFormatting sqref="BB169:BB177">
    <cfRule type="cellIs" dxfId="7977" priority="3281" operator="lessThan">
      <formula>0</formula>
    </cfRule>
    <cfRule type="cellIs" dxfId="7976" priority="3282" operator="lessThan">
      <formula>-105575</formula>
    </cfRule>
  </conditionalFormatting>
  <conditionalFormatting sqref="BB169:BB177">
    <cfRule type="cellIs" dxfId="7975" priority="3279" operator="lessThan">
      <formula>0</formula>
    </cfRule>
    <cfRule type="cellIs" dxfId="7974" priority="3280" operator="lessThan">
      <formula>-105575</formula>
    </cfRule>
  </conditionalFormatting>
  <conditionalFormatting sqref="BB169:BB177">
    <cfRule type="cellIs" dxfId="7973" priority="3277" operator="lessThan">
      <formula>0</formula>
    </cfRule>
    <cfRule type="cellIs" dxfId="7972" priority="3278" operator="lessThan">
      <formula>-105575</formula>
    </cfRule>
  </conditionalFormatting>
  <conditionalFormatting sqref="BB179:BB180">
    <cfRule type="cellIs" dxfId="7971" priority="3275" operator="lessThan">
      <formula>0</formula>
    </cfRule>
    <cfRule type="cellIs" dxfId="7970" priority="3276" operator="lessThan">
      <formula>-105575</formula>
    </cfRule>
  </conditionalFormatting>
  <conditionalFormatting sqref="BB179:BB180">
    <cfRule type="cellIs" dxfId="7969" priority="3273" operator="lessThan">
      <formula>0</formula>
    </cfRule>
    <cfRule type="cellIs" dxfId="7968" priority="3274" operator="lessThan">
      <formula>-105575</formula>
    </cfRule>
  </conditionalFormatting>
  <conditionalFormatting sqref="BB179:BB180">
    <cfRule type="cellIs" dxfId="7967" priority="3271" operator="lessThan">
      <formula>0</formula>
    </cfRule>
    <cfRule type="cellIs" dxfId="7966" priority="3272" operator="lessThan">
      <formula>-105575</formula>
    </cfRule>
  </conditionalFormatting>
  <conditionalFormatting sqref="BB183:BB189">
    <cfRule type="cellIs" dxfId="7965" priority="3269" operator="lessThan">
      <formula>0</formula>
    </cfRule>
    <cfRule type="cellIs" dxfId="7964" priority="3270" operator="lessThan">
      <formula>-105575</formula>
    </cfRule>
  </conditionalFormatting>
  <conditionalFormatting sqref="BB183:BB189">
    <cfRule type="cellIs" dxfId="7963" priority="3267" operator="lessThan">
      <formula>0</formula>
    </cfRule>
    <cfRule type="cellIs" dxfId="7962" priority="3268" operator="lessThan">
      <formula>-105575</formula>
    </cfRule>
  </conditionalFormatting>
  <conditionalFormatting sqref="BB183:BB189">
    <cfRule type="cellIs" dxfId="7961" priority="3265" operator="lessThan">
      <formula>0</formula>
    </cfRule>
    <cfRule type="cellIs" dxfId="7960" priority="3266" operator="lessThan">
      <formula>-105575</formula>
    </cfRule>
  </conditionalFormatting>
  <conditionalFormatting sqref="BB191:BB192">
    <cfRule type="cellIs" dxfId="7959" priority="3263" operator="lessThan">
      <formula>0</formula>
    </cfRule>
    <cfRule type="cellIs" dxfId="7958" priority="3264" operator="lessThan">
      <formula>-105575</formula>
    </cfRule>
  </conditionalFormatting>
  <conditionalFormatting sqref="BB191:BB192">
    <cfRule type="cellIs" dxfId="7957" priority="3261" operator="lessThan">
      <formula>0</formula>
    </cfRule>
    <cfRule type="cellIs" dxfId="7956" priority="3262" operator="lessThan">
      <formula>-105575</formula>
    </cfRule>
  </conditionalFormatting>
  <conditionalFormatting sqref="BB191:BB192">
    <cfRule type="cellIs" dxfId="7955" priority="3259" operator="lessThan">
      <formula>0</formula>
    </cfRule>
    <cfRule type="cellIs" dxfId="7954" priority="3260" operator="lessThan">
      <formula>-105575</formula>
    </cfRule>
  </conditionalFormatting>
  <conditionalFormatting sqref="BB194:BB195">
    <cfRule type="cellIs" dxfId="7953" priority="3257" operator="lessThan">
      <formula>0</formula>
    </cfRule>
    <cfRule type="cellIs" dxfId="7952" priority="3258" operator="lessThan">
      <formula>-105575</formula>
    </cfRule>
  </conditionalFormatting>
  <conditionalFormatting sqref="BB194:BB195">
    <cfRule type="cellIs" dxfId="7951" priority="3255" operator="lessThan">
      <formula>0</formula>
    </cfRule>
    <cfRule type="cellIs" dxfId="7950" priority="3256" operator="lessThan">
      <formula>-105575</formula>
    </cfRule>
  </conditionalFormatting>
  <conditionalFormatting sqref="BB194:BB195">
    <cfRule type="cellIs" dxfId="7949" priority="3253" operator="lessThan">
      <formula>0</formula>
    </cfRule>
    <cfRule type="cellIs" dxfId="7948" priority="3254" operator="lessThan">
      <formula>-105575</formula>
    </cfRule>
  </conditionalFormatting>
  <conditionalFormatting sqref="BB199:BB202">
    <cfRule type="cellIs" dxfId="7947" priority="3251" operator="lessThan">
      <formula>0</formula>
    </cfRule>
    <cfRule type="cellIs" dxfId="7946" priority="3252" operator="lessThan">
      <formula>-105575</formula>
    </cfRule>
  </conditionalFormatting>
  <conditionalFormatting sqref="BB199:BB202">
    <cfRule type="cellIs" dxfId="7945" priority="3249" operator="lessThan">
      <formula>0</formula>
    </cfRule>
    <cfRule type="cellIs" dxfId="7944" priority="3250" operator="lessThan">
      <formula>-105575</formula>
    </cfRule>
  </conditionalFormatting>
  <conditionalFormatting sqref="BB199:BB202">
    <cfRule type="cellIs" dxfId="7943" priority="3247" operator="lessThan">
      <formula>0</formula>
    </cfRule>
    <cfRule type="cellIs" dxfId="7942" priority="3248" operator="lessThan">
      <formula>-105575</formula>
    </cfRule>
  </conditionalFormatting>
  <conditionalFormatting sqref="BB204:BB208">
    <cfRule type="cellIs" dxfId="7941" priority="3245" operator="lessThan">
      <formula>0</formula>
    </cfRule>
    <cfRule type="cellIs" dxfId="7940" priority="3246" operator="lessThan">
      <formula>-105575</formula>
    </cfRule>
  </conditionalFormatting>
  <conditionalFormatting sqref="BB204:BB208">
    <cfRule type="cellIs" dxfId="7939" priority="3243" operator="lessThan">
      <formula>0</formula>
    </cfRule>
    <cfRule type="cellIs" dxfId="7938" priority="3244" operator="lessThan">
      <formula>-105575</formula>
    </cfRule>
  </conditionalFormatting>
  <conditionalFormatting sqref="BB204:BB208">
    <cfRule type="cellIs" dxfId="7937" priority="3241" operator="lessThan">
      <formula>0</formula>
    </cfRule>
    <cfRule type="cellIs" dxfId="7936" priority="3242" operator="lessThan">
      <formula>-105575</formula>
    </cfRule>
  </conditionalFormatting>
  <conditionalFormatting sqref="BB210:BB211">
    <cfRule type="cellIs" dxfId="7935" priority="3239" operator="lessThan">
      <formula>0</formula>
    </cfRule>
    <cfRule type="cellIs" dxfId="7934" priority="3240" operator="lessThan">
      <formula>-105575</formula>
    </cfRule>
  </conditionalFormatting>
  <conditionalFormatting sqref="BB210:BB211">
    <cfRule type="cellIs" dxfId="7933" priority="3237" operator="lessThan">
      <formula>0</formula>
    </cfRule>
    <cfRule type="cellIs" dxfId="7932" priority="3238" operator="lessThan">
      <formula>-105575</formula>
    </cfRule>
  </conditionalFormatting>
  <conditionalFormatting sqref="BB210:BB211">
    <cfRule type="cellIs" dxfId="7931" priority="3235" operator="lessThan">
      <formula>0</formula>
    </cfRule>
    <cfRule type="cellIs" dxfId="7930" priority="3236" operator="lessThan">
      <formula>-105575</formula>
    </cfRule>
  </conditionalFormatting>
  <conditionalFormatting sqref="BB214:BB219">
    <cfRule type="cellIs" dxfId="7929" priority="3233" operator="lessThan">
      <formula>0</formula>
    </cfRule>
    <cfRule type="cellIs" dxfId="7928" priority="3234" operator="lessThan">
      <formula>-105575</formula>
    </cfRule>
  </conditionalFormatting>
  <conditionalFormatting sqref="BB214:BB219">
    <cfRule type="cellIs" dxfId="7927" priority="3231" operator="lessThan">
      <formula>0</formula>
    </cfRule>
    <cfRule type="cellIs" dxfId="7926" priority="3232" operator="lessThan">
      <formula>-105575</formula>
    </cfRule>
  </conditionalFormatting>
  <conditionalFormatting sqref="BB214:BB219">
    <cfRule type="cellIs" dxfId="7925" priority="3229" operator="lessThan">
      <formula>0</formula>
    </cfRule>
    <cfRule type="cellIs" dxfId="7924" priority="3230" operator="lessThan">
      <formula>-105575</formula>
    </cfRule>
  </conditionalFormatting>
  <conditionalFormatting sqref="BB222:BB224">
    <cfRule type="cellIs" dxfId="7923" priority="3227" operator="lessThan">
      <formula>0</formula>
    </cfRule>
    <cfRule type="cellIs" dxfId="7922" priority="3228" operator="lessThan">
      <formula>-105575</formula>
    </cfRule>
  </conditionalFormatting>
  <conditionalFormatting sqref="BB222:BB224">
    <cfRule type="cellIs" dxfId="7921" priority="3225" operator="lessThan">
      <formula>0</formula>
    </cfRule>
    <cfRule type="cellIs" dxfId="7920" priority="3226" operator="lessThan">
      <formula>-105575</formula>
    </cfRule>
  </conditionalFormatting>
  <conditionalFormatting sqref="BB222:BB224">
    <cfRule type="cellIs" dxfId="7919" priority="3223" operator="lessThan">
      <formula>0</formula>
    </cfRule>
    <cfRule type="cellIs" dxfId="7918" priority="3224" operator="lessThan">
      <formula>-105575</formula>
    </cfRule>
  </conditionalFormatting>
  <conditionalFormatting sqref="BB227:BB230">
    <cfRule type="cellIs" dxfId="7917" priority="3221" operator="lessThan">
      <formula>0</formula>
    </cfRule>
    <cfRule type="cellIs" dxfId="7916" priority="3222" operator="lessThan">
      <formula>-105575</formula>
    </cfRule>
  </conditionalFormatting>
  <conditionalFormatting sqref="BB227:BB230">
    <cfRule type="cellIs" dxfId="7915" priority="3219" operator="lessThan">
      <formula>0</formula>
    </cfRule>
    <cfRule type="cellIs" dxfId="7914" priority="3220" operator="lessThan">
      <formula>-105575</formula>
    </cfRule>
  </conditionalFormatting>
  <conditionalFormatting sqref="BB227:BB230">
    <cfRule type="cellIs" dxfId="7913" priority="3217" operator="lessThan">
      <formula>0</formula>
    </cfRule>
    <cfRule type="cellIs" dxfId="7912" priority="3218" operator="lessThan">
      <formula>-105575</formula>
    </cfRule>
  </conditionalFormatting>
  <conditionalFormatting sqref="BB203 BB220:BB221 BB235:BB243 BB231:BB233 BB212:BB213 BB225:BB226">
    <cfRule type="cellIs" dxfId="7911" priority="3215" operator="lessThan">
      <formula>0</formula>
    </cfRule>
    <cfRule type="cellIs" dxfId="7910" priority="3216" operator="lessThan">
      <formula>-105575</formula>
    </cfRule>
  </conditionalFormatting>
  <conditionalFormatting sqref="BB220 BB212:BB213 BB235:BB238 BB240:BB243 BB225:BB226 BB231:BB233">
    <cfRule type="cellIs" dxfId="7909" priority="3213" operator="lessThan">
      <formula>0</formula>
    </cfRule>
    <cfRule type="cellIs" dxfId="7908" priority="3214" operator="lessThan">
      <formula>-105575</formula>
    </cfRule>
  </conditionalFormatting>
  <conditionalFormatting sqref="BB220:BB221 BB243 BB226 BB231:BB236 BB238:BB241 BB203 BB213">
    <cfRule type="cellIs" dxfId="7907" priority="3211" operator="lessThan">
      <formula>0</formula>
    </cfRule>
    <cfRule type="cellIs" dxfId="7906" priority="3212" operator="lessThan">
      <formula>-105575</formula>
    </cfRule>
  </conditionalFormatting>
  <conditionalFormatting sqref="BB235:BB243 BB231:BB233 BB220 BB212:BB213 BB225:BB226">
    <cfRule type="cellIs" dxfId="7905" priority="3209" operator="lessThan">
      <formula>0</formula>
    </cfRule>
    <cfRule type="cellIs" dxfId="7904" priority="3210" operator="lessThan">
      <formula>-105575</formula>
    </cfRule>
  </conditionalFormatting>
  <conditionalFormatting sqref="BB220:BB221 BB237:BB243 BB203 BB231:BB235 BB212:BB213 BB225:BB226">
    <cfRule type="cellIs" dxfId="7903" priority="3207" operator="lessThan">
      <formula>0</formula>
    </cfRule>
    <cfRule type="cellIs" dxfId="7902" priority="3208" operator="lessThan">
      <formula>-105575</formula>
    </cfRule>
  </conditionalFormatting>
  <conditionalFormatting sqref="BB220:BB221 BB237:BB240 BB242:BB243 BB225:BB226 BB231:BB235">
    <cfRule type="cellIs" dxfId="7901" priority="3205" operator="lessThan">
      <formula>0</formula>
    </cfRule>
    <cfRule type="cellIs" dxfId="7900" priority="3206" operator="lessThan">
      <formula>-105575</formula>
    </cfRule>
  </conditionalFormatting>
  <conditionalFormatting sqref="BB212 BB231 BB233:BB238 BB240:BB243 BB225">
    <cfRule type="cellIs" dxfId="7899" priority="3203" operator="lessThan">
      <formula>0</formula>
    </cfRule>
    <cfRule type="cellIs" dxfId="7898" priority="3204" operator="lessThan">
      <formula>-105575</formula>
    </cfRule>
  </conditionalFormatting>
  <conditionalFormatting sqref="BB237:BB243 BB231:BB235 BB220:BB221 BB225:BB226">
    <cfRule type="cellIs" dxfId="7897" priority="3201" operator="lessThan">
      <formula>0</formula>
    </cfRule>
    <cfRule type="cellIs" dxfId="7896" priority="3202" operator="lessThan">
      <formula>-105575</formula>
    </cfRule>
  </conditionalFormatting>
  <conditionalFormatting sqref="BB233:BB237 BB231 BB239:BB243">
    <cfRule type="cellIs" dxfId="7895" priority="3199" operator="lessThan">
      <formula>0</formula>
    </cfRule>
    <cfRule type="cellIs" dxfId="7894" priority="3200" operator="lessThan">
      <formula>-105575</formula>
    </cfRule>
  </conditionalFormatting>
  <conditionalFormatting sqref="BB233:BB237 BB231 BB239:BB243">
    <cfRule type="cellIs" dxfId="7893" priority="3197" operator="lessThan">
      <formula>0</formula>
    </cfRule>
    <cfRule type="cellIs" dxfId="7892" priority="3198" operator="lessThan">
      <formula>-105575</formula>
    </cfRule>
  </conditionalFormatting>
  <conditionalFormatting sqref="BB119:BB128 BB106:BB117 BB101:BB104 BB80:BB98">
    <cfRule type="cellIs" dxfId="7891" priority="3195" operator="lessThan">
      <formula>0</formula>
    </cfRule>
    <cfRule type="cellIs" dxfId="7890" priority="3196" operator="lessThan">
      <formula>-105575</formula>
    </cfRule>
  </conditionalFormatting>
  <conditionalFormatting sqref="BB130 BB132 BB134">
    <cfRule type="cellIs" dxfId="7889" priority="3193" operator="lessThan">
      <formula>0</formula>
    </cfRule>
    <cfRule type="cellIs" dxfId="7888" priority="3194" operator="lessThan">
      <formula>-105575</formula>
    </cfRule>
  </conditionalFormatting>
  <conditionalFormatting sqref="BB130 BB132 BB134">
    <cfRule type="cellIs" dxfId="7887" priority="3191" operator="lessThan">
      <formula>0</formula>
    </cfRule>
    <cfRule type="cellIs" dxfId="7886" priority="3192" operator="lessThan">
      <formula>-105575</formula>
    </cfRule>
  </conditionalFormatting>
  <conditionalFormatting sqref="BB129 BB131 BB133 BB135">
    <cfRule type="cellIs" dxfId="7885" priority="3189" operator="lessThan">
      <formula>0</formula>
    </cfRule>
    <cfRule type="cellIs" dxfId="7884" priority="3190" operator="lessThan">
      <formula>-105575</formula>
    </cfRule>
  </conditionalFormatting>
  <conditionalFormatting sqref="BB140 BB145 BB142:BB143 BB137:BB138">
    <cfRule type="cellIs" dxfId="7883" priority="3187" operator="lessThan">
      <formula>0</formula>
    </cfRule>
    <cfRule type="cellIs" dxfId="7882" priority="3188" operator="lessThan">
      <formula>-105575</formula>
    </cfRule>
  </conditionalFormatting>
  <conditionalFormatting sqref="BB149">
    <cfRule type="cellIs" dxfId="7881" priority="3185" operator="lessThan">
      <formula>0</formula>
    </cfRule>
    <cfRule type="cellIs" dxfId="7880" priority="3186" operator="lessThan">
      <formula>-105575</formula>
    </cfRule>
  </conditionalFormatting>
  <conditionalFormatting sqref="BB129:BB138 BB140:BB149">
    <cfRule type="cellIs" dxfId="7879" priority="3183" operator="lessThan">
      <formula>0</formula>
    </cfRule>
    <cfRule type="cellIs" dxfId="7878" priority="3184" operator="lessThan">
      <formula>-105575</formula>
    </cfRule>
  </conditionalFormatting>
  <conditionalFormatting sqref="BB94:BB98 BB86:BB87 BB89:BB91 BB141:BB149 BB124:BB133 BB107:BB110 BB112:BB117 BB119:BB122 BB135:BB138 BB101:BB104 BB80:BB84">
    <cfRule type="cellIs" dxfId="7877" priority="3181" operator="lessThan">
      <formula>0</formula>
    </cfRule>
    <cfRule type="cellIs" dxfId="7876" priority="3182" operator="lessThan">
      <formula>-105575</formula>
    </cfRule>
  </conditionalFormatting>
  <conditionalFormatting sqref="BB129 BB131 BB133 BB135">
    <cfRule type="cellIs" dxfId="7875" priority="3179" operator="lessThan">
      <formula>0</formula>
    </cfRule>
    <cfRule type="cellIs" dxfId="7874" priority="3180" operator="lessThan">
      <formula>-105575</formula>
    </cfRule>
  </conditionalFormatting>
  <conditionalFormatting sqref="BB146 BB144 BB141">
    <cfRule type="cellIs" dxfId="7873" priority="3177" operator="lessThan">
      <formula>0</formula>
    </cfRule>
    <cfRule type="cellIs" dxfId="7872" priority="3178" operator="lessThan">
      <formula>-105575</formula>
    </cfRule>
  </conditionalFormatting>
  <conditionalFormatting sqref="BB146 BB144 BB141">
    <cfRule type="cellIs" dxfId="7871" priority="3175" operator="lessThan">
      <formula>0</formula>
    </cfRule>
    <cfRule type="cellIs" dxfId="7870" priority="3176" operator="lessThan">
      <formula>-105575</formula>
    </cfRule>
  </conditionalFormatting>
  <conditionalFormatting sqref="BB140 BB145 BB142:BB143 BB137:BB138">
    <cfRule type="cellIs" dxfId="7869" priority="3173" operator="lessThan">
      <formula>0</formula>
    </cfRule>
    <cfRule type="cellIs" dxfId="7868" priority="3174" operator="lessThan">
      <formula>-105575</formula>
    </cfRule>
  </conditionalFormatting>
  <conditionalFormatting sqref="BB149">
    <cfRule type="cellIs" dxfId="7867" priority="3171" operator="lessThan">
      <formula>0</formula>
    </cfRule>
    <cfRule type="cellIs" dxfId="7866" priority="3172" operator="lessThan">
      <formula>-105575</formula>
    </cfRule>
  </conditionalFormatting>
  <conditionalFormatting sqref="BB94:BB98 BB86:BB87 BB89:BB91 BB141:BB149 BB124:BB133 BB107:BB110 BB112:BB117 BB119:BB122 BB135:BB138 BB101:BB104 BB80:BB84">
    <cfRule type="cellIs" dxfId="7865" priority="3169" operator="lessThan">
      <formula>0</formula>
    </cfRule>
    <cfRule type="cellIs" dxfId="7864" priority="3170" operator="lessThan">
      <formula>-105575</formula>
    </cfRule>
  </conditionalFormatting>
  <conditionalFormatting sqref="BB62:BB76 BB306:BB309 BB311:BB325 BB327:BB330 BB332:BB341 BB344:BB347 BB349:BB353 BB355:BB358 BB360:BB384 BB386:BB389 BB392:BB395 BB397:BB411 BB413:BB416 BB418:BB432 BB434:BB437 BB439:BB453 BB455:BB458 BB460:BB469 BB7:BB10 BB12:BB14 BB17:BB18 BB21:BB24 BB26:BB28 BB30:BB36 BB38 BB41:BB43 BB46:BB49 BB51:BB55 BB57:BB59 BB290:BB291 BB293:BB304">
    <cfRule type="cellIs" dxfId="7863" priority="3167" operator="lessThan">
      <formula>0</formula>
    </cfRule>
    <cfRule type="cellIs" dxfId="7862" priority="3168" operator="lessThan">
      <formula>-105575</formula>
    </cfRule>
  </conditionalFormatting>
  <conditionalFormatting sqref="BB41">
    <cfRule type="cellIs" dxfId="7861" priority="3165" operator="lessThan">
      <formula>0</formula>
    </cfRule>
    <cfRule type="cellIs" dxfId="7860" priority="3166" operator="lessThan">
      <formula>-105575</formula>
    </cfRule>
  </conditionalFormatting>
  <conditionalFormatting sqref="BB152:BB155">
    <cfRule type="cellIs" dxfId="7859" priority="3163" operator="lessThan">
      <formula>0</formula>
    </cfRule>
    <cfRule type="cellIs" dxfId="7858" priority="3164" operator="lessThan">
      <formula>-105575</formula>
    </cfRule>
  </conditionalFormatting>
  <conditionalFormatting sqref="BB152:BB155">
    <cfRule type="cellIs" dxfId="7857" priority="3161" operator="lessThan">
      <formula>0</formula>
    </cfRule>
    <cfRule type="cellIs" dxfId="7856" priority="3162" operator="lessThan">
      <formula>-105575</formula>
    </cfRule>
  </conditionalFormatting>
  <conditionalFormatting sqref="BB152:BB155">
    <cfRule type="cellIs" dxfId="7855" priority="3159" operator="lessThan">
      <formula>0</formula>
    </cfRule>
    <cfRule type="cellIs" dxfId="7854" priority="3160" operator="lessThan">
      <formula>-105575</formula>
    </cfRule>
  </conditionalFormatting>
  <conditionalFormatting sqref="BB157:BB158">
    <cfRule type="cellIs" dxfId="7853" priority="3157" operator="lessThan">
      <formula>0</formula>
    </cfRule>
    <cfRule type="cellIs" dxfId="7852" priority="3158" operator="lessThan">
      <formula>-105575</formula>
    </cfRule>
  </conditionalFormatting>
  <conditionalFormatting sqref="BB157:BB158">
    <cfRule type="cellIs" dxfId="7851" priority="3155" operator="lessThan">
      <formula>0</formula>
    </cfRule>
    <cfRule type="cellIs" dxfId="7850" priority="3156" operator="lessThan">
      <formula>-105575</formula>
    </cfRule>
  </conditionalFormatting>
  <conditionalFormatting sqref="BB157:BB158">
    <cfRule type="cellIs" dxfId="7849" priority="3153" operator="lessThan">
      <formula>0</formula>
    </cfRule>
    <cfRule type="cellIs" dxfId="7848" priority="3154" operator="lessThan">
      <formula>-105575</formula>
    </cfRule>
  </conditionalFormatting>
  <conditionalFormatting sqref="BB160:BB161">
    <cfRule type="cellIs" dxfId="7847" priority="3151" operator="lessThan">
      <formula>0</formula>
    </cfRule>
    <cfRule type="cellIs" dxfId="7846" priority="3152" operator="lessThan">
      <formula>-105575</formula>
    </cfRule>
  </conditionalFormatting>
  <conditionalFormatting sqref="BB160:BB161">
    <cfRule type="cellIs" dxfId="7845" priority="3149" operator="lessThan">
      <formula>0</formula>
    </cfRule>
    <cfRule type="cellIs" dxfId="7844" priority="3150" operator="lessThan">
      <formula>-105575</formula>
    </cfRule>
  </conditionalFormatting>
  <conditionalFormatting sqref="BB160:BB161">
    <cfRule type="cellIs" dxfId="7843" priority="3147" operator="lessThan">
      <formula>0</formula>
    </cfRule>
    <cfRule type="cellIs" dxfId="7842" priority="3148" operator="lessThan">
      <formula>-105575</formula>
    </cfRule>
  </conditionalFormatting>
  <conditionalFormatting sqref="BB164:BB167">
    <cfRule type="cellIs" dxfId="7841" priority="3145" operator="lessThan">
      <formula>0</formula>
    </cfRule>
    <cfRule type="cellIs" dxfId="7840" priority="3146" operator="lessThan">
      <formula>-105575</formula>
    </cfRule>
  </conditionalFormatting>
  <conditionalFormatting sqref="BB164:BB167">
    <cfRule type="cellIs" dxfId="7839" priority="3143" operator="lessThan">
      <formula>0</formula>
    </cfRule>
    <cfRule type="cellIs" dxfId="7838" priority="3144" operator="lessThan">
      <formula>-105575</formula>
    </cfRule>
  </conditionalFormatting>
  <conditionalFormatting sqref="BB164:BB167">
    <cfRule type="cellIs" dxfId="7837" priority="3141" operator="lessThan">
      <formula>0</formula>
    </cfRule>
    <cfRule type="cellIs" dxfId="7836" priority="3142" operator="lessThan">
      <formula>-105575</formula>
    </cfRule>
  </conditionalFormatting>
  <conditionalFormatting sqref="BB169:BB177">
    <cfRule type="cellIs" dxfId="7835" priority="3139" operator="lessThan">
      <formula>0</formula>
    </cfRule>
    <cfRule type="cellIs" dxfId="7834" priority="3140" operator="lessThan">
      <formula>-105575</formula>
    </cfRule>
  </conditionalFormatting>
  <conditionalFormatting sqref="BB169:BB177">
    <cfRule type="cellIs" dxfId="7833" priority="3137" operator="lessThan">
      <formula>0</formula>
    </cfRule>
    <cfRule type="cellIs" dxfId="7832" priority="3138" operator="lessThan">
      <formula>-105575</formula>
    </cfRule>
  </conditionalFormatting>
  <conditionalFormatting sqref="BB169:BB177">
    <cfRule type="cellIs" dxfId="7831" priority="3135" operator="lessThan">
      <formula>0</formula>
    </cfRule>
    <cfRule type="cellIs" dxfId="7830" priority="3136" operator="lessThan">
      <formula>-105575</formula>
    </cfRule>
  </conditionalFormatting>
  <conditionalFormatting sqref="BB179:BB180">
    <cfRule type="cellIs" dxfId="7829" priority="3133" operator="lessThan">
      <formula>0</formula>
    </cfRule>
    <cfRule type="cellIs" dxfId="7828" priority="3134" operator="lessThan">
      <formula>-105575</formula>
    </cfRule>
  </conditionalFormatting>
  <conditionalFormatting sqref="BB179:BB180">
    <cfRule type="cellIs" dxfId="7827" priority="3131" operator="lessThan">
      <formula>0</formula>
    </cfRule>
    <cfRule type="cellIs" dxfId="7826" priority="3132" operator="lessThan">
      <formula>-105575</formula>
    </cfRule>
  </conditionalFormatting>
  <conditionalFormatting sqref="BB179:BB180">
    <cfRule type="cellIs" dxfId="7825" priority="3129" operator="lessThan">
      <formula>0</formula>
    </cfRule>
    <cfRule type="cellIs" dxfId="7824" priority="3130" operator="lessThan">
      <formula>-105575</formula>
    </cfRule>
  </conditionalFormatting>
  <conditionalFormatting sqref="BB183:BB189">
    <cfRule type="cellIs" dxfId="7823" priority="3127" operator="lessThan">
      <formula>0</formula>
    </cfRule>
    <cfRule type="cellIs" dxfId="7822" priority="3128" operator="lessThan">
      <formula>-105575</formula>
    </cfRule>
  </conditionalFormatting>
  <conditionalFormatting sqref="BB183:BB189">
    <cfRule type="cellIs" dxfId="7821" priority="3125" operator="lessThan">
      <formula>0</formula>
    </cfRule>
    <cfRule type="cellIs" dxfId="7820" priority="3126" operator="lessThan">
      <formula>-105575</formula>
    </cfRule>
  </conditionalFormatting>
  <conditionalFormatting sqref="BB183:BB189">
    <cfRule type="cellIs" dxfId="7819" priority="3123" operator="lessThan">
      <formula>0</formula>
    </cfRule>
    <cfRule type="cellIs" dxfId="7818" priority="3124" operator="lessThan">
      <formula>-105575</formula>
    </cfRule>
  </conditionalFormatting>
  <conditionalFormatting sqref="BB191:BB192">
    <cfRule type="cellIs" dxfId="7817" priority="3121" operator="lessThan">
      <formula>0</formula>
    </cfRule>
    <cfRule type="cellIs" dxfId="7816" priority="3122" operator="lessThan">
      <formula>-105575</formula>
    </cfRule>
  </conditionalFormatting>
  <conditionalFormatting sqref="BB191:BB192">
    <cfRule type="cellIs" dxfId="7815" priority="3119" operator="lessThan">
      <formula>0</formula>
    </cfRule>
    <cfRule type="cellIs" dxfId="7814" priority="3120" operator="lessThan">
      <formula>-105575</formula>
    </cfRule>
  </conditionalFormatting>
  <conditionalFormatting sqref="BB191:BB192">
    <cfRule type="cellIs" dxfId="7813" priority="3117" operator="lessThan">
      <formula>0</formula>
    </cfRule>
    <cfRule type="cellIs" dxfId="7812" priority="3118" operator="lessThan">
      <formula>-105575</formula>
    </cfRule>
  </conditionalFormatting>
  <conditionalFormatting sqref="BB194:BB195">
    <cfRule type="cellIs" dxfId="7811" priority="3115" operator="lessThan">
      <formula>0</formula>
    </cfRule>
    <cfRule type="cellIs" dxfId="7810" priority="3116" operator="lessThan">
      <formula>-105575</formula>
    </cfRule>
  </conditionalFormatting>
  <conditionalFormatting sqref="BB194:BB195">
    <cfRule type="cellIs" dxfId="7809" priority="3113" operator="lessThan">
      <formula>0</formula>
    </cfRule>
    <cfRule type="cellIs" dxfId="7808" priority="3114" operator="lessThan">
      <formula>-105575</formula>
    </cfRule>
  </conditionalFormatting>
  <conditionalFormatting sqref="BB194:BB195">
    <cfRule type="cellIs" dxfId="7807" priority="3111" operator="lessThan">
      <formula>0</formula>
    </cfRule>
    <cfRule type="cellIs" dxfId="7806" priority="3112" operator="lessThan">
      <formula>-105575</formula>
    </cfRule>
  </conditionalFormatting>
  <conditionalFormatting sqref="BB199:BB202">
    <cfRule type="cellIs" dxfId="7805" priority="3109" operator="lessThan">
      <formula>0</formula>
    </cfRule>
    <cfRule type="cellIs" dxfId="7804" priority="3110" operator="lessThan">
      <formula>-105575</formula>
    </cfRule>
  </conditionalFormatting>
  <conditionalFormatting sqref="BB199:BB202">
    <cfRule type="cellIs" dxfId="7803" priority="3107" operator="lessThan">
      <formula>0</formula>
    </cfRule>
    <cfRule type="cellIs" dxfId="7802" priority="3108" operator="lessThan">
      <formula>-105575</formula>
    </cfRule>
  </conditionalFormatting>
  <conditionalFormatting sqref="BB199:BB202">
    <cfRule type="cellIs" dxfId="7801" priority="3105" operator="lessThan">
      <formula>0</formula>
    </cfRule>
    <cfRule type="cellIs" dxfId="7800" priority="3106" operator="lessThan">
      <formula>-105575</formula>
    </cfRule>
  </conditionalFormatting>
  <conditionalFormatting sqref="BB204:BB208">
    <cfRule type="cellIs" dxfId="7799" priority="3103" operator="lessThan">
      <formula>0</formula>
    </cfRule>
    <cfRule type="cellIs" dxfId="7798" priority="3104" operator="lessThan">
      <formula>-105575</formula>
    </cfRule>
  </conditionalFormatting>
  <conditionalFormatting sqref="BB204:BB208">
    <cfRule type="cellIs" dxfId="7797" priority="3101" operator="lessThan">
      <formula>0</formula>
    </cfRule>
    <cfRule type="cellIs" dxfId="7796" priority="3102" operator="lessThan">
      <formula>-105575</formula>
    </cfRule>
  </conditionalFormatting>
  <conditionalFormatting sqref="BB204:BB208">
    <cfRule type="cellIs" dxfId="7795" priority="3099" operator="lessThan">
      <formula>0</formula>
    </cfRule>
    <cfRule type="cellIs" dxfId="7794" priority="3100" operator="lessThan">
      <formula>-105575</formula>
    </cfRule>
  </conditionalFormatting>
  <conditionalFormatting sqref="BB210:BB211">
    <cfRule type="cellIs" dxfId="7793" priority="3097" operator="lessThan">
      <formula>0</formula>
    </cfRule>
    <cfRule type="cellIs" dxfId="7792" priority="3098" operator="lessThan">
      <formula>-105575</formula>
    </cfRule>
  </conditionalFormatting>
  <conditionalFormatting sqref="BB210:BB211">
    <cfRule type="cellIs" dxfId="7791" priority="3095" operator="lessThan">
      <formula>0</formula>
    </cfRule>
    <cfRule type="cellIs" dxfId="7790" priority="3096" operator="lessThan">
      <formula>-105575</formula>
    </cfRule>
  </conditionalFormatting>
  <conditionalFormatting sqref="BB210:BB211">
    <cfRule type="cellIs" dxfId="7789" priority="3093" operator="lessThan">
      <formula>0</formula>
    </cfRule>
    <cfRule type="cellIs" dxfId="7788" priority="3094" operator="lessThan">
      <formula>-105575</formula>
    </cfRule>
  </conditionalFormatting>
  <conditionalFormatting sqref="BB214:BB219">
    <cfRule type="cellIs" dxfId="7787" priority="3091" operator="lessThan">
      <formula>0</formula>
    </cfRule>
    <cfRule type="cellIs" dxfId="7786" priority="3092" operator="lessThan">
      <formula>-105575</formula>
    </cfRule>
  </conditionalFormatting>
  <conditionalFormatting sqref="BB214:BB219">
    <cfRule type="cellIs" dxfId="7785" priority="3089" operator="lessThan">
      <formula>0</formula>
    </cfRule>
    <cfRule type="cellIs" dxfId="7784" priority="3090" operator="lessThan">
      <formula>-105575</formula>
    </cfRule>
  </conditionalFormatting>
  <conditionalFormatting sqref="BB214:BB219">
    <cfRule type="cellIs" dxfId="7783" priority="3087" operator="lessThan">
      <formula>0</formula>
    </cfRule>
    <cfRule type="cellIs" dxfId="7782" priority="3088" operator="lessThan">
      <formula>-105575</formula>
    </cfRule>
  </conditionalFormatting>
  <conditionalFormatting sqref="BB222:BB224">
    <cfRule type="cellIs" dxfId="7781" priority="3085" operator="lessThan">
      <formula>0</formula>
    </cfRule>
    <cfRule type="cellIs" dxfId="7780" priority="3086" operator="lessThan">
      <formula>-105575</formula>
    </cfRule>
  </conditionalFormatting>
  <conditionalFormatting sqref="BB222:BB224">
    <cfRule type="cellIs" dxfId="7779" priority="3083" operator="lessThan">
      <formula>0</formula>
    </cfRule>
    <cfRule type="cellIs" dxfId="7778" priority="3084" operator="lessThan">
      <formula>-105575</formula>
    </cfRule>
  </conditionalFormatting>
  <conditionalFormatting sqref="BB222:BB224">
    <cfRule type="cellIs" dxfId="7777" priority="3081" operator="lessThan">
      <formula>0</formula>
    </cfRule>
    <cfRule type="cellIs" dxfId="7776" priority="3082" operator="lessThan">
      <formula>-105575</formula>
    </cfRule>
  </conditionalFormatting>
  <conditionalFormatting sqref="BB227:BB230">
    <cfRule type="cellIs" dxfId="7775" priority="3079" operator="lessThan">
      <formula>0</formula>
    </cfRule>
    <cfRule type="cellIs" dxfId="7774" priority="3080" operator="lessThan">
      <formula>-105575</formula>
    </cfRule>
  </conditionalFormatting>
  <conditionalFormatting sqref="BB227:BB230">
    <cfRule type="cellIs" dxfId="7773" priority="3077" operator="lessThan">
      <formula>0</formula>
    </cfRule>
    <cfRule type="cellIs" dxfId="7772" priority="3078" operator="lessThan">
      <formula>-105575</formula>
    </cfRule>
  </conditionalFormatting>
  <conditionalFormatting sqref="BB227:BB230">
    <cfRule type="cellIs" dxfId="7771" priority="3075" operator="lessThan">
      <formula>0</formula>
    </cfRule>
    <cfRule type="cellIs" dxfId="7770" priority="3076" operator="lessThan">
      <formula>-105575</formula>
    </cfRule>
  </conditionalFormatting>
  <conditionalFormatting sqref="BB246:BB249">
    <cfRule type="cellIs" dxfId="7769" priority="3073" operator="lessThan">
      <formula>0</formula>
    </cfRule>
    <cfRule type="cellIs" dxfId="7768" priority="3074" operator="lessThan">
      <formula>-105575</formula>
    </cfRule>
  </conditionalFormatting>
  <conditionalFormatting sqref="BB246:BB249">
    <cfRule type="cellIs" dxfId="7767" priority="3071" operator="lessThan">
      <formula>0</formula>
    </cfRule>
    <cfRule type="cellIs" dxfId="7766" priority="3072" operator="lessThan">
      <formula>-105575</formula>
    </cfRule>
  </conditionalFormatting>
  <conditionalFormatting sqref="BB246:BB249">
    <cfRule type="cellIs" dxfId="7765" priority="3069" operator="lessThan">
      <formula>0</formula>
    </cfRule>
    <cfRule type="cellIs" dxfId="7764" priority="3070" operator="lessThan">
      <formula>-105575</formula>
    </cfRule>
  </conditionalFormatting>
  <conditionalFormatting sqref="BB246:BB249">
    <cfRule type="cellIs" dxfId="7763" priority="3067" operator="lessThan">
      <formula>0</formula>
    </cfRule>
    <cfRule type="cellIs" dxfId="7762" priority="3068" operator="lessThan">
      <formula>-105575</formula>
    </cfRule>
  </conditionalFormatting>
  <conditionalFormatting sqref="BB246:BB249">
    <cfRule type="cellIs" dxfId="7761" priority="3065" operator="lessThan">
      <formula>0</formula>
    </cfRule>
    <cfRule type="cellIs" dxfId="7760" priority="3066" operator="lessThan">
      <formula>-105575</formula>
    </cfRule>
  </conditionalFormatting>
  <conditionalFormatting sqref="BB246:BB249">
    <cfRule type="cellIs" dxfId="7759" priority="3063" operator="lessThan">
      <formula>0</formula>
    </cfRule>
    <cfRule type="cellIs" dxfId="7758" priority="3064" operator="lessThan">
      <formula>-105575</formula>
    </cfRule>
  </conditionalFormatting>
  <conditionalFormatting sqref="BB246:BB249">
    <cfRule type="cellIs" dxfId="7757" priority="3061" operator="lessThan">
      <formula>0</formula>
    </cfRule>
    <cfRule type="cellIs" dxfId="7756" priority="3062" operator="lessThan">
      <formula>-105575</formula>
    </cfRule>
  </conditionalFormatting>
  <conditionalFormatting sqref="BB246:BB249">
    <cfRule type="cellIs" dxfId="7755" priority="3059" operator="lessThan">
      <formula>0</formula>
    </cfRule>
    <cfRule type="cellIs" dxfId="7754" priority="3060" operator="lessThan">
      <formula>-105575</formula>
    </cfRule>
  </conditionalFormatting>
  <conditionalFormatting sqref="BB246:BB249">
    <cfRule type="cellIs" dxfId="7753" priority="3057" operator="lessThan">
      <formula>0</formula>
    </cfRule>
    <cfRule type="cellIs" dxfId="7752" priority="3058" operator="lessThan">
      <formula>-105575</formula>
    </cfRule>
  </conditionalFormatting>
  <conditionalFormatting sqref="BB251:BB253">
    <cfRule type="cellIs" dxfId="7751" priority="3055" operator="lessThan">
      <formula>0</formula>
    </cfRule>
    <cfRule type="cellIs" dxfId="7750" priority="3056" operator="lessThan">
      <formula>-105575</formula>
    </cfRule>
  </conditionalFormatting>
  <conditionalFormatting sqref="BB251:BB253">
    <cfRule type="cellIs" dxfId="7749" priority="3053" operator="lessThan">
      <formula>0</formula>
    </cfRule>
    <cfRule type="cellIs" dxfId="7748" priority="3054" operator="lessThan">
      <formula>-105575</formula>
    </cfRule>
  </conditionalFormatting>
  <conditionalFormatting sqref="BB251:BB253">
    <cfRule type="cellIs" dxfId="7747" priority="3051" operator="lessThan">
      <formula>0</formula>
    </cfRule>
    <cfRule type="cellIs" dxfId="7746" priority="3052" operator="lessThan">
      <formula>-105575</formula>
    </cfRule>
  </conditionalFormatting>
  <conditionalFormatting sqref="BB251:BB253">
    <cfRule type="cellIs" dxfId="7745" priority="3049" operator="lessThan">
      <formula>0</formula>
    </cfRule>
    <cfRule type="cellIs" dxfId="7744" priority="3050" operator="lessThan">
      <formula>-105575</formula>
    </cfRule>
  </conditionalFormatting>
  <conditionalFormatting sqref="BB251:BB253">
    <cfRule type="cellIs" dxfId="7743" priority="3047" operator="lessThan">
      <formula>0</formula>
    </cfRule>
    <cfRule type="cellIs" dxfId="7742" priority="3048" operator="lessThan">
      <formula>-105575</formula>
    </cfRule>
  </conditionalFormatting>
  <conditionalFormatting sqref="BB251:BB253">
    <cfRule type="cellIs" dxfId="7741" priority="3045" operator="lessThan">
      <formula>0</formula>
    </cfRule>
    <cfRule type="cellIs" dxfId="7740" priority="3046" operator="lessThan">
      <formula>-105575</formula>
    </cfRule>
  </conditionalFormatting>
  <conditionalFormatting sqref="BB251:BB253">
    <cfRule type="cellIs" dxfId="7739" priority="3043" operator="lessThan">
      <formula>0</formula>
    </cfRule>
    <cfRule type="cellIs" dxfId="7738" priority="3044" operator="lessThan">
      <formula>-105575</formula>
    </cfRule>
  </conditionalFormatting>
  <conditionalFormatting sqref="BB251:BB253">
    <cfRule type="cellIs" dxfId="7737" priority="3041" operator="lessThan">
      <formula>0</formula>
    </cfRule>
    <cfRule type="cellIs" dxfId="7736" priority="3042" operator="lessThan">
      <formula>-105575</formula>
    </cfRule>
  </conditionalFormatting>
  <conditionalFormatting sqref="BB251:BB253">
    <cfRule type="cellIs" dxfId="7735" priority="3039" operator="lessThan">
      <formula>0</formula>
    </cfRule>
    <cfRule type="cellIs" dxfId="7734" priority="3040" operator="lessThan">
      <formula>-105575</formula>
    </cfRule>
  </conditionalFormatting>
  <conditionalFormatting sqref="BB255:BB257">
    <cfRule type="cellIs" dxfId="7733" priority="3037" operator="lessThan">
      <formula>0</formula>
    </cfRule>
    <cfRule type="cellIs" dxfId="7732" priority="3038" operator="lessThan">
      <formula>-105575</formula>
    </cfRule>
  </conditionalFormatting>
  <conditionalFormatting sqref="BB255:BB257">
    <cfRule type="cellIs" dxfId="7731" priority="3035" operator="lessThan">
      <formula>0</formula>
    </cfRule>
    <cfRule type="cellIs" dxfId="7730" priority="3036" operator="lessThan">
      <formula>-105575</formula>
    </cfRule>
  </conditionalFormatting>
  <conditionalFormatting sqref="BB255:BB257">
    <cfRule type="cellIs" dxfId="7729" priority="3033" operator="lessThan">
      <formula>0</formula>
    </cfRule>
    <cfRule type="cellIs" dxfId="7728" priority="3034" operator="lessThan">
      <formula>-105575</formula>
    </cfRule>
  </conditionalFormatting>
  <conditionalFormatting sqref="BB255:BB257">
    <cfRule type="cellIs" dxfId="7727" priority="3031" operator="lessThan">
      <formula>0</formula>
    </cfRule>
    <cfRule type="cellIs" dxfId="7726" priority="3032" operator="lessThan">
      <formula>-105575</formula>
    </cfRule>
  </conditionalFormatting>
  <conditionalFormatting sqref="BB255:BB257">
    <cfRule type="cellIs" dxfId="7725" priority="3029" operator="lessThan">
      <formula>0</formula>
    </cfRule>
    <cfRule type="cellIs" dxfId="7724" priority="3030" operator="lessThan">
      <formula>-105575</formula>
    </cfRule>
  </conditionalFormatting>
  <conditionalFormatting sqref="BB255:BB257">
    <cfRule type="cellIs" dxfId="7723" priority="3027" operator="lessThan">
      <formula>0</formula>
    </cfRule>
    <cfRule type="cellIs" dxfId="7722" priority="3028" operator="lessThan">
      <formula>-105575</formula>
    </cfRule>
  </conditionalFormatting>
  <conditionalFormatting sqref="BB255:BB257">
    <cfRule type="cellIs" dxfId="7721" priority="3025" operator="lessThan">
      <formula>0</formula>
    </cfRule>
    <cfRule type="cellIs" dxfId="7720" priority="3026" operator="lessThan">
      <formula>-105575</formula>
    </cfRule>
  </conditionalFormatting>
  <conditionalFormatting sqref="BB255:BB257">
    <cfRule type="cellIs" dxfId="7719" priority="3023" operator="lessThan">
      <formula>0</formula>
    </cfRule>
    <cfRule type="cellIs" dxfId="7718" priority="3024" operator="lessThan">
      <formula>-105575</formula>
    </cfRule>
  </conditionalFormatting>
  <conditionalFormatting sqref="BB255:BB257">
    <cfRule type="cellIs" dxfId="7717" priority="3021" operator="lessThan">
      <formula>0</formula>
    </cfRule>
    <cfRule type="cellIs" dxfId="7716" priority="3022" operator="lessThan">
      <formula>-105575</formula>
    </cfRule>
  </conditionalFormatting>
  <conditionalFormatting sqref="BB260:BB262">
    <cfRule type="cellIs" dxfId="7715" priority="3019" operator="lessThan">
      <formula>0</formula>
    </cfRule>
    <cfRule type="cellIs" dxfId="7714" priority="3020" operator="lessThan">
      <formula>-105575</formula>
    </cfRule>
  </conditionalFormatting>
  <conditionalFormatting sqref="BB260:BB262">
    <cfRule type="cellIs" dxfId="7713" priority="3017" operator="lessThan">
      <formula>0</formula>
    </cfRule>
    <cfRule type="cellIs" dxfId="7712" priority="3018" operator="lessThan">
      <formula>-105575</formula>
    </cfRule>
  </conditionalFormatting>
  <conditionalFormatting sqref="BB260:BB262">
    <cfRule type="cellIs" dxfId="7711" priority="3015" operator="lessThan">
      <formula>0</formula>
    </cfRule>
    <cfRule type="cellIs" dxfId="7710" priority="3016" operator="lessThan">
      <formula>-105575</formula>
    </cfRule>
  </conditionalFormatting>
  <conditionalFormatting sqref="BB260:BB262">
    <cfRule type="cellIs" dxfId="7709" priority="3013" operator="lessThan">
      <formula>0</formula>
    </cfRule>
    <cfRule type="cellIs" dxfId="7708" priority="3014" operator="lessThan">
      <formula>-105575</formula>
    </cfRule>
  </conditionalFormatting>
  <conditionalFormatting sqref="BB260:BB262">
    <cfRule type="cellIs" dxfId="7707" priority="3011" operator="lessThan">
      <formula>0</formula>
    </cfRule>
    <cfRule type="cellIs" dxfId="7706" priority="3012" operator="lessThan">
      <formula>-105575</formula>
    </cfRule>
  </conditionalFormatting>
  <conditionalFormatting sqref="BB260:BB262">
    <cfRule type="cellIs" dxfId="7705" priority="3009" operator="lessThan">
      <formula>0</formula>
    </cfRule>
    <cfRule type="cellIs" dxfId="7704" priority="3010" operator="lessThan">
      <formula>-105575</formula>
    </cfRule>
  </conditionalFormatting>
  <conditionalFormatting sqref="BB260:BB262">
    <cfRule type="cellIs" dxfId="7703" priority="3007" operator="lessThan">
      <formula>0</formula>
    </cfRule>
    <cfRule type="cellIs" dxfId="7702" priority="3008" operator="lessThan">
      <formula>-105575</formula>
    </cfRule>
  </conditionalFormatting>
  <conditionalFormatting sqref="BB260:BB262">
    <cfRule type="cellIs" dxfId="7701" priority="3005" operator="lessThan">
      <formula>0</formula>
    </cfRule>
    <cfRule type="cellIs" dxfId="7700" priority="3006" operator="lessThan">
      <formula>-105575</formula>
    </cfRule>
  </conditionalFormatting>
  <conditionalFormatting sqref="BB260:BB262">
    <cfRule type="cellIs" dxfId="7699" priority="3003" operator="lessThan">
      <formula>0</formula>
    </cfRule>
    <cfRule type="cellIs" dxfId="7698" priority="3004" operator="lessThan">
      <formula>-105575</formula>
    </cfRule>
  </conditionalFormatting>
  <conditionalFormatting sqref="BB264:BB267">
    <cfRule type="cellIs" dxfId="7697" priority="3001" operator="lessThan">
      <formula>0</formula>
    </cfRule>
    <cfRule type="cellIs" dxfId="7696" priority="3002" operator="lessThan">
      <formula>-105575</formula>
    </cfRule>
  </conditionalFormatting>
  <conditionalFormatting sqref="BB264:BB267">
    <cfRule type="cellIs" dxfId="7695" priority="2999" operator="lessThan">
      <formula>0</formula>
    </cfRule>
    <cfRule type="cellIs" dxfId="7694" priority="3000" operator="lessThan">
      <formula>-105575</formula>
    </cfRule>
  </conditionalFormatting>
  <conditionalFormatting sqref="BB264:BB267">
    <cfRule type="cellIs" dxfId="7693" priority="2997" operator="lessThan">
      <formula>0</formula>
    </cfRule>
    <cfRule type="cellIs" dxfId="7692" priority="2998" operator="lessThan">
      <formula>-105575</formula>
    </cfRule>
  </conditionalFormatting>
  <conditionalFormatting sqref="BB264:BB267">
    <cfRule type="cellIs" dxfId="7691" priority="2995" operator="lessThan">
      <formula>0</formula>
    </cfRule>
    <cfRule type="cellIs" dxfId="7690" priority="2996" operator="lessThan">
      <formula>-105575</formula>
    </cfRule>
  </conditionalFormatting>
  <conditionalFormatting sqref="BB264:BB267">
    <cfRule type="cellIs" dxfId="7689" priority="2993" operator="lessThan">
      <formula>0</formula>
    </cfRule>
    <cfRule type="cellIs" dxfId="7688" priority="2994" operator="lessThan">
      <formula>-105575</formula>
    </cfRule>
  </conditionalFormatting>
  <conditionalFormatting sqref="BB264:BB267">
    <cfRule type="cellIs" dxfId="7687" priority="2991" operator="lessThan">
      <formula>0</formula>
    </cfRule>
    <cfRule type="cellIs" dxfId="7686" priority="2992" operator="lessThan">
      <formula>-105575</formula>
    </cfRule>
  </conditionalFormatting>
  <conditionalFormatting sqref="BB264:BB267">
    <cfRule type="cellIs" dxfId="7685" priority="2989" operator="lessThan">
      <formula>0</formula>
    </cfRule>
    <cfRule type="cellIs" dxfId="7684" priority="2990" operator="lessThan">
      <formula>-105575</formula>
    </cfRule>
  </conditionalFormatting>
  <conditionalFormatting sqref="BB264:BB267">
    <cfRule type="cellIs" dxfId="7683" priority="2987" operator="lessThan">
      <formula>0</formula>
    </cfRule>
    <cfRule type="cellIs" dxfId="7682" priority="2988" operator="lessThan">
      <formula>-105575</formula>
    </cfRule>
  </conditionalFormatting>
  <conditionalFormatting sqref="BB264:BB267">
    <cfRule type="cellIs" dxfId="7681" priority="2985" operator="lessThan">
      <formula>0</formula>
    </cfRule>
    <cfRule type="cellIs" dxfId="7680" priority="2986" operator="lessThan">
      <formula>-105575</formula>
    </cfRule>
  </conditionalFormatting>
  <conditionalFormatting sqref="BB270:BB272">
    <cfRule type="cellIs" dxfId="7679" priority="2983" operator="lessThan">
      <formula>0</formula>
    </cfRule>
    <cfRule type="cellIs" dxfId="7678" priority="2984" operator="lessThan">
      <formula>-105575</formula>
    </cfRule>
  </conditionalFormatting>
  <conditionalFormatting sqref="BB270:BB272">
    <cfRule type="cellIs" dxfId="7677" priority="2981" operator="lessThan">
      <formula>0</formula>
    </cfRule>
    <cfRule type="cellIs" dxfId="7676" priority="2982" operator="lessThan">
      <formula>-105575</formula>
    </cfRule>
  </conditionalFormatting>
  <conditionalFormatting sqref="BB270:BB272">
    <cfRule type="cellIs" dxfId="7675" priority="2979" operator="lessThan">
      <formula>0</formula>
    </cfRule>
    <cfRule type="cellIs" dxfId="7674" priority="2980" operator="lessThan">
      <formula>-105575</formula>
    </cfRule>
  </conditionalFormatting>
  <conditionalFormatting sqref="BB270:BB272">
    <cfRule type="cellIs" dxfId="7673" priority="2977" operator="lessThan">
      <formula>0</formula>
    </cfRule>
    <cfRule type="cellIs" dxfId="7672" priority="2978" operator="lessThan">
      <formula>-105575</formula>
    </cfRule>
  </conditionalFormatting>
  <conditionalFormatting sqref="BB270:BB272">
    <cfRule type="cellIs" dxfId="7671" priority="2975" operator="lessThan">
      <formula>0</formula>
    </cfRule>
    <cfRule type="cellIs" dxfId="7670" priority="2976" operator="lessThan">
      <formula>-105575</formula>
    </cfRule>
  </conditionalFormatting>
  <conditionalFormatting sqref="BB270:BB272">
    <cfRule type="cellIs" dxfId="7669" priority="2973" operator="lessThan">
      <formula>0</formula>
    </cfRule>
    <cfRule type="cellIs" dxfId="7668" priority="2974" operator="lessThan">
      <formula>-105575</formula>
    </cfRule>
  </conditionalFormatting>
  <conditionalFormatting sqref="BB270:BB272">
    <cfRule type="cellIs" dxfId="7667" priority="2971" operator="lessThan">
      <formula>0</formula>
    </cfRule>
    <cfRule type="cellIs" dxfId="7666" priority="2972" operator="lessThan">
      <formula>-105575</formula>
    </cfRule>
  </conditionalFormatting>
  <conditionalFormatting sqref="BB270:BB272">
    <cfRule type="cellIs" dxfId="7665" priority="2969" operator="lessThan">
      <formula>0</formula>
    </cfRule>
    <cfRule type="cellIs" dxfId="7664" priority="2970" operator="lessThan">
      <formula>-105575</formula>
    </cfRule>
  </conditionalFormatting>
  <conditionalFormatting sqref="BB270:BB272">
    <cfRule type="cellIs" dxfId="7663" priority="2967" operator="lessThan">
      <formula>0</formula>
    </cfRule>
    <cfRule type="cellIs" dxfId="7662" priority="2968" operator="lessThan">
      <formula>-105575</formula>
    </cfRule>
  </conditionalFormatting>
  <conditionalFormatting sqref="BB274:BB275">
    <cfRule type="cellIs" dxfId="7661" priority="2965" operator="lessThan">
      <formula>0</formula>
    </cfRule>
    <cfRule type="cellIs" dxfId="7660" priority="2966" operator="lessThan">
      <formula>-105575</formula>
    </cfRule>
  </conditionalFormatting>
  <conditionalFormatting sqref="BB274:BB275">
    <cfRule type="cellIs" dxfId="7659" priority="2963" operator="lessThan">
      <formula>0</formula>
    </cfRule>
    <cfRule type="cellIs" dxfId="7658" priority="2964" operator="lessThan">
      <formula>-105575</formula>
    </cfRule>
  </conditionalFormatting>
  <conditionalFormatting sqref="BB274:BB275">
    <cfRule type="cellIs" dxfId="7657" priority="2961" operator="lessThan">
      <formula>0</formula>
    </cfRule>
    <cfRule type="cellIs" dxfId="7656" priority="2962" operator="lessThan">
      <formula>-105575</formula>
    </cfRule>
  </conditionalFormatting>
  <conditionalFormatting sqref="BB274:BB275">
    <cfRule type="cellIs" dxfId="7655" priority="2959" operator="lessThan">
      <formula>0</formula>
    </cfRule>
    <cfRule type="cellIs" dxfId="7654" priority="2960" operator="lessThan">
      <formula>-105575</formula>
    </cfRule>
  </conditionalFormatting>
  <conditionalFormatting sqref="BB274:BB275">
    <cfRule type="cellIs" dxfId="7653" priority="2957" operator="lessThan">
      <formula>0</formula>
    </cfRule>
    <cfRule type="cellIs" dxfId="7652" priority="2958" operator="lessThan">
      <formula>-105575</formula>
    </cfRule>
  </conditionalFormatting>
  <conditionalFormatting sqref="BB274:BB275">
    <cfRule type="cellIs" dxfId="7651" priority="2955" operator="lessThan">
      <formula>0</formula>
    </cfRule>
    <cfRule type="cellIs" dxfId="7650" priority="2956" operator="lessThan">
      <formula>-105575</formula>
    </cfRule>
  </conditionalFormatting>
  <conditionalFormatting sqref="BB274:BB275">
    <cfRule type="cellIs" dxfId="7649" priority="2953" operator="lessThan">
      <formula>0</formula>
    </cfRule>
    <cfRule type="cellIs" dxfId="7648" priority="2954" operator="lessThan">
      <formula>-105575</formula>
    </cfRule>
  </conditionalFormatting>
  <conditionalFormatting sqref="BB274:BB275">
    <cfRule type="cellIs" dxfId="7647" priority="2951" operator="lessThan">
      <formula>0</formula>
    </cfRule>
    <cfRule type="cellIs" dxfId="7646" priority="2952" operator="lessThan">
      <formula>-105575</formula>
    </cfRule>
  </conditionalFormatting>
  <conditionalFormatting sqref="BB274:BB275">
    <cfRule type="cellIs" dxfId="7645" priority="2949" operator="lessThan">
      <formula>0</formula>
    </cfRule>
    <cfRule type="cellIs" dxfId="7644" priority="2950" operator="lessThan">
      <formula>-105575</formula>
    </cfRule>
  </conditionalFormatting>
  <conditionalFormatting sqref="BB278:BB282">
    <cfRule type="cellIs" dxfId="7643" priority="2947" operator="lessThan">
      <formula>0</formula>
    </cfRule>
    <cfRule type="cellIs" dxfId="7642" priority="2948" operator="lessThan">
      <formula>-105575</formula>
    </cfRule>
  </conditionalFormatting>
  <conditionalFormatting sqref="BB278:BB282">
    <cfRule type="cellIs" dxfId="7641" priority="2945" operator="lessThan">
      <formula>0</formula>
    </cfRule>
    <cfRule type="cellIs" dxfId="7640" priority="2946" operator="lessThan">
      <formula>-105575</formula>
    </cfRule>
  </conditionalFormatting>
  <conditionalFormatting sqref="BB278:BB282">
    <cfRule type="cellIs" dxfId="7639" priority="2943" operator="lessThan">
      <formula>0</formula>
    </cfRule>
    <cfRule type="cellIs" dxfId="7638" priority="2944" operator="lessThan">
      <formula>-105575</formula>
    </cfRule>
  </conditionalFormatting>
  <conditionalFormatting sqref="BB278:BB282">
    <cfRule type="cellIs" dxfId="7637" priority="2941" operator="lessThan">
      <formula>0</formula>
    </cfRule>
    <cfRule type="cellIs" dxfId="7636" priority="2942" operator="lessThan">
      <formula>-105575</formula>
    </cfRule>
  </conditionalFormatting>
  <conditionalFormatting sqref="BB278:BB282">
    <cfRule type="cellIs" dxfId="7635" priority="2939" operator="lessThan">
      <formula>0</formula>
    </cfRule>
    <cfRule type="cellIs" dxfId="7634" priority="2940" operator="lessThan">
      <formula>-105575</formula>
    </cfRule>
  </conditionalFormatting>
  <conditionalFormatting sqref="BB278:BB282">
    <cfRule type="cellIs" dxfId="7633" priority="2937" operator="lessThan">
      <formula>0</formula>
    </cfRule>
    <cfRule type="cellIs" dxfId="7632" priority="2938" operator="lessThan">
      <formula>-105575</formula>
    </cfRule>
  </conditionalFormatting>
  <conditionalFormatting sqref="BB278:BB282">
    <cfRule type="cellIs" dxfId="7631" priority="2935" operator="lessThan">
      <formula>0</formula>
    </cfRule>
    <cfRule type="cellIs" dxfId="7630" priority="2936" operator="lessThan">
      <formula>-105575</formula>
    </cfRule>
  </conditionalFormatting>
  <conditionalFormatting sqref="BB278:BB282">
    <cfRule type="cellIs" dxfId="7629" priority="2933" operator="lessThan">
      <formula>0</formula>
    </cfRule>
    <cfRule type="cellIs" dxfId="7628" priority="2934" operator="lessThan">
      <formula>-105575</formula>
    </cfRule>
  </conditionalFormatting>
  <conditionalFormatting sqref="BB278:BB282">
    <cfRule type="cellIs" dxfId="7627" priority="2931" operator="lessThan">
      <formula>0</formula>
    </cfRule>
    <cfRule type="cellIs" dxfId="7626" priority="2932" operator="lessThan">
      <formula>-105575</formula>
    </cfRule>
  </conditionalFormatting>
  <conditionalFormatting sqref="BB285:BB288">
    <cfRule type="cellIs" dxfId="7625" priority="2929" operator="lessThan">
      <formula>0</formula>
    </cfRule>
    <cfRule type="cellIs" dxfId="7624" priority="2930" operator="lessThan">
      <formula>-105575</formula>
    </cfRule>
  </conditionalFormatting>
  <conditionalFormatting sqref="BB285:BB288">
    <cfRule type="cellIs" dxfId="7623" priority="2927" operator="lessThan">
      <formula>0</formula>
    </cfRule>
    <cfRule type="cellIs" dxfId="7622" priority="2928" operator="lessThan">
      <formula>-105575</formula>
    </cfRule>
  </conditionalFormatting>
  <conditionalFormatting sqref="BB285:BB288">
    <cfRule type="cellIs" dxfId="7621" priority="2925" operator="lessThan">
      <formula>0</formula>
    </cfRule>
    <cfRule type="cellIs" dxfId="7620" priority="2926" operator="lessThan">
      <formula>-105575</formula>
    </cfRule>
  </conditionalFormatting>
  <conditionalFormatting sqref="BB285:BB288">
    <cfRule type="cellIs" dxfId="7619" priority="2923" operator="lessThan">
      <formula>0</formula>
    </cfRule>
    <cfRule type="cellIs" dxfId="7618" priority="2924" operator="lessThan">
      <formula>-105575</formula>
    </cfRule>
  </conditionalFormatting>
  <conditionalFormatting sqref="BB285:BB288">
    <cfRule type="cellIs" dxfId="7617" priority="2921" operator="lessThan">
      <formula>0</formula>
    </cfRule>
    <cfRule type="cellIs" dxfId="7616" priority="2922" operator="lessThan">
      <formula>-105575</formula>
    </cfRule>
  </conditionalFormatting>
  <conditionalFormatting sqref="BB285:BB288">
    <cfRule type="cellIs" dxfId="7615" priority="2919" operator="lessThan">
      <formula>0</formula>
    </cfRule>
    <cfRule type="cellIs" dxfId="7614" priority="2920" operator="lessThan">
      <formula>-105575</formula>
    </cfRule>
  </conditionalFormatting>
  <conditionalFormatting sqref="BB285:BB288">
    <cfRule type="cellIs" dxfId="7613" priority="2917" operator="lessThan">
      <formula>0</formula>
    </cfRule>
    <cfRule type="cellIs" dxfId="7612" priority="2918" operator="lessThan">
      <formula>-105575</formula>
    </cfRule>
  </conditionalFormatting>
  <conditionalFormatting sqref="BB285:BB288">
    <cfRule type="cellIs" dxfId="7611" priority="2915" operator="lessThan">
      <formula>0</formula>
    </cfRule>
    <cfRule type="cellIs" dxfId="7610" priority="2916" operator="lessThan">
      <formula>-105575</formula>
    </cfRule>
  </conditionalFormatting>
  <conditionalFormatting sqref="BB285:BB288">
    <cfRule type="cellIs" dxfId="7609" priority="2913" operator="lessThan">
      <formula>0</formula>
    </cfRule>
    <cfRule type="cellIs" dxfId="7608" priority="2914" operator="lessThan">
      <formula>-105575</formula>
    </cfRule>
  </conditionalFormatting>
  <conditionalFormatting sqref="BB203 BB220:BB221 BB235:BB243 BB231:BB233 BB212:BB213 BB225:BB226">
    <cfRule type="cellIs" dxfId="7607" priority="2911" operator="lessThan">
      <formula>0</formula>
    </cfRule>
    <cfRule type="cellIs" dxfId="7606" priority="2912" operator="lessThan">
      <formula>-105575</formula>
    </cfRule>
  </conditionalFormatting>
  <conditionalFormatting sqref="BB220 BB212:BB213 BB235:BB238 BB240:BB243 BB225:BB226 BB231:BB233">
    <cfRule type="cellIs" dxfId="7605" priority="2909" operator="lessThan">
      <formula>0</formula>
    </cfRule>
    <cfRule type="cellIs" dxfId="7604" priority="2910" operator="lessThan">
      <formula>-105575</formula>
    </cfRule>
  </conditionalFormatting>
  <conditionalFormatting sqref="BB220:BB221 BB243 BB226 BB231:BB236 BB238:BB241 BB203 BB213">
    <cfRule type="cellIs" dxfId="7603" priority="2907" operator="lessThan">
      <formula>0</formula>
    </cfRule>
    <cfRule type="cellIs" dxfId="7602" priority="2908" operator="lessThan">
      <formula>-105575</formula>
    </cfRule>
  </conditionalFormatting>
  <conditionalFormatting sqref="BB235:BB243 BB231:BB233 BB220 BB212:BB213 BB225:BB226">
    <cfRule type="cellIs" dxfId="7601" priority="2905" operator="lessThan">
      <formula>0</formula>
    </cfRule>
    <cfRule type="cellIs" dxfId="7600" priority="2906" operator="lessThan">
      <formula>-105575</formula>
    </cfRule>
  </conditionalFormatting>
  <conditionalFormatting sqref="BB220:BB221 BB237:BB243 BB203 BB231:BB235 BB212:BB213 BB225:BB226">
    <cfRule type="cellIs" dxfId="7599" priority="2903" operator="lessThan">
      <formula>0</formula>
    </cfRule>
    <cfRule type="cellIs" dxfId="7598" priority="2904" operator="lessThan">
      <formula>-105575</formula>
    </cfRule>
  </conditionalFormatting>
  <conditionalFormatting sqref="BB220:BB221 BB237:BB240 BB242:BB243 BB225:BB226 BB231:BB235">
    <cfRule type="cellIs" dxfId="7597" priority="2901" operator="lessThan">
      <formula>0</formula>
    </cfRule>
    <cfRule type="cellIs" dxfId="7596" priority="2902" operator="lessThan">
      <formula>-105575</formula>
    </cfRule>
  </conditionalFormatting>
  <conditionalFormatting sqref="BB212 BB231 BB233:BB238 BB240:BB243 BB225">
    <cfRule type="cellIs" dxfId="7595" priority="2899" operator="lessThan">
      <formula>0</formula>
    </cfRule>
    <cfRule type="cellIs" dxfId="7594" priority="2900" operator="lessThan">
      <formula>-105575</formula>
    </cfRule>
  </conditionalFormatting>
  <conditionalFormatting sqref="BB237:BB243 BB231:BB235 BB220:BB221 BB225:BB226">
    <cfRule type="cellIs" dxfId="7593" priority="2897" operator="lessThan">
      <formula>0</formula>
    </cfRule>
    <cfRule type="cellIs" dxfId="7592" priority="2898" operator="lessThan">
      <formula>-105575</formula>
    </cfRule>
  </conditionalFormatting>
  <conditionalFormatting sqref="BB233:BB237 BB231 BB239:BB243">
    <cfRule type="cellIs" dxfId="7591" priority="2895" operator="lessThan">
      <formula>0</formula>
    </cfRule>
    <cfRule type="cellIs" dxfId="7590" priority="2896" operator="lessThan">
      <formula>-105575</formula>
    </cfRule>
  </conditionalFormatting>
  <conditionalFormatting sqref="BB233:BB237 BB231 BB239:BB243">
    <cfRule type="cellIs" dxfId="7589" priority="2893" operator="lessThan">
      <formula>0</formula>
    </cfRule>
    <cfRule type="cellIs" dxfId="7588" priority="2894" operator="lessThan">
      <formula>-105575</formula>
    </cfRule>
  </conditionalFormatting>
  <conditionalFormatting sqref="BB119:BB128 BB106:BB117 BB101:BB104 BB80:BB98">
    <cfRule type="cellIs" dxfId="7587" priority="2891" operator="lessThan">
      <formula>0</formula>
    </cfRule>
    <cfRule type="cellIs" dxfId="7586" priority="2892" operator="lessThan">
      <formula>-105575</formula>
    </cfRule>
  </conditionalFormatting>
  <conditionalFormatting sqref="BB130 BB132 BB134">
    <cfRule type="cellIs" dxfId="7585" priority="2889" operator="lessThan">
      <formula>0</formula>
    </cfRule>
    <cfRule type="cellIs" dxfId="7584" priority="2890" operator="lessThan">
      <formula>-105575</formula>
    </cfRule>
  </conditionalFormatting>
  <conditionalFormatting sqref="BB130 BB132 BB134">
    <cfRule type="cellIs" dxfId="7583" priority="2887" operator="lessThan">
      <formula>0</formula>
    </cfRule>
    <cfRule type="cellIs" dxfId="7582" priority="2888" operator="lessThan">
      <formula>-105575</formula>
    </cfRule>
  </conditionalFormatting>
  <conditionalFormatting sqref="BB129 BB131 BB133 BB135">
    <cfRule type="cellIs" dxfId="7581" priority="2885" operator="lessThan">
      <formula>0</formula>
    </cfRule>
    <cfRule type="cellIs" dxfId="7580" priority="2886" operator="lessThan">
      <formula>-105575</formula>
    </cfRule>
  </conditionalFormatting>
  <conditionalFormatting sqref="BB140 BB145 BB142:BB143 BB137:BB138">
    <cfRule type="cellIs" dxfId="7579" priority="2883" operator="lessThan">
      <formula>0</formula>
    </cfRule>
    <cfRule type="cellIs" dxfId="7578" priority="2884" operator="lessThan">
      <formula>-105575</formula>
    </cfRule>
  </conditionalFormatting>
  <conditionalFormatting sqref="BB149">
    <cfRule type="cellIs" dxfId="7577" priority="2881" operator="lessThan">
      <formula>0</formula>
    </cfRule>
    <cfRule type="cellIs" dxfId="7576" priority="2882" operator="lessThan">
      <formula>-105575</formula>
    </cfRule>
  </conditionalFormatting>
  <conditionalFormatting sqref="BB129:BB138 BB140:BB149">
    <cfRule type="cellIs" dxfId="7575" priority="2879" operator="lessThan">
      <formula>0</formula>
    </cfRule>
    <cfRule type="cellIs" dxfId="7574" priority="2880" operator="lessThan">
      <formula>-105575</formula>
    </cfRule>
  </conditionalFormatting>
  <conditionalFormatting sqref="BB94:BB98 BB86:BB87 BB89:BB91 BB141:BB149 BB124:BB133 BB107:BB110 BB112:BB117 BB119:BB122 BB135:BB138 BB101:BB104 BB80:BB84">
    <cfRule type="cellIs" dxfId="7573" priority="2877" operator="lessThan">
      <formula>0</formula>
    </cfRule>
    <cfRule type="cellIs" dxfId="7572" priority="2878" operator="lessThan">
      <formula>-105575</formula>
    </cfRule>
  </conditionalFormatting>
  <conditionalFormatting sqref="BB129 BB131 BB133 BB135">
    <cfRule type="cellIs" dxfId="7571" priority="2875" operator="lessThan">
      <formula>0</formula>
    </cfRule>
    <cfRule type="cellIs" dxfId="7570" priority="2876" operator="lessThan">
      <formula>-105575</formula>
    </cfRule>
  </conditionalFormatting>
  <conditionalFormatting sqref="BB146 BB144 BB141">
    <cfRule type="cellIs" dxfId="7569" priority="2873" operator="lessThan">
      <formula>0</formula>
    </cfRule>
    <cfRule type="cellIs" dxfId="7568" priority="2874" operator="lessThan">
      <formula>-105575</formula>
    </cfRule>
  </conditionalFormatting>
  <conditionalFormatting sqref="BB146 BB144 BB141">
    <cfRule type="cellIs" dxfId="7567" priority="2871" operator="lessThan">
      <formula>0</formula>
    </cfRule>
    <cfRule type="cellIs" dxfId="7566" priority="2872" operator="lessThan">
      <formula>-105575</formula>
    </cfRule>
  </conditionalFormatting>
  <conditionalFormatting sqref="BB140 BB145 BB142:BB143 BB137:BB138">
    <cfRule type="cellIs" dxfId="7565" priority="2869" operator="lessThan">
      <formula>0</formula>
    </cfRule>
    <cfRule type="cellIs" dxfId="7564" priority="2870" operator="lessThan">
      <formula>-105575</formula>
    </cfRule>
  </conditionalFormatting>
  <conditionalFormatting sqref="BB149">
    <cfRule type="cellIs" dxfId="7563" priority="2867" operator="lessThan">
      <formula>0</formula>
    </cfRule>
    <cfRule type="cellIs" dxfId="7562" priority="2868" operator="lessThan">
      <formula>-105575</formula>
    </cfRule>
  </conditionalFormatting>
  <conditionalFormatting sqref="BB94:BB98 BB86:BB87 BB89:BB91 BB141:BB149 BB124:BB133 BB107:BB110 BB112:BB117 BB119:BB122 BB135:BB138 BB101:BB104 BB80:BB84">
    <cfRule type="cellIs" dxfId="7561" priority="2865" operator="lessThan">
      <formula>0</formula>
    </cfRule>
    <cfRule type="cellIs" dxfId="7560" priority="2866" operator="lessThan">
      <formula>-105575</formula>
    </cfRule>
  </conditionalFormatting>
  <conditionalFormatting sqref="BB246:BB249 BB262 BB267 BB279:BB282 BB285:BB288 BB274:BB275 BB306:BB309 BB311:BB325 BB327:BB330 BB332:BB341 BB344:BB347 BB349:BB353 BB355:BB358 BB360:BB384 BB386:BB389 BB392:BB395 BB397:BB411 BB413:BB416 BB418:BB432 BB434:BB437 BB439:BB453 BB455:BB458 BB460:BB469 BB7:BB10 BB12:BB14 BB17:BB18 BB21:BB24 BB26:BB28 BB30:BB36 BB38 BB41:BB43 BB46:BB49 BB51:BB55 BB57:BB59 BB62:BB76 BB251:BB253 BB255:BB257 BB293:BB304 BB264:BB265 BB260 BB290:BB291 BB270:BB272">
    <cfRule type="cellIs" dxfId="7559" priority="2863" operator="lessThan">
      <formula>0</formula>
    </cfRule>
    <cfRule type="cellIs" dxfId="7558" priority="2864" operator="lessThan">
      <formula>-105575</formula>
    </cfRule>
  </conditionalFormatting>
  <conditionalFormatting sqref="BB41">
    <cfRule type="cellIs" dxfId="7557" priority="2861" operator="lessThan">
      <formula>0</formula>
    </cfRule>
    <cfRule type="cellIs" dxfId="7556" priority="2862" operator="lessThan">
      <formula>-105575</formula>
    </cfRule>
  </conditionalFormatting>
  <conditionalFormatting sqref="BB152:BB155">
    <cfRule type="cellIs" dxfId="7555" priority="2859" operator="lessThan">
      <formula>0</formula>
    </cfRule>
    <cfRule type="cellIs" dxfId="7554" priority="2860" operator="lessThan">
      <formula>-105575</formula>
    </cfRule>
  </conditionalFormatting>
  <conditionalFormatting sqref="BB152:BB155">
    <cfRule type="cellIs" dxfId="7553" priority="2857" operator="lessThan">
      <formula>0</formula>
    </cfRule>
    <cfRule type="cellIs" dxfId="7552" priority="2858" operator="lessThan">
      <formula>-105575</formula>
    </cfRule>
  </conditionalFormatting>
  <conditionalFormatting sqref="BB152:BB155">
    <cfRule type="cellIs" dxfId="7551" priority="2855" operator="lessThan">
      <formula>0</formula>
    </cfRule>
    <cfRule type="cellIs" dxfId="7550" priority="2856" operator="lessThan">
      <formula>-105575</formula>
    </cfRule>
  </conditionalFormatting>
  <conditionalFormatting sqref="BB157:BB158">
    <cfRule type="cellIs" dxfId="7549" priority="2853" operator="lessThan">
      <formula>0</formula>
    </cfRule>
    <cfRule type="cellIs" dxfId="7548" priority="2854" operator="lessThan">
      <formula>-105575</formula>
    </cfRule>
  </conditionalFormatting>
  <conditionalFormatting sqref="BB157:BB158">
    <cfRule type="cellIs" dxfId="7547" priority="2851" operator="lessThan">
      <formula>0</formula>
    </cfRule>
    <cfRule type="cellIs" dxfId="7546" priority="2852" operator="lessThan">
      <formula>-105575</formula>
    </cfRule>
  </conditionalFormatting>
  <conditionalFormatting sqref="BB157:BB158">
    <cfRule type="cellIs" dxfId="7545" priority="2849" operator="lessThan">
      <formula>0</formula>
    </cfRule>
    <cfRule type="cellIs" dxfId="7544" priority="2850" operator="lessThan">
      <formula>-105575</formula>
    </cfRule>
  </conditionalFormatting>
  <conditionalFormatting sqref="BB160:BB161">
    <cfRule type="cellIs" dxfId="7543" priority="2847" operator="lessThan">
      <formula>0</formula>
    </cfRule>
    <cfRule type="cellIs" dxfId="7542" priority="2848" operator="lessThan">
      <formula>-105575</formula>
    </cfRule>
  </conditionalFormatting>
  <conditionalFormatting sqref="BB160:BB161">
    <cfRule type="cellIs" dxfId="7541" priority="2845" operator="lessThan">
      <formula>0</formula>
    </cfRule>
    <cfRule type="cellIs" dxfId="7540" priority="2846" operator="lessThan">
      <formula>-105575</formula>
    </cfRule>
  </conditionalFormatting>
  <conditionalFormatting sqref="BB160:BB161">
    <cfRule type="cellIs" dxfId="7539" priority="2843" operator="lessThan">
      <formula>0</formula>
    </cfRule>
    <cfRule type="cellIs" dxfId="7538" priority="2844" operator="lessThan">
      <formula>-105575</formula>
    </cfRule>
  </conditionalFormatting>
  <conditionalFormatting sqref="BB164:BB167">
    <cfRule type="cellIs" dxfId="7537" priority="2841" operator="lessThan">
      <formula>0</formula>
    </cfRule>
    <cfRule type="cellIs" dxfId="7536" priority="2842" operator="lessThan">
      <formula>-105575</formula>
    </cfRule>
  </conditionalFormatting>
  <conditionalFormatting sqref="BB164:BB167">
    <cfRule type="cellIs" dxfId="7535" priority="2839" operator="lessThan">
      <formula>0</formula>
    </cfRule>
    <cfRule type="cellIs" dxfId="7534" priority="2840" operator="lessThan">
      <formula>-105575</formula>
    </cfRule>
  </conditionalFormatting>
  <conditionalFormatting sqref="BB164:BB167">
    <cfRule type="cellIs" dxfId="7533" priority="2837" operator="lessThan">
      <formula>0</formula>
    </cfRule>
    <cfRule type="cellIs" dxfId="7532" priority="2838" operator="lessThan">
      <formula>-105575</formula>
    </cfRule>
  </conditionalFormatting>
  <conditionalFormatting sqref="BB169:BB177">
    <cfRule type="cellIs" dxfId="7531" priority="2835" operator="lessThan">
      <formula>0</formula>
    </cfRule>
    <cfRule type="cellIs" dxfId="7530" priority="2836" operator="lessThan">
      <formula>-105575</formula>
    </cfRule>
  </conditionalFormatting>
  <conditionalFormatting sqref="BB169:BB177">
    <cfRule type="cellIs" dxfId="7529" priority="2833" operator="lessThan">
      <formula>0</formula>
    </cfRule>
    <cfRule type="cellIs" dxfId="7528" priority="2834" operator="lessThan">
      <formula>-105575</formula>
    </cfRule>
  </conditionalFormatting>
  <conditionalFormatting sqref="BB169:BB177">
    <cfRule type="cellIs" dxfId="7527" priority="2831" operator="lessThan">
      <formula>0</formula>
    </cfRule>
    <cfRule type="cellIs" dxfId="7526" priority="2832" operator="lessThan">
      <formula>-105575</formula>
    </cfRule>
  </conditionalFormatting>
  <conditionalFormatting sqref="BB179:BB180">
    <cfRule type="cellIs" dxfId="7525" priority="2829" operator="lessThan">
      <formula>0</formula>
    </cfRule>
    <cfRule type="cellIs" dxfId="7524" priority="2830" operator="lessThan">
      <formula>-105575</formula>
    </cfRule>
  </conditionalFormatting>
  <conditionalFormatting sqref="BB179:BB180">
    <cfRule type="cellIs" dxfId="7523" priority="2827" operator="lessThan">
      <formula>0</formula>
    </cfRule>
    <cfRule type="cellIs" dxfId="7522" priority="2828" operator="lessThan">
      <formula>-105575</formula>
    </cfRule>
  </conditionalFormatting>
  <conditionalFormatting sqref="BB179:BB180">
    <cfRule type="cellIs" dxfId="7521" priority="2825" operator="lessThan">
      <formula>0</formula>
    </cfRule>
    <cfRule type="cellIs" dxfId="7520" priority="2826" operator="lessThan">
      <formula>-105575</formula>
    </cfRule>
  </conditionalFormatting>
  <conditionalFormatting sqref="BB183:BB189">
    <cfRule type="cellIs" dxfId="7519" priority="2823" operator="lessThan">
      <formula>0</formula>
    </cfRule>
    <cfRule type="cellIs" dxfId="7518" priority="2824" operator="lessThan">
      <formula>-105575</formula>
    </cfRule>
  </conditionalFormatting>
  <conditionalFormatting sqref="BB183:BB189">
    <cfRule type="cellIs" dxfId="7517" priority="2821" operator="lessThan">
      <formula>0</formula>
    </cfRule>
    <cfRule type="cellIs" dxfId="7516" priority="2822" operator="lessThan">
      <formula>-105575</formula>
    </cfRule>
  </conditionalFormatting>
  <conditionalFormatting sqref="BB183:BB189">
    <cfRule type="cellIs" dxfId="7515" priority="2819" operator="lessThan">
      <formula>0</formula>
    </cfRule>
    <cfRule type="cellIs" dxfId="7514" priority="2820" operator="lessThan">
      <formula>-105575</formula>
    </cfRule>
  </conditionalFormatting>
  <conditionalFormatting sqref="BB191:BB192">
    <cfRule type="cellIs" dxfId="7513" priority="2817" operator="lessThan">
      <formula>0</formula>
    </cfRule>
    <cfRule type="cellIs" dxfId="7512" priority="2818" operator="lessThan">
      <formula>-105575</formula>
    </cfRule>
  </conditionalFormatting>
  <conditionalFormatting sqref="BB191:BB192">
    <cfRule type="cellIs" dxfId="7511" priority="2815" operator="lessThan">
      <formula>0</formula>
    </cfRule>
    <cfRule type="cellIs" dxfId="7510" priority="2816" operator="lessThan">
      <formula>-105575</formula>
    </cfRule>
  </conditionalFormatting>
  <conditionalFormatting sqref="BB191:BB192">
    <cfRule type="cellIs" dxfId="7509" priority="2813" operator="lessThan">
      <formula>0</formula>
    </cfRule>
    <cfRule type="cellIs" dxfId="7508" priority="2814" operator="lessThan">
      <formula>-105575</formula>
    </cfRule>
  </conditionalFormatting>
  <conditionalFormatting sqref="BB194:BB195">
    <cfRule type="cellIs" dxfId="7507" priority="2811" operator="lessThan">
      <formula>0</formula>
    </cfRule>
    <cfRule type="cellIs" dxfId="7506" priority="2812" operator="lessThan">
      <formula>-105575</formula>
    </cfRule>
  </conditionalFormatting>
  <conditionalFormatting sqref="BB194:BB195">
    <cfRule type="cellIs" dxfId="7505" priority="2809" operator="lessThan">
      <formula>0</formula>
    </cfRule>
    <cfRule type="cellIs" dxfId="7504" priority="2810" operator="lessThan">
      <formula>-105575</formula>
    </cfRule>
  </conditionalFormatting>
  <conditionalFormatting sqref="BB194:BB195">
    <cfRule type="cellIs" dxfId="7503" priority="2807" operator="lessThan">
      <formula>0</formula>
    </cfRule>
    <cfRule type="cellIs" dxfId="7502" priority="2808" operator="lessThan">
      <formula>-105575</formula>
    </cfRule>
  </conditionalFormatting>
  <conditionalFormatting sqref="BB199:BB202">
    <cfRule type="cellIs" dxfId="7501" priority="2805" operator="lessThan">
      <formula>0</formula>
    </cfRule>
    <cfRule type="cellIs" dxfId="7500" priority="2806" operator="lessThan">
      <formula>-105575</formula>
    </cfRule>
  </conditionalFormatting>
  <conditionalFormatting sqref="BB199:BB202">
    <cfRule type="cellIs" dxfId="7499" priority="2803" operator="lessThan">
      <formula>0</formula>
    </cfRule>
    <cfRule type="cellIs" dxfId="7498" priority="2804" operator="lessThan">
      <formula>-105575</formula>
    </cfRule>
  </conditionalFormatting>
  <conditionalFormatting sqref="BB199:BB202">
    <cfRule type="cellIs" dxfId="7497" priority="2801" operator="lessThan">
      <formula>0</formula>
    </cfRule>
    <cfRule type="cellIs" dxfId="7496" priority="2802" operator="lessThan">
      <formula>-105575</formula>
    </cfRule>
  </conditionalFormatting>
  <conditionalFormatting sqref="BB204:BB208">
    <cfRule type="cellIs" dxfId="7495" priority="2799" operator="lessThan">
      <formula>0</formula>
    </cfRule>
    <cfRule type="cellIs" dxfId="7494" priority="2800" operator="lessThan">
      <formula>-105575</formula>
    </cfRule>
  </conditionalFormatting>
  <conditionalFormatting sqref="BB204:BB208">
    <cfRule type="cellIs" dxfId="7493" priority="2797" operator="lessThan">
      <formula>0</formula>
    </cfRule>
    <cfRule type="cellIs" dxfId="7492" priority="2798" operator="lessThan">
      <formula>-105575</formula>
    </cfRule>
  </conditionalFormatting>
  <conditionalFormatting sqref="BB204:BB208">
    <cfRule type="cellIs" dxfId="7491" priority="2795" operator="lessThan">
      <formula>0</formula>
    </cfRule>
    <cfRule type="cellIs" dxfId="7490" priority="2796" operator="lessThan">
      <formula>-105575</formula>
    </cfRule>
  </conditionalFormatting>
  <conditionalFormatting sqref="BB210:BB211">
    <cfRule type="cellIs" dxfId="7489" priority="2793" operator="lessThan">
      <formula>0</formula>
    </cfRule>
    <cfRule type="cellIs" dxfId="7488" priority="2794" operator="lessThan">
      <formula>-105575</formula>
    </cfRule>
  </conditionalFormatting>
  <conditionalFormatting sqref="BB210:BB211">
    <cfRule type="cellIs" dxfId="7487" priority="2791" operator="lessThan">
      <formula>0</formula>
    </cfRule>
    <cfRule type="cellIs" dxfId="7486" priority="2792" operator="lessThan">
      <formula>-105575</formula>
    </cfRule>
  </conditionalFormatting>
  <conditionalFormatting sqref="BB210:BB211">
    <cfRule type="cellIs" dxfId="7485" priority="2789" operator="lessThan">
      <formula>0</formula>
    </cfRule>
    <cfRule type="cellIs" dxfId="7484" priority="2790" operator="lessThan">
      <formula>-105575</formula>
    </cfRule>
  </conditionalFormatting>
  <conditionalFormatting sqref="BB214:BB219">
    <cfRule type="cellIs" dxfId="7483" priority="2787" operator="lessThan">
      <formula>0</formula>
    </cfRule>
    <cfRule type="cellIs" dxfId="7482" priority="2788" operator="lessThan">
      <formula>-105575</formula>
    </cfRule>
  </conditionalFormatting>
  <conditionalFormatting sqref="BB214:BB219">
    <cfRule type="cellIs" dxfId="7481" priority="2785" operator="lessThan">
      <formula>0</formula>
    </cfRule>
    <cfRule type="cellIs" dxfId="7480" priority="2786" operator="lessThan">
      <formula>-105575</formula>
    </cfRule>
  </conditionalFormatting>
  <conditionalFormatting sqref="BB214:BB219">
    <cfRule type="cellIs" dxfId="7479" priority="2783" operator="lessThan">
      <formula>0</formula>
    </cfRule>
    <cfRule type="cellIs" dxfId="7478" priority="2784" operator="lessThan">
      <formula>-105575</formula>
    </cfRule>
  </conditionalFormatting>
  <conditionalFormatting sqref="BB222:BB224">
    <cfRule type="cellIs" dxfId="7477" priority="2781" operator="lessThan">
      <formula>0</formula>
    </cfRule>
    <cfRule type="cellIs" dxfId="7476" priority="2782" operator="lessThan">
      <formula>-105575</formula>
    </cfRule>
  </conditionalFormatting>
  <conditionalFormatting sqref="BB222:BB224">
    <cfRule type="cellIs" dxfId="7475" priority="2779" operator="lessThan">
      <formula>0</formula>
    </cfRule>
    <cfRule type="cellIs" dxfId="7474" priority="2780" operator="lessThan">
      <formula>-105575</formula>
    </cfRule>
  </conditionalFormatting>
  <conditionalFormatting sqref="BB222:BB224">
    <cfRule type="cellIs" dxfId="7473" priority="2777" operator="lessThan">
      <formula>0</formula>
    </cfRule>
    <cfRule type="cellIs" dxfId="7472" priority="2778" operator="lessThan">
      <formula>-105575</formula>
    </cfRule>
  </conditionalFormatting>
  <conditionalFormatting sqref="BB227:BB230">
    <cfRule type="cellIs" dxfId="7471" priority="2775" operator="lessThan">
      <formula>0</formula>
    </cfRule>
    <cfRule type="cellIs" dxfId="7470" priority="2776" operator="lessThan">
      <formula>-105575</formula>
    </cfRule>
  </conditionalFormatting>
  <conditionalFormatting sqref="BB227:BB230">
    <cfRule type="cellIs" dxfId="7469" priority="2773" operator="lessThan">
      <formula>0</formula>
    </cfRule>
    <cfRule type="cellIs" dxfId="7468" priority="2774" operator="lessThan">
      <formula>-105575</formula>
    </cfRule>
  </conditionalFormatting>
  <conditionalFormatting sqref="BB227:BB230">
    <cfRule type="cellIs" dxfId="7467" priority="2771" operator="lessThan">
      <formula>0</formula>
    </cfRule>
    <cfRule type="cellIs" dxfId="7466" priority="2772" operator="lessThan">
      <formula>-105575</formula>
    </cfRule>
  </conditionalFormatting>
  <conditionalFormatting sqref="BB203 BB220:BB221 BB235:BB243 BB231:BB233 BB212:BB213 BB225:BB226">
    <cfRule type="cellIs" dxfId="7465" priority="2769" operator="lessThan">
      <formula>0</formula>
    </cfRule>
    <cfRule type="cellIs" dxfId="7464" priority="2770" operator="lessThan">
      <formula>-105575</formula>
    </cfRule>
  </conditionalFormatting>
  <conditionalFormatting sqref="BB220 BB212:BB213 BB235:BB238 BB240:BB243 BB225:BB226 BB231:BB233">
    <cfRule type="cellIs" dxfId="7463" priority="2767" operator="lessThan">
      <formula>0</formula>
    </cfRule>
    <cfRule type="cellIs" dxfId="7462" priority="2768" operator="lessThan">
      <formula>-105575</formula>
    </cfRule>
  </conditionalFormatting>
  <conditionalFormatting sqref="BB220:BB221 BB243 BB226 BB231:BB236 BB238:BB241 BB203 BB213">
    <cfRule type="cellIs" dxfId="7461" priority="2765" operator="lessThan">
      <formula>0</formula>
    </cfRule>
    <cfRule type="cellIs" dxfId="7460" priority="2766" operator="lessThan">
      <formula>-105575</formula>
    </cfRule>
  </conditionalFormatting>
  <conditionalFormatting sqref="BB235:BB243 BB231:BB233 BB220 BB212:BB213 BB225:BB226">
    <cfRule type="cellIs" dxfId="7459" priority="2763" operator="lessThan">
      <formula>0</formula>
    </cfRule>
    <cfRule type="cellIs" dxfId="7458" priority="2764" operator="lessThan">
      <formula>-105575</formula>
    </cfRule>
  </conditionalFormatting>
  <conditionalFormatting sqref="BB220:BB221 BB237:BB243 BB203 BB231:BB235 BB212:BB213 BB225:BB226">
    <cfRule type="cellIs" dxfId="7457" priority="2761" operator="lessThan">
      <formula>0</formula>
    </cfRule>
    <cfRule type="cellIs" dxfId="7456" priority="2762" operator="lessThan">
      <formula>-105575</formula>
    </cfRule>
  </conditionalFormatting>
  <conditionalFormatting sqref="BB220:BB221 BB237:BB240 BB242:BB243 BB225:BB226 BB231:BB235">
    <cfRule type="cellIs" dxfId="7455" priority="2759" operator="lessThan">
      <formula>0</formula>
    </cfRule>
    <cfRule type="cellIs" dxfId="7454" priority="2760" operator="lessThan">
      <formula>-105575</formula>
    </cfRule>
  </conditionalFormatting>
  <conditionalFormatting sqref="BB212 BB231 BB233:BB238 BB240:BB243 BB225">
    <cfRule type="cellIs" dxfId="7453" priority="2757" operator="lessThan">
      <formula>0</formula>
    </cfRule>
    <cfRule type="cellIs" dxfId="7452" priority="2758" operator="lessThan">
      <formula>-105575</formula>
    </cfRule>
  </conditionalFormatting>
  <conditionalFormatting sqref="BB237:BB243 BB231:BB235 BB220:BB221 BB225:BB226">
    <cfRule type="cellIs" dxfId="7451" priority="2755" operator="lessThan">
      <formula>0</formula>
    </cfRule>
    <cfRule type="cellIs" dxfId="7450" priority="2756" operator="lessThan">
      <formula>-105575</formula>
    </cfRule>
  </conditionalFormatting>
  <conditionalFormatting sqref="BB233:BB237 BB231 BB239:BB243">
    <cfRule type="cellIs" dxfId="7449" priority="2753" operator="lessThan">
      <formula>0</formula>
    </cfRule>
    <cfRule type="cellIs" dxfId="7448" priority="2754" operator="lessThan">
      <formula>-105575</formula>
    </cfRule>
  </conditionalFormatting>
  <conditionalFormatting sqref="BB233:BB237 BB231 BB239:BB243">
    <cfRule type="cellIs" dxfId="7447" priority="2751" operator="lessThan">
      <formula>0</formula>
    </cfRule>
    <cfRule type="cellIs" dxfId="7446" priority="2752" operator="lessThan">
      <formula>-105575</formula>
    </cfRule>
  </conditionalFormatting>
  <conditionalFormatting sqref="BB119:BB128 BB106:BB117 BB101:BB104 BB80:BB98">
    <cfRule type="cellIs" dxfId="7445" priority="2749" operator="lessThan">
      <formula>0</formula>
    </cfRule>
    <cfRule type="cellIs" dxfId="7444" priority="2750" operator="lessThan">
      <formula>-105575</formula>
    </cfRule>
  </conditionalFormatting>
  <conditionalFormatting sqref="BB130 BB132 BB134">
    <cfRule type="cellIs" dxfId="7443" priority="2747" operator="lessThan">
      <formula>0</formula>
    </cfRule>
    <cfRule type="cellIs" dxfId="7442" priority="2748" operator="lessThan">
      <formula>-105575</formula>
    </cfRule>
  </conditionalFormatting>
  <conditionalFormatting sqref="BB130 BB132 BB134">
    <cfRule type="cellIs" dxfId="7441" priority="2745" operator="lessThan">
      <formula>0</formula>
    </cfRule>
    <cfRule type="cellIs" dxfId="7440" priority="2746" operator="lessThan">
      <formula>-105575</formula>
    </cfRule>
  </conditionalFormatting>
  <conditionalFormatting sqref="BB129 BB131 BB133 BB135">
    <cfRule type="cellIs" dxfId="7439" priority="2743" operator="lessThan">
      <formula>0</formula>
    </cfRule>
    <cfRule type="cellIs" dxfId="7438" priority="2744" operator="lessThan">
      <formula>-105575</formula>
    </cfRule>
  </conditionalFormatting>
  <conditionalFormatting sqref="BB140 BB145 BB142:BB143 BB137:BB138">
    <cfRule type="cellIs" dxfId="7437" priority="2741" operator="lessThan">
      <formula>0</formula>
    </cfRule>
    <cfRule type="cellIs" dxfId="7436" priority="2742" operator="lessThan">
      <formula>-105575</formula>
    </cfRule>
  </conditionalFormatting>
  <conditionalFormatting sqref="BB149">
    <cfRule type="cellIs" dxfId="7435" priority="2739" operator="lessThan">
      <formula>0</formula>
    </cfRule>
    <cfRule type="cellIs" dxfId="7434" priority="2740" operator="lessThan">
      <formula>-105575</formula>
    </cfRule>
  </conditionalFormatting>
  <conditionalFormatting sqref="BB129:BB138 BB140:BB149">
    <cfRule type="cellIs" dxfId="7433" priority="2737" operator="lessThan">
      <formula>0</formula>
    </cfRule>
    <cfRule type="cellIs" dxfId="7432" priority="2738" operator="lessThan">
      <formula>-105575</formula>
    </cfRule>
  </conditionalFormatting>
  <conditionalFormatting sqref="BB94:BB98 BB86:BB87 BB89:BB91 BB141:BB149 BB124:BB133 BB107:BB110 BB112:BB117 BB119:BB122 BB135:BB138 BB101:BB104 BB80:BB84">
    <cfRule type="cellIs" dxfId="7431" priority="2735" operator="lessThan">
      <formula>0</formula>
    </cfRule>
    <cfRule type="cellIs" dxfId="7430" priority="2736" operator="lessThan">
      <formula>-105575</formula>
    </cfRule>
  </conditionalFormatting>
  <conditionalFormatting sqref="BB129 BB131 BB133 BB135">
    <cfRule type="cellIs" dxfId="7429" priority="2733" operator="lessThan">
      <formula>0</formula>
    </cfRule>
    <cfRule type="cellIs" dxfId="7428" priority="2734" operator="lessThan">
      <formula>-105575</formula>
    </cfRule>
  </conditionalFormatting>
  <conditionalFormatting sqref="BB146 BB144 BB141">
    <cfRule type="cellIs" dxfId="7427" priority="2731" operator="lessThan">
      <formula>0</formula>
    </cfRule>
    <cfRule type="cellIs" dxfId="7426" priority="2732" operator="lessThan">
      <formula>-105575</formula>
    </cfRule>
  </conditionalFormatting>
  <conditionalFormatting sqref="BB146 BB144 BB141">
    <cfRule type="cellIs" dxfId="7425" priority="2729" operator="lessThan">
      <formula>0</formula>
    </cfRule>
    <cfRule type="cellIs" dxfId="7424" priority="2730" operator="lessThan">
      <formula>-105575</formula>
    </cfRule>
  </conditionalFormatting>
  <conditionalFormatting sqref="BB140 BB145 BB142:BB143 BB137:BB138">
    <cfRule type="cellIs" dxfId="7423" priority="2727" operator="lessThan">
      <formula>0</formula>
    </cfRule>
    <cfRule type="cellIs" dxfId="7422" priority="2728" operator="lessThan">
      <formula>-105575</formula>
    </cfRule>
  </conditionalFormatting>
  <conditionalFormatting sqref="BB149">
    <cfRule type="cellIs" dxfId="7421" priority="2725" operator="lessThan">
      <formula>0</formula>
    </cfRule>
    <cfRule type="cellIs" dxfId="7420" priority="2726" operator="lessThan">
      <formula>-105575</formula>
    </cfRule>
  </conditionalFormatting>
  <conditionalFormatting sqref="BB94:BB98 BB86:BB87 BB89:BB91 BB141:BB149 BB124:BB133 BB107:BB110 BB112:BB117 BB119:BB122 BB135:BB138 BB101:BB104 BB80:BB84">
    <cfRule type="cellIs" dxfId="7419" priority="2723" operator="lessThan">
      <formula>0</formula>
    </cfRule>
    <cfRule type="cellIs" dxfId="7418" priority="2724" operator="lessThan">
      <formula>-105575</formula>
    </cfRule>
  </conditionalFormatting>
  <conditionalFormatting sqref="BB62:BB76 BB306:BB309 BB311:BB325 BB327:BB330 BB332:BB341 BB344:BB347 BB349:BB353 BB355:BB358 BB360:BB384 BB386:BB389 BB392:BB395 BB397:BB411 BB413:BB416 BB418:BB432 BB434:BB437 BB439:BB453 BB455:BB458 BB460:BB469 BB7:BB10 BB12:BB14 BB17:BB18 BB21:BB24 BB26:BB28 BB30:BB36 BB38 BB41:BB43 BB46:BB49 BB51:BB55 BB57:BB59 BB290:BB291 BB293:BB304">
    <cfRule type="cellIs" dxfId="7417" priority="2721" operator="lessThan">
      <formula>0</formula>
    </cfRule>
    <cfRule type="cellIs" dxfId="7416" priority="2722" operator="lessThan">
      <formula>-105575</formula>
    </cfRule>
  </conditionalFormatting>
  <conditionalFormatting sqref="BB41">
    <cfRule type="cellIs" dxfId="7415" priority="2719" operator="lessThan">
      <formula>0</formula>
    </cfRule>
    <cfRule type="cellIs" dxfId="7414" priority="2720" operator="lessThan">
      <formula>-105575</formula>
    </cfRule>
  </conditionalFormatting>
  <conditionalFormatting sqref="BB152:BB155">
    <cfRule type="cellIs" dxfId="7413" priority="2717" operator="lessThan">
      <formula>0</formula>
    </cfRule>
    <cfRule type="cellIs" dxfId="7412" priority="2718" operator="lessThan">
      <formula>-105575</formula>
    </cfRule>
  </conditionalFormatting>
  <conditionalFormatting sqref="BB152:BB155">
    <cfRule type="cellIs" dxfId="7411" priority="2715" operator="lessThan">
      <formula>0</formula>
    </cfRule>
    <cfRule type="cellIs" dxfId="7410" priority="2716" operator="lessThan">
      <formula>-105575</formula>
    </cfRule>
  </conditionalFormatting>
  <conditionalFormatting sqref="BB152:BB155">
    <cfRule type="cellIs" dxfId="7409" priority="2713" operator="lessThan">
      <formula>0</formula>
    </cfRule>
    <cfRule type="cellIs" dxfId="7408" priority="2714" operator="lessThan">
      <formula>-105575</formula>
    </cfRule>
  </conditionalFormatting>
  <conditionalFormatting sqref="BB157:BB158">
    <cfRule type="cellIs" dxfId="7407" priority="2711" operator="lessThan">
      <formula>0</formula>
    </cfRule>
    <cfRule type="cellIs" dxfId="7406" priority="2712" operator="lessThan">
      <formula>-105575</formula>
    </cfRule>
  </conditionalFormatting>
  <conditionalFormatting sqref="BB157:BB158">
    <cfRule type="cellIs" dxfId="7405" priority="2709" operator="lessThan">
      <formula>0</formula>
    </cfRule>
    <cfRule type="cellIs" dxfId="7404" priority="2710" operator="lessThan">
      <formula>-105575</formula>
    </cfRule>
  </conditionalFormatting>
  <conditionalFormatting sqref="BB157:BB158">
    <cfRule type="cellIs" dxfId="7403" priority="2707" operator="lessThan">
      <formula>0</formula>
    </cfRule>
    <cfRule type="cellIs" dxfId="7402" priority="2708" operator="lessThan">
      <formula>-105575</formula>
    </cfRule>
  </conditionalFormatting>
  <conditionalFormatting sqref="BB160:BB161">
    <cfRule type="cellIs" dxfId="7401" priority="2705" operator="lessThan">
      <formula>0</formula>
    </cfRule>
    <cfRule type="cellIs" dxfId="7400" priority="2706" operator="lessThan">
      <formula>-105575</formula>
    </cfRule>
  </conditionalFormatting>
  <conditionalFormatting sqref="BB160:BB161">
    <cfRule type="cellIs" dxfId="7399" priority="2703" operator="lessThan">
      <formula>0</formula>
    </cfRule>
    <cfRule type="cellIs" dxfId="7398" priority="2704" operator="lessThan">
      <formula>-105575</formula>
    </cfRule>
  </conditionalFormatting>
  <conditionalFormatting sqref="BB160:BB161">
    <cfRule type="cellIs" dxfId="7397" priority="2701" operator="lessThan">
      <formula>0</formula>
    </cfRule>
    <cfRule type="cellIs" dxfId="7396" priority="2702" operator="lessThan">
      <formula>-105575</formula>
    </cfRule>
  </conditionalFormatting>
  <conditionalFormatting sqref="BB164:BB167">
    <cfRule type="cellIs" dxfId="7395" priority="2699" operator="lessThan">
      <formula>0</formula>
    </cfRule>
    <cfRule type="cellIs" dxfId="7394" priority="2700" operator="lessThan">
      <formula>-105575</formula>
    </cfRule>
  </conditionalFormatting>
  <conditionalFormatting sqref="BB164:BB167">
    <cfRule type="cellIs" dxfId="7393" priority="2697" operator="lessThan">
      <formula>0</formula>
    </cfRule>
    <cfRule type="cellIs" dxfId="7392" priority="2698" operator="lessThan">
      <formula>-105575</formula>
    </cfRule>
  </conditionalFormatting>
  <conditionalFormatting sqref="BB164:BB167">
    <cfRule type="cellIs" dxfId="7391" priority="2695" operator="lessThan">
      <formula>0</formula>
    </cfRule>
    <cfRule type="cellIs" dxfId="7390" priority="2696" operator="lessThan">
      <formula>-105575</formula>
    </cfRule>
  </conditionalFormatting>
  <conditionalFormatting sqref="BB169:BB177">
    <cfRule type="cellIs" dxfId="7389" priority="2693" operator="lessThan">
      <formula>0</formula>
    </cfRule>
    <cfRule type="cellIs" dxfId="7388" priority="2694" operator="lessThan">
      <formula>-105575</formula>
    </cfRule>
  </conditionalFormatting>
  <conditionalFormatting sqref="BB169:BB177">
    <cfRule type="cellIs" dxfId="7387" priority="2691" operator="lessThan">
      <formula>0</formula>
    </cfRule>
    <cfRule type="cellIs" dxfId="7386" priority="2692" operator="lessThan">
      <formula>-105575</formula>
    </cfRule>
  </conditionalFormatting>
  <conditionalFormatting sqref="BB169:BB177">
    <cfRule type="cellIs" dxfId="7385" priority="2689" operator="lessThan">
      <formula>0</formula>
    </cfRule>
    <cfRule type="cellIs" dxfId="7384" priority="2690" operator="lessThan">
      <formula>-105575</formula>
    </cfRule>
  </conditionalFormatting>
  <conditionalFormatting sqref="BB179:BB180">
    <cfRule type="cellIs" dxfId="7383" priority="2687" operator="lessThan">
      <formula>0</formula>
    </cfRule>
    <cfRule type="cellIs" dxfId="7382" priority="2688" operator="lessThan">
      <formula>-105575</formula>
    </cfRule>
  </conditionalFormatting>
  <conditionalFormatting sqref="BB179:BB180">
    <cfRule type="cellIs" dxfId="7381" priority="2685" operator="lessThan">
      <formula>0</formula>
    </cfRule>
    <cfRule type="cellIs" dxfId="7380" priority="2686" operator="lessThan">
      <formula>-105575</formula>
    </cfRule>
  </conditionalFormatting>
  <conditionalFormatting sqref="BB179:BB180">
    <cfRule type="cellIs" dxfId="7379" priority="2683" operator="lessThan">
      <formula>0</formula>
    </cfRule>
    <cfRule type="cellIs" dxfId="7378" priority="2684" operator="lessThan">
      <formula>-105575</formula>
    </cfRule>
  </conditionalFormatting>
  <conditionalFormatting sqref="BB183:BB189">
    <cfRule type="cellIs" dxfId="7377" priority="2681" operator="lessThan">
      <formula>0</formula>
    </cfRule>
    <cfRule type="cellIs" dxfId="7376" priority="2682" operator="lessThan">
      <formula>-105575</formula>
    </cfRule>
  </conditionalFormatting>
  <conditionalFormatting sqref="BB183:BB189">
    <cfRule type="cellIs" dxfId="7375" priority="2679" operator="lessThan">
      <formula>0</formula>
    </cfRule>
    <cfRule type="cellIs" dxfId="7374" priority="2680" operator="lessThan">
      <formula>-105575</formula>
    </cfRule>
  </conditionalFormatting>
  <conditionalFormatting sqref="BB183:BB189">
    <cfRule type="cellIs" dxfId="7373" priority="2677" operator="lessThan">
      <formula>0</formula>
    </cfRule>
    <cfRule type="cellIs" dxfId="7372" priority="2678" operator="lessThan">
      <formula>-105575</formula>
    </cfRule>
  </conditionalFormatting>
  <conditionalFormatting sqref="BB191:BB192">
    <cfRule type="cellIs" dxfId="7371" priority="2675" operator="lessThan">
      <formula>0</formula>
    </cfRule>
    <cfRule type="cellIs" dxfId="7370" priority="2676" operator="lessThan">
      <formula>-105575</formula>
    </cfRule>
  </conditionalFormatting>
  <conditionalFormatting sqref="BB191:BB192">
    <cfRule type="cellIs" dxfId="7369" priority="2673" operator="lessThan">
      <formula>0</formula>
    </cfRule>
    <cfRule type="cellIs" dxfId="7368" priority="2674" operator="lessThan">
      <formula>-105575</formula>
    </cfRule>
  </conditionalFormatting>
  <conditionalFormatting sqref="BB191:BB192">
    <cfRule type="cellIs" dxfId="7367" priority="2671" operator="lessThan">
      <formula>0</formula>
    </cfRule>
    <cfRule type="cellIs" dxfId="7366" priority="2672" operator="lessThan">
      <formula>-105575</formula>
    </cfRule>
  </conditionalFormatting>
  <conditionalFormatting sqref="BB194:BB195">
    <cfRule type="cellIs" dxfId="7365" priority="2669" operator="lessThan">
      <formula>0</formula>
    </cfRule>
    <cfRule type="cellIs" dxfId="7364" priority="2670" operator="lessThan">
      <formula>-105575</formula>
    </cfRule>
  </conditionalFormatting>
  <conditionalFormatting sqref="BB194:BB195">
    <cfRule type="cellIs" dxfId="7363" priority="2667" operator="lessThan">
      <formula>0</formula>
    </cfRule>
    <cfRule type="cellIs" dxfId="7362" priority="2668" operator="lessThan">
      <formula>-105575</formula>
    </cfRule>
  </conditionalFormatting>
  <conditionalFormatting sqref="BB194:BB195">
    <cfRule type="cellIs" dxfId="7361" priority="2665" operator="lessThan">
      <formula>0</formula>
    </cfRule>
    <cfRule type="cellIs" dxfId="7360" priority="2666" operator="lessThan">
      <formula>-105575</formula>
    </cfRule>
  </conditionalFormatting>
  <conditionalFormatting sqref="BB199:BB202">
    <cfRule type="cellIs" dxfId="7359" priority="2663" operator="lessThan">
      <formula>0</formula>
    </cfRule>
    <cfRule type="cellIs" dxfId="7358" priority="2664" operator="lessThan">
      <formula>-105575</formula>
    </cfRule>
  </conditionalFormatting>
  <conditionalFormatting sqref="BB199:BB202">
    <cfRule type="cellIs" dxfId="7357" priority="2661" operator="lessThan">
      <formula>0</formula>
    </cfRule>
    <cfRule type="cellIs" dxfId="7356" priority="2662" operator="lessThan">
      <formula>-105575</formula>
    </cfRule>
  </conditionalFormatting>
  <conditionalFormatting sqref="BB199:BB202">
    <cfRule type="cellIs" dxfId="7355" priority="2659" operator="lessThan">
      <formula>0</formula>
    </cfRule>
    <cfRule type="cellIs" dxfId="7354" priority="2660" operator="lessThan">
      <formula>-105575</formula>
    </cfRule>
  </conditionalFormatting>
  <conditionalFormatting sqref="BB204:BB208">
    <cfRule type="cellIs" dxfId="7353" priority="2657" operator="lessThan">
      <formula>0</formula>
    </cfRule>
    <cfRule type="cellIs" dxfId="7352" priority="2658" operator="lessThan">
      <formula>-105575</formula>
    </cfRule>
  </conditionalFormatting>
  <conditionalFormatting sqref="BB204:BB208">
    <cfRule type="cellIs" dxfId="7351" priority="2655" operator="lessThan">
      <formula>0</formula>
    </cfRule>
    <cfRule type="cellIs" dxfId="7350" priority="2656" operator="lessThan">
      <formula>-105575</formula>
    </cfRule>
  </conditionalFormatting>
  <conditionalFormatting sqref="BB204:BB208">
    <cfRule type="cellIs" dxfId="7349" priority="2653" operator="lessThan">
      <formula>0</formula>
    </cfRule>
    <cfRule type="cellIs" dxfId="7348" priority="2654" operator="lessThan">
      <formula>-105575</formula>
    </cfRule>
  </conditionalFormatting>
  <conditionalFormatting sqref="BB210:BB211">
    <cfRule type="cellIs" dxfId="7347" priority="2651" operator="lessThan">
      <formula>0</formula>
    </cfRule>
    <cfRule type="cellIs" dxfId="7346" priority="2652" operator="lessThan">
      <formula>-105575</formula>
    </cfRule>
  </conditionalFormatting>
  <conditionalFormatting sqref="BB210:BB211">
    <cfRule type="cellIs" dxfId="7345" priority="2649" operator="lessThan">
      <formula>0</formula>
    </cfRule>
    <cfRule type="cellIs" dxfId="7344" priority="2650" operator="lessThan">
      <formula>-105575</formula>
    </cfRule>
  </conditionalFormatting>
  <conditionalFormatting sqref="BB210:BB211">
    <cfRule type="cellIs" dxfId="7343" priority="2647" operator="lessThan">
      <formula>0</formula>
    </cfRule>
    <cfRule type="cellIs" dxfId="7342" priority="2648" operator="lessThan">
      <formula>-105575</formula>
    </cfRule>
  </conditionalFormatting>
  <conditionalFormatting sqref="BB214:BB219">
    <cfRule type="cellIs" dxfId="7341" priority="2645" operator="lessThan">
      <formula>0</formula>
    </cfRule>
    <cfRule type="cellIs" dxfId="7340" priority="2646" operator="lessThan">
      <formula>-105575</formula>
    </cfRule>
  </conditionalFormatting>
  <conditionalFormatting sqref="BB214:BB219">
    <cfRule type="cellIs" dxfId="7339" priority="2643" operator="lessThan">
      <formula>0</formula>
    </cfRule>
    <cfRule type="cellIs" dxfId="7338" priority="2644" operator="lessThan">
      <formula>-105575</formula>
    </cfRule>
  </conditionalFormatting>
  <conditionalFormatting sqref="BB214:BB219">
    <cfRule type="cellIs" dxfId="7337" priority="2641" operator="lessThan">
      <formula>0</formula>
    </cfRule>
    <cfRule type="cellIs" dxfId="7336" priority="2642" operator="lessThan">
      <formula>-105575</formula>
    </cfRule>
  </conditionalFormatting>
  <conditionalFormatting sqref="BB222:BB224">
    <cfRule type="cellIs" dxfId="7335" priority="2639" operator="lessThan">
      <formula>0</formula>
    </cfRule>
    <cfRule type="cellIs" dxfId="7334" priority="2640" operator="lessThan">
      <formula>-105575</formula>
    </cfRule>
  </conditionalFormatting>
  <conditionalFormatting sqref="BB222:BB224">
    <cfRule type="cellIs" dxfId="7333" priority="2637" operator="lessThan">
      <formula>0</formula>
    </cfRule>
    <cfRule type="cellIs" dxfId="7332" priority="2638" operator="lessThan">
      <formula>-105575</formula>
    </cfRule>
  </conditionalFormatting>
  <conditionalFormatting sqref="BB222:BB224">
    <cfRule type="cellIs" dxfId="7331" priority="2635" operator="lessThan">
      <formula>0</formula>
    </cfRule>
    <cfRule type="cellIs" dxfId="7330" priority="2636" operator="lessThan">
      <formula>-105575</formula>
    </cfRule>
  </conditionalFormatting>
  <conditionalFormatting sqref="BB227:BB230">
    <cfRule type="cellIs" dxfId="7329" priority="2633" operator="lessThan">
      <formula>0</formula>
    </cfRule>
    <cfRule type="cellIs" dxfId="7328" priority="2634" operator="lessThan">
      <formula>-105575</formula>
    </cfRule>
  </conditionalFormatting>
  <conditionalFormatting sqref="BB227:BB230">
    <cfRule type="cellIs" dxfId="7327" priority="2631" operator="lessThan">
      <formula>0</formula>
    </cfRule>
    <cfRule type="cellIs" dxfId="7326" priority="2632" operator="lessThan">
      <formula>-105575</formula>
    </cfRule>
  </conditionalFormatting>
  <conditionalFormatting sqref="BB227:BB230">
    <cfRule type="cellIs" dxfId="7325" priority="2629" operator="lessThan">
      <formula>0</formula>
    </cfRule>
    <cfRule type="cellIs" dxfId="7324" priority="2630" operator="lessThan">
      <formula>-105575</formula>
    </cfRule>
  </conditionalFormatting>
  <conditionalFormatting sqref="BB246:BB249">
    <cfRule type="cellIs" dxfId="7323" priority="2627" operator="lessThan">
      <formula>0</formula>
    </cfRule>
    <cfRule type="cellIs" dxfId="7322" priority="2628" operator="lessThan">
      <formula>-105575</formula>
    </cfRule>
  </conditionalFormatting>
  <conditionalFormatting sqref="BB246:BB249">
    <cfRule type="cellIs" dxfId="7321" priority="2625" operator="lessThan">
      <formula>0</formula>
    </cfRule>
    <cfRule type="cellIs" dxfId="7320" priority="2626" operator="lessThan">
      <formula>-105575</formula>
    </cfRule>
  </conditionalFormatting>
  <conditionalFormatting sqref="BB246:BB249">
    <cfRule type="cellIs" dxfId="7319" priority="2623" operator="lessThan">
      <formula>0</formula>
    </cfRule>
    <cfRule type="cellIs" dxfId="7318" priority="2624" operator="lessThan">
      <formula>-105575</formula>
    </cfRule>
  </conditionalFormatting>
  <conditionalFormatting sqref="BB246:BB249">
    <cfRule type="cellIs" dxfId="7317" priority="2621" operator="lessThan">
      <formula>0</formula>
    </cfRule>
    <cfRule type="cellIs" dxfId="7316" priority="2622" operator="lessThan">
      <formula>-105575</formula>
    </cfRule>
  </conditionalFormatting>
  <conditionalFormatting sqref="BB246:BB249">
    <cfRule type="cellIs" dxfId="7315" priority="2619" operator="lessThan">
      <formula>0</formula>
    </cfRule>
    <cfRule type="cellIs" dxfId="7314" priority="2620" operator="lessThan">
      <formula>-105575</formula>
    </cfRule>
  </conditionalFormatting>
  <conditionalFormatting sqref="BB246:BB249">
    <cfRule type="cellIs" dxfId="7313" priority="2617" operator="lessThan">
      <formula>0</formula>
    </cfRule>
    <cfRule type="cellIs" dxfId="7312" priority="2618" operator="lessThan">
      <formula>-105575</formula>
    </cfRule>
  </conditionalFormatting>
  <conditionalFormatting sqref="BB246:BB249">
    <cfRule type="cellIs" dxfId="7311" priority="2615" operator="lessThan">
      <formula>0</formula>
    </cfRule>
    <cfRule type="cellIs" dxfId="7310" priority="2616" operator="lessThan">
      <formula>-105575</formula>
    </cfRule>
  </conditionalFormatting>
  <conditionalFormatting sqref="BB246:BB249">
    <cfRule type="cellIs" dxfId="7309" priority="2613" operator="lessThan">
      <formula>0</formula>
    </cfRule>
    <cfRule type="cellIs" dxfId="7308" priority="2614" operator="lessThan">
      <formula>-105575</formula>
    </cfRule>
  </conditionalFormatting>
  <conditionalFormatting sqref="BB246:BB249">
    <cfRule type="cellIs" dxfId="7307" priority="2611" operator="lessThan">
      <formula>0</formula>
    </cfRule>
    <cfRule type="cellIs" dxfId="7306" priority="2612" operator="lessThan">
      <formula>-105575</formula>
    </cfRule>
  </conditionalFormatting>
  <conditionalFormatting sqref="BB251:BB253">
    <cfRule type="cellIs" dxfId="7305" priority="2609" operator="lessThan">
      <formula>0</formula>
    </cfRule>
    <cfRule type="cellIs" dxfId="7304" priority="2610" operator="lessThan">
      <formula>-105575</formula>
    </cfRule>
  </conditionalFormatting>
  <conditionalFormatting sqref="BB251:BB253">
    <cfRule type="cellIs" dxfId="7303" priority="2607" operator="lessThan">
      <formula>0</formula>
    </cfRule>
    <cfRule type="cellIs" dxfId="7302" priority="2608" operator="lessThan">
      <formula>-105575</formula>
    </cfRule>
  </conditionalFormatting>
  <conditionalFormatting sqref="BB251:BB253">
    <cfRule type="cellIs" dxfId="7301" priority="2605" operator="lessThan">
      <formula>0</formula>
    </cfRule>
    <cfRule type="cellIs" dxfId="7300" priority="2606" operator="lessThan">
      <formula>-105575</formula>
    </cfRule>
  </conditionalFormatting>
  <conditionalFormatting sqref="BB251:BB253">
    <cfRule type="cellIs" dxfId="7299" priority="2603" operator="lessThan">
      <formula>0</formula>
    </cfRule>
    <cfRule type="cellIs" dxfId="7298" priority="2604" operator="lessThan">
      <formula>-105575</formula>
    </cfRule>
  </conditionalFormatting>
  <conditionalFormatting sqref="BB251:BB253">
    <cfRule type="cellIs" dxfId="7297" priority="2601" operator="lessThan">
      <formula>0</formula>
    </cfRule>
    <cfRule type="cellIs" dxfId="7296" priority="2602" operator="lessThan">
      <formula>-105575</formula>
    </cfRule>
  </conditionalFormatting>
  <conditionalFormatting sqref="BB251:BB253">
    <cfRule type="cellIs" dxfId="7295" priority="2599" operator="lessThan">
      <formula>0</formula>
    </cfRule>
    <cfRule type="cellIs" dxfId="7294" priority="2600" operator="lessThan">
      <formula>-105575</formula>
    </cfRule>
  </conditionalFormatting>
  <conditionalFormatting sqref="BB251:BB253">
    <cfRule type="cellIs" dxfId="7293" priority="2597" operator="lessThan">
      <formula>0</formula>
    </cfRule>
    <cfRule type="cellIs" dxfId="7292" priority="2598" operator="lessThan">
      <formula>-105575</formula>
    </cfRule>
  </conditionalFormatting>
  <conditionalFormatting sqref="BB251:BB253">
    <cfRule type="cellIs" dxfId="7291" priority="2595" operator="lessThan">
      <formula>0</formula>
    </cfRule>
    <cfRule type="cellIs" dxfId="7290" priority="2596" operator="lessThan">
      <formula>-105575</formula>
    </cfRule>
  </conditionalFormatting>
  <conditionalFormatting sqref="BB251:BB253">
    <cfRule type="cellIs" dxfId="7289" priority="2593" operator="lessThan">
      <formula>0</formula>
    </cfRule>
    <cfRule type="cellIs" dxfId="7288" priority="2594" operator="lessThan">
      <formula>-105575</formula>
    </cfRule>
  </conditionalFormatting>
  <conditionalFormatting sqref="BB255:BB257">
    <cfRule type="cellIs" dxfId="7287" priority="2591" operator="lessThan">
      <formula>0</formula>
    </cfRule>
    <cfRule type="cellIs" dxfId="7286" priority="2592" operator="lessThan">
      <formula>-105575</formula>
    </cfRule>
  </conditionalFormatting>
  <conditionalFormatting sqref="BB255:BB257">
    <cfRule type="cellIs" dxfId="7285" priority="2589" operator="lessThan">
      <formula>0</formula>
    </cfRule>
    <cfRule type="cellIs" dxfId="7284" priority="2590" operator="lessThan">
      <formula>-105575</formula>
    </cfRule>
  </conditionalFormatting>
  <conditionalFormatting sqref="BB255:BB257">
    <cfRule type="cellIs" dxfId="7283" priority="2587" operator="lessThan">
      <formula>0</formula>
    </cfRule>
    <cfRule type="cellIs" dxfId="7282" priority="2588" operator="lessThan">
      <formula>-105575</formula>
    </cfRule>
  </conditionalFormatting>
  <conditionalFormatting sqref="BB255:BB257">
    <cfRule type="cellIs" dxfId="7281" priority="2585" operator="lessThan">
      <formula>0</formula>
    </cfRule>
    <cfRule type="cellIs" dxfId="7280" priority="2586" operator="lessThan">
      <formula>-105575</formula>
    </cfRule>
  </conditionalFormatting>
  <conditionalFormatting sqref="BB255:BB257">
    <cfRule type="cellIs" dxfId="7279" priority="2583" operator="lessThan">
      <formula>0</formula>
    </cfRule>
    <cfRule type="cellIs" dxfId="7278" priority="2584" operator="lessThan">
      <formula>-105575</formula>
    </cfRule>
  </conditionalFormatting>
  <conditionalFormatting sqref="BB255:BB257">
    <cfRule type="cellIs" dxfId="7277" priority="2581" operator="lessThan">
      <formula>0</formula>
    </cfRule>
    <cfRule type="cellIs" dxfId="7276" priority="2582" operator="lessThan">
      <formula>-105575</formula>
    </cfRule>
  </conditionalFormatting>
  <conditionalFormatting sqref="BB255:BB257">
    <cfRule type="cellIs" dxfId="7275" priority="2579" operator="lessThan">
      <formula>0</formula>
    </cfRule>
    <cfRule type="cellIs" dxfId="7274" priority="2580" operator="lessThan">
      <formula>-105575</formula>
    </cfRule>
  </conditionalFormatting>
  <conditionalFormatting sqref="BB255:BB257">
    <cfRule type="cellIs" dxfId="7273" priority="2577" operator="lessThan">
      <formula>0</formula>
    </cfRule>
    <cfRule type="cellIs" dxfId="7272" priority="2578" operator="lessThan">
      <formula>-105575</formula>
    </cfRule>
  </conditionalFormatting>
  <conditionalFormatting sqref="BB255:BB257">
    <cfRule type="cellIs" dxfId="7271" priority="2575" operator="lessThan">
      <formula>0</formula>
    </cfRule>
    <cfRule type="cellIs" dxfId="7270" priority="2576" operator="lessThan">
      <formula>-105575</formula>
    </cfRule>
  </conditionalFormatting>
  <conditionalFormatting sqref="BB260:BB262">
    <cfRule type="cellIs" dxfId="7269" priority="2573" operator="lessThan">
      <formula>0</formula>
    </cfRule>
    <cfRule type="cellIs" dxfId="7268" priority="2574" operator="lessThan">
      <formula>-105575</formula>
    </cfRule>
  </conditionalFormatting>
  <conditionalFormatting sqref="BB260:BB262">
    <cfRule type="cellIs" dxfId="7267" priority="2571" operator="lessThan">
      <formula>0</formula>
    </cfRule>
    <cfRule type="cellIs" dxfId="7266" priority="2572" operator="lessThan">
      <formula>-105575</formula>
    </cfRule>
  </conditionalFormatting>
  <conditionalFormatting sqref="BB260:BB262">
    <cfRule type="cellIs" dxfId="7265" priority="2569" operator="lessThan">
      <formula>0</formula>
    </cfRule>
    <cfRule type="cellIs" dxfId="7264" priority="2570" operator="lessThan">
      <formula>-105575</formula>
    </cfRule>
  </conditionalFormatting>
  <conditionalFormatting sqref="BB260:BB262">
    <cfRule type="cellIs" dxfId="7263" priority="2567" operator="lessThan">
      <formula>0</formula>
    </cfRule>
    <cfRule type="cellIs" dxfId="7262" priority="2568" operator="lessThan">
      <formula>-105575</formula>
    </cfRule>
  </conditionalFormatting>
  <conditionalFormatting sqref="BB260:BB262">
    <cfRule type="cellIs" dxfId="7261" priority="2565" operator="lessThan">
      <formula>0</formula>
    </cfRule>
    <cfRule type="cellIs" dxfId="7260" priority="2566" operator="lessThan">
      <formula>-105575</formula>
    </cfRule>
  </conditionalFormatting>
  <conditionalFormatting sqref="BB260:BB262">
    <cfRule type="cellIs" dxfId="7259" priority="2563" operator="lessThan">
      <formula>0</formula>
    </cfRule>
    <cfRule type="cellIs" dxfId="7258" priority="2564" operator="lessThan">
      <formula>-105575</formula>
    </cfRule>
  </conditionalFormatting>
  <conditionalFormatting sqref="BB260:BB262">
    <cfRule type="cellIs" dxfId="7257" priority="2561" operator="lessThan">
      <formula>0</formula>
    </cfRule>
    <cfRule type="cellIs" dxfId="7256" priority="2562" operator="lessThan">
      <formula>-105575</formula>
    </cfRule>
  </conditionalFormatting>
  <conditionalFormatting sqref="BB260:BB262">
    <cfRule type="cellIs" dxfId="7255" priority="2559" operator="lessThan">
      <formula>0</formula>
    </cfRule>
    <cfRule type="cellIs" dxfId="7254" priority="2560" operator="lessThan">
      <formula>-105575</formula>
    </cfRule>
  </conditionalFormatting>
  <conditionalFormatting sqref="BB260:BB262">
    <cfRule type="cellIs" dxfId="7253" priority="2557" operator="lessThan">
      <formula>0</formula>
    </cfRule>
    <cfRule type="cellIs" dxfId="7252" priority="2558" operator="lessThan">
      <formula>-105575</formula>
    </cfRule>
  </conditionalFormatting>
  <conditionalFormatting sqref="BB264:BB267">
    <cfRule type="cellIs" dxfId="7251" priority="2555" operator="lessThan">
      <formula>0</formula>
    </cfRule>
    <cfRule type="cellIs" dxfId="7250" priority="2556" operator="lessThan">
      <formula>-105575</formula>
    </cfRule>
  </conditionalFormatting>
  <conditionalFormatting sqref="BB264:BB267">
    <cfRule type="cellIs" dxfId="7249" priority="2553" operator="lessThan">
      <formula>0</formula>
    </cfRule>
    <cfRule type="cellIs" dxfId="7248" priority="2554" operator="lessThan">
      <formula>-105575</formula>
    </cfRule>
  </conditionalFormatting>
  <conditionalFormatting sqref="BB264:BB267">
    <cfRule type="cellIs" dxfId="7247" priority="2551" operator="lessThan">
      <formula>0</formula>
    </cfRule>
    <cfRule type="cellIs" dxfId="7246" priority="2552" operator="lessThan">
      <formula>-105575</formula>
    </cfRule>
  </conditionalFormatting>
  <conditionalFormatting sqref="BB264:BB267">
    <cfRule type="cellIs" dxfId="7245" priority="2549" operator="lessThan">
      <formula>0</formula>
    </cfRule>
    <cfRule type="cellIs" dxfId="7244" priority="2550" operator="lessThan">
      <formula>-105575</formula>
    </cfRule>
  </conditionalFormatting>
  <conditionalFormatting sqref="BB264:BB267">
    <cfRule type="cellIs" dxfId="7243" priority="2547" operator="lessThan">
      <formula>0</formula>
    </cfRule>
    <cfRule type="cellIs" dxfId="7242" priority="2548" operator="lessThan">
      <formula>-105575</formula>
    </cfRule>
  </conditionalFormatting>
  <conditionalFormatting sqref="BB264:BB267">
    <cfRule type="cellIs" dxfId="7241" priority="2545" operator="lessThan">
      <formula>0</formula>
    </cfRule>
    <cfRule type="cellIs" dxfId="7240" priority="2546" operator="lessThan">
      <formula>-105575</formula>
    </cfRule>
  </conditionalFormatting>
  <conditionalFormatting sqref="BB264:BB267">
    <cfRule type="cellIs" dxfId="7239" priority="2543" operator="lessThan">
      <formula>0</formula>
    </cfRule>
    <cfRule type="cellIs" dxfId="7238" priority="2544" operator="lessThan">
      <formula>-105575</formula>
    </cfRule>
  </conditionalFormatting>
  <conditionalFormatting sqref="BB264:BB267">
    <cfRule type="cellIs" dxfId="7237" priority="2541" operator="lessThan">
      <formula>0</formula>
    </cfRule>
    <cfRule type="cellIs" dxfId="7236" priority="2542" operator="lessThan">
      <formula>-105575</formula>
    </cfRule>
  </conditionalFormatting>
  <conditionalFormatting sqref="BB264:BB267">
    <cfRule type="cellIs" dxfId="7235" priority="2539" operator="lessThan">
      <formula>0</formula>
    </cfRule>
    <cfRule type="cellIs" dxfId="7234" priority="2540" operator="lessThan">
      <formula>-105575</formula>
    </cfRule>
  </conditionalFormatting>
  <conditionalFormatting sqref="BB270:BB272">
    <cfRule type="cellIs" dxfId="7233" priority="2537" operator="lessThan">
      <formula>0</formula>
    </cfRule>
    <cfRule type="cellIs" dxfId="7232" priority="2538" operator="lessThan">
      <formula>-105575</formula>
    </cfRule>
  </conditionalFormatting>
  <conditionalFormatting sqref="BB270:BB272">
    <cfRule type="cellIs" dxfId="7231" priority="2535" operator="lessThan">
      <formula>0</formula>
    </cfRule>
    <cfRule type="cellIs" dxfId="7230" priority="2536" operator="lessThan">
      <formula>-105575</formula>
    </cfRule>
  </conditionalFormatting>
  <conditionalFormatting sqref="BB270:BB272">
    <cfRule type="cellIs" dxfId="7229" priority="2533" operator="lessThan">
      <formula>0</formula>
    </cfRule>
    <cfRule type="cellIs" dxfId="7228" priority="2534" operator="lessThan">
      <formula>-105575</formula>
    </cfRule>
  </conditionalFormatting>
  <conditionalFormatting sqref="BB270:BB272">
    <cfRule type="cellIs" dxfId="7227" priority="2531" operator="lessThan">
      <formula>0</formula>
    </cfRule>
    <cfRule type="cellIs" dxfId="7226" priority="2532" operator="lessThan">
      <formula>-105575</formula>
    </cfRule>
  </conditionalFormatting>
  <conditionalFormatting sqref="BB270:BB272">
    <cfRule type="cellIs" dxfId="7225" priority="2529" operator="lessThan">
      <formula>0</formula>
    </cfRule>
    <cfRule type="cellIs" dxfId="7224" priority="2530" operator="lessThan">
      <formula>-105575</formula>
    </cfRule>
  </conditionalFormatting>
  <conditionalFormatting sqref="BB270:BB272">
    <cfRule type="cellIs" dxfId="7223" priority="2527" operator="lessThan">
      <formula>0</formula>
    </cfRule>
    <cfRule type="cellIs" dxfId="7222" priority="2528" operator="lessThan">
      <formula>-105575</formula>
    </cfRule>
  </conditionalFormatting>
  <conditionalFormatting sqref="BB270:BB272">
    <cfRule type="cellIs" dxfId="7221" priority="2525" operator="lessThan">
      <formula>0</formula>
    </cfRule>
    <cfRule type="cellIs" dxfId="7220" priority="2526" operator="lessThan">
      <formula>-105575</formula>
    </cfRule>
  </conditionalFormatting>
  <conditionalFormatting sqref="BB270:BB272">
    <cfRule type="cellIs" dxfId="7219" priority="2523" operator="lessThan">
      <formula>0</formula>
    </cfRule>
    <cfRule type="cellIs" dxfId="7218" priority="2524" operator="lessThan">
      <formula>-105575</formula>
    </cfRule>
  </conditionalFormatting>
  <conditionalFormatting sqref="BB270:BB272">
    <cfRule type="cellIs" dxfId="7217" priority="2521" operator="lessThan">
      <formula>0</formula>
    </cfRule>
    <cfRule type="cellIs" dxfId="7216" priority="2522" operator="lessThan">
      <formula>-105575</formula>
    </cfRule>
  </conditionalFormatting>
  <conditionalFormatting sqref="BB274:BB275">
    <cfRule type="cellIs" dxfId="7215" priority="2519" operator="lessThan">
      <formula>0</formula>
    </cfRule>
    <cfRule type="cellIs" dxfId="7214" priority="2520" operator="lessThan">
      <formula>-105575</formula>
    </cfRule>
  </conditionalFormatting>
  <conditionalFormatting sqref="BB274:BB275">
    <cfRule type="cellIs" dxfId="7213" priority="2517" operator="lessThan">
      <formula>0</formula>
    </cfRule>
    <cfRule type="cellIs" dxfId="7212" priority="2518" operator="lessThan">
      <formula>-105575</formula>
    </cfRule>
  </conditionalFormatting>
  <conditionalFormatting sqref="BB274:BB275">
    <cfRule type="cellIs" dxfId="7211" priority="2515" operator="lessThan">
      <formula>0</formula>
    </cfRule>
    <cfRule type="cellIs" dxfId="7210" priority="2516" operator="lessThan">
      <formula>-105575</formula>
    </cfRule>
  </conditionalFormatting>
  <conditionalFormatting sqref="BB274:BB275">
    <cfRule type="cellIs" dxfId="7209" priority="2513" operator="lessThan">
      <formula>0</formula>
    </cfRule>
    <cfRule type="cellIs" dxfId="7208" priority="2514" operator="lessThan">
      <formula>-105575</formula>
    </cfRule>
  </conditionalFormatting>
  <conditionalFormatting sqref="BB274:BB275">
    <cfRule type="cellIs" dxfId="7207" priority="2511" operator="lessThan">
      <formula>0</formula>
    </cfRule>
    <cfRule type="cellIs" dxfId="7206" priority="2512" operator="lessThan">
      <formula>-105575</formula>
    </cfRule>
  </conditionalFormatting>
  <conditionalFormatting sqref="BB274:BB275">
    <cfRule type="cellIs" dxfId="7205" priority="2509" operator="lessThan">
      <formula>0</formula>
    </cfRule>
    <cfRule type="cellIs" dxfId="7204" priority="2510" operator="lessThan">
      <formula>-105575</formula>
    </cfRule>
  </conditionalFormatting>
  <conditionalFormatting sqref="BB274:BB275">
    <cfRule type="cellIs" dxfId="7203" priority="2507" operator="lessThan">
      <formula>0</formula>
    </cfRule>
    <cfRule type="cellIs" dxfId="7202" priority="2508" operator="lessThan">
      <formula>-105575</formula>
    </cfRule>
  </conditionalFormatting>
  <conditionalFormatting sqref="BB274:BB275">
    <cfRule type="cellIs" dxfId="7201" priority="2505" operator="lessThan">
      <formula>0</formula>
    </cfRule>
    <cfRule type="cellIs" dxfId="7200" priority="2506" operator="lessThan">
      <formula>-105575</formula>
    </cfRule>
  </conditionalFormatting>
  <conditionalFormatting sqref="BB274:BB275">
    <cfRule type="cellIs" dxfId="7199" priority="2503" operator="lessThan">
      <formula>0</formula>
    </cfRule>
    <cfRule type="cellIs" dxfId="7198" priority="2504" operator="lessThan">
      <formula>-105575</formula>
    </cfRule>
  </conditionalFormatting>
  <conditionalFormatting sqref="BB278:BB282">
    <cfRule type="cellIs" dxfId="7197" priority="2501" operator="lessThan">
      <formula>0</formula>
    </cfRule>
    <cfRule type="cellIs" dxfId="7196" priority="2502" operator="lessThan">
      <formula>-105575</formula>
    </cfRule>
  </conditionalFormatting>
  <conditionalFormatting sqref="BB278:BB282">
    <cfRule type="cellIs" dxfId="7195" priority="2499" operator="lessThan">
      <formula>0</formula>
    </cfRule>
    <cfRule type="cellIs" dxfId="7194" priority="2500" operator="lessThan">
      <formula>-105575</formula>
    </cfRule>
  </conditionalFormatting>
  <conditionalFormatting sqref="BB278:BB282">
    <cfRule type="cellIs" dxfId="7193" priority="2497" operator="lessThan">
      <formula>0</formula>
    </cfRule>
    <cfRule type="cellIs" dxfId="7192" priority="2498" operator="lessThan">
      <formula>-105575</formula>
    </cfRule>
  </conditionalFormatting>
  <conditionalFormatting sqref="BB278:BB282">
    <cfRule type="cellIs" dxfId="7191" priority="2495" operator="lessThan">
      <formula>0</formula>
    </cfRule>
    <cfRule type="cellIs" dxfId="7190" priority="2496" operator="lessThan">
      <formula>-105575</formula>
    </cfRule>
  </conditionalFormatting>
  <conditionalFormatting sqref="BB278:BB282">
    <cfRule type="cellIs" dxfId="7189" priority="2493" operator="lessThan">
      <formula>0</formula>
    </cfRule>
    <cfRule type="cellIs" dxfId="7188" priority="2494" operator="lessThan">
      <formula>-105575</formula>
    </cfRule>
  </conditionalFormatting>
  <conditionalFormatting sqref="BB278:BB282">
    <cfRule type="cellIs" dxfId="7187" priority="2491" operator="lessThan">
      <formula>0</formula>
    </cfRule>
    <cfRule type="cellIs" dxfId="7186" priority="2492" operator="lessThan">
      <formula>-105575</formula>
    </cfRule>
  </conditionalFormatting>
  <conditionalFormatting sqref="BB278:BB282">
    <cfRule type="cellIs" dxfId="7185" priority="2489" operator="lessThan">
      <formula>0</formula>
    </cfRule>
    <cfRule type="cellIs" dxfId="7184" priority="2490" operator="lessThan">
      <formula>-105575</formula>
    </cfRule>
  </conditionalFormatting>
  <conditionalFormatting sqref="BB278:BB282">
    <cfRule type="cellIs" dxfId="7183" priority="2487" operator="lessThan">
      <formula>0</formula>
    </cfRule>
    <cfRule type="cellIs" dxfId="7182" priority="2488" operator="lessThan">
      <formula>-105575</formula>
    </cfRule>
  </conditionalFormatting>
  <conditionalFormatting sqref="BB278:BB282">
    <cfRule type="cellIs" dxfId="7181" priority="2485" operator="lessThan">
      <formula>0</formula>
    </cfRule>
    <cfRule type="cellIs" dxfId="7180" priority="2486" operator="lessThan">
      <formula>-105575</formula>
    </cfRule>
  </conditionalFormatting>
  <conditionalFormatting sqref="BB285:BB288">
    <cfRule type="cellIs" dxfId="7179" priority="2483" operator="lessThan">
      <formula>0</formula>
    </cfRule>
    <cfRule type="cellIs" dxfId="7178" priority="2484" operator="lessThan">
      <formula>-105575</formula>
    </cfRule>
  </conditionalFormatting>
  <conditionalFormatting sqref="BB285:BB288">
    <cfRule type="cellIs" dxfId="7177" priority="2481" operator="lessThan">
      <formula>0</formula>
    </cfRule>
    <cfRule type="cellIs" dxfId="7176" priority="2482" operator="lessThan">
      <formula>-105575</formula>
    </cfRule>
  </conditionalFormatting>
  <conditionalFormatting sqref="BB285:BB288">
    <cfRule type="cellIs" dxfId="7175" priority="2479" operator="lessThan">
      <formula>0</formula>
    </cfRule>
    <cfRule type="cellIs" dxfId="7174" priority="2480" operator="lessThan">
      <formula>-105575</formula>
    </cfRule>
  </conditionalFormatting>
  <conditionalFormatting sqref="BB285:BB288">
    <cfRule type="cellIs" dxfId="7173" priority="2477" operator="lessThan">
      <formula>0</formula>
    </cfRule>
    <cfRule type="cellIs" dxfId="7172" priority="2478" operator="lessThan">
      <formula>-105575</formula>
    </cfRule>
  </conditionalFormatting>
  <conditionalFormatting sqref="BB285:BB288">
    <cfRule type="cellIs" dxfId="7171" priority="2475" operator="lessThan">
      <formula>0</formula>
    </cfRule>
    <cfRule type="cellIs" dxfId="7170" priority="2476" operator="lessThan">
      <formula>-105575</formula>
    </cfRule>
  </conditionalFormatting>
  <conditionalFormatting sqref="BB285:BB288">
    <cfRule type="cellIs" dxfId="7169" priority="2473" operator="lessThan">
      <formula>0</formula>
    </cfRule>
    <cfRule type="cellIs" dxfId="7168" priority="2474" operator="lessThan">
      <formula>-105575</formula>
    </cfRule>
  </conditionalFormatting>
  <conditionalFormatting sqref="BB285:BB288">
    <cfRule type="cellIs" dxfId="7167" priority="2471" operator="lessThan">
      <formula>0</formula>
    </cfRule>
    <cfRule type="cellIs" dxfId="7166" priority="2472" operator="lessThan">
      <formula>-105575</formula>
    </cfRule>
  </conditionalFormatting>
  <conditionalFormatting sqref="BB285:BB288">
    <cfRule type="cellIs" dxfId="7165" priority="2469" operator="lessThan">
      <formula>0</formula>
    </cfRule>
    <cfRule type="cellIs" dxfId="7164" priority="2470" operator="lessThan">
      <formula>-105575</formula>
    </cfRule>
  </conditionalFormatting>
  <conditionalFormatting sqref="BB285:BB288">
    <cfRule type="cellIs" dxfId="7163" priority="2467" operator="lessThan">
      <formula>0</formula>
    </cfRule>
    <cfRule type="cellIs" dxfId="7162" priority="2468" operator="lessThan">
      <formula>-105575</formula>
    </cfRule>
  </conditionalFormatting>
  <conditionalFormatting sqref="BB203 BB220:BB221 BB235:BB243 BB231:BB233 BB212:BB213 BB225:BB226">
    <cfRule type="cellIs" dxfId="7161" priority="2465" operator="lessThan">
      <formula>0</formula>
    </cfRule>
    <cfRule type="cellIs" dxfId="7160" priority="2466" operator="lessThan">
      <formula>-105575</formula>
    </cfRule>
  </conditionalFormatting>
  <conditionalFormatting sqref="BB220 BB212:BB213 BB235:BB238 BB240:BB243 BB225:BB226 BB231:BB233">
    <cfRule type="cellIs" dxfId="7159" priority="2463" operator="lessThan">
      <formula>0</formula>
    </cfRule>
    <cfRule type="cellIs" dxfId="7158" priority="2464" operator="lessThan">
      <formula>-105575</formula>
    </cfRule>
  </conditionalFormatting>
  <conditionalFormatting sqref="BB220:BB221 BB243 BB226 BB231:BB236 BB238:BB241 BB203 BB213">
    <cfRule type="cellIs" dxfId="7157" priority="2461" operator="lessThan">
      <formula>0</formula>
    </cfRule>
    <cfRule type="cellIs" dxfId="7156" priority="2462" operator="lessThan">
      <formula>-105575</formula>
    </cfRule>
  </conditionalFormatting>
  <conditionalFormatting sqref="BB235:BB243 BB231:BB233 BB220 BB212:BB213 BB225:BB226">
    <cfRule type="cellIs" dxfId="7155" priority="2459" operator="lessThan">
      <formula>0</formula>
    </cfRule>
    <cfRule type="cellIs" dxfId="7154" priority="2460" operator="lessThan">
      <formula>-105575</formula>
    </cfRule>
  </conditionalFormatting>
  <conditionalFormatting sqref="BB220:BB221 BB237:BB243 BB203 BB231:BB235 BB212:BB213 BB225:BB226">
    <cfRule type="cellIs" dxfId="7153" priority="2457" operator="lessThan">
      <formula>0</formula>
    </cfRule>
    <cfRule type="cellIs" dxfId="7152" priority="2458" operator="lessThan">
      <formula>-105575</formula>
    </cfRule>
  </conditionalFormatting>
  <conditionalFormatting sqref="BB220:BB221 BB237:BB240 BB242:BB243 BB225:BB226 BB231:BB235">
    <cfRule type="cellIs" dxfId="7151" priority="2455" operator="lessThan">
      <formula>0</formula>
    </cfRule>
    <cfRule type="cellIs" dxfId="7150" priority="2456" operator="lessThan">
      <formula>-105575</formula>
    </cfRule>
  </conditionalFormatting>
  <conditionalFormatting sqref="BB212 BB231 BB233:BB238 BB240:BB243 BB225">
    <cfRule type="cellIs" dxfId="7149" priority="2453" operator="lessThan">
      <formula>0</formula>
    </cfRule>
    <cfRule type="cellIs" dxfId="7148" priority="2454" operator="lessThan">
      <formula>-105575</formula>
    </cfRule>
  </conditionalFormatting>
  <conditionalFormatting sqref="BB237:BB243 BB231:BB235 BB220:BB221 BB225:BB226">
    <cfRule type="cellIs" dxfId="7147" priority="2451" operator="lessThan">
      <formula>0</formula>
    </cfRule>
    <cfRule type="cellIs" dxfId="7146" priority="2452" operator="lessThan">
      <formula>-105575</formula>
    </cfRule>
  </conditionalFormatting>
  <conditionalFormatting sqref="BB233:BB237 BB231 BB239:BB243">
    <cfRule type="cellIs" dxfId="7145" priority="2449" operator="lessThan">
      <formula>0</formula>
    </cfRule>
    <cfRule type="cellIs" dxfId="7144" priority="2450" operator="lessThan">
      <formula>-105575</formula>
    </cfRule>
  </conditionalFormatting>
  <conditionalFormatting sqref="BB233:BB237 BB231 BB239:BB243">
    <cfRule type="cellIs" dxfId="7143" priority="2447" operator="lessThan">
      <formula>0</formula>
    </cfRule>
    <cfRule type="cellIs" dxfId="7142" priority="2448" operator="lessThan">
      <formula>-105575</formula>
    </cfRule>
  </conditionalFormatting>
  <conditionalFormatting sqref="BB119:BB128 BB106:BB117 BB101:BB104 BB80:BB98">
    <cfRule type="cellIs" dxfId="7141" priority="2445" operator="lessThan">
      <formula>0</formula>
    </cfRule>
    <cfRule type="cellIs" dxfId="7140" priority="2446" operator="lessThan">
      <formula>-105575</formula>
    </cfRule>
  </conditionalFormatting>
  <conditionalFormatting sqref="BB130 BB132 BB134">
    <cfRule type="cellIs" dxfId="7139" priority="2443" operator="lessThan">
      <formula>0</formula>
    </cfRule>
    <cfRule type="cellIs" dxfId="7138" priority="2444" operator="lessThan">
      <formula>-105575</formula>
    </cfRule>
  </conditionalFormatting>
  <conditionalFormatting sqref="BB130 BB132 BB134">
    <cfRule type="cellIs" dxfId="7137" priority="2441" operator="lessThan">
      <formula>0</formula>
    </cfRule>
    <cfRule type="cellIs" dxfId="7136" priority="2442" operator="lessThan">
      <formula>-105575</formula>
    </cfRule>
  </conditionalFormatting>
  <conditionalFormatting sqref="BB129 BB131 BB133 BB135">
    <cfRule type="cellIs" dxfId="7135" priority="2439" operator="lessThan">
      <formula>0</formula>
    </cfRule>
    <cfRule type="cellIs" dxfId="7134" priority="2440" operator="lessThan">
      <formula>-105575</formula>
    </cfRule>
  </conditionalFormatting>
  <conditionalFormatting sqref="BB140 BB145 BB142:BB143 BB137:BB138">
    <cfRule type="cellIs" dxfId="7133" priority="2437" operator="lessThan">
      <formula>0</formula>
    </cfRule>
    <cfRule type="cellIs" dxfId="7132" priority="2438" operator="lessThan">
      <formula>-105575</formula>
    </cfRule>
  </conditionalFormatting>
  <conditionalFormatting sqref="BB149">
    <cfRule type="cellIs" dxfId="7131" priority="2435" operator="lessThan">
      <formula>0</formula>
    </cfRule>
    <cfRule type="cellIs" dxfId="7130" priority="2436" operator="lessThan">
      <formula>-105575</formula>
    </cfRule>
  </conditionalFormatting>
  <conditionalFormatting sqref="BB129:BB138 BB140:BB149">
    <cfRule type="cellIs" dxfId="7129" priority="2433" operator="lessThan">
      <formula>0</formula>
    </cfRule>
    <cfRule type="cellIs" dxfId="7128" priority="2434" operator="lessThan">
      <formula>-105575</formula>
    </cfRule>
  </conditionalFormatting>
  <conditionalFormatting sqref="BB94:BB98 BB86:BB87 BB89:BB91 BB141:BB149 BB124:BB133 BB107:BB110 BB112:BB117 BB119:BB122 BB135:BB138 BB101:BB104 BB80:BB84">
    <cfRule type="cellIs" dxfId="7127" priority="2431" operator="lessThan">
      <formula>0</formula>
    </cfRule>
    <cfRule type="cellIs" dxfId="7126" priority="2432" operator="lessThan">
      <formula>-105575</formula>
    </cfRule>
  </conditionalFormatting>
  <conditionalFormatting sqref="BB129 BB131 BB133 BB135">
    <cfRule type="cellIs" dxfId="7125" priority="2429" operator="lessThan">
      <formula>0</formula>
    </cfRule>
    <cfRule type="cellIs" dxfId="7124" priority="2430" operator="lessThan">
      <formula>-105575</formula>
    </cfRule>
  </conditionalFormatting>
  <conditionalFormatting sqref="BB146 BB144 BB141">
    <cfRule type="cellIs" dxfId="7123" priority="2427" operator="lessThan">
      <formula>0</formula>
    </cfRule>
    <cfRule type="cellIs" dxfId="7122" priority="2428" operator="lessThan">
      <formula>-105575</formula>
    </cfRule>
  </conditionalFormatting>
  <conditionalFormatting sqref="BB146 BB144 BB141">
    <cfRule type="cellIs" dxfId="7121" priority="2425" operator="lessThan">
      <formula>0</formula>
    </cfRule>
    <cfRule type="cellIs" dxfId="7120" priority="2426" operator="lessThan">
      <formula>-105575</formula>
    </cfRule>
  </conditionalFormatting>
  <conditionalFormatting sqref="BB140 BB145 BB142:BB143 BB137:BB138">
    <cfRule type="cellIs" dxfId="7119" priority="2423" operator="lessThan">
      <formula>0</formula>
    </cfRule>
    <cfRule type="cellIs" dxfId="7118" priority="2424" operator="lessThan">
      <formula>-105575</formula>
    </cfRule>
  </conditionalFormatting>
  <conditionalFormatting sqref="BB149">
    <cfRule type="cellIs" dxfId="7117" priority="2421" operator="lessThan">
      <formula>0</formula>
    </cfRule>
    <cfRule type="cellIs" dxfId="7116" priority="2422" operator="lessThan">
      <formula>-105575</formula>
    </cfRule>
  </conditionalFormatting>
  <conditionalFormatting sqref="BB94:BB98 BB86:BB87 BB89:BB91 BB141:BB149 BB124:BB133 BB107:BB110 BB112:BB117 BB119:BB122 BB135:BB138 BB101:BB104 BB80:BB84">
    <cfRule type="cellIs" dxfId="7115" priority="2419" operator="lessThan">
      <formula>0</formula>
    </cfRule>
    <cfRule type="cellIs" dxfId="7114" priority="2420" operator="lessThan">
      <formula>-105575</formula>
    </cfRule>
  </conditionalFormatting>
  <conditionalFormatting sqref="BB246:BB249 BB262 BB267 BB279:BB282 BB285:BB288 BB274:BB275 BB306:BB309 BB311:BB325 BB327:BB330 BB332:BB341 BB344:BB347 BB349:BB353 BB355:BB358 BB360:BB384 BB386:BB389 BB392:BB395 BB397:BB411 BB413:BB416 BB418:BB432 BB434:BB437 BB439:BB453 BB455:BB458 BB460:BB469 BB7:BB10 BB12:BB14 BB17:BB18 BB21:BB24 BB26:BB28 BB30:BB36 BB38 BB41:BB43 BB46:BB49 BB51:BB55 BB57:BB59 BB62:BB76 BB251:BB253 BB255:BB257 BB293:BB304 BB264:BB265 BB260 BB290:BB291 BB270:BB272">
    <cfRule type="cellIs" dxfId="7113" priority="2417" operator="lessThan">
      <formula>0</formula>
    </cfRule>
    <cfRule type="cellIs" dxfId="7112" priority="2418" operator="lessThan">
      <formula>-105575</formula>
    </cfRule>
  </conditionalFormatting>
  <conditionalFormatting sqref="BB41">
    <cfRule type="cellIs" dxfId="7111" priority="2415" operator="lessThan">
      <formula>0</formula>
    </cfRule>
    <cfRule type="cellIs" dxfId="7110" priority="2416" operator="lessThan">
      <formula>-105575</formula>
    </cfRule>
  </conditionalFormatting>
  <conditionalFormatting sqref="BB152:BB155">
    <cfRule type="cellIs" dxfId="7109" priority="2413" operator="lessThan">
      <formula>0</formula>
    </cfRule>
    <cfRule type="cellIs" dxfId="7108" priority="2414" operator="lessThan">
      <formula>-105575</formula>
    </cfRule>
  </conditionalFormatting>
  <conditionalFormatting sqref="BB152:BB155">
    <cfRule type="cellIs" dxfId="7107" priority="2411" operator="lessThan">
      <formula>0</formula>
    </cfRule>
    <cfRule type="cellIs" dxfId="7106" priority="2412" operator="lessThan">
      <formula>-105575</formula>
    </cfRule>
  </conditionalFormatting>
  <conditionalFormatting sqref="BB152:BB155">
    <cfRule type="cellIs" dxfId="7105" priority="2409" operator="lessThan">
      <formula>0</formula>
    </cfRule>
    <cfRule type="cellIs" dxfId="7104" priority="2410" operator="lessThan">
      <formula>-105575</formula>
    </cfRule>
  </conditionalFormatting>
  <conditionalFormatting sqref="BB157:BB158">
    <cfRule type="cellIs" dxfId="7103" priority="2407" operator="lessThan">
      <formula>0</formula>
    </cfRule>
    <cfRule type="cellIs" dxfId="7102" priority="2408" operator="lessThan">
      <formula>-105575</formula>
    </cfRule>
  </conditionalFormatting>
  <conditionalFormatting sqref="BB157:BB158">
    <cfRule type="cellIs" dxfId="7101" priority="2405" operator="lessThan">
      <formula>0</formula>
    </cfRule>
    <cfRule type="cellIs" dxfId="7100" priority="2406" operator="lessThan">
      <formula>-105575</formula>
    </cfRule>
  </conditionalFormatting>
  <conditionalFormatting sqref="BB157:BB158">
    <cfRule type="cellIs" dxfId="7099" priority="2403" operator="lessThan">
      <formula>0</formula>
    </cfRule>
    <cfRule type="cellIs" dxfId="7098" priority="2404" operator="lessThan">
      <formula>-105575</formula>
    </cfRule>
  </conditionalFormatting>
  <conditionalFormatting sqref="BB160:BB161">
    <cfRule type="cellIs" dxfId="7097" priority="2401" operator="lessThan">
      <formula>0</formula>
    </cfRule>
    <cfRule type="cellIs" dxfId="7096" priority="2402" operator="lessThan">
      <formula>-105575</formula>
    </cfRule>
  </conditionalFormatting>
  <conditionalFormatting sqref="BB160:BB161">
    <cfRule type="cellIs" dxfId="7095" priority="2399" operator="lessThan">
      <formula>0</formula>
    </cfRule>
    <cfRule type="cellIs" dxfId="7094" priority="2400" operator="lessThan">
      <formula>-105575</formula>
    </cfRule>
  </conditionalFormatting>
  <conditionalFormatting sqref="BB160:BB161">
    <cfRule type="cellIs" dxfId="7093" priority="2397" operator="lessThan">
      <formula>0</formula>
    </cfRule>
    <cfRule type="cellIs" dxfId="7092" priority="2398" operator="lessThan">
      <formula>-105575</formula>
    </cfRule>
  </conditionalFormatting>
  <conditionalFormatting sqref="BB164:BB167">
    <cfRule type="cellIs" dxfId="7091" priority="2395" operator="lessThan">
      <formula>0</formula>
    </cfRule>
    <cfRule type="cellIs" dxfId="7090" priority="2396" operator="lessThan">
      <formula>-105575</formula>
    </cfRule>
  </conditionalFormatting>
  <conditionalFormatting sqref="BB164:BB167">
    <cfRule type="cellIs" dxfId="7089" priority="2393" operator="lessThan">
      <formula>0</formula>
    </cfRule>
    <cfRule type="cellIs" dxfId="7088" priority="2394" operator="lessThan">
      <formula>-105575</formula>
    </cfRule>
  </conditionalFormatting>
  <conditionalFormatting sqref="BB164:BB167">
    <cfRule type="cellIs" dxfId="7087" priority="2391" operator="lessThan">
      <formula>0</formula>
    </cfRule>
    <cfRule type="cellIs" dxfId="7086" priority="2392" operator="lessThan">
      <formula>-105575</formula>
    </cfRule>
  </conditionalFormatting>
  <conditionalFormatting sqref="BB169:BB177">
    <cfRule type="cellIs" dxfId="7085" priority="2389" operator="lessThan">
      <formula>0</formula>
    </cfRule>
    <cfRule type="cellIs" dxfId="7084" priority="2390" operator="lessThan">
      <formula>-105575</formula>
    </cfRule>
  </conditionalFormatting>
  <conditionalFormatting sqref="BB169:BB177">
    <cfRule type="cellIs" dxfId="7083" priority="2387" operator="lessThan">
      <formula>0</formula>
    </cfRule>
    <cfRule type="cellIs" dxfId="7082" priority="2388" operator="lessThan">
      <formula>-105575</formula>
    </cfRule>
  </conditionalFormatting>
  <conditionalFormatting sqref="BB169:BB177">
    <cfRule type="cellIs" dxfId="7081" priority="2385" operator="lessThan">
      <formula>0</formula>
    </cfRule>
    <cfRule type="cellIs" dxfId="7080" priority="2386" operator="lessThan">
      <formula>-105575</formula>
    </cfRule>
  </conditionalFormatting>
  <conditionalFormatting sqref="BB179:BB180">
    <cfRule type="cellIs" dxfId="7079" priority="2383" operator="lessThan">
      <formula>0</formula>
    </cfRule>
    <cfRule type="cellIs" dxfId="7078" priority="2384" operator="lessThan">
      <formula>-105575</formula>
    </cfRule>
  </conditionalFormatting>
  <conditionalFormatting sqref="BB179:BB180">
    <cfRule type="cellIs" dxfId="7077" priority="2381" operator="lessThan">
      <formula>0</formula>
    </cfRule>
    <cfRule type="cellIs" dxfId="7076" priority="2382" operator="lessThan">
      <formula>-105575</formula>
    </cfRule>
  </conditionalFormatting>
  <conditionalFormatting sqref="BB179:BB180">
    <cfRule type="cellIs" dxfId="7075" priority="2379" operator="lessThan">
      <formula>0</formula>
    </cfRule>
    <cfRule type="cellIs" dxfId="7074" priority="2380" operator="lessThan">
      <formula>-105575</formula>
    </cfRule>
  </conditionalFormatting>
  <conditionalFormatting sqref="BB183:BB189">
    <cfRule type="cellIs" dxfId="7073" priority="2377" operator="lessThan">
      <formula>0</formula>
    </cfRule>
    <cfRule type="cellIs" dxfId="7072" priority="2378" operator="lessThan">
      <formula>-105575</formula>
    </cfRule>
  </conditionalFormatting>
  <conditionalFormatting sqref="BB183:BB189">
    <cfRule type="cellIs" dxfId="7071" priority="2375" operator="lessThan">
      <formula>0</formula>
    </cfRule>
    <cfRule type="cellIs" dxfId="7070" priority="2376" operator="lessThan">
      <formula>-105575</formula>
    </cfRule>
  </conditionalFormatting>
  <conditionalFormatting sqref="BB183:BB189">
    <cfRule type="cellIs" dxfId="7069" priority="2373" operator="lessThan">
      <formula>0</formula>
    </cfRule>
    <cfRule type="cellIs" dxfId="7068" priority="2374" operator="lessThan">
      <formula>-105575</formula>
    </cfRule>
  </conditionalFormatting>
  <conditionalFormatting sqref="BB191:BB192">
    <cfRule type="cellIs" dxfId="7067" priority="2371" operator="lessThan">
      <formula>0</formula>
    </cfRule>
    <cfRule type="cellIs" dxfId="7066" priority="2372" operator="lessThan">
      <formula>-105575</formula>
    </cfRule>
  </conditionalFormatting>
  <conditionalFormatting sqref="BB191:BB192">
    <cfRule type="cellIs" dxfId="7065" priority="2369" operator="lessThan">
      <formula>0</formula>
    </cfRule>
    <cfRule type="cellIs" dxfId="7064" priority="2370" operator="lessThan">
      <formula>-105575</formula>
    </cfRule>
  </conditionalFormatting>
  <conditionalFormatting sqref="BB191:BB192">
    <cfRule type="cellIs" dxfId="7063" priority="2367" operator="lessThan">
      <formula>0</formula>
    </cfRule>
    <cfRule type="cellIs" dxfId="7062" priority="2368" operator="lessThan">
      <formula>-105575</formula>
    </cfRule>
  </conditionalFormatting>
  <conditionalFormatting sqref="BB194:BB195">
    <cfRule type="cellIs" dxfId="7061" priority="2365" operator="lessThan">
      <formula>0</formula>
    </cfRule>
    <cfRule type="cellIs" dxfId="7060" priority="2366" operator="lessThan">
      <formula>-105575</formula>
    </cfRule>
  </conditionalFormatting>
  <conditionalFormatting sqref="BB194:BB195">
    <cfRule type="cellIs" dxfId="7059" priority="2363" operator="lessThan">
      <formula>0</formula>
    </cfRule>
    <cfRule type="cellIs" dxfId="7058" priority="2364" operator="lessThan">
      <formula>-105575</formula>
    </cfRule>
  </conditionalFormatting>
  <conditionalFormatting sqref="BB194:BB195">
    <cfRule type="cellIs" dxfId="7057" priority="2361" operator="lessThan">
      <formula>0</formula>
    </cfRule>
    <cfRule type="cellIs" dxfId="7056" priority="2362" operator="lessThan">
      <formula>-105575</formula>
    </cfRule>
  </conditionalFormatting>
  <conditionalFormatting sqref="BB199:BB202">
    <cfRule type="cellIs" dxfId="7055" priority="2359" operator="lessThan">
      <formula>0</formula>
    </cfRule>
    <cfRule type="cellIs" dxfId="7054" priority="2360" operator="lessThan">
      <formula>-105575</formula>
    </cfRule>
  </conditionalFormatting>
  <conditionalFormatting sqref="BB199:BB202">
    <cfRule type="cellIs" dxfId="7053" priority="2357" operator="lessThan">
      <formula>0</formula>
    </cfRule>
    <cfRule type="cellIs" dxfId="7052" priority="2358" operator="lessThan">
      <formula>-105575</formula>
    </cfRule>
  </conditionalFormatting>
  <conditionalFormatting sqref="BB199:BB202">
    <cfRule type="cellIs" dxfId="7051" priority="2355" operator="lessThan">
      <formula>0</formula>
    </cfRule>
    <cfRule type="cellIs" dxfId="7050" priority="2356" operator="lessThan">
      <formula>-105575</formula>
    </cfRule>
  </conditionalFormatting>
  <conditionalFormatting sqref="BB204:BB208">
    <cfRule type="cellIs" dxfId="7049" priority="2353" operator="lessThan">
      <formula>0</formula>
    </cfRule>
    <cfRule type="cellIs" dxfId="7048" priority="2354" operator="lessThan">
      <formula>-105575</formula>
    </cfRule>
  </conditionalFormatting>
  <conditionalFormatting sqref="BB204:BB208">
    <cfRule type="cellIs" dxfId="7047" priority="2351" operator="lessThan">
      <formula>0</formula>
    </cfRule>
    <cfRule type="cellIs" dxfId="7046" priority="2352" operator="lessThan">
      <formula>-105575</formula>
    </cfRule>
  </conditionalFormatting>
  <conditionalFormatting sqref="BB204:BB208">
    <cfRule type="cellIs" dxfId="7045" priority="2349" operator="lessThan">
      <formula>0</formula>
    </cfRule>
    <cfRule type="cellIs" dxfId="7044" priority="2350" operator="lessThan">
      <formula>-105575</formula>
    </cfRule>
  </conditionalFormatting>
  <conditionalFormatting sqref="BB210:BB211">
    <cfRule type="cellIs" dxfId="7043" priority="2347" operator="lessThan">
      <formula>0</formula>
    </cfRule>
    <cfRule type="cellIs" dxfId="7042" priority="2348" operator="lessThan">
      <formula>-105575</formula>
    </cfRule>
  </conditionalFormatting>
  <conditionalFormatting sqref="BB210:BB211">
    <cfRule type="cellIs" dxfId="7041" priority="2345" operator="lessThan">
      <formula>0</formula>
    </cfRule>
    <cfRule type="cellIs" dxfId="7040" priority="2346" operator="lessThan">
      <formula>-105575</formula>
    </cfRule>
  </conditionalFormatting>
  <conditionalFormatting sqref="BB210:BB211">
    <cfRule type="cellIs" dxfId="7039" priority="2343" operator="lessThan">
      <formula>0</formula>
    </cfRule>
    <cfRule type="cellIs" dxfId="7038" priority="2344" operator="lessThan">
      <formula>-105575</formula>
    </cfRule>
  </conditionalFormatting>
  <conditionalFormatting sqref="BB214:BB219">
    <cfRule type="cellIs" dxfId="7037" priority="2341" operator="lessThan">
      <formula>0</formula>
    </cfRule>
    <cfRule type="cellIs" dxfId="7036" priority="2342" operator="lessThan">
      <formula>-105575</formula>
    </cfRule>
  </conditionalFormatting>
  <conditionalFormatting sqref="BB214:BB219">
    <cfRule type="cellIs" dxfId="7035" priority="2339" operator="lessThan">
      <formula>0</formula>
    </cfRule>
    <cfRule type="cellIs" dxfId="7034" priority="2340" operator="lessThan">
      <formula>-105575</formula>
    </cfRule>
  </conditionalFormatting>
  <conditionalFormatting sqref="BB214:BB219">
    <cfRule type="cellIs" dxfId="7033" priority="2337" operator="lessThan">
      <formula>0</formula>
    </cfRule>
    <cfRule type="cellIs" dxfId="7032" priority="2338" operator="lessThan">
      <formula>-105575</formula>
    </cfRule>
  </conditionalFormatting>
  <conditionalFormatting sqref="BB222:BB224">
    <cfRule type="cellIs" dxfId="7031" priority="2335" operator="lessThan">
      <formula>0</formula>
    </cfRule>
    <cfRule type="cellIs" dxfId="7030" priority="2336" operator="lessThan">
      <formula>-105575</formula>
    </cfRule>
  </conditionalFormatting>
  <conditionalFormatting sqref="BB222:BB224">
    <cfRule type="cellIs" dxfId="7029" priority="2333" operator="lessThan">
      <formula>0</formula>
    </cfRule>
    <cfRule type="cellIs" dxfId="7028" priority="2334" operator="lessThan">
      <formula>-105575</formula>
    </cfRule>
  </conditionalFormatting>
  <conditionalFormatting sqref="BB222:BB224">
    <cfRule type="cellIs" dxfId="7027" priority="2331" operator="lessThan">
      <formula>0</formula>
    </cfRule>
    <cfRule type="cellIs" dxfId="7026" priority="2332" operator="lessThan">
      <formula>-105575</formula>
    </cfRule>
  </conditionalFormatting>
  <conditionalFormatting sqref="BB227:BB230">
    <cfRule type="cellIs" dxfId="7025" priority="2329" operator="lessThan">
      <formula>0</formula>
    </cfRule>
    <cfRule type="cellIs" dxfId="7024" priority="2330" operator="lessThan">
      <formula>-105575</formula>
    </cfRule>
  </conditionalFormatting>
  <conditionalFormatting sqref="BB227:BB230">
    <cfRule type="cellIs" dxfId="7023" priority="2327" operator="lessThan">
      <formula>0</formula>
    </cfRule>
    <cfRule type="cellIs" dxfId="7022" priority="2328" operator="lessThan">
      <formula>-105575</formula>
    </cfRule>
  </conditionalFormatting>
  <conditionalFormatting sqref="BB227:BB230">
    <cfRule type="cellIs" dxfId="7021" priority="2325" operator="lessThan">
      <formula>0</formula>
    </cfRule>
    <cfRule type="cellIs" dxfId="7020" priority="2326" operator="lessThan">
      <formula>-105575</formula>
    </cfRule>
  </conditionalFormatting>
  <conditionalFormatting sqref="BB203 BB220:BB221 BB235:BB243 BB231:BB233 BB212:BB213 BB225:BB226">
    <cfRule type="cellIs" dxfId="7019" priority="2323" operator="lessThan">
      <formula>0</formula>
    </cfRule>
    <cfRule type="cellIs" dxfId="7018" priority="2324" operator="lessThan">
      <formula>-105575</formula>
    </cfRule>
  </conditionalFormatting>
  <conditionalFormatting sqref="BB220 BB212:BB213 BB235:BB238 BB240:BB243 BB225:BB226 BB231:BB233">
    <cfRule type="cellIs" dxfId="7017" priority="2321" operator="lessThan">
      <formula>0</formula>
    </cfRule>
    <cfRule type="cellIs" dxfId="7016" priority="2322" operator="lessThan">
      <formula>-105575</formula>
    </cfRule>
  </conditionalFormatting>
  <conditionalFormatting sqref="BB220:BB221 BB243 BB226 BB231:BB236 BB238:BB241 BB203 BB213">
    <cfRule type="cellIs" dxfId="7015" priority="2319" operator="lessThan">
      <formula>0</formula>
    </cfRule>
    <cfRule type="cellIs" dxfId="7014" priority="2320" operator="lessThan">
      <formula>-105575</formula>
    </cfRule>
  </conditionalFormatting>
  <conditionalFormatting sqref="BB235:BB243 BB231:BB233 BB220 BB212:BB213 BB225:BB226">
    <cfRule type="cellIs" dxfId="7013" priority="2317" operator="lessThan">
      <formula>0</formula>
    </cfRule>
    <cfRule type="cellIs" dxfId="7012" priority="2318" operator="lessThan">
      <formula>-105575</formula>
    </cfRule>
  </conditionalFormatting>
  <conditionalFormatting sqref="BB220:BB221 BB237:BB243 BB203 BB231:BB235 BB212:BB213 BB225:BB226">
    <cfRule type="cellIs" dxfId="7011" priority="2315" operator="lessThan">
      <formula>0</formula>
    </cfRule>
    <cfRule type="cellIs" dxfId="7010" priority="2316" operator="lessThan">
      <formula>-105575</formula>
    </cfRule>
  </conditionalFormatting>
  <conditionalFormatting sqref="BB220:BB221 BB237:BB240 BB242:BB243 BB225:BB226 BB231:BB235">
    <cfRule type="cellIs" dxfId="7009" priority="2313" operator="lessThan">
      <formula>0</formula>
    </cfRule>
    <cfRule type="cellIs" dxfId="7008" priority="2314" operator="lessThan">
      <formula>-105575</formula>
    </cfRule>
  </conditionalFormatting>
  <conditionalFormatting sqref="BB212 BB231 BB233:BB238 BB240:BB243 BB225">
    <cfRule type="cellIs" dxfId="7007" priority="2311" operator="lessThan">
      <formula>0</formula>
    </cfRule>
    <cfRule type="cellIs" dxfId="7006" priority="2312" operator="lessThan">
      <formula>-105575</formula>
    </cfRule>
  </conditionalFormatting>
  <conditionalFormatting sqref="BB237:BB243 BB231:BB235 BB220:BB221 BB225:BB226">
    <cfRule type="cellIs" dxfId="7005" priority="2309" operator="lessThan">
      <formula>0</formula>
    </cfRule>
    <cfRule type="cellIs" dxfId="7004" priority="2310" operator="lessThan">
      <formula>-105575</formula>
    </cfRule>
  </conditionalFormatting>
  <conditionalFormatting sqref="BB233:BB237 BB231 BB239:BB243">
    <cfRule type="cellIs" dxfId="7003" priority="2307" operator="lessThan">
      <formula>0</formula>
    </cfRule>
    <cfRule type="cellIs" dxfId="7002" priority="2308" operator="lessThan">
      <formula>-105575</formula>
    </cfRule>
  </conditionalFormatting>
  <conditionalFormatting sqref="BB233:BB237 BB231 BB239:BB243">
    <cfRule type="cellIs" dxfId="7001" priority="2305" operator="lessThan">
      <formula>0</formula>
    </cfRule>
    <cfRule type="cellIs" dxfId="7000" priority="2306" operator="lessThan">
      <formula>-105575</formula>
    </cfRule>
  </conditionalFormatting>
  <conditionalFormatting sqref="BB119:BB128 BB106:BB117 BB101:BB104 BB80:BB98">
    <cfRule type="cellIs" dxfId="6999" priority="2303" operator="lessThan">
      <formula>0</formula>
    </cfRule>
    <cfRule type="cellIs" dxfId="6998" priority="2304" operator="lessThan">
      <formula>-105575</formula>
    </cfRule>
  </conditionalFormatting>
  <conditionalFormatting sqref="BB130 BB132 BB134">
    <cfRule type="cellIs" dxfId="6997" priority="2301" operator="lessThan">
      <formula>0</formula>
    </cfRule>
    <cfRule type="cellIs" dxfId="6996" priority="2302" operator="lessThan">
      <formula>-105575</formula>
    </cfRule>
  </conditionalFormatting>
  <conditionalFormatting sqref="BB130 BB132 BB134">
    <cfRule type="cellIs" dxfId="6995" priority="2299" operator="lessThan">
      <formula>0</formula>
    </cfRule>
    <cfRule type="cellIs" dxfId="6994" priority="2300" operator="lessThan">
      <formula>-105575</formula>
    </cfRule>
  </conditionalFormatting>
  <conditionalFormatting sqref="BB129 BB131 BB133 BB135">
    <cfRule type="cellIs" dxfId="6993" priority="2297" operator="lessThan">
      <formula>0</formula>
    </cfRule>
    <cfRule type="cellIs" dxfId="6992" priority="2298" operator="lessThan">
      <formula>-105575</formula>
    </cfRule>
  </conditionalFormatting>
  <conditionalFormatting sqref="BB140 BB145 BB142:BB143 BB137:BB138">
    <cfRule type="cellIs" dxfId="6991" priority="2295" operator="lessThan">
      <formula>0</formula>
    </cfRule>
    <cfRule type="cellIs" dxfId="6990" priority="2296" operator="lessThan">
      <formula>-105575</formula>
    </cfRule>
  </conditionalFormatting>
  <conditionalFormatting sqref="BB149">
    <cfRule type="cellIs" dxfId="6989" priority="2293" operator="lessThan">
      <formula>0</formula>
    </cfRule>
    <cfRule type="cellIs" dxfId="6988" priority="2294" operator="lessThan">
      <formula>-105575</formula>
    </cfRule>
  </conditionalFormatting>
  <conditionalFormatting sqref="BB129:BB138 BB140:BB149">
    <cfRule type="cellIs" dxfId="6987" priority="2291" operator="lessThan">
      <formula>0</formula>
    </cfRule>
    <cfRule type="cellIs" dxfId="6986" priority="2292" operator="lessThan">
      <formula>-105575</formula>
    </cfRule>
  </conditionalFormatting>
  <conditionalFormatting sqref="BB94:BB98 BB86:BB87 BB89:BB91 BB141:BB149 BB124:BB133 BB107:BB110 BB112:BB117 BB119:BB122 BB135:BB138 BB101:BB104 BB80:BB84">
    <cfRule type="cellIs" dxfId="6985" priority="2289" operator="lessThan">
      <formula>0</formula>
    </cfRule>
    <cfRule type="cellIs" dxfId="6984" priority="2290" operator="lessThan">
      <formula>-105575</formula>
    </cfRule>
  </conditionalFormatting>
  <conditionalFormatting sqref="BB129 BB131 BB133 BB135">
    <cfRule type="cellIs" dxfId="6983" priority="2287" operator="lessThan">
      <formula>0</formula>
    </cfRule>
    <cfRule type="cellIs" dxfId="6982" priority="2288" operator="lessThan">
      <formula>-105575</formula>
    </cfRule>
  </conditionalFormatting>
  <conditionalFormatting sqref="BB146 BB144 BB141">
    <cfRule type="cellIs" dxfId="6981" priority="2285" operator="lessThan">
      <formula>0</formula>
    </cfRule>
    <cfRule type="cellIs" dxfId="6980" priority="2286" operator="lessThan">
      <formula>-105575</formula>
    </cfRule>
  </conditionalFormatting>
  <conditionalFormatting sqref="BB146 BB144 BB141">
    <cfRule type="cellIs" dxfId="6979" priority="2283" operator="lessThan">
      <formula>0</formula>
    </cfRule>
    <cfRule type="cellIs" dxfId="6978" priority="2284" operator="lessThan">
      <formula>-105575</formula>
    </cfRule>
  </conditionalFormatting>
  <conditionalFormatting sqref="BB140 BB145 BB142:BB143 BB137:BB138">
    <cfRule type="cellIs" dxfId="6977" priority="2281" operator="lessThan">
      <formula>0</formula>
    </cfRule>
    <cfRule type="cellIs" dxfId="6976" priority="2282" operator="lessThan">
      <formula>-105575</formula>
    </cfRule>
  </conditionalFormatting>
  <conditionalFormatting sqref="BB149">
    <cfRule type="cellIs" dxfId="6975" priority="2279" operator="lessThan">
      <formula>0</formula>
    </cfRule>
    <cfRule type="cellIs" dxfId="6974" priority="2280" operator="lessThan">
      <formula>-105575</formula>
    </cfRule>
  </conditionalFormatting>
  <conditionalFormatting sqref="BB94:BB98 BB86:BB87 BB89:BB91 BB141:BB149 BB124:BB133 BB107:BB110 BB112:BB117 BB119:BB122 BB135:BB138 BB101:BB104 BB80:BB84">
    <cfRule type="cellIs" dxfId="6973" priority="2277" operator="lessThan">
      <formula>0</formula>
    </cfRule>
    <cfRule type="cellIs" dxfId="6972" priority="2278" operator="lessThan">
      <formula>-105575</formula>
    </cfRule>
  </conditionalFormatting>
  <conditionalFormatting sqref="BB62:BB76 BB306:BB309 BB311:BB325 BB327:BB330 BB332:BB341 BB344:BB347 BB349:BB353 BB355:BB358 BB360:BB384 BB386:BB389 BB392:BB395 BB397:BB411 BB413:BB416 BB418:BB432 BB434:BB437 BB439:BB453 BB455:BB458 BB460:BB469 BB7:BB10 BB12:BB14 BB17:BB18 BB21:BB24 BB26:BB28 BB30:BB36 BB38 BB41:BB43 BB46:BB49 BB51:BB55 BB57:BB59 BB290:BB291 BB293:BB304">
    <cfRule type="cellIs" dxfId="6971" priority="2275" operator="lessThan">
      <formula>0</formula>
    </cfRule>
    <cfRule type="cellIs" dxfId="6970" priority="2276" operator="lessThan">
      <formula>-105575</formula>
    </cfRule>
  </conditionalFormatting>
  <conditionalFormatting sqref="BB41">
    <cfRule type="cellIs" dxfId="6969" priority="2273" operator="lessThan">
      <formula>0</formula>
    </cfRule>
    <cfRule type="cellIs" dxfId="6968" priority="2274" operator="lessThan">
      <formula>-105575</formula>
    </cfRule>
  </conditionalFormatting>
  <conditionalFormatting sqref="BB152:BB155">
    <cfRule type="cellIs" dxfId="6967" priority="2271" operator="lessThan">
      <formula>0</formula>
    </cfRule>
    <cfRule type="cellIs" dxfId="6966" priority="2272" operator="lessThan">
      <formula>-105575</formula>
    </cfRule>
  </conditionalFormatting>
  <conditionalFormatting sqref="BB152:BB155">
    <cfRule type="cellIs" dxfId="6965" priority="2269" operator="lessThan">
      <formula>0</formula>
    </cfRule>
    <cfRule type="cellIs" dxfId="6964" priority="2270" operator="lessThan">
      <formula>-105575</formula>
    </cfRule>
  </conditionalFormatting>
  <conditionalFormatting sqref="BB152:BB155">
    <cfRule type="cellIs" dxfId="6963" priority="2267" operator="lessThan">
      <formula>0</formula>
    </cfRule>
    <cfRule type="cellIs" dxfId="6962" priority="2268" operator="lessThan">
      <formula>-105575</formula>
    </cfRule>
  </conditionalFormatting>
  <conditionalFormatting sqref="BB157:BB158">
    <cfRule type="cellIs" dxfId="6961" priority="2265" operator="lessThan">
      <formula>0</formula>
    </cfRule>
    <cfRule type="cellIs" dxfId="6960" priority="2266" operator="lessThan">
      <formula>-105575</formula>
    </cfRule>
  </conditionalFormatting>
  <conditionalFormatting sqref="BB157:BB158">
    <cfRule type="cellIs" dxfId="6959" priority="2263" operator="lessThan">
      <formula>0</formula>
    </cfRule>
    <cfRule type="cellIs" dxfId="6958" priority="2264" operator="lessThan">
      <formula>-105575</formula>
    </cfRule>
  </conditionalFormatting>
  <conditionalFormatting sqref="BB157:BB158">
    <cfRule type="cellIs" dxfId="6957" priority="2261" operator="lessThan">
      <formula>0</formula>
    </cfRule>
    <cfRule type="cellIs" dxfId="6956" priority="2262" operator="lessThan">
      <formula>-105575</formula>
    </cfRule>
  </conditionalFormatting>
  <conditionalFormatting sqref="BB160:BB161">
    <cfRule type="cellIs" dxfId="6955" priority="2259" operator="lessThan">
      <formula>0</formula>
    </cfRule>
    <cfRule type="cellIs" dxfId="6954" priority="2260" operator="lessThan">
      <formula>-105575</formula>
    </cfRule>
  </conditionalFormatting>
  <conditionalFormatting sqref="BB160:BB161">
    <cfRule type="cellIs" dxfId="6953" priority="2257" operator="lessThan">
      <formula>0</formula>
    </cfRule>
    <cfRule type="cellIs" dxfId="6952" priority="2258" operator="lessThan">
      <formula>-105575</formula>
    </cfRule>
  </conditionalFormatting>
  <conditionalFormatting sqref="BB160:BB161">
    <cfRule type="cellIs" dxfId="6951" priority="2255" operator="lessThan">
      <formula>0</formula>
    </cfRule>
    <cfRule type="cellIs" dxfId="6950" priority="2256" operator="lessThan">
      <formula>-105575</formula>
    </cfRule>
  </conditionalFormatting>
  <conditionalFormatting sqref="BB164:BB167">
    <cfRule type="cellIs" dxfId="6949" priority="2253" operator="lessThan">
      <formula>0</formula>
    </cfRule>
    <cfRule type="cellIs" dxfId="6948" priority="2254" operator="lessThan">
      <formula>-105575</formula>
    </cfRule>
  </conditionalFormatting>
  <conditionalFormatting sqref="BB164:BB167">
    <cfRule type="cellIs" dxfId="6947" priority="2251" operator="lessThan">
      <formula>0</formula>
    </cfRule>
    <cfRule type="cellIs" dxfId="6946" priority="2252" operator="lessThan">
      <formula>-105575</formula>
    </cfRule>
  </conditionalFormatting>
  <conditionalFormatting sqref="BB164:BB167">
    <cfRule type="cellIs" dxfId="6945" priority="2249" operator="lessThan">
      <formula>0</formula>
    </cfRule>
    <cfRule type="cellIs" dxfId="6944" priority="2250" operator="lessThan">
      <formula>-105575</formula>
    </cfRule>
  </conditionalFormatting>
  <conditionalFormatting sqref="BB169:BB177">
    <cfRule type="cellIs" dxfId="6943" priority="2247" operator="lessThan">
      <formula>0</formula>
    </cfRule>
    <cfRule type="cellIs" dxfId="6942" priority="2248" operator="lessThan">
      <formula>-105575</formula>
    </cfRule>
  </conditionalFormatting>
  <conditionalFormatting sqref="BB169:BB177">
    <cfRule type="cellIs" dxfId="6941" priority="2245" operator="lessThan">
      <formula>0</formula>
    </cfRule>
    <cfRule type="cellIs" dxfId="6940" priority="2246" operator="lessThan">
      <formula>-105575</formula>
    </cfRule>
  </conditionalFormatting>
  <conditionalFormatting sqref="BB169:BB177">
    <cfRule type="cellIs" dxfId="6939" priority="2243" operator="lessThan">
      <formula>0</formula>
    </cfRule>
    <cfRule type="cellIs" dxfId="6938" priority="2244" operator="lessThan">
      <formula>-105575</formula>
    </cfRule>
  </conditionalFormatting>
  <conditionalFormatting sqref="BB179:BB180">
    <cfRule type="cellIs" dxfId="6937" priority="2241" operator="lessThan">
      <formula>0</formula>
    </cfRule>
    <cfRule type="cellIs" dxfId="6936" priority="2242" operator="lessThan">
      <formula>-105575</formula>
    </cfRule>
  </conditionalFormatting>
  <conditionalFormatting sqref="BB179:BB180">
    <cfRule type="cellIs" dxfId="6935" priority="2239" operator="lessThan">
      <formula>0</formula>
    </cfRule>
    <cfRule type="cellIs" dxfId="6934" priority="2240" operator="lessThan">
      <formula>-105575</formula>
    </cfRule>
  </conditionalFormatting>
  <conditionalFormatting sqref="BB179:BB180">
    <cfRule type="cellIs" dxfId="6933" priority="2237" operator="lessThan">
      <formula>0</formula>
    </cfRule>
    <cfRule type="cellIs" dxfId="6932" priority="2238" operator="lessThan">
      <formula>-105575</formula>
    </cfRule>
  </conditionalFormatting>
  <conditionalFormatting sqref="BB183:BB189">
    <cfRule type="cellIs" dxfId="6931" priority="2235" operator="lessThan">
      <formula>0</formula>
    </cfRule>
    <cfRule type="cellIs" dxfId="6930" priority="2236" operator="lessThan">
      <formula>-105575</formula>
    </cfRule>
  </conditionalFormatting>
  <conditionalFormatting sqref="BB183:BB189">
    <cfRule type="cellIs" dxfId="6929" priority="2233" operator="lessThan">
      <formula>0</formula>
    </cfRule>
    <cfRule type="cellIs" dxfId="6928" priority="2234" operator="lessThan">
      <formula>-105575</formula>
    </cfRule>
  </conditionalFormatting>
  <conditionalFormatting sqref="BB183:BB189">
    <cfRule type="cellIs" dxfId="6927" priority="2231" operator="lessThan">
      <formula>0</formula>
    </cfRule>
    <cfRule type="cellIs" dxfId="6926" priority="2232" operator="lessThan">
      <formula>-105575</formula>
    </cfRule>
  </conditionalFormatting>
  <conditionalFormatting sqref="BB191:BB192">
    <cfRule type="cellIs" dxfId="6925" priority="2229" operator="lessThan">
      <formula>0</formula>
    </cfRule>
    <cfRule type="cellIs" dxfId="6924" priority="2230" operator="lessThan">
      <formula>-105575</formula>
    </cfRule>
  </conditionalFormatting>
  <conditionalFormatting sqref="BB191:BB192">
    <cfRule type="cellIs" dxfId="6923" priority="2227" operator="lessThan">
      <formula>0</formula>
    </cfRule>
    <cfRule type="cellIs" dxfId="6922" priority="2228" operator="lessThan">
      <formula>-105575</formula>
    </cfRule>
  </conditionalFormatting>
  <conditionalFormatting sqref="BB191:BB192">
    <cfRule type="cellIs" dxfId="6921" priority="2225" operator="lessThan">
      <formula>0</formula>
    </cfRule>
    <cfRule type="cellIs" dxfId="6920" priority="2226" operator="lessThan">
      <formula>-105575</formula>
    </cfRule>
  </conditionalFormatting>
  <conditionalFormatting sqref="BB194:BB195">
    <cfRule type="cellIs" dxfId="6919" priority="2223" operator="lessThan">
      <formula>0</formula>
    </cfRule>
    <cfRule type="cellIs" dxfId="6918" priority="2224" operator="lessThan">
      <formula>-105575</formula>
    </cfRule>
  </conditionalFormatting>
  <conditionalFormatting sqref="BB194:BB195">
    <cfRule type="cellIs" dxfId="6917" priority="2221" operator="lessThan">
      <formula>0</formula>
    </cfRule>
    <cfRule type="cellIs" dxfId="6916" priority="2222" operator="lessThan">
      <formula>-105575</formula>
    </cfRule>
  </conditionalFormatting>
  <conditionalFormatting sqref="BB194:BB195">
    <cfRule type="cellIs" dxfId="6915" priority="2219" operator="lessThan">
      <formula>0</formula>
    </cfRule>
    <cfRule type="cellIs" dxfId="6914" priority="2220" operator="lessThan">
      <formula>-105575</formula>
    </cfRule>
  </conditionalFormatting>
  <conditionalFormatting sqref="BB199:BB202">
    <cfRule type="cellIs" dxfId="6913" priority="2217" operator="lessThan">
      <formula>0</formula>
    </cfRule>
    <cfRule type="cellIs" dxfId="6912" priority="2218" operator="lessThan">
      <formula>-105575</formula>
    </cfRule>
  </conditionalFormatting>
  <conditionalFormatting sqref="BB199:BB202">
    <cfRule type="cellIs" dxfId="6911" priority="2215" operator="lessThan">
      <formula>0</formula>
    </cfRule>
    <cfRule type="cellIs" dxfId="6910" priority="2216" operator="lessThan">
      <formula>-105575</formula>
    </cfRule>
  </conditionalFormatting>
  <conditionalFormatting sqref="BB199:BB202">
    <cfRule type="cellIs" dxfId="6909" priority="2213" operator="lessThan">
      <formula>0</formula>
    </cfRule>
    <cfRule type="cellIs" dxfId="6908" priority="2214" operator="lessThan">
      <formula>-105575</formula>
    </cfRule>
  </conditionalFormatting>
  <conditionalFormatting sqref="BB204:BB208">
    <cfRule type="cellIs" dxfId="6907" priority="2211" operator="lessThan">
      <formula>0</formula>
    </cfRule>
    <cfRule type="cellIs" dxfId="6906" priority="2212" operator="lessThan">
      <formula>-105575</formula>
    </cfRule>
  </conditionalFormatting>
  <conditionalFormatting sqref="BB204:BB208">
    <cfRule type="cellIs" dxfId="6905" priority="2209" operator="lessThan">
      <formula>0</formula>
    </cfRule>
    <cfRule type="cellIs" dxfId="6904" priority="2210" operator="lessThan">
      <formula>-105575</formula>
    </cfRule>
  </conditionalFormatting>
  <conditionalFormatting sqref="BB204:BB208">
    <cfRule type="cellIs" dxfId="6903" priority="2207" operator="lessThan">
      <formula>0</formula>
    </cfRule>
    <cfRule type="cellIs" dxfId="6902" priority="2208" operator="lessThan">
      <formula>-105575</formula>
    </cfRule>
  </conditionalFormatting>
  <conditionalFormatting sqref="BB210:BB211">
    <cfRule type="cellIs" dxfId="6901" priority="2205" operator="lessThan">
      <formula>0</formula>
    </cfRule>
    <cfRule type="cellIs" dxfId="6900" priority="2206" operator="lessThan">
      <formula>-105575</formula>
    </cfRule>
  </conditionalFormatting>
  <conditionalFormatting sqref="BB210:BB211">
    <cfRule type="cellIs" dxfId="6899" priority="2203" operator="lessThan">
      <formula>0</formula>
    </cfRule>
    <cfRule type="cellIs" dxfId="6898" priority="2204" operator="lessThan">
      <formula>-105575</formula>
    </cfRule>
  </conditionalFormatting>
  <conditionalFormatting sqref="BB210:BB211">
    <cfRule type="cellIs" dxfId="6897" priority="2201" operator="lessThan">
      <formula>0</formula>
    </cfRule>
    <cfRule type="cellIs" dxfId="6896" priority="2202" operator="lessThan">
      <formula>-105575</formula>
    </cfRule>
  </conditionalFormatting>
  <conditionalFormatting sqref="BB214:BB219">
    <cfRule type="cellIs" dxfId="6895" priority="2199" operator="lessThan">
      <formula>0</formula>
    </cfRule>
    <cfRule type="cellIs" dxfId="6894" priority="2200" operator="lessThan">
      <formula>-105575</formula>
    </cfRule>
  </conditionalFormatting>
  <conditionalFormatting sqref="BB214:BB219">
    <cfRule type="cellIs" dxfId="6893" priority="2197" operator="lessThan">
      <formula>0</formula>
    </cfRule>
    <cfRule type="cellIs" dxfId="6892" priority="2198" operator="lessThan">
      <formula>-105575</formula>
    </cfRule>
  </conditionalFormatting>
  <conditionalFormatting sqref="BB214:BB219">
    <cfRule type="cellIs" dxfId="6891" priority="2195" operator="lessThan">
      <formula>0</formula>
    </cfRule>
    <cfRule type="cellIs" dxfId="6890" priority="2196" operator="lessThan">
      <formula>-105575</formula>
    </cfRule>
  </conditionalFormatting>
  <conditionalFormatting sqref="BB222:BB224">
    <cfRule type="cellIs" dxfId="6889" priority="2193" operator="lessThan">
      <formula>0</formula>
    </cfRule>
    <cfRule type="cellIs" dxfId="6888" priority="2194" operator="lessThan">
      <formula>-105575</formula>
    </cfRule>
  </conditionalFormatting>
  <conditionalFormatting sqref="BB222:BB224">
    <cfRule type="cellIs" dxfId="6887" priority="2191" operator="lessThan">
      <formula>0</formula>
    </cfRule>
    <cfRule type="cellIs" dxfId="6886" priority="2192" operator="lessThan">
      <formula>-105575</formula>
    </cfRule>
  </conditionalFormatting>
  <conditionalFormatting sqref="BB222:BB224">
    <cfRule type="cellIs" dxfId="6885" priority="2189" operator="lessThan">
      <formula>0</formula>
    </cfRule>
    <cfRule type="cellIs" dxfId="6884" priority="2190" operator="lessThan">
      <formula>-105575</formula>
    </cfRule>
  </conditionalFormatting>
  <conditionalFormatting sqref="BB227:BB230">
    <cfRule type="cellIs" dxfId="6883" priority="2187" operator="lessThan">
      <formula>0</formula>
    </cfRule>
    <cfRule type="cellIs" dxfId="6882" priority="2188" operator="lessThan">
      <formula>-105575</formula>
    </cfRule>
  </conditionalFormatting>
  <conditionalFormatting sqref="BB227:BB230">
    <cfRule type="cellIs" dxfId="6881" priority="2185" operator="lessThan">
      <formula>0</formula>
    </cfRule>
    <cfRule type="cellIs" dxfId="6880" priority="2186" operator="lessThan">
      <formula>-105575</formula>
    </cfRule>
  </conditionalFormatting>
  <conditionalFormatting sqref="BB227:BB230">
    <cfRule type="cellIs" dxfId="6879" priority="2183" operator="lessThan">
      <formula>0</formula>
    </cfRule>
    <cfRule type="cellIs" dxfId="6878" priority="2184" operator="lessThan">
      <formula>-105575</formula>
    </cfRule>
  </conditionalFormatting>
  <conditionalFormatting sqref="BB246:BB249">
    <cfRule type="cellIs" dxfId="6877" priority="2181" operator="lessThan">
      <formula>0</formula>
    </cfRule>
    <cfRule type="cellIs" dxfId="6876" priority="2182" operator="lessThan">
      <formula>-105575</formula>
    </cfRule>
  </conditionalFormatting>
  <conditionalFormatting sqref="BB246:BB249">
    <cfRule type="cellIs" dxfId="6875" priority="2179" operator="lessThan">
      <formula>0</formula>
    </cfRule>
    <cfRule type="cellIs" dxfId="6874" priority="2180" operator="lessThan">
      <formula>-105575</formula>
    </cfRule>
  </conditionalFormatting>
  <conditionalFormatting sqref="BB246:BB249">
    <cfRule type="cellIs" dxfId="6873" priority="2177" operator="lessThan">
      <formula>0</formula>
    </cfRule>
    <cfRule type="cellIs" dxfId="6872" priority="2178" operator="lessThan">
      <formula>-105575</formula>
    </cfRule>
  </conditionalFormatting>
  <conditionalFormatting sqref="BB246:BB249">
    <cfRule type="cellIs" dxfId="6871" priority="2175" operator="lessThan">
      <formula>0</formula>
    </cfRule>
    <cfRule type="cellIs" dxfId="6870" priority="2176" operator="lessThan">
      <formula>-105575</formula>
    </cfRule>
  </conditionalFormatting>
  <conditionalFormatting sqref="BB246:BB249">
    <cfRule type="cellIs" dxfId="6869" priority="2173" operator="lessThan">
      <formula>0</formula>
    </cfRule>
    <cfRule type="cellIs" dxfId="6868" priority="2174" operator="lessThan">
      <formula>-105575</formula>
    </cfRule>
  </conditionalFormatting>
  <conditionalFormatting sqref="BB246:BB249">
    <cfRule type="cellIs" dxfId="6867" priority="2171" operator="lessThan">
      <formula>0</formula>
    </cfRule>
    <cfRule type="cellIs" dxfId="6866" priority="2172" operator="lessThan">
      <formula>-105575</formula>
    </cfRule>
  </conditionalFormatting>
  <conditionalFormatting sqref="BB246:BB249">
    <cfRule type="cellIs" dxfId="6865" priority="2169" operator="lessThan">
      <formula>0</formula>
    </cfRule>
    <cfRule type="cellIs" dxfId="6864" priority="2170" operator="lessThan">
      <formula>-105575</formula>
    </cfRule>
  </conditionalFormatting>
  <conditionalFormatting sqref="BB246:BB249">
    <cfRule type="cellIs" dxfId="6863" priority="2167" operator="lessThan">
      <formula>0</formula>
    </cfRule>
    <cfRule type="cellIs" dxfId="6862" priority="2168" operator="lessThan">
      <formula>-105575</formula>
    </cfRule>
  </conditionalFormatting>
  <conditionalFormatting sqref="BB246:BB249">
    <cfRule type="cellIs" dxfId="6861" priority="2165" operator="lessThan">
      <formula>0</formula>
    </cfRule>
    <cfRule type="cellIs" dxfId="6860" priority="2166" operator="lessThan">
      <formula>-105575</formula>
    </cfRule>
  </conditionalFormatting>
  <conditionalFormatting sqref="BB251:BB253">
    <cfRule type="cellIs" dxfId="6859" priority="2163" operator="lessThan">
      <formula>0</formula>
    </cfRule>
    <cfRule type="cellIs" dxfId="6858" priority="2164" operator="lessThan">
      <formula>-105575</formula>
    </cfRule>
  </conditionalFormatting>
  <conditionalFormatting sqref="BB251:BB253">
    <cfRule type="cellIs" dxfId="6857" priority="2161" operator="lessThan">
      <formula>0</formula>
    </cfRule>
    <cfRule type="cellIs" dxfId="6856" priority="2162" operator="lessThan">
      <formula>-105575</formula>
    </cfRule>
  </conditionalFormatting>
  <conditionalFormatting sqref="BB251:BB253">
    <cfRule type="cellIs" dxfId="6855" priority="2159" operator="lessThan">
      <formula>0</formula>
    </cfRule>
    <cfRule type="cellIs" dxfId="6854" priority="2160" operator="lessThan">
      <formula>-105575</formula>
    </cfRule>
  </conditionalFormatting>
  <conditionalFormatting sqref="BB251:BB253">
    <cfRule type="cellIs" dxfId="6853" priority="2157" operator="lessThan">
      <formula>0</formula>
    </cfRule>
    <cfRule type="cellIs" dxfId="6852" priority="2158" operator="lessThan">
      <formula>-105575</formula>
    </cfRule>
  </conditionalFormatting>
  <conditionalFormatting sqref="BB251:BB253">
    <cfRule type="cellIs" dxfId="6851" priority="2155" operator="lessThan">
      <formula>0</formula>
    </cfRule>
    <cfRule type="cellIs" dxfId="6850" priority="2156" operator="lessThan">
      <formula>-105575</formula>
    </cfRule>
  </conditionalFormatting>
  <conditionalFormatting sqref="BB251:BB253">
    <cfRule type="cellIs" dxfId="6849" priority="2153" operator="lessThan">
      <formula>0</formula>
    </cfRule>
    <cfRule type="cellIs" dxfId="6848" priority="2154" operator="lessThan">
      <formula>-105575</formula>
    </cfRule>
  </conditionalFormatting>
  <conditionalFormatting sqref="BB251:BB253">
    <cfRule type="cellIs" dxfId="6847" priority="2151" operator="lessThan">
      <formula>0</formula>
    </cfRule>
    <cfRule type="cellIs" dxfId="6846" priority="2152" operator="lessThan">
      <formula>-105575</formula>
    </cfRule>
  </conditionalFormatting>
  <conditionalFormatting sqref="BB251:BB253">
    <cfRule type="cellIs" dxfId="6845" priority="2149" operator="lessThan">
      <formula>0</formula>
    </cfRule>
    <cfRule type="cellIs" dxfId="6844" priority="2150" operator="lessThan">
      <formula>-105575</formula>
    </cfRule>
  </conditionalFormatting>
  <conditionalFormatting sqref="BB251:BB253">
    <cfRule type="cellIs" dxfId="6843" priority="2147" operator="lessThan">
      <formula>0</formula>
    </cfRule>
    <cfRule type="cellIs" dxfId="6842" priority="2148" operator="lessThan">
      <formula>-105575</formula>
    </cfRule>
  </conditionalFormatting>
  <conditionalFormatting sqref="BB255:BB257">
    <cfRule type="cellIs" dxfId="6841" priority="2145" operator="lessThan">
      <formula>0</formula>
    </cfRule>
    <cfRule type="cellIs" dxfId="6840" priority="2146" operator="lessThan">
      <formula>-105575</formula>
    </cfRule>
  </conditionalFormatting>
  <conditionalFormatting sqref="BB255:BB257">
    <cfRule type="cellIs" dxfId="6839" priority="2143" operator="lessThan">
      <formula>0</formula>
    </cfRule>
    <cfRule type="cellIs" dxfId="6838" priority="2144" operator="lessThan">
      <formula>-105575</formula>
    </cfRule>
  </conditionalFormatting>
  <conditionalFormatting sqref="BB255:BB257">
    <cfRule type="cellIs" dxfId="6837" priority="2141" operator="lessThan">
      <formula>0</formula>
    </cfRule>
    <cfRule type="cellIs" dxfId="6836" priority="2142" operator="lessThan">
      <formula>-105575</formula>
    </cfRule>
  </conditionalFormatting>
  <conditionalFormatting sqref="BB255:BB257">
    <cfRule type="cellIs" dxfId="6835" priority="2139" operator="lessThan">
      <formula>0</formula>
    </cfRule>
    <cfRule type="cellIs" dxfId="6834" priority="2140" operator="lessThan">
      <formula>-105575</formula>
    </cfRule>
  </conditionalFormatting>
  <conditionalFormatting sqref="BB255:BB257">
    <cfRule type="cellIs" dxfId="6833" priority="2137" operator="lessThan">
      <formula>0</formula>
    </cfRule>
    <cfRule type="cellIs" dxfId="6832" priority="2138" operator="lessThan">
      <formula>-105575</formula>
    </cfRule>
  </conditionalFormatting>
  <conditionalFormatting sqref="BB255:BB257">
    <cfRule type="cellIs" dxfId="6831" priority="2135" operator="lessThan">
      <formula>0</formula>
    </cfRule>
    <cfRule type="cellIs" dxfId="6830" priority="2136" operator="lessThan">
      <formula>-105575</formula>
    </cfRule>
  </conditionalFormatting>
  <conditionalFormatting sqref="BB255:BB257">
    <cfRule type="cellIs" dxfId="6829" priority="2133" operator="lessThan">
      <formula>0</formula>
    </cfRule>
    <cfRule type="cellIs" dxfId="6828" priority="2134" operator="lessThan">
      <formula>-105575</formula>
    </cfRule>
  </conditionalFormatting>
  <conditionalFormatting sqref="BB255:BB257">
    <cfRule type="cellIs" dxfId="6827" priority="2131" operator="lessThan">
      <formula>0</formula>
    </cfRule>
    <cfRule type="cellIs" dxfId="6826" priority="2132" operator="lessThan">
      <formula>-105575</formula>
    </cfRule>
  </conditionalFormatting>
  <conditionalFormatting sqref="BB255:BB257">
    <cfRule type="cellIs" dxfId="6825" priority="2129" operator="lessThan">
      <formula>0</formula>
    </cfRule>
    <cfRule type="cellIs" dxfId="6824" priority="2130" operator="lessThan">
      <formula>-105575</formula>
    </cfRule>
  </conditionalFormatting>
  <conditionalFormatting sqref="BB260:BB262">
    <cfRule type="cellIs" dxfId="6823" priority="2127" operator="lessThan">
      <formula>0</formula>
    </cfRule>
    <cfRule type="cellIs" dxfId="6822" priority="2128" operator="lessThan">
      <formula>-105575</formula>
    </cfRule>
  </conditionalFormatting>
  <conditionalFormatting sqref="BB260:BB262">
    <cfRule type="cellIs" dxfId="6821" priority="2125" operator="lessThan">
      <formula>0</formula>
    </cfRule>
    <cfRule type="cellIs" dxfId="6820" priority="2126" operator="lessThan">
      <formula>-105575</formula>
    </cfRule>
  </conditionalFormatting>
  <conditionalFormatting sqref="BB260:BB262">
    <cfRule type="cellIs" dxfId="6819" priority="2123" operator="lessThan">
      <formula>0</formula>
    </cfRule>
    <cfRule type="cellIs" dxfId="6818" priority="2124" operator="lessThan">
      <formula>-105575</formula>
    </cfRule>
  </conditionalFormatting>
  <conditionalFormatting sqref="BB260:BB262">
    <cfRule type="cellIs" dxfId="6817" priority="2121" operator="lessThan">
      <formula>0</formula>
    </cfRule>
    <cfRule type="cellIs" dxfId="6816" priority="2122" operator="lessThan">
      <formula>-105575</formula>
    </cfRule>
  </conditionalFormatting>
  <conditionalFormatting sqref="BB260:BB262">
    <cfRule type="cellIs" dxfId="6815" priority="2119" operator="lessThan">
      <formula>0</formula>
    </cfRule>
    <cfRule type="cellIs" dxfId="6814" priority="2120" operator="lessThan">
      <formula>-105575</formula>
    </cfRule>
  </conditionalFormatting>
  <conditionalFormatting sqref="BB260:BB262">
    <cfRule type="cellIs" dxfId="6813" priority="2117" operator="lessThan">
      <formula>0</formula>
    </cfRule>
    <cfRule type="cellIs" dxfId="6812" priority="2118" operator="lessThan">
      <formula>-105575</formula>
    </cfRule>
  </conditionalFormatting>
  <conditionalFormatting sqref="BB260:BB262">
    <cfRule type="cellIs" dxfId="6811" priority="2115" operator="lessThan">
      <formula>0</formula>
    </cfRule>
    <cfRule type="cellIs" dxfId="6810" priority="2116" operator="lessThan">
      <formula>-105575</formula>
    </cfRule>
  </conditionalFormatting>
  <conditionalFormatting sqref="BB260:BB262">
    <cfRule type="cellIs" dxfId="6809" priority="2113" operator="lessThan">
      <formula>0</formula>
    </cfRule>
    <cfRule type="cellIs" dxfId="6808" priority="2114" operator="lessThan">
      <formula>-105575</formula>
    </cfRule>
  </conditionalFormatting>
  <conditionalFormatting sqref="BB260:BB262">
    <cfRule type="cellIs" dxfId="6807" priority="2111" operator="lessThan">
      <formula>0</formula>
    </cfRule>
    <cfRule type="cellIs" dxfId="6806" priority="2112" operator="lessThan">
      <formula>-105575</formula>
    </cfRule>
  </conditionalFormatting>
  <conditionalFormatting sqref="BB264:BB267">
    <cfRule type="cellIs" dxfId="6805" priority="2109" operator="lessThan">
      <formula>0</formula>
    </cfRule>
    <cfRule type="cellIs" dxfId="6804" priority="2110" operator="lessThan">
      <formula>-105575</formula>
    </cfRule>
  </conditionalFormatting>
  <conditionalFormatting sqref="BB264:BB267">
    <cfRule type="cellIs" dxfId="6803" priority="2107" operator="lessThan">
      <formula>0</formula>
    </cfRule>
    <cfRule type="cellIs" dxfId="6802" priority="2108" operator="lessThan">
      <formula>-105575</formula>
    </cfRule>
  </conditionalFormatting>
  <conditionalFormatting sqref="BB264:BB267">
    <cfRule type="cellIs" dxfId="6801" priority="2105" operator="lessThan">
      <formula>0</formula>
    </cfRule>
    <cfRule type="cellIs" dxfId="6800" priority="2106" operator="lessThan">
      <formula>-105575</formula>
    </cfRule>
  </conditionalFormatting>
  <conditionalFormatting sqref="BB264:BB267">
    <cfRule type="cellIs" dxfId="6799" priority="2103" operator="lessThan">
      <formula>0</formula>
    </cfRule>
    <cfRule type="cellIs" dxfId="6798" priority="2104" operator="lessThan">
      <formula>-105575</formula>
    </cfRule>
  </conditionalFormatting>
  <conditionalFormatting sqref="BB264:BB267">
    <cfRule type="cellIs" dxfId="6797" priority="2101" operator="lessThan">
      <formula>0</formula>
    </cfRule>
    <cfRule type="cellIs" dxfId="6796" priority="2102" operator="lessThan">
      <formula>-105575</formula>
    </cfRule>
  </conditionalFormatting>
  <conditionalFormatting sqref="BB264:BB267">
    <cfRule type="cellIs" dxfId="6795" priority="2099" operator="lessThan">
      <formula>0</formula>
    </cfRule>
    <cfRule type="cellIs" dxfId="6794" priority="2100" operator="lessThan">
      <formula>-105575</formula>
    </cfRule>
  </conditionalFormatting>
  <conditionalFormatting sqref="BB264:BB267">
    <cfRule type="cellIs" dxfId="6793" priority="2097" operator="lessThan">
      <formula>0</formula>
    </cfRule>
    <cfRule type="cellIs" dxfId="6792" priority="2098" operator="lessThan">
      <formula>-105575</formula>
    </cfRule>
  </conditionalFormatting>
  <conditionalFormatting sqref="BB264:BB267">
    <cfRule type="cellIs" dxfId="6791" priority="2095" operator="lessThan">
      <formula>0</formula>
    </cfRule>
    <cfRule type="cellIs" dxfId="6790" priority="2096" operator="lessThan">
      <formula>-105575</formula>
    </cfRule>
  </conditionalFormatting>
  <conditionalFormatting sqref="BB264:BB267">
    <cfRule type="cellIs" dxfId="6789" priority="2093" operator="lessThan">
      <formula>0</formula>
    </cfRule>
    <cfRule type="cellIs" dxfId="6788" priority="2094" operator="lessThan">
      <formula>-105575</formula>
    </cfRule>
  </conditionalFormatting>
  <conditionalFormatting sqref="BB270:BB272">
    <cfRule type="cellIs" dxfId="6787" priority="2091" operator="lessThan">
      <formula>0</formula>
    </cfRule>
    <cfRule type="cellIs" dxfId="6786" priority="2092" operator="lessThan">
      <formula>-105575</formula>
    </cfRule>
  </conditionalFormatting>
  <conditionalFormatting sqref="BB270:BB272">
    <cfRule type="cellIs" dxfId="6785" priority="2089" operator="lessThan">
      <formula>0</formula>
    </cfRule>
    <cfRule type="cellIs" dxfId="6784" priority="2090" operator="lessThan">
      <formula>-105575</formula>
    </cfRule>
  </conditionalFormatting>
  <conditionalFormatting sqref="BB270:BB272">
    <cfRule type="cellIs" dxfId="6783" priority="2087" operator="lessThan">
      <formula>0</formula>
    </cfRule>
    <cfRule type="cellIs" dxfId="6782" priority="2088" operator="lessThan">
      <formula>-105575</formula>
    </cfRule>
  </conditionalFormatting>
  <conditionalFormatting sqref="BB270:BB272">
    <cfRule type="cellIs" dxfId="6781" priority="2085" operator="lessThan">
      <formula>0</formula>
    </cfRule>
    <cfRule type="cellIs" dxfId="6780" priority="2086" operator="lessThan">
      <formula>-105575</formula>
    </cfRule>
  </conditionalFormatting>
  <conditionalFormatting sqref="BB270:BB272">
    <cfRule type="cellIs" dxfId="6779" priority="2083" operator="lessThan">
      <formula>0</formula>
    </cfRule>
    <cfRule type="cellIs" dxfId="6778" priority="2084" operator="lessThan">
      <formula>-105575</formula>
    </cfRule>
  </conditionalFormatting>
  <conditionalFormatting sqref="BB270:BB272">
    <cfRule type="cellIs" dxfId="6777" priority="2081" operator="lessThan">
      <formula>0</formula>
    </cfRule>
    <cfRule type="cellIs" dxfId="6776" priority="2082" operator="lessThan">
      <formula>-105575</formula>
    </cfRule>
  </conditionalFormatting>
  <conditionalFormatting sqref="BB270:BB272">
    <cfRule type="cellIs" dxfId="6775" priority="2079" operator="lessThan">
      <formula>0</formula>
    </cfRule>
    <cfRule type="cellIs" dxfId="6774" priority="2080" operator="lessThan">
      <formula>-105575</formula>
    </cfRule>
  </conditionalFormatting>
  <conditionalFormatting sqref="BB270:BB272">
    <cfRule type="cellIs" dxfId="6773" priority="2077" operator="lessThan">
      <formula>0</formula>
    </cfRule>
    <cfRule type="cellIs" dxfId="6772" priority="2078" operator="lessThan">
      <formula>-105575</formula>
    </cfRule>
  </conditionalFormatting>
  <conditionalFormatting sqref="BB270:BB272">
    <cfRule type="cellIs" dxfId="6771" priority="2075" operator="lessThan">
      <formula>0</formula>
    </cfRule>
    <cfRule type="cellIs" dxfId="6770" priority="2076" operator="lessThan">
      <formula>-105575</formula>
    </cfRule>
  </conditionalFormatting>
  <conditionalFormatting sqref="BB274:BB275">
    <cfRule type="cellIs" dxfId="6769" priority="2073" operator="lessThan">
      <formula>0</formula>
    </cfRule>
    <cfRule type="cellIs" dxfId="6768" priority="2074" operator="lessThan">
      <formula>-105575</formula>
    </cfRule>
  </conditionalFormatting>
  <conditionalFormatting sqref="BB274:BB275">
    <cfRule type="cellIs" dxfId="6767" priority="2071" operator="lessThan">
      <formula>0</formula>
    </cfRule>
    <cfRule type="cellIs" dxfId="6766" priority="2072" operator="lessThan">
      <formula>-105575</formula>
    </cfRule>
  </conditionalFormatting>
  <conditionalFormatting sqref="BB274:BB275">
    <cfRule type="cellIs" dxfId="6765" priority="2069" operator="lessThan">
      <formula>0</formula>
    </cfRule>
    <cfRule type="cellIs" dxfId="6764" priority="2070" operator="lessThan">
      <formula>-105575</formula>
    </cfRule>
  </conditionalFormatting>
  <conditionalFormatting sqref="BB274:BB275">
    <cfRule type="cellIs" dxfId="6763" priority="2067" operator="lessThan">
      <formula>0</formula>
    </cfRule>
    <cfRule type="cellIs" dxfId="6762" priority="2068" operator="lessThan">
      <formula>-105575</formula>
    </cfRule>
  </conditionalFormatting>
  <conditionalFormatting sqref="BB274:BB275">
    <cfRule type="cellIs" dxfId="6761" priority="2065" operator="lessThan">
      <formula>0</formula>
    </cfRule>
    <cfRule type="cellIs" dxfId="6760" priority="2066" operator="lessThan">
      <formula>-105575</formula>
    </cfRule>
  </conditionalFormatting>
  <conditionalFormatting sqref="BB274:BB275">
    <cfRule type="cellIs" dxfId="6759" priority="2063" operator="lessThan">
      <formula>0</formula>
    </cfRule>
    <cfRule type="cellIs" dxfId="6758" priority="2064" operator="lessThan">
      <formula>-105575</formula>
    </cfRule>
  </conditionalFormatting>
  <conditionalFormatting sqref="BB274:BB275">
    <cfRule type="cellIs" dxfId="6757" priority="2061" operator="lessThan">
      <formula>0</formula>
    </cfRule>
    <cfRule type="cellIs" dxfId="6756" priority="2062" operator="lessThan">
      <formula>-105575</formula>
    </cfRule>
  </conditionalFormatting>
  <conditionalFormatting sqref="BB274:BB275">
    <cfRule type="cellIs" dxfId="6755" priority="2059" operator="lessThan">
      <formula>0</formula>
    </cfRule>
    <cfRule type="cellIs" dxfId="6754" priority="2060" operator="lessThan">
      <formula>-105575</formula>
    </cfRule>
  </conditionalFormatting>
  <conditionalFormatting sqref="BB274:BB275">
    <cfRule type="cellIs" dxfId="6753" priority="2057" operator="lessThan">
      <formula>0</formula>
    </cfRule>
    <cfRule type="cellIs" dxfId="6752" priority="2058" operator="lessThan">
      <formula>-105575</formula>
    </cfRule>
  </conditionalFormatting>
  <conditionalFormatting sqref="BB278:BB282">
    <cfRule type="cellIs" dxfId="6751" priority="2055" operator="lessThan">
      <formula>0</formula>
    </cfRule>
    <cfRule type="cellIs" dxfId="6750" priority="2056" operator="lessThan">
      <formula>-105575</formula>
    </cfRule>
  </conditionalFormatting>
  <conditionalFormatting sqref="BB278:BB282">
    <cfRule type="cellIs" dxfId="6749" priority="2053" operator="lessThan">
      <formula>0</formula>
    </cfRule>
    <cfRule type="cellIs" dxfId="6748" priority="2054" operator="lessThan">
      <formula>-105575</formula>
    </cfRule>
  </conditionalFormatting>
  <conditionalFormatting sqref="BB278:BB282">
    <cfRule type="cellIs" dxfId="6747" priority="2051" operator="lessThan">
      <formula>0</formula>
    </cfRule>
    <cfRule type="cellIs" dxfId="6746" priority="2052" operator="lessThan">
      <formula>-105575</formula>
    </cfRule>
  </conditionalFormatting>
  <conditionalFormatting sqref="BB278:BB282">
    <cfRule type="cellIs" dxfId="6745" priority="2049" operator="lessThan">
      <formula>0</formula>
    </cfRule>
    <cfRule type="cellIs" dxfId="6744" priority="2050" operator="lessThan">
      <formula>-105575</formula>
    </cfRule>
  </conditionalFormatting>
  <conditionalFormatting sqref="BB278:BB282">
    <cfRule type="cellIs" dxfId="6743" priority="2047" operator="lessThan">
      <formula>0</formula>
    </cfRule>
    <cfRule type="cellIs" dxfId="6742" priority="2048" operator="lessThan">
      <formula>-105575</formula>
    </cfRule>
  </conditionalFormatting>
  <conditionalFormatting sqref="BB278:BB282">
    <cfRule type="cellIs" dxfId="6741" priority="2045" operator="lessThan">
      <formula>0</formula>
    </cfRule>
    <cfRule type="cellIs" dxfId="6740" priority="2046" operator="lessThan">
      <formula>-105575</formula>
    </cfRule>
  </conditionalFormatting>
  <conditionalFormatting sqref="BB278:BB282">
    <cfRule type="cellIs" dxfId="6739" priority="2043" operator="lessThan">
      <formula>0</formula>
    </cfRule>
    <cfRule type="cellIs" dxfId="6738" priority="2044" operator="lessThan">
      <formula>-105575</formula>
    </cfRule>
  </conditionalFormatting>
  <conditionalFormatting sqref="BB278:BB282">
    <cfRule type="cellIs" dxfId="6737" priority="2041" operator="lessThan">
      <formula>0</formula>
    </cfRule>
    <cfRule type="cellIs" dxfId="6736" priority="2042" operator="lessThan">
      <formula>-105575</formula>
    </cfRule>
  </conditionalFormatting>
  <conditionalFormatting sqref="BB278:BB282">
    <cfRule type="cellIs" dxfId="6735" priority="2039" operator="lessThan">
      <formula>0</formula>
    </cfRule>
    <cfRule type="cellIs" dxfId="6734" priority="2040" operator="lessThan">
      <formula>-105575</formula>
    </cfRule>
  </conditionalFormatting>
  <conditionalFormatting sqref="BB285:BB288">
    <cfRule type="cellIs" dxfId="6733" priority="2037" operator="lessThan">
      <formula>0</formula>
    </cfRule>
    <cfRule type="cellIs" dxfId="6732" priority="2038" operator="lessThan">
      <formula>-105575</formula>
    </cfRule>
  </conditionalFormatting>
  <conditionalFormatting sqref="BB285:BB288">
    <cfRule type="cellIs" dxfId="6731" priority="2035" operator="lessThan">
      <formula>0</formula>
    </cfRule>
    <cfRule type="cellIs" dxfId="6730" priority="2036" operator="lessThan">
      <formula>-105575</formula>
    </cfRule>
  </conditionalFormatting>
  <conditionalFormatting sqref="BB285:BB288">
    <cfRule type="cellIs" dxfId="6729" priority="2033" operator="lessThan">
      <formula>0</formula>
    </cfRule>
    <cfRule type="cellIs" dxfId="6728" priority="2034" operator="lessThan">
      <formula>-105575</formula>
    </cfRule>
  </conditionalFormatting>
  <conditionalFormatting sqref="BB285:BB288">
    <cfRule type="cellIs" dxfId="6727" priority="2031" operator="lessThan">
      <formula>0</formula>
    </cfRule>
    <cfRule type="cellIs" dxfId="6726" priority="2032" operator="lessThan">
      <formula>-105575</formula>
    </cfRule>
  </conditionalFormatting>
  <conditionalFormatting sqref="BB285:BB288">
    <cfRule type="cellIs" dxfId="6725" priority="2029" operator="lessThan">
      <formula>0</formula>
    </cfRule>
    <cfRule type="cellIs" dxfId="6724" priority="2030" operator="lessThan">
      <formula>-105575</formula>
    </cfRule>
  </conditionalFormatting>
  <conditionalFormatting sqref="BB285:BB288">
    <cfRule type="cellIs" dxfId="6723" priority="2027" operator="lessThan">
      <formula>0</formula>
    </cfRule>
    <cfRule type="cellIs" dxfId="6722" priority="2028" operator="lessThan">
      <formula>-105575</formula>
    </cfRule>
  </conditionalFormatting>
  <conditionalFormatting sqref="BB285:BB288">
    <cfRule type="cellIs" dxfId="6721" priority="2025" operator="lessThan">
      <formula>0</formula>
    </cfRule>
    <cfRule type="cellIs" dxfId="6720" priority="2026" operator="lessThan">
      <formula>-105575</formula>
    </cfRule>
  </conditionalFormatting>
  <conditionalFormatting sqref="BB285:BB288">
    <cfRule type="cellIs" dxfId="6719" priority="2023" operator="lessThan">
      <formula>0</formula>
    </cfRule>
    <cfRule type="cellIs" dxfId="6718" priority="2024" operator="lessThan">
      <formula>-105575</formula>
    </cfRule>
  </conditionalFormatting>
  <conditionalFormatting sqref="BB285:BB288">
    <cfRule type="cellIs" dxfId="6717" priority="2021" operator="lessThan">
      <formula>0</formula>
    </cfRule>
    <cfRule type="cellIs" dxfId="6716" priority="2022" operator="lessThan">
      <formula>-105575</formula>
    </cfRule>
  </conditionalFormatting>
  <conditionalFormatting sqref="BB203 BB220:BB221 BB235:BB243 BB231:BB233 BB212:BB213 BB225:BB226">
    <cfRule type="cellIs" dxfId="6715" priority="2019" operator="lessThan">
      <formula>0</formula>
    </cfRule>
    <cfRule type="cellIs" dxfId="6714" priority="2020" operator="lessThan">
      <formula>-105575</formula>
    </cfRule>
  </conditionalFormatting>
  <conditionalFormatting sqref="BB220 BB212:BB213 BB235:BB238 BB240:BB243 BB225:BB226 BB231:BB233">
    <cfRule type="cellIs" dxfId="6713" priority="2017" operator="lessThan">
      <formula>0</formula>
    </cfRule>
    <cfRule type="cellIs" dxfId="6712" priority="2018" operator="lessThan">
      <formula>-105575</formula>
    </cfRule>
  </conditionalFormatting>
  <conditionalFormatting sqref="BB220:BB221 BB243 BB226 BB231:BB236 BB238:BB241 BB203 BB213">
    <cfRule type="cellIs" dxfId="6711" priority="2015" operator="lessThan">
      <formula>0</formula>
    </cfRule>
    <cfRule type="cellIs" dxfId="6710" priority="2016" operator="lessThan">
      <formula>-105575</formula>
    </cfRule>
  </conditionalFormatting>
  <conditionalFormatting sqref="BB235:BB243 BB231:BB233 BB220 BB212:BB213 BB225:BB226">
    <cfRule type="cellIs" dxfId="6709" priority="2013" operator="lessThan">
      <formula>0</formula>
    </cfRule>
    <cfRule type="cellIs" dxfId="6708" priority="2014" operator="lessThan">
      <formula>-105575</formula>
    </cfRule>
  </conditionalFormatting>
  <conditionalFormatting sqref="BB220:BB221 BB237:BB243 BB203 BB231:BB235 BB212:BB213 BB225:BB226">
    <cfRule type="cellIs" dxfId="6707" priority="2011" operator="lessThan">
      <formula>0</formula>
    </cfRule>
    <cfRule type="cellIs" dxfId="6706" priority="2012" operator="lessThan">
      <formula>-105575</formula>
    </cfRule>
  </conditionalFormatting>
  <conditionalFormatting sqref="BB220:BB221 BB237:BB240 BB242:BB243 BB225:BB226 BB231:BB235">
    <cfRule type="cellIs" dxfId="6705" priority="2009" operator="lessThan">
      <formula>0</formula>
    </cfRule>
    <cfRule type="cellIs" dxfId="6704" priority="2010" operator="lessThan">
      <formula>-105575</formula>
    </cfRule>
  </conditionalFormatting>
  <conditionalFormatting sqref="BB212 BB231 BB233:BB238 BB240:BB243 BB225">
    <cfRule type="cellIs" dxfId="6703" priority="2007" operator="lessThan">
      <formula>0</formula>
    </cfRule>
    <cfRule type="cellIs" dxfId="6702" priority="2008" operator="lessThan">
      <formula>-105575</formula>
    </cfRule>
  </conditionalFormatting>
  <conditionalFormatting sqref="BB237:BB243 BB231:BB235 BB220:BB221 BB225:BB226">
    <cfRule type="cellIs" dxfId="6701" priority="2005" operator="lessThan">
      <formula>0</formula>
    </cfRule>
    <cfRule type="cellIs" dxfId="6700" priority="2006" operator="lessThan">
      <formula>-105575</formula>
    </cfRule>
  </conditionalFormatting>
  <conditionalFormatting sqref="BB233:BB237 BB231 BB239:BB243">
    <cfRule type="cellIs" dxfId="6699" priority="2003" operator="lessThan">
      <formula>0</formula>
    </cfRule>
    <cfRule type="cellIs" dxfId="6698" priority="2004" operator="lessThan">
      <formula>-105575</formula>
    </cfRule>
  </conditionalFormatting>
  <conditionalFormatting sqref="BB233:BB237 BB231 BB239:BB243">
    <cfRule type="cellIs" dxfId="6697" priority="2001" operator="lessThan">
      <formula>0</formula>
    </cfRule>
    <cfRule type="cellIs" dxfId="6696" priority="2002" operator="lessThan">
      <formula>-105575</formula>
    </cfRule>
  </conditionalFormatting>
  <conditionalFormatting sqref="BB119:BB128 BB106:BB117 BB101:BB104 BB80:BB98">
    <cfRule type="cellIs" dxfId="6695" priority="1999" operator="lessThan">
      <formula>0</formula>
    </cfRule>
    <cfRule type="cellIs" dxfId="6694" priority="2000" operator="lessThan">
      <formula>-105575</formula>
    </cfRule>
  </conditionalFormatting>
  <conditionalFormatting sqref="BB130 BB132 BB134">
    <cfRule type="cellIs" dxfId="6693" priority="1997" operator="lessThan">
      <formula>0</formula>
    </cfRule>
    <cfRule type="cellIs" dxfId="6692" priority="1998" operator="lessThan">
      <formula>-105575</formula>
    </cfRule>
  </conditionalFormatting>
  <conditionalFormatting sqref="BB130 BB132 BB134">
    <cfRule type="cellIs" dxfId="6691" priority="1995" operator="lessThan">
      <formula>0</formula>
    </cfRule>
    <cfRule type="cellIs" dxfId="6690" priority="1996" operator="lessThan">
      <formula>-105575</formula>
    </cfRule>
  </conditionalFormatting>
  <conditionalFormatting sqref="BB129 BB131 BB133 BB135">
    <cfRule type="cellIs" dxfId="6689" priority="1993" operator="lessThan">
      <formula>0</formula>
    </cfRule>
    <cfRule type="cellIs" dxfId="6688" priority="1994" operator="lessThan">
      <formula>-105575</formula>
    </cfRule>
  </conditionalFormatting>
  <conditionalFormatting sqref="BB140 BB145 BB142:BB143 BB137:BB138">
    <cfRule type="cellIs" dxfId="6687" priority="1991" operator="lessThan">
      <formula>0</formula>
    </cfRule>
    <cfRule type="cellIs" dxfId="6686" priority="1992" operator="lessThan">
      <formula>-105575</formula>
    </cfRule>
  </conditionalFormatting>
  <conditionalFormatting sqref="BB149">
    <cfRule type="cellIs" dxfId="6685" priority="1989" operator="lessThan">
      <formula>0</formula>
    </cfRule>
    <cfRule type="cellIs" dxfId="6684" priority="1990" operator="lessThan">
      <formula>-105575</formula>
    </cfRule>
  </conditionalFormatting>
  <conditionalFormatting sqref="BB129:BB138 BB140:BB149">
    <cfRule type="cellIs" dxfId="6683" priority="1987" operator="lessThan">
      <formula>0</formula>
    </cfRule>
    <cfRule type="cellIs" dxfId="6682" priority="1988" operator="lessThan">
      <formula>-105575</formula>
    </cfRule>
  </conditionalFormatting>
  <conditionalFormatting sqref="BB94:BB98 BB86:BB87 BB89:BB91 BB141:BB149 BB124:BB133 BB107:BB110 BB112:BB117 BB119:BB122 BB135:BB138 BB101:BB104 BB80:BB84">
    <cfRule type="cellIs" dxfId="6681" priority="1985" operator="lessThan">
      <formula>0</formula>
    </cfRule>
    <cfRule type="cellIs" dxfId="6680" priority="1986" operator="lessThan">
      <formula>-105575</formula>
    </cfRule>
  </conditionalFormatting>
  <conditionalFormatting sqref="BB129 BB131 BB133 BB135">
    <cfRule type="cellIs" dxfId="6679" priority="1983" operator="lessThan">
      <formula>0</formula>
    </cfRule>
    <cfRule type="cellIs" dxfId="6678" priority="1984" operator="lessThan">
      <formula>-105575</formula>
    </cfRule>
  </conditionalFormatting>
  <conditionalFormatting sqref="BB146 BB144 BB141">
    <cfRule type="cellIs" dxfId="6677" priority="1981" operator="lessThan">
      <formula>0</formula>
    </cfRule>
    <cfRule type="cellIs" dxfId="6676" priority="1982" operator="lessThan">
      <formula>-105575</formula>
    </cfRule>
  </conditionalFormatting>
  <conditionalFormatting sqref="BB146 BB144 BB141">
    <cfRule type="cellIs" dxfId="6675" priority="1979" operator="lessThan">
      <formula>0</formula>
    </cfRule>
    <cfRule type="cellIs" dxfId="6674" priority="1980" operator="lessThan">
      <formula>-105575</formula>
    </cfRule>
  </conditionalFormatting>
  <conditionalFormatting sqref="BB140 BB145 BB142:BB143 BB137:BB138">
    <cfRule type="cellIs" dxfId="6673" priority="1977" operator="lessThan">
      <formula>0</formula>
    </cfRule>
    <cfRule type="cellIs" dxfId="6672" priority="1978" operator="lessThan">
      <formula>-105575</formula>
    </cfRule>
  </conditionalFormatting>
  <conditionalFormatting sqref="BB149">
    <cfRule type="cellIs" dxfId="6671" priority="1975" operator="lessThan">
      <formula>0</formula>
    </cfRule>
    <cfRule type="cellIs" dxfId="6670" priority="1976" operator="lessThan">
      <formula>-105575</formula>
    </cfRule>
  </conditionalFormatting>
  <conditionalFormatting sqref="BB94:BB98 BB86:BB87 BB89:BB91 BB141:BB149 BB124:BB133 BB107:BB110 BB112:BB117 BB119:BB122 BB135:BB138 BB101:BB104 BB80:BB84">
    <cfRule type="cellIs" dxfId="6669" priority="1973" operator="lessThan">
      <formula>0</formula>
    </cfRule>
    <cfRule type="cellIs" dxfId="6668" priority="1974" operator="lessThan">
      <formula>-105575</formula>
    </cfRule>
  </conditionalFormatting>
  <conditionalFormatting sqref="BB246:BB249 BB262 BB267 BB279:BB282 BB285:BB288 BB274:BB275 BB306:BB309 BB311:BB325 BB327:BB330 BB332:BB341 BB344:BB347 BB349:BB353 BB355:BB358 BB360:BB384 BB386:BB389 BB392:BB395 BB397:BB411 BB413:BB416 BB418:BB432 BB434:BB437 BB439:BB453 BB455:BB458 BB460:BB469 BB7:BB10 BB12:BB14 BB17:BB18 BB21:BB24 BB26:BB28 BB30:BB36 BB38 BB41:BB43 BB46:BB49 BB51:BB55 BB57:BB59 BB62:BB76 BB251:BB253 BB255:BB257 BB293:BB304 BB264:BB265 BB260 BB290:BB291 BB270:BB272">
    <cfRule type="cellIs" dxfId="6667" priority="1971" operator="lessThan">
      <formula>0</formula>
    </cfRule>
    <cfRule type="cellIs" dxfId="6666" priority="1972" operator="lessThan">
      <formula>-105575</formula>
    </cfRule>
  </conditionalFormatting>
  <conditionalFormatting sqref="BB41">
    <cfRule type="cellIs" dxfId="6665" priority="1969" operator="lessThan">
      <formula>0</formula>
    </cfRule>
    <cfRule type="cellIs" dxfId="6664" priority="1970" operator="lessThan">
      <formula>-105575</formula>
    </cfRule>
  </conditionalFormatting>
  <conditionalFormatting sqref="BB152:BB155">
    <cfRule type="cellIs" dxfId="6663" priority="1967" operator="lessThan">
      <formula>0</formula>
    </cfRule>
    <cfRule type="cellIs" dxfId="6662" priority="1968" operator="lessThan">
      <formula>-105575</formula>
    </cfRule>
  </conditionalFormatting>
  <conditionalFormatting sqref="BB152:BB155">
    <cfRule type="cellIs" dxfId="6661" priority="1965" operator="lessThan">
      <formula>0</formula>
    </cfRule>
    <cfRule type="cellIs" dxfId="6660" priority="1966" operator="lessThan">
      <formula>-105575</formula>
    </cfRule>
  </conditionalFormatting>
  <conditionalFormatting sqref="BB152:BB155">
    <cfRule type="cellIs" dxfId="6659" priority="1963" operator="lessThan">
      <formula>0</formula>
    </cfRule>
    <cfRule type="cellIs" dxfId="6658" priority="1964" operator="lessThan">
      <formula>-105575</formula>
    </cfRule>
  </conditionalFormatting>
  <conditionalFormatting sqref="BB157:BB158">
    <cfRule type="cellIs" dxfId="6657" priority="1961" operator="lessThan">
      <formula>0</formula>
    </cfRule>
    <cfRule type="cellIs" dxfId="6656" priority="1962" operator="lessThan">
      <formula>-105575</formula>
    </cfRule>
  </conditionalFormatting>
  <conditionalFormatting sqref="BB157:BB158">
    <cfRule type="cellIs" dxfId="6655" priority="1959" operator="lessThan">
      <formula>0</formula>
    </cfRule>
    <cfRule type="cellIs" dxfId="6654" priority="1960" operator="lessThan">
      <formula>-105575</formula>
    </cfRule>
  </conditionalFormatting>
  <conditionalFormatting sqref="BB157:BB158">
    <cfRule type="cellIs" dxfId="6653" priority="1957" operator="lessThan">
      <formula>0</formula>
    </cfRule>
    <cfRule type="cellIs" dxfId="6652" priority="1958" operator="lessThan">
      <formula>-105575</formula>
    </cfRule>
  </conditionalFormatting>
  <conditionalFormatting sqref="BB160:BB161">
    <cfRule type="cellIs" dxfId="6651" priority="1955" operator="lessThan">
      <formula>0</formula>
    </cfRule>
    <cfRule type="cellIs" dxfId="6650" priority="1956" operator="lessThan">
      <formula>-105575</formula>
    </cfRule>
  </conditionalFormatting>
  <conditionalFormatting sqref="BB160:BB161">
    <cfRule type="cellIs" dxfId="6649" priority="1953" operator="lessThan">
      <formula>0</formula>
    </cfRule>
    <cfRule type="cellIs" dxfId="6648" priority="1954" operator="lessThan">
      <formula>-105575</formula>
    </cfRule>
  </conditionalFormatting>
  <conditionalFormatting sqref="BB160:BB161">
    <cfRule type="cellIs" dxfId="6647" priority="1951" operator="lessThan">
      <formula>0</formula>
    </cfRule>
    <cfRule type="cellIs" dxfId="6646" priority="1952" operator="lessThan">
      <formula>-105575</formula>
    </cfRule>
  </conditionalFormatting>
  <conditionalFormatting sqref="BB164:BB167">
    <cfRule type="cellIs" dxfId="6645" priority="1949" operator="lessThan">
      <formula>0</formula>
    </cfRule>
    <cfRule type="cellIs" dxfId="6644" priority="1950" operator="lessThan">
      <formula>-105575</formula>
    </cfRule>
  </conditionalFormatting>
  <conditionalFormatting sqref="BB164:BB167">
    <cfRule type="cellIs" dxfId="6643" priority="1947" operator="lessThan">
      <formula>0</formula>
    </cfRule>
    <cfRule type="cellIs" dxfId="6642" priority="1948" operator="lessThan">
      <formula>-105575</formula>
    </cfRule>
  </conditionalFormatting>
  <conditionalFormatting sqref="BB164:BB167">
    <cfRule type="cellIs" dxfId="6641" priority="1945" operator="lessThan">
      <formula>0</formula>
    </cfRule>
    <cfRule type="cellIs" dxfId="6640" priority="1946" operator="lessThan">
      <formula>-105575</formula>
    </cfRule>
  </conditionalFormatting>
  <conditionalFormatting sqref="BB169:BB177">
    <cfRule type="cellIs" dxfId="6639" priority="1943" operator="lessThan">
      <formula>0</formula>
    </cfRule>
    <cfRule type="cellIs" dxfId="6638" priority="1944" operator="lessThan">
      <formula>-105575</formula>
    </cfRule>
  </conditionalFormatting>
  <conditionalFormatting sqref="BB169:BB177">
    <cfRule type="cellIs" dxfId="6637" priority="1941" operator="lessThan">
      <formula>0</formula>
    </cfRule>
    <cfRule type="cellIs" dxfId="6636" priority="1942" operator="lessThan">
      <formula>-105575</formula>
    </cfRule>
  </conditionalFormatting>
  <conditionalFormatting sqref="BB169:BB177">
    <cfRule type="cellIs" dxfId="6635" priority="1939" operator="lessThan">
      <formula>0</formula>
    </cfRule>
    <cfRule type="cellIs" dxfId="6634" priority="1940" operator="lessThan">
      <formula>-105575</formula>
    </cfRule>
  </conditionalFormatting>
  <conditionalFormatting sqref="BB179:BB180">
    <cfRule type="cellIs" dxfId="6633" priority="1937" operator="lessThan">
      <formula>0</formula>
    </cfRule>
    <cfRule type="cellIs" dxfId="6632" priority="1938" operator="lessThan">
      <formula>-105575</formula>
    </cfRule>
  </conditionalFormatting>
  <conditionalFormatting sqref="BB179:BB180">
    <cfRule type="cellIs" dxfId="6631" priority="1935" operator="lessThan">
      <formula>0</formula>
    </cfRule>
    <cfRule type="cellIs" dxfId="6630" priority="1936" operator="lessThan">
      <formula>-105575</formula>
    </cfRule>
  </conditionalFormatting>
  <conditionalFormatting sqref="BB179:BB180">
    <cfRule type="cellIs" dxfId="6629" priority="1933" operator="lessThan">
      <formula>0</formula>
    </cfRule>
    <cfRule type="cellIs" dxfId="6628" priority="1934" operator="lessThan">
      <formula>-105575</formula>
    </cfRule>
  </conditionalFormatting>
  <conditionalFormatting sqref="BB183:BB189">
    <cfRule type="cellIs" dxfId="6627" priority="1931" operator="lessThan">
      <formula>0</formula>
    </cfRule>
    <cfRule type="cellIs" dxfId="6626" priority="1932" operator="lessThan">
      <formula>-105575</formula>
    </cfRule>
  </conditionalFormatting>
  <conditionalFormatting sqref="BB183:BB189">
    <cfRule type="cellIs" dxfId="6625" priority="1929" operator="lessThan">
      <formula>0</formula>
    </cfRule>
    <cfRule type="cellIs" dxfId="6624" priority="1930" operator="lessThan">
      <formula>-105575</formula>
    </cfRule>
  </conditionalFormatting>
  <conditionalFormatting sqref="BB183:BB189">
    <cfRule type="cellIs" dxfId="6623" priority="1927" operator="lessThan">
      <formula>0</formula>
    </cfRule>
    <cfRule type="cellIs" dxfId="6622" priority="1928" operator="lessThan">
      <formula>-105575</formula>
    </cfRule>
  </conditionalFormatting>
  <conditionalFormatting sqref="BB191:BB192">
    <cfRule type="cellIs" dxfId="6621" priority="1925" operator="lessThan">
      <formula>0</formula>
    </cfRule>
    <cfRule type="cellIs" dxfId="6620" priority="1926" operator="lessThan">
      <formula>-105575</formula>
    </cfRule>
  </conditionalFormatting>
  <conditionalFormatting sqref="BB191:BB192">
    <cfRule type="cellIs" dxfId="6619" priority="1923" operator="lessThan">
      <formula>0</formula>
    </cfRule>
    <cfRule type="cellIs" dxfId="6618" priority="1924" operator="lessThan">
      <formula>-105575</formula>
    </cfRule>
  </conditionalFormatting>
  <conditionalFormatting sqref="BB191:BB192">
    <cfRule type="cellIs" dxfId="6617" priority="1921" operator="lessThan">
      <formula>0</formula>
    </cfRule>
    <cfRule type="cellIs" dxfId="6616" priority="1922" operator="lessThan">
      <formula>-105575</formula>
    </cfRule>
  </conditionalFormatting>
  <conditionalFormatting sqref="BB194:BB195">
    <cfRule type="cellIs" dxfId="6615" priority="1919" operator="lessThan">
      <formula>0</formula>
    </cfRule>
    <cfRule type="cellIs" dxfId="6614" priority="1920" operator="lessThan">
      <formula>-105575</formula>
    </cfRule>
  </conditionalFormatting>
  <conditionalFormatting sqref="BB194:BB195">
    <cfRule type="cellIs" dxfId="6613" priority="1917" operator="lessThan">
      <formula>0</formula>
    </cfRule>
    <cfRule type="cellIs" dxfId="6612" priority="1918" operator="lessThan">
      <formula>-105575</formula>
    </cfRule>
  </conditionalFormatting>
  <conditionalFormatting sqref="BB194:BB195">
    <cfRule type="cellIs" dxfId="6611" priority="1915" operator="lessThan">
      <formula>0</formula>
    </cfRule>
    <cfRule type="cellIs" dxfId="6610" priority="1916" operator="lessThan">
      <formula>-105575</formula>
    </cfRule>
  </conditionalFormatting>
  <conditionalFormatting sqref="BB199:BB202">
    <cfRule type="cellIs" dxfId="6609" priority="1913" operator="lessThan">
      <formula>0</formula>
    </cfRule>
    <cfRule type="cellIs" dxfId="6608" priority="1914" operator="lessThan">
      <formula>-105575</formula>
    </cfRule>
  </conditionalFormatting>
  <conditionalFormatting sqref="BB199:BB202">
    <cfRule type="cellIs" dxfId="6607" priority="1911" operator="lessThan">
      <formula>0</formula>
    </cfRule>
    <cfRule type="cellIs" dxfId="6606" priority="1912" operator="lessThan">
      <formula>-105575</formula>
    </cfRule>
  </conditionalFormatting>
  <conditionalFormatting sqref="BB199:BB202">
    <cfRule type="cellIs" dxfId="6605" priority="1909" operator="lessThan">
      <formula>0</formula>
    </cfRule>
    <cfRule type="cellIs" dxfId="6604" priority="1910" operator="lessThan">
      <formula>-105575</formula>
    </cfRule>
  </conditionalFormatting>
  <conditionalFormatting sqref="BB204:BB208">
    <cfRule type="cellIs" dxfId="6603" priority="1907" operator="lessThan">
      <formula>0</formula>
    </cfRule>
    <cfRule type="cellIs" dxfId="6602" priority="1908" operator="lessThan">
      <formula>-105575</formula>
    </cfRule>
  </conditionalFormatting>
  <conditionalFormatting sqref="BB204:BB208">
    <cfRule type="cellIs" dxfId="6601" priority="1905" operator="lessThan">
      <formula>0</formula>
    </cfRule>
    <cfRule type="cellIs" dxfId="6600" priority="1906" operator="lessThan">
      <formula>-105575</formula>
    </cfRule>
  </conditionalFormatting>
  <conditionalFormatting sqref="BB204:BB208">
    <cfRule type="cellIs" dxfId="6599" priority="1903" operator="lessThan">
      <formula>0</formula>
    </cfRule>
    <cfRule type="cellIs" dxfId="6598" priority="1904" operator="lessThan">
      <formula>-105575</formula>
    </cfRule>
  </conditionalFormatting>
  <conditionalFormatting sqref="BB210:BB211">
    <cfRule type="cellIs" dxfId="6597" priority="1901" operator="lessThan">
      <formula>0</formula>
    </cfRule>
    <cfRule type="cellIs" dxfId="6596" priority="1902" operator="lessThan">
      <formula>-105575</formula>
    </cfRule>
  </conditionalFormatting>
  <conditionalFormatting sqref="BB210:BB211">
    <cfRule type="cellIs" dxfId="6595" priority="1899" operator="lessThan">
      <formula>0</formula>
    </cfRule>
    <cfRule type="cellIs" dxfId="6594" priority="1900" operator="lessThan">
      <formula>-105575</formula>
    </cfRule>
  </conditionalFormatting>
  <conditionalFormatting sqref="BB210:BB211">
    <cfRule type="cellIs" dxfId="6593" priority="1897" operator="lessThan">
      <formula>0</formula>
    </cfRule>
    <cfRule type="cellIs" dxfId="6592" priority="1898" operator="lessThan">
      <formula>-105575</formula>
    </cfRule>
  </conditionalFormatting>
  <conditionalFormatting sqref="BB214:BB219">
    <cfRule type="cellIs" dxfId="6591" priority="1895" operator="lessThan">
      <formula>0</formula>
    </cfRule>
    <cfRule type="cellIs" dxfId="6590" priority="1896" operator="lessThan">
      <formula>-105575</formula>
    </cfRule>
  </conditionalFormatting>
  <conditionalFormatting sqref="BB214:BB219">
    <cfRule type="cellIs" dxfId="6589" priority="1893" operator="lessThan">
      <formula>0</formula>
    </cfRule>
    <cfRule type="cellIs" dxfId="6588" priority="1894" operator="lessThan">
      <formula>-105575</formula>
    </cfRule>
  </conditionalFormatting>
  <conditionalFormatting sqref="BB214:BB219">
    <cfRule type="cellIs" dxfId="6587" priority="1891" operator="lessThan">
      <formula>0</formula>
    </cfRule>
    <cfRule type="cellIs" dxfId="6586" priority="1892" operator="lessThan">
      <formula>-105575</formula>
    </cfRule>
  </conditionalFormatting>
  <conditionalFormatting sqref="BB222:BB224">
    <cfRule type="cellIs" dxfId="6585" priority="1889" operator="lessThan">
      <formula>0</formula>
    </cfRule>
    <cfRule type="cellIs" dxfId="6584" priority="1890" operator="lessThan">
      <formula>-105575</formula>
    </cfRule>
  </conditionalFormatting>
  <conditionalFormatting sqref="BB222:BB224">
    <cfRule type="cellIs" dxfId="6583" priority="1887" operator="lessThan">
      <formula>0</formula>
    </cfRule>
    <cfRule type="cellIs" dxfId="6582" priority="1888" operator="lessThan">
      <formula>-105575</formula>
    </cfRule>
  </conditionalFormatting>
  <conditionalFormatting sqref="BB222:BB224">
    <cfRule type="cellIs" dxfId="6581" priority="1885" operator="lessThan">
      <formula>0</formula>
    </cfRule>
    <cfRule type="cellIs" dxfId="6580" priority="1886" operator="lessThan">
      <formula>-105575</formula>
    </cfRule>
  </conditionalFormatting>
  <conditionalFormatting sqref="BB227:BB230">
    <cfRule type="cellIs" dxfId="6579" priority="1883" operator="lessThan">
      <formula>0</formula>
    </cfRule>
    <cfRule type="cellIs" dxfId="6578" priority="1884" operator="lessThan">
      <formula>-105575</formula>
    </cfRule>
  </conditionalFormatting>
  <conditionalFormatting sqref="BB227:BB230">
    <cfRule type="cellIs" dxfId="6577" priority="1881" operator="lessThan">
      <formula>0</formula>
    </cfRule>
    <cfRule type="cellIs" dxfId="6576" priority="1882" operator="lessThan">
      <formula>-105575</formula>
    </cfRule>
  </conditionalFormatting>
  <conditionalFormatting sqref="BB227:BB230">
    <cfRule type="cellIs" dxfId="6575" priority="1879" operator="lessThan">
      <formula>0</formula>
    </cfRule>
    <cfRule type="cellIs" dxfId="6574" priority="1880" operator="lessThan">
      <formula>-105575</formula>
    </cfRule>
  </conditionalFormatting>
  <conditionalFormatting sqref="BB203 BB220:BB221 BB235:BB243 BB231:BB233 BB212:BB213 BB225:BB226">
    <cfRule type="cellIs" dxfId="6573" priority="1877" operator="lessThan">
      <formula>0</formula>
    </cfRule>
    <cfRule type="cellIs" dxfId="6572" priority="1878" operator="lessThan">
      <formula>-105575</formula>
    </cfRule>
  </conditionalFormatting>
  <conditionalFormatting sqref="BB220 BB212:BB213 BB235:BB238 BB240:BB243 BB225:BB226 BB231:BB233">
    <cfRule type="cellIs" dxfId="6571" priority="1875" operator="lessThan">
      <formula>0</formula>
    </cfRule>
    <cfRule type="cellIs" dxfId="6570" priority="1876" operator="lessThan">
      <formula>-105575</formula>
    </cfRule>
  </conditionalFormatting>
  <conditionalFormatting sqref="BB220:BB221 BB243 BB226 BB231:BB236 BB238:BB241 BB203 BB213">
    <cfRule type="cellIs" dxfId="6569" priority="1873" operator="lessThan">
      <formula>0</formula>
    </cfRule>
    <cfRule type="cellIs" dxfId="6568" priority="1874" operator="lessThan">
      <formula>-105575</formula>
    </cfRule>
  </conditionalFormatting>
  <conditionalFormatting sqref="BB235:BB243 BB231:BB233 BB220 BB212:BB213 BB225:BB226">
    <cfRule type="cellIs" dxfId="6567" priority="1871" operator="lessThan">
      <formula>0</formula>
    </cfRule>
    <cfRule type="cellIs" dxfId="6566" priority="1872" operator="lessThan">
      <formula>-105575</formula>
    </cfRule>
  </conditionalFormatting>
  <conditionalFormatting sqref="BB220:BB221 BB237:BB243 BB203 BB231:BB235 BB212:BB213 BB225:BB226">
    <cfRule type="cellIs" dxfId="6565" priority="1869" operator="lessThan">
      <formula>0</formula>
    </cfRule>
    <cfRule type="cellIs" dxfId="6564" priority="1870" operator="lessThan">
      <formula>-105575</formula>
    </cfRule>
  </conditionalFormatting>
  <conditionalFormatting sqref="BB220:BB221 BB237:BB240 BB242:BB243 BB225:BB226 BB231:BB235">
    <cfRule type="cellIs" dxfId="6563" priority="1867" operator="lessThan">
      <formula>0</formula>
    </cfRule>
    <cfRule type="cellIs" dxfId="6562" priority="1868" operator="lessThan">
      <formula>-105575</formula>
    </cfRule>
  </conditionalFormatting>
  <conditionalFormatting sqref="BB212 BB231 BB233:BB238 BB240:BB243 BB225">
    <cfRule type="cellIs" dxfId="6561" priority="1865" operator="lessThan">
      <formula>0</formula>
    </cfRule>
    <cfRule type="cellIs" dxfId="6560" priority="1866" operator="lessThan">
      <formula>-105575</formula>
    </cfRule>
  </conditionalFormatting>
  <conditionalFormatting sqref="BB237:BB243 BB231:BB235 BB220:BB221 BB225:BB226">
    <cfRule type="cellIs" dxfId="6559" priority="1863" operator="lessThan">
      <formula>0</formula>
    </cfRule>
    <cfRule type="cellIs" dxfId="6558" priority="1864" operator="lessThan">
      <formula>-105575</formula>
    </cfRule>
  </conditionalFormatting>
  <conditionalFormatting sqref="BB233:BB237 BB231 BB239:BB243">
    <cfRule type="cellIs" dxfId="6557" priority="1861" operator="lessThan">
      <formula>0</formula>
    </cfRule>
    <cfRule type="cellIs" dxfId="6556" priority="1862" operator="lessThan">
      <formula>-105575</formula>
    </cfRule>
  </conditionalFormatting>
  <conditionalFormatting sqref="BB233:BB237 BB231 BB239:BB243">
    <cfRule type="cellIs" dxfId="6555" priority="1859" operator="lessThan">
      <formula>0</formula>
    </cfRule>
    <cfRule type="cellIs" dxfId="6554" priority="1860" operator="lessThan">
      <formula>-105575</formula>
    </cfRule>
  </conditionalFormatting>
  <conditionalFormatting sqref="BB119:BB128 BB106:BB117 BB101:BB104 BB80:BB98">
    <cfRule type="cellIs" dxfId="6553" priority="1857" operator="lessThan">
      <formula>0</formula>
    </cfRule>
    <cfRule type="cellIs" dxfId="6552" priority="1858" operator="lessThan">
      <formula>-105575</formula>
    </cfRule>
  </conditionalFormatting>
  <conditionalFormatting sqref="BB130 BB132 BB134">
    <cfRule type="cellIs" dxfId="6551" priority="1855" operator="lessThan">
      <formula>0</formula>
    </cfRule>
    <cfRule type="cellIs" dxfId="6550" priority="1856" operator="lessThan">
      <formula>-105575</formula>
    </cfRule>
  </conditionalFormatting>
  <conditionalFormatting sqref="BB130 BB132 BB134">
    <cfRule type="cellIs" dxfId="6549" priority="1853" operator="lessThan">
      <formula>0</formula>
    </cfRule>
    <cfRule type="cellIs" dxfId="6548" priority="1854" operator="lessThan">
      <formula>-105575</formula>
    </cfRule>
  </conditionalFormatting>
  <conditionalFormatting sqref="BB129 BB131 BB133 BB135">
    <cfRule type="cellIs" dxfId="6547" priority="1851" operator="lessThan">
      <formula>0</formula>
    </cfRule>
    <cfRule type="cellIs" dxfId="6546" priority="1852" operator="lessThan">
      <formula>-105575</formula>
    </cfRule>
  </conditionalFormatting>
  <conditionalFormatting sqref="BB140 BB145 BB142:BB143 BB137:BB138">
    <cfRule type="cellIs" dxfId="6545" priority="1849" operator="lessThan">
      <formula>0</formula>
    </cfRule>
    <cfRule type="cellIs" dxfId="6544" priority="1850" operator="lessThan">
      <formula>-105575</formula>
    </cfRule>
  </conditionalFormatting>
  <conditionalFormatting sqref="BB149">
    <cfRule type="cellIs" dxfId="6543" priority="1847" operator="lessThan">
      <formula>0</formula>
    </cfRule>
    <cfRule type="cellIs" dxfId="6542" priority="1848" operator="lessThan">
      <formula>-105575</formula>
    </cfRule>
  </conditionalFormatting>
  <conditionalFormatting sqref="BB129:BB138 BB140:BB149">
    <cfRule type="cellIs" dxfId="6541" priority="1845" operator="lessThan">
      <formula>0</formula>
    </cfRule>
    <cfRule type="cellIs" dxfId="6540" priority="1846" operator="lessThan">
      <formula>-105575</formula>
    </cfRule>
  </conditionalFormatting>
  <conditionalFormatting sqref="BB94:BB98 BB86:BB87 BB89:BB91 BB141:BB149 BB124:BB133 BB107:BB110 BB112:BB117 BB119:BB122 BB135:BB138 BB101:BB104 BB80:BB84">
    <cfRule type="cellIs" dxfId="6539" priority="1843" operator="lessThan">
      <formula>0</formula>
    </cfRule>
    <cfRule type="cellIs" dxfId="6538" priority="1844" operator="lessThan">
      <formula>-105575</formula>
    </cfRule>
  </conditionalFormatting>
  <conditionalFormatting sqref="BB129 BB131 BB133 BB135">
    <cfRule type="cellIs" dxfId="6537" priority="1841" operator="lessThan">
      <formula>0</formula>
    </cfRule>
    <cfRule type="cellIs" dxfId="6536" priority="1842" operator="lessThan">
      <formula>-105575</formula>
    </cfRule>
  </conditionalFormatting>
  <conditionalFormatting sqref="BB146 BB144 BB141">
    <cfRule type="cellIs" dxfId="6535" priority="1839" operator="lessThan">
      <formula>0</formula>
    </cfRule>
    <cfRule type="cellIs" dxfId="6534" priority="1840" operator="lessThan">
      <formula>-105575</formula>
    </cfRule>
  </conditionalFormatting>
  <conditionalFormatting sqref="BB146 BB144 BB141">
    <cfRule type="cellIs" dxfId="6533" priority="1837" operator="lessThan">
      <formula>0</formula>
    </cfRule>
    <cfRule type="cellIs" dxfId="6532" priority="1838" operator="lessThan">
      <formula>-105575</formula>
    </cfRule>
  </conditionalFormatting>
  <conditionalFormatting sqref="BB140 BB145 BB142:BB143 BB137:BB138">
    <cfRule type="cellIs" dxfId="6531" priority="1835" operator="lessThan">
      <formula>0</formula>
    </cfRule>
    <cfRule type="cellIs" dxfId="6530" priority="1836" operator="lessThan">
      <formula>-105575</formula>
    </cfRule>
  </conditionalFormatting>
  <conditionalFormatting sqref="BB149">
    <cfRule type="cellIs" dxfId="6529" priority="1833" operator="lessThan">
      <formula>0</formula>
    </cfRule>
    <cfRule type="cellIs" dxfId="6528" priority="1834" operator="lessThan">
      <formula>-105575</formula>
    </cfRule>
  </conditionalFormatting>
  <conditionalFormatting sqref="BB94:BB98 BB86:BB87 BB89:BB91 BB141:BB149 BB124:BB133 BB107:BB110 BB112:BB117 BB119:BB122 BB135:BB138 BB101:BB104 BB80:BB84">
    <cfRule type="cellIs" dxfId="6527" priority="1831" operator="lessThan">
      <formula>0</formula>
    </cfRule>
    <cfRule type="cellIs" dxfId="6526" priority="1832" operator="lessThan">
      <formula>-105575</formula>
    </cfRule>
  </conditionalFormatting>
  <conditionalFormatting sqref="BB62:BB76 BB306:BB309 BB311:BB325 BB327:BB330 BB332:BB341 BB344:BB347 BB349:BB353 BB355:BB358 BB360:BB384 BB386:BB389 BB392:BB395 BB397:BB411 BB413:BB416 BB418:BB432 BB434:BB437 BB439:BB453 BB455:BB458 BB460:BB469 BB7:BB10 BB12:BB14 BB17:BB18 BB21:BB24 BB26:BB28 BB30:BB36 BB38 BB41:BB43 BB46:BB49 BB51:BB55 BB57:BB59 BB290:BB291 BB293:BB304">
    <cfRule type="cellIs" dxfId="6525" priority="1829" operator="lessThan">
      <formula>0</formula>
    </cfRule>
    <cfRule type="cellIs" dxfId="6524" priority="1830" operator="lessThan">
      <formula>-105575</formula>
    </cfRule>
  </conditionalFormatting>
  <conditionalFormatting sqref="BB41">
    <cfRule type="cellIs" dxfId="6523" priority="1827" operator="lessThan">
      <formula>0</formula>
    </cfRule>
    <cfRule type="cellIs" dxfId="6522" priority="1828" operator="lessThan">
      <formula>-105575</formula>
    </cfRule>
  </conditionalFormatting>
  <conditionalFormatting sqref="BB152:BB155">
    <cfRule type="cellIs" dxfId="6521" priority="1825" operator="lessThan">
      <formula>0</formula>
    </cfRule>
    <cfRule type="cellIs" dxfId="6520" priority="1826" operator="lessThan">
      <formula>-105575</formula>
    </cfRule>
  </conditionalFormatting>
  <conditionalFormatting sqref="BB152:BB155">
    <cfRule type="cellIs" dxfId="6519" priority="1823" operator="lessThan">
      <formula>0</formula>
    </cfRule>
    <cfRule type="cellIs" dxfId="6518" priority="1824" operator="lessThan">
      <formula>-105575</formula>
    </cfRule>
  </conditionalFormatting>
  <conditionalFormatting sqref="BB152:BB155">
    <cfRule type="cellIs" dxfId="6517" priority="1821" operator="lessThan">
      <formula>0</formula>
    </cfRule>
    <cfRule type="cellIs" dxfId="6516" priority="1822" operator="lessThan">
      <formula>-105575</formula>
    </cfRule>
  </conditionalFormatting>
  <conditionalFormatting sqref="BB157:BB158">
    <cfRule type="cellIs" dxfId="6515" priority="1819" operator="lessThan">
      <formula>0</formula>
    </cfRule>
    <cfRule type="cellIs" dxfId="6514" priority="1820" operator="lessThan">
      <formula>-105575</formula>
    </cfRule>
  </conditionalFormatting>
  <conditionalFormatting sqref="BB157:BB158">
    <cfRule type="cellIs" dxfId="6513" priority="1817" operator="lessThan">
      <formula>0</formula>
    </cfRule>
    <cfRule type="cellIs" dxfId="6512" priority="1818" operator="lessThan">
      <formula>-105575</formula>
    </cfRule>
  </conditionalFormatting>
  <conditionalFormatting sqref="BB157:BB158">
    <cfRule type="cellIs" dxfId="6511" priority="1815" operator="lessThan">
      <formula>0</formula>
    </cfRule>
    <cfRule type="cellIs" dxfId="6510" priority="1816" operator="lessThan">
      <formula>-105575</formula>
    </cfRule>
  </conditionalFormatting>
  <conditionalFormatting sqref="BB160:BB161">
    <cfRule type="cellIs" dxfId="6509" priority="1813" operator="lessThan">
      <formula>0</formula>
    </cfRule>
    <cfRule type="cellIs" dxfId="6508" priority="1814" operator="lessThan">
      <formula>-105575</formula>
    </cfRule>
  </conditionalFormatting>
  <conditionalFormatting sqref="BB160:BB161">
    <cfRule type="cellIs" dxfId="6507" priority="1811" operator="lessThan">
      <formula>0</formula>
    </cfRule>
    <cfRule type="cellIs" dxfId="6506" priority="1812" operator="lessThan">
      <formula>-105575</formula>
    </cfRule>
  </conditionalFormatting>
  <conditionalFormatting sqref="BB160:BB161">
    <cfRule type="cellIs" dxfId="6505" priority="1809" operator="lessThan">
      <formula>0</formula>
    </cfRule>
    <cfRule type="cellIs" dxfId="6504" priority="1810" operator="lessThan">
      <formula>-105575</formula>
    </cfRule>
  </conditionalFormatting>
  <conditionalFormatting sqref="BB164:BB167">
    <cfRule type="cellIs" dxfId="6503" priority="1807" operator="lessThan">
      <formula>0</formula>
    </cfRule>
    <cfRule type="cellIs" dxfId="6502" priority="1808" operator="lessThan">
      <formula>-105575</formula>
    </cfRule>
  </conditionalFormatting>
  <conditionalFormatting sqref="BB164:BB167">
    <cfRule type="cellIs" dxfId="6501" priority="1805" operator="lessThan">
      <formula>0</formula>
    </cfRule>
    <cfRule type="cellIs" dxfId="6500" priority="1806" operator="lessThan">
      <formula>-105575</formula>
    </cfRule>
  </conditionalFormatting>
  <conditionalFormatting sqref="BB164:BB167">
    <cfRule type="cellIs" dxfId="6499" priority="1803" operator="lessThan">
      <formula>0</formula>
    </cfRule>
    <cfRule type="cellIs" dxfId="6498" priority="1804" operator="lessThan">
      <formula>-105575</formula>
    </cfRule>
  </conditionalFormatting>
  <conditionalFormatting sqref="BB169:BB177">
    <cfRule type="cellIs" dxfId="6497" priority="1801" operator="lessThan">
      <formula>0</formula>
    </cfRule>
    <cfRule type="cellIs" dxfId="6496" priority="1802" operator="lessThan">
      <formula>-105575</formula>
    </cfRule>
  </conditionalFormatting>
  <conditionalFormatting sqref="BB169:BB177">
    <cfRule type="cellIs" dxfId="6495" priority="1799" operator="lessThan">
      <formula>0</formula>
    </cfRule>
    <cfRule type="cellIs" dxfId="6494" priority="1800" operator="lessThan">
      <formula>-105575</formula>
    </cfRule>
  </conditionalFormatting>
  <conditionalFormatting sqref="BB169:BB177">
    <cfRule type="cellIs" dxfId="6493" priority="1797" operator="lessThan">
      <formula>0</formula>
    </cfRule>
    <cfRule type="cellIs" dxfId="6492" priority="1798" operator="lessThan">
      <formula>-105575</formula>
    </cfRule>
  </conditionalFormatting>
  <conditionalFormatting sqref="BB179:BB180">
    <cfRule type="cellIs" dxfId="6491" priority="1795" operator="lessThan">
      <formula>0</formula>
    </cfRule>
    <cfRule type="cellIs" dxfId="6490" priority="1796" operator="lessThan">
      <formula>-105575</formula>
    </cfRule>
  </conditionalFormatting>
  <conditionalFormatting sqref="BB179:BB180">
    <cfRule type="cellIs" dxfId="6489" priority="1793" operator="lessThan">
      <formula>0</formula>
    </cfRule>
    <cfRule type="cellIs" dxfId="6488" priority="1794" operator="lessThan">
      <formula>-105575</formula>
    </cfRule>
  </conditionalFormatting>
  <conditionalFormatting sqref="BB179:BB180">
    <cfRule type="cellIs" dxfId="6487" priority="1791" operator="lessThan">
      <formula>0</formula>
    </cfRule>
    <cfRule type="cellIs" dxfId="6486" priority="1792" operator="lessThan">
      <formula>-105575</formula>
    </cfRule>
  </conditionalFormatting>
  <conditionalFormatting sqref="BB183:BB189">
    <cfRule type="cellIs" dxfId="6485" priority="1789" operator="lessThan">
      <formula>0</formula>
    </cfRule>
    <cfRule type="cellIs" dxfId="6484" priority="1790" operator="lessThan">
      <formula>-105575</formula>
    </cfRule>
  </conditionalFormatting>
  <conditionalFormatting sqref="BB183:BB189">
    <cfRule type="cellIs" dxfId="6483" priority="1787" operator="lessThan">
      <formula>0</formula>
    </cfRule>
    <cfRule type="cellIs" dxfId="6482" priority="1788" operator="lessThan">
      <formula>-105575</formula>
    </cfRule>
  </conditionalFormatting>
  <conditionalFormatting sqref="BB183:BB189">
    <cfRule type="cellIs" dxfId="6481" priority="1785" operator="lessThan">
      <formula>0</formula>
    </cfRule>
    <cfRule type="cellIs" dxfId="6480" priority="1786" operator="lessThan">
      <formula>-105575</formula>
    </cfRule>
  </conditionalFormatting>
  <conditionalFormatting sqref="BB191:BB192">
    <cfRule type="cellIs" dxfId="6479" priority="1783" operator="lessThan">
      <formula>0</formula>
    </cfRule>
    <cfRule type="cellIs" dxfId="6478" priority="1784" operator="lessThan">
      <formula>-105575</formula>
    </cfRule>
  </conditionalFormatting>
  <conditionalFormatting sqref="BB191:BB192">
    <cfRule type="cellIs" dxfId="6477" priority="1781" operator="lessThan">
      <formula>0</formula>
    </cfRule>
    <cfRule type="cellIs" dxfId="6476" priority="1782" operator="lessThan">
      <formula>-105575</formula>
    </cfRule>
  </conditionalFormatting>
  <conditionalFormatting sqref="BB191:BB192">
    <cfRule type="cellIs" dxfId="6475" priority="1779" operator="lessThan">
      <formula>0</formula>
    </cfRule>
    <cfRule type="cellIs" dxfId="6474" priority="1780" operator="lessThan">
      <formula>-105575</formula>
    </cfRule>
  </conditionalFormatting>
  <conditionalFormatting sqref="BB194:BB195">
    <cfRule type="cellIs" dxfId="6473" priority="1777" operator="lessThan">
      <formula>0</formula>
    </cfRule>
    <cfRule type="cellIs" dxfId="6472" priority="1778" operator="lessThan">
      <formula>-105575</formula>
    </cfRule>
  </conditionalFormatting>
  <conditionalFormatting sqref="BB194:BB195">
    <cfRule type="cellIs" dxfId="6471" priority="1775" operator="lessThan">
      <formula>0</formula>
    </cfRule>
    <cfRule type="cellIs" dxfId="6470" priority="1776" operator="lessThan">
      <formula>-105575</formula>
    </cfRule>
  </conditionalFormatting>
  <conditionalFormatting sqref="BB194:BB195">
    <cfRule type="cellIs" dxfId="6469" priority="1773" operator="lessThan">
      <formula>0</formula>
    </cfRule>
    <cfRule type="cellIs" dxfId="6468" priority="1774" operator="lessThan">
      <formula>-105575</formula>
    </cfRule>
  </conditionalFormatting>
  <conditionalFormatting sqref="BB199:BB202">
    <cfRule type="cellIs" dxfId="6467" priority="1771" operator="lessThan">
      <formula>0</formula>
    </cfRule>
    <cfRule type="cellIs" dxfId="6466" priority="1772" operator="lessThan">
      <formula>-105575</formula>
    </cfRule>
  </conditionalFormatting>
  <conditionalFormatting sqref="BB199:BB202">
    <cfRule type="cellIs" dxfId="6465" priority="1769" operator="lessThan">
      <formula>0</formula>
    </cfRule>
    <cfRule type="cellIs" dxfId="6464" priority="1770" operator="lessThan">
      <formula>-105575</formula>
    </cfRule>
  </conditionalFormatting>
  <conditionalFormatting sqref="BB199:BB202">
    <cfRule type="cellIs" dxfId="6463" priority="1767" operator="lessThan">
      <formula>0</formula>
    </cfRule>
    <cfRule type="cellIs" dxfId="6462" priority="1768" operator="lessThan">
      <formula>-105575</formula>
    </cfRule>
  </conditionalFormatting>
  <conditionalFormatting sqref="BB204:BB208">
    <cfRule type="cellIs" dxfId="6461" priority="1765" operator="lessThan">
      <formula>0</formula>
    </cfRule>
    <cfRule type="cellIs" dxfId="6460" priority="1766" operator="lessThan">
      <formula>-105575</formula>
    </cfRule>
  </conditionalFormatting>
  <conditionalFormatting sqref="BB204:BB208">
    <cfRule type="cellIs" dxfId="6459" priority="1763" operator="lessThan">
      <formula>0</formula>
    </cfRule>
    <cfRule type="cellIs" dxfId="6458" priority="1764" operator="lessThan">
      <formula>-105575</formula>
    </cfRule>
  </conditionalFormatting>
  <conditionalFormatting sqref="BB204:BB208">
    <cfRule type="cellIs" dxfId="6457" priority="1761" operator="lessThan">
      <formula>0</formula>
    </cfRule>
    <cfRule type="cellIs" dxfId="6456" priority="1762" operator="lessThan">
      <formula>-105575</formula>
    </cfRule>
  </conditionalFormatting>
  <conditionalFormatting sqref="BB210:BB211">
    <cfRule type="cellIs" dxfId="6455" priority="1759" operator="lessThan">
      <formula>0</formula>
    </cfRule>
    <cfRule type="cellIs" dxfId="6454" priority="1760" operator="lessThan">
      <formula>-105575</formula>
    </cfRule>
  </conditionalFormatting>
  <conditionalFormatting sqref="BB210:BB211">
    <cfRule type="cellIs" dxfId="6453" priority="1757" operator="lessThan">
      <formula>0</formula>
    </cfRule>
    <cfRule type="cellIs" dxfId="6452" priority="1758" operator="lessThan">
      <formula>-105575</formula>
    </cfRule>
  </conditionalFormatting>
  <conditionalFormatting sqref="BB210:BB211">
    <cfRule type="cellIs" dxfId="6451" priority="1755" operator="lessThan">
      <formula>0</formula>
    </cfRule>
    <cfRule type="cellIs" dxfId="6450" priority="1756" operator="lessThan">
      <formula>-105575</formula>
    </cfRule>
  </conditionalFormatting>
  <conditionalFormatting sqref="BB214:BB219">
    <cfRule type="cellIs" dxfId="6449" priority="1753" operator="lessThan">
      <formula>0</formula>
    </cfRule>
    <cfRule type="cellIs" dxfId="6448" priority="1754" operator="lessThan">
      <formula>-105575</formula>
    </cfRule>
  </conditionalFormatting>
  <conditionalFormatting sqref="BB214:BB219">
    <cfRule type="cellIs" dxfId="6447" priority="1751" operator="lessThan">
      <formula>0</formula>
    </cfRule>
    <cfRule type="cellIs" dxfId="6446" priority="1752" operator="lessThan">
      <formula>-105575</formula>
    </cfRule>
  </conditionalFormatting>
  <conditionalFormatting sqref="BB214:BB219">
    <cfRule type="cellIs" dxfId="6445" priority="1749" operator="lessThan">
      <formula>0</formula>
    </cfRule>
    <cfRule type="cellIs" dxfId="6444" priority="1750" operator="lessThan">
      <formula>-105575</formula>
    </cfRule>
  </conditionalFormatting>
  <conditionalFormatting sqref="BB222:BB224">
    <cfRule type="cellIs" dxfId="6443" priority="1747" operator="lessThan">
      <formula>0</formula>
    </cfRule>
    <cfRule type="cellIs" dxfId="6442" priority="1748" operator="lessThan">
      <formula>-105575</formula>
    </cfRule>
  </conditionalFormatting>
  <conditionalFormatting sqref="BB222:BB224">
    <cfRule type="cellIs" dxfId="6441" priority="1745" operator="lessThan">
      <formula>0</formula>
    </cfRule>
    <cfRule type="cellIs" dxfId="6440" priority="1746" operator="lessThan">
      <formula>-105575</formula>
    </cfRule>
  </conditionalFormatting>
  <conditionalFormatting sqref="BB222:BB224">
    <cfRule type="cellIs" dxfId="6439" priority="1743" operator="lessThan">
      <formula>0</formula>
    </cfRule>
    <cfRule type="cellIs" dxfId="6438" priority="1744" operator="lessThan">
      <formula>-105575</formula>
    </cfRule>
  </conditionalFormatting>
  <conditionalFormatting sqref="BB227:BB230">
    <cfRule type="cellIs" dxfId="6437" priority="1741" operator="lessThan">
      <formula>0</formula>
    </cfRule>
    <cfRule type="cellIs" dxfId="6436" priority="1742" operator="lessThan">
      <formula>-105575</formula>
    </cfRule>
  </conditionalFormatting>
  <conditionalFormatting sqref="BB227:BB230">
    <cfRule type="cellIs" dxfId="6435" priority="1739" operator="lessThan">
      <formula>0</formula>
    </cfRule>
    <cfRule type="cellIs" dxfId="6434" priority="1740" operator="lessThan">
      <formula>-105575</formula>
    </cfRule>
  </conditionalFormatting>
  <conditionalFormatting sqref="BB227:BB230">
    <cfRule type="cellIs" dxfId="6433" priority="1737" operator="lessThan">
      <formula>0</formula>
    </cfRule>
    <cfRule type="cellIs" dxfId="6432" priority="1738" operator="lessThan">
      <formula>-105575</formula>
    </cfRule>
  </conditionalFormatting>
  <conditionalFormatting sqref="BB246:BB249">
    <cfRule type="cellIs" dxfId="6431" priority="1735" operator="lessThan">
      <formula>0</formula>
    </cfRule>
    <cfRule type="cellIs" dxfId="6430" priority="1736" operator="lessThan">
      <formula>-105575</formula>
    </cfRule>
  </conditionalFormatting>
  <conditionalFormatting sqref="BB246:BB249">
    <cfRule type="cellIs" dxfId="6429" priority="1733" operator="lessThan">
      <formula>0</formula>
    </cfRule>
    <cfRule type="cellIs" dxfId="6428" priority="1734" operator="lessThan">
      <formula>-105575</formula>
    </cfRule>
  </conditionalFormatting>
  <conditionalFormatting sqref="BB246:BB249">
    <cfRule type="cellIs" dxfId="6427" priority="1731" operator="lessThan">
      <formula>0</formula>
    </cfRule>
    <cfRule type="cellIs" dxfId="6426" priority="1732" operator="lessThan">
      <formula>-105575</formula>
    </cfRule>
  </conditionalFormatting>
  <conditionalFormatting sqref="BB246:BB249">
    <cfRule type="cellIs" dxfId="6425" priority="1729" operator="lessThan">
      <formula>0</formula>
    </cfRule>
    <cfRule type="cellIs" dxfId="6424" priority="1730" operator="lessThan">
      <formula>-105575</formula>
    </cfRule>
  </conditionalFormatting>
  <conditionalFormatting sqref="BB246:BB249">
    <cfRule type="cellIs" dxfId="6423" priority="1727" operator="lessThan">
      <formula>0</formula>
    </cfRule>
    <cfRule type="cellIs" dxfId="6422" priority="1728" operator="lessThan">
      <formula>-105575</formula>
    </cfRule>
  </conditionalFormatting>
  <conditionalFormatting sqref="BB246:BB249">
    <cfRule type="cellIs" dxfId="6421" priority="1725" operator="lessThan">
      <formula>0</formula>
    </cfRule>
    <cfRule type="cellIs" dxfId="6420" priority="1726" operator="lessThan">
      <formula>-105575</formula>
    </cfRule>
  </conditionalFormatting>
  <conditionalFormatting sqref="BB246:BB249">
    <cfRule type="cellIs" dxfId="6419" priority="1723" operator="lessThan">
      <formula>0</formula>
    </cfRule>
    <cfRule type="cellIs" dxfId="6418" priority="1724" operator="lessThan">
      <formula>-105575</formula>
    </cfRule>
  </conditionalFormatting>
  <conditionalFormatting sqref="BB246:BB249">
    <cfRule type="cellIs" dxfId="6417" priority="1721" operator="lessThan">
      <formula>0</formula>
    </cfRule>
    <cfRule type="cellIs" dxfId="6416" priority="1722" operator="lessThan">
      <formula>-105575</formula>
    </cfRule>
  </conditionalFormatting>
  <conditionalFormatting sqref="BB246:BB249">
    <cfRule type="cellIs" dxfId="6415" priority="1719" operator="lessThan">
      <formula>0</formula>
    </cfRule>
    <cfRule type="cellIs" dxfId="6414" priority="1720" operator="lessThan">
      <formula>-105575</formula>
    </cfRule>
  </conditionalFormatting>
  <conditionalFormatting sqref="BB251:BB253">
    <cfRule type="cellIs" dxfId="6413" priority="1717" operator="lessThan">
      <formula>0</formula>
    </cfRule>
    <cfRule type="cellIs" dxfId="6412" priority="1718" operator="lessThan">
      <formula>-105575</formula>
    </cfRule>
  </conditionalFormatting>
  <conditionalFormatting sqref="BB251:BB253">
    <cfRule type="cellIs" dxfId="6411" priority="1715" operator="lessThan">
      <formula>0</formula>
    </cfRule>
    <cfRule type="cellIs" dxfId="6410" priority="1716" operator="lessThan">
      <formula>-105575</formula>
    </cfRule>
  </conditionalFormatting>
  <conditionalFormatting sqref="BB251:BB253">
    <cfRule type="cellIs" dxfId="6409" priority="1713" operator="lessThan">
      <formula>0</formula>
    </cfRule>
    <cfRule type="cellIs" dxfId="6408" priority="1714" operator="lessThan">
      <formula>-105575</formula>
    </cfRule>
  </conditionalFormatting>
  <conditionalFormatting sqref="BB251:BB253">
    <cfRule type="cellIs" dxfId="6407" priority="1711" operator="lessThan">
      <formula>0</formula>
    </cfRule>
    <cfRule type="cellIs" dxfId="6406" priority="1712" operator="lessThan">
      <formula>-105575</formula>
    </cfRule>
  </conditionalFormatting>
  <conditionalFormatting sqref="BB251:BB253">
    <cfRule type="cellIs" dxfId="6405" priority="1709" operator="lessThan">
      <formula>0</formula>
    </cfRule>
    <cfRule type="cellIs" dxfId="6404" priority="1710" operator="lessThan">
      <formula>-105575</formula>
    </cfRule>
  </conditionalFormatting>
  <conditionalFormatting sqref="BB251:BB253">
    <cfRule type="cellIs" dxfId="6403" priority="1707" operator="lessThan">
      <formula>0</formula>
    </cfRule>
    <cfRule type="cellIs" dxfId="6402" priority="1708" operator="lessThan">
      <formula>-105575</formula>
    </cfRule>
  </conditionalFormatting>
  <conditionalFormatting sqref="BB251:BB253">
    <cfRule type="cellIs" dxfId="6401" priority="1705" operator="lessThan">
      <formula>0</formula>
    </cfRule>
    <cfRule type="cellIs" dxfId="6400" priority="1706" operator="lessThan">
      <formula>-105575</formula>
    </cfRule>
  </conditionalFormatting>
  <conditionalFormatting sqref="BB251:BB253">
    <cfRule type="cellIs" dxfId="6399" priority="1703" operator="lessThan">
      <formula>0</formula>
    </cfRule>
    <cfRule type="cellIs" dxfId="6398" priority="1704" operator="lessThan">
      <formula>-105575</formula>
    </cfRule>
  </conditionalFormatting>
  <conditionalFormatting sqref="BB251:BB253">
    <cfRule type="cellIs" dxfId="6397" priority="1701" operator="lessThan">
      <formula>0</formula>
    </cfRule>
    <cfRule type="cellIs" dxfId="6396" priority="1702" operator="lessThan">
      <formula>-105575</formula>
    </cfRule>
  </conditionalFormatting>
  <conditionalFormatting sqref="BB255:BB257">
    <cfRule type="cellIs" dxfId="6395" priority="1699" operator="lessThan">
      <formula>0</formula>
    </cfRule>
    <cfRule type="cellIs" dxfId="6394" priority="1700" operator="lessThan">
      <formula>-105575</formula>
    </cfRule>
  </conditionalFormatting>
  <conditionalFormatting sqref="BB255:BB257">
    <cfRule type="cellIs" dxfId="6393" priority="1697" operator="lessThan">
      <formula>0</formula>
    </cfRule>
    <cfRule type="cellIs" dxfId="6392" priority="1698" operator="lessThan">
      <formula>-105575</formula>
    </cfRule>
  </conditionalFormatting>
  <conditionalFormatting sqref="BB255:BB257">
    <cfRule type="cellIs" dxfId="6391" priority="1695" operator="lessThan">
      <formula>0</formula>
    </cfRule>
    <cfRule type="cellIs" dxfId="6390" priority="1696" operator="lessThan">
      <formula>-105575</formula>
    </cfRule>
  </conditionalFormatting>
  <conditionalFormatting sqref="BB255:BB257">
    <cfRule type="cellIs" dxfId="6389" priority="1693" operator="lessThan">
      <formula>0</formula>
    </cfRule>
    <cfRule type="cellIs" dxfId="6388" priority="1694" operator="lessThan">
      <formula>-105575</formula>
    </cfRule>
  </conditionalFormatting>
  <conditionalFormatting sqref="BB255:BB257">
    <cfRule type="cellIs" dxfId="6387" priority="1691" operator="lessThan">
      <formula>0</formula>
    </cfRule>
    <cfRule type="cellIs" dxfId="6386" priority="1692" operator="lessThan">
      <formula>-105575</formula>
    </cfRule>
  </conditionalFormatting>
  <conditionalFormatting sqref="BB255:BB257">
    <cfRule type="cellIs" dxfId="6385" priority="1689" operator="lessThan">
      <formula>0</formula>
    </cfRule>
    <cfRule type="cellIs" dxfId="6384" priority="1690" operator="lessThan">
      <formula>-105575</formula>
    </cfRule>
  </conditionalFormatting>
  <conditionalFormatting sqref="BB255:BB257">
    <cfRule type="cellIs" dxfId="6383" priority="1687" operator="lessThan">
      <formula>0</formula>
    </cfRule>
    <cfRule type="cellIs" dxfId="6382" priority="1688" operator="lessThan">
      <formula>-105575</formula>
    </cfRule>
  </conditionalFormatting>
  <conditionalFormatting sqref="BB255:BB257">
    <cfRule type="cellIs" dxfId="6381" priority="1685" operator="lessThan">
      <formula>0</formula>
    </cfRule>
    <cfRule type="cellIs" dxfId="6380" priority="1686" operator="lessThan">
      <formula>-105575</formula>
    </cfRule>
  </conditionalFormatting>
  <conditionalFormatting sqref="BB255:BB257">
    <cfRule type="cellIs" dxfId="6379" priority="1683" operator="lessThan">
      <formula>0</formula>
    </cfRule>
    <cfRule type="cellIs" dxfId="6378" priority="1684" operator="lessThan">
      <formula>-105575</formula>
    </cfRule>
  </conditionalFormatting>
  <conditionalFormatting sqref="BB260:BB262">
    <cfRule type="cellIs" dxfId="6377" priority="1681" operator="lessThan">
      <formula>0</formula>
    </cfRule>
    <cfRule type="cellIs" dxfId="6376" priority="1682" operator="lessThan">
      <formula>-105575</formula>
    </cfRule>
  </conditionalFormatting>
  <conditionalFormatting sqref="BB260:BB262">
    <cfRule type="cellIs" dxfId="6375" priority="1679" operator="lessThan">
      <formula>0</formula>
    </cfRule>
    <cfRule type="cellIs" dxfId="6374" priority="1680" operator="lessThan">
      <formula>-105575</formula>
    </cfRule>
  </conditionalFormatting>
  <conditionalFormatting sqref="BB260:BB262">
    <cfRule type="cellIs" dxfId="6373" priority="1677" operator="lessThan">
      <formula>0</formula>
    </cfRule>
    <cfRule type="cellIs" dxfId="6372" priority="1678" operator="lessThan">
      <formula>-105575</formula>
    </cfRule>
  </conditionalFormatting>
  <conditionalFormatting sqref="BB260:BB262">
    <cfRule type="cellIs" dxfId="6371" priority="1675" operator="lessThan">
      <formula>0</formula>
    </cfRule>
    <cfRule type="cellIs" dxfId="6370" priority="1676" operator="lessThan">
      <formula>-105575</formula>
    </cfRule>
  </conditionalFormatting>
  <conditionalFormatting sqref="BB260:BB262">
    <cfRule type="cellIs" dxfId="6369" priority="1673" operator="lessThan">
      <formula>0</formula>
    </cfRule>
    <cfRule type="cellIs" dxfId="6368" priority="1674" operator="lessThan">
      <formula>-105575</formula>
    </cfRule>
  </conditionalFormatting>
  <conditionalFormatting sqref="BB260:BB262">
    <cfRule type="cellIs" dxfId="6367" priority="1671" operator="lessThan">
      <formula>0</formula>
    </cfRule>
    <cfRule type="cellIs" dxfId="6366" priority="1672" operator="lessThan">
      <formula>-105575</formula>
    </cfRule>
  </conditionalFormatting>
  <conditionalFormatting sqref="BB260:BB262">
    <cfRule type="cellIs" dxfId="6365" priority="1669" operator="lessThan">
      <formula>0</formula>
    </cfRule>
    <cfRule type="cellIs" dxfId="6364" priority="1670" operator="lessThan">
      <formula>-105575</formula>
    </cfRule>
  </conditionalFormatting>
  <conditionalFormatting sqref="BB260:BB262">
    <cfRule type="cellIs" dxfId="6363" priority="1667" operator="lessThan">
      <formula>0</formula>
    </cfRule>
    <cfRule type="cellIs" dxfId="6362" priority="1668" operator="lessThan">
      <formula>-105575</formula>
    </cfRule>
  </conditionalFormatting>
  <conditionalFormatting sqref="BB260:BB262">
    <cfRule type="cellIs" dxfId="6361" priority="1665" operator="lessThan">
      <formula>0</formula>
    </cfRule>
    <cfRule type="cellIs" dxfId="6360" priority="1666" operator="lessThan">
      <formula>-105575</formula>
    </cfRule>
  </conditionalFormatting>
  <conditionalFormatting sqref="BB264:BB267">
    <cfRule type="cellIs" dxfId="6359" priority="1663" operator="lessThan">
      <formula>0</formula>
    </cfRule>
    <cfRule type="cellIs" dxfId="6358" priority="1664" operator="lessThan">
      <formula>-105575</formula>
    </cfRule>
  </conditionalFormatting>
  <conditionalFormatting sqref="BB264:BB267">
    <cfRule type="cellIs" dxfId="6357" priority="1661" operator="lessThan">
      <formula>0</formula>
    </cfRule>
    <cfRule type="cellIs" dxfId="6356" priority="1662" operator="lessThan">
      <formula>-105575</formula>
    </cfRule>
  </conditionalFormatting>
  <conditionalFormatting sqref="BB264:BB267">
    <cfRule type="cellIs" dxfId="6355" priority="1659" operator="lessThan">
      <formula>0</formula>
    </cfRule>
    <cfRule type="cellIs" dxfId="6354" priority="1660" operator="lessThan">
      <formula>-105575</formula>
    </cfRule>
  </conditionalFormatting>
  <conditionalFormatting sqref="BB264:BB267">
    <cfRule type="cellIs" dxfId="6353" priority="1657" operator="lessThan">
      <formula>0</formula>
    </cfRule>
    <cfRule type="cellIs" dxfId="6352" priority="1658" operator="lessThan">
      <formula>-105575</formula>
    </cfRule>
  </conditionalFormatting>
  <conditionalFormatting sqref="BB264:BB267">
    <cfRule type="cellIs" dxfId="6351" priority="1655" operator="lessThan">
      <formula>0</formula>
    </cfRule>
    <cfRule type="cellIs" dxfId="6350" priority="1656" operator="lessThan">
      <formula>-105575</formula>
    </cfRule>
  </conditionalFormatting>
  <conditionalFormatting sqref="BB264:BB267">
    <cfRule type="cellIs" dxfId="6349" priority="1653" operator="lessThan">
      <formula>0</formula>
    </cfRule>
    <cfRule type="cellIs" dxfId="6348" priority="1654" operator="lessThan">
      <formula>-105575</formula>
    </cfRule>
  </conditionalFormatting>
  <conditionalFormatting sqref="BB264:BB267">
    <cfRule type="cellIs" dxfId="6347" priority="1651" operator="lessThan">
      <formula>0</formula>
    </cfRule>
    <cfRule type="cellIs" dxfId="6346" priority="1652" operator="lessThan">
      <formula>-105575</formula>
    </cfRule>
  </conditionalFormatting>
  <conditionalFormatting sqref="BB264:BB267">
    <cfRule type="cellIs" dxfId="6345" priority="1649" operator="lessThan">
      <formula>0</formula>
    </cfRule>
    <cfRule type="cellIs" dxfId="6344" priority="1650" operator="lessThan">
      <formula>-105575</formula>
    </cfRule>
  </conditionalFormatting>
  <conditionalFormatting sqref="BB264:BB267">
    <cfRule type="cellIs" dxfId="6343" priority="1647" operator="lessThan">
      <formula>0</formula>
    </cfRule>
    <cfRule type="cellIs" dxfId="6342" priority="1648" operator="lessThan">
      <formula>-105575</formula>
    </cfRule>
  </conditionalFormatting>
  <conditionalFormatting sqref="BB270:BB272">
    <cfRule type="cellIs" dxfId="6341" priority="1645" operator="lessThan">
      <formula>0</formula>
    </cfRule>
    <cfRule type="cellIs" dxfId="6340" priority="1646" operator="lessThan">
      <formula>-105575</formula>
    </cfRule>
  </conditionalFormatting>
  <conditionalFormatting sqref="BB270:BB272">
    <cfRule type="cellIs" dxfId="6339" priority="1643" operator="lessThan">
      <formula>0</formula>
    </cfRule>
    <cfRule type="cellIs" dxfId="6338" priority="1644" operator="lessThan">
      <formula>-105575</formula>
    </cfRule>
  </conditionalFormatting>
  <conditionalFormatting sqref="BB270:BB272">
    <cfRule type="cellIs" dxfId="6337" priority="1641" operator="lessThan">
      <formula>0</formula>
    </cfRule>
    <cfRule type="cellIs" dxfId="6336" priority="1642" operator="lessThan">
      <formula>-105575</formula>
    </cfRule>
  </conditionalFormatting>
  <conditionalFormatting sqref="BB270:BB272">
    <cfRule type="cellIs" dxfId="6335" priority="1639" operator="lessThan">
      <formula>0</formula>
    </cfRule>
    <cfRule type="cellIs" dxfId="6334" priority="1640" operator="lessThan">
      <formula>-105575</formula>
    </cfRule>
  </conditionalFormatting>
  <conditionalFormatting sqref="BB270:BB272">
    <cfRule type="cellIs" dxfId="6333" priority="1637" operator="lessThan">
      <formula>0</formula>
    </cfRule>
    <cfRule type="cellIs" dxfId="6332" priority="1638" operator="lessThan">
      <formula>-105575</formula>
    </cfRule>
  </conditionalFormatting>
  <conditionalFormatting sqref="BB270:BB272">
    <cfRule type="cellIs" dxfId="6331" priority="1635" operator="lessThan">
      <formula>0</formula>
    </cfRule>
    <cfRule type="cellIs" dxfId="6330" priority="1636" operator="lessThan">
      <formula>-105575</formula>
    </cfRule>
  </conditionalFormatting>
  <conditionalFormatting sqref="BB270:BB272">
    <cfRule type="cellIs" dxfId="6329" priority="1633" operator="lessThan">
      <formula>0</formula>
    </cfRule>
    <cfRule type="cellIs" dxfId="6328" priority="1634" operator="lessThan">
      <formula>-105575</formula>
    </cfRule>
  </conditionalFormatting>
  <conditionalFormatting sqref="BB270:BB272">
    <cfRule type="cellIs" dxfId="6327" priority="1631" operator="lessThan">
      <formula>0</formula>
    </cfRule>
    <cfRule type="cellIs" dxfId="6326" priority="1632" operator="lessThan">
      <formula>-105575</formula>
    </cfRule>
  </conditionalFormatting>
  <conditionalFormatting sqref="BB270:BB272">
    <cfRule type="cellIs" dxfId="6325" priority="1629" operator="lessThan">
      <formula>0</formula>
    </cfRule>
    <cfRule type="cellIs" dxfId="6324" priority="1630" operator="lessThan">
      <formula>-105575</formula>
    </cfRule>
  </conditionalFormatting>
  <conditionalFormatting sqref="BB274:BB275">
    <cfRule type="cellIs" dxfId="6323" priority="1627" operator="lessThan">
      <formula>0</formula>
    </cfRule>
    <cfRule type="cellIs" dxfId="6322" priority="1628" operator="lessThan">
      <formula>-105575</formula>
    </cfRule>
  </conditionalFormatting>
  <conditionalFormatting sqref="BB274:BB275">
    <cfRule type="cellIs" dxfId="6321" priority="1625" operator="lessThan">
      <formula>0</formula>
    </cfRule>
    <cfRule type="cellIs" dxfId="6320" priority="1626" operator="lessThan">
      <formula>-105575</formula>
    </cfRule>
  </conditionalFormatting>
  <conditionalFormatting sqref="BB274:BB275">
    <cfRule type="cellIs" dxfId="6319" priority="1623" operator="lessThan">
      <formula>0</formula>
    </cfRule>
    <cfRule type="cellIs" dxfId="6318" priority="1624" operator="lessThan">
      <formula>-105575</formula>
    </cfRule>
  </conditionalFormatting>
  <conditionalFormatting sqref="BB274:BB275">
    <cfRule type="cellIs" dxfId="6317" priority="1621" operator="lessThan">
      <formula>0</formula>
    </cfRule>
    <cfRule type="cellIs" dxfId="6316" priority="1622" operator="lessThan">
      <formula>-105575</formula>
    </cfRule>
  </conditionalFormatting>
  <conditionalFormatting sqref="BB274:BB275">
    <cfRule type="cellIs" dxfId="6315" priority="1619" operator="lessThan">
      <formula>0</formula>
    </cfRule>
    <cfRule type="cellIs" dxfId="6314" priority="1620" operator="lessThan">
      <formula>-105575</formula>
    </cfRule>
  </conditionalFormatting>
  <conditionalFormatting sqref="BB274:BB275">
    <cfRule type="cellIs" dxfId="6313" priority="1617" operator="lessThan">
      <formula>0</formula>
    </cfRule>
    <cfRule type="cellIs" dxfId="6312" priority="1618" operator="lessThan">
      <formula>-105575</formula>
    </cfRule>
  </conditionalFormatting>
  <conditionalFormatting sqref="BB274:BB275">
    <cfRule type="cellIs" dxfId="6311" priority="1615" operator="lessThan">
      <formula>0</formula>
    </cfRule>
    <cfRule type="cellIs" dxfId="6310" priority="1616" operator="lessThan">
      <formula>-105575</formula>
    </cfRule>
  </conditionalFormatting>
  <conditionalFormatting sqref="BB274:BB275">
    <cfRule type="cellIs" dxfId="6309" priority="1613" operator="lessThan">
      <formula>0</formula>
    </cfRule>
    <cfRule type="cellIs" dxfId="6308" priority="1614" operator="lessThan">
      <formula>-105575</formula>
    </cfRule>
  </conditionalFormatting>
  <conditionalFormatting sqref="BB274:BB275">
    <cfRule type="cellIs" dxfId="6307" priority="1611" operator="lessThan">
      <formula>0</formula>
    </cfRule>
    <cfRule type="cellIs" dxfId="6306" priority="1612" operator="lessThan">
      <formula>-105575</formula>
    </cfRule>
  </conditionalFormatting>
  <conditionalFormatting sqref="BB278:BB282">
    <cfRule type="cellIs" dxfId="6305" priority="1609" operator="lessThan">
      <formula>0</formula>
    </cfRule>
    <cfRule type="cellIs" dxfId="6304" priority="1610" operator="lessThan">
      <formula>-105575</formula>
    </cfRule>
  </conditionalFormatting>
  <conditionalFormatting sqref="BB278:BB282">
    <cfRule type="cellIs" dxfId="6303" priority="1607" operator="lessThan">
      <formula>0</formula>
    </cfRule>
    <cfRule type="cellIs" dxfId="6302" priority="1608" operator="lessThan">
      <formula>-105575</formula>
    </cfRule>
  </conditionalFormatting>
  <conditionalFormatting sqref="BB278:BB282">
    <cfRule type="cellIs" dxfId="6301" priority="1605" operator="lessThan">
      <formula>0</formula>
    </cfRule>
    <cfRule type="cellIs" dxfId="6300" priority="1606" operator="lessThan">
      <formula>-105575</formula>
    </cfRule>
  </conditionalFormatting>
  <conditionalFormatting sqref="BB278:BB282">
    <cfRule type="cellIs" dxfId="6299" priority="1603" operator="lessThan">
      <formula>0</formula>
    </cfRule>
    <cfRule type="cellIs" dxfId="6298" priority="1604" operator="lessThan">
      <formula>-105575</formula>
    </cfRule>
  </conditionalFormatting>
  <conditionalFormatting sqref="BB278:BB282">
    <cfRule type="cellIs" dxfId="6297" priority="1601" operator="lessThan">
      <formula>0</formula>
    </cfRule>
    <cfRule type="cellIs" dxfId="6296" priority="1602" operator="lessThan">
      <formula>-105575</formula>
    </cfRule>
  </conditionalFormatting>
  <conditionalFormatting sqref="BB278:BB282">
    <cfRule type="cellIs" dxfId="6295" priority="1599" operator="lessThan">
      <formula>0</formula>
    </cfRule>
    <cfRule type="cellIs" dxfId="6294" priority="1600" operator="lessThan">
      <formula>-105575</formula>
    </cfRule>
  </conditionalFormatting>
  <conditionalFormatting sqref="BB278:BB282">
    <cfRule type="cellIs" dxfId="6293" priority="1597" operator="lessThan">
      <formula>0</formula>
    </cfRule>
    <cfRule type="cellIs" dxfId="6292" priority="1598" operator="lessThan">
      <formula>-105575</formula>
    </cfRule>
  </conditionalFormatting>
  <conditionalFormatting sqref="BB278:BB282">
    <cfRule type="cellIs" dxfId="6291" priority="1595" operator="lessThan">
      <formula>0</formula>
    </cfRule>
    <cfRule type="cellIs" dxfId="6290" priority="1596" operator="lessThan">
      <formula>-105575</formula>
    </cfRule>
  </conditionalFormatting>
  <conditionalFormatting sqref="BB278:BB282">
    <cfRule type="cellIs" dxfId="6289" priority="1593" operator="lessThan">
      <formula>0</formula>
    </cfRule>
    <cfRule type="cellIs" dxfId="6288" priority="1594" operator="lessThan">
      <formula>-105575</formula>
    </cfRule>
  </conditionalFormatting>
  <conditionalFormatting sqref="BB285:BB288">
    <cfRule type="cellIs" dxfId="6287" priority="1591" operator="lessThan">
      <formula>0</formula>
    </cfRule>
    <cfRule type="cellIs" dxfId="6286" priority="1592" operator="lessThan">
      <formula>-105575</formula>
    </cfRule>
  </conditionalFormatting>
  <conditionalFormatting sqref="BB285:BB288">
    <cfRule type="cellIs" dxfId="6285" priority="1589" operator="lessThan">
      <formula>0</formula>
    </cfRule>
    <cfRule type="cellIs" dxfId="6284" priority="1590" operator="lessThan">
      <formula>-105575</formula>
    </cfRule>
  </conditionalFormatting>
  <conditionalFormatting sqref="BB285:BB288">
    <cfRule type="cellIs" dxfId="6283" priority="1587" operator="lessThan">
      <formula>0</formula>
    </cfRule>
    <cfRule type="cellIs" dxfId="6282" priority="1588" operator="lessThan">
      <formula>-105575</formula>
    </cfRule>
  </conditionalFormatting>
  <conditionalFormatting sqref="BB285:BB288">
    <cfRule type="cellIs" dxfId="6281" priority="1585" operator="lessThan">
      <formula>0</formula>
    </cfRule>
    <cfRule type="cellIs" dxfId="6280" priority="1586" operator="lessThan">
      <formula>-105575</formula>
    </cfRule>
  </conditionalFormatting>
  <conditionalFormatting sqref="BB285:BB288">
    <cfRule type="cellIs" dxfId="6279" priority="1583" operator="lessThan">
      <formula>0</formula>
    </cfRule>
    <cfRule type="cellIs" dxfId="6278" priority="1584" operator="lessThan">
      <formula>-105575</formula>
    </cfRule>
  </conditionalFormatting>
  <conditionalFormatting sqref="BB285:BB288">
    <cfRule type="cellIs" dxfId="6277" priority="1581" operator="lessThan">
      <formula>0</formula>
    </cfRule>
    <cfRule type="cellIs" dxfId="6276" priority="1582" operator="lessThan">
      <formula>-105575</formula>
    </cfRule>
  </conditionalFormatting>
  <conditionalFormatting sqref="BB285:BB288">
    <cfRule type="cellIs" dxfId="6275" priority="1579" operator="lessThan">
      <formula>0</formula>
    </cfRule>
    <cfRule type="cellIs" dxfId="6274" priority="1580" operator="lessThan">
      <formula>-105575</formula>
    </cfRule>
  </conditionalFormatting>
  <conditionalFormatting sqref="BB285:BB288">
    <cfRule type="cellIs" dxfId="6273" priority="1577" operator="lessThan">
      <formula>0</formula>
    </cfRule>
    <cfRule type="cellIs" dxfId="6272" priority="1578" operator="lessThan">
      <formula>-105575</formula>
    </cfRule>
  </conditionalFormatting>
  <conditionalFormatting sqref="BB285:BB288">
    <cfRule type="cellIs" dxfId="6271" priority="1575" operator="lessThan">
      <formula>0</formula>
    </cfRule>
    <cfRule type="cellIs" dxfId="6270" priority="1576" operator="lessThan">
      <formula>-105575</formula>
    </cfRule>
  </conditionalFormatting>
  <conditionalFormatting sqref="BB203 BB220:BB221 BB235:BB243 BB231:BB233 BB212:BB213 BB225:BB226">
    <cfRule type="cellIs" dxfId="6269" priority="1573" operator="lessThan">
      <formula>0</formula>
    </cfRule>
    <cfRule type="cellIs" dxfId="6268" priority="1574" operator="lessThan">
      <formula>-105575</formula>
    </cfRule>
  </conditionalFormatting>
  <conditionalFormatting sqref="BB220 BB212:BB213 BB235:BB238 BB240:BB243 BB225:BB226 BB231:BB233">
    <cfRule type="cellIs" dxfId="6267" priority="1571" operator="lessThan">
      <formula>0</formula>
    </cfRule>
    <cfRule type="cellIs" dxfId="6266" priority="1572" operator="lessThan">
      <formula>-105575</formula>
    </cfRule>
  </conditionalFormatting>
  <conditionalFormatting sqref="BB220:BB221 BB243 BB226 BB231:BB236 BB238:BB241 BB203 BB213">
    <cfRule type="cellIs" dxfId="6265" priority="1569" operator="lessThan">
      <formula>0</formula>
    </cfRule>
    <cfRule type="cellIs" dxfId="6264" priority="1570" operator="lessThan">
      <formula>-105575</formula>
    </cfRule>
  </conditionalFormatting>
  <conditionalFormatting sqref="BB235:BB243 BB231:BB233 BB220 BB212:BB213 BB225:BB226">
    <cfRule type="cellIs" dxfId="6263" priority="1567" operator="lessThan">
      <formula>0</formula>
    </cfRule>
    <cfRule type="cellIs" dxfId="6262" priority="1568" operator="lessThan">
      <formula>-105575</formula>
    </cfRule>
  </conditionalFormatting>
  <conditionalFormatting sqref="BB220:BB221 BB237:BB243 BB203 BB231:BB235 BB212:BB213 BB225:BB226">
    <cfRule type="cellIs" dxfId="6261" priority="1565" operator="lessThan">
      <formula>0</formula>
    </cfRule>
    <cfRule type="cellIs" dxfId="6260" priority="1566" operator="lessThan">
      <formula>-105575</formula>
    </cfRule>
  </conditionalFormatting>
  <conditionalFormatting sqref="BB220:BB221 BB237:BB240 BB242:BB243 BB225:BB226 BB231:BB235">
    <cfRule type="cellIs" dxfId="6259" priority="1563" operator="lessThan">
      <formula>0</formula>
    </cfRule>
    <cfRule type="cellIs" dxfId="6258" priority="1564" operator="lessThan">
      <formula>-105575</formula>
    </cfRule>
  </conditionalFormatting>
  <conditionalFormatting sqref="BB212 BB231 BB233:BB238 BB240:BB243 BB225">
    <cfRule type="cellIs" dxfId="6257" priority="1561" operator="lessThan">
      <formula>0</formula>
    </cfRule>
    <cfRule type="cellIs" dxfId="6256" priority="1562" operator="lessThan">
      <formula>-105575</formula>
    </cfRule>
  </conditionalFormatting>
  <conditionalFormatting sqref="BB237:BB243 BB231:BB235 BB220:BB221 BB225:BB226">
    <cfRule type="cellIs" dxfId="6255" priority="1559" operator="lessThan">
      <formula>0</formula>
    </cfRule>
    <cfRule type="cellIs" dxfId="6254" priority="1560" operator="lessThan">
      <formula>-105575</formula>
    </cfRule>
  </conditionalFormatting>
  <conditionalFormatting sqref="BB233:BB237 BB231 BB239:BB243">
    <cfRule type="cellIs" dxfId="6253" priority="1557" operator="lessThan">
      <formula>0</formula>
    </cfRule>
    <cfRule type="cellIs" dxfId="6252" priority="1558" operator="lessThan">
      <formula>-105575</formula>
    </cfRule>
  </conditionalFormatting>
  <conditionalFormatting sqref="BB233:BB237 BB231 BB239:BB243">
    <cfRule type="cellIs" dxfId="6251" priority="1555" operator="lessThan">
      <formula>0</formula>
    </cfRule>
    <cfRule type="cellIs" dxfId="6250" priority="1556" operator="lessThan">
      <formula>-105575</formula>
    </cfRule>
  </conditionalFormatting>
  <conditionalFormatting sqref="BB119:BB128 BB106:BB117 BB101:BB104 BB80:BB98">
    <cfRule type="cellIs" dxfId="6249" priority="1553" operator="lessThan">
      <formula>0</formula>
    </cfRule>
    <cfRule type="cellIs" dxfId="6248" priority="1554" operator="lessThan">
      <formula>-105575</formula>
    </cfRule>
  </conditionalFormatting>
  <conditionalFormatting sqref="BB130 BB132 BB134">
    <cfRule type="cellIs" dxfId="6247" priority="1551" operator="lessThan">
      <formula>0</formula>
    </cfRule>
    <cfRule type="cellIs" dxfId="6246" priority="1552" operator="lessThan">
      <formula>-105575</formula>
    </cfRule>
  </conditionalFormatting>
  <conditionalFormatting sqref="BB130 BB132 BB134">
    <cfRule type="cellIs" dxfId="6245" priority="1549" operator="lessThan">
      <formula>0</formula>
    </cfRule>
    <cfRule type="cellIs" dxfId="6244" priority="1550" operator="lessThan">
      <formula>-105575</formula>
    </cfRule>
  </conditionalFormatting>
  <conditionalFormatting sqref="BB129 BB131 BB133 BB135">
    <cfRule type="cellIs" dxfId="6243" priority="1547" operator="lessThan">
      <formula>0</formula>
    </cfRule>
    <cfRule type="cellIs" dxfId="6242" priority="1548" operator="lessThan">
      <formula>-105575</formula>
    </cfRule>
  </conditionalFormatting>
  <conditionalFormatting sqref="BB140 BB145 BB142:BB143 BB137:BB138">
    <cfRule type="cellIs" dxfId="6241" priority="1545" operator="lessThan">
      <formula>0</formula>
    </cfRule>
    <cfRule type="cellIs" dxfId="6240" priority="1546" operator="lessThan">
      <formula>-105575</formula>
    </cfRule>
  </conditionalFormatting>
  <conditionalFormatting sqref="BB149">
    <cfRule type="cellIs" dxfId="6239" priority="1543" operator="lessThan">
      <formula>0</formula>
    </cfRule>
    <cfRule type="cellIs" dxfId="6238" priority="1544" operator="lessThan">
      <formula>-105575</formula>
    </cfRule>
  </conditionalFormatting>
  <conditionalFormatting sqref="BB129:BB138 BB140:BB149">
    <cfRule type="cellIs" dxfId="6237" priority="1541" operator="lessThan">
      <formula>0</formula>
    </cfRule>
    <cfRule type="cellIs" dxfId="6236" priority="1542" operator="lessThan">
      <formula>-105575</formula>
    </cfRule>
  </conditionalFormatting>
  <conditionalFormatting sqref="BB94:BB98 BB86:BB87 BB89:BB91 BB141:BB149 BB124:BB133 BB107:BB110 BB112:BB117 BB119:BB122 BB135:BB138 BB101:BB104 BB80:BB84">
    <cfRule type="cellIs" dxfId="6235" priority="1539" operator="lessThan">
      <formula>0</formula>
    </cfRule>
    <cfRule type="cellIs" dxfId="6234" priority="1540" operator="lessThan">
      <formula>-105575</formula>
    </cfRule>
  </conditionalFormatting>
  <conditionalFormatting sqref="BB129 BB131 BB133 BB135">
    <cfRule type="cellIs" dxfId="6233" priority="1537" operator="lessThan">
      <formula>0</formula>
    </cfRule>
    <cfRule type="cellIs" dxfId="6232" priority="1538" operator="lessThan">
      <formula>-105575</formula>
    </cfRule>
  </conditionalFormatting>
  <conditionalFormatting sqref="BB146 BB144 BB141">
    <cfRule type="cellIs" dxfId="6231" priority="1535" operator="lessThan">
      <formula>0</formula>
    </cfRule>
    <cfRule type="cellIs" dxfId="6230" priority="1536" operator="lessThan">
      <formula>-105575</formula>
    </cfRule>
  </conditionalFormatting>
  <conditionalFormatting sqref="BB146 BB144 BB141">
    <cfRule type="cellIs" dxfId="6229" priority="1533" operator="lessThan">
      <formula>0</formula>
    </cfRule>
    <cfRule type="cellIs" dxfId="6228" priority="1534" operator="lessThan">
      <formula>-105575</formula>
    </cfRule>
  </conditionalFormatting>
  <conditionalFormatting sqref="BB140 BB145 BB142:BB143 BB137:BB138">
    <cfRule type="cellIs" dxfId="6227" priority="1531" operator="lessThan">
      <formula>0</formula>
    </cfRule>
    <cfRule type="cellIs" dxfId="6226" priority="1532" operator="lessThan">
      <formula>-105575</formula>
    </cfRule>
  </conditionalFormatting>
  <conditionalFormatting sqref="BB149">
    <cfRule type="cellIs" dxfId="6225" priority="1529" operator="lessThan">
      <formula>0</formula>
    </cfRule>
    <cfRule type="cellIs" dxfId="6224" priority="1530" operator="lessThan">
      <formula>-105575</formula>
    </cfRule>
  </conditionalFormatting>
  <conditionalFormatting sqref="BB94:BB98 BB86:BB87 BB89:BB91 BB141:BB149 BB124:BB133 BB107:BB110 BB112:BB117 BB119:BB122 BB135:BB138 BB101:BB104 BB80:BB84">
    <cfRule type="cellIs" dxfId="6223" priority="1527" operator="lessThan">
      <formula>0</formula>
    </cfRule>
    <cfRule type="cellIs" dxfId="6222" priority="1528" operator="lessThan">
      <formula>-105575</formula>
    </cfRule>
  </conditionalFormatting>
  <conditionalFormatting sqref="BB246:BB249 BB262 BB267 BB279:BB282 BB285:BB288 BB274:BB275 BB306:BB309 BB311:BB325 BB327:BB330 BB332:BB341 BB344:BB347 BB349:BB353 BB355:BB358 BB360:BB384 BB386:BB389 BB392:BB395 BB397:BB411 BB413:BB416 BB418:BB432 BB434:BB437 BB439:BB453 BB455:BB458 BB460:BB469 BB7:BB10 BB12:BB14 BB17:BB18 BB21:BB24 BB26:BB28 BB30:BB36 BB38 BB41:BB43 BB46:BB49 BB51:BB55 BB57:BB59 BB62:BB76 BB251:BB253 BB255:BB257 BB293:BB304 BB264:BB265 BB260 BB290:BB291 BB270:BB272">
    <cfRule type="cellIs" dxfId="6221" priority="1525" operator="lessThan">
      <formula>0</formula>
    </cfRule>
    <cfRule type="cellIs" dxfId="6220" priority="1526" operator="lessThan">
      <formula>-105575</formula>
    </cfRule>
  </conditionalFormatting>
  <conditionalFormatting sqref="BB41">
    <cfRule type="cellIs" dxfId="6219" priority="1523" operator="lessThan">
      <formula>0</formula>
    </cfRule>
    <cfRule type="cellIs" dxfId="6218" priority="1524" operator="lessThan">
      <formula>-105575</formula>
    </cfRule>
  </conditionalFormatting>
  <conditionalFormatting sqref="BB152:BB155">
    <cfRule type="cellIs" dxfId="6217" priority="1521" operator="lessThan">
      <formula>0</formula>
    </cfRule>
    <cfRule type="cellIs" dxfId="6216" priority="1522" operator="lessThan">
      <formula>-105575</formula>
    </cfRule>
  </conditionalFormatting>
  <conditionalFormatting sqref="BB152:BB155">
    <cfRule type="cellIs" dxfId="6215" priority="1519" operator="lessThan">
      <formula>0</formula>
    </cfRule>
    <cfRule type="cellIs" dxfId="6214" priority="1520" operator="lessThan">
      <formula>-105575</formula>
    </cfRule>
  </conditionalFormatting>
  <conditionalFormatting sqref="BB152:BB155">
    <cfRule type="cellIs" dxfId="6213" priority="1517" operator="lessThan">
      <formula>0</formula>
    </cfRule>
    <cfRule type="cellIs" dxfId="6212" priority="1518" operator="lessThan">
      <formula>-105575</formula>
    </cfRule>
  </conditionalFormatting>
  <conditionalFormatting sqref="BB157:BB158">
    <cfRule type="cellIs" dxfId="6211" priority="1515" operator="lessThan">
      <formula>0</formula>
    </cfRule>
    <cfRule type="cellIs" dxfId="6210" priority="1516" operator="lessThan">
      <formula>-105575</formula>
    </cfRule>
  </conditionalFormatting>
  <conditionalFormatting sqref="BB157:BB158">
    <cfRule type="cellIs" dxfId="6209" priority="1513" operator="lessThan">
      <formula>0</formula>
    </cfRule>
    <cfRule type="cellIs" dxfId="6208" priority="1514" operator="lessThan">
      <formula>-105575</formula>
    </cfRule>
  </conditionalFormatting>
  <conditionalFormatting sqref="BB157:BB158">
    <cfRule type="cellIs" dxfId="6207" priority="1511" operator="lessThan">
      <formula>0</formula>
    </cfRule>
    <cfRule type="cellIs" dxfId="6206" priority="1512" operator="lessThan">
      <formula>-105575</formula>
    </cfRule>
  </conditionalFormatting>
  <conditionalFormatting sqref="BB160:BB161">
    <cfRule type="cellIs" dxfId="6205" priority="1509" operator="lessThan">
      <formula>0</formula>
    </cfRule>
    <cfRule type="cellIs" dxfId="6204" priority="1510" operator="lessThan">
      <formula>-105575</formula>
    </cfRule>
  </conditionalFormatting>
  <conditionalFormatting sqref="BB160:BB161">
    <cfRule type="cellIs" dxfId="6203" priority="1507" operator="lessThan">
      <formula>0</formula>
    </cfRule>
    <cfRule type="cellIs" dxfId="6202" priority="1508" operator="lessThan">
      <formula>-105575</formula>
    </cfRule>
  </conditionalFormatting>
  <conditionalFormatting sqref="BB160:BB161">
    <cfRule type="cellIs" dxfId="6201" priority="1505" operator="lessThan">
      <formula>0</formula>
    </cfRule>
    <cfRule type="cellIs" dxfId="6200" priority="1506" operator="lessThan">
      <formula>-105575</formula>
    </cfRule>
  </conditionalFormatting>
  <conditionalFormatting sqref="BB164:BB167">
    <cfRule type="cellIs" dxfId="6199" priority="1503" operator="lessThan">
      <formula>0</formula>
    </cfRule>
    <cfRule type="cellIs" dxfId="6198" priority="1504" operator="lessThan">
      <formula>-105575</formula>
    </cfRule>
  </conditionalFormatting>
  <conditionalFormatting sqref="BB164:BB167">
    <cfRule type="cellIs" dxfId="6197" priority="1501" operator="lessThan">
      <formula>0</formula>
    </cfRule>
    <cfRule type="cellIs" dxfId="6196" priority="1502" operator="lessThan">
      <formula>-105575</formula>
    </cfRule>
  </conditionalFormatting>
  <conditionalFormatting sqref="BB164:BB167">
    <cfRule type="cellIs" dxfId="6195" priority="1499" operator="lessThan">
      <formula>0</formula>
    </cfRule>
    <cfRule type="cellIs" dxfId="6194" priority="1500" operator="lessThan">
      <formula>-105575</formula>
    </cfRule>
  </conditionalFormatting>
  <conditionalFormatting sqref="BB169:BB177">
    <cfRule type="cellIs" dxfId="6193" priority="1497" operator="lessThan">
      <formula>0</formula>
    </cfRule>
    <cfRule type="cellIs" dxfId="6192" priority="1498" operator="lessThan">
      <formula>-105575</formula>
    </cfRule>
  </conditionalFormatting>
  <conditionalFormatting sqref="BB169:BB177">
    <cfRule type="cellIs" dxfId="6191" priority="1495" operator="lessThan">
      <formula>0</formula>
    </cfRule>
    <cfRule type="cellIs" dxfId="6190" priority="1496" operator="lessThan">
      <formula>-105575</formula>
    </cfRule>
  </conditionalFormatting>
  <conditionalFormatting sqref="BB169:BB177">
    <cfRule type="cellIs" dxfId="6189" priority="1493" operator="lessThan">
      <formula>0</formula>
    </cfRule>
    <cfRule type="cellIs" dxfId="6188" priority="1494" operator="lessThan">
      <formula>-105575</formula>
    </cfRule>
  </conditionalFormatting>
  <conditionalFormatting sqref="BB179:BB180">
    <cfRule type="cellIs" dxfId="6187" priority="1491" operator="lessThan">
      <formula>0</formula>
    </cfRule>
    <cfRule type="cellIs" dxfId="6186" priority="1492" operator="lessThan">
      <formula>-105575</formula>
    </cfRule>
  </conditionalFormatting>
  <conditionalFormatting sqref="BB179:BB180">
    <cfRule type="cellIs" dxfId="6185" priority="1489" operator="lessThan">
      <formula>0</formula>
    </cfRule>
    <cfRule type="cellIs" dxfId="6184" priority="1490" operator="lessThan">
      <formula>-105575</formula>
    </cfRule>
  </conditionalFormatting>
  <conditionalFormatting sqref="BB179:BB180">
    <cfRule type="cellIs" dxfId="6183" priority="1487" operator="lessThan">
      <formula>0</formula>
    </cfRule>
    <cfRule type="cellIs" dxfId="6182" priority="1488" operator="lessThan">
      <formula>-105575</formula>
    </cfRule>
  </conditionalFormatting>
  <conditionalFormatting sqref="BB183:BB189">
    <cfRule type="cellIs" dxfId="6181" priority="1485" operator="lessThan">
      <formula>0</formula>
    </cfRule>
    <cfRule type="cellIs" dxfId="6180" priority="1486" operator="lessThan">
      <formula>-105575</formula>
    </cfRule>
  </conditionalFormatting>
  <conditionalFormatting sqref="BB183:BB189">
    <cfRule type="cellIs" dxfId="6179" priority="1483" operator="lessThan">
      <formula>0</formula>
    </cfRule>
    <cfRule type="cellIs" dxfId="6178" priority="1484" operator="lessThan">
      <formula>-105575</formula>
    </cfRule>
  </conditionalFormatting>
  <conditionalFormatting sqref="BB183:BB189">
    <cfRule type="cellIs" dxfId="6177" priority="1481" operator="lessThan">
      <formula>0</formula>
    </cfRule>
    <cfRule type="cellIs" dxfId="6176" priority="1482" operator="lessThan">
      <formula>-105575</formula>
    </cfRule>
  </conditionalFormatting>
  <conditionalFormatting sqref="BB191:BB192">
    <cfRule type="cellIs" dxfId="6175" priority="1479" operator="lessThan">
      <formula>0</formula>
    </cfRule>
    <cfRule type="cellIs" dxfId="6174" priority="1480" operator="lessThan">
      <formula>-105575</formula>
    </cfRule>
  </conditionalFormatting>
  <conditionalFormatting sqref="BB191:BB192">
    <cfRule type="cellIs" dxfId="6173" priority="1477" operator="lessThan">
      <formula>0</formula>
    </cfRule>
    <cfRule type="cellIs" dxfId="6172" priority="1478" operator="lessThan">
      <formula>-105575</formula>
    </cfRule>
  </conditionalFormatting>
  <conditionalFormatting sqref="BB191:BB192">
    <cfRule type="cellIs" dxfId="6171" priority="1475" operator="lessThan">
      <formula>0</formula>
    </cfRule>
    <cfRule type="cellIs" dxfId="6170" priority="1476" operator="lessThan">
      <formula>-105575</formula>
    </cfRule>
  </conditionalFormatting>
  <conditionalFormatting sqref="BB194:BB195">
    <cfRule type="cellIs" dxfId="6169" priority="1473" operator="lessThan">
      <formula>0</formula>
    </cfRule>
    <cfRule type="cellIs" dxfId="6168" priority="1474" operator="lessThan">
      <formula>-105575</formula>
    </cfRule>
  </conditionalFormatting>
  <conditionalFormatting sqref="BB194:BB195">
    <cfRule type="cellIs" dxfId="6167" priority="1471" operator="lessThan">
      <formula>0</formula>
    </cfRule>
    <cfRule type="cellIs" dxfId="6166" priority="1472" operator="lessThan">
      <formula>-105575</formula>
    </cfRule>
  </conditionalFormatting>
  <conditionalFormatting sqref="BB194:BB195">
    <cfRule type="cellIs" dxfId="6165" priority="1469" operator="lessThan">
      <formula>0</formula>
    </cfRule>
    <cfRule type="cellIs" dxfId="6164" priority="1470" operator="lessThan">
      <formula>-105575</formula>
    </cfRule>
  </conditionalFormatting>
  <conditionalFormatting sqref="BB199:BB202">
    <cfRule type="cellIs" dxfId="6163" priority="1467" operator="lessThan">
      <formula>0</formula>
    </cfRule>
    <cfRule type="cellIs" dxfId="6162" priority="1468" operator="lessThan">
      <formula>-105575</formula>
    </cfRule>
  </conditionalFormatting>
  <conditionalFormatting sqref="BB199:BB202">
    <cfRule type="cellIs" dxfId="6161" priority="1465" operator="lessThan">
      <formula>0</formula>
    </cfRule>
    <cfRule type="cellIs" dxfId="6160" priority="1466" operator="lessThan">
      <formula>-105575</formula>
    </cfRule>
  </conditionalFormatting>
  <conditionalFormatting sqref="BB199:BB202">
    <cfRule type="cellIs" dxfId="6159" priority="1463" operator="lessThan">
      <formula>0</formula>
    </cfRule>
    <cfRule type="cellIs" dxfId="6158" priority="1464" operator="lessThan">
      <formula>-105575</formula>
    </cfRule>
  </conditionalFormatting>
  <conditionalFormatting sqref="BB204:BB208">
    <cfRule type="cellIs" dxfId="6157" priority="1461" operator="lessThan">
      <formula>0</formula>
    </cfRule>
    <cfRule type="cellIs" dxfId="6156" priority="1462" operator="lessThan">
      <formula>-105575</formula>
    </cfRule>
  </conditionalFormatting>
  <conditionalFormatting sqref="BB204:BB208">
    <cfRule type="cellIs" dxfId="6155" priority="1459" operator="lessThan">
      <formula>0</formula>
    </cfRule>
    <cfRule type="cellIs" dxfId="6154" priority="1460" operator="lessThan">
      <formula>-105575</formula>
    </cfRule>
  </conditionalFormatting>
  <conditionalFormatting sqref="BB204:BB208">
    <cfRule type="cellIs" dxfId="6153" priority="1457" operator="lessThan">
      <formula>0</formula>
    </cfRule>
    <cfRule type="cellIs" dxfId="6152" priority="1458" operator="lessThan">
      <formula>-105575</formula>
    </cfRule>
  </conditionalFormatting>
  <conditionalFormatting sqref="BB210:BB211">
    <cfRule type="cellIs" dxfId="6151" priority="1455" operator="lessThan">
      <formula>0</formula>
    </cfRule>
    <cfRule type="cellIs" dxfId="6150" priority="1456" operator="lessThan">
      <formula>-105575</formula>
    </cfRule>
  </conditionalFormatting>
  <conditionalFormatting sqref="BB210:BB211">
    <cfRule type="cellIs" dxfId="6149" priority="1453" operator="lessThan">
      <formula>0</formula>
    </cfRule>
    <cfRule type="cellIs" dxfId="6148" priority="1454" operator="lessThan">
      <formula>-105575</formula>
    </cfRule>
  </conditionalFormatting>
  <conditionalFormatting sqref="BB210:BB211">
    <cfRule type="cellIs" dxfId="6147" priority="1451" operator="lessThan">
      <formula>0</formula>
    </cfRule>
    <cfRule type="cellIs" dxfId="6146" priority="1452" operator="lessThan">
      <formula>-105575</formula>
    </cfRule>
  </conditionalFormatting>
  <conditionalFormatting sqref="BB214:BB219">
    <cfRule type="cellIs" dxfId="6145" priority="1449" operator="lessThan">
      <formula>0</formula>
    </cfRule>
    <cfRule type="cellIs" dxfId="6144" priority="1450" operator="lessThan">
      <formula>-105575</formula>
    </cfRule>
  </conditionalFormatting>
  <conditionalFormatting sqref="BB214:BB219">
    <cfRule type="cellIs" dxfId="6143" priority="1447" operator="lessThan">
      <formula>0</formula>
    </cfRule>
    <cfRule type="cellIs" dxfId="6142" priority="1448" operator="lessThan">
      <formula>-105575</formula>
    </cfRule>
  </conditionalFormatting>
  <conditionalFormatting sqref="BB214:BB219">
    <cfRule type="cellIs" dxfId="6141" priority="1445" operator="lessThan">
      <formula>0</formula>
    </cfRule>
    <cfRule type="cellIs" dxfId="6140" priority="1446" operator="lessThan">
      <formula>-105575</formula>
    </cfRule>
  </conditionalFormatting>
  <conditionalFormatting sqref="BB222:BB224">
    <cfRule type="cellIs" dxfId="6139" priority="1443" operator="lessThan">
      <formula>0</formula>
    </cfRule>
    <cfRule type="cellIs" dxfId="6138" priority="1444" operator="lessThan">
      <formula>-105575</formula>
    </cfRule>
  </conditionalFormatting>
  <conditionalFormatting sqref="BB222:BB224">
    <cfRule type="cellIs" dxfId="6137" priority="1441" operator="lessThan">
      <formula>0</formula>
    </cfRule>
    <cfRule type="cellIs" dxfId="6136" priority="1442" operator="lessThan">
      <formula>-105575</formula>
    </cfRule>
  </conditionalFormatting>
  <conditionalFormatting sqref="BB222:BB224">
    <cfRule type="cellIs" dxfId="6135" priority="1439" operator="lessThan">
      <formula>0</formula>
    </cfRule>
    <cfRule type="cellIs" dxfId="6134" priority="1440" operator="lessThan">
      <formula>-105575</formula>
    </cfRule>
  </conditionalFormatting>
  <conditionalFormatting sqref="BB227:BB230">
    <cfRule type="cellIs" dxfId="6133" priority="1437" operator="lessThan">
      <formula>0</formula>
    </cfRule>
    <cfRule type="cellIs" dxfId="6132" priority="1438" operator="lessThan">
      <formula>-105575</formula>
    </cfRule>
  </conditionalFormatting>
  <conditionalFormatting sqref="BB227:BB230">
    <cfRule type="cellIs" dxfId="6131" priority="1435" operator="lessThan">
      <formula>0</formula>
    </cfRule>
    <cfRule type="cellIs" dxfId="6130" priority="1436" operator="lessThan">
      <formula>-105575</formula>
    </cfRule>
  </conditionalFormatting>
  <conditionalFormatting sqref="BB227:BB230">
    <cfRule type="cellIs" dxfId="6129" priority="1433" operator="lessThan">
      <formula>0</formula>
    </cfRule>
    <cfRule type="cellIs" dxfId="6128" priority="1434" operator="lessThan">
      <formula>-105575</formula>
    </cfRule>
  </conditionalFormatting>
  <conditionalFormatting sqref="BB203 BB220:BB221 BB235:BB243 BB231:BB233 BB212:BB213 BB225:BB226">
    <cfRule type="cellIs" dxfId="6127" priority="1431" operator="lessThan">
      <formula>0</formula>
    </cfRule>
    <cfRule type="cellIs" dxfId="6126" priority="1432" operator="lessThan">
      <formula>-105575</formula>
    </cfRule>
  </conditionalFormatting>
  <conditionalFormatting sqref="BB220 BB212:BB213 BB235:BB238 BB240:BB243 BB225:BB226 BB231:BB233">
    <cfRule type="cellIs" dxfId="6125" priority="1429" operator="lessThan">
      <formula>0</formula>
    </cfRule>
    <cfRule type="cellIs" dxfId="6124" priority="1430" operator="lessThan">
      <formula>-105575</formula>
    </cfRule>
  </conditionalFormatting>
  <conditionalFormatting sqref="BB220:BB221 BB243 BB226 BB231:BB236 BB238:BB241 BB203 BB213">
    <cfRule type="cellIs" dxfId="6123" priority="1427" operator="lessThan">
      <formula>0</formula>
    </cfRule>
    <cfRule type="cellIs" dxfId="6122" priority="1428" operator="lessThan">
      <formula>-105575</formula>
    </cfRule>
  </conditionalFormatting>
  <conditionalFormatting sqref="BB235:BB243 BB231:BB233 BB220 BB212:BB213 BB225:BB226">
    <cfRule type="cellIs" dxfId="6121" priority="1425" operator="lessThan">
      <formula>0</formula>
    </cfRule>
    <cfRule type="cellIs" dxfId="6120" priority="1426" operator="lessThan">
      <formula>-105575</formula>
    </cfRule>
  </conditionalFormatting>
  <conditionalFormatting sqref="BB220:BB221 BB237:BB243 BB203 BB231:BB235 BB212:BB213 BB225:BB226">
    <cfRule type="cellIs" dxfId="6119" priority="1423" operator="lessThan">
      <formula>0</formula>
    </cfRule>
    <cfRule type="cellIs" dxfId="6118" priority="1424" operator="lessThan">
      <formula>-105575</formula>
    </cfRule>
  </conditionalFormatting>
  <conditionalFormatting sqref="BB220:BB221 BB237:BB240 BB242:BB243 BB225:BB226 BB231:BB235">
    <cfRule type="cellIs" dxfId="6117" priority="1421" operator="lessThan">
      <formula>0</formula>
    </cfRule>
    <cfRule type="cellIs" dxfId="6116" priority="1422" operator="lessThan">
      <formula>-105575</formula>
    </cfRule>
  </conditionalFormatting>
  <conditionalFormatting sqref="BB212 BB231 BB233:BB238 BB240:BB243 BB225">
    <cfRule type="cellIs" dxfId="6115" priority="1419" operator="lessThan">
      <formula>0</formula>
    </cfRule>
    <cfRule type="cellIs" dxfId="6114" priority="1420" operator="lessThan">
      <formula>-105575</formula>
    </cfRule>
  </conditionalFormatting>
  <conditionalFormatting sqref="BB237:BB243 BB231:BB235 BB220:BB221 BB225:BB226">
    <cfRule type="cellIs" dxfId="6113" priority="1417" operator="lessThan">
      <formula>0</formula>
    </cfRule>
    <cfRule type="cellIs" dxfId="6112" priority="1418" operator="lessThan">
      <formula>-105575</formula>
    </cfRule>
  </conditionalFormatting>
  <conditionalFormatting sqref="BB233:BB237 BB231 BB239:BB243">
    <cfRule type="cellIs" dxfId="6111" priority="1415" operator="lessThan">
      <formula>0</formula>
    </cfRule>
    <cfRule type="cellIs" dxfId="6110" priority="1416" operator="lessThan">
      <formula>-105575</formula>
    </cfRule>
  </conditionalFormatting>
  <conditionalFormatting sqref="BB233:BB237 BB231 BB239:BB243">
    <cfRule type="cellIs" dxfId="6109" priority="1413" operator="lessThan">
      <formula>0</formula>
    </cfRule>
    <cfRule type="cellIs" dxfId="6108" priority="1414" operator="lessThan">
      <formula>-105575</formula>
    </cfRule>
  </conditionalFormatting>
  <conditionalFormatting sqref="BB119:BB128 BB106:BB117 BB101:BB104 BB80:BB98">
    <cfRule type="cellIs" dxfId="6107" priority="1411" operator="lessThan">
      <formula>0</formula>
    </cfRule>
    <cfRule type="cellIs" dxfId="6106" priority="1412" operator="lessThan">
      <formula>-105575</formula>
    </cfRule>
  </conditionalFormatting>
  <conditionalFormatting sqref="BB130 BB132 BB134">
    <cfRule type="cellIs" dxfId="6105" priority="1409" operator="lessThan">
      <formula>0</formula>
    </cfRule>
    <cfRule type="cellIs" dxfId="6104" priority="1410" operator="lessThan">
      <formula>-105575</formula>
    </cfRule>
  </conditionalFormatting>
  <conditionalFormatting sqref="BB130 BB132 BB134">
    <cfRule type="cellIs" dxfId="6103" priority="1407" operator="lessThan">
      <formula>0</formula>
    </cfRule>
    <cfRule type="cellIs" dxfId="6102" priority="1408" operator="lessThan">
      <formula>-105575</formula>
    </cfRule>
  </conditionalFormatting>
  <conditionalFormatting sqref="BB129 BB131 BB133 BB135">
    <cfRule type="cellIs" dxfId="6101" priority="1405" operator="lessThan">
      <formula>0</formula>
    </cfRule>
    <cfRule type="cellIs" dxfId="6100" priority="1406" operator="lessThan">
      <formula>-105575</formula>
    </cfRule>
  </conditionalFormatting>
  <conditionalFormatting sqref="BB140 BB145 BB142:BB143 BB137:BB138">
    <cfRule type="cellIs" dxfId="6099" priority="1403" operator="lessThan">
      <formula>0</formula>
    </cfRule>
    <cfRule type="cellIs" dxfId="6098" priority="1404" operator="lessThan">
      <formula>-105575</formula>
    </cfRule>
  </conditionalFormatting>
  <conditionalFormatting sqref="BB149">
    <cfRule type="cellIs" dxfId="6097" priority="1401" operator="lessThan">
      <formula>0</formula>
    </cfRule>
    <cfRule type="cellIs" dxfId="6096" priority="1402" operator="lessThan">
      <formula>-105575</formula>
    </cfRule>
  </conditionalFormatting>
  <conditionalFormatting sqref="BB129:BB138 BB140:BB149">
    <cfRule type="cellIs" dxfId="6095" priority="1399" operator="lessThan">
      <formula>0</formula>
    </cfRule>
    <cfRule type="cellIs" dxfId="6094" priority="1400" operator="lessThan">
      <formula>-105575</formula>
    </cfRule>
  </conditionalFormatting>
  <conditionalFormatting sqref="BB94:BB98 BB86:BB87 BB89:BB91 BB141:BB149 BB124:BB133 BB107:BB110 BB112:BB117 BB119:BB122 BB135:BB138 BB101:BB104 BB80:BB84">
    <cfRule type="cellIs" dxfId="6093" priority="1397" operator="lessThan">
      <formula>0</formula>
    </cfRule>
    <cfRule type="cellIs" dxfId="6092" priority="1398" operator="lessThan">
      <formula>-105575</formula>
    </cfRule>
  </conditionalFormatting>
  <conditionalFormatting sqref="BB129 BB131 BB133 BB135">
    <cfRule type="cellIs" dxfId="6091" priority="1395" operator="lessThan">
      <formula>0</formula>
    </cfRule>
    <cfRule type="cellIs" dxfId="6090" priority="1396" operator="lessThan">
      <formula>-105575</formula>
    </cfRule>
  </conditionalFormatting>
  <conditionalFormatting sqref="BB146 BB144 BB141">
    <cfRule type="cellIs" dxfId="6089" priority="1393" operator="lessThan">
      <formula>0</formula>
    </cfRule>
    <cfRule type="cellIs" dxfId="6088" priority="1394" operator="lessThan">
      <formula>-105575</formula>
    </cfRule>
  </conditionalFormatting>
  <conditionalFormatting sqref="BB146 BB144 BB141">
    <cfRule type="cellIs" dxfId="6087" priority="1391" operator="lessThan">
      <formula>0</formula>
    </cfRule>
    <cfRule type="cellIs" dxfId="6086" priority="1392" operator="lessThan">
      <formula>-105575</formula>
    </cfRule>
  </conditionalFormatting>
  <conditionalFormatting sqref="BB140 BB145 BB142:BB143 BB137:BB138">
    <cfRule type="cellIs" dxfId="6085" priority="1389" operator="lessThan">
      <formula>0</formula>
    </cfRule>
    <cfRule type="cellIs" dxfId="6084" priority="1390" operator="lessThan">
      <formula>-105575</formula>
    </cfRule>
  </conditionalFormatting>
  <conditionalFormatting sqref="BB149">
    <cfRule type="cellIs" dxfId="6083" priority="1387" operator="lessThan">
      <formula>0</formula>
    </cfRule>
    <cfRule type="cellIs" dxfId="6082" priority="1388" operator="lessThan">
      <formula>-105575</formula>
    </cfRule>
  </conditionalFormatting>
  <conditionalFormatting sqref="BB94:BB98 BB86:BB87 BB89:BB91 BB141:BB149 BB124:BB133 BB107:BB110 BB112:BB117 BB119:BB122 BB135:BB138 BB101:BB104 BB80:BB84">
    <cfRule type="cellIs" dxfId="6081" priority="1385" operator="lessThan">
      <formula>0</formula>
    </cfRule>
    <cfRule type="cellIs" dxfId="6080" priority="1386" operator="lessThan">
      <formula>-105575</formula>
    </cfRule>
  </conditionalFormatting>
  <conditionalFormatting sqref="BB62:BB76 BB306:BB309 BB311:BB325 BB327:BB330 BB332:BB341 BB344:BB347 BB349:BB353 BB355:BB358 BB360:BB384 BB386:BB389 BB392:BB395 BB397:BB411 BB413:BB416 BB418:BB432 BB434:BB437 BB439:BB453 BB455:BB458 BB460:BB469 BB7:BB10 BB12:BB14 BB17:BB18 BB21:BB24 BB26:BB28 BB30:BB36 BB38 BB41:BB43 BB46:BB49 BB51:BB55 BB57:BB59 BB290:BB291 BB293:BB304">
    <cfRule type="cellIs" dxfId="6079" priority="1383" operator="lessThan">
      <formula>0</formula>
    </cfRule>
    <cfRule type="cellIs" dxfId="6078" priority="1384" operator="lessThan">
      <formula>-105575</formula>
    </cfRule>
  </conditionalFormatting>
  <conditionalFormatting sqref="BB41">
    <cfRule type="cellIs" dxfId="6077" priority="1381" operator="lessThan">
      <formula>0</formula>
    </cfRule>
    <cfRule type="cellIs" dxfId="6076" priority="1382" operator="lessThan">
      <formula>-105575</formula>
    </cfRule>
  </conditionalFormatting>
  <conditionalFormatting sqref="BB152:BB155">
    <cfRule type="cellIs" dxfId="6075" priority="1379" operator="lessThan">
      <formula>0</formula>
    </cfRule>
    <cfRule type="cellIs" dxfId="6074" priority="1380" operator="lessThan">
      <formula>-105575</formula>
    </cfRule>
  </conditionalFormatting>
  <conditionalFormatting sqref="BB152:BB155">
    <cfRule type="cellIs" dxfId="6073" priority="1377" operator="lessThan">
      <formula>0</formula>
    </cfRule>
    <cfRule type="cellIs" dxfId="6072" priority="1378" operator="lessThan">
      <formula>-105575</formula>
    </cfRule>
  </conditionalFormatting>
  <conditionalFormatting sqref="BB152:BB155">
    <cfRule type="cellIs" dxfId="6071" priority="1375" operator="lessThan">
      <formula>0</formula>
    </cfRule>
    <cfRule type="cellIs" dxfId="6070" priority="1376" operator="lessThan">
      <formula>-105575</formula>
    </cfRule>
  </conditionalFormatting>
  <conditionalFormatting sqref="BB157:BB158">
    <cfRule type="cellIs" dxfId="6069" priority="1373" operator="lessThan">
      <formula>0</formula>
    </cfRule>
    <cfRule type="cellIs" dxfId="6068" priority="1374" operator="lessThan">
      <formula>-105575</formula>
    </cfRule>
  </conditionalFormatting>
  <conditionalFormatting sqref="BB157:BB158">
    <cfRule type="cellIs" dxfId="6067" priority="1371" operator="lessThan">
      <formula>0</formula>
    </cfRule>
    <cfRule type="cellIs" dxfId="6066" priority="1372" operator="lessThan">
      <formula>-105575</formula>
    </cfRule>
  </conditionalFormatting>
  <conditionalFormatting sqref="BB157:BB158">
    <cfRule type="cellIs" dxfId="6065" priority="1369" operator="lessThan">
      <formula>0</formula>
    </cfRule>
    <cfRule type="cellIs" dxfId="6064" priority="1370" operator="lessThan">
      <formula>-105575</formula>
    </cfRule>
  </conditionalFormatting>
  <conditionalFormatting sqref="BB160:BB161">
    <cfRule type="cellIs" dxfId="6063" priority="1367" operator="lessThan">
      <formula>0</formula>
    </cfRule>
    <cfRule type="cellIs" dxfId="6062" priority="1368" operator="lessThan">
      <formula>-105575</formula>
    </cfRule>
  </conditionalFormatting>
  <conditionalFormatting sqref="BB160:BB161">
    <cfRule type="cellIs" dxfId="6061" priority="1365" operator="lessThan">
      <formula>0</formula>
    </cfRule>
    <cfRule type="cellIs" dxfId="6060" priority="1366" operator="lessThan">
      <formula>-105575</formula>
    </cfRule>
  </conditionalFormatting>
  <conditionalFormatting sqref="BB160:BB161">
    <cfRule type="cellIs" dxfId="6059" priority="1363" operator="lessThan">
      <formula>0</formula>
    </cfRule>
    <cfRule type="cellIs" dxfId="6058" priority="1364" operator="lessThan">
      <formula>-105575</formula>
    </cfRule>
  </conditionalFormatting>
  <conditionalFormatting sqref="BB164:BB167">
    <cfRule type="cellIs" dxfId="6057" priority="1361" operator="lessThan">
      <formula>0</formula>
    </cfRule>
    <cfRule type="cellIs" dxfId="6056" priority="1362" operator="lessThan">
      <formula>-105575</formula>
    </cfRule>
  </conditionalFormatting>
  <conditionalFormatting sqref="BB164:BB167">
    <cfRule type="cellIs" dxfId="6055" priority="1359" operator="lessThan">
      <formula>0</formula>
    </cfRule>
    <cfRule type="cellIs" dxfId="6054" priority="1360" operator="lessThan">
      <formula>-105575</formula>
    </cfRule>
  </conditionalFormatting>
  <conditionalFormatting sqref="BB164:BB167">
    <cfRule type="cellIs" dxfId="6053" priority="1357" operator="lessThan">
      <formula>0</formula>
    </cfRule>
    <cfRule type="cellIs" dxfId="6052" priority="1358" operator="lessThan">
      <formula>-105575</formula>
    </cfRule>
  </conditionalFormatting>
  <conditionalFormatting sqref="BB169:BB177">
    <cfRule type="cellIs" dxfId="6051" priority="1355" operator="lessThan">
      <formula>0</formula>
    </cfRule>
    <cfRule type="cellIs" dxfId="6050" priority="1356" operator="lessThan">
      <formula>-105575</formula>
    </cfRule>
  </conditionalFormatting>
  <conditionalFormatting sqref="BB169:BB177">
    <cfRule type="cellIs" dxfId="6049" priority="1353" operator="lessThan">
      <formula>0</formula>
    </cfRule>
    <cfRule type="cellIs" dxfId="6048" priority="1354" operator="lessThan">
      <formula>-105575</formula>
    </cfRule>
  </conditionalFormatting>
  <conditionalFormatting sqref="BB169:BB177">
    <cfRule type="cellIs" dxfId="6047" priority="1351" operator="lessThan">
      <formula>0</formula>
    </cfRule>
    <cfRule type="cellIs" dxfId="6046" priority="1352" operator="lessThan">
      <formula>-105575</formula>
    </cfRule>
  </conditionalFormatting>
  <conditionalFormatting sqref="BB179:BB180">
    <cfRule type="cellIs" dxfId="6045" priority="1349" operator="lessThan">
      <formula>0</formula>
    </cfRule>
    <cfRule type="cellIs" dxfId="6044" priority="1350" operator="lessThan">
      <formula>-105575</formula>
    </cfRule>
  </conditionalFormatting>
  <conditionalFormatting sqref="BB179:BB180">
    <cfRule type="cellIs" dxfId="6043" priority="1347" operator="lessThan">
      <formula>0</formula>
    </cfRule>
    <cfRule type="cellIs" dxfId="6042" priority="1348" operator="lessThan">
      <formula>-105575</formula>
    </cfRule>
  </conditionalFormatting>
  <conditionalFormatting sqref="BB179:BB180">
    <cfRule type="cellIs" dxfId="6041" priority="1345" operator="lessThan">
      <formula>0</formula>
    </cfRule>
    <cfRule type="cellIs" dxfId="6040" priority="1346" operator="lessThan">
      <formula>-105575</formula>
    </cfRule>
  </conditionalFormatting>
  <conditionalFormatting sqref="BB183:BB189">
    <cfRule type="cellIs" dxfId="6039" priority="1343" operator="lessThan">
      <formula>0</formula>
    </cfRule>
    <cfRule type="cellIs" dxfId="6038" priority="1344" operator="lessThan">
      <formula>-105575</formula>
    </cfRule>
  </conditionalFormatting>
  <conditionalFormatting sqref="BB183:BB189">
    <cfRule type="cellIs" dxfId="6037" priority="1341" operator="lessThan">
      <formula>0</formula>
    </cfRule>
    <cfRule type="cellIs" dxfId="6036" priority="1342" operator="lessThan">
      <formula>-105575</formula>
    </cfRule>
  </conditionalFormatting>
  <conditionalFormatting sqref="BB183:BB189">
    <cfRule type="cellIs" dxfId="6035" priority="1339" operator="lessThan">
      <formula>0</formula>
    </cfRule>
    <cfRule type="cellIs" dxfId="6034" priority="1340" operator="lessThan">
      <formula>-105575</formula>
    </cfRule>
  </conditionalFormatting>
  <conditionalFormatting sqref="BB191:BB192">
    <cfRule type="cellIs" dxfId="6033" priority="1337" operator="lessThan">
      <formula>0</formula>
    </cfRule>
    <cfRule type="cellIs" dxfId="6032" priority="1338" operator="lessThan">
      <formula>-105575</formula>
    </cfRule>
  </conditionalFormatting>
  <conditionalFormatting sqref="BB191:BB192">
    <cfRule type="cellIs" dxfId="6031" priority="1335" operator="lessThan">
      <formula>0</formula>
    </cfRule>
    <cfRule type="cellIs" dxfId="6030" priority="1336" operator="lessThan">
      <formula>-105575</formula>
    </cfRule>
  </conditionalFormatting>
  <conditionalFormatting sqref="BB191:BB192">
    <cfRule type="cellIs" dxfId="6029" priority="1333" operator="lessThan">
      <formula>0</formula>
    </cfRule>
    <cfRule type="cellIs" dxfId="6028" priority="1334" operator="lessThan">
      <formula>-105575</formula>
    </cfRule>
  </conditionalFormatting>
  <conditionalFormatting sqref="BB194:BB195">
    <cfRule type="cellIs" dxfId="6027" priority="1331" operator="lessThan">
      <formula>0</formula>
    </cfRule>
    <cfRule type="cellIs" dxfId="6026" priority="1332" operator="lessThan">
      <formula>-105575</formula>
    </cfRule>
  </conditionalFormatting>
  <conditionalFormatting sqref="BB194:BB195">
    <cfRule type="cellIs" dxfId="6025" priority="1329" operator="lessThan">
      <formula>0</formula>
    </cfRule>
    <cfRule type="cellIs" dxfId="6024" priority="1330" operator="lessThan">
      <formula>-105575</formula>
    </cfRule>
  </conditionalFormatting>
  <conditionalFormatting sqref="BB194:BB195">
    <cfRule type="cellIs" dxfId="6023" priority="1327" operator="lessThan">
      <formula>0</formula>
    </cfRule>
    <cfRule type="cellIs" dxfId="6022" priority="1328" operator="lessThan">
      <formula>-105575</formula>
    </cfRule>
  </conditionalFormatting>
  <conditionalFormatting sqref="BB199:BB202">
    <cfRule type="cellIs" dxfId="6021" priority="1325" operator="lessThan">
      <formula>0</formula>
    </cfRule>
    <cfRule type="cellIs" dxfId="6020" priority="1326" operator="lessThan">
      <formula>-105575</formula>
    </cfRule>
  </conditionalFormatting>
  <conditionalFormatting sqref="BB199:BB202">
    <cfRule type="cellIs" dxfId="6019" priority="1323" operator="lessThan">
      <formula>0</formula>
    </cfRule>
    <cfRule type="cellIs" dxfId="6018" priority="1324" operator="lessThan">
      <formula>-105575</formula>
    </cfRule>
  </conditionalFormatting>
  <conditionalFormatting sqref="BB199:BB202">
    <cfRule type="cellIs" dxfId="6017" priority="1321" operator="lessThan">
      <formula>0</formula>
    </cfRule>
    <cfRule type="cellIs" dxfId="6016" priority="1322" operator="lessThan">
      <formula>-105575</formula>
    </cfRule>
  </conditionalFormatting>
  <conditionalFormatting sqref="BB204:BB208">
    <cfRule type="cellIs" dxfId="6015" priority="1319" operator="lessThan">
      <formula>0</formula>
    </cfRule>
    <cfRule type="cellIs" dxfId="6014" priority="1320" operator="lessThan">
      <formula>-105575</formula>
    </cfRule>
  </conditionalFormatting>
  <conditionalFormatting sqref="BB204:BB208">
    <cfRule type="cellIs" dxfId="6013" priority="1317" operator="lessThan">
      <formula>0</formula>
    </cfRule>
    <cfRule type="cellIs" dxfId="6012" priority="1318" operator="lessThan">
      <formula>-105575</formula>
    </cfRule>
  </conditionalFormatting>
  <conditionalFormatting sqref="BB204:BB208">
    <cfRule type="cellIs" dxfId="6011" priority="1315" operator="lessThan">
      <formula>0</formula>
    </cfRule>
    <cfRule type="cellIs" dxfId="6010" priority="1316" operator="lessThan">
      <formula>-105575</formula>
    </cfRule>
  </conditionalFormatting>
  <conditionalFormatting sqref="BB210:BB211">
    <cfRule type="cellIs" dxfId="6009" priority="1313" operator="lessThan">
      <formula>0</formula>
    </cfRule>
    <cfRule type="cellIs" dxfId="6008" priority="1314" operator="lessThan">
      <formula>-105575</formula>
    </cfRule>
  </conditionalFormatting>
  <conditionalFormatting sqref="BB210:BB211">
    <cfRule type="cellIs" dxfId="6007" priority="1311" operator="lessThan">
      <formula>0</formula>
    </cfRule>
    <cfRule type="cellIs" dxfId="6006" priority="1312" operator="lessThan">
      <formula>-105575</formula>
    </cfRule>
  </conditionalFormatting>
  <conditionalFormatting sqref="BB210:BB211">
    <cfRule type="cellIs" dxfId="6005" priority="1309" operator="lessThan">
      <formula>0</formula>
    </cfRule>
    <cfRule type="cellIs" dxfId="6004" priority="1310" operator="lessThan">
      <formula>-105575</formula>
    </cfRule>
  </conditionalFormatting>
  <conditionalFormatting sqref="BB214:BB219">
    <cfRule type="cellIs" dxfId="6003" priority="1307" operator="lessThan">
      <formula>0</formula>
    </cfRule>
    <cfRule type="cellIs" dxfId="6002" priority="1308" operator="lessThan">
      <formula>-105575</formula>
    </cfRule>
  </conditionalFormatting>
  <conditionalFormatting sqref="BB214:BB219">
    <cfRule type="cellIs" dxfId="6001" priority="1305" operator="lessThan">
      <formula>0</formula>
    </cfRule>
    <cfRule type="cellIs" dxfId="6000" priority="1306" operator="lessThan">
      <formula>-105575</formula>
    </cfRule>
  </conditionalFormatting>
  <conditionalFormatting sqref="BB214:BB219">
    <cfRule type="cellIs" dxfId="5999" priority="1303" operator="lessThan">
      <formula>0</formula>
    </cfRule>
    <cfRule type="cellIs" dxfId="5998" priority="1304" operator="lessThan">
      <formula>-105575</formula>
    </cfRule>
  </conditionalFormatting>
  <conditionalFormatting sqref="BB222:BB224">
    <cfRule type="cellIs" dxfId="5997" priority="1301" operator="lessThan">
      <formula>0</formula>
    </cfRule>
    <cfRule type="cellIs" dxfId="5996" priority="1302" operator="lessThan">
      <formula>-105575</formula>
    </cfRule>
  </conditionalFormatting>
  <conditionalFormatting sqref="BB222:BB224">
    <cfRule type="cellIs" dxfId="5995" priority="1299" operator="lessThan">
      <formula>0</formula>
    </cfRule>
    <cfRule type="cellIs" dxfId="5994" priority="1300" operator="lessThan">
      <formula>-105575</formula>
    </cfRule>
  </conditionalFormatting>
  <conditionalFormatting sqref="BB222:BB224">
    <cfRule type="cellIs" dxfId="5993" priority="1297" operator="lessThan">
      <formula>0</formula>
    </cfRule>
    <cfRule type="cellIs" dxfId="5992" priority="1298" operator="lessThan">
      <formula>-105575</formula>
    </cfRule>
  </conditionalFormatting>
  <conditionalFormatting sqref="BB227:BB230">
    <cfRule type="cellIs" dxfId="5991" priority="1295" operator="lessThan">
      <formula>0</formula>
    </cfRule>
    <cfRule type="cellIs" dxfId="5990" priority="1296" operator="lessThan">
      <formula>-105575</formula>
    </cfRule>
  </conditionalFormatting>
  <conditionalFormatting sqref="BB227:BB230">
    <cfRule type="cellIs" dxfId="5989" priority="1293" operator="lessThan">
      <formula>0</formula>
    </cfRule>
    <cfRule type="cellIs" dxfId="5988" priority="1294" operator="lessThan">
      <formula>-105575</formula>
    </cfRule>
  </conditionalFormatting>
  <conditionalFormatting sqref="BB227:BB230">
    <cfRule type="cellIs" dxfId="5987" priority="1291" operator="lessThan">
      <formula>0</formula>
    </cfRule>
    <cfRule type="cellIs" dxfId="5986" priority="1292" operator="lessThan">
      <formula>-105575</formula>
    </cfRule>
  </conditionalFormatting>
  <conditionalFormatting sqref="BB246:BB249">
    <cfRule type="cellIs" dxfId="5985" priority="1289" operator="lessThan">
      <formula>0</formula>
    </cfRule>
    <cfRule type="cellIs" dxfId="5984" priority="1290" operator="lessThan">
      <formula>-105575</formula>
    </cfRule>
  </conditionalFormatting>
  <conditionalFormatting sqref="BB246:BB249">
    <cfRule type="cellIs" dxfId="5983" priority="1287" operator="lessThan">
      <formula>0</formula>
    </cfRule>
    <cfRule type="cellIs" dxfId="5982" priority="1288" operator="lessThan">
      <formula>-105575</formula>
    </cfRule>
  </conditionalFormatting>
  <conditionalFormatting sqref="BB246:BB249">
    <cfRule type="cellIs" dxfId="5981" priority="1285" operator="lessThan">
      <formula>0</formula>
    </cfRule>
    <cfRule type="cellIs" dxfId="5980" priority="1286" operator="lessThan">
      <formula>-105575</formula>
    </cfRule>
  </conditionalFormatting>
  <conditionalFormatting sqref="BB246:BB249">
    <cfRule type="cellIs" dxfId="5979" priority="1283" operator="lessThan">
      <formula>0</formula>
    </cfRule>
    <cfRule type="cellIs" dxfId="5978" priority="1284" operator="lessThan">
      <formula>-105575</formula>
    </cfRule>
  </conditionalFormatting>
  <conditionalFormatting sqref="BB246:BB249">
    <cfRule type="cellIs" dxfId="5977" priority="1281" operator="lessThan">
      <formula>0</formula>
    </cfRule>
    <cfRule type="cellIs" dxfId="5976" priority="1282" operator="lessThan">
      <formula>-105575</formula>
    </cfRule>
  </conditionalFormatting>
  <conditionalFormatting sqref="BB246:BB249">
    <cfRule type="cellIs" dxfId="5975" priority="1279" operator="lessThan">
      <formula>0</formula>
    </cfRule>
    <cfRule type="cellIs" dxfId="5974" priority="1280" operator="lessThan">
      <formula>-105575</formula>
    </cfRule>
  </conditionalFormatting>
  <conditionalFormatting sqref="BB246:BB249">
    <cfRule type="cellIs" dxfId="5973" priority="1277" operator="lessThan">
      <formula>0</formula>
    </cfRule>
    <cfRule type="cellIs" dxfId="5972" priority="1278" operator="lessThan">
      <formula>-105575</formula>
    </cfRule>
  </conditionalFormatting>
  <conditionalFormatting sqref="BB246:BB249">
    <cfRule type="cellIs" dxfId="5971" priority="1275" operator="lessThan">
      <formula>0</formula>
    </cfRule>
    <cfRule type="cellIs" dxfId="5970" priority="1276" operator="lessThan">
      <formula>-105575</formula>
    </cfRule>
  </conditionalFormatting>
  <conditionalFormatting sqref="BB246:BB249">
    <cfRule type="cellIs" dxfId="5969" priority="1273" operator="lessThan">
      <formula>0</formula>
    </cfRule>
    <cfRule type="cellIs" dxfId="5968" priority="1274" operator="lessThan">
      <formula>-105575</formula>
    </cfRule>
  </conditionalFormatting>
  <conditionalFormatting sqref="BB251:BB253">
    <cfRule type="cellIs" dxfId="5967" priority="1271" operator="lessThan">
      <formula>0</formula>
    </cfRule>
    <cfRule type="cellIs" dxfId="5966" priority="1272" operator="lessThan">
      <formula>-105575</formula>
    </cfRule>
  </conditionalFormatting>
  <conditionalFormatting sqref="BB251:BB253">
    <cfRule type="cellIs" dxfId="5965" priority="1269" operator="lessThan">
      <formula>0</formula>
    </cfRule>
    <cfRule type="cellIs" dxfId="5964" priority="1270" operator="lessThan">
      <formula>-105575</formula>
    </cfRule>
  </conditionalFormatting>
  <conditionalFormatting sqref="BB251:BB253">
    <cfRule type="cellIs" dxfId="5963" priority="1267" operator="lessThan">
      <formula>0</formula>
    </cfRule>
    <cfRule type="cellIs" dxfId="5962" priority="1268" operator="lessThan">
      <formula>-105575</formula>
    </cfRule>
  </conditionalFormatting>
  <conditionalFormatting sqref="BB251:BB253">
    <cfRule type="cellIs" dxfId="5961" priority="1265" operator="lessThan">
      <formula>0</formula>
    </cfRule>
    <cfRule type="cellIs" dxfId="5960" priority="1266" operator="lessThan">
      <formula>-105575</formula>
    </cfRule>
  </conditionalFormatting>
  <conditionalFormatting sqref="BB251:BB253">
    <cfRule type="cellIs" dxfId="5959" priority="1263" operator="lessThan">
      <formula>0</formula>
    </cfRule>
    <cfRule type="cellIs" dxfId="5958" priority="1264" operator="lessThan">
      <formula>-105575</formula>
    </cfRule>
  </conditionalFormatting>
  <conditionalFormatting sqref="BB251:BB253">
    <cfRule type="cellIs" dxfId="5957" priority="1261" operator="lessThan">
      <formula>0</formula>
    </cfRule>
    <cfRule type="cellIs" dxfId="5956" priority="1262" operator="lessThan">
      <formula>-105575</formula>
    </cfRule>
  </conditionalFormatting>
  <conditionalFormatting sqref="BB251:BB253">
    <cfRule type="cellIs" dxfId="5955" priority="1259" operator="lessThan">
      <formula>0</formula>
    </cfRule>
    <cfRule type="cellIs" dxfId="5954" priority="1260" operator="lessThan">
      <formula>-105575</formula>
    </cfRule>
  </conditionalFormatting>
  <conditionalFormatting sqref="BB251:BB253">
    <cfRule type="cellIs" dxfId="5953" priority="1257" operator="lessThan">
      <formula>0</formula>
    </cfRule>
    <cfRule type="cellIs" dxfId="5952" priority="1258" operator="lessThan">
      <formula>-105575</formula>
    </cfRule>
  </conditionalFormatting>
  <conditionalFormatting sqref="BB251:BB253">
    <cfRule type="cellIs" dxfId="5951" priority="1255" operator="lessThan">
      <formula>0</formula>
    </cfRule>
    <cfRule type="cellIs" dxfId="5950" priority="1256" operator="lessThan">
      <formula>-105575</formula>
    </cfRule>
  </conditionalFormatting>
  <conditionalFormatting sqref="BB255:BB257">
    <cfRule type="cellIs" dxfId="5949" priority="1253" operator="lessThan">
      <formula>0</formula>
    </cfRule>
    <cfRule type="cellIs" dxfId="5948" priority="1254" operator="lessThan">
      <formula>-105575</formula>
    </cfRule>
  </conditionalFormatting>
  <conditionalFormatting sqref="BB255:BB257">
    <cfRule type="cellIs" dxfId="5947" priority="1251" operator="lessThan">
      <formula>0</formula>
    </cfRule>
    <cfRule type="cellIs" dxfId="5946" priority="1252" operator="lessThan">
      <formula>-105575</formula>
    </cfRule>
  </conditionalFormatting>
  <conditionalFormatting sqref="BB255:BB257">
    <cfRule type="cellIs" dxfId="5945" priority="1249" operator="lessThan">
      <formula>0</formula>
    </cfRule>
    <cfRule type="cellIs" dxfId="5944" priority="1250" operator="lessThan">
      <formula>-105575</formula>
    </cfRule>
  </conditionalFormatting>
  <conditionalFormatting sqref="BB255:BB257">
    <cfRule type="cellIs" dxfId="5943" priority="1247" operator="lessThan">
      <formula>0</formula>
    </cfRule>
    <cfRule type="cellIs" dxfId="5942" priority="1248" operator="lessThan">
      <formula>-105575</formula>
    </cfRule>
  </conditionalFormatting>
  <conditionalFormatting sqref="BB255:BB257">
    <cfRule type="cellIs" dxfId="5941" priority="1245" operator="lessThan">
      <formula>0</formula>
    </cfRule>
    <cfRule type="cellIs" dxfId="5940" priority="1246" operator="lessThan">
      <formula>-105575</formula>
    </cfRule>
  </conditionalFormatting>
  <conditionalFormatting sqref="BB255:BB257">
    <cfRule type="cellIs" dxfId="5939" priority="1243" operator="lessThan">
      <formula>0</formula>
    </cfRule>
    <cfRule type="cellIs" dxfId="5938" priority="1244" operator="lessThan">
      <formula>-105575</formula>
    </cfRule>
  </conditionalFormatting>
  <conditionalFormatting sqref="BB255:BB257">
    <cfRule type="cellIs" dxfId="5937" priority="1241" operator="lessThan">
      <formula>0</formula>
    </cfRule>
    <cfRule type="cellIs" dxfId="5936" priority="1242" operator="lessThan">
      <formula>-105575</formula>
    </cfRule>
  </conditionalFormatting>
  <conditionalFormatting sqref="BB255:BB257">
    <cfRule type="cellIs" dxfId="5935" priority="1239" operator="lessThan">
      <formula>0</formula>
    </cfRule>
    <cfRule type="cellIs" dxfId="5934" priority="1240" operator="lessThan">
      <formula>-105575</formula>
    </cfRule>
  </conditionalFormatting>
  <conditionalFormatting sqref="BB255:BB257">
    <cfRule type="cellIs" dxfId="5933" priority="1237" operator="lessThan">
      <formula>0</formula>
    </cfRule>
    <cfRule type="cellIs" dxfId="5932" priority="1238" operator="lessThan">
      <formula>-105575</formula>
    </cfRule>
  </conditionalFormatting>
  <conditionalFormatting sqref="BB260:BB262">
    <cfRule type="cellIs" dxfId="5931" priority="1235" operator="lessThan">
      <formula>0</formula>
    </cfRule>
    <cfRule type="cellIs" dxfId="5930" priority="1236" operator="lessThan">
      <formula>-105575</formula>
    </cfRule>
  </conditionalFormatting>
  <conditionalFormatting sqref="BB260:BB262">
    <cfRule type="cellIs" dxfId="5929" priority="1233" operator="lessThan">
      <formula>0</formula>
    </cfRule>
    <cfRule type="cellIs" dxfId="5928" priority="1234" operator="lessThan">
      <formula>-105575</formula>
    </cfRule>
  </conditionalFormatting>
  <conditionalFormatting sqref="BB260:BB262">
    <cfRule type="cellIs" dxfId="5927" priority="1231" operator="lessThan">
      <formula>0</formula>
    </cfRule>
    <cfRule type="cellIs" dxfId="5926" priority="1232" operator="lessThan">
      <formula>-105575</formula>
    </cfRule>
  </conditionalFormatting>
  <conditionalFormatting sqref="BB260:BB262">
    <cfRule type="cellIs" dxfId="5925" priority="1229" operator="lessThan">
      <formula>0</formula>
    </cfRule>
    <cfRule type="cellIs" dxfId="5924" priority="1230" operator="lessThan">
      <formula>-105575</formula>
    </cfRule>
  </conditionalFormatting>
  <conditionalFormatting sqref="BB260:BB262">
    <cfRule type="cellIs" dxfId="5923" priority="1227" operator="lessThan">
      <formula>0</formula>
    </cfRule>
    <cfRule type="cellIs" dxfId="5922" priority="1228" operator="lessThan">
      <formula>-105575</formula>
    </cfRule>
  </conditionalFormatting>
  <conditionalFormatting sqref="BB260:BB262">
    <cfRule type="cellIs" dxfId="5921" priority="1225" operator="lessThan">
      <formula>0</formula>
    </cfRule>
    <cfRule type="cellIs" dxfId="5920" priority="1226" operator="lessThan">
      <formula>-105575</formula>
    </cfRule>
  </conditionalFormatting>
  <conditionalFormatting sqref="BB260:BB262">
    <cfRule type="cellIs" dxfId="5919" priority="1223" operator="lessThan">
      <formula>0</formula>
    </cfRule>
    <cfRule type="cellIs" dxfId="5918" priority="1224" operator="lessThan">
      <formula>-105575</formula>
    </cfRule>
  </conditionalFormatting>
  <conditionalFormatting sqref="BB260:BB262">
    <cfRule type="cellIs" dxfId="5917" priority="1221" operator="lessThan">
      <formula>0</formula>
    </cfRule>
    <cfRule type="cellIs" dxfId="5916" priority="1222" operator="lessThan">
      <formula>-105575</formula>
    </cfRule>
  </conditionalFormatting>
  <conditionalFormatting sqref="BB260:BB262">
    <cfRule type="cellIs" dxfId="5915" priority="1219" operator="lessThan">
      <formula>0</formula>
    </cfRule>
    <cfRule type="cellIs" dxfId="5914" priority="1220" operator="lessThan">
      <formula>-105575</formula>
    </cfRule>
  </conditionalFormatting>
  <conditionalFormatting sqref="BB264:BB267">
    <cfRule type="cellIs" dxfId="5913" priority="1217" operator="lessThan">
      <formula>0</formula>
    </cfRule>
    <cfRule type="cellIs" dxfId="5912" priority="1218" operator="lessThan">
      <formula>-105575</formula>
    </cfRule>
  </conditionalFormatting>
  <conditionalFormatting sqref="BB264:BB267">
    <cfRule type="cellIs" dxfId="5911" priority="1215" operator="lessThan">
      <formula>0</formula>
    </cfRule>
    <cfRule type="cellIs" dxfId="5910" priority="1216" operator="lessThan">
      <formula>-105575</formula>
    </cfRule>
  </conditionalFormatting>
  <conditionalFormatting sqref="BB264:BB267">
    <cfRule type="cellIs" dxfId="5909" priority="1213" operator="lessThan">
      <formula>0</formula>
    </cfRule>
    <cfRule type="cellIs" dxfId="5908" priority="1214" operator="lessThan">
      <formula>-105575</formula>
    </cfRule>
  </conditionalFormatting>
  <conditionalFormatting sqref="BB264:BB267">
    <cfRule type="cellIs" dxfId="5907" priority="1211" operator="lessThan">
      <formula>0</formula>
    </cfRule>
    <cfRule type="cellIs" dxfId="5906" priority="1212" operator="lessThan">
      <formula>-105575</formula>
    </cfRule>
  </conditionalFormatting>
  <conditionalFormatting sqref="BB264:BB267">
    <cfRule type="cellIs" dxfId="5905" priority="1209" operator="lessThan">
      <formula>0</formula>
    </cfRule>
    <cfRule type="cellIs" dxfId="5904" priority="1210" operator="lessThan">
      <formula>-105575</formula>
    </cfRule>
  </conditionalFormatting>
  <conditionalFormatting sqref="BB264:BB267">
    <cfRule type="cellIs" dxfId="5903" priority="1207" operator="lessThan">
      <formula>0</formula>
    </cfRule>
    <cfRule type="cellIs" dxfId="5902" priority="1208" operator="lessThan">
      <formula>-105575</formula>
    </cfRule>
  </conditionalFormatting>
  <conditionalFormatting sqref="BB264:BB267">
    <cfRule type="cellIs" dxfId="5901" priority="1205" operator="lessThan">
      <formula>0</formula>
    </cfRule>
    <cfRule type="cellIs" dxfId="5900" priority="1206" operator="lessThan">
      <formula>-105575</formula>
    </cfRule>
  </conditionalFormatting>
  <conditionalFormatting sqref="BB264:BB267">
    <cfRule type="cellIs" dxfId="5899" priority="1203" operator="lessThan">
      <formula>0</formula>
    </cfRule>
    <cfRule type="cellIs" dxfId="5898" priority="1204" operator="lessThan">
      <formula>-105575</formula>
    </cfRule>
  </conditionalFormatting>
  <conditionalFormatting sqref="BB264:BB267">
    <cfRule type="cellIs" dxfId="5897" priority="1201" operator="lessThan">
      <formula>0</formula>
    </cfRule>
    <cfRule type="cellIs" dxfId="5896" priority="1202" operator="lessThan">
      <formula>-105575</formula>
    </cfRule>
  </conditionalFormatting>
  <conditionalFormatting sqref="BB270:BB272">
    <cfRule type="cellIs" dxfId="5895" priority="1199" operator="lessThan">
      <formula>0</formula>
    </cfRule>
    <cfRule type="cellIs" dxfId="5894" priority="1200" operator="lessThan">
      <formula>-105575</formula>
    </cfRule>
  </conditionalFormatting>
  <conditionalFormatting sqref="BB270:BB272">
    <cfRule type="cellIs" dxfId="5893" priority="1197" operator="lessThan">
      <formula>0</formula>
    </cfRule>
    <cfRule type="cellIs" dxfId="5892" priority="1198" operator="lessThan">
      <formula>-105575</formula>
    </cfRule>
  </conditionalFormatting>
  <conditionalFormatting sqref="BB270:BB272">
    <cfRule type="cellIs" dxfId="5891" priority="1195" operator="lessThan">
      <formula>0</formula>
    </cfRule>
    <cfRule type="cellIs" dxfId="5890" priority="1196" operator="lessThan">
      <formula>-105575</formula>
    </cfRule>
  </conditionalFormatting>
  <conditionalFormatting sqref="BB270:BB272">
    <cfRule type="cellIs" dxfId="5889" priority="1193" operator="lessThan">
      <formula>0</formula>
    </cfRule>
    <cfRule type="cellIs" dxfId="5888" priority="1194" operator="lessThan">
      <formula>-105575</formula>
    </cfRule>
  </conditionalFormatting>
  <conditionalFormatting sqref="BB270:BB272">
    <cfRule type="cellIs" dxfId="5887" priority="1191" operator="lessThan">
      <formula>0</formula>
    </cfRule>
    <cfRule type="cellIs" dxfId="5886" priority="1192" operator="lessThan">
      <formula>-105575</formula>
    </cfRule>
  </conditionalFormatting>
  <conditionalFormatting sqref="BB270:BB272">
    <cfRule type="cellIs" dxfId="5885" priority="1189" operator="lessThan">
      <formula>0</formula>
    </cfRule>
    <cfRule type="cellIs" dxfId="5884" priority="1190" operator="lessThan">
      <formula>-105575</formula>
    </cfRule>
  </conditionalFormatting>
  <conditionalFormatting sqref="BB270:BB272">
    <cfRule type="cellIs" dxfId="5883" priority="1187" operator="lessThan">
      <formula>0</formula>
    </cfRule>
    <cfRule type="cellIs" dxfId="5882" priority="1188" operator="lessThan">
      <formula>-105575</formula>
    </cfRule>
  </conditionalFormatting>
  <conditionalFormatting sqref="BB270:BB272">
    <cfRule type="cellIs" dxfId="5881" priority="1185" operator="lessThan">
      <formula>0</formula>
    </cfRule>
    <cfRule type="cellIs" dxfId="5880" priority="1186" operator="lessThan">
      <formula>-105575</formula>
    </cfRule>
  </conditionalFormatting>
  <conditionalFormatting sqref="BB270:BB272">
    <cfRule type="cellIs" dxfId="5879" priority="1183" operator="lessThan">
      <formula>0</formula>
    </cfRule>
    <cfRule type="cellIs" dxfId="5878" priority="1184" operator="lessThan">
      <formula>-105575</formula>
    </cfRule>
  </conditionalFormatting>
  <conditionalFormatting sqref="BB274:BB275">
    <cfRule type="cellIs" dxfId="5877" priority="1181" operator="lessThan">
      <formula>0</formula>
    </cfRule>
    <cfRule type="cellIs" dxfId="5876" priority="1182" operator="lessThan">
      <formula>-105575</formula>
    </cfRule>
  </conditionalFormatting>
  <conditionalFormatting sqref="BB274:BB275">
    <cfRule type="cellIs" dxfId="5875" priority="1179" operator="lessThan">
      <formula>0</formula>
    </cfRule>
    <cfRule type="cellIs" dxfId="5874" priority="1180" operator="lessThan">
      <formula>-105575</formula>
    </cfRule>
  </conditionalFormatting>
  <conditionalFormatting sqref="BB274:BB275">
    <cfRule type="cellIs" dxfId="5873" priority="1177" operator="lessThan">
      <formula>0</formula>
    </cfRule>
    <cfRule type="cellIs" dxfId="5872" priority="1178" operator="lessThan">
      <formula>-105575</formula>
    </cfRule>
  </conditionalFormatting>
  <conditionalFormatting sqref="BB274:BB275">
    <cfRule type="cellIs" dxfId="5871" priority="1175" operator="lessThan">
      <formula>0</formula>
    </cfRule>
    <cfRule type="cellIs" dxfId="5870" priority="1176" operator="lessThan">
      <formula>-105575</formula>
    </cfRule>
  </conditionalFormatting>
  <conditionalFormatting sqref="BB274:BB275">
    <cfRule type="cellIs" dxfId="5869" priority="1173" operator="lessThan">
      <formula>0</formula>
    </cfRule>
    <cfRule type="cellIs" dxfId="5868" priority="1174" operator="lessThan">
      <formula>-105575</formula>
    </cfRule>
  </conditionalFormatting>
  <conditionalFormatting sqref="BB274:BB275">
    <cfRule type="cellIs" dxfId="5867" priority="1171" operator="lessThan">
      <formula>0</formula>
    </cfRule>
    <cfRule type="cellIs" dxfId="5866" priority="1172" operator="lessThan">
      <formula>-105575</formula>
    </cfRule>
  </conditionalFormatting>
  <conditionalFormatting sqref="BB274:BB275">
    <cfRule type="cellIs" dxfId="5865" priority="1169" operator="lessThan">
      <formula>0</formula>
    </cfRule>
    <cfRule type="cellIs" dxfId="5864" priority="1170" operator="lessThan">
      <formula>-105575</formula>
    </cfRule>
  </conditionalFormatting>
  <conditionalFormatting sqref="BB274:BB275">
    <cfRule type="cellIs" dxfId="5863" priority="1167" operator="lessThan">
      <formula>0</formula>
    </cfRule>
    <cfRule type="cellIs" dxfId="5862" priority="1168" operator="lessThan">
      <formula>-105575</formula>
    </cfRule>
  </conditionalFormatting>
  <conditionalFormatting sqref="BB274:BB275">
    <cfRule type="cellIs" dxfId="5861" priority="1165" operator="lessThan">
      <formula>0</formula>
    </cfRule>
    <cfRule type="cellIs" dxfId="5860" priority="1166" operator="lessThan">
      <formula>-105575</formula>
    </cfRule>
  </conditionalFormatting>
  <conditionalFormatting sqref="BB278:BB282">
    <cfRule type="cellIs" dxfId="5859" priority="1163" operator="lessThan">
      <formula>0</formula>
    </cfRule>
    <cfRule type="cellIs" dxfId="5858" priority="1164" operator="lessThan">
      <formula>-105575</formula>
    </cfRule>
  </conditionalFormatting>
  <conditionalFormatting sqref="BB278:BB282">
    <cfRule type="cellIs" dxfId="5857" priority="1161" operator="lessThan">
      <formula>0</formula>
    </cfRule>
    <cfRule type="cellIs" dxfId="5856" priority="1162" operator="lessThan">
      <formula>-105575</formula>
    </cfRule>
  </conditionalFormatting>
  <conditionalFormatting sqref="BB278:BB282">
    <cfRule type="cellIs" dxfId="5855" priority="1159" operator="lessThan">
      <formula>0</formula>
    </cfRule>
    <cfRule type="cellIs" dxfId="5854" priority="1160" operator="lessThan">
      <formula>-105575</formula>
    </cfRule>
  </conditionalFormatting>
  <conditionalFormatting sqref="BB278:BB282">
    <cfRule type="cellIs" dxfId="5853" priority="1157" operator="lessThan">
      <formula>0</formula>
    </cfRule>
    <cfRule type="cellIs" dxfId="5852" priority="1158" operator="lessThan">
      <formula>-105575</formula>
    </cfRule>
  </conditionalFormatting>
  <conditionalFormatting sqref="BB278:BB282">
    <cfRule type="cellIs" dxfId="5851" priority="1155" operator="lessThan">
      <formula>0</formula>
    </cfRule>
    <cfRule type="cellIs" dxfId="5850" priority="1156" operator="lessThan">
      <formula>-105575</formula>
    </cfRule>
  </conditionalFormatting>
  <conditionalFormatting sqref="BB278:BB282">
    <cfRule type="cellIs" dxfId="5849" priority="1153" operator="lessThan">
      <formula>0</formula>
    </cfRule>
    <cfRule type="cellIs" dxfId="5848" priority="1154" operator="lessThan">
      <formula>-105575</formula>
    </cfRule>
  </conditionalFormatting>
  <conditionalFormatting sqref="BB278:BB282">
    <cfRule type="cellIs" dxfId="5847" priority="1151" operator="lessThan">
      <formula>0</formula>
    </cfRule>
    <cfRule type="cellIs" dxfId="5846" priority="1152" operator="lessThan">
      <formula>-105575</formula>
    </cfRule>
  </conditionalFormatting>
  <conditionalFormatting sqref="BB278:BB282">
    <cfRule type="cellIs" dxfId="5845" priority="1149" operator="lessThan">
      <formula>0</formula>
    </cfRule>
    <cfRule type="cellIs" dxfId="5844" priority="1150" operator="lessThan">
      <formula>-105575</formula>
    </cfRule>
  </conditionalFormatting>
  <conditionalFormatting sqref="BB278:BB282">
    <cfRule type="cellIs" dxfId="5843" priority="1147" operator="lessThan">
      <formula>0</formula>
    </cfRule>
    <cfRule type="cellIs" dxfId="5842" priority="1148" operator="lessThan">
      <formula>-105575</formula>
    </cfRule>
  </conditionalFormatting>
  <conditionalFormatting sqref="BB285:BB288">
    <cfRule type="cellIs" dxfId="5841" priority="1145" operator="lessThan">
      <formula>0</formula>
    </cfRule>
    <cfRule type="cellIs" dxfId="5840" priority="1146" operator="lessThan">
      <formula>-105575</formula>
    </cfRule>
  </conditionalFormatting>
  <conditionalFormatting sqref="BB285:BB288">
    <cfRule type="cellIs" dxfId="5839" priority="1143" operator="lessThan">
      <formula>0</formula>
    </cfRule>
    <cfRule type="cellIs" dxfId="5838" priority="1144" operator="lessThan">
      <formula>-105575</formula>
    </cfRule>
  </conditionalFormatting>
  <conditionalFormatting sqref="BB285:BB288">
    <cfRule type="cellIs" dxfId="5837" priority="1141" operator="lessThan">
      <formula>0</formula>
    </cfRule>
    <cfRule type="cellIs" dxfId="5836" priority="1142" operator="lessThan">
      <formula>-105575</formula>
    </cfRule>
  </conditionalFormatting>
  <conditionalFormatting sqref="BB285:BB288">
    <cfRule type="cellIs" dxfId="5835" priority="1139" operator="lessThan">
      <formula>0</formula>
    </cfRule>
    <cfRule type="cellIs" dxfId="5834" priority="1140" operator="lessThan">
      <formula>-105575</formula>
    </cfRule>
  </conditionalFormatting>
  <conditionalFormatting sqref="BB285:BB288">
    <cfRule type="cellIs" dxfId="5833" priority="1137" operator="lessThan">
      <formula>0</formula>
    </cfRule>
    <cfRule type="cellIs" dxfId="5832" priority="1138" operator="lessThan">
      <formula>-105575</formula>
    </cfRule>
  </conditionalFormatting>
  <conditionalFormatting sqref="BB285:BB288">
    <cfRule type="cellIs" dxfId="5831" priority="1135" operator="lessThan">
      <formula>0</formula>
    </cfRule>
    <cfRule type="cellIs" dxfId="5830" priority="1136" operator="lessThan">
      <formula>-105575</formula>
    </cfRule>
  </conditionalFormatting>
  <conditionalFormatting sqref="BB285:BB288">
    <cfRule type="cellIs" dxfId="5829" priority="1133" operator="lessThan">
      <formula>0</formula>
    </cfRule>
    <cfRule type="cellIs" dxfId="5828" priority="1134" operator="lessThan">
      <formula>-105575</formula>
    </cfRule>
  </conditionalFormatting>
  <conditionalFormatting sqref="BB285:BB288">
    <cfRule type="cellIs" dxfId="5827" priority="1131" operator="lessThan">
      <formula>0</formula>
    </cfRule>
    <cfRule type="cellIs" dxfId="5826" priority="1132" operator="lessThan">
      <formula>-105575</formula>
    </cfRule>
  </conditionalFormatting>
  <conditionalFormatting sqref="BB285:BB288">
    <cfRule type="cellIs" dxfId="5825" priority="1129" operator="lessThan">
      <formula>0</formula>
    </cfRule>
    <cfRule type="cellIs" dxfId="5824" priority="1130" operator="lessThan">
      <formula>-105575</formula>
    </cfRule>
  </conditionalFormatting>
  <conditionalFormatting sqref="BB203 BB220:BB221 BB235:BB243 BB231:BB233 BB212:BB213 BB225:BB226">
    <cfRule type="cellIs" dxfId="5823" priority="1127" operator="lessThan">
      <formula>0</formula>
    </cfRule>
    <cfRule type="cellIs" dxfId="5822" priority="1128" operator="lessThan">
      <formula>-105575</formula>
    </cfRule>
  </conditionalFormatting>
  <conditionalFormatting sqref="BB220 BB212:BB213 BB235:BB238 BB240:BB243 BB225:BB226 BB231:BB233">
    <cfRule type="cellIs" dxfId="5821" priority="1125" operator="lessThan">
      <formula>0</formula>
    </cfRule>
    <cfRule type="cellIs" dxfId="5820" priority="1126" operator="lessThan">
      <formula>-105575</formula>
    </cfRule>
  </conditionalFormatting>
  <conditionalFormatting sqref="BB220:BB221 BB243 BB226 BB231:BB236 BB238:BB241 BB203 BB213">
    <cfRule type="cellIs" dxfId="5819" priority="1123" operator="lessThan">
      <formula>0</formula>
    </cfRule>
    <cfRule type="cellIs" dxfId="5818" priority="1124" operator="lessThan">
      <formula>-105575</formula>
    </cfRule>
  </conditionalFormatting>
  <conditionalFormatting sqref="BB235:BB243 BB231:BB233 BB220 BB212:BB213 BB225:BB226">
    <cfRule type="cellIs" dxfId="5817" priority="1121" operator="lessThan">
      <formula>0</formula>
    </cfRule>
    <cfRule type="cellIs" dxfId="5816" priority="1122" operator="lessThan">
      <formula>-105575</formula>
    </cfRule>
  </conditionalFormatting>
  <conditionalFormatting sqref="BB220:BB221 BB237:BB243 BB203 BB231:BB235 BB212:BB213 BB225:BB226">
    <cfRule type="cellIs" dxfId="5815" priority="1119" operator="lessThan">
      <formula>0</formula>
    </cfRule>
    <cfRule type="cellIs" dxfId="5814" priority="1120" operator="lessThan">
      <formula>-105575</formula>
    </cfRule>
  </conditionalFormatting>
  <conditionalFormatting sqref="BB220:BB221 BB237:BB240 BB242:BB243 BB225:BB226 BB231:BB235">
    <cfRule type="cellIs" dxfId="5813" priority="1117" operator="lessThan">
      <formula>0</formula>
    </cfRule>
    <cfRule type="cellIs" dxfId="5812" priority="1118" operator="lessThan">
      <formula>-105575</formula>
    </cfRule>
  </conditionalFormatting>
  <conditionalFormatting sqref="BB212 BB231 BB233:BB238 BB240:BB243 BB225">
    <cfRule type="cellIs" dxfId="5811" priority="1115" operator="lessThan">
      <formula>0</formula>
    </cfRule>
    <cfRule type="cellIs" dxfId="5810" priority="1116" operator="lessThan">
      <formula>-105575</formula>
    </cfRule>
  </conditionalFormatting>
  <conditionalFormatting sqref="BB237:BB243 BB231:BB235 BB220:BB221 BB225:BB226">
    <cfRule type="cellIs" dxfId="5809" priority="1113" operator="lessThan">
      <formula>0</formula>
    </cfRule>
    <cfRule type="cellIs" dxfId="5808" priority="1114" operator="lessThan">
      <formula>-105575</formula>
    </cfRule>
  </conditionalFormatting>
  <conditionalFormatting sqref="BB233:BB237 BB231 BB239:BB243">
    <cfRule type="cellIs" dxfId="5807" priority="1111" operator="lessThan">
      <formula>0</formula>
    </cfRule>
    <cfRule type="cellIs" dxfId="5806" priority="1112" operator="lessThan">
      <formula>-105575</formula>
    </cfRule>
  </conditionalFormatting>
  <conditionalFormatting sqref="BB233:BB237 BB231 BB239:BB243">
    <cfRule type="cellIs" dxfId="5805" priority="1109" operator="lessThan">
      <formula>0</formula>
    </cfRule>
    <cfRule type="cellIs" dxfId="5804" priority="1110" operator="lessThan">
      <formula>-105575</formula>
    </cfRule>
  </conditionalFormatting>
  <conditionalFormatting sqref="BB119:BB128 BB106:BB117 BB101:BB104 BB80:BB98">
    <cfRule type="cellIs" dxfId="5803" priority="1107" operator="lessThan">
      <formula>0</formula>
    </cfRule>
    <cfRule type="cellIs" dxfId="5802" priority="1108" operator="lessThan">
      <formula>-105575</formula>
    </cfRule>
  </conditionalFormatting>
  <conditionalFormatting sqref="BB130 BB132 BB134">
    <cfRule type="cellIs" dxfId="5801" priority="1105" operator="lessThan">
      <formula>0</formula>
    </cfRule>
    <cfRule type="cellIs" dxfId="5800" priority="1106" operator="lessThan">
      <formula>-105575</formula>
    </cfRule>
  </conditionalFormatting>
  <conditionalFormatting sqref="BB130 BB132 BB134">
    <cfRule type="cellIs" dxfId="5799" priority="1103" operator="lessThan">
      <formula>0</formula>
    </cfRule>
    <cfRule type="cellIs" dxfId="5798" priority="1104" operator="lessThan">
      <formula>-105575</formula>
    </cfRule>
  </conditionalFormatting>
  <conditionalFormatting sqref="BB129 BB131 BB133 BB135">
    <cfRule type="cellIs" dxfId="5797" priority="1101" operator="lessThan">
      <formula>0</formula>
    </cfRule>
    <cfRule type="cellIs" dxfId="5796" priority="1102" operator="lessThan">
      <formula>-105575</formula>
    </cfRule>
  </conditionalFormatting>
  <conditionalFormatting sqref="BB140 BB145 BB142:BB143 BB137:BB138">
    <cfRule type="cellIs" dxfId="5795" priority="1099" operator="lessThan">
      <formula>0</formula>
    </cfRule>
    <cfRule type="cellIs" dxfId="5794" priority="1100" operator="lessThan">
      <formula>-105575</formula>
    </cfRule>
  </conditionalFormatting>
  <conditionalFormatting sqref="BB149">
    <cfRule type="cellIs" dxfId="5793" priority="1097" operator="lessThan">
      <formula>0</formula>
    </cfRule>
    <cfRule type="cellIs" dxfId="5792" priority="1098" operator="lessThan">
      <formula>-105575</formula>
    </cfRule>
  </conditionalFormatting>
  <conditionalFormatting sqref="BB129:BB138 BB140:BB149">
    <cfRule type="cellIs" dxfId="5791" priority="1095" operator="lessThan">
      <formula>0</formula>
    </cfRule>
    <cfRule type="cellIs" dxfId="5790" priority="1096" operator="lessThan">
      <formula>-105575</formula>
    </cfRule>
  </conditionalFormatting>
  <conditionalFormatting sqref="BB94:BB98 BB86:BB87 BB89:BB91 BB141:BB149 BB124:BB133 BB107:BB110 BB112:BB117 BB119:BB122 BB135:BB138 BB101:BB104 BB80:BB84">
    <cfRule type="cellIs" dxfId="5789" priority="1093" operator="lessThan">
      <formula>0</formula>
    </cfRule>
    <cfRule type="cellIs" dxfId="5788" priority="1094" operator="lessThan">
      <formula>-105575</formula>
    </cfRule>
  </conditionalFormatting>
  <conditionalFormatting sqref="BB129 BB131 BB133 BB135">
    <cfRule type="cellIs" dxfId="5787" priority="1091" operator="lessThan">
      <formula>0</formula>
    </cfRule>
    <cfRule type="cellIs" dxfId="5786" priority="1092" operator="lessThan">
      <formula>-105575</formula>
    </cfRule>
  </conditionalFormatting>
  <conditionalFormatting sqref="BB146 BB144 BB141">
    <cfRule type="cellIs" dxfId="5785" priority="1089" operator="lessThan">
      <formula>0</formula>
    </cfRule>
    <cfRule type="cellIs" dxfId="5784" priority="1090" operator="lessThan">
      <formula>-105575</formula>
    </cfRule>
  </conditionalFormatting>
  <conditionalFormatting sqref="BB146 BB144 BB141">
    <cfRule type="cellIs" dxfId="5783" priority="1087" operator="lessThan">
      <formula>0</formula>
    </cfRule>
    <cfRule type="cellIs" dxfId="5782" priority="1088" operator="lessThan">
      <formula>-105575</formula>
    </cfRule>
  </conditionalFormatting>
  <conditionalFormatting sqref="BB140 BB145 BB142:BB143 BB137:BB138">
    <cfRule type="cellIs" dxfId="5781" priority="1085" operator="lessThan">
      <formula>0</formula>
    </cfRule>
    <cfRule type="cellIs" dxfId="5780" priority="1086" operator="lessThan">
      <formula>-105575</formula>
    </cfRule>
  </conditionalFormatting>
  <conditionalFormatting sqref="BB149">
    <cfRule type="cellIs" dxfId="5779" priority="1083" operator="lessThan">
      <formula>0</formula>
    </cfRule>
    <cfRule type="cellIs" dxfId="5778" priority="1084" operator="lessThan">
      <formula>-105575</formula>
    </cfRule>
  </conditionalFormatting>
  <conditionalFormatting sqref="BB94:BB98 BB86:BB87 BB89:BB91 BB141:BB149 BB124:BB133 BB107:BB110 BB112:BB117 BB119:BB122 BB135:BB138 BB101:BB104 BB80:BB84">
    <cfRule type="cellIs" dxfId="5777" priority="1081" operator="lessThan">
      <formula>0</formula>
    </cfRule>
    <cfRule type="cellIs" dxfId="5776" priority="1082" operator="lessThan">
      <formula>-105575</formula>
    </cfRule>
  </conditionalFormatting>
  <conditionalFormatting sqref="BB246:BB249 BB262 BB267 BB279:BB282 BB285:BB288 BB274:BB275 BB306:BB309 BB311:BB325 BB327:BB330 BB332:BB341 BB344:BB347 BB349:BB353 BB355:BB358 BB360:BB384 BB386:BB389 BB392:BB395 BB397:BB411 BB413:BB416 BB418:BB432 BB434:BB437 BB439:BB453 BB455:BB458 BB460:BB469 BB7:BB10 BB12:BB14 BB17:BB18 BB21:BB24 BB26:BB28 BB30:BB36 BB38 BB41:BB43 BB46:BB49 BB51:BB55 BB57:BB59 BB62:BB76 BB251:BB253 BB255:BB257 BB293:BB304 BB264:BB265 BB260 BB290:BB291 BB270:BB272">
    <cfRule type="cellIs" dxfId="5775" priority="1079" operator="lessThan">
      <formula>0</formula>
    </cfRule>
    <cfRule type="cellIs" dxfId="5774" priority="1080" operator="lessThan">
      <formula>-105575</formula>
    </cfRule>
  </conditionalFormatting>
  <conditionalFormatting sqref="BB41">
    <cfRule type="cellIs" dxfId="5773" priority="1077" operator="lessThan">
      <formula>0</formula>
    </cfRule>
    <cfRule type="cellIs" dxfId="5772" priority="1078" operator="lessThan">
      <formula>-105575</formula>
    </cfRule>
  </conditionalFormatting>
  <conditionalFormatting sqref="BB152:BB155">
    <cfRule type="cellIs" dxfId="5771" priority="1075" operator="lessThan">
      <formula>0</formula>
    </cfRule>
    <cfRule type="cellIs" dxfId="5770" priority="1076" operator="lessThan">
      <formula>-105575</formula>
    </cfRule>
  </conditionalFormatting>
  <conditionalFormatting sqref="BB152:BB155">
    <cfRule type="cellIs" dxfId="5769" priority="1073" operator="lessThan">
      <formula>0</formula>
    </cfRule>
    <cfRule type="cellIs" dxfId="5768" priority="1074" operator="lessThan">
      <formula>-105575</formula>
    </cfRule>
  </conditionalFormatting>
  <conditionalFormatting sqref="BB152:BB155">
    <cfRule type="cellIs" dxfId="5767" priority="1071" operator="lessThan">
      <formula>0</formula>
    </cfRule>
    <cfRule type="cellIs" dxfId="5766" priority="1072" operator="lessThan">
      <formula>-105575</formula>
    </cfRule>
  </conditionalFormatting>
  <conditionalFormatting sqref="BB157:BB158">
    <cfRule type="cellIs" dxfId="5765" priority="1069" operator="lessThan">
      <formula>0</formula>
    </cfRule>
    <cfRule type="cellIs" dxfId="5764" priority="1070" operator="lessThan">
      <formula>-105575</formula>
    </cfRule>
  </conditionalFormatting>
  <conditionalFormatting sqref="BB157:BB158">
    <cfRule type="cellIs" dxfId="5763" priority="1067" operator="lessThan">
      <formula>0</formula>
    </cfRule>
    <cfRule type="cellIs" dxfId="5762" priority="1068" operator="lessThan">
      <formula>-105575</formula>
    </cfRule>
  </conditionalFormatting>
  <conditionalFormatting sqref="BB157:BB158">
    <cfRule type="cellIs" dxfId="5761" priority="1065" operator="lessThan">
      <formula>0</formula>
    </cfRule>
    <cfRule type="cellIs" dxfId="5760" priority="1066" operator="lessThan">
      <formula>-105575</formula>
    </cfRule>
  </conditionalFormatting>
  <conditionalFormatting sqref="BB160:BB161">
    <cfRule type="cellIs" dxfId="5759" priority="1063" operator="lessThan">
      <formula>0</formula>
    </cfRule>
    <cfRule type="cellIs" dxfId="5758" priority="1064" operator="lessThan">
      <formula>-105575</formula>
    </cfRule>
  </conditionalFormatting>
  <conditionalFormatting sqref="BB160:BB161">
    <cfRule type="cellIs" dxfId="5757" priority="1061" operator="lessThan">
      <formula>0</formula>
    </cfRule>
    <cfRule type="cellIs" dxfId="5756" priority="1062" operator="lessThan">
      <formula>-105575</formula>
    </cfRule>
  </conditionalFormatting>
  <conditionalFormatting sqref="BB160:BB161">
    <cfRule type="cellIs" dxfId="5755" priority="1059" operator="lessThan">
      <formula>0</formula>
    </cfRule>
    <cfRule type="cellIs" dxfId="5754" priority="1060" operator="lessThan">
      <formula>-105575</formula>
    </cfRule>
  </conditionalFormatting>
  <conditionalFormatting sqref="BB164:BB167">
    <cfRule type="cellIs" dxfId="5753" priority="1057" operator="lessThan">
      <formula>0</formula>
    </cfRule>
    <cfRule type="cellIs" dxfId="5752" priority="1058" operator="lessThan">
      <formula>-105575</formula>
    </cfRule>
  </conditionalFormatting>
  <conditionalFormatting sqref="BB164:BB167">
    <cfRule type="cellIs" dxfId="5751" priority="1055" operator="lessThan">
      <formula>0</formula>
    </cfRule>
    <cfRule type="cellIs" dxfId="5750" priority="1056" operator="lessThan">
      <formula>-105575</formula>
    </cfRule>
  </conditionalFormatting>
  <conditionalFormatting sqref="BB164:BB167">
    <cfRule type="cellIs" dxfId="5749" priority="1053" operator="lessThan">
      <formula>0</formula>
    </cfRule>
    <cfRule type="cellIs" dxfId="5748" priority="1054" operator="lessThan">
      <formula>-105575</formula>
    </cfRule>
  </conditionalFormatting>
  <conditionalFormatting sqref="BB169:BB177">
    <cfRule type="cellIs" dxfId="5747" priority="1051" operator="lessThan">
      <formula>0</formula>
    </cfRule>
    <cfRule type="cellIs" dxfId="5746" priority="1052" operator="lessThan">
      <formula>-105575</formula>
    </cfRule>
  </conditionalFormatting>
  <conditionalFormatting sqref="BB169:BB177">
    <cfRule type="cellIs" dxfId="5745" priority="1049" operator="lessThan">
      <formula>0</formula>
    </cfRule>
    <cfRule type="cellIs" dxfId="5744" priority="1050" operator="lessThan">
      <formula>-105575</formula>
    </cfRule>
  </conditionalFormatting>
  <conditionalFormatting sqref="BB169:BB177">
    <cfRule type="cellIs" dxfId="5743" priority="1047" operator="lessThan">
      <formula>0</formula>
    </cfRule>
    <cfRule type="cellIs" dxfId="5742" priority="1048" operator="lessThan">
      <formula>-105575</formula>
    </cfRule>
  </conditionalFormatting>
  <conditionalFormatting sqref="BB179:BB180">
    <cfRule type="cellIs" dxfId="5741" priority="1045" operator="lessThan">
      <formula>0</formula>
    </cfRule>
    <cfRule type="cellIs" dxfId="5740" priority="1046" operator="lessThan">
      <formula>-105575</formula>
    </cfRule>
  </conditionalFormatting>
  <conditionalFormatting sqref="BB179:BB180">
    <cfRule type="cellIs" dxfId="5739" priority="1043" operator="lessThan">
      <formula>0</formula>
    </cfRule>
    <cfRule type="cellIs" dxfId="5738" priority="1044" operator="lessThan">
      <formula>-105575</formula>
    </cfRule>
  </conditionalFormatting>
  <conditionalFormatting sqref="BB179:BB180">
    <cfRule type="cellIs" dxfId="5737" priority="1041" operator="lessThan">
      <formula>0</formula>
    </cfRule>
    <cfRule type="cellIs" dxfId="5736" priority="1042" operator="lessThan">
      <formula>-105575</formula>
    </cfRule>
  </conditionalFormatting>
  <conditionalFormatting sqref="BB183:BB189">
    <cfRule type="cellIs" dxfId="5735" priority="1039" operator="lessThan">
      <formula>0</formula>
    </cfRule>
    <cfRule type="cellIs" dxfId="5734" priority="1040" operator="lessThan">
      <formula>-105575</formula>
    </cfRule>
  </conditionalFormatting>
  <conditionalFormatting sqref="BB183:BB189">
    <cfRule type="cellIs" dxfId="5733" priority="1037" operator="lessThan">
      <formula>0</formula>
    </cfRule>
    <cfRule type="cellIs" dxfId="5732" priority="1038" operator="lessThan">
      <formula>-105575</formula>
    </cfRule>
  </conditionalFormatting>
  <conditionalFormatting sqref="BB183:BB189">
    <cfRule type="cellIs" dxfId="5731" priority="1035" operator="lessThan">
      <formula>0</formula>
    </cfRule>
    <cfRule type="cellIs" dxfId="5730" priority="1036" operator="lessThan">
      <formula>-105575</formula>
    </cfRule>
  </conditionalFormatting>
  <conditionalFormatting sqref="BB191:BB192">
    <cfRule type="cellIs" dxfId="5729" priority="1033" operator="lessThan">
      <formula>0</formula>
    </cfRule>
    <cfRule type="cellIs" dxfId="5728" priority="1034" operator="lessThan">
      <formula>-105575</formula>
    </cfRule>
  </conditionalFormatting>
  <conditionalFormatting sqref="BB191:BB192">
    <cfRule type="cellIs" dxfId="5727" priority="1031" operator="lessThan">
      <formula>0</formula>
    </cfRule>
    <cfRule type="cellIs" dxfId="5726" priority="1032" operator="lessThan">
      <formula>-105575</formula>
    </cfRule>
  </conditionalFormatting>
  <conditionalFormatting sqref="BB191:BB192">
    <cfRule type="cellIs" dxfId="5725" priority="1029" operator="lessThan">
      <formula>0</formula>
    </cfRule>
    <cfRule type="cellIs" dxfId="5724" priority="1030" operator="lessThan">
      <formula>-105575</formula>
    </cfRule>
  </conditionalFormatting>
  <conditionalFormatting sqref="BB194:BB195">
    <cfRule type="cellIs" dxfId="5723" priority="1027" operator="lessThan">
      <formula>0</formula>
    </cfRule>
    <cfRule type="cellIs" dxfId="5722" priority="1028" operator="lessThan">
      <formula>-105575</formula>
    </cfRule>
  </conditionalFormatting>
  <conditionalFormatting sqref="BB194:BB195">
    <cfRule type="cellIs" dxfId="5721" priority="1025" operator="lessThan">
      <formula>0</formula>
    </cfRule>
    <cfRule type="cellIs" dxfId="5720" priority="1026" operator="lessThan">
      <formula>-105575</formula>
    </cfRule>
  </conditionalFormatting>
  <conditionalFormatting sqref="BB194:BB195">
    <cfRule type="cellIs" dxfId="5719" priority="1023" operator="lessThan">
      <formula>0</formula>
    </cfRule>
    <cfRule type="cellIs" dxfId="5718" priority="1024" operator="lessThan">
      <formula>-105575</formula>
    </cfRule>
  </conditionalFormatting>
  <conditionalFormatting sqref="BB199:BB202">
    <cfRule type="cellIs" dxfId="5717" priority="1021" operator="lessThan">
      <formula>0</formula>
    </cfRule>
    <cfRule type="cellIs" dxfId="5716" priority="1022" operator="lessThan">
      <formula>-105575</formula>
    </cfRule>
  </conditionalFormatting>
  <conditionalFormatting sqref="BB199:BB202">
    <cfRule type="cellIs" dxfId="5715" priority="1019" operator="lessThan">
      <formula>0</formula>
    </cfRule>
    <cfRule type="cellIs" dxfId="5714" priority="1020" operator="lessThan">
      <formula>-105575</formula>
    </cfRule>
  </conditionalFormatting>
  <conditionalFormatting sqref="BB199:BB202">
    <cfRule type="cellIs" dxfId="5713" priority="1017" operator="lessThan">
      <formula>0</formula>
    </cfRule>
    <cfRule type="cellIs" dxfId="5712" priority="1018" operator="lessThan">
      <formula>-105575</formula>
    </cfRule>
  </conditionalFormatting>
  <conditionalFormatting sqref="BB204:BB208">
    <cfRule type="cellIs" dxfId="5711" priority="1015" operator="lessThan">
      <formula>0</formula>
    </cfRule>
    <cfRule type="cellIs" dxfId="5710" priority="1016" operator="lessThan">
      <formula>-105575</formula>
    </cfRule>
  </conditionalFormatting>
  <conditionalFormatting sqref="BB204:BB208">
    <cfRule type="cellIs" dxfId="5709" priority="1013" operator="lessThan">
      <formula>0</formula>
    </cfRule>
    <cfRule type="cellIs" dxfId="5708" priority="1014" operator="lessThan">
      <formula>-105575</formula>
    </cfRule>
  </conditionalFormatting>
  <conditionalFormatting sqref="BB204:BB208">
    <cfRule type="cellIs" dxfId="5707" priority="1011" operator="lessThan">
      <formula>0</formula>
    </cfRule>
    <cfRule type="cellIs" dxfId="5706" priority="1012" operator="lessThan">
      <formula>-105575</formula>
    </cfRule>
  </conditionalFormatting>
  <conditionalFormatting sqref="BB210:BB211">
    <cfRule type="cellIs" dxfId="5705" priority="1009" operator="lessThan">
      <formula>0</formula>
    </cfRule>
    <cfRule type="cellIs" dxfId="5704" priority="1010" operator="lessThan">
      <formula>-105575</formula>
    </cfRule>
  </conditionalFormatting>
  <conditionalFormatting sqref="BB210:BB211">
    <cfRule type="cellIs" dxfId="5703" priority="1007" operator="lessThan">
      <formula>0</formula>
    </cfRule>
    <cfRule type="cellIs" dxfId="5702" priority="1008" operator="lessThan">
      <formula>-105575</formula>
    </cfRule>
  </conditionalFormatting>
  <conditionalFormatting sqref="BB210:BB211">
    <cfRule type="cellIs" dxfId="5701" priority="1005" operator="lessThan">
      <formula>0</formula>
    </cfRule>
    <cfRule type="cellIs" dxfId="5700" priority="1006" operator="lessThan">
      <formula>-105575</formula>
    </cfRule>
  </conditionalFormatting>
  <conditionalFormatting sqref="BB214:BB219">
    <cfRule type="cellIs" dxfId="5699" priority="1003" operator="lessThan">
      <formula>0</formula>
    </cfRule>
    <cfRule type="cellIs" dxfId="5698" priority="1004" operator="lessThan">
      <formula>-105575</formula>
    </cfRule>
  </conditionalFormatting>
  <conditionalFormatting sqref="BB214:BB219">
    <cfRule type="cellIs" dxfId="5697" priority="1001" operator="lessThan">
      <formula>0</formula>
    </cfRule>
    <cfRule type="cellIs" dxfId="5696" priority="1002" operator="lessThan">
      <formula>-105575</formula>
    </cfRule>
  </conditionalFormatting>
  <conditionalFormatting sqref="BB214:BB219">
    <cfRule type="cellIs" dxfId="5695" priority="999" operator="lessThan">
      <formula>0</formula>
    </cfRule>
    <cfRule type="cellIs" dxfId="5694" priority="1000" operator="lessThan">
      <formula>-105575</formula>
    </cfRule>
  </conditionalFormatting>
  <conditionalFormatting sqref="BB222:BB224">
    <cfRule type="cellIs" dxfId="5693" priority="997" operator="lessThan">
      <formula>0</formula>
    </cfRule>
    <cfRule type="cellIs" dxfId="5692" priority="998" operator="lessThan">
      <formula>-105575</formula>
    </cfRule>
  </conditionalFormatting>
  <conditionalFormatting sqref="BB222:BB224">
    <cfRule type="cellIs" dxfId="5691" priority="995" operator="lessThan">
      <formula>0</formula>
    </cfRule>
    <cfRule type="cellIs" dxfId="5690" priority="996" operator="lessThan">
      <formula>-105575</formula>
    </cfRule>
  </conditionalFormatting>
  <conditionalFormatting sqref="BB222:BB224">
    <cfRule type="cellIs" dxfId="5689" priority="993" operator="lessThan">
      <formula>0</formula>
    </cfRule>
    <cfRule type="cellIs" dxfId="5688" priority="994" operator="lessThan">
      <formula>-105575</formula>
    </cfRule>
  </conditionalFormatting>
  <conditionalFormatting sqref="BB227:BB230">
    <cfRule type="cellIs" dxfId="5687" priority="991" operator="lessThan">
      <formula>0</formula>
    </cfRule>
    <cfRule type="cellIs" dxfId="5686" priority="992" operator="lessThan">
      <formula>-105575</formula>
    </cfRule>
  </conditionalFormatting>
  <conditionalFormatting sqref="BB227:BB230">
    <cfRule type="cellIs" dxfId="5685" priority="989" operator="lessThan">
      <formula>0</formula>
    </cfRule>
    <cfRule type="cellIs" dxfId="5684" priority="990" operator="lessThan">
      <formula>-105575</formula>
    </cfRule>
  </conditionalFormatting>
  <conditionalFormatting sqref="BB227:BB230">
    <cfRule type="cellIs" dxfId="5683" priority="987" operator="lessThan">
      <formula>0</formula>
    </cfRule>
    <cfRule type="cellIs" dxfId="5682" priority="988" operator="lessThan">
      <formula>-105575</formula>
    </cfRule>
  </conditionalFormatting>
  <conditionalFormatting sqref="BB203 BB220:BB221 BB235:BB243 BB231:BB233 BB212:BB213 BB225:BB226">
    <cfRule type="cellIs" dxfId="5681" priority="985" operator="lessThan">
      <formula>0</formula>
    </cfRule>
    <cfRule type="cellIs" dxfId="5680" priority="986" operator="lessThan">
      <formula>-105575</formula>
    </cfRule>
  </conditionalFormatting>
  <conditionalFormatting sqref="BB220 BB212:BB213 BB235:BB238 BB240:BB243 BB225:BB226 BB231:BB233">
    <cfRule type="cellIs" dxfId="5679" priority="983" operator="lessThan">
      <formula>0</formula>
    </cfRule>
    <cfRule type="cellIs" dxfId="5678" priority="984" operator="lessThan">
      <formula>-105575</formula>
    </cfRule>
  </conditionalFormatting>
  <conditionalFormatting sqref="BB220:BB221 BB243 BB226 BB231:BB236 BB238:BB241 BB203 BB213">
    <cfRule type="cellIs" dxfId="5677" priority="981" operator="lessThan">
      <formula>0</formula>
    </cfRule>
    <cfRule type="cellIs" dxfId="5676" priority="982" operator="lessThan">
      <formula>-105575</formula>
    </cfRule>
  </conditionalFormatting>
  <conditionalFormatting sqref="BB235:BB243 BB231:BB233 BB220 BB212:BB213 BB225:BB226">
    <cfRule type="cellIs" dxfId="5675" priority="979" operator="lessThan">
      <formula>0</formula>
    </cfRule>
    <cfRule type="cellIs" dxfId="5674" priority="980" operator="lessThan">
      <formula>-105575</formula>
    </cfRule>
  </conditionalFormatting>
  <conditionalFormatting sqref="BB220:BB221 BB237:BB243 BB203 BB231:BB235 BB212:BB213 BB225:BB226">
    <cfRule type="cellIs" dxfId="5673" priority="977" operator="lessThan">
      <formula>0</formula>
    </cfRule>
    <cfRule type="cellIs" dxfId="5672" priority="978" operator="lessThan">
      <formula>-105575</formula>
    </cfRule>
  </conditionalFormatting>
  <conditionalFormatting sqref="BB220:BB221 BB237:BB240 BB242:BB243 BB225:BB226 BB231:BB235">
    <cfRule type="cellIs" dxfId="5671" priority="975" operator="lessThan">
      <formula>0</formula>
    </cfRule>
    <cfRule type="cellIs" dxfId="5670" priority="976" operator="lessThan">
      <formula>-105575</formula>
    </cfRule>
  </conditionalFormatting>
  <conditionalFormatting sqref="BB212 BB231 BB233:BB238 BB240:BB243 BB225">
    <cfRule type="cellIs" dxfId="5669" priority="973" operator="lessThan">
      <formula>0</formula>
    </cfRule>
    <cfRule type="cellIs" dxfId="5668" priority="974" operator="lessThan">
      <formula>-105575</formula>
    </cfRule>
  </conditionalFormatting>
  <conditionalFormatting sqref="BB237:BB243 BB231:BB235 BB220:BB221 BB225:BB226">
    <cfRule type="cellIs" dxfId="5667" priority="971" operator="lessThan">
      <formula>0</formula>
    </cfRule>
    <cfRule type="cellIs" dxfId="5666" priority="972" operator="lessThan">
      <formula>-105575</formula>
    </cfRule>
  </conditionalFormatting>
  <conditionalFormatting sqref="BB233:BB237 BB231 BB239:BB243">
    <cfRule type="cellIs" dxfId="5665" priority="969" operator="lessThan">
      <formula>0</formula>
    </cfRule>
    <cfRule type="cellIs" dxfId="5664" priority="970" operator="lessThan">
      <formula>-105575</formula>
    </cfRule>
  </conditionalFormatting>
  <conditionalFormatting sqref="BB233:BB237 BB231 BB239:BB243">
    <cfRule type="cellIs" dxfId="5663" priority="967" operator="lessThan">
      <formula>0</formula>
    </cfRule>
    <cfRule type="cellIs" dxfId="5662" priority="968" operator="lessThan">
      <formula>-105575</formula>
    </cfRule>
  </conditionalFormatting>
  <conditionalFormatting sqref="BB119:BB128 BB106:BB117 BB101:BB104 BB80:BB98">
    <cfRule type="cellIs" dxfId="5661" priority="965" operator="lessThan">
      <formula>0</formula>
    </cfRule>
    <cfRule type="cellIs" dxfId="5660" priority="966" operator="lessThan">
      <formula>-105575</formula>
    </cfRule>
  </conditionalFormatting>
  <conditionalFormatting sqref="BB130 BB132 BB134">
    <cfRule type="cellIs" dxfId="5659" priority="963" operator="lessThan">
      <formula>0</formula>
    </cfRule>
    <cfRule type="cellIs" dxfId="5658" priority="964" operator="lessThan">
      <formula>-105575</formula>
    </cfRule>
  </conditionalFormatting>
  <conditionalFormatting sqref="BB130 BB132 BB134">
    <cfRule type="cellIs" dxfId="5657" priority="961" operator="lessThan">
      <formula>0</formula>
    </cfRule>
    <cfRule type="cellIs" dxfId="5656" priority="962" operator="lessThan">
      <formula>-105575</formula>
    </cfRule>
  </conditionalFormatting>
  <conditionalFormatting sqref="BB129 BB131 BB133 BB135">
    <cfRule type="cellIs" dxfId="5655" priority="959" operator="lessThan">
      <formula>0</formula>
    </cfRule>
    <cfRule type="cellIs" dxfId="5654" priority="960" operator="lessThan">
      <formula>-105575</formula>
    </cfRule>
  </conditionalFormatting>
  <conditionalFormatting sqref="BB140 BB145 BB142:BB143 BB137:BB138">
    <cfRule type="cellIs" dxfId="5653" priority="957" operator="lessThan">
      <formula>0</formula>
    </cfRule>
    <cfRule type="cellIs" dxfId="5652" priority="958" operator="lessThan">
      <formula>-105575</formula>
    </cfRule>
  </conditionalFormatting>
  <conditionalFormatting sqref="BB149">
    <cfRule type="cellIs" dxfId="5651" priority="955" operator="lessThan">
      <formula>0</formula>
    </cfRule>
    <cfRule type="cellIs" dxfId="5650" priority="956" operator="lessThan">
      <formula>-105575</formula>
    </cfRule>
  </conditionalFormatting>
  <conditionalFormatting sqref="BB129:BB138 BB140:BB149">
    <cfRule type="cellIs" dxfId="5649" priority="953" operator="lessThan">
      <formula>0</formula>
    </cfRule>
    <cfRule type="cellIs" dxfId="5648" priority="954" operator="lessThan">
      <formula>-105575</formula>
    </cfRule>
  </conditionalFormatting>
  <conditionalFormatting sqref="BB94:BB98 BB86:BB87 BB89:BB91 BB141:BB149 BB124:BB133 BB107:BB110 BB112:BB117 BB119:BB122 BB135:BB138 BB101:BB104 BB80:BB84">
    <cfRule type="cellIs" dxfId="5647" priority="951" operator="lessThan">
      <formula>0</formula>
    </cfRule>
    <cfRule type="cellIs" dxfId="5646" priority="952" operator="lessThan">
      <formula>-105575</formula>
    </cfRule>
  </conditionalFormatting>
  <conditionalFormatting sqref="BB129 BB131 BB133 BB135">
    <cfRule type="cellIs" dxfId="5645" priority="949" operator="lessThan">
      <formula>0</formula>
    </cfRule>
    <cfRule type="cellIs" dxfId="5644" priority="950" operator="lessThan">
      <formula>-105575</formula>
    </cfRule>
  </conditionalFormatting>
  <conditionalFormatting sqref="BB146 BB144 BB141">
    <cfRule type="cellIs" dxfId="5643" priority="947" operator="lessThan">
      <formula>0</formula>
    </cfRule>
    <cfRule type="cellIs" dxfId="5642" priority="948" operator="lessThan">
      <formula>-105575</formula>
    </cfRule>
  </conditionalFormatting>
  <conditionalFormatting sqref="BB146 BB144 BB141">
    <cfRule type="cellIs" dxfId="5641" priority="945" operator="lessThan">
      <formula>0</formula>
    </cfRule>
    <cfRule type="cellIs" dxfId="5640" priority="946" operator="lessThan">
      <formula>-105575</formula>
    </cfRule>
  </conditionalFormatting>
  <conditionalFormatting sqref="BB140 BB145 BB142:BB143 BB137:BB138">
    <cfRule type="cellIs" dxfId="5639" priority="943" operator="lessThan">
      <formula>0</formula>
    </cfRule>
    <cfRule type="cellIs" dxfId="5638" priority="944" operator="lessThan">
      <formula>-105575</formula>
    </cfRule>
  </conditionalFormatting>
  <conditionalFormatting sqref="BB149">
    <cfRule type="cellIs" dxfId="5637" priority="941" operator="lessThan">
      <formula>0</formula>
    </cfRule>
    <cfRule type="cellIs" dxfId="5636" priority="942" operator="lessThan">
      <formula>-105575</formula>
    </cfRule>
  </conditionalFormatting>
  <conditionalFormatting sqref="BB94:BB98 BB86:BB87 BB89:BB91 BB141:BB149 BB124:BB133 BB107:BB110 BB112:BB117 BB119:BB122 BB135:BB138 BB101:BB104 BB80:BB84">
    <cfRule type="cellIs" dxfId="5635" priority="939" operator="lessThan">
      <formula>0</formula>
    </cfRule>
    <cfRule type="cellIs" dxfId="5634" priority="940" operator="lessThan">
      <formula>-105575</formula>
    </cfRule>
  </conditionalFormatting>
  <conditionalFormatting sqref="BB62:BB76 BB306:BB309 BB311:BB325 BB327:BB330 BB332:BB341 BB344:BB347 BB349:BB353 BB355:BB358 BB360:BB384 BB386:BB389 BB392:BB395 BB397:BB411 BB413:BB416 BB418:BB432 BB434:BB437 BB439:BB453 BB455:BB458 BB460:BB469 BB7:BB10 BB12:BB14 BB17:BB18 BB21:BB24 BB26:BB28 BB30:BB36 BB38 BB41:BB43 BB46:BB49 BB51:BB55 BB57:BB59 BB290:BB291 BB293:BB304">
    <cfRule type="cellIs" dxfId="5633" priority="937" operator="lessThan">
      <formula>0</formula>
    </cfRule>
    <cfRule type="cellIs" dxfId="5632" priority="938" operator="lessThan">
      <formula>-105575</formula>
    </cfRule>
  </conditionalFormatting>
  <conditionalFormatting sqref="BB41">
    <cfRule type="cellIs" dxfId="5631" priority="935" operator="lessThan">
      <formula>0</formula>
    </cfRule>
    <cfRule type="cellIs" dxfId="5630" priority="936" operator="lessThan">
      <formula>-105575</formula>
    </cfRule>
  </conditionalFormatting>
  <conditionalFormatting sqref="BB152:BB155">
    <cfRule type="cellIs" dxfId="5629" priority="933" operator="lessThan">
      <formula>0</formula>
    </cfRule>
    <cfRule type="cellIs" dxfId="5628" priority="934" operator="lessThan">
      <formula>-105575</formula>
    </cfRule>
  </conditionalFormatting>
  <conditionalFormatting sqref="BB152:BB155">
    <cfRule type="cellIs" dxfId="5627" priority="931" operator="lessThan">
      <formula>0</formula>
    </cfRule>
    <cfRule type="cellIs" dxfId="5626" priority="932" operator="lessThan">
      <formula>-105575</formula>
    </cfRule>
  </conditionalFormatting>
  <conditionalFormatting sqref="BB152:BB155">
    <cfRule type="cellIs" dxfId="5625" priority="929" operator="lessThan">
      <formula>0</formula>
    </cfRule>
    <cfRule type="cellIs" dxfId="5624" priority="930" operator="lessThan">
      <formula>-105575</formula>
    </cfRule>
  </conditionalFormatting>
  <conditionalFormatting sqref="BB157:BB158">
    <cfRule type="cellIs" dxfId="5623" priority="927" operator="lessThan">
      <formula>0</formula>
    </cfRule>
    <cfRule type="cellIs" dxfId="5622" priority="928" operator="lessThan">
      <formula>-105575</formula>
    </cfRule>
  </conditionalFormatting>
  <conditionalFormatting sqref="BB157:BB158">
    <cfRule type="cellIs" dxfId="5621" priority="925" operator="lessThan">
      <formula>0</formula>
    </cfRule>
    <cfRule type="cellIs" dxfId="5620" priority="926" operator="lessThan">
      <formula>-105575</formula>
    </cfRule>
  </conditionalFormatting>
  <conditionalFormatting sqref="BB157:BB158">
    <cfRule type="cellIs" dxfId="5619" priority="923" operator="lessThan">
      <formula>0</formula>
    </cfRule>
    <cfRule type="cellIs" dxfId="5618" priority="924" operator="lessThan">
      <formula>-105575</formula>
    </cfRule>
  </conditionalFormatting>
  <conditionalFormatting sqref="BB160:BB161">
    <cfRule type="cellIs" dxfId="5617" priority="921" operator="lessThan">
      <formula>0</formula>
    </cfRule>
    <cfRule type="cellIs" dxfId="5616" priority="922" operator="lessThan">
      <formula>-105575</formula>
    </cfRule>
  </conditionalFormatting>
  <conditionalFormatting sqref="BB160:BB161">
    <cfRule type="cellIs" dxfId="5615" priority="919" operator="lessThan">
      <formula>0</formula>
    </cfRule>
    <cfRule type="cellIs" dxfId="5614" priority="920" operator="lessThan">
      <formula>-105575</formula>
    </cfRule>
  </conditionalFormatting>
  <conditionalFormatting sqref="BB160:BB161">
    <cfRule type="cellIs" dxfId="5613" priority="917" operator="lessThan">
      <formula>0</formula>
    </cfRule>
    <cfRule type="cellIs" dxfId="5612" priority="918" operator="lessThan">
      <formula>-105575</formula>
    </cfRule>
  </conditionalFormatting>
  <conditionalFormatting sqref="BB164:BB167">
    <cfRule type="cellIs" dxfId="5611" priority="915" operator="lessThan">
      <formula>0</formula>
    </cfRule>
    <cfRule type="cellIs" dxfId="5610" priority="916" operator="lessThan">
      <formula>-105575</formula>
    </cfRule>
  </conditionalFormatting>
  <conditionalFormatting sqref="BB164:BB167">
    <cfRule type="cellIs" dxfId="5609" priority="913" operator="lessThan">
      <formula>0</formula>
    </cfRule>
    <cfRule type="cellIs" dxfId="5608" priority="914" operator="lessThan">
      <formula>-105575</formula>
    </cfRule>
  </conditionalFormatting>
  <conditionalFormatting sqref="BB164:BB167">
    <cfRule type="cellIs" dxfId="5607" priority="911" operator="lessThan">
      <formula>0</formula>
    </cfRule>
    <cfRule type="cellIs" dxfId="5606" priority="912" operator="lessThan">
      <formula>-105575</formula>
    </cfRule>
  </conditionalFormatting>
  <conditionalFormatting sqref="BB169:BB177">
    <cfRule type="cellIs" dxfId="5605" priority="909" operator="lessThan">
      <formula>0</formula>
    </cfRule>
    <cfRule type="cellIs" dxfId="5604" priority="910" operator="lessThan">
      <formula>-105575</formula>
    </cfRule>
  </conditionalFormatting>
  <conditionalFormatting sqref="BB169:BB177">
    <cfRule type="cellIs" dxfId="5603" priority="907" operator="lessThan">
      <formula>0</formula>
    </cfRule>
    <cfRule type="cellIs" dxfId="5602" priority="908" operator="lessThan">
      <formula>-105575</formula>
    </cfRule>
  </conditionalFormatting>
  <conditionalFormatting sqref="BB169:BB177">
    <cfRule type="cellIs" dxfId="5601" priority="905" operator="lessThan">
      <formula>0</formula>
    </cfRule>
    <cfRule type="cellIs" dxfId="5600" priority="906" operator="lessThan">
      <formula>-105575</formula>
    </cfRule>
  </conditionalFormatting>
  <conditionalFormatting sqref="BB179:BB180">
    <cfRule type="cellIs" dxfId="5599" priority="903" operator="lessThan">
      <formula>0</formula>
    </cfRule>
    <cfRule type="cellIs" dxfId="5598" priority="904" operator="lessThan">
      <formula>-105575</formula>
    </cfRule>
  </conditionalFormatting>
  <conditionalFormatting sqref="BB179:BB180">
    <cfRule type="cellIs" dxfId="5597" priority="901" operator="lessThan">
      <formula>0</formula>
    </cfRule>
    <cfRule type="cellIs" dxfId="5596" priority="902" operator="lessThan">
      <formula>-105575</formula>
    </cfRule>
  </conditionalFormatting>
  <conditionalFormatting sqref="BB179:BB180">
    <cfRule type="cellIs" dxfId="5595" priority="899" operator="lessThan">
      <formula>0</formula>
    </cfRule>
    <cfRule type="cellIs" dxfId="5594" priority="900" operator="lessThan">
      <formula>-105575</formula>
    </cfRule>
  </conditionalFormatting>
  <conditionalFormatting sqref="BB183:BB189">
    <cfRule type="cellIs" dxfId="5593" priority="897" operator="lessThan">
      <formula>0</formula>
    </cfRule>
    <cfRule type="cellIs" dxfId="5592" priority="898" operator="lessThan">
      <formula>-105575</formula>
    </cfRule>
  </conditionalFormatting>
  <conditionalFormatting sqref="BB183:BB189">
    <cfRule type="cellIs" dxfId="5591" priority="895" operator="lessThan">
      <formula>0</formula>
    </cfRule>
    <cfRule type="cellIs" dxfId="5590" priority="896" operator="lessThan">
      <formula>-105575</formula>
    </cfRule>
  </conditionalFormatting>
  <conditionalFormatting sqref="BB183:BB189">
    <cfRule type="cellIs" dxfId="5589" priority="893" operator="lessThan">
      <formula>0</formula>
    </cfRule>
    <cfRule type="cellIs" dxfId="5588" priority="894" operator="lessThan">
      <formula>-105575</formula>
    </cfRule>
  </conditionalFormatting>
  <conditionalFormatting sqref="BB191:BB192">
    <cfRule type="cellIs" dxfId="5587" priority="891" operator="lessThan">
      <formula>0</formula>
    </cfRule>
    <cfRule type="cellIs" dxfId="5586" priority="892" operator="lessThan">
      <formula>-105575</formula>
    </cfRule>
  </conditionalFormatting>
  <conditionalFormatting sqref="BB191:BB192">
    <cfRule type="cellIs" dxfId="5585" priority="889" operator="lessThan">
      <formula>0</formula>
    </cfRule>
    <cfRule type="cellIs" dxfId="5584" priority="890" operator="lessThan">
      <formula>-105575</formula>
    </cfRule>
  </conditionalFormatting>
  <conditionalFormatting sqref="BB191:BB192">
    <cfRule type="cellIs" dxfId="5583" priority="887" operator="lessThan">
      <formula>0</formula>
    </cfRule>
    <cfRule type="cellIs" dxfId="5582" priority="888" operator="lessThan">
      <formula>-105575</formula>
    </cfRule>
  </conditionalFormatting>
  <conditionalFormatting sqref="BB194:BB195">
    <cfRule type="cellIs" dxfId="5581" priority="885" operator="lessThan">
      <formula>0</formula>
    </cfRule>
    <cfRule type="cellIs" dxfId="5580" priority="886" operator="lessThan">
      <formula>-105575</formula>
    </cfRule>
  </conditionalFormatting>
  <conditionalFormatting sqref="BB194:BB195">
    <cfRule type="cellIs" dxfId="5579" priority="883" operator="lessThan">
      <formula>0</formula>
    </cfRule>
    <cfRule type="cellIs" dxfId="5578" priority="884" operator="lessThan">
      <formula>-105575</formula>
    </cfRule>
  </conditionalFormatting>
  <conditionalFormatting sqref="BB194:BB195">
    <cfRule type="cellIs" dxfId="5577" priority="881" operator="lessThan">
      <formula>0</formula>
    </cfRule>
    <cfRule type="cellIs" dxfId="5576" priority="882" operator="lessThan">
      <formula>-105575</formula>
    </cfRule>
  </conditionalFormatting>
  <conditionalFormatting sqref="BB199:BB202">
    <cfRule type="cellIs" dxfId="5575" priority="879" operator="lessThan">
      <formula>0</formula>
    </cfRule>
    <cfRule type="cellIs" dxfId="5574" priority="880" operator="lessThan">
      <formula>-105575</formula>
    </cfRule>
  </conditionalFormatting>
  <conditionalFormatting sqref="BB199:BB202">
    <cfRule type="cellIs" dxfId="5573" priority="877" operator="lessThan">
      <formula>0</formula>
    </cfRule>
    <cfRule type="cellIs" dxfId="5572" priority="878" operator="lessThan">
      <formula>-105575</formula>
    </cfRule>
  </conditionalFormatting>
  <conditionalFormatting sqref="BB199:BB202">
    <cfRule type="cellIs" dxfId="5571" priority="875" operator="lessThan">
      <formula>0</formula>
    </cfRule>
    <cfRule type="cellIs" dxfId="5570" priority="876" operator="lessThan">
      <formula>-105575</formula>
    </cfRule>
  </conditionalFormatting>
  <conditionalFormatting sqref="BB204:BB208">
    <cfRule type="cellIs" dxfId="5569" priority="873" operator="lessThan">
      <formula>0</formula>
    </cfRule>
    <cfRule type="cellIs" dxfId="5568" priority="874" operator="lessThan">
      <formula>-105575</formula>
    </cfRule>
  </conditionalFormatting>
  <conditionalFormatting sqref="BB204:BB208">
    <cfRule type="cellIs" dxfId="5567" priority="871" operator="lessThan">
      <formula>0</formula>
    </cfRule>
    <cfRule type="cellIs" dxfId="5566" priority="872" operator="lessThan">
      <formula>-105575</formula>
    </cfRule>
  </conditionalFormatting>
  <conditionalFormatting sqref="BB204:BB208">
    <cfRule type="cellIs" dxfId="5565" priority="869" operator="lessThan">
      <formula>0</formula>
    </cfRule>
    <cfRule type="cellIs" dxfId="5564" priority="870" operator="lessThan">
      <formula>-105575</formula>
    </cfRule>
  </conditionalFormatting>
  <conditionalFormatting sqref="BB210:BB211">
    <cfRule type="cellIs" dxfId="5563" priority="867" operator="lessThan">
      <formula>0</formula>
    </cfRule>
    <cfRule type="cellIs" dxfId="5562" priority="868" operator="lessThan">
      <formula>-105575</formula>
    </cfRule>
  </conditionalFormatting>
  <conditionalFormatting sqref="BB210:BB211">
    <cfRule type="cellIs" dxfId="5561" priority="865" operator="lessThan">
      <formula>0</formula>
    </cfRule>
    <cfRule type="cellIs" dxfId="5560" priority="866" operator="lessThan">
      <formula>-105575</formula>
    </cfRule>
  </conditionalFormatting>
  <conditionalFormatting sqref="BB210:BB211">
    <cfRule type="cellIs" dxfId="5559" priority="863" operator="lessThan">
      <formula>0</formula>
    </cfRule>
    <cfRule type="cellIs" dxfId="5558" priority="864" operator="lessThan">
      <formula>-105575</formula>
    </cfRule>
  </conditionalFormatting>
  <conditionalFormatting sqref="BB214:BB219">
    <cfRule type="cellIs" dxfId="5557" priority="861" operator="lessThan">
      <formula>0</formula>
    </cfRule>
    <cfRule type="cellIs" dxfId="5556" priority="862" operator="lessThan">
      <formula>-105575</formula>
    </cfRule>
  </conditionalFormatting>
  <conditionalFormatting sqref="BB214:BB219">
    <cfRule type="cellIs" dxfId="5555" priority="859" operator="lessThan">
      <formula>0</formula>
    </cfRule>
    <cfRule type="cellIs" dxfId="5554" priority="860" operator="lessThan">
      <formula>-105575</formula>
    </cfRule>
  </conditionalFormatting>
  <conditionalFormatting sqref="BB214:BB219">
    <cfRule type="cellIs" dxfId="5553" priority="857" operator="lessThan">
      <formula>0</formula>
    </cfRule>
    <cfRule type="cellIs" dxfId="5552" priority="858" operator="lessThan">
      <formula>-105575</formula>
    </cfRule>
  </conditionalFormatting>
  <conditionalFormatting sqref="BB222:BB224">
    <cfRule type="cellIs" dxfId="5551" priority="855" operator="lessThan">
      <formula>0</formula>
    </cfRule>
    <cfRule type="cellIs" dxfId="5550" priority="856" operator="lessThan">
      <formula>-105575</formula>
    </cfRule>
  </conditionalFormatting>
  <conditionalFormatting sqref="BB222:BB224">
    <cfRule type="cellIs" dxfId="5549" priority="853" operator="lessThan">
      <formula>0</formula>
    </cfRule>
    <cfRule type="cellIs" dxfId="5548" priority="854" operator="lessThan">
      <formula>-105575</formula>
    </cfRule>
  </conditionalFormatting>
  <conditionalFormatting sqref="BB222:BB224">
    <cfRule type="cellIs" dxfId="5547" priority="851" operator="lessThan">
      <formula>0</formula>
    </cfRule>
    <cfRule type="cellIs" dxfId="5546" priority="852" operator="lessThan">
      <formula>-105575</formula>
    </cfRule>
  </conditionalFormatting>
  <conditionalFormatting sqref="BB227:BB230">
    <cfRule type="cellIs" dxfId="5545" priority="849" operator="lessThan">
      <formula>0</formula>
    </cfRule>
    <cfRule type="cellIs" dxfId="5544" priority="850" operator="lessThan">
      <formula>-105575</formula>
    </cfRule>
  </conditionalFormatting>
  <conditionalFormatting sqref="BB227:BB230">
    <cfRule type="cellIs" dxfId="5543" priority="847" operator="lessThan">
      <formula>0</formula>
    </cfRule>
    <cfRule type="cellIs" dxfId="5542" priority="848" operator="lessThan">
      <formula>-105575</formula>
    </cfRule>
  </conditionalFormatting>
  <conditionalFormatting sqref="BB227:BB230">
    <cfRule type="cellIs" dxfId="5541" priority="845" operator="lessThan">
      <formula>0</formula>
    </cfRule>
    <cfRule type="cellIs" dxfId="5540" priority="846" operator="lessThan">
      <formula>-105575</formula>
    </cfRule>
  </conditionalFormatting>
  <conditionalFormatting sqref="BB246:BB249">
    <cfRule type="cellIs" dxfId="5539" priority="843" operator="lessThan">
      <formula>0</formula>
    </cfRule>
    <cfRule type="cellIs" dxfId="5538" priority="844" operator="lessThan">
      <formula>-105575</formula>
    </cfRule>
  </conditionalFormatting>
  <conditionalFormatting sqref="BB246:BB249">
    <cfRule type="cellIs" dxfId="5537" priority="841" operator="lessThan">
      <formula>0</formula>
    </cfRule>
    <cfRule type="cellIs" dxfId="5536" priority="842" operator="lessThan">
      <formula>-105575</formula>
    </cfRule>
  </conditionalFormatting>
  <conditionalFormatting sqref="BB246:BB249">
    <cfRule type="cellIs" dxfId="5535" priority="839" operator="lessThan">
      <formula>0</formula>
    </cfRule>
    <cfRule type="cellIs" dxfId="5534" priority="840" operator="lessThan">
      <formula>-105575</formula>
    </cfRule>
  </conditionalFormatting>
  <conditionalFormatting sqref="BB246:BB249">
    <cfRule type="cellIs" dxfId="5533" priority="837" operator="lessThan">
      <formula>0</formula>
    </cfRule>
    <cfRule type="cellIs" dxfId="5532" priority="838" operator="lessThan">
      <formula>-105575</formula>
    </cfRule>
  </conditionalFormatting>
  <conditionalFormatting sqref="BB246:BB249">
    <cfRule type="cellIs" dxfId="5531" priority="835" operator="lessThan">
      <formula>0</formula>
    </cfRule>
    <cfRule type="cellIs" dxfId="5530" priority="836" operator="lessThan">
      <formula>-105575</formula>
    </cfRule>
  </conditionalFormatting>
  <conditionalFormatting sqref="BB246:BB249">
    <cfRule type="cellIs" dxfId="5529" priority="833" operator="lessThan">
      <formula>0</formula>
    </cfRule>
    <cfRule type="cellIs" dxfId="5528" priority="834" operator="lessThan">
      <formula>-105575</formula>
    </cfRule>
  </conditionalFormatting>
  <conditionalFormatting sqref="BB246:BB249">
    <cfRule type="cellIs" dxfId="5527" priority="831" operator="lessThan">
      <formula>0</formula>
    </cfRule>
    <cfRule type="cellIs" dxfId="5526" priority="832" operator="lessThan">
      <formula>-105575</formula>
    </cfRule>
  </conditionalFormatting>
  <conditionalFormatting sqref="BB246:BB249">
    <cfRule type="cellIs" dxfId="5525" priority="829" operator="lessThan">
      <formula>0</formula>
    </cfRule>
    <cfRule type="cellIs" dxfId="5524" priority="830" operator="lessThan">
      <formula>-105575</formula>
    </cfRule>
  </conditionalFormatting>
  <conditionalFormatting sqref="BB246:BB249">
    <cfRule type="cellIs" dxfId="5523" priority="827" operator="lessThan">
      <formula>0</formula>
    </cfRule>
    <cfRule type="cellIs" dxfId="5522" priority="828" operator="lessThan">
      <formula>-105575</formula>
    </cfRule>
  </conditionalFormatting>
  <conditionalFormatting sqref="BB251:BB253">
    <cfRule type="cellIs" dxfId="5521" priority="825" operator="lessThan">
      <formula>0</formula>
    </cfRule>
    <cfRule type="cellIs" dxfId="5520" priority="826" operator="lessThan">
      <formula>-105575</formula>
    </cfRule>
  </conditionalFormatting>
  <conditionalFormatting sqref="BB251:BB253">
    <cfRule type="cellIs" dxfId="5519" priority="823" operator="lessThan">
      <formula>0</formula>
    </cfRule>
    <cfRule type="cellIs" dxfId="5518" priority="824" operator="lessThan">
      <formula>-105575</formula>
    </cfRule>
  </conditionalFormatting>
  <conditionalFormatting sqref="BB251:BB253">
    <cfRule type="cellIs" dxfId="5517" priority="821" operator="lessThan">
      <formula>0</formula>
    </cfRule>
    <cfRule type="cellIs" dxfId="5516" priority="822" operator="lessThan">
      <formula>-105575</formula>
    </cfRule>
  </conditionalFormatting>
  <conditionalFormatting sqref="BB251:BB253">
    <cfRule type="cellIs" dxfId="5515" priority="819" operator="lessThan">
      <formula>0</formula>
    </cfRule>
    <cfRule type="cellIs" dxfId="5514" priority="820" operator="lessThan">
      <formula>-105575</formula>
    </cfRule>
  </conditionalFormatting>
  <conditionalFormatting sqref="BB251:BB253">
    <cfRule type="cellIs" dxfId="5513" priority="817" operator="lessThan">
      <formula>0</formula>
    </cfRule>
    <cfRule type="cellIs" dxfId="5512" priority="818" operator="lessThan">
      <formula>-105575</formula>
    </cfRule>
  </conditionalFormatting>
  <conditionalFormatting sqref="BB251:BB253">
    <cfRule type="cellIs" dxfId="5511" priority="815" operator="lessThan">
      <formula>0</formula>
    </cfRule>
    <cfRule type="cellIs" dxfId="5510" priority="816" operator="lessThan">
      <formula>-105575</formula>
    </cfRule>
  </conditionalFormatting>
  <conditionalFormatting sqref="BB251:BB253">
    <cfRule type="cellIs" dxfId="5509" priority="813" operator="lessThan">
      <formula>0</formula>
    </cfRule>
    <cfRule type="cellIs" dxfId="5508" priority="814" operator="lessThan">
      <formula>-105575</formula>
    </cfRule>
  </conditionalFormatting>
  <conditionalFormatting sqref="BB251:BB253">
    <cfRule type="cellIs" dxfId="5507" priority="811" operator="lessThan">
      <formula>0</formula>
    </cfRule>
    <cfRule type="cellIs" dxfId="5506" priority="812" operator="lessThan">
      <formula>-105575</formula>
    </cfRule>
  </conditionalFormatting>
  <conditionalFormatting sqref="BB251:BB253">
    <cfRule type="cellIs" dxfId="5505" priority="809" operator="lessThan">
      <formula>0</formula>
    </cfRule>
    <cfRule type="cellIs" dxfId="5504" priority="810" operator="lessThan">
      <formula>-105575</formula>
    </cfRule>
  </conditionalFormatting>
  <conditionalFormatting sqref="BB255:BB257">
    <cfRule type="cellIs" dxfId="5503" priority="807" operator="lessThan">
      <formula>0</formula>
    </cfRule>
    <cfRule type="cellIs" dxfId="5502" priority="808" operator="lessThan">
      <formula>-105575</formula>
    </cfRule>
  </conditionalFormatting>
  <conditionalFormatting sqref="BB255:BB257">
    <cfRule type="cellIs" dxfId="5501" priority="805" operator="lessThan">
      <formula>0</formula>
    </cfRule>
    <cfRule type="cellIs" dxfId="5500" priority="806" operator="lessThan">
      <formula>-105575</formula>
    </cfRule>
  </conditionalFormatting>
  <conditionalFormatting sqref="BB255:BB257">
    <cfRule type="cellIs" dxfId="5499" priority="803" operator="lessThan">
      <formula>0</formula>
    </cfRule>
    <cfRule type="cellIs" dxfId="5498" priority="804" operator="lessThan">
      <formula>-105575</formula>
    </cfRule>
  </conditionalFormatting>
  <conditionalFormatting sqref="BB255:BB257">
    <cfRule type="cellIs" dxfId="5497" priority="801" operator="lessThan">
      <formula>0</formula>
    </cfRule>
    <cfRule type="cellIs" dxfId="5496" priority="802" operator="lessThan">
      <formula>-105575</formula>
    </cfRule>
  </conditionalFormatting>
  <conditionalFormatting sqref="BB255:BB257">
    <cfRule type="cellIs" dxfId="5495" priority="799" operator="lessThan">
      <formula>0</formula>
    </cfRule>
    <cfRule type="cellIs" dxfId="5494" priority="800" operator="lessThan">
      <formula>-105575</formula>
    </cfRule>
  </conditionalFormatting>
  <conditionalFormatting sqref="BB255:BB257">
    <cfRule type="cellIs" dxfId="5493" priority="797" operator="lessThan">
      <formula>0</formula>
    </cfRule>
    <cfRule type="cellIs" dxfId="5492" priority="798" operator="lessThan">
      <formula>-105575</formula>
    </cfRule>
  </conditionalFormatting>
  <conditionalFormatting sqref="BB255:BB257">
    <cfRule type="cellIs" dxfId="5491" priority="795" operator="lessThan">
      <formula>0</formula>
    </cfRule>
    <cfRule type="cellIs" dxfId="5490" priority="796" operator="lessThan">
      <formula>-105575</formula>
    </cfRule>
  </conditionalFormatting>
  <conditionalFormatting sqref="BB255:BB257">
    <cfRule type="cellIs" dxfId="5489" priority="793" operator="lessThan">
      <formula>0</formula>
    </cfRule>
    <cfRule type="cellIs" dxfId="5488" priority="794" operator="lessThan">
      <formula>-105575</formula>
    </cfRule>
  </conditionalFormatting>
  <conditionalFormatting sqref="BB255:BB257">
    <cfRule type="cellIs" dxfId="5487" priority="791" operator="lessThan">
      <formula>0</formula>
    </cfRule>
    <cfRule type="cellIs" dxfId="5486" priority="792" operator="lessThan">
      <formula>-105575</formula>
    </cfRule>
  </conditionalFormatting>
  <conditionalFormatting sqref="BB260:BB262">
    <cfRule type="cellIs" dxfId="5485" priority="789" operator="lessThan">
      <formula>0</formula>
    </cfRule>
    <cfRule type="cellIs" dxfId="5484" priority="790" operator="lessThan">
      <formula>-105575</formula>
    </cfRule>
  </conditionalFormatting>
  <conditionalFormatting sqref="BB260:BB262">
    <cfRule type="cellIs" dxfId="5483" priority="787" operator="lessThan">
      <formula>0</formula>
    </cfRule>
    <cfRule type="cellIs" dxfId="5482" priority="788" operator="lessThan">
      <formula>-105575</formula>
    </cfRule>
  </conditionalFormatting>
  <conditionalFormatting sqref="BB260:BB262">
    <cfRule type="cellIs" dxfId="5481" priority="785" operator="lessThan">
      <formula>0</formula>
    </cfRule>
    <cfRule type="cellIs" dxfId="5480" priority="786" operator="lessThan">
      <formula>-105575</formula>
    </cfRule>
  </conditionalFormatting>
  <conditionalFormatting sqref="BB260:BB262">
    <cfRule type="cellIs" dxfId="5479" priority="783" operator="lessThan">
      <formula>0</formula>
    </cfRule>
    <cfRule type="cellIs" dxfId="5478" priority="784" operator="lessThan">
      <formula>-105575</formula>
    </cfRule>
  </conditionalFormatting>
  <conditionalFormatting sqref="BB260:BB262">
    <cfRule type="cellIs" dxfId="5477" priority="781" operator="lessThan">
      <formula>0</formula>
    </cfRule>
    <cfRule type="cellIs" dxfId="5476" priority="782" operator="lessThan">
      <formula>-105575</formula>
    </cfRule>
  </conditionalFormatting>
  <conditionalFormatting sqref="BB260:BB262">
    <cfRule type="cellIs" dxfId="5475" priority="779" operator="lessThan">
      <formula>0</formula>
    </cfRule>
    <cfRule type="cellIs" dxfId="5474" priority="780" operator="lessThan">
      <formula>-105575</formula>
    </cfRule>
  </conditionalFormatting>
  <conditionalFormatting sqref="BB260:BB262">
    <cfRule type="cellIs" dxfId="5473" priority="777" operator="lessThan">
      <formula>0</formula>
    </cfRule>
    <cfRule type="cellIs" dxfId="5472" priority="778" operator="lessThan">
      <formula>-105575</formula>
    </cfRule>
  </conditionalFormatting>
  <conditionalFormatting sqref="BB260:BB262">
    <cfRule type="cellIs" dxfId="5471" priority="775" operator="lessThan">
      <formula>0</formula>
    </cfRule>
    <cfRule type="cellIs" dxfId="5470" priority="776" operator="lessThan">
      <formula>-105575</formula>
    </cfRule>
  </conditionalFormatting>
  <conditionalFormatting sqref="BB260:BB262">
    <cfRule type="cellIs" dxfId="5469" priority="773" operator="lessThan">
      <formula>0</formula>
    </cfRule>
    <cfRule type="cellIs" dxfId="5468" priority="774" operator="lessThan">
      <formula>-105575</formula>
    </cfRule>
  </conditionalFormatting>
  <conditionalFormatting sqref="BB264:BB267">
    <cfRule type="cellIs" dxfId="5467" priority="771" operator="lessThan">
      <formula>0</formula>
    </cfRule>
    <cfRule type="cellIs" dxfId="5466" priority="772" operator="lessThan">
      <formula>-105575</formula>
    </cfRule>
  </conditionalFormatting>
  <conditionalFormatting sqref="BB264:BB267">
    <cfRule type="cellIs" dxfId="5465" priority="769" operator="lessThan">
      <formula>0</formula>
    </cfRule>
    <cfRule type="cellIs" dxfId="5464" priority="770" operator="lessThan">
      <formula>-105575</formula>
    </cfRule>
  </conditionalFormatting>
  <conditionalFormatting sqref="BB264:BB267">
    <cfRule type="cellIs" dxfId="5463" priority="767" operator="lessThan">
      <formula>0</formula>
    </cfRule>
    <cfRule type="cellIs" dxfId="5462" priority="768" operator="lessThan">
      <formula>-105575</formula>
    </cfRule>
  </conditionalFormatting>
  <conditionalFormatting sqref="BB264:BB267">
    <cfRule type="cellIs" dxfId="5461" priority="765" operator="lessThan">
      <formula>0</formula>
    </cfRule>
    <cfRule type="cellIs" dxfId="5460" priority="766" operator="lessThan">
      <formula>-105575</formula>
    </cfRule>
  </conditionalFormatting>
  <conditionalFormatting sqref="BB264:BB267">
    <cfRule type="cellIs" dxfId="5459" priority="763" operator="lessThan">
      <formula>0</formula>
    </cfRule>
    <cfRule type="cellIs" dxfId="5458" priority="764" operator="lessThan">
      <formula>-105575</formula>
    </cfRule>
  </conditionalFormatting>
  <conditionalFormatting sqref="BB264:BB267">
    <cfRule type="cellIs" dxfId="5457" priority="761" operator="lessThan">
      <formula>0</formula>
    </cfRule>
    <cfRule type="cellIs" dxfId="5456" priority="762" operator="lessThan">
      <formula>-105575</formula>
    </cfRule>
  </conditionalFormatting>
  <conditionalFormatting sqref="BB264:BB267">
    <cfRule type="cellIs" dxfId="5455" priority="759" operator="lessThan">
      <formula>0</formula>
    </cfRule>
    <cfRule type="cellIs" dxfId="5454" priority="760" operator="lessThan">
      <formula>-105575</formula>
    </cfRule>
  </conditionalFormatting>
  <conditionalFormatting sqref="BB264:BB267">
    <cfRule type="cellIs" dxfId="5453" priority="757" operator="lessThan">
      <formula>0</formula>
    </cfRule>
    <cfRule type="cellIs" dxfId="5452" priority="758" operator="lessThan">
      <formula>-105575</formula>
    </cfRule>
  </conditionalFormatting>
  <conditionalFormatting sqref="BB264:BB267">
    <cfRule type="cellIs" dxfId="5451" priority="755" operator="lessThan">
      <formula>0</formula>
    </cfRule>
    <cfRule type="cellIs" dxfId="5450" priority="756" operator="lessThan">
      <formula>-105575</formula>
    </cfRule>
  </conditionalFormatting>
  <conditionalFormatting sqref="BB270:BB272">
    <cfRule type="cellIs" dxfId="5449" priority="753" operator="lessThan">
      <formula>0</formula>
    </cfRule>
    <cfRule type="cellIs" dxfId="5448" priority="754" operator="lessThan">
      <formula>-105575</formula>
    </cfRule>
  </conditionalFormatting>
  <conditionalFormatting sqref="BB270:BB272">
    <cfRule type="cellIs" dxfId="5447" priority="751" operator="lessThan">
      <formula>0</formula>
    </cfRule>
    <cfRule type="cellIs" dxfId="5446" priority="752" operator="lessThan">
      <formula>-105575</formula>
    </cfRule>
  </conditionalFormatting>
  <conditionalFormatting sqref="BB270:BB272">
    <cfRule type="cellIs" dxfId="5445" priority="749" operator="lessThan">
      <formula>0</formula>
    </cfRule>
    <cfRule type="cellIs" dxfId="5444" priority="750" operator="lessThan">
      <formula>-105575</formula>
    </cfRule>
  </conditionalFormatting>
  <conditionalFormatting sqref="BB270:BB272">
    <cfRule type="cellIs" dxfId="5443" priority="747" operator="lessThan">
      <formula>0</formula>
    </cfRule>
    <cfRule type="cellIs" dxfId="5442" priority="748" operator="lessThan">
      <formula>-105575</formula>
    </cfRule>
  </conditionalFormatting>
  <conditionalFormatting sqref="BB270:BB272">
    <cfRule type="cellIs" dxfId="5441" priority="745" operator="lessThan">
      <formula>0</formula>
    </cfRule>
    <cfRule type="cellIs" dxfId="5440" priority="746" operator="lessThan">
      <formula>-105575</formula>
    </cfRule>
  </conditionalFormatting>
  <conditionalFormatting sqref="BB270:BB272">
    <cfRule type="cellIs" dxfId="5439" priority="743" operator="lessThan">
      <formula>0</formula>
    </cfRule>
    <cfRule type="cellIs" dxfId="5438" priority="744" operator="lessThan">
      <formula>-105575</formula>
    </cfRule>
  </conditionalFormatting>
  <conditionalFormatting sqref="BB270:BB272">
    <cfRule type="cellIs" dxfId="5437" priority="741" operator="lessThan">
      <formula>0</formula>
    </cfRule>
    <cfRule type="cellIs" dxfId="5436" priority="742" operator="lessThan">
      <formula>-105575</formula>
    </cfRule>
  </conditionalFormatting>
  <conditionalFormatting sqref="BB270:BB272">
    <cfRule type="cellIs" dxfId="5435" priority="739" operator="lessThan">
      <formula>0</formula>
    </cfRule>
    <cfRule type="cellIs" dxfId="5434" priority="740" operator="lessThan">
      <formula>-105575</formula>
    </cfRule>
  </conditionalFormatting>
  <conditionalFormatting sqref="BB270:BB272">
    <cfRule type="cellIs" dxfId="5433" priority="737" operator="lessThan">
      <formula>0</formula>
    </cfRule>
    <cfRule type="cellIs" dxfId="5432" priority="738" operator="lessThan">
      <formula>-105575</formula>
    </cfRule>
  </conditionalFormatting>
  <conditionalFormatting sqref="BB274:BB275">
    <cfRule type="cellIs" dxfId="5431" priority="735" operator="lessThan">
      <formula>0</formula>
    </cfRule>
    <cfRule type="cellIs" dxfId="5430" priority="736" operator="lessThan">
      <formula>-105575</formula>
    </cfRule>
  </conditionalFormatting>
  <conditionalFormatting sqref="BB274:BB275">
    <cfRule type="cellIs" dxfId="5429" priority="733" operator="lessThan">
      <formula>0</formula>
    </cfRule>
    <cfRule type="cellIs" dxfId="5428" priority="734" operator="lessThan">
      <formula>-105575</formula>
    </cfRule>
  </conditionalFormatting>
  <conditionalFormatting sqref="BB274:BB275">
    <cfRule type="cellIs" dxfId="5427" priority="731" operator="lessThan">
      <formula>0</formula>
    </cfRule>
    <cfRule type="cellIs" dxfId="5426" priority="732" operator="lessThan">
      <formula>-105575</formula>
    </cfRule>
  </conditionalFormatting>
  <conditionalFormatting sqref="BB274:BB275">
    <cfRule type="cellIs" dxfId="5425" priority="729" operator="lessThan">
      <formula>0</formula>
    </cfRule>
    <cfRule type="cellIs" dxfId="5424" priority="730" operator="lessThan">
      <formula>-105575</formula>
    </cfRule>
  </conditionalFormatting>
  <conditionalFormatting sqref="BB274:BB275">
    <cfRule type="cellIs" dxfId="5423" priority="727" operator="lessThan">
      <formula>0</formula>
    </cfRule>
    <cfRule type="cellIs" dxfId="5422" priority="728" operator="lessThan">
      <formula>-105575</formula>
    </cfRule>
  </conditionalFormatting>
  <conditionalFormatting sqref="BB274:BB275">
    <cfRule type="cellIs" dxfId="5421" priority="725" operator="lessThan">
      <formula>0</formula>
    </cfRule>
    <cfRule type="cellIs" dxfId="5420" priority="726" operator="lessThan">
      <formula>-105575</formula>
    </cfRule>
  </conditionalFormatting>
  <conditionalFormatting sqref="BB274:BB275">
    <cfRule type="cellIs" dxfId="5419" priority="723" operator="lessThan">
      <formula>0</formula>
    </cfRule>
    <cfRule type="cellIs" dxfId="5418" priority="724" operator="lessThan">
      <formula>-105575</formula>
    </cfRule>
  </conditionalFormatting>
  <conditionalFormatting sqref="BB274:BB275">
    <cfRule type="cellIs" dxfId="5417" priority="721" operator="lessThan">
      <formula>0</formula>
    </cfRule>
    <cfRule type="cellIs" dxfId="5416" priority="722" operator="lessThan">
      <formula>-105575</formula>
    </cfRule>
  </conditionalFormatting>
  <conditionalFormatting sqref="BB274:BB275">
    <cfRule type="cellIs" dxfId="5415" priority="719" operator="lessThan">
      <formula>0</formula>
    </cfRule>
    <cfRule type="cellIs" dxfId="5414" priority="720" operator="lessThan">
      <formula>-105575</formula>
    </cfRule>
  </conditionalFormatting>
  <conditionalFormatting sqref="BB278:BB282">
    <cfRule type="cellIs" dxfId="5413" priority="717" operator="lessThan">
      <formula>0</formula>
    </cfRule>
    <cfRule type="cellIs" dxfId="5412" priority="718" operator="lessThan">
      <formula>-105575</formula>
    </cfRule>
  </conditionalFormatting>
  <conditionalFormatting sqref="BB278:BB282">
    <cfRule type="cellIs" dxfId="5411" priority="715" operator="lessThan">
      <formula>0</formula>
    </cfRule>
    <cfRule type="cellIs" dxfId="5410" priority="716" operator="lessThan">
      <formula>-105575</formula>
    </cfRule>
  </conditionalFormatting>
  <conditionalFormatting sqref="BB278:BB282">
    <cfRule type="cellIs" dxfId="5409" priority="713" operator="lessThan">
      <formula>0</formula>
    </cfRule>
    <cfRule type="cellIs" dxfId="5408" priority="714" operator="lessThan">
      <formula>-105575</formula>
    </cfRule>
  </conditionalFormatting>
  <conditionalFormatting sqref="BB278:BB282">
    <cfRule type="cellIs" dxfId="5407" priority="711" operator="lessThan">
      <formula>0</formula>
    </cfRule>
    <cfRule type="cellIs" dxfId="5406" priority="712" operator="lessThan">
      <formula>-105575</formula>
    </cfRule>
  </conditionalFormatting>
  <conditionalFormatting sqref="BB278:BB282">
    <cfRule type="cellIs" dxfId="5405" priority="709" operator="lessThan">
      <formula>0</formula>
    </cfRule>
    <cfRule type="cellIs" dxfId="5404" priority="710" operator="lessThan">
      <formula>-105575</formula>
    </cfRule>
  </conditionalFormatting>
  <conditionalFormatting sqref="BB278:BB282">
    <cfRule type="cellIs" dxfId="5403" priority="707" operator="lessThan">
      <formula>0</formula>
    </cfRule>
    <cfRule type="cellIs" dxfId="5402" priority="708" operator="lessThan">
      <formula>-105575</formula>
    </cfRule>
  </conditionalFormatting>
  <conditionalFormatting sqref="BB278:BB282">
    <cfRule type="cellIs" dxfId="5401" priority="705" operator="lessThan">
      <formula>0</formula>
    </cfRule>
    <cfRule type="cellIs" dxfId="5400" priority="706" operator="lessThan">
      <formula>-105575</formula>
    </cfRule>
  </conditionalFormatting>
  <conditionalFormatting sqref="BB278:BB282">
    <cfRule type="cellIs" dxfId="5399" priority="703" operator="lessThan">
      <formula>0</formula>
    </cfRule>
    <cfRule type="cellIs" dxfId="5398" priority="704" operator="lessThan">
      <formula>-105575</formula>
    </cfRule>
  </conditionalFormatting>
  <conditionalFormatting sqref="BB278:BB282">
    <cfRule type="cellIs" dxfId="5397" priority="701" operator="lessThan">
      <formula>0</formula>
    </cfRule>
    <cfRule type="cellIs" dxfId="5396" priority="702" operator="lessThan">
      <formula>-105575</formula>
    </cfRule>
  </conditionalFormatting>
  <conditionalFormatting sqref="BB285:BB288">
    <cfRule type="cellIs" dxfId="5395" priority="699" operator="lessThan">
      <formula>0</formula>
    </cfRule>
    <cfRule type="cellIs" dxfId="5394" priority="700" operator="lessThan">
      <formula>-105575</formula>
    </cfRule>
  </conditionalFormatting>
  <conditionalFormatting sqref="BB285:BB288">
    <cfRule type="cellIs" dxfId="5393" priority="697" operator="lessThan">
      <formula>0</formula>
    </cfRule>
    <cfRule type="cellIs" dxfId="5392" priority="698" operator="lessThan">
      <formula>-105575</formula>
    </cfRule>
  </conditionalFormatting>
  <conditionalFormatting sqref="BB285:BB288">
    <cfRule type="cellIs" dxfId="5391" priority="695" operator="lessThan">
      <formula>0</formula>
    </cfRule>
    <cfRule type="cellIs" dxfId="5390" priority="696" operator="lessThan">
      <formula>-105575</formula>
    </cfRule>
  </conditionalFormatting>
  <conditionalFormatting sqref="BB285:BB288">
    <cfRule type="cellIs" dxfId="5389" priority="693" operator="lessThan">
      <formula>0</formula>
    </cfRule>
    <cfRule type="cellIs" dxfId="5388" priority="694" operator="lessThan">
      <formula>-105575</formula>
    </cfRule>
  </conditionalFormatting>
  <conditionalFormatting sqref="BB285:BB288">
    <cfRule type="cellIs" dxfId="5387" priority="691" operator="lessThan">
      <formula>0</formula>
    </cfRule>
    <cfRule type="cellIs" dxfId="5386" priority="692" operator="lessThan">
      <formula>-105575</formula>
    </cfRule>
  </conditionalFormatting>
  <conditionalFormatting sqref="BB285:BB288">
    <cfRule type="cellIs" dxfId="5385" priority="689" operator="lessThan">
      <formula>0</formula>
    </cfRule>
    <cfRule type="cellIs" dxfId="5384" priority="690" operator="lessThan">
      <formula>-105575</formula>
    </cfRule>
  </conditionalFormatting>
  <conditionalFormatting sqref="BB285:BB288">
    <cfRule type="cellIs" dxfId="5383" priority="687" operator="lessThan">
      <formula>0</formula>
    </cfRule>
    <cfRule type="cellIs" dxfId="5382" priority="688" operator="lessThan">
      <formula>-105575</formula>
    </cfRule>
  </conditionalFormatting>
  <conditionalFormatting sqref="BB285:BB288">
    <cfRule type="cellIs" dxfId="5381" priority="685" operator="lessThan">
      <formula>0</formula>
    </cfRule>
    <cfRule type="cellIs" dxfId="5380" priority="686" operator="lessThan">
      <formula>-105575</formula>
    </cfRule>
  </conditionalFormatting>
  <conditionalFormatting sqref="BB285:BB288">
    <cfRule type="cellIs" dxfId="5379" priority="683" operator="lessThan">
      <formula>0</formula>
    </cfRule>
    <cfRule type="cellIs" dxfId="5378" priority="684" operator="lessThan">
      <formula>-105575</formula>
    </cfRule>
  </conditionalFormatting>
  <conditionalFormatting sqref="BB203 BB220:BB221 BB235:BB243 BB231:BB233 BB212:BB213 BB225:BB226">
    <cfRule type="cellIs" dxfId="5377" priority="681" operator="lessThan">
      <formula>0</formula>
    </cfRule>
    <cfRule type="cellIs" dxfId="5376" priority="682" operator="lessThan">
      <formula>-105575</formula>
    </cfRule>
  </conditionalFormatting>
  <conditionalFormatting sqref="BB220 BB212:BB213 BB235:BB238 BB240:BB243 BB225:BB226 BB231:BB233">
    <cfRule type="cellIs" dxfId="5375" priority="679" operator="lessThan">
      <formula>0</formula>
    </cfRule>
    <cfRule type="cellIs" dxfId="5374" priority="680" operator="lessThan">
      <formula>-105575</formula>
    </cfRule>
  </conditionalFormatting>
  <conditionalFormatting sqref="BB220:BB221 BB243 BB226 BB231:BB236 BB238:BB241 BB203 BB213">
    <cfRule type="cellIs" dxfId="5373" priority="677" operator="lessThan">
      <formula>0</formula>
    </cfRule>
    <cfRule type="cellIs" dxfId="5372" priority="678" operator="lessThan">
      <formula>-105575</formula>
    </cfRule>
  </conditionalFormatting>
  <conditionalFormatting sqref="BB235:BB243 BB231:BB233 BB220 BB212:BB213 BB225:BB226">
    <cfRule type="cellIs" dxfId="5371" priority="675" operator="lessThan">
      <formula>0</formula>
    </cfRule>
    <cfRule type="cellIs" dxfId="5370" priority="676" operator="lessThan">
      <formula>-105575</formula>
    </cfRule>
  </conditionalFormatting>
  <conditionalFormatting sqref="BB220:BB221 BB237:BB243 BB203 BB231:BB235 BB212:BB213 BB225:BB226">
    <cfRule type="cellIs" dxfId="5369" priority="673" operator="lessThan">
      <formula>0</formula>
    </cfRule>
    <cfRule type="cellIs" dxfId="5368" priority="674" operator="lessThan">
      <formula>-105575</formula>
    </cfRule>
  </conditionalFormatting>
  <conditionalFormatting sqref="BB220:BB221 BB237:BB240 BB242:BB243 BB225:BB226 BB231:BB235">
    <cfRule type="cellIs" dxfId="5367" priority="671" operator="lessThan">
      <formula>0</formula>
    </cfRule>
    <cfRule type="cellIs" dxfId="5366" priority="672" operator="lessThan">
      <formula>-105575</formula>
    </cfRule>
  </conditionalFormatting>
  <conditionalFormatting sqref="BB212 BB231 BB233:BB238 BB240:BB243 BB225">
    <cfRule type="cellIs" dxfId="5365" priority="669" operator="lessThan">
      <formula>0</formula>
    </cfRule>
    <cfRule type="cellIs" dxfId="5364" priority="670" operator="lessThan">
      <formula>-105575</formula>
    </cfRule>
  </conditionalFormatting>
  <conditionalFormatting sqref="BB237:BB243 BB231:BB235 BB220:BB221 BB225:BB226">
    <cfRule type="cellIs" dxfId="5363" priority="667" operator="lessThan">
      <formula>0</formula>
    </cfRule>
    <cfRule type="cellIs" dxfId="5362" priority="668" operator="lessThan">
      <formula>-105575</formula>
    </cfRule>
  </conditionalFormatting>
  <conditionalFormatting sqref="BB233:BB237 BB231 BB239:BB243">
    <cfRule type="cellIs" dxfId="5361" priority="665" operator="lessThan">
      <formula>0</formula>
    </cfRule>
    <cfRule type="cellIs" dxfId="5360" priority="666" operator="lessThan">
      <formula>-105575</formula>
    </cfRule>
  </conditionalFormatting>
  <conditionalFormatting sqref="BB233:BB237 BB231 BB239:BB243">
    <cfRule type="cellIs" dxfId="5359" priority="663" operator="lessThan">
      <formula>0</formula>
    </cfRule>
    <cfRule type="cellIs" dxfId="5358" priority="664" operator="lessThan">
      <formula>-105575</formula>
    </cfRule>
  </conditionalFormatting>
  <conditionalFormatting sqref="BB119:BB128 BB106:BB117 BB101:BB104 BB80:BB98">
    <cfRule type="cellIs" dxfId="5357" priority="661" operator="lessThan">
      <formula>0</formula>
    </cfRule>
    <cfRule type="cellIs" dxfId="5356" priority="662" operator="lessThan">
      <formula>-105575</formula>
    </cfRule>
  </conditionalFormatting>
  <conditionalFormatting sqref="BB130 BB132 BB134">
    <cfRule type="cellIs" dxfId="5355" priority="659" operator="lessThan">
      <formula>0</formula>
    </cfRule>
    <cfRule type="cellIs" dxfId="5354" priority="660" operator="lessThan">
      <formula>-105575</formula>
    </cfRule>
  </conditionalFormatting>
  <conditionalFormatting sqref="BB130 BB132 BB134">
    <cfRule type="cellIs" dxfId="5353" priority="657" operator="lessThan">
      <formula>0</formula>
    </cfRule>
    <cfRule type="cellIs" dxfId="5352" priority="658" operator="lessThan">
      <formula>-105575</formula>
    </cfRule>
  </conditionalFormatting>
  <conditionalFormatting sqref="BB129 BB131 BB133 BB135">
    <cfRule type="cellIs" dxfId="5351" priority="655" operator="lessThan">
      <formula>0</formula>
    </cfRule>
    <cfRule type="cellIs" dxfId="5350" priority="656" operator="lessThan">
      <formula>-105575</formula>
    </cfRule>
  </conditionalFormatting>
  <conditionalFormatting sqref="BB140 BB145 BB142:BB143 BB137:BB138">
    <cfRule type="cellIs" dxfId="5349" priority="653" operator="lessThan">
      <formula>0</formula>
    </cfRule>
    <cfRule type="cellIs" dxfId="5348" priority="654" operator="lessThan">
      <formula>-105575</formula>
    </cfRule>
  </conditionalFormatting>
  <conditionalFormatting sqref="BB149">
    <cfRule type="cellIs" dxfId="5347" priority="651" operator="lessThan">
      <formula>0</formula>
    </cfRule>
    <cfRule type="cellIs" dxfId="5346" priority="652" operator="lessThan">
      <formula>-105575</formula>
    </cfRule>
  </conditionalFormatting>
  <conditionalFormatting sqref="BB129:BB138 BB140:BB149">
    <cfRule type="cellIs" dxfId="5345" priority="649" operator="lessThan">
      <formula>0</formula>
    </cfRule>
    <cfRule type="cellIs" dxfId="5344" priority="650" operator="lessThan">
      <formula>-105575</formula>
    </cfRule>
  </conditionalFormatting>
  <conditionalFormatting sqref="BB94:BB98 BB86:BB87 BB89:BB91 BB141:BB149 BB124:BB133 BB107:BB110 BB112:BB117 BB119:BB122 BB135:BB138 BB101:BB104 BB80:BB84">
    <cfRule type="cellIs" dxfId="5343" priority="647" operator="lessThan">
      <formula>0</formula>
    </cfRule>
    <cfRule type="cellIs" dxfId="5342" priority="648" operator="lessThan">
      <formula>-105575</formula>
    </cfRule>
  </conditionalFormatting>
  <conditionalFormatting sqref="BB129 BB131 BB133 BB135">
    <cfRule type="cellIs" dxfId="5341" priority="645" operator="lessThan">
      <formula>0</formula>
    </cfRule>
    <cfRule type="cellIs" dxfId="5340" priority="646" operator="lessThan">
      <formula>-105575</formula>
    </cfRule>
  </conditionalFormatting>
  <conditionalFormatting sqref="BB146 BB144 BB141">
    <cfRule type="cellIs" dxfId="5339" priority="643" operator="lessThan">
      <formula>0</formula>
    </cfRule>
    <cfRule type="cellIs" dxfId="5338" priority="644" operator="lessThan">
      <formula>-105575</formula>
    </cfRule>
  </conditionalFormatting>
  <conditionalFormatting sqref="BB146 BB144 BB141">
    <cfRule type="cellIs" dxfId="5337" priority="641" operator="lessThan">
      <formula>0</formula>
    </cfRule>
    <cfRule type="cellIs" dxfId="5336" priority="642" operator="lessThan">
      <formula>-105575</formula>
    </cfRule>
  </conditionalFormatting>
  <conditionalFormatting sqref="BB140 BB145 BB142:BB143 BB137:BB138">
    <cfRule type="cellIs" dxfId="5335" priority="639" operator="lessThan">
      <formula>0</formula>
    </cfRule>
    <cfRule type="cellIs" dxfId="5334" priority="640" operator="lessThan">
      <formula>-105575</formula>
    </cfRule>
  </conditionalFormatting>
  <conditionalFormatting sqref="BB149">
    <cfRule type="cellIs" dxfId="5333" priority="637" operator="lessThan">
      <formula>0</formula>
    </cfRule>
    <cfRule type="cellIs" dxfId="5332" priority="638" operator="lessThan">
      <formula>-105575</formula>
    </cfRule>
  </conditionalFormatting>
  <conditionalFormatting sqref="BB94:BB98 BB86:BB87 BB89:BB91 BB141:BB149 BB124:BB133 BB107:BB110 BB112:BB117 BB119:BB122 BB135:BB138 BB101:BB104 BB80:BB84">
    <cfRule type="cellIs" dxfId="5331" priority="635" operator="lessThan">
      <formula>0</formula>
    </cfRule>
    <cfRule type="cellIs" dxfId="5330" priority="636" operator="lessThan">
      <formula>-105575</formula>
    </cfRule>
  </conditionalFormatting>
  <conditionalFormatting sqref="BB62:BB76 BB306:BB309 BB311:BB325 BB327:BB330 BB332:BB341 BB344:BB347 BB349:BB353 BB355:BB358 BB360:BB384 BB386:BB389 BB392:BB395 BB397:BB411 BB413:BB416 BB418:BB432 BB434:BB437 BB439:BB453 BB455:BB458 BB460:BB469 BB7:BB10 BB12:BB14 BB17:BB18 BB21:BB24 BB26:BB28 BB30:BB36 BB38 BB41:BB43 BB46:BB49 BB51:BB55 BB57:BB59 BB290:BB291 BB293:BB304">
    <cfRule type="cellIs" dxfId="5329" priority="633" operator="lessThan">
      <formula>0</formula>
    </cfRule>
    <cfRule type="cellIs" dxfId="5328" priority="634" operator="lessThan">
      <formula>-105575</formula>
    </cfRule>
  </conditionalFormatting>
  <conditionalFormatting sqref="BB41">
    <cfRule type="cellIs" dxfId="5327" priority="631" operator="lessThan">
      <formula>0</formula>
    </cfRule>
    <cfRule type="cellIs" dxfId="5326" priority="632" operator="lessThan">
      <formula>-105575</formula>
    </cfRule>
  </conditionalFormatting>
  <conditionalFormatting sqref="BB152:BB155">
    <cfRule type="cellIs" dxfId="5325" priority="629" operator="lessThan">
      <formula>0</formula>
    </cfRule>
    <cfRule type="cellIs" dxfId="5324" priority="630" operator="lessThan">
      <formula>-105575</formula>
    </cfRule>
  </conditionalFormatting>
  <conditionalFormatting sqref="BB152:BB155">
    <cfRule type="cellIs" dxfId="5323" priority="627" operator="lessThan">
      <formula>0</formula>
    </cfRule>
    <cfRule type="cellIs" dxfId="5322" priority="628" operator="lessThan">
      <formula>-105575</formula>
    </cfRule>
  </conditionalFormatting>
  <conditionalFormatting sqref="BB152:BB155">
    <cfRule type="cellIs" dxfId="5321" priority="625" operator="lessThan">
      <formula>0</formula>
    </cfRule>
    <cfRule type="cellIs" dxfId="5320" priority="626" operator="lessThan">
      <formula>-105575</formula>
    </cfRule>
  </conditionalFormatting>
  <conditionalFormatting sqref="BB157:BB158">
    <cfRule type="cellIs" dxfId="5319" priority="623" operator="lessThan">
      <formula>0</formula>
    </cfRule>
    <cfRule type="cellIs" dxfId="5318" priority="624" operator="lessThan">
      <formula>-105575</formula>
    </cfRule>
  </conditionalFormatting>
  <conditionalFormatting sqref="BB157:BB158">
    <cfRule type="cellIs" dxfId="5317" priority="621" operator="lessThan">
      <formula>0</formula>
    </cfRule>
    <cfRule type="cellIs" dxfId="5316" priority="622" operator="lessThan">
      <formula>-105575</formula>
    </cfRule>
  </conditionalFormatting>
  <conditionalFormatting sqref="BB157:BB158">
    <cfRule type="cellIs" dxfId="5315" priority="619" operator="lessThan">
      <formula>0</formula>
    </cfRule>
    <cfRule type="cellIs" dxfId="5314" priority="620" operator="lessThan">
      <formula>-105575</formula>
    </cfRule>
  </conditionalFormatting>
  <conditionalFormatting sqref="BB160:BB161">
    <cfRule type="cellIs" dxfId="5313" priority="617" operator="lessThan">
      <formula>0</formula>
    </cfRule>
    <cfRule type="cellIs" dxfId="5312" priority="618" operator="lessThan">
      <formula>-105575</formula>
    </cfRule>
  </conditionalFormatting>
  <conditionalFormatting sqref="BB160:BB161">
    <cfRule type="cellIs" dxfId="5311" priority="615" operator="lessThan">
      <formula>0</formula>
    </cfRule>
    <cfRule type="cellIs" dxfId="5310" priority="616" operator="lessThan">
      <formula>-105575</formula>
    </cfRule>
  </conditionalFormatting>
  <conditionalFormatting sqref="BB160:BB161">
    <cfRule type="cellIs" dxfId="5309" priority="613" operator="lessThan">
      <formula>0</formula>
    </cfRule>
    <cfRule type="cellIs" dxfId="5308" priority="614" operator="lessThan">
      <formula>-105575</formula>
    </cfRule>
  </conditionalFormatting>
  <conditionalFormatting sqref="BB164:BB167">
    <cfRule type="cellIs" dxfId="5307" priority="611" operator="lessThan">
      <formula>0</formula>
    </cfRule>
    <cfRule type="cellIs" dxfId="5306" priority="612" operator="lessThan">
      <formula>-105575</formula>
    </cfRule>
  </conditionalFormatting>
  <conditionalFormatting sqref="BB164:BB167">
    <cfRule type="cellIs" dxfId="5305" priority="609" operator="lessThan">
      <formula>0</formula>
    </cfRule>
    <cfRule type="cellIs" dxfId="5304" priority="610" operator="lessThan">
      <formula>-105575</formula>
    </cfRule>
  </conditionalFormatting>
  <conditionalFormatting sqref="BB164:BB167">
    <cfRule type="cellIs" dxfId="5303" priority="607" operator="lessThan">
      <formula>0</formula>
    </cfRule>
    <cfRule type="cellIs" dxfId="5302" priority="608" operator="lessThan">
      <formula>-105575</formula>
    </cfRule>
  </conditionalFormatting>
  <conditionalFormatting sqref="BB169:BB177">
    <cfRule type="cellIs" dxfId="5301" priority="605" operator="lessThan">
      <formula>0</formula>
    </cfRule>
    <cfRule type="cellIs" dxfId="5300" priority="606" operator="lessThan">
      <formula>-105575</formula>
    </cfRule>
  </conditionalFormatting>
  <conditionalFormatting sqref="BB169:BB177">
    <cfRule type="cellIs" dxfId="5299" priority="603" operator="lessThan">
      <formula>0</formula>
    </cfRule>
    <cfRule type="cellIs" dxfId="5298" priority="604" operator="lessThan">
      <formula>-105575</formula>
    </cfRule>
  </conditionalFormatting>
  <conditionalFormatting sqref="BB169:BB177">
    <cfRule type="cellIs" dxfId="5297" priority="601" operator="lessThan">
      <formula>0</formula>
    </cfRule>
    <cfRule type="cellIs" dxfId="5296" priority="602" operator="lessThan">
      <formula>-105575</formula>
    </cfRule>
  </conditionalFormatting>
  <conditionalFormatting sqref="BB179:BB180">
    <cfRule type="cellIs" dxfId="5295" priority="599" operator="lessThan">
      <formula>0</formula>
    </cfRule>
    <cfRule type="cellIs" dxfId="5294" priority="600" operator="lessThan">
      <formula>-105575</formula>
    </cfRule>
  </conditionalFormatting>
  <conditionalFormatting sqref="BB179:BB180">
    <cfRule type="cellIs" dxfId="5293" priority="597" operator="lessThan">
      <formula>0</formula>
    </cfRule>
    <cfRule type="cellIs" dxfId="5292" priority="598" operator="lessThan">
      <formula>-105575</formula>
    </cfRule>
  </conditionalFormatting>
  <conditionalFormatting sqref="BB179:BB180">
    <cfRule type="cellIs" dxfId="5291" priority="595" operator="lessThan">
      <formula>0</formula>
    </cfRule>
    <cfRule type="cellIs" dxfId="5290" priority="596" operator="lessThan">
      <formula>-105575</formula>
    </cfRule>
  </conditionalFormatting>
  <conditionalFormatting sqref="BB183:BB189">
    <cfRule type="cellIs" dxfId="5289" priority="593" operator="lessThan">
      <formula>0</formula>
    </cfRule>
    <cfRule type="cellIs" dxfId="5288" priority="594" operator="lessThan">
      <formula>-105575</formula>
    </cfRule>
  </conditionalFormatting>
  <conditionalFormatting sqref="BB183:BB189">
    <cfRule type="cellIs" dxfId="5287" priority="591" operator="lessThan">
      <formula>0</formula>
    </cfRule>
    <cfRule type="cellIs" dxfId="5286" priority="592" operator="lessThan">
      <formula>-105575</formula>
    </cfRule>
  </conditionalFormatting>
  <conditionalFormatting sqref="BB183:BB189">
    <cfRule type="cellIs" dxfId="5285" priority="589" operator="lessThan">
      <formula>0</formula>
    </cfRule>
    <cfRule type="cellIs" dxfId="5284" priority="590" operator="lessThan">
      <formula>-105575</formula>
    </cfRule>
  </conditionalFormatting>
  <conditionalFormatting sqref="BB191:BB192">
    <cfRule type="cellIs" dxfId="5283" priority="587" operator="lessThan">
      <formula>0</formula>
    </cfRule>
    <cfRule type="cellIs" dxfId="5282" priority="588" operator="lessThan">
      <formula>-105575</formula>
    </cfRule>
  </conditionalFormatting>
  <conditionalFormatting sqref="BB191:BB192">
    <cfRule type="cellIs" dxfId="5281" priority="585" operator="lessThan">
      <formula>0</formula>
    </cfRule>
    <cfRule type="cellIs" dxfId="5280" priority="586" operator="lessThan">
      <formula>-105575</formula>
    </cfRule>
  </conditionalFormatting>
  <conditionalFormatting sqref="BB191:BB192">
    <cfRule type="cellIs" dxfId="5279" priority="583" operator="lessThan">
      <formula>0</formula>
    </cfRule>
    <cfRule type="cellIs" dxfId="5278" priority="584" operator="lessThan">
      <formula>-105575</formula>
    </cfRule>
  </conditionalFormatting>
  <conditionalFormatting sqref="BB194:BB195">
    <cfRule type="cellIs" dxfId="5277" priority="581" operator="lessThan">
      <formula>0</formula>
    </cfRule>
    <cfRule type="cellIs" dxfId="5276" priority="582" operator="lessThan">
      <formula>-105575</formula>
    </cfRule>
  </conditionalFormatting>
  <conditionalFormatting sqref="BB194:BB195">
    <cfRule type="cellIs" dxfId="5275" priority="579" operator="lessThan">
      <formula>0</formula>
    </cfRule>
    <cfRule type="cellIs" dxfId="5274" priority="580" operator="lessThan">
      <formula>-105575</formula>
    </cfRule>
  </conditionalFormatting>
  <conditionalFormatting sqref="BB194:BB195">
    <cfRule type="cellIs" dxfId="5273" priority="577" operator="lessThan">
      <formula>0</formula>
    </cfRule>
    <cfRule type="cellIs" dxfId="5272" priority="578" operator="lessThan">
      <formula>-105575</formula>
    </cfRule>
  </conditionalFormatting>
  <conditionalFormatting sqref="BB199:BB202">
    <cfRule type="cellIs" dxfId="5271" priority="575" operator="lessThan">
      <formula>0</formula>
    </cfRule>
    <cfRule type="cellIs" dxfId="5270" priority="576" operator="lessThan">
      <formula>-105575</formula>
    </cfRule>
  </conditionalFormatting>
  <conditionalFormatting sqref="BB199:BB202">
    <cfRule type="cellIs" dxfId="5269" priority="573" operator="lessThan">
      <formula>0</formula>
    </cfRule>
    <cfRule type="cellIs" dxfId="5268" priority="574" operator="lessThan">
      <formula>-105575</formula>
    </cfRule>
  </conditionalFormatting>
  <conditionalFormatting sqref="BB199:BB202">
    <cfRule type="cellIs" dxfId="5267" priority="571" operator="lessThan">
      <formula>0</formula>
    </cfRule>
    <cfRule type="cellIs" dxfId="5266" priority="572" operator="lessThan">
      <formula>-105575</formula>
    </cfRule>
  </conditionalFormatting>
  <conditionalFormatting sqref="BB204:BB208">
    <cfRule type="cellIs" dxfId="5265" priority="569" operator="lessThan">
      <formula>0</formula>
    </cfRule>
    <cfRule type="cellIs" dxfId="5264" priority="570" operator="lessThan">
      <formula>-105575</formula>
    </cfRule>
  </conditionalFormatting>
  <conditionalFormatting sqref="BB204:BB208">
    <cfRule type="cellIs" dxfId="5263" priority="567" operator="lessThan">
      <formula>0</formula>
    </cfRule>
    <cfRule type="cellIs" dxfId="5262" priority="568" operator="lessThan">
      <formula>-105575</formula>
    </cfRule>
  </conditionalFormatting>
  <conditionalFormatting sqref="BB204:BB208">
    <cfRule type="cellIs" dxfId="5261" priority="565" operator="lessThan">
      <formula>0</formula>
    </cfRule>
    <cfRule type="cellIs" dxfId="5260" priority="566" operator="lessThan">
      <formula>-105575</formula>
    </cfRule>
  </conditionalFormatting>
  <conditionalFormatting sqref="BB210:BB211">
    <cfRule type="cellIs" dxfId="5259" priority="563" operator="lessThan">
      <formula>0</formula>
    </cfRule>
    <cfRule type="cellIs" dxfId="5258" priority="564" operator="lessThan">
      <formula>-105575</formula>
    </cfRule>
  </conditionalFormatting>
  <conditionalFormatting sqref="BB210:BB211">
    <cfRule type="cellIs" dxfId="5257" priority="561" operator="lessThan">
      <formula>0</formula>
    </cfRule>
    <cfRule type="cellIs" dxfId="5256" priority="562" operator="lessThan">
      <formula>-105575</formula>
    </cfRule>
  </conditionalFormatting>
  <conditionalFormatting sqref="BB210:BB211">
    <cfRule type="cellIs" dxfId="5255" priority="559" operator="lessThan">
      <formula>0</formula>
    </cfRule>
    <cfRule type="cellIs" dxfId="5254" priority="560" operator="lessThan">
      <formula>-105575</formula>
    </cfRule>
  </conditionalFormatting>
  <conditionalFormatting sqref="BB214:BB219">
    <cfRule type="cellIs" dxfId="5253" priority="557" operator="lessThan">
      <formula>0</formula>
    </cfRule>
    <cfRule type="cellIs" dxfId="5252" priority="558" operator="lessThan">
      <formula>-105575</formula>
    </cfRule>
  </conditionalFormatting>
  <conditionalFormatting sqref="BB214:BB219">
    <cfRule type="cellIs" dxfId="5251" priority="555" operator="lessThan">
      <formula>0</formula>
    </cfRule>
    <cfRule type="cellIs" dxfId="5250" priority="556" operator="lessThan">
      <formula>-105575</formula>
    </cfRule>
  </conditionalFormatting>
  <conditionalFormatting sqref="BB214:BB219">
    <cfRule type="cellIs" dxfId="5249" priority="553" operator="lessThan">
      <formula>0</formula>
    </cfRule>
    <cfRule type="cellIs" dxfId="5248" priority="554" operator="lessThan">
      <formula>-105575</formula>
    </cfRule>
  </conditionalFormatting>
  <conditionalFormatting sqref="BB222:BB224">
    <cfRule type="cellIs" dxfId="5247" priority="551" operator="lessThan">
      <formula>0</formula>
    </cfRule>
    <cfRule type="cellIs" dxfId="5246" priority="552" operator="lessThan">
      <formula>-105575</formula>
    </cfRule>
  </conditionalFormatting>
  <conditionalFormatting sqref="BB222:BB224">
    <cfRule type="cellIs" dxfId="5245" priority="549" operator="lessThan">
      <formula>0</formula>
    </cfRule>
    <cfRule type="cellIs" dxfId="5244" priority="550" operator="lessThan">
      <formula>-105575</formula>
    </cfRule>
  </conditionalFormatting>
  <conditionalFormatting sqref="BB222:BB224">
    <cfRule type="cellIs" dxfId="5243" priority="547" operator="lessThan">
      <formula>0</formula>
    </cfRule>
    <cfRule type="cellIs" dxfId="5242" priority="548" operator="lessThan">
      <formula>-105575</formula>
    </cfRule>
  </conditionalFormatting>
  <conditionalFormatting sqref="BB227:BB230">
    <cfRule type="cellIs" dxfId="5241" priority="545" operator="lessThan">
      <formula>0</formula>
    </cfRule>
    <cfRule type="cellIs" dxfId="5240" priority="546" operator="lessThan">
      <formula>-105575</formula>
    </cfRule>
  </conditionalFormatting>
  <conditionalFormatting sqref="BB227:BB230">
    <cfRule type="cellIs" dxfId="5239" priority="543" operator="lessThan">
      <formula>0</formula>
    </cfRule>
    <cfRule type="cellIs" dxfId="5238" priority="544" operator="lessThan">
      <formula>-105575</formula>
    </cfRule>
  </conditionalFormatting>
  <conditionalFormatting sqref="BB227:BB230">
    <cfRule type="cellIs" dxfId="5237" priority="541" operator="lessThan">
      <formula>0</formula>
    </cfRule>
    <cfRule type="cellIs" dxfId="5236" priority="542" operator="lessThan">
      <formula>-105575</formula>
    </cfRule>
  </conditionalFormatting>
  <conditionalFormatting sqref="BB246:BB249">
    <cfRule type="cellIs" dxfId="5235" priority="539" operator="lessThan">
      <formula>0</formula>
    </cfRule>
    <cfRule type="cellIs" dxfId="5234" priority="540" operator="lessThan">
      <formula>-105575</formula>
    </cfRule>
  </conditionalFormatting>
  <conditionalFormatting sqref="BB246:BB249">
    <cfRule type="cellIs" dxfId="5233" priority="537" operator="lessThan">
      <formula>0</formula>
    </cfRule>
    <cfRule type="cellIs" dxfId="5232" priority="538" operator="lessThan">
      <formula>-105575</formula>
    </cfRule>
  </conditionalFormatting>
  <conditionalFormatting sqref="BB246:BB249">
    <cfRule type="cellIs" dxfId="5231" priority="535" operator="lessThan">
      <formula>0</formula>
    </cfRule>
    <cfRule type="cellIs" dxfId="5230" priority="536" operator="lessThan">
      <formula>-105575</formula>
    </cfRule>
  </conditionalFormatting>
  <conditionalFormatting sqref="BB246:BB249">
    <cfRule type="cellIs" dxfId="5229" priority="533" operator="lessThan">
      <formula>0</formula>
    </cfRule>
    <cfRule type="cellIs" dxfId="5228" priority="534" operator="lessThan">
      <formula>-105575</formula>
    </cfRule>
  </conditionalFormatting>
  <conditionalFormatting sqref="BB246:BB249">
    <cfRule type="cellIs" dxfId="5227" priority="531" operator="lessThan">
      <formula>0</formula>
    </cfRule>
    <cfRule type="cellIs" dxfId="5226" priority="532" operator="lessThan">
      <formula>-105575</formula>
    </cfRule>
  </conditionalFormatting>
  <conditionalFormatting sqref="BB246:BB249">
    <cfRule type="cellIs" dxfId="5225" priority="529" operator="lessThan">
      <formula>0</formula>
    </cfRule>
    <cfRule type="cellIs" dxfId="5224" priority="530" operator="lessThan">
      <formula>-105575</formula>
    </cfRule>
  </conditionalFormatting>
  <conditionalFormatting sqref="BB246:BB249">
    <cfRule type="cellIs" dxfId="5223" priority="527" operator="lessThan">
      <formula>0</formula>
    </cfRule>
    <cfRule type="cellIs" dxfId="5222" priority="528" operator="lessThan">
      <formula>-105575</formula>
    </cfRule>
  </conditionalFormatting>
  <conditionalFormatting sqref="BB246:BB249">
    <cfRule type="cellIs" dxfId="5221" priority="525" operator="lessThan">
      <formula>0</formula>
    </cfRule>
    <cfRule type="cellIs" dxfId="5220" priority="526" operator="lessThan">
      <formula>-105575</formula>
    </cfRule>
  </conditionalFormatting>
  <conditionalFormatting sqref="BB246:BB249">
    <cfRule type="cellIs" dxfId="5219" priority="523" operator="lessThan">
      <formula>0</formula>
    </cfRule>
    <cfRule type="cellIs" dxfId="5218" priority="524" operator="lessThan">
      <formula>-105575</formula>
    </cfRule>
  </conditionalFormatting>
  <conditionalFormatting sqref="BB251:BB253">
    <cfRule type="cellIs" dxfId="5217" priority="521" operator="lessThan">
      <formula>0</formula>
    </cfRule>
    <cfRule type="cellIs" dxfId="5216" priority="522" operator="lessThan">
      <formula>-105575</formula>
    </cfRule>
  </conditionalFormatting>
  <conditionalFormatting sqref="BB251:BB253">
    <cfRule type="cellIs" dxfId="5215" priority="519" operator="lessThan">
      <formula>0</formula>
    </cfRule>
    <cfRule type="cellIs" dxfId="5214" priority="520" operator="lessThan">
      <formula>-105575</formula>
    </cfRule>
  </conditionalFormatting>
  <conditionalFormatting sqref="BB251:BB253">
    <cfRule type="cellIs" dxfId="5213" priority="517" operator="lessThan">
      <formula>0</formula>
    </cfRule>
    <cfRule type="cellIs" dxfId="5212" priority="518" operator="lessThan">
      <formula>-105575</formula>
    </cfRule>
  </conditionalFormatting>
  <conditionalFormatting sqref="BB251:BB253">
    <cfRule type="cellIs" dxfId="5211" priority="515" operator="lessThan">
      <formula>0</formula>
    </cfRule>
    <cfRule type="cellIs" dxfId="5210" priority="516" operator="lessThan">
      <formula>-105575</formula>
    </cfRule>
  </conditionalFormatting>
  <conditionalFormatting sqref="BB251:BB253">
    <cfRule type="cellIs" dxfId="5209" priority="513" operator="lessThan">
      <formula>0</formula>
    </cfRule>
    <cfRule type="cellIs" dxfId="5208" priority="514" operator="lessThan">
      <formula>-105575</formula>
    </cfRule>
  </conditionalFormatting>
  <conditionalFormatting sqref="BB251:BB253">
    <cfRule type="cellIs" dxfId="5207" priority="511" operator="lessThan">
      <formula>0</formula>
    </cfRule>
    <cfRule type="cellIs" dxfId="5206" priority="512" operator="lessThan">
      <formula>-105575</formula>
    </cfRule>
  </conditionalFormatting>
  <conditionalFormatting sqref="BB251:BB253">
    <cfRule type="cellIs" dxfId="5205" priority="509" operator="lessThan">
      <formula>0</formula>
    </cfRule>
    <cfRule type="cellIs" dxfId="5204" priority="510" operator="lessThan">
      <formula>-105575</formula>
    </cfRule>
  </conditionalFormatting>
  <conditionalFormatting sqref="BB251:BB253">
    <cfRule type="cellIs" dxfId="5203" priority="507" operator="lessThan">
      <formula>0</formula>
    </cfRule>
    <cfRule type="cellIs" dxfId="5202" priority="508" operator="lessThan">
      <formula>-105575</formula>
    </cfRule>
  </conditionalFormatting>
  <conditionalFormatting sqref="BB251:BB253">
    <cfRule type="cellIs" dxfId="5201" priority="505" operator="lessThan">
      <formula>0</formula>
    </cfRule>
    <cfRule type="cellIs" dxfId="5200" priority="506" operator="lessThan">
      <formula>-105575</formula>
    </cfRule>
  </conditionalFormatting>
  <conditionalFormatting sqref="BB255:BB257">
    <cfRule type="cellIs" dxfId="5199" priority="503" operator="lessThan">
      <formula>0</formula>
    </cfRule>
    <cfRule type="cellIs" dxfId="5198" priority="504" operator="lessThan">
      <formula>-105575</formula>
    </cfRule>
  </conditionalFormatting>
  <conditionalFormatting sqref="BB255:BB257">
    <cfRule type="cellIs" dxfId="5197" priority="501" operator="lessThan">
      <formula>0</formula>
    </cfRule>
    <cfRule type="cellIs" dxfId="5196" priority="502" operator="lessThan">
      <formula>-105575</formula>
    </cfRule>
  </conditionalFormatting>
  <conditionalFormatting sqref="BB255:BB257">
    <cfRule type="cellIs" dxfId="5195" priority="499" operator="lessThan">
      <formula>0</formula>
    </cfRule>
    <cfRule type="cellIs" dxfId="5194" priority="500" operator="lessThan">
      <formula>-105575</formula>
    </cfRule>
  </conditionalFormatting>
  <conditionalFormatting sqref="BB255:BB257">
    <cfRule type="cellIs" dxfId="5193" priority="497" operator="lessThan">
      <formula>0</formula>
    </cfRule>
    <cfRule type="cellIs" dxfId="5192" priority="498" operator="lessThan">
      <formula>-105575</formula>
    </cfRule>
  </conditionalFormatting>
  <conditionalFormatting sqref="BB255:BB257">
    <cfRule type="cellIs" dxfId="5191" priority="495" operator="lessThan">
      <formula>0</formula>
    </cfRule>
    <cfRule type="cellIs" dxfId="5190" priority="496" operator="lessThan">
      <formula>-105575</formula>
    </cfRule>
  </conditionalFormatting>
  <conditionalFormatting sqref="BB255:BB257">
    <cfRule type="cellIs" dxfId="5189" priority="493" operator="lessThan">
      <formula>0</formula>
    </cfRule>
    <cfRule type="cellIs" dxfId="5188" priority="494" operator="lessThan">
      <formula>-105575</formula>
    </cfRule>
  </conditionalFormatting>
  <conditionalFormatting sqref="BB255:BB257">
    <cfRule type="cellIs" dxfId="5187" priority="491" operator="lessThan">
      <formula>0</formula>
    </cfRule>
    <cfRule type="cellIs" dxfId="5186" priority="492" operator="lessThan">
      <formula>-105575</formula>
    </cfRule>
  </conditionalFormatting>
  <conditionalFormatting sqref="BB255:BB257">
    <cfRule type="cellIs" dxfId="5185" priority="489" operator="lessThan">
      <formula>0</formula>
    </cfRule>
    <cfRule type="cellIs" dxfId="5184" priority="490" operator="lessThan">
      <formula>-105575</formula>
    </cfRule>
  </conditionalFormatting>
  <conditionalFormatting sqref="BB255:BB257">
    <cfRule type="cellIs" dxfId="5183" priority="487" operator="lessThan">
      <formula>0</formula>
    </cfRule>
    <cfRule type="cellIs" dxfId="5182" priority="488" operator="lessThan">
      <formula>-105575</formula>
    </cfRule>
  </conditionalFormatting>
  <conditionalFormatting sqref="BB260:BB262">
    <cfRule type="cellIs" dxfId="5181" priority="485" operator="lessThan">
      <formula>0</formula>
    </cfRule>
    <cfRule type="cellIs" dxfId="5180" priority="486" operator="lessThan">
      <formula>-105575</formula>
    </cfRule>
  </conditionalFormatting>
  <conditionalFormatting sqref="BB260:BB262">
    <cfRule type="cellIs" dxfId="5179" priority="483" operator="lessThan">
      <formula>0</formula>
    </cfRule>
    <cfRule type="cellIs" dxfId="5178" priority="484" operator="lessThan">
      <formula>-105575</formula>
    </cfRule>
  </conditionalFormatting>
  <conditionalFormatting sqref="BB260:BB262">
    <cfRule type="cellIs" dxfId="5177" priority="481" operator="lessThan">
      <formula>0</formula>
    </cfRule>
    <cfRule type="cellIs" dxfId="5176" priority="482" operator="lessThan">
      <formula>-105575</formula>
    </cfRule>
  </conditionalFormatting>
  <conditionalFormatting sqref="BB260:BB262">
    <cfRule type="cellIs" dxfId="5175" priority="479" operator="lessThan">
      <formula>0</formula>
    </cfRule>
    <cfRule type="cellIs" dxfId="5174" priority="480" operator="lessThan">
      <formula>-105575</formula>
    </cfRule>
  </conditionalFormatting>
  <conditionalFormatting sqref="BB260:BB262">
    <cfRule type="cellIs" dxfId="5173" priority="477" operator="lessThan">
      <formula>0</formula>
    </cfRule>
    <cfRule type="cellIs" dxfId="5172" priority="478" operator="lessThan">
      <formula>-105575</formula>
    </cfRule>
  </conditionalFormatting>
  <conditionalFormatting sqref="BB260:BB262">
    <cfRule type="cellIs" dxfId="5171" priority="475" operator="lessThan">
      <formula>0</formula>
    </cfRule>
    <cfRule type="cellIs" dxfId="5170" priority="476" operator="lessThan">
      <formula>-105575</formula>
    </cfRule>
  </conditionalFormatting>
  <conditionalFormatting sqref="BB260:BB262">
    <cfRule type="cellIs" dxfId="5169" priority="473" operator="lessThan">
      <formula>0</formula>
    </cfRule>
    <cfRule type="cellIs" dxfId="5168" priority="474" operator="lessThan">
      <formula>-105575</formula>
    </cfRule>
  </conditionalFormatting>
  <conditionalFormatting sqref="BB260:BB262">
    <cfRule type="cellIs" dxfId="5167" priority="471" operator="lessThan">
      <formula>0</formula>
    </cfRule>
    <cfRule type="cellIs" dxfId="5166" priority="472" operator="lessThan">
      <formula>-105575</formula>
    </cfRule>
  </conditionalFormatting>
  <conditionalFormatting sqref="BB260:BB262">
    <cfRule type="cellIs" dxfId="5165" priority="469" operator="lessThan">
      <formula>0</formula>
    </cfRule>
    <cfRule type="cellIs" dxfId="5164" priority="470" operator="lessThan">
      <formula>-105575</formula>
    </cfRule>
  </conditionalFormatting>
  <conditionalFormatting sqref="BB264:BB267">
    <cfRule type="cellIs" dxfId="5163" priority="467" operator="lessThan">
      <formula>0</formula>
    </cfRule>
    <cfRule type="cellIs" dxfId="5162" priority="468" operator="lessThan">
      <formula>-105575</formula>
    </cfRule>
  </conditionalFormatting>
  <conditionalFormatting sqref="BB264:BB267">
    <cfRule type="cellIs" dxfId="5161" priority="465" operator="lessThan">
      <formula>0</formula>
    </cfRule>
    <cfRule type="cellIs" dxfId="5160" priority="466" operator="lessThan">
      <formula>-105575</formula>
    </cfRule>
  </conditionalFormatting>
  <conditionalFormatting sqref="BB264:BB267">
    <cfRule type="cellIs" dxfId="5159" priority="463" operator="lessThan">
      <formula>0</formula>
    </cfRule>
    <cfRule type="cellIs" dxfId="5158" priority="464" operator="lessThan">
      <formula>-105575</formula>
    </cfRule>
  </conditionalFormatting>
  <conditionalFormatting sqref="BB264:BB267">
    <cfRule type="cellIs" dxfId="5157" priority="461" operator="lessThan">
      <formula>0</formula>
    </cfRule>
    <cfRule type="cellIs" dxfId="5156" priority="462" operator="lessThan">
      <formula>-105575</formula>
    </cfRule>
  </conditionalFormatting>
  <conditionalFormatting sqref="BB264:BB267">
    <cfRule type="cellIs" dxfId="5155" priority="459" operator="lessThan">
      <formula>0</formula>
    </cfRule>
    <cfRule type="cellIs" dxfId="5154" priority="460" operator="lessThan">
      <formula>-105575</formula>
    </cfRule>
  </conditionalFormatting>
  <conditionalFormatting sqref="BB264:BB267">
    <cfRule type="cellIs" dxfId="5153" priority="457" operator="lessThan">
      <formula>0</formula>
    </cfRule>
    <cfRule type="cellIs" dxfId="5152" priority="458" operator="lessThan">
      <formula>-105575</formula>
    </cfRule>
  </conditionalFormatting>
  <conditionalFormatting sqref="BB264:BB267">
    <cfRule type="cellIs" dxfId="5151" priority="455" operator="lessThan">
      <formula>0</formula>
    </cfRule>
    <cfRule type="cellIs" dxfId="5150" priority="456" operator="lessThan">
      <formula>-105575</formula>
    </cfRule>
  </conditionalFormatting>
  <conditionalFormatting sqref="BB264:BB267">
    <cfRule type="cellIs" dxfId="5149" priority="453" operator="lessThan">
      <formula>0</formula>
    </cfRule>
    <cfRule type="cellIs" dxfId="5148" priority="454" operator="lessThan">
      <formula>-105575</formula>
    </cfRule>
  </conditionalFormatting>
  <conditionalFormatting sqref="BB264:BB267">
    <cfRule type="cellIs" dxfId="5147" priority="451" operator="lessThan">
      <formula>0</formula>
    </cfRule>
    <cfRule type="cellIs" dxfId="5146" priority="452" operator="lessThan">
      <formula>-105575</formula>
    </cfRule>
  </conditionalFormatting>
  <conditionalFormatting sqref="BB270:BB272">
    <cfRule type="cellIs" dxfId="5145" priority="449" operator="lessThan">
      <formula>0</formula>
    </cfRule>
    <cfRule type="cellIs" dxfId="5144" priority="450" operator="lessThan">
      <formula>-105575</formula>
    </cfRule>
  </conditionalFormatting>
  <conditionalFormatting sqref="BB270:BB272">
    <cfRule type="cellIs" dxfId="5143" priority="447" operator="lessThan">
      <formula>0</formula>
    </cfRule>
    <cfRule type="cellIs" dxfId="5142" priority="448" operator="lessThan">
      <formula>-105575</formula>
    </cfRule>
  </conditionalFormatting>
  <conditionalFormatting sqref="BB270:BB272">
    <cfRule type="cellIs" dxfId="5141" priority="445" operator="lessThan">
      <formula>0</formula>
    </cfRule>
    <cfRule type="cellIs" dxfId="5140" priority="446" operator="lessThan">
      <formula>-105575</formula>
    </cfRule>
  </conditionalFormatting>
  <conditionalFormatting sqref="BB270:BB272">
    <cfRule type="cellIs" dxfId="5139" priority="443" operator="lessThan">
      <formula>0</formula>
    </cfRule>
    <cfRule type="cellIs" dxfId="5138" priority="444" operator="lessThan">
      <formula>-105575</formula>
    </cfRule>
  </conditionalFormatting>
  <conditionalFormatting sqref="BB270:BB272">
    <cfRule type="cellIs" dxfId="5137" priority="441" operator="lessThan">
      <formula>0</formula>
    </cfRule>
    <cfRule type="cellIs" dxfId="5136" priority="442" operator="lessThan">
      <formula>-105575</formula>
    </cfRule>
  </conditionalFormatting>
  <conditionalFormatting sqref="BB270:BB272">
    <cfRule type="cellIs" dxfId="5135" priority="439" operator="lessThan">
      <formula>0</formula>
    </cfRule>
    <cfRule type="cellIs" dxfId="5134" priority="440" operator="lessThan">
      <formula>-105575</formula>
    </cfRule>
  </conditionalFormatting>
  <conditionalFormatting sqref="BB270:BB272">
    <cfRule type="cellIs" dxfId="5133" priority="437" operator="lessThan">
      <formula>0</formula>
    </cfRule>
    <cfRule type="cellIs" dxfId="5132" priority="438" operator="lessThan">
      <formula>-105575</formula>
    </cfRule>
  </conditionalFormatting>
  <conditionalFormatting sqref="BB270:BB272">
    <cfRule type="cellIs" dxfId="5131" priority="435" operator="lessThan">
      <formula>0</formula>
    </cfRule>
    <cfRule type="cellIs" dxfId="5130" priority="436" operator="lessThan">
      <formula>-105575</formula>
    </cfRule>
  </conditionalFormatting>
  <conditionalFormatting sqref="BB270:BB272">
    <cfRule type="cellIs" dxfId="5129" priority="433" operator="lessThan">
      <formula>0</formula>
    </cfRule>
    <cfRule type="cellIs" dxfId="5128" priority="434" operator="lessThan">
      <formula>-105575</formula>
    </cfRule>
  </conditionalFormatting>
  <conditionalFormatting sqref="BB274:BB275">
    <cfRule type="cellIs" dxfId="5127" priority="431" operator="lessThan">
      <formula>0</formula>
    </cfRule>
    <cfRule type="cellIs" dxfId="5126" priority="432" operator="lessThan">
      <formula>-105575</formula>
    </cfRule>
  </conditionalFormatting>
  <conditionalFormatting sqref="BB274:BB275">
    <cfRule type="cellIs" dxfId="5125" priority="429" operator="lessThan">
      <formula>0</formula>
    </cfRule>
    <cfRule type="cellIs" dxfId="5124" priority="430" operator="lessThan">
      <formula>-105575</formula>
    </cfRule>
  </conditionalFormatting>
  <conditionalFormatting sqref="BB274:BB275">
    <cfRule type="cellIs" dxfId="5123" priority="427" operator="lessThan">
      <formula>0</formula>
    </cfRule>
    <cfRule type="cellIs" dxfId="5122" priority="428" operator="lessThan">
      <formula>-105575</formula>
    </cfRule>
  </conditionalFormatting>
  <conditionalFormatting sqref="BB274:BB275">
    <cfRule type="cellIs" dxfId="5121" priority="425" operator="lessThan">
      <formula>0</formula>
    </cfRule>
    <cfRule type="cellIs" dxfId="5120" priority="426" operator="lessThan">
      <formula>-105575</formula>
    </cfRule>
  </conditionalFormatting>
  <conditionalFormatting sqref="BB274:BB275">
    <cfRule type="cellIs" dxfId="5119" priority="423" operator="lessThan">
      <formula>0</formula>
    </cfRule>
    <cfRule type="cellIs" dxfId="5118" priority="424" operator="lessThan">
      <formula>-105575</formula>
    </cfRule>
  </conditionalFormatting>
  <conditionalFormatting sqref="BB274:BB275">
    <cfRule type="cellIs" dxfId="5117" priority="421" operator="lessThan">
      <formula>0</formula>
    </cfRule>
    <cfRule type="cellIs" dxfId="5116" priority="422" operator="lessThan">
      <formula>-105575</formula>
    </cfRule>
  </conditionalFormatting>
  <conditionalFormatting sqref="BB274:BB275">
    <cfRule type="cellIs" dxfId="5115" priority="419" operator="lessThan">
      <formula>0</formula>
    </cfRule>
    <cfRule type="cellIs" dxfId="5114" priority="420" operator="lessThan">
      <formula>-105575</formula>
    </cfRule>
  </conditionalFormatting>
  <conditionalFormatting sqref="BB274:BB275">
    <cfRule type="cellIs" dxfId="5113" priority="417" operator="lessThan">
      <formula>0</formula>
    </cfRule>
    <cfRule type="cellIs" dxfId="5112" priority="418" operator="lessThan">
      <formula>-105575</formula>
    </cfRule>
  </conditionalFormatting>
  <conditionalFormatting sqref="BB274:BB275">
    <cfRule type="cellIs" dxfId="5111" priority="415" operator="lessThan">
      <formula>0</formula>
    </cfRule>
    <cfRule type="cellIs" dxfId="5110" priority="416" operator="lessThan">
      <formula>-105575</formula>
    </cfRule>
  </conditionalFormatting>
  <conditionalFormatting sqref="BB278:BB282">
    <cfRule type="cellIs" dxfId="5109" priority="413" operator="lessThan">
      <formula>0</formula>
    </cfRule>
    <cfRule type="cellIs" dxfId="5108" priority="414" operator="lessThan">
      <formula>-105575</formula>
    </cfRule>
  </conditionalFormatting>
  <conditionalFormatting sqref="BB278:BB282">
    <cfRule type="cellIs" dxfId="5107" priority="411" operator="lessThan">
      <formula>0</formula>
    </cfRule>
    <cfRule type="cellIs" dxfId="5106" priority="412" operator="lessThan">
      <formula>-105575</formula>
    </cfRule>
  </conditionalFormatting>
  <conditionalFormatting sqref="BB278:BB282">
    <cfRule type="cellIs" dxfId="5105" priority="409" operator="lessThan">
      <formula>0</formula>
    </cfRule>
    <cfRule type="cellIs" dxfId="5104" priority="410" operator="lessThan">
      <formula>-105575</formula>
    </cfRule>
  </conditionalFormatting>
  <conditionalFormatting sqref="BB278:BB282">
    <cfRule type="cellIs" dxfId="5103" priority="407" operator="lessThan">
      <formula>0</formula>
    </cfRule>
    <cfRule type="cellIs" dxfId="5102" priority="408" operator="lessThan">
      <formula>-105575</formula>
    </cfRule>
  </conditionalFormatting>
  <conditionalFormatting sqref="BB278:BB282">
    <cfRule type="cellIs" dxfId="5101" priority="405" operator="lessThan">
      <formula>0</formula>
    </cfRule>
    <cfRule type="cellIs" dxfId="5100" priority="406" operator="lessThan">
      <formula>-105575</formula>
    </cfRule>
  </conditionalFormatting>
  <conditionalFormatting sqref="BB278:BB282">
    <cfRule type="cellIs" dxfId="5099" priority="403" operator="lessThan">
      <formula>0</formula>
    </cfRule>
    <cfRule type="cellIs" dxfId="5098" priority="404" operator="lessThan">
      <formula>-105575</formula>
    </cfRule>
  </conditionalFormatting>
  <conditionalFormatting sqref="BB278:BB282">
    <cfRule type="cellIs" dxfId="5097" priority="401" operator="lessThan">
      <formula>0</formula>
    </cfRule>
    <cfRule type="cellIs" dxfId="5096" priority="402" operator="lessThan">
      <formula>-105575</formula>
    </cfRule>
  </conditionalFormatting>
  <conditionalFormatting sqref="BB278:BB282">
    <cfRule type="cellIs" dxfId="5095" priority="399" operator="lessThan">
      <formula>0</formula>
    </cfRule>
    <cfRule type="cellIs" dxfId="5094" priority="400" operator="lessThan">
      <formula>-105575</formula>
    </cfRule>
  </conditionalFormatting>
  <conditionalFormatting sqref="BB278:BB282">
    <cfRule type="cellIs" dxfId="5093" priority="397" operator="lessThan">
      <formula>0</formula>
    </cfRule>
    <cfRule type="cellIs" dxfId="5092" priority="398" operator="lessThan">
      <formula>-105575</formula>
    </cfRule>
  </conditionalFormatting>
  <conditionalFormatting sqref="BB285:BB288">
    <cfRule type="cellIs" dxfId="5091" priority="395" operator="lessThan">
      <formula>0</formula>
    </cfRule>
    <cfRule type="cellIs" dxfId="5090" priority="396" operator="lessThan">
      <formula>-105575</formula>
    </cfRule>
  </conditionalFormatting>
  <conditionalFormatting sqref="BB285:BB288">
    <cfRule type="cellIs" dxfId="5089" priority="393" operator="lessThan">
      <formula>0</formula>
    </cfRule>
    <cfRule type="cellIs" dxfId="5088" priority="394" operator="lessThan">
      <formula>-105575</formula>
    </cfRule>
  </conditionalFormatting>
  <conditionalFormatting sqref="BB285:BB288">
    <cfRule type="cellIs" dxfId="5087" priority="391" operator="lessThan">
      <formula>0</formula>
    </cfRule>
    <cfRule type="cellIs" dxfId="5086" priority="392" operator="lessThan">
      <formula>-105575</formula>
    </cfRule>
  </conditionalFormatting>
  <conditionalFormatting sqref="BB285:BB288">
    <cfRule type="cellIs" dxfId="5085" priority="389" operator="lessThan">
      <formula>0</formula>
    </cfRule>
    <cfRule type="cellIs" dxfId="5084" priority="390" operator="lessThan">
      <formula>-105575</formula>
    </cfRule>
  </conditionalFormatting>
  <conditionalFormatting sqref="BB285:BB288">
    <cfRule type="cellIs" dxfId="5083" priority="387" operator="lessThan">
      <formula>0</formula>
    </cfRule>
    <cfRule type="cellIs" dxfId="5082" priority="388" operator="lessThan">
      <formula>-105575</formula>
    </cfRule>
  </conditionalFormatting>
  <conditionalFormatting sqref="BB285:BB288">
    <cfRule type="cellIs" dxfId="5081" priority="385" operator="lessThan">
      <formula>0</formula>
    </cfRule>
    <cfRule type="cellIs" dxfId="5080" priority="386" operator="lessThan">
      <formula>-105575</formula>
    </cfRule>
  </conditionalFormatting>
  <conditionalFormatting sqref="BB285:BB288">
    <cfRule type="cellIs" dxfId="5079" priority="383" operator="lessThan">
      <formula>0</formula>
    </cfRule>
    <cfRule type="cellIs" dxfId="5078" priority="384" operator="lessThan">
      <formula>-105575</formula>
    </cfRule>
  </conditionalFormatting>
  <conditionalFormatting sqref="BB285:BB288">
    <cfRule type="cellIs" dxfId="5077" priority="381" operator="lessThan">
      <formula>0</formula>
    </cfRule>
    <cfRule type="cellIs" dxfId="5076" priority="382" operator="lessThan">
      <formula>-105575</formula>
    </cfRule>
  </conditionalFormatting>
  <conditionalFormatting sqref="BB285:BB288">
    <cfRule type="cellIs" dxfId="5075" priority="379" operator="lessThan">
      <formula>0</formula>
    </cfRule>
    <cfRule type="cellIs" dxfId="5074" priority="380" operator="lessThan">
      <formula>-105575</formula>
    </cfRule>
  </conditionalFormatting>
  <conditionalFormatting sqref="BB203 BB220:BB221 BB235:BB243 BB231:BB233 BB212:BB213 BB225:BB226">
    <cfRule type="cellIs" dxfId="5073" priority="377" operator="lessThan">
      <formula>0</formula>
    </cfRule>
    <cfRule type="cellIs" dxfId="5072" priority="378" operator="lessThan">
      <formula>-105575</formula>
    </cfRule>
  </conditionalFormatting>
  <conditionalFormatting sqref="BB220 BB212:BB213 BB235:BB238 BB240:BB243 BB225:BB226 BB231:BB233">
    <cfRule type="cellIs" dxfId="5071" priority="375" operator="lessThan">
      <formula>0</formula>
    </cfRule>
    <cfRule type="cellIs" dxfId="5070" priority="376" operator="lessThan">
      <formula>-105575</formula>
    </cfRule>
  </conditionalFormatting>
  <conditionalFormatting sqref="BB220:BB221 BB243 BB226 BB231:BB236 BB238:BB241 BB203 BB213">
    <cfRule type="cellIs" dxfId="5069" priority="373" operator="lessThan">
      <formula>0</formula>
    </cfRule>
    <cfRule type="cellIs" dxfId="5068" priority="374" operator="lessThan">
      <formula>-105575</formula>
    </cfRule>
  </conditionalFormatting>
  <conditionalFormatting sqref="BB235:BB243 BB231:BB233 BB220 BB212:BB213 BB225:BB226">
    <cfRule type="cellIs" dxfId="5067" priority="371" operator="lessThan">
      <formula>0</formula>
    </cfRule>
    <cfRule type="cellIs" dxfId="5066" priority="372" operator="lessThan">
      <formula>-105575</formula>
    </cfRule>
  </conditionalFormatting>
  <conditionalFormatting sqref="BB220:BB221 BB237:BB243 BB203 BB231:BB235 BB212:BB213 BB225:BB226">
    <cfRule type="cellIs" dxfId="5065" priority="369" operator="lessThan">
      <formula>0</formula>
    </cfRule>
    <cfRule type="cellIs" dxfId="5064" priority="370" operator="lessThan">
      <formula>-105575</formula>
    </cfRule>
  </conditionalFormatting>
  <conditionalFormatting sqref="BB220:BB221 BB237:BB240 BB242:BB243 BB225:BB226 BB231:BB235">
    <cfRule type="cellIs" dxfId="5063" priority="367" operator="lessThan">
      <formula>0</formula>
    </cfRule>
    <cfRule type="cellIs" dxfId="5062" priority="368" operator="lessThan">
      <formula>-105575</formula>
    </cfRule>
  </conditionalFormatting>
  <conditionalFormatting sqref="BB212 BB231 BB233:BB238 BB240:BB243 BB225">
    <cfRule type="cellIs" dxfId="5061" priority="365" operator="lessThan">
      <formula>0</formula>
    </cfRule>
    <cfRule type="cellIs" dxfId="5060" priority="366" operator="lessThan">
      <formula>-105575</formula>
    </cfRule>
  </conditionalFormatting>
  <conditionalFormatting sqref="BB237:BB243 BB231:BB235 BB220:BB221 BB225:BB226">
    <cfRule type="cellIs" dxfId="5059" priority="363" operator="lessThan">
      <formula>0</formula>
    </cfRule>
    <cfRule type="cellIs" dxfId="5058" priority="364" operator="lessThan">
      <formula>-105575</formula>
    </cfRule>
  </conditionalFormatting>
  <conditionalFormatting sqref="BB233:BB237 BB231 BB239:BB243">
    <cfRule type="cellIs" dxfId="5057" priority="361" operator="lessThan">
      <formula>0</formula>
    </cfRule>
    <cfRule type="cellIs" dxfId="5056" priority="362" operator="lessThan">
      <formula>-105575</formula>
    </cfRule>
  </conditionalFormatting>
  <conditionalFormatting sqref="BB233:BB237 BB231 BB239:BB243">
    <cfRule type="cellIs" dxfId="5055" priority="359" operator="lessThan">
      <formula>0</formula>
    </cfRule>
    <cfRule type="cellIs" dxfId="5054" priority="360" operator="lessThan">
      <formula>-105575</formula>
    </cfRule>
  </conditionalFormatting>
  <conditionalFormatting sqref="BB119:BB128 BB106:BB117 BB101:BB104 BB80:BB99">
    <cfRule type="cellIs" dxfId="5053" priority="357" operator="lessThan">
      <formula>0</formula>
    </cfRule>
    <cfRule type="cellIs" dxfId="5052" priority="358" operator="lessThan">
      <formula>-105575</formula>
    </cfRule>
  </conditionalFormatting>
  <conditionalFormatting sqref="BB130 BB132 BB134">
    <cfRule type="cellIs" dxfId="5051" priority="355" operator="lessThan">
      <formula>0</formula>
    </cfRule>
    <cfRule type="cellIs" dxfId="5050" priority="356" operator="lessThan">
      <formula>-105575</formula>
    </cfRule>
  </conditionalFormatting>
  <conditionalFormatting sqref="BB130 BB132 BB134">
    <cfRule type="cellIs" dxfId="5049" priority="353" operator="lessThan">
      <formula>0</formula>
    </cfRule>
    <cfRule type="cellIs" dxfId="5048" priority="354" operator="lessThan">
      <formula>-105575</formula>
    </cfRule>
  </conditionalFormatting>
  <conditionalFormatting sqref="BB129 BB131 BB133 BB135">
    <cfRule type="cellIs" dxfId="5047" priority="351" operator="lessThan">
      <formula>0</formula>
    </cfRule>
    <cfRule type="cellIs" dxfId="5046" priority="352" operator="lessThan">
      <formula>-105575</formula>
    </cfRule>
  </conditionalFormatting>
  <conditionalFormatting sqref="BB140 BB145 BB142:BB143 BB137:BB138">
    <cfRule type="cellIs" dxfId="5045" priority="349" operator="lessThan">
      <formula>0</formula>
    </cfRule>
    <cfRule type="cellIs" dxfId="5044" priority="350" operator="lessThan">
      <formula>-105575</formula>
    </cfRule>
  </conditionalFormatting>
  <conditionalFormatting sqref="BB149">
    <cfRule type="cellIs" dxfId="5043" priority="347" operator="lessThan">
      <formula>0</formula>
    </cfRule>
    <cfRule type="cellIs" dxfId="5042" priority="348" operator="lessThan">
      <formula>-105575</formula>
    </cfRule>
  </conditionalFormatting>
  <conditionalFormatting sqref="BB129:BB138 BB140:BB149">
    <cfRule type="cellIs" dxfId="5041" priority="345" operator="lessThan">
      <formula>0</formula>
    </cfRule>
    <cfRule type="cellIs" dxfId="5040" priority="346" operator="lessThan">
      <formula>-105575</formula>
    </cfRule>
  </conditionalFormatting>
  <conditionalFormatting sqref="BB86:BB87 BB89:BB91 BB141:BB149 BB124:BB133 BB107:BB110 BB112:BB117 BB119:BB122 BB135:BB138 BB101:BB104 BB80:BB84 BB94:BB99">
    <cfRule type="cellIs" dxfId="5039" priority="343" operator="lessThan">
      <formula>0</formula>
    </cfRule>
    <cfRule type="cellIs" dxfId="5038" priority="344" operator="lessThan">
      <formula>-105575</formula>
    </cfRule>
  </conditionalFormatting>
  <conditionalFormatting sqref="BB129 BB131 BB133 BB135">
    <cfRule type="cellIs" dxfId="5037" priority="341" operator="lessThan">
      <formula>0</formula>
    </cfRule>
    <cfRule type="cellIs" dxfId="5036" priority="342" operator="lessThan">
      <formula>-105575</formula>
    </cfRule>
  </conditionalFormatting>
  <conditionalFormatting sqref="BB146 BB144 BB141">
    <cfRule type="cellIs" dxfId="5035" priority="339" operator="lessThan">
      <formula>0</formula>
    </cfRule>
    <cfRule type="cellIs" dxfId="5034" priority="340" operator="lessThan">
      <formula>-105575</formula>
    </cfRule>
  </conditionalFormatting>
  <conditionalFormatting sqref="BB146 BB144 BB141">
    <cfRule type="cellIs" dxfId="5033" priority="337" operator="lessThan">
      <formula>0</formula>
    </cfRule>
    <cfRule type="cellIs" dxfId="5032" priority="338" operator="lessThan">
      <formula>-105575</formula>
    </cfRule>
  </conditionalFormatting>
  <conditionalFormatting sqref="BB140 BB145 BB142:BB143 BB137:BB138">
    <cfRule type="cellIs" dxfId="5031" priority="335" operator="lessThan">
      <formula>0</formula>
    </cfRule>
    <cfRule type="cellIs" dxfId="5030" priority="336" operator="lessThan">
      <formula>-105575</formula>
    </cfRule>
  </conditionalFormatting>
  <conditionalFormatting sqref="BB149">
    <cfRule type="cellIs" dxfId="5029" priority="333" operator="lessThan">
      <formula>0</formula>
    </cfRule>
    <cfRule type="cellIs" dxfId="5028" priority="334" operator="lessThan">
      <formula>-105575</formula>
    </cfRule>
  </conditionalFormatting>
  <conditionalFormatting sqref="BB86:BB87 BB89:BB91 BB141:BB149 BB124:BB133 BB107:BB110 BB112:BB117 BB119:BB122 BB135:BB138 BB101:BB104 BB80:BB84 BB94:BB99">
    <cfRule type="cellIs" dxfId="5027" priority="331" operator="lessThan">
      <formula>0</formula>
    </cfRule>
    <cfRule type="cellIs" dxfId="5026" priority="332" operator="lessThan">
      <formula>-105575</formula>
    </cfRule>
  </conditionalFormatting>
  <conditionalFormatting sqref="BB306:BB309 BB311:BB325 BB327:BB330 BB332:BB341 BB344:BB347 BB349:BB353 BB355:BB358 BB360:BB384 BB386:BB389 BB392:BB395 BB397:BB411 BB413:BB416 BB418:BB432 BB434:BB437 BB439:BB453 BB455:BB458 BB460:BB469 BB290:BB291 BB293:BB304 BB7:BB10 BB12:BB14 BB17:BB18 BB21:BB24 BB26:BB28 BB30:BB36 BB38 BB41:BB43 BB46:BB49 BB51:BB55 BB57:BB59 BB62:BB76">
    <cfRule type="cellIs" dxfId="5025" priority="329" operator="lessThan">
      <formula>0</formula>
    </cfRule>
    <cfRule type="cellIs" dxfId="5024" priority="330" operator="lessThan">
      <formula>-105575</formula>
    </cfRule>
  </conditionalFormatting>
  <conditionalFormatting sqref="BB41">
    <cfRule type="cellIs" dxfId="5023" priority="327" operator="lessThan">
      <formula>0</formula>
    </cfRule>
    <cfRule type="cellIs" dxfId="5022" priority="328" operator="lessThan">
      <formula>-105575</formula>
    </cfRule>
  </conditionalFormatting>
  <conditionalFormatting sqref="BB152:BB155">
    <cfRule type="cellIs" dxfId="5021" priority="325" operator="lessThan">
      <formula>0</formula>
    </cfRule>
    <cfRule type="cellIs" dxfId="5020" priority="326" operator="lessThan">
      <formula>-105575</formula>
    </cfRule>
  </conditionalFormatting>
  <conditionalFormatting sqref="BB152:BB155">
    <cfRule type="cellIs" dxfId="5019" priority="323" operator="lessThan">
      <formula>0</formula>
    </cfRule>
    <cfRule type="cellIs" dxfId="5018" priority="324" operator="lessThan">
      <formula>-105575</formula>
    </cfRule>
  </conditionalFormatting>
  <conditionalFormatting sqref="BB152:BB155">
    <cfRule type="cellIs" dxfId="5017" priority="321" operator="lessThan">
      <formula>0</formula>
    </cfRule>
    <cfRule type="cellIs" dxfId="5016" priority="322" operator="lessThan">
      <formula>-105575</formula>
    </cfRule>
  </conditionalFormatting>
  <conditionalFormatting sqref="BB157:BB158">
    <cfRule type="cellIs" dxfId="5015" priority="319" operator="lessThan">
      <formula>0</formula>
    </cfRule>
    <cfRule type="cellIs" dxfId="5014" priority="320" operator="lessThan">
      <formula>-105575</formula>
    </cfRule>
  </conditionalFormatting>
  <conditionalFormatting sqref="BB157:BB158">
    <cfRule type="cellIs" dxfId="5013" priority="317" operator="lessThan">
      <formula>0</formula>
    </cfRule>
    <cfRule type="cellIs" dxfId="5012" priority="318" operator="lessThan">
      <formula>-105575</formula>
    </cfRule>
  </conditionalFormatting>
  <conditionalFormatting sqref="BB157:BB158">
    <cfRule type="cellIs" dxfId="5011" priority="315" operator="lessThan">
      <formula>0</formula>
    </cfRule>
    <cfRule type="cellIs" dxfId="5010" priority="316" operator="lessThan">
      <formula>-105575</formula>
    </cfRule>
  </conditionalFormatting>
  <conditionalFormatting sqref="BB160:BB161">
    <cfRule type="cellIs" dxfId="5009" priority="313" operator="lessThan">
      <formula>0</formula>
    </cfRule>
    <cfRule type="cellIs" dxfId="5008" priority="314" operator="lessThan">
      <formula>-105575</formula>
    </cfRule>
  </conditionalFormatting>
  <conditionalFormatting sqref="BB160:BB161">
    <cfRule type="cellIs" dxfId="5007" priority="311" operator="lessThan">
      <formula>0</formula>
    </cfRule>
    <cfRule type="cellIs" dxfId="5006" priority="312" operator="lessThan">
      <formula>-105575</formula>
    </cfRule>
  </conditionalFormatting>
  <conditionalFormatting sqref="BB160:BB161">
    <cfRule type="cellIs" dxfId="5005" priority="309" operator="lessThan">
      <formula>0</formula>
    </cfRule>
    <cfRule type="cellIs" dxfId="5004" priority="310" operator="lessThan">
      <formula>-105575</formula>
    </cfRule>
  </conditionalFormatting>
  <conditionalFormatting sqref="BB164:BB167">
    <cfRule type="cellIs" dxfId="5003" priority="307" operator="lessThan">
      <formula>0</formula>
    </cfRule>
    <cfRule type="cellIs" dxfId="5002" priority="308" operator="lessThan">
      <formula>-105575</formula>
    </cfRule>
  </conditionalFormatting>
  <conditionalFormatting sqref="BB164:BB167">
    <cfRule type="cellIs" dxfId="5001" priority="305" operator="lessThan">
      <formula>0</formula>
    </cfRule>
    <cfRule type="cellIs" dxfId="5000" priority="306" operator="lessThan">
      <formula>-105575</formula>
    </cfRule>
  </conditionalFormatting>
  <conditionalFormatting sqref="BB164:BB167">
    <cfRule type="cellIs" dxfId="4999" priority="303" operator="lessThan">
      <formula>0</formula>
    </cfRule>
    <cfRule type="cellIs" dxfId="4998" priority="304" operator="lessThan">
      <formula>-105575</formula>
    </cfRule>
  </conditionalFormatting>
  <conditionalFormatting sqref="BB169:BB177">
    <cfRule type="cellIs" dxfId="4997" priority="301" operator="lessThan">
      <formula>0</formula>
    </cfRule>
    <cfRule type="cellIs" dxfId="4996" priority="302" operator="lessThan">
      <formula>-105575</formula>
    </cfRule>
  </conditionalFormatting>
  <conditionalFormatting sqref="BB169:BB177">
    <cfRule type="cellIs" dxfId="4995" priority="299" operator="lessThan">
      <formula>0</formula>
    </cfRule>
    <cfRule type="cellIs" dxfId="4994" priority="300" operator="lessThan">
      <formula>-105575</formula>
    </cfRule>
  </conditionalFormatting>
  <conditionalFormatting sqref="BB169:BB177">
    <cfRule type="cellIs" dxfId="4993" priority="297" operator="lessThan">
      <formula>0</formula>
    </cfRule>
    <cfRule type="cellIs" dxfId="4992" priority="298" operator="lessThan">
      <formula>-105575</formula>
    </cfRule>
  </conditionalFormatting>
  <conditionalFormatting sqref="BB179:BB180">
    <cfRule type="cellIs" dxfId="4991" priority="295" operator="lessThan">
      <formula>0</formula>
    </cfRule>
    <cfRule type="cellIs" dxfId="4990" priority="296" operator="lessThan">
      <formula>-105575</formula>
    </cfRule>
  </conditionalFormatting>
  <conditionalFormatting sqref="BB179:BB180">
    <cfRule type="cellIs" dxfId="4989" priority="293" operator="lessThan">
      <formula>0</formula>
    </cfRule>
    <cfRule type="cellIs" dxfId="4988" priority="294" operator="lessThan">
      <formula>-105575</formula>
    </cfRule>
  </conditionalFormatting>
  <conditionalFormatting sqref="BB179:BB180">
    <cfRule type="cellIs" dxfId="4987" priority="291" operator="lessThan">
      <formula>0</formula>
    </cfRule>
    <cfRule type="cellIs" dxfId="4986" priority="292" operator="lessThan">
      <formula>-105575</formula>
    </cfRule>
  </conditionalFormatting>
  <conditionalFormatting sqref="BB183:BB189">
    <cfRule type="cellIs" dxfId="4985" priority="289" operator="lessThan">
      <formula>0</formula>
    </cfRule>
    <cfRule type="cellIs" dxfId="4984" priority="290" operator="lessThan">
      <formula>-105575</formula>
    </cfRule>
  </conditionalFormatting>
  <conditionalFormatting sqref="BB183:BB189">
    <cfRule type="cellIs" dxfId="4983" priority="287" operator="lessThan">
      <formula>0</formula>
    </cfRule>
    <cfRule type="cellIs" dxfId="4982" priority="288" operator="lessThan">
      <formula>-105575</formula>
    </cfRule>
  </conditionalFormatting>
  <conditionalFormatting sqref="BB183:BB189">
    <cfRule type="cellIs" dxfId="4981" priority="285" operator="lessThan">
      <formula>0</formula>
    </cfRule>
    <cfRule type="cellIs" dxfId="4980" priority="286" operator="lessThan">
      <formula>-105575</formula>
    </cfRule>
  </conditionalFormatting>
  <conditionalFormatting sqref="BB191:BB192">
    <cfRule type="cellIs" dxfId="4979" priority="283" operator="lessThan">
      <formula>0</formula>
    </cfRule>
    <cfRule type="cellIs" dxfId="4978" priority="284" operator="lessThan">
      <formula>-105575</formula>
    </cfRule>
  </conditionalFormatting>
  <conditionalFormatting sqref="BB191:BB192">
    <cfRule type="cellIs" dxfId="4977" priority="281" operator="lessThan">
      <formula>0</formula>
    </cfRule>
    <cfRule type="cellIs" dxfId="4976" priority="282" operator="lessThan">
      <formula>-105575</formula>
    </cfRule>
  </conditionalFormatting>
  <conditionalFormatting sqref="BB191:BB192">
    <cfRule type="cellIs" dxfId="4975" priority="279" operator="lessThan">
      <formula>0</formula>
    </cfRule>
    <cfRule type="cellIs" dxfId="4974" priority="280" operator="lessThan">
      <formula>-105575</formula>
    </cfRule>
  </conditionalFormatting>
  <conditionalFormatting sqref="BB194:BB195">
    <cfRule type="cellIs" dxfId="4973" priority="277" operator="lessThan">
      <formula>0</formula>
    </cfRule>
    <cfRule type="cellIs" dxfId="4972" priority="278" operator="lessThan">
      <formula>-105575</formula>
    </cfRule>
  </conditionalFormatting>
  <conditionalFormatting sqref="BB194:BB195">
    <cfRule type="cellIs" dxfId="4971" priority="275" operator="lessThan">
      <formula>0</formula>
    </cfRule>
    <cfRule type="cellIs" dxfId="4970" priority="276" operator="lessThan">
      <formula>-105575</formula>
    </cfRule>
  </conditionalFormatting>
  <conditionalFormatting sqref="BB194:BB195">
    <cfRule type="cellIs" dxfId="4969" priority="273" operator="lessThan">
      <formula>0</formula>
    </cfRule>
    <cfRule type="cellIs" dxfId="4968" priority="274" operator="lessThan">
      <formula>-105575</formula>
    </cfRule>
  </conditionalFormatting>
  <conditionalFormatting sqref="BB199:BB202">
    <cfRule type="cellIs" dxfId="4967" priority="271" operator="lessThan">
      <formula>0</formula>
    </cfRule>
    <cfRule type="cellIs" dxfId="4966" priority="272" operator="lessThan">
      <formula>-105575</formula>
    </cfRule>
  </conditionalFormatting>
  <conditionalFormatting sqref="BB199:BB202">
    <cfRule type="cellIs" dxfId="4965" priority="269" operator="lessThan">
      <formula>0</formula>
    </cfRule>
    <cfRule type="cellIs" dxfId="4964" priority="270" operator="lessThan">
      <formula>-105575</formula>
    </cfRule>
  </conditionalFormatting>
  <conditionalFormatting sqref="BB199:BB202">
    <cfRule type="cellIs" dxfId="4963" priority="267" operator="lessThan">
      <formula>0</formula>
    </cfRule>
    <cfRule type="cellIs" dxfId="4962" priority="268" operator="lessThan">
      <formula>-105575</formula>
    </cfRule>
  </conditionalFormatting>
  <conditionalFormatting sqref="BB204:BB208">
    <cfRule type="cellIs" dxfId="4961" priority="265" operator="lessThan">
      <formula>0</formula>
    </cfRule>
    <cfRule type="cellIs" dxfId="4960" priority="266" operator="lessThan">
      <formula>-105575</formula>
    </cfRule>
  </conditionalFormatting>
  <conditionalFormatting sqref="BB204:BB208">
    <cfRule type="cellIs" dxfId="4959" priority="263" operator="lessThan">
      <formula>0</formula>
    </cfRule>
    <cfRule type="cellIs" dxfId="4958" priority="264" operator="lessThan">
      <formula>-105575</formula>
    </cfRule>
  </conditionalFormatting>
  <conditionalFormatting sqref="BB204:BB208">
    <cfRule type="cellIs" dxfId="4957" priority="261" operator="lessThan">
      <formula>0</formula>
    </cfRule>
    <cfRule type="cellIs" dxfId="4956" priority="262" operator="lessThan">
      <formula>-105575</formula>
    </cfRule>
  </conditionalFormatting>
  <conditionalFormatting sqref="BB210:BB211">
    <cfRule type="cellIs" dxfId="4955" priority="259" operator="lessThan">
      <formula>0</formula>
    </cfRule>
    <cfRule type="cellIs" dxfId="4954" priority="260" operator="lessThan">
      <formula>-105575</formula>
    </cfRule>
  </conditionalFormatting>
  <conditionalFormatting sqref="BB210:BB211">
    <cfRule type="cellIs" dxfId="4953" priority="257" operator="lessThan">
      <formula>0</formula>
    </cfRule>
    <cfRule type="cellIs" dxfId="4952" priority="258" operator="lessThan">
      <formula>-105575</formula>
    </cfRule>
  </conditionalFormatting>
  <conditionalFormatting sqref="BB210:BB211">
    <cfRule type="cellIs" dxfId="4951" priority="255" operator="lessThan">
      <formula>0</formula>
    </cfRule>
    <cfRule type="cellIs" dxfId="4950" priority="256" operator="lessThan">
      <formula>-105575</formula>
    </cfRule>
  </conditionalFormatting>
  <conditionalFormatting sqref="BB214:BB219">
    <cfRule type="cellIs" dxfId="4949" priority="253" operator="lessThan">
      <formula>0</formula>
    </cfRule>
    <cfRule type="cellIs" dxfId="4948" priority="254" operator="lessThan">
      <formula>-105575</formula>
    </cfRule>
  </conditionalFormatting>
  <conditionalFormatting sqref="BB214:BB219">
    <cfRule type="cellIs" dxfId="4947" priority="251" operator="lessThan">
      <formula>0</formula>
    </cfRule>
    <cfRule type="cellIs" dxfId="4946" priority="252" operator="lessThan">
      <formula>-105575</formula>
    </cfRule>
  </conditionalFormatting>
  <conditionalFormatting sqref="BB214:BB219">
    <cfRule type="cellIs" dxfId="4945" priority="249" operator="lessThan">
      <formula>0</formula>
    </cfRule>
    <cfRule type="cellIs" dxfId="4944" priority="250" operator="lessThan">
      <formula>-105575</formula>
    </cfRule>
  </conditionalFormatting>
  <conditionalFormatting sqref="BB222:BB224">
    <cfRule type="cellIs" dxfId="4943" priority="247" operator="lessThan">
      <formula>0</formula>
    </cfRule>
    <cfRule type="cellIs" dxfId="4942" priority="248" operator="lessThan">
      <formula>-105575</formula>
    </cfRule>
  </conditionalFormatting>
  <conditionalFormatting sqref="BB222:BB224">
    <cfRule type="cellIs" dxfId="4941" priority="245" operator="lessThan">
      <formula>0</formula>
    </cfRule>
    <cfRule type="cellIs" dxfId="4940" priority="246" operator="lessThan">
      <formula>-105575</formula>
    </cfRule>
  </conditionalFormatting>
  <conditionalFormatting sqref="BB222:BB224">
    <cfRule type="cellIs" dxfId="4939" priority="243" operator="lessThan">
      <formula>0</formula>
    </cfRule>
    <cfRule type="cellIs" dxfId="4938" priority="244" operator="lessThan">
      <formula>-105575</formula>
    </cfRule>
  </conditionalFormatting>
  <conditionalFormatting sqref="BB227:BB230">
    <cfRule type="cellIs" dxfId="4937" priority="241" operator="lessThan">
      <formula>0</formula>
    </cfRule>
    <cfRule type="cellIs" dxfId="4936" priority="242" operator="lessThan">
      <formula>-105575</formula>
    </cfRule>
  </conditionalFormatting>
  <conditionalFormatting sqref="BB227:BB230">
    <cfRule type="cellIs" dxfId="4935" priority="239" operator="lessThan">
      <formula>0</formula>
    </cfRule>
    <cfRule type="cellIs" dxfId="4934" priority="240" operator="lessThan">
      <formula>-105575</formula>
    </cfRule>
  </conditionalFormatting>
  <conditionalFormatting sqref="BB227:BB230">
    <cfRule type="cellIs" dxfId="4933" priority="237" operator="lessThan">
      <formula>0</formula>
    </cfRule>
    <cfRule type="cellIs" dxfId="4932" priority="238" operator="lessThan">
      <formula>-105575</formula>
    </cfRule>
  </conditionalFormatting>
  <conditionalFormatting sqref="BB246:BB249">
    <cfRule type="cellIs" dxfId="4931" priority="235" operator="lessThan">
      <formula>0</formula>
    </cfRule>
    <cfRule type="cellIs" dxfId="4930" priority="236" operator="lessThan">
      <formula>-105575</formula>
    </cfRule>
  </conditionalFormatting>
  <conditionalFormatting sqref="BB246:BB249">
    <cfRule type="cellIs" dxfId="4929" priority="233" operator="lessThan">
      <formula>0</formula>
    </cfRule>
    <cfRule type="cellIs" dxfId="4928" priority="234" operator="lessThan">
      <formula>-105575</formula>
    </cfRule>
  </conditionalFormatting>
  <conditionalFormatting sqref="BB246:BB249">
    <cfRule type="cellIs" dxfId="4927" priority="231" operator="lessThan">
      <formula>0</formula>
    </cfRule>
    <cfRule type="cellIs" dxfId="4926" priority="232" operator="lessThan">
      <formula>-105575</formula>
    </cfRule>
  </conditionalFormatting>
  <conditionalFormatting sqref="BB246:BB249">
    <cfRule type="cellIs" dxfId="4925" priority="229" operator="lessThan">
      <formula>0</formula>
    </cfRule>
    <cfRule type="cellIs" dxfId="4924" priority="230" operator="lessThan">
      <formula>-105575</formula>
    </cfRule>
  </conditionalFormatting>
  <conditionalFormatting sqref="BB246:BB249">
    <cfRule type="cellIs" dxfId="4923" priority="227" operator="lessThan">
      <formula>0</formula>
    </cfRule>
    <cfRule type="cellIs" dxfId="4922" priority="228" operator="lessThan">
      <formula>-105575</formula>
    </cfRule>
  </conditionalFormatting>
  <conditionalFormatting sqref="BB246:BB249">
    <cfRule type="cellIs" dxfId="4921" priority="225" operator="lessThan">
      <formula>0</formula>
    </cfRule>
    <cfRule type="cellIs" dxfId="4920" priority="226" operator="lessThan">
      <formula>-105575</formula>
    </cfRule>
  </conditionalFormatting>
  <conditionalFormatting sqref="BB246:BB249">
    <cfRule type="cellIs" dxfId="4919" priority="223" operator="lessThan">
      <formula>0</formula>
    </cfRule>
    <cfRule type="cellIs" dxfId="4918" priority="224" operator="lessThan">
      <formula>-105575</formula>
    </cfRule>
  </conditionalFormatting>
  <conditionalFormatting sqref="BB246:BB249">
    <cfRule type="cellIs" dxfId="4917" priority="221" operator="lessThan">
      <formula>0</formula>
    </cfRule>
    <cfRule type="cellIs" dxfId="4916" priority="222" operator="lessThan">
      <formula>-105575</formula>
    </cfRule>
  </conditionalFormatting>
  <conditionalFormatting sqref="BB246:BB249">
    <cfRule type="cellIs" dxfId="4915" priority="219" operator="lessThan">
      <formula>0</formula>
    </cfRule>
    <cfRule type="cellIs" dxfId="4914" priority="220" operator="lessThan">
      <formula>-105575</formula>
    </cfRule>
  </conditionalFormatting>
  <conditionalFormatting sqref="BB251:BB253">
    <cfRule type="cellIs" dxfId="4913" priority="217" operator="lessThan">
      <formula>0</formula>
    </cfRule>
    <cfRule type="cellIs" dxfId="4912" priority="218" operator="lessThan">
      <formula>-105575</formula>
    </cfRule>
  </conditionalFormatting>
  <conditionalFormatting sqref="BB251:BB253">
    <cfRule type="cellIs" dxfId="4911" priority="215" operator="lessThan">
      <formula>0</formula>
    </cfRule>
    <cfRule type="cellIs" dxfId="4910" priority="216" operator="lessThan">
      <formula>-105575</formula>
    </cfRule>
  </conditionalFormatting>
  <conditionalFormatting sqref="BB251:BB253">
    <cfRule type="cellIs" dxfId="4909" priority="213" operator="lessThan">
      <formula>0</formula>
    </cfRule>
    <cfRule type="cellIs" dxfId="4908" priority="214" operator="lessThan">
      <formula>-105575</formula>
    </cfRule>
  </conditionalFormatting>
  <conditionalFormatting sqref="BB251:BB253">
    <cfRule type="cellIs" dxfId="4907" priority="211" operator="lessThan">
      <formula>0</formula>
    </cfRule>
    <cfRule type="cellIs" dxfId="4906" priority="212" operator="lessThan">
      <formula>-105575</formula>
    </cfRule>
  </conditionalFormatting>
  <conditionalFormatting sqref="BB251:BB253">
    <cfRule type="cellIs" dxfId="4905" priority="209" operator="lessThan">
      <formula>0</formula>
    </cfRule>
    <cfRule type="cellIs" dxfId="4904" priority="210" operator="lessThan">
      <formula>-105575</formula>
    </cfRule>
  </conditionalFormatting>
  <conditionalFormatting sqref="BB251:BB253">
    <cfRule type="cellIs" dxfId="4903" priority="207" operator="lessThan">
      <formula>0</formula>
    </cfRule>
    <cfRule type="cellIs" dxfId="4902" priority="208" operator="lessThan">
      <formula>-105575</formula>
    </cfRule>
  </conditionalFormatting>
  <conditionalFormatting sqref="BB251:BB253">
    <cfRule type="cellIs" dxfId="4901" priority="205" operator="lessThan">
      <formula>0</formula>
    </cfRule>
    <cfRule type="cellIs" dxfId="4900" priority="206" operator="lessThan">
      <formula>-105575</formula>
    </cfRule>
  </conditionalFormatting>
  <conditionalFormatting sqref="BB251:BB253">
    <cfRule type="cellIs" dxfId="4899" priority="203" operator="lessThan">
      <formula>0</formula>
    </cfRule>
    <cfRule type="cellIs" dxfId="4898" priority="204" operator="lessThan">
      <formula>-105575</formula>
    </cfRule>
  </conditionalFormatting>
  <conditionalFormatting sqref="BB251:BB253">
    <cfRule type="cellIs" dxfId="4897" priority="201" operator="lessThan">
      <formula>0</formula>
    </cfRule>
    <cfRule type="cellIs" dxfId="4896" priority="202" operator="lessThan">
      <formula>-105575</formula>
    </cfRule>
  </conditionalFormatting>
  <conditionalFormatting sqref="BB255:BB257">
    <cfRule type="cellIs" dxfId="4895" priority="199" operator="lessThan">
      <formula>0</formula>
    </cfRule>
    <cfRule type="cellIs" dxfId="4894" priority="200" operator="lessThan">
      <formula>-105575</formula>
    </cfRule>
  </conditionalFormatting>
  <conditionalFormatting sqref="BB255:BB257">
    <cfRule type="cellIs" dxfId="4893" priority="197" operator="lessThan">
      <formula>0</formula>
    </cfRule>
    <cfRule type="cellIs" dxfId="4892" priority="198" operator="lessThan">
      <formula>-105575</formula>
    </cfRule>
  </conditionalFormatting>
  <conditionalFormatting sqref="BB255:BB257">
    <cfRule type="cellIs" dxfId="4891" priority="195" operator="lessThan">
      <formula>0</formula>
    </cfRule>
    <cfRule type="cellIs" dxfId="4890" priority="196" operator="lessThan">
      <formula>-105575</formula>
    </cfRule>
  </conditionalFormatting>
  <conditionalFormatting sqref="BB255:BB257">
    <cfRule type="cellIs" dxfId="4889" priority="193" operator="lessThan">
      <formula>0</formula>
    </cfRule>
    <cfRule type="cellIs" dxfId="4888" priority="194" operator="lessThan">
      <formula>-105575</formula>
    </cfRule>
  </conditionalFormatting>
  <conditionalFormatting sqref="BB255:BB257">
    <cfRule type="cellIs" dxfId="4887" priority="191" operator="lessThan">
      <formula>0</formula>
    </cfRule>
    <cfRule type="cellIs" dxfId="4886" priority="192" operator="lessThan">
      <formula>-105575</formula>
    </cfRule>
  </conditionalFormatting>
  <conditionalFormatting sqref="BB255:BB257">
    <cfRule type="cellIs" dxfId="4885" priority="189" operator="lessThan">
      <formula>0</formula>
    </cfRule>
    <cfRule type="cellIs" dxfId="4884" priority="190" operator="lessThan">
      <formula>-105575</formula>
    </cfRule>
  </conditionalFormatting>
  <conditionalFormatting sqref="BB255:BB257">
    <cfRule type="cellIs" dxfId="4883" priority="187" operator="lessThan">
      <formula>0</formula>
    </cfRule>
    <cfRule type="cellIs" dxfId="4882" priority="188" operator="lessThan">
      <formula>-105575</formula>
    </cfRule>
  </conditionalFormatting>
  <conditionalFormatting sqref="BB255:BB257">
    <cfRule type="cellIs" dxfId="4881" priority="185" operator="lessThan">
      <formula>0</formula>
    </cfRule>
    <cfRule type="cellIs" dxfId="4880" priority="186" operator="lessThan">
      <formula>-105575</formula>
    </cfRule>
  </conditionalFormatting>
  <conditionalFormatting sqref="BB255:BB257">
    <cfRule type="cellIs" dxfId="4879" priority="183" operator="lessThan">
      <formula>0</formula>
    </cfRule>
    <cfRule type="cellIs" dxfId="4878" priority="184" operator="lessThan">
      <formula>-105575</formula>
    </cfRule>
  </conditionalFormatting>
  <conditionalFormatting sqref="BB260:BB262">
    <cfRule type="cellIs" dxfId="4877" priority="181" operator="lessThan">
      <formula>0</formula>
    </cfRule>
    <cfRule type="cellIs" dxfId="4876" priority="182" operator="lessThan">
      <formula>-105575</formula>
    </cfRule>
  </conditionalFormatting>
  <conditionalFormatting sqref="BB260:BB262">
    <cfRule type="cellIs" dxfId="4875" priority="179" operator="lessThan">
      <formula>0</formula>
    </cfRule>
    <cfRule type="cellIs" dxfId="4874" priority="180" operator="lessThan">
      <formula>-105575</formula>
    </cfRule>
  </conditionalFormatting>
  <conditionalFormatting sqref="BB260:BB262">
    <cfRule type="cellIs" dxfId="4873" priority="177" operator="lessThan">
      <formula>0</formula>
    </cfRule>
    <cfRule type="cellIs" dxfId="4872" priority="178" operator="lessThan">
      <formula>-105575</formula>
    </cfRule>
  </conditionalFormatting>
  <conditionalFormatting sqref="BB260:BB262">
    <cfRule type="cellIs" dxfId="4871" priority="175" operator="lessThan">
      <formula>0</formula>
    </cfRule>
    <cfRule type="cellIs" dxfId="4870" priority="176" operator="lessThan">
      <formula>-105575</formula>
    </cfRule>
  </conditionalFormatting>
  <conditionalFormatting sqref="BB260:BB262">
    <cfRule type="cellIs" dxfId="4869" priority="173" operator="lessThan">
      <formula>0</formula>
    </cfRule>
    <cfRule type="cellIs" dxfId="4868" priority="174" operator="lessThan">
      <formula>-105575</formula>
    </cfRule>
  </conditionalFormatting>
  <conditionalFormatting sqref="BB260:BB262">
    <cfRule type="cellIs" dxfId="4867" priority="171" operator="lessThan">
      <formula>0</formula>
    </cfRule>
    <cfRule type="cellIs" dxfId="4866" priority="172" operator="lessThan">
      <formula>-105575</formula>
    </cfRule>
  </conditionalFormatting>
  <conditionalFormatting sqref="BB260:BB262">
    <cfRule type="cellIs" dxfId="4865" priority="169" operator="lessThan">
      <formula>0</formula>
    </cfRule>
    <cfRule type="cellIs" dxfId="4864" priority="170" operator="lessThan">
      <formula>-105575</formula>
    </cfRule>
  </conditionalFormatting>
  <conditionalFormatting sqref="BB260:BB262">
    <cfRule type="cellIs" dxfId="4863" priority="167" operator="lessThan">
      <formula>0</formula>
    </cfRule>
    <cfRule type="cellIs" dxfId="4862" priority="168" operator="lessThan">
      <formula>-105575</formula>
    </cfRule>
  </conditionalFormatting>
  <conditionalFormatting sqref="BB260:BB262">
    <cfRule type="cellIs" dxfId="4861" priority="165" operator="lessThan">
      <formula>0</formula>
    </cfRule>
    <cfRule type="cellIs" dxfId="4860" priority="166" operator="lessThan">
      <formula>-105575</formula>
    </cfRule>
  </conditionalFormatting>
  <conditionalFormatting sqref="BB264:BB267">
    <cfRule type="cellIs" dxfId="4859" priority="163" operator="lessThan">
      <formula>0</formula>
    </cfRule>
    <cfRule type="cellIs" dxfId="4858" priority="164" operator="lessThan">
      <formula>-105575</formula>
    </cfRule>
  </conditionalFormatting>
  <conditionalFormatting sqref="BB264:BB267">
    <cfRule type="cellIs" dxfId="4857" priority="161" operator="lessThan">
      <formula>0</formula>
    </cfRule>
    <cfRule type="cellIs" dxfId="4856" priority="162" operator="lessThan">
      <formula>-105575</formula>
    </cfRule>
  </conditionalFormatting>
  <conditionalFormatting sqref="BB264:BB267">
    <cfRule type="cellIs" dxfId="4855" priority="159" operator="lessThan">
      <formula>0</formula>
    </cfRule>
    <cfRule type="cellIs" dxfId="4854" priority="160" operator="lessThan">
      <formula>-105575</formula>
    </cfRule>
  </conditionalFormatting>
  <conditionalFormatting sqref="BB264:BB267">
    <cfRule type="cellIs" dxfId="4853" priority="157" operator="lessThan">
      <formula>0</formula>
    </cfRule>
    <cfRule type="cellIs" dxfId="4852" priority="158" operator="lessThan">
      <formula>-105575</formula>
    </cfRule>
  </conditionalFormatting>
  <conditionalFormatting sqref="BB264:BB267">
    <cfRule type="cellIs" dxfId="4851" priority="155" operator="lessThan">
      <formula>0</formula>
    </cfRule>
    <cfRule type="cellIs" dxfId="4850" priority="156" operator="lessThan">
      <formula>-105575</formula>
    </cfRule>
  </conditionalFormatting>
  <conditionalFormatting sqref="BB264:BB267">
    <cfRule type="cellIs" dxfId="4849" priority="153" operator="lessThan">
      <formula>0</formula>
    </cfRule>
    <cfRule type="cellIs" dxfId="4848" priority="154" operator="lessThan">
      <formula>-105575</formula>
    </cfRule>
  </conditionalFormatting>
  <conditionalFormatting sqref="BB264:BB267">
    <cfRule type="cellIs" dxfId="4847" priority="151" operator="lessThan">
      <formula>0</formula>
    </cfRule>
    <cfRule type="cellIs" dxfId="4846" priority="152" operator="lessThan">
      <formula>-105575</formula>
    </cfRule>
  </conditionalFormatting>
  <conditionalFormatting sqref="BB264:BB267">
    <cfRule type="cellIs" dxfId="4845" priority="149" operator="lessThan">
      <formula>0</formula>
    </cfRule>
    <cfRule type="cellIs" dxfId="4844" priority="150" operator="lessThan">
      <formula>-105575</formula>
    </cfRule>
  </conditionalFormatting>
  <conditionalFormatting sqref="BB264:BB267">
    <cfRule type="cellIs" dxfId="4843" priority="147" operator="lessThan">
      <formula>0</formula>
    </cfRule>
    <cfRule type="cellIs" dxfId="4842" priority="148" operator="lessThan">
      <formula>-105575</formula>
    </cfRule>
  </conditionalFormatting>
  <conditionalFormatting sqref="BB270:BB272">
    <cfRule type="cellIs" dxfId="4841" priority="145" operator="lessThan">
      <formula>0</formula>
    </cfRule>
    <cfRule type="cellIs" dxfId="4840" priority="146" operator="lessThan">
      <formula>-105575</formula>
    </cfRule>
  </conditionalFormatting>
  <conditionalFormatting sqref="BB270:BB272">
    <cfRule type="cellIs" dxfId="4839" priority="143" operator="lessThan">
      <formula>0</formula>
    </cfRule>
    <cfRule type="cellIs" dxfId="4838" priority="144" operator="lessThan">
      <formula>-105575</formula>
    </cfRule>
  </conditionalFormatting>
  <conditionalFormatting sqref="BB270:BB272">
    <cfRule type="cellIs" dxfId="4837" priority="141" operator="lessThan">
      <formula>0</formula>
    </cfRule>
    <cfRule type="cellIs" dxfId="4836" priority="142" operator="lessThan">
      <formula>-105575</formula>
    </cfRule>
  </conditionalFormatting>
  <conditionalFormatting sqref="BB270:BB272">
    <cfRule type="cellIs" dxfId="4835" priority="139" operator="lessThan">
      <formula>0</formula>
    </cfRule>
    <cfRule type="cellIs" dxfId="4834" priority="140" operator="lessThan">
      <formula>-105575</formula>
    </cfRule>
  </conditionalFormatting>
  <conditionalFormatting sqref="BB270:BB272">
    <cfRule type="cellIs" dxfId="4833" priority="137" operator="lessThan">
      <formula>0</formula>
    </cfRule>
    <cfRule type="cellIs" dxfId="4832" priority="138" operator="lessThan">
      <formula>-105575</formula>
    </cfRule>
  </conditionalFormatting>
  <conditionalFormatting sqref="BB270:BB272">
    <cfRule type="cellIs" dxfId="4831" priority="135" operator="lessThan">
      <formula>0</formula>
    </cfRule>
    <cfRule type="cellIs" dxfId="4830" priority="136" operator="lessThan">
      <formula>-105575</formula>
    </cfRule>
  </conditionalFormatting>
  <conditionalFormatting sqref="BB270:BB272">
    <cfRule type="cellIs" dxfId="4829" priority="133" operator="lessThan">
      <formula>0</formula>
    </cfRule>
    <cfRule type="cellIs" dxfId="4828" priority="134" operator="lessThan">
      <formula>-105575</formula>
    </cfRule>
  </conditionalFormatting>
  <conditionalFormatting sqref="BB270:BB272">
    <cfRule type="cellIs" dxfId="4827" priority="131" operator="lessThan">
      <formula>0</formula>
    </cfRule>
    <cfRule type="cellIs" dxfId="4826" priority="132" operator="lessThan">
      <formula>-105575</formula>
    </cfRule>
  </conditionalFormatting>
  <conditionalFormatting sqref="BB270:BB272">
    <cfRule type="cellIs" dxfId="4825" priority="129" operator="lessThan">
      <formula>0</formula>
    </cfRule>
    <cfRule type="cellIs" dxfId="4824" priority="130" operator="lessThan">
      <formula>-105575</formula>
    </cfRule>
  </conditionalFormatting>
  <conditionalFormatting sqref="BB274:BB275">
    <cfRule type="cellIs" dxfId="4823" priority="127" operator="lessThan">
      <formula>0</formula>
    </cfRule>
    <cfRule type="cellIs" dxfId="4822" priority="128" operator="lessThan">
      <formula>-105575</formula>
    </cfRule>
  </conditionalFormatting>
  <conditionalFormatting sqref="BB274:BB275">
    <cfRule type="cellIs" dxfId="4821" priority="125" operator="lessThan">
      <formula>0</formula>
    </cfRule>
    <cfRule type="cellIs" dxfId="4820" priority="126" operator="lessThan">
      <formula>-105575</formula>
    </cfRule>
  </conditionalFormatting>
  <conditionalFormatting sqref="BB274:BB275">
    <cfRule type="cellIs" dxfId="4819" priority="123" operator="lessThan">
      <formula>0</formula>
    </cfRule>
    <cfRule type="cellIs" dxfId="4818" priority="124" operator="lessThan">
      <formula>-105575</formula>
    </cfRule>
  </conditionalFormatting>
  <conditionalFormatting sqref="BB274:BB275">
    <cfRule type="cellIs" dxfId="4817" priority="121" operator="lessThan">
      <formula>0</formula>
    </cfRule>
    <cfRule type="cellIs" dxfId="4816" priority="122" operator="lessThan">
      <formula>-105575</formula>
    </cfRule>
  </conditionalFormatting>
  <conditionalFormatting sqref="BB274:BB275">
    <cfRule type="cellIs" dxfId="4815" priority="119" operator="lessThan">
      <formula>0</formula>
    </cfRule>
    <cfRule type="cellIs" dxfId="4814" priority="120" operator="lessThan">
      <formula>-105575</formula>
    </cfRule>
  </conditionalFormatting>
  <conditionalFormatting sqref="BB274:BB275">
    <cfRule type="cellIs" dxfId="4813" priority="117" operator="lessThan">
      <formula>0</formula>
    </cfRule>
    <cfRule type="cellIs" dxfId="4812" priority="118" operator="lessThan">
      <formula>-105575</formula>
    </cfRule>
  </conditionalFormatting>
  <conditionalFormatting sqref="BB274:BB275">
    <cfRule type="cellIs" dxfId="4811" priority="115" operator="lessThan">
      <formula>0</formula>
    </cfRule>
    <cfRule type="cellIs" dxfId="4810" priority="116" operator="lessThan">
      <formula>-105575</formula>
    </cfRule>
  </conditionalFormatting>
  <conditionalFormatting sqref="BB274:BB275">
    <cfRule type="cellIs" dxfId="4809" priority="113" operator="lessThan">
      <formula>0</formula>
    </cfRule>
    <cfRule type="cellIs" dxfId="4808" priority="114" operator="lessThan">
      <formula>-105575</formula>
    </cfRule>
  </conditionalFormatting>
  <conditionalFormatting sqref="BB274:BB275">
    <cfRule type="cellIs" dxfId="4807" priority="111" operator="lessThan">
      <formula>0</formula>
    </cfRule>
    <cfRule type="cellIs" dxfId="4806" priority="112" operator="lessThan">
      <formula>-105575</formula>
    </cfRule>
  </conditionalFormatting>
  <conditionalFormatting sqref="BB278:BB282">
    <cfRule type="cellIs" dxfId="4805" priority="109" operator="lessThan">
      <formula>0</formula>
    </cfRule>
    <cfRule type="cellIs" dxfId="4804" priority="110" operator="lessThan">
      <formula>-105575</formula>
    </cfRule>
  </conditionalFormatting>
  <conditionalFormatting sqref="BB278:BB282">
    <cfRule type="cellIs" dxfId="4803" priority="107" operator="lessThan">
      <formula>0</formula>
    </cfRule>
    <cfRule type="cellIs" dxfId="4802" priority="108" operator="lessThan">
      <formula>-105575</formula>
    </cfRule>
  </conditionalFormatting>
  <conditionalFormatting sqref="BB278:BB282">
    <cfRule type="cellIs" dxfId="4801" priority="105" operator="lessThan">
      <formula>0</formula>
    </cfRule>
    <cfRule type="cellIs" dxfId="4800" priority="106" operator="lessThan">
      <formula>-105575</formula>
    </cfRule>
  </conditionalFormatting>
  <conditionalFormatting sqref="BB278:BB282">
    <cfRule type="cellIs" dxfId="4799" priority="103" operator="lessThan">
      <formula>0</formula>
    </cfRule>
    <cfRule type="cellIs" dxfId="4798" priority="104" operator="lessThan">
      <formula>-105575</formula>
    </cfRule>
  </conditionalFormatting>
  <conditionalFormatting sqref="BB278:BB282">
    <cfRule type="cellIs" dxfId="4797" priority="101" operator="lessThan">
      <formula>0</formula>
    </cfRule>
    <cfRule type="cellIs" dxfId="4796" priority="102" operator="lessThan">
      <formula>-105575</formula>
    </cfRule>
  </conditionalFormatting>
  <conditionalFormatting sqref="BB278:BB282">
    <cfRule type="cellIs" dxfId="4795" priority="99" operator="lessThan">
      <formula>0</formula>
    </cfRule>
    <cfRule type="cellIs" dxfId="4794" priority="100" operator="lessThan">
      <formula>-105575</formula>
    </cfRule>
  </conditionalFormatting>
  <conditionalFormatting sqref="BB278:BB282">
    <cfRule type="cellIs" dxfId="4793" priority="97" operator="lessThan">
      <formula>0</formula>
    </cfRule>
    <cfRule type="cellIs" dxfId="4792" priority="98" operator="lessThan">
      <formula>-105575</formula>
    </cfRule>
  </conditionalFormatting>
  <conditionalFormatting sqref="BB278:BB282">
    <cfRule type="cellIs" dxfId="4791" priority="95" operator="lessThan">
      <formula>0</formula>
    </cfRule>
    <cfRule type="cellIs" dxfId="4790" priority="96" operator="lessThan">
      <formula>-105575</formula>
    </cfRule>
  </conditionalFormatting>
  <conditionalFormatting sqref="BB278:BB282">
    <cfRule type="cellIs" dxfId="4789" priority="93" operator="lessThan">
      <formula>0</formula>
    </cfRule>
    <cfRule type="cellIs" dxfId="4788" priority="94" operator="lessThan">
      <formula>-105575</formula>
    </cfRule>
  </conditionalFormatting>
  <conditionalFormatting sqref="BB285:BB288">
    <cfRule type="cellIs" dxfId="4787" priority="91" operator="lessThan">
      <formula>0</formula>
    </cfRule>
    <cfRule type="cellIs" dxfId="4786" priority="92" operator="lessThan">
      <formula>-105575</formula>
    </cfRule>
  </conditionalFormatting>
  <conditionalFormatting sqref="BB285:BB288">
    <cfRule type="cellIs" dxfId="4785" priority="89" operator="lessThan">
      <formula>0</formula>
    </cfRule>
    <cfRule type="cellIs" dxfId="4784" priority="90" operator="lessThan">
      <formula>-105575</formula>
    </cfRule>
  </conditionalFormatting>
  <conditionalFormatting sqref="BB285:BB288">
    <cfRule type="cellIs" dxfId="4783" priority="87" operator="lessThan">
      <formula>0</formula>
    </cfRule>
    <cfRule type="cellIs" dxfId="4782" priority="88" operator="lessThan">
      <formula>-105575</formula>
    </cfRule>
  </conditionalFormatting>
  <conditionalFormatting sqref="BB285:BB288">
    <cfRule type="cellIs" dxfId="4781" priority="85" operator="lessThan">
      <formula>0</formula>
    </cfRule>
    <cfRule type="cellIs" dxfId="4780" priority="86" operator="lessThan">
      <formula>-105575</formula>
    </cfRule>
  </conditionalFormatting>
  <conditionalFormatting sqref="BB285:BB288">
    <cfRule type="cellIs" dxfId="4779" priority="83" operator="lessThan">
      <formula>0</formula>
    </cfRule>
    <cfRule type="cellIs" dxfId="4778" priority="84" operator="lessThan">
      <formula>-105575</formula>
    </cfRule>
  </conditionalFormatting>
  <conditionalFormatting sqref="BB285:BB288">
    <cfRule type="cellIs" dxfId="4777" priority="81" operator="lessThan">
      <formula>0</formula>
    </cfRule>
    <cfRule type="cellIs" dxfId="4776" priority="82" operator="lessThan">
      <formula>-105575</formula>
    </cfRule>
  </conditionalFormatting>
  <conditionalFormatting sqref="BB285:BB288">
    <cfRule type="cellIs" dxfId="4775" priority="79" operator="lessThan">
      <formula>0</formula>
    </cfRule>
    <cfRule type="cellIs" dxfId="4774" priority="80" operator="lessThan">
      <formula>-105575</formula>
    </cfRule>
  </conditionalFormatting>
  <conditionalFormatting sqref="BB285:BB288">
    <cfRule type="cellIs" dxfId="4773" priority="77" operator="lessThan">
      <formula>0</formula>
    </cfRule>
    <cfRule type="cellIs" dxfId="4772" priority="78" operator="lessThan">
      <formula>-105575</formula>
    </cfRule>
  </conditionalFormatting>
  <conditionalFormatting sqref="BB285:BB288">
    <cfRule type="cellIs" dxfId="4771" priority="75" operator="lessThan">
      <formula>0</formula>
    </cfRule>
    <cfRule type="cellIs" dxfId="4770" priority="76" operator="lessThan">
      <formula>-105575</formula>
    </cfRule>
  </conditionalFormatting>
  <conditionalFormatting sqref="BB80:BB84">
    <cfRule type="cellIs" dxfId="4769" priority="73" operator="lessThan">
      <formula>0</formula>
    </cfRule>
    <cfRule type="cellIs" dxfId="4768" priority="74" operator="lessThan">
      <formula>-105575</formula>
    </cfRule>
  </conditionalFormatting>
  <conditionalFormatting sqref="BB86:BB87">
    <cfRule type="cellIs" dxfId="4767" priority="71" operator="lessThan">
      <formula>0</formula>
    </cfRule>
    <cfRule type="cellIs" dxfId="4766" priority="72" operator="lessThan">
      <formula>-105575</formula>
    </cfRule>
  </conditionalFormatting>
  <conditionalFormatting sqref="BB89:BB91">
    <cfRule type="cellIs" dxfId="4765" priority="69" operator="lessThan">
      <formula>0</formula>
    </cfRule>
    <cfRule type="cellIs" dxfId="4764" priority="70" operator="lessThan">
      <formula>-105575</formula>
    </cfRule>
  </conditionalFormatting>
  <conditionalFormatting sqref="BB94:BB98">
    <cfRule type="cellIs" dxfId="4763" priority="67" operator="lessThan">
      <formula>0</formula>
    </cfRule>
    <cfRule type="cellIs" dxfId="4762" priority="68" operator="lessThan">
      <formula>-105575</formula>
    </cfRule>
  </conditionalFormatting>
  <conditionalFormatting sqref="BB101:BB104">
    <cfRule type="cellIs" dxfId="4761" priority="65" operator="lessThan">
      <formula>0</formula>
    </cfRule>
    <cfRule type="cellIs" dxfId="4760" priority="66" operator="lessThan">
      <formula>-105575</formula>
    </cfRule>
  </conditionalFormatting>
  <conditionalFormatting sqref="BB107:BB109">
    <cfRule type="cellIs" dxfId="4759" priority="63" operator="lessThan">
      <formula>0</formula>
    </cfRule>
    <cfRule type="cellIs" dxfId="4758" priority="64" operator="lessThan">
      <formula>-105575</formula>
    </cfRule>
  </conditionalFormatting>
  <conditionalFormatting sqref="BB112:BB116">
    <cfRule type="cellIs" dxfId="4757" priority="61" operator="lessThan">
      <formula>0</formula>
    </cfRule>
    <cfRule type="cellIs" dxfId="4756" priority="62" operator="lessThan">
      <formula>-105575</formula>
    </cfRule>
  </conditionalFormatting>
  <conditionalFormatting sqref="BB119:BB121">
    <cfRule type="cellIs" dxfId="4755" priority="59" operator="lessThan">
      <formula>0</formula>
    </cfRule>
    <cfRule type="cellIs" dxfId="4754" priority="60" operator="lessThan">
      <formula>-105575</formula>
    </cfRule>
  </conditionalFormatting>
  <conditionalFormatting sqref="BB124:BB132">
    <cfRule type="cellIs" dxfId="4753" priority="57" operator="lessThan">
      <formula>0</formula>
    </cfRule>
    <cfRule type="cellIs" dxfId="4752" priority="58" operator="lessThan">
      <formula>-105575</formula>
    </cfRule>
  </conditionalFormatting>
  <conditionalFormatting sqref="BB135:BB138">
    <cfRule type="cellIs" dxfId="4751" priority="55" operator="lessThan">
      <formula>0</formula>
    </cfRule>
    <cfRule type="cellIs" dxfId="4750" priority="56" operator="lessThan">
      <formula>-105575</formula>
    </cfRule>
  </conditionalFormatting>
  <conditionalFormatting sqref="BB141:BB148">
    <cfRule type="cellIs" dxfId="4749" priority="53" operator="lessThan">
      <formula>0</formula>
    </cfRule>
    <cfRule type="cellIs" dxfId="4748" priority="54" operator="lessThan">
      <formula>-105575</formula>
    </cfRule>
  </conditionalFormatting>
  <conditionalFormatting sqref="BB152:BB155">
    <cfRule type="cellIs" dxfId="4747" priority="51" operator="lessThan">
      <formula>0</formula>
    </cfRule>
    <cfRule type="cellIs" dxfId="4746" priority="52" operator="lessThan">
      <formula>-105575</formula>
    </cfRule>
  </conditionalFormatting>
  <conditionalFormatting sqref="BB157:BB158">
    <cfRule type="cellIs" dxfId="4745" priority="49" operator="lessThan">
      <formula>0</formula>
    </cfRule>
    <cfRule type="cellIs" dxfId="4744" priority="50" operator="lessThan">
      <formula>-105575</formula>
    </cfRule>
  </conditionalFormatting>
  <conditionalFormatting sqref="BB160:BB161">
    <cfRule type="cellIs" dxfId="4743" priority="47" operator="lessThan">
      <formula>0</formula>
    </cfRule>
    <cfRule type="cellIs" dxfId="4742" priority="48" operator="lessThan">
      <formula>-105575</formula>
    </cfRule>
  </conditionalFormatting>
  <conditionalFormatting sqref="BB164:BB167">
    <cfRule type="cellIs" dxfId="4741" priority="45" operator="lessThan">
      <formula>0</formula>
    </cfRule>
    <cfRule type="cellIs" dxfId="4740" priority="46" operator="lessThan">
      <formula>-105575</formula>
    </cfRule>
  </conditionalFormatting>
  <conditionalFormatting sqref="BB169:BB177">
    <cfRule type="cellIs" dxfId="4739" priority="43" operator="lessThan">
      <formula>0</formula>
    </cfRule>
    <cfRule type="cellIs" dxfId="4738" priority="44" operator="lessThan">
      <formula>-105575</formula>
    </cfRule>
  </conditionalFormatting>
  <conditionalFormatting sqref="BB179:BB180">
    <cfRule type="cellIs" dxfId="4737" priority="41" operator="lessThan">
      <formula>0</formula>
    </cfRule>
    <cfRule type="cellIs" dxfId="4736" priority="42" operator="lessThan">
      <formula>-105575</formula>
    </cfRule>
  </conditionalFormatting>
  <conditionalFormatting sqref="BB183:BB189">
    <cfRule type="cellIs" dxfId="4735" priority="39" operator="lessThan">
      <formula>0</formula>
    </cfRule>
    <cfRule type="cellIs" dxfId="4734" priority="40" operator="lessThan">
      <formula>-105575</formula>
    </cfRule>
  </conditionalFormatting>
  <conditionalFormatting sqref="BB191:BB192">
    <cfRule type="cellIs" dxfId="4733" priority="37" operator="lessThan">
      <formula>0</formula>
    </cfRule>
    <cfRule type="cellIs" dxfId="4732" priority="38" operator="lessThan">
      <formula>-105575</formula>
    </cfRule>
  </conditionalFormatting>
  <conditionalFormatting sqref="BB194:BB195">
    <cfRule type="cellIs" dxfId="4731" priority="35" operator="lessThan">
      <formula>0</formula>
    </cfRule>
    <cfRule type="cellIs" dxfId="4730" priority="36" operator="lessThan">
      <formula>-105575</formula>
    </cfRule>
  </conditionalFormatting>
  <conditionalFormatting sqref="BB199:BB202">
    <cfRule type="cellIs" dxfId="4729" priority="33" operator="lessThan">
      <formula>0</formula>
    </cfRule>
    <cfRule type="cellIs" dxfId="4728" priority="34" operator="lessThan">
      <formula>-105575</formula>
    </cfRule>
  </conditionalFormatting>
  <conditionalFormatting sqref="BB204:BB208">
    <cfRule type="cellIs" dxfId="4727" priority="31" operator="lessThan">
      <formula>0</formula>
    </cfRule>
    <cfRule type="cellIs" dxfId="4726" priority="32" operator="lessThan">
      <formula>-105575</formula>
    </cfRule>
  </conditionalFormatting>
  <conditionalFormatting sqref="BB210:BB211">
    <cfRule type="cellIs" dxfId="4725" priority="29" operator="lessThan">
      <formula>0</formula>
    </cfRule>
    <cfRule type="cellIs" dxfId="4724" priority="30" operator="lessThan">
      <formula>-105575</formula>
    </cfRule>
  </conditionalFormatting>
  <conditionalFormatting sqref="BB214:BB219">
    <cfRule type="cellIs" dxfId="4723" priority="27" operator="lessThan">
      <formula>0</formula>
    </cfRule>
    <cfRule type="cellIs" dxfId="4722" priority="28" operator="lessThan">
      <formula>-105575</formula>
    </cfRule>
  </conditionalFormatting>
  <conditionalFormatting sqref="BB222:BB224">
    <cfRule type="cellIs" dxfId="4721" priority="25" operator="lessThan">
      <formula>0</formula>
    </cfRule>
    <cfRule type="cellIs" dxfId="4720" priority="26" operator="lessThan">
      <formula>-105575</formula>
    </cfRule>
  </conditionalFormatting>
  <conditionalFormatting sqref="BB227:BB230">
    <cfRule type="cellIs" dxfId="4719" priority="23" operator="lessThan">
      <formula>0</formula>
    </cfRule>
    <cfRule type="cellIs" dxfId="4718" priority="24" operator="lessThan">
      <formula>-105575</formula>
    </cfRule>
  </conditionalFormatting>
  <conditionalFormatting sqref="BB233:BB236">
    <cfRule type="cellIs" dxfId="4717" priority="21" operator="lessThan">
      <formula>0</formula>
    </cfRule>
    <cfRule type="cellIs" dxfId="4716" priority="22" operator="lessThan">
      <formula>-105575</formula>
    </cfRule>
  </conditionalFormatting>
  <conditionalFormatting sqref="BB239:BB242">
    <cfRule type="cellIs" dxfId="4715" priority="19" operator="lessThan">
      <formula>0</formula>
    </cfRule>
    <cfRule type="cellIs" dxfId="4714" priority="20" operator="lessThan">
      <formula>-105575</formula>
    </cfRule>
  </conditionalFormatting>
  <conditionalFormatting sqref="BB246:BB249">
    <cfRule type="cellIs" dxfId="4713" priority="17" operator="lessThan">
      <formula>0</formula>
    </cfRule>
    <cfRule type="cellIs" dxfId="4712" priority="18" operator="lessThan">
      <formula>-105575</formula>
    </cfRule>
  </conditionalFormatting>
  <conditionalFormatting sqref="BB251:BB253">
    <cfRule type="cellIs" dxfId="4711" priority="15" operator="lessThan">
      <formula>0</formula>
    </cfRule>
    <cfRule type="cellIs" dxfId="4710" priority="16" operator="lessThan">
      <formula>-105575</formula>
    </cfRule>
  </conditionalFormatting>
  <conditionalFormatting sqref="BB255:BB257">
    <cfRule type="cellIs" dxfId="4709" priority="13" operator="lessThan">
      <formula>0</formula>
    </cfRule>
    <cfRule type="cellIs" dxfId="4708" priority="14" operator="lessThan">
      <formula>-105575</formula>
    </cfRule>
  </conditionalFormatting>
  <conditionalFormatting sqref="BB260:BB262">
    <cfRule type="cellIs" dxfId="4707" priority="11" operator="lessThan">
      <formula>0</formula>
    </cfRule>
    <cfRule type="cellIs" dxfId="4706" priority="12" operator="lessThan">
      <formula>-105575</formula>
    </cfRule>
  </conditionalFormatting>
  <conditionalFormatting sqref="BB264:BB267">
    <cfRule type="cellIs" dxfId="4705" priority="9" operator="lessThan">
      <formula>0</formula>
    </cfRule>
    <cfRule type="cellIs" dxfId="4704" priority="10" operator="lessThan">
      <formula>-105575</formula>
    </cfRule>
  </conditionalFormatting>
  <conditionalFormatting sqref="BB270:BB272">
    <cfRule type="cellIs" dxfId="4703" priority="7" operator="lessThan">
      <formula>0</formula>
    </cfRule>
    <cfRule type="cellIs" dxfId="4702" priority="8" operator="lessThan">
      <formula>-105575</formula>
    </cfRule>
  </conditionalFormatting>
  <conditionalFormatting sqref="BB274:BB275">
    <cfRule type="cellIs" dxfId="4701" priority="5" operator="lessThan">
      <formula>0</formula>
    </cfRule>
    <cfRule type="cellIs" dxfId="4700" priority="6" operator="lessThan">
      <formula>-105575</formula>
    </cfRule>
  </conditionalFormatting>
  <conditionalFormatting sqref="BB278:BB282">
    <cfRule type="cellIs" dxfId="4699" priority="3" operator="lessThan">
      <formula>0</formula>
    </cfRule>
    <cfRule type="cellIs" dxfId="4698" priority="4" operator="lessThan">
      <formula>-105575</formula>
    </cfRule>
  </conditionalFormatting>
  <conditionalFormatting sqref="BB285:BB288">
    <cfRule type="cellIs" dxfId="4697" priority="1" operator="lessThan">
      <formula>0</formula>
    </cfRule>
    <cfRule type="cellIs" dxfId="4696" priority="2" operator="lessThan">
      <formula>-105575</formula>
    </cfRule>
  </conditionalFormatting>
  <pageMargins left="0.7" right="0.7" top="0.75" bottom="0.75" header="0.3" footer="0.3"/>
  <pageSetup orientation="portrait" horizontalDpi="4294967293" verticalDpi="4294967293"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BF292"/>
  <sheetViews>
    <sheetView topLeftCell="AM1" zoomScale="60" zoomScaleNormal="60" workbookViewId="0">
      <selection activeCell="AV3" sqref="AV3:AZ3"/>
    </sheetView>
  </sheetViews>
  <sheetFormatPr defaultColWidth="8.85546875" defaultRowHeight="15" outlineLevelRow="2" outlineLevelCol="2" x14ac:dyDescent="0.25"/>
  <cols>
    <col min="1" max="1" width="4.140625" style="183" bestFit="1" customWidth="1"/>
    <col min="2" max="2" width="3.28515625" style="183" customWidth="1"/>
    <col min="3" max="3" width="2.42578125" style="101" customWidth="1"/>
    <col min="4" max="4" width="24.7109375" style="101" customWidth="1"/>
    <col min="5" max="5" width="41.42578125" style="102" customWidth="1" outlineLevel="1"/>
    <col min="6" max="6" width="12.140625" style="101" customWidth="1" outlineLevel="1"/>
    <col min="7" max="7" width="12.7109375" style="101" customWidth="1" outlineLevel="1"/>
    <col min="8" max="8" width="87.42578125" style="101" customWidth="1" outlineLevel="2"/>
    <col min="9" max="9" width="16.140625" style="239" customWidth="1" outlineLevel="2"/>
    <col min="10" max="10" width="8.42578125" style="239" bestFit="1" customWidth="1" outlineLevel="2"/>
    <col min="11" max="11" width="12" style="239" bestFit="1" customWidth="1" outlineLevel="2"/>
    <col min="12" max="12" width="21.42578125" style="239" customWidth="1" outlineLevel="1"/>
    <col min="13" max="13" width="19.140625" style="239" customWidth="1" outlineLevel="1"/>
    <col min="14" max="14" width="10.5703125" style="239" customWidth="1" outlineLevel="2"/>
    <col min="15" max="15" width="11" style="239" customWidth="1" outlineLevel="2"/>
    <col min="16" max="16" width="13.28515625" style="239" customWidth="1" outlineLevel="2"/>
    <col min="17" max="17" width="14.140625" style="239" customWidth="1" outlineLevel="2"/>
    <col min="18" max="21" width="12.140625" style="239" customWidth="1" outlineLevel="2"/>
    <col min="22" max="23" width="8.42578125" style="239" bestFit="1" customWidth="1" outlineLevel="2"/>
    <col min="24" max="24" width="7.5703125" style="239" customWidth="1" outlineLevel="2"/>
    <col min="25" max="25" width="12" style="239" bestFit="1" customWidth="1" outlineLevel="1"/>
    <col min="26" max="26" width="8.42578125" style="239" bestFit="1" customWidth="1" outlineLevel="2"/>
    <col min="27" max="27" width="9" style="239" bestFit="1" customWidth="1" outlineLevel="2"/>
    <col min="28" max="28" width="14.42578125" style="239" customWidth="1" outlineLevel="1"/>
    <col min="29" max="29" width="24.140625" style="239" customWidth="1" outlineLevel="1"/>
    <col min="30" max="30" width="12.85546875" style="239" customWidth="1" outlineLevel="2"/>
    <col min="31" max="31" width="22.28515625" style="239" customWidth="1" outlineLevel="2"/>
    <col min="32" max="32" width="20.7109375" style="239" customWidth="1" outlineLevel="1"/>
    <col min="33" max="34" width="9" style="239" bestFit="1" customWidth="1" outlineLevel="2"/>
    <col min="35" max="35" width="7.28515625" style="239" customWidth="1" outlineLevel="2"/>
    <col min="36" max="36" width="18" style="239" customWidth="1" outlineLevel="2"/>
    <col min="37" max="37" width="13.28515625" style="239" customWidth="1" outlineLevel="2"/>
    <col min="38" max="38" width="17.5703125" style="239" customWidth="1" outlineLevel="2"/>
    <col min="39" max="39" width="20.28515625" style="239" customWidth="1" outlineLevel="1"/>
    <col min="40" max="40" width="17" style="239" customWidth="1" outlineLevel="1"/>
    <col min="41" max="41" width="39.85546875" style="239" customWidth="1" outlineLevel="2"/>
    <col min="42" max="42" width="2.7109375" style="239" customWidth="1"/>
    <col min="43" max="43" width="19.5703125" style="239" customWidth="1"/>
    <col min="44" max="44" width="26" style="239" customWidth="1"/>
    <col min="45" max="45" width="20.28515625" style="239" customWidth="1"/>
    <col min="46" max="46" width="25.7109375" style="239" customWidth="1"/>
    <col min="47" max="47" width="24" style="235" customWidth="1"/>
    <col min="48" max="48" width="21.42578125" style="235" customWidth="1"/>
    <col min="49" max="49" width="17.28515625" style="235" customWidth="1"/>
    <col min="50" max="51" width="15" style="235" customWidth="1"/>
    <col min="52" max="52" width="21.42578125" style="235" customWidth="1"/>
    <col min="53" max="53" width="15" style="235" customWidth="1"/>
    <col min="54" max="54" width="25.28515625" style="235" customWidth="1"/>
    <col min="55" max="58" width="9.140625" style="167" customWidth="1"/>
    <col min="59" max="16384" width="8.85546875" style="169"/>
  </cols>
  <sheetData>
    <row r="1" spans="1:58" s="183" customFormat="1" ht="50.45" customHeight="1" x14ac:dyDescent="0.25">
      <c r="A1" s="115"/>
      <c r="B1" s="395" t="s">
        <v>155</v>
      </c>
      <c r="C1" s="395"/>
      <c r="D1" s="395"/>
      <c r="E1" s="395"/>
      <c r="F1" s="395"/>
      <c r="G1" s="395"/>
      <c r="H1" s="395"/>
      <c r="I1" s="395"/>
      <c r="J1" s="395"/>
      <c r="K1" s="395"/>
      <c r="L1" s="395"/>
      <c r="M1" s="232"/>
      <c r="N1" s="233"/>
      <c r="O1" s="233"/>
      <c r="P1" s="233"/>
      <c r="Q1" s="233"/>
      <c r="R1" s="233"/>
      <c r="S1" s="233"/>
      <c r="T1" s="233"/>
      <c r="U1" s="233"/>
      <c r="V1" s="233"/>
      <c r="W1" s="233"/>
      <c r="X1" s="233"/>
      <c r="Y1" s="233"/>
      <c r="Z1" s="233"/>
      <c r="AA1" s="233"/>
      <c r="AB1" s="233"/>
      <c r="AC1" s="233"/>
      <c r="AD1" s="233"/>
      <c r="AE1" s="233"/>
      <c r="AF1" s="233"/>
      <c r="AG1" s="233"/>
      <c r="AH1" s="233"/>
      <c r="AI1" s="233"/>
      <c r="AJ1" s="233"/>
      <c r="AK1" s="233"/>
      <c r="AL1" s="233"/>
      <c r="AM1" s="233"/>
      <c r="AN1" s="233"/>
      <c r="AO1" s="233"/>
      <c r="AP1" s="234"/>
      <c r="AQ1" s="234"/>
      <c r="AR1" s="234"/>
      <c r="AS1" s="234"/>
      <c r="AT1" s="234"/>
      <c r="AU1" s="235"/>
      <c r="AV1" s="235"/>
      <c r="AW1" s="235"/>
      <c r="AX1" s="235"/>
      <c r="AY1" s="235"/>
      <c r="AZ1" s="235"/>
      <c r="BA1" s="235"/>
      <c r="BB1" s="235"/>
    </row>
    <row r="2" spans="1:58" ht="78.75" customHeight="1" x14ac:dyDescent="0.25">
      <c r="A2" s="115" t="s">
        <v>55</v>
      </c>
      <c r="B2" s="385" t="s">
        <v>120</v>
      </c>
      <c r="C2" s="386"/>
      <c r="D2" s="386"/>
      <c r="E2" s="387"/>
      <c r="F2" s="296" t="s">
        <v>133</v>
      </c>
      <c r="G2" s="296" t="s">
        <v>134</v>
      </c>
      <c r="H2" s="116" t="s">
        <v>54</v>
      </c>
      <c r="I2" s="236" t="s">
        <v>0</v>
      </c>
      <c r="J2" s="236" t="s">
        <v>14</v>
      </c>
      <c r="K2" s="236" t="s">
        <v>15</v>
      </c>
      <c r="L2" s="237" t="s">
        <v>11</v>
      </c>
      <c r="M2" s="237" t="s">
        <v>82</v>
      </c>
      <c r="N2" s="236" t="s">
        <v>16</v>
      </c>
      <c r="O2" s="236" t="s">
        <v>7</v>
      </c>
      <c r="P2" s="236" t="s">
        <v>6</v>
      </c>
      <c r="Q2" s="236" t="s">
        <v>8</v>
      </c>
      <c r="R2" s="237" t="s">
        <v>57</v>
      </c>
      <c r="S2" s="237" t="s">
        <v>65</v>
      </c>
      <c r="T2" s="237" t="s">
        <v>64</v>
      </c>
      <c r="U2" s="237" t="s">
        <v>63</v>
      </c>
      <c r="V2" s="236" t="s">
        <v>17</v>
      </c>
      <c r="W2" s="236" t="s">
        <v>67</v>
      </c>
      <c r="X2" s="236" t="s">
        <v>6</v>
      </c>
      <c r="Y2" s="237" t="s">
        <v>71</v>
      </c>
      <c r="Z2" s="236" t="s">
        <v>10</v>
      </c>
      <c r="AA2" s="236" t="s">
        <v>9</v>
      </c>
      <c r="AB2" s="237" t="s">
        <v>70</v>
      </c>
      <c r="AC2" s="238" t="s">
        <v>18</v>
      </c>
      <c r="AD2" s="237" t="s">
        <v>79</v>
      </c>
      <c r="AE2" s="237" t="s">
        <v>23</v>
      </c>
      <c r="AF2" s="237" t="s">
        <v>80</v>
      </c>
      <c r="AG2" s="236" t="s">
        <v>20</v>
      </c>
      <c r="AH2" s="236" t="s">
        <v>21</v>
      </c>
      <c r="AI2" s="236" t="s">
        <v>22</v>
      </c>
      <c r="AJ2" s="236" t="s">
        <v>99</v>
      </c>
      <c r="AK2" s="236" t="s">
        <v>101</v>
      </c>
      <c r="AL2" s="236" t="s">
        <v>90</v>
      </c>
      <c r="AM2" s="237" t="s">
        <v>92</v>
      </c>
      <c r="AN2" s="237" t="s">
        <v>13</v>
      </c>
      <c r="AO2" s="236"/>
      <c r="AQ2" s="402" t="s">
        <v>242</v>
      </c>
      <c r="AR2" s="403"/>
      <c r="AS2" s="403"/>
      <c r="AT2" s="403"/>
      <c r="AU2" s="403"/>
      <c r="AV2" s="403"/>
      <c r="AW2" s="403"/>
      <c r="AX2" s="403"/>
      <c r="AY2" s="403"/>
      <c r="AZ2" s="403"/>
      <c r="BA2" s="403"/>
      <c r="BB2" s="404"/>
      <c r="BC2" s="169"/>
      <c r="BD2" s="169"/>
      <c r="BE2" s="169"/>
      <c r="BF2" s="169"/>
    </row>
    <row r="3" spans="1:58" s="79" customFormat="1" ht="110.25" customHeight="1" x14ac:dyDescent="0.25">
      <c r="A3" s="118" t="s">
        <v>56</v>
      </c>
      <c r="B3" s="385" t="s">
        <v>121</v>
      </c>
      <c r="C3" s="386"/>
      <c r="D3" s="386"/>
      <c r="E3" s="387"/>
      <c r="F3" s="296" t="s">
        <v>135</v>
      </c>
      <c r="G3" s="296" t="s">
        <v>135</v>
      </c>
      <c r="H3" s="119" t="s">
        <v>45</v>
      </c>
      <c r="I3" s="236" t="s">
        <v>51</v>
      </c>
      <c r="J3" s="236" t="s">
        <v>52</v>
      </c>
      <c r="K3" s="236" t="s">
        <v>53</v>
      </c>
      <c r="L3" s="237" t="s">
        <v>117</v>
      </c>
      <c r="M3" s="237" t="s">
        <v>116</v>
      </c>
      <c r="N3" s="236" t="s">
        <v>73</v>
      </c>
      <c r="O3" s="236" t="s">
        <v>72</v>
      </c>
      <c r="P3" s="236" t="s">
        <v>74</v>
      </c>
      <c r="Q3" s="236" t="s">
        <v>75</v>
      </c>
      <c r="R3" s="237" t="s">
        <v>115</v>
      </c>
      <c r="S3" s="237" t="s">
        <v>114</v>
      </c>
      <c r="T3" s="237" t="s">
        <v>113</v>
      </c>
      <c r="U3" s="237" t="s">
        <v>112</v>
      </c>
      <c r="V3" s="236" t="s">
        <v>76</v>
      </c>
      <c r="W3" s="236" t="s">
        <v>77</v>
      </c>
      <c r="X3" s="236" t="s">
        <v>78</v>
      </c>
      <c r="Y3" s="237" t="s">
        <v>111</v>
      </c>
      <c r="Z3" s="236" t="s">
        <v>68</v>
      </c>
      <c r="AA3" s="236" t="s">
        <v>69</v>
      </c>
      <c r="AB3" s="237" t="s">
        <v>110</v>
      </c>
      <c r="AC3" s="238" t="s">
        <v>109</v>
      </c>
      <c r="AD3" s="237" t="s">
        <v>108</v>
      </c>
      <c r="AE3" s="237" t="s">
        <v>107</v>
      </c>
      <c r="AF3" s="237" t="s">
        <v>106</v>
      </c>
      <c r="AG3" s="236" t="s">
        <v>87</v>
      </c>
      <c r="AH3" s="236" t="s">
        <v>89</v>
      </c>
      <c r="AI3" s="236" t="s">
        <v>88</v>
      </c>
      <c r="AJ3" s="237" t="s">
        <v>100</v>
      </c>
      <c r="AK3" s="237" t="s">
        <v>102</v>
      </c>
      <c r="AL3" s="237" t="s">
        <v>96</v>
      </c>
      <c r="AM3" s="237" t="s">
        <v>104</v>
      </c>
      <c r="AN3" s="237" t="s">
        <v>105</v>
      </c>
      <c r="AO3" s="236"/>
      <c r="AP3" s="240"/>
      <c r="AQ3" s="370" t="s">
        <v>123</v>
      </c>
      <c r="AR3" s="370" t="s">
        <v>24</v>
      </c>
      <c r="AS3" s="370" t="s">
        <v>12</v>
      </c>
      <c r="AT3" s="370" t="s">
        <v>19</v>
      </c>
      <c r="AU3" s="371" t="s">
        <v>124</v>
      </c>
      <c r="AV3" s="371" t="s">
        <v>125</v>
      </c>
      <c r="AW3" s="371" t="s">
        <v>222</v>
      </c>
      <c r="AX3" s="371" t="s">
        <v>136</v>
      </c>
      <c r="AY3" s="371" t="s">
        <v>546</v>
      </c>
      <c r="AZ3" s="371" t="s">
        <v>565</v>
      </c>
      <c r="BA3" s="372" t="s">
        <v>126</v>
      </c>
      <c r="BB3" s="371" t="s">
        <v>25</v>
      </c>
    </row>
    <row r="4" spans="1:58" s="81" customFormat="1" ht="63" x14ac:dyDescent="0.25">
      <c r="A4" s="120"/>
      <c r="B4" s="121"/>
      <c r="C4" s="122"/>
      <c r="D4" s="122"/>
      <c r="E4" s="123"/>
      <c r="F4" s="123" t="s">
        <v>131</v>
      </c>
      <c r="G4" s="123" t="s">
        <v>132</v>
      </c>
      <c r="H4" s="116" t="s">
        <v>119</v>
      </c>
      <c r="I4" s="241" t="s">
        <v>118</v>
      </c>
      <c r="J4" s="241">
        <v>2</v>
      </c>
      <c r="K4" s="241">
        <v>3</v>
      </c>
      <c r="L4" s="241" t="s">
        <v>81</v>
      </c>
      <c r="M4" s="241" t="s">
        <v>83</v>
      </c>
      <c r="N4" s="241">
        <v>6</v>
      </c>
      <c r="O4" s="241">
        <v>7</v>
      </c>
      <c r="P4" s="241">
        <v>8</v>
      </c>
      <c r="Q4" s="241">
        <v>9</v>
      </c>
      <c r="R4" s="241" t="s">
        <v>26</v>
      </c>
      <c r="S4" s="241" t="s">
        <v>27</v>
      </c>
      <c r="T4" s="241" t="s">
        <v>28</v>
      </c>
      <c r="U4" s="241" t="s">
        <v>29</v>
      </c>
      <c r="V4" s="241">
        <v>14</v>
      </c>
      <c r="W4" s="241">
        <v>15</v>
      </c>
      <c r="X4" s="241">
        <v>16</v>
      </c>
      <c r="Y4" s="241" t="s">
        <v>84</v>
      </c>
      <c r="Z4" s="241">
        <v>18</v>
      </c>
      <c r="AA4" s="241">
        <v>19</v>
      </c>
      <c r="AB4" s="241" t="s">
        <v>85</v>
      </c>
      <c r="AC4" s="241">
        <v>21</v>
      </c>
      <c r="AD4" s="241">
        <v>22</v>
      </c>
      <c r="AE4" s="241" t="s">
        <v>94</v>
      </c>
      <c r="AF4" s="241" t="s">
        <v>86</v>
      </c>
      <c r="AG4" s="241">
        <v>25</v>
      </c>
      <c r="AH4" s="241">
        <v>26</v>
      </c>
      <c r="AI4" s="241">
        <v>27</v>
      </c>
      <c r="AJ4" s="241">
        <v>28</v>
      </c>
      <c r="AK4" s="241">
        <v>29</v>
      </c>
      <c r="AL4" s="241">
        <v>30</v>
      </c>
      <c r="AM4" s="241" t="s">
        <v>95</v>
      </c>
      <c r="AN4" s="241" t="s">
        <v>103</v>
      </c>
      <c r="AO4" s="241"/>
      <c r="AP4" s="242"/>
      <c r="AQ4" s="241" t="s">
        <v>127</v>
      </c>
      <c r="AR4" s="241" t="s">
        <v>128</v>
      </c>
      <c r="AS4" s="241" t="s">
        <v>129</v>
      </c>
      <c r="AT4" s="241" t="s">
        <v>130</v>
      </c>
      <c r="AU4" s="377">
        <v>37</v>
      </c>
      <c r="AV4" s="377">
        <v>38</v>
      </c>
      <c r="AW4" s="377">
        <v>39</v>
      </c>
      <c r="AX4" s="377">
        <v>40</v>
      </c>
      <c r="AY4" s="377"/>
      <c r="AZ4" s="377">
        <v>41</v>
      </c>
      <c r="BA4" s="377">
        <v>42</v>
      </c>
      <c r="BB4" s="377" t="s">
        <v>142</v>
      </c>
    </row>
    <row r="5" spans="1:58" s="170" customFormat="1" ht="15.75" customHeight="1" x14ac:dyDescent="0.25">
      <c r="A5" s="120"/>
      <c r="B5" s="388" t="s">
        <v>312</v>
      </c>
      <c r="C5" s="389"/>
      <c r="D5" s="389"/>
      <c r="E5" s="390"/>
      <c r="F5" s="339"/>
      <c r="G5" s="339"/>
      <c r="H5" s="339" t="s">
        <v>58</v>
      </c>
      <c r="I5" s="243"/>
      <c r="J5" s="243"/>
      <c r="K5" s="243"/>
      <c r="L5" s="243">
        <f>SUM(L6+L16+L20+L40+L45+L61)</f>
        <v>2002042068.5714285</v>
      </c>
      <c r="M5" s="243">
        <f>SUM(M6+M16+M20+M40+M45+M61)</f>
        <v>334341025.45142853</v>
      </c>
      <c r="N5" s="243"/>
      <c r="O5" s="243"/>
      <c r="P5" s="243"/>
      <c r="Q5" s="243"/>
      <c r="R5" s="243">
        <f>SUM(R6+R16+R20+R40+R45+R61)</f>
        <v>930000</v>
      </c>
      <c r="S5" s="243">
        <f>SUM(S6+S16+S20+S40+S45+S61)</f>
        <v>907500</v>
      </c>
      <c r="T5" s="243">
        <f>SUM(T6+T16+T20+T40+T45+T61)</f>
        <v>0</v>
      </c>
      <c r="U5" s="243">
        <f>SUM(U6+U16+U20+U40+U45+U61)</f>
        <v>1160000</v>
      </c>
      <c r="V5" s="243"/>
      <c r="W5" s="243"/>
      <c r="X5" s="243"/>
      <c r="Y5" s="243">
        <f>SUM(Y6+Y16+Y20+Y40+Y45+Y61)</f>
        <v>0</v>
      </c>
      <c r="Z5" s="243">
        <f t="shared" ref="Z5:AF5" si="0">SUM(Z6+Z16+Z20+Z40+Z45+Z61)</f>
        <v>0</v>
      </c>
      <c r="AA5" s="243">
        <f t="shared" si="0"/>
        <v>0</v>
      </c>
      <c r="AB5" s="243">
        <f t="shared" si="0"/>
        <v>513000</v>
      </c>
      <c r="AC5" s="243">
        <f t="shared" si="0"/>
        <v>1725989895</v>
      </c>
      <c r="AD5" s="243">
        <f t="shared" si="0"/>
        <v>0</v>
      </c>
      <c r="AE5" s="243">
        <f t="shared" si="0"/>
        <v>85031800</v>
      </c>
      <c r="AF5" s="243">
        <f t="shared" si="0"/>
        <v>1814532195</v>
      </c>
      <c r="AG5" s="243"/>
      <c r="AH5" s="243"/>
      <c r="AI5" s="243"/>
      <c r="AJ5" s="243">
        <f>SUM(AJ6+AJ16+AJ20+AJ40+AJ45+AJ61)</f>
        <v>0</v>
      </c>
      <c r="AK5" s="243">
        <f>SUM(AK6+AK16+AK20+AK40+AK45+AK61)</f>
        <v>0</v>
      </c>
      <c r="AL5" s="243">
        <f>SUM(AL6+AL16+AL20+AL40+AL45+AL61)</f>
        <v>0</v>
      </c>
      <c r="AM5" s="243">
        <f>SUM(AM6+AM16+AM20+AM40+AM45+AM61)</f>
        <v>0</v>
      </c>
      <c r="AN5" s="243">
        <f>SUM(AN6+AN16+AN20+AN40+AN45+AN61)</f>
        <v>0</v>
      </c>
      <c r="AO5" s="243"/>
      <c r="AP5" s="244"/>
      <c r="AQ5" s="245">
        <f>SUM(AQ6+AQ16+AQ20+AQ40+AQ45+AQ61)</f>
        <v>2336383094.0228567</v>
      </c>
      <c r="AR5" s="245">
        <f>SUM(AR6+AR16+AR20+AR40+AR45+AR61)</f>
        <v>1814532195</v>
      </c>
      <c r="AS5" s="245">
        <f>SUM(AS6+AS16+AS20+AS40+AS45+AS61)</f>
        <v>0</v>
      </c>
      <c r="AT5" s="245">
        <f>SUM(AT6+AT16+AT20+AT40+AT45+AT61)</f>
        <v>4150915289.0228572</v>
      </c>
      <c r="AU5" s="245">
        <f t="shared" ref="AU5:BB5" si="1">SUM(AU6+AU16+AU20+AU40+AU45+AU61)</f>
        <v>4143706889.0228572</v>
      </c>
      <c r="AV5" s="245">
        <f t="shared" si="1"/>
        <v>0</v>
      </c>
      <c r="AW5" s="245">
        <f>SUM(AW6+AW16+AW20+AW40+AW45+AW61)</f>
        <v>0</v>
      </c>
      <c r="AX5" s="245">
        <f t="shared" si="1"/>
        <v>0</v>
      </c>
      <c r="AY5" s="245">
        <f t="shared" si="1"/>
        <v>2346000</v>
      </c>
      <c r="AZ5" s="245">
        <f t="shared" si="1"/>
        <v>0</v>
      </c>
      <c r="BA5" s="245">
        <f t="shared" si="1"/>
        <v>0</v>
      </c>
      <c r="BB5" s="245">
        <f t="shared" si="1"/>
        <v>-4862400</v>
      </c>
    </row>
    <row r="6" spans="1:58" s="170" customFormat="1" ht="15.75" customHeight="1" x14ac:dyDescent="0.25">
      <c r="A6" s="120"/>
      <c r="B6" s="290"/>
      <c r="C6" s="391" t="s">
        <v>191</v>
      </c>
      <c r="D6" s="391"/>
      <c r="E6" s="392"/>
      <c r="F6" s="289"/>
      <c r="G6" s="288"/>
      <c r="H6" s="114" t="s">
        <v>59</v>
      </c>
      <c r="I6" s="246"/>
      <c r="J6" s="246"/>
      <c r="K6" s="246"/>
      <c r="L6" s="247">
        <f>SUM(L11+L15)</f>
        <v>151200</v>
      </c>
      <c r="M6" s="247">
        <f>SUM(M11+M15)</f>
        <v>25250.400000000001</v>
      </c>
      <c r="N6" s="247"/>
      <c r="O6" s="247"/>
      <c r="P6" s="247"/>
      <c r="Q6" s="247"/>
      <c r="R6" s="247">
        <f>SUM(R11+R15)</f>
        <v>150000</v>
      </c>
      <c r="S6" s="247">
        <f>SUM(S11+S15)</f>
        <v>112500</v>
      </c>
      <c r="T6" s="247">
        <f>SUM(T11+T15)</f>
        <v>0</v>
      </c>
      <c r="U6" s="247">
        <f>SUM(U11+U15)</f>
        <v>200000</v>
      </c>
      <c r="V6" s="247"/>
      <c r="W6" s="247"/>
      <c r="X6" s="247"/>
      <c r="Y6" s="247">
        <f>SUM(Y11+Y15)</f>
        <v>0</v>
      </c>
      <c r="Z6" s="247">
        <f t="shared" ref="Z6:AF6" si="2">SUM(Z11+Z15)</f>
        <v>0</v>
      </c>
      <c r="AA6" s="247">
        <f t="shared" si="2"/>
        <v>0</v>
      </c>
      <c r="AB6" s="247">
        <f t="shared" si="2"/>
        <v>114000</v>
      </c>
      <c r="AC6" s="247">
        <f t="shared" si="2"/>
        <v>247500</v>
      </c>
      <c r="AD6" s="247">
        <f t="shared" si="2"/>
        <v>0</v>
      </c>
      <c r="AE6" s="247">
        <f t="shared" si="2"/>
        <v>164800</v>
      </c>
      <c r="AF6" s="247">
        <f t="shared" si="2"/>
        <v>988800</v>
      </c>
      <c r="AG6" s="247"/>
      <c r="AH6" s="247"/>
      <c r="AI6" s="247"/>
      <c r="AJ6" s="247">
        <f>SUM(AJ11+AJ15)</f>
        <v>0</v>
      </c>
      <c r="AK6" s="247">
        <f>SUM(AK11+AK15)</f>
        <v>0</v>
      </c>
      <c r="AL6" s="247">
        <f>SUM(AL11+AL15)</f>
        <v>0</v>
      </c>
      <c r="AM6" s="247">
        <f>SUM(AM11+AM15)</f>
        <v>0</v>
      </c>
      <c r="AN6" s="247">
        <f>SUM(AN11+AN15)</f>
        <v>0</v>
      </c>
      <c r="AO6" s="247"/>
      <c r="AP6" s="244"/>
      <c r="AQ6" s="248">
        <f>SUM(AQ11+AQ15)</f>
        <v>176450.4</v>
      </c>
      <c r="AR6" s="248">
        <f>SUM(AR11+AR15)</f>
        <v>988800</v>
      </c>
      <c r="AS6" s="248">
        <f>SUM(AS11+AS15)</f>
        <v>0</v>
      </c>
      <c r="AT6" s="248">
        <f>SUM(AT11+AT15)</f>
        <v>1165250.3999999999</v>
      </c>
      <c r="AU6" s="248">
        <f t="shared" ref="AU6:BB6" si="3">SUM(AU11+AU15)</f>
        <v>176450.4</v>
      </c>
      <c r="AV6" s="248">
        <f t="shared" si="3"/>
        <v>0</v>
      </c>
      <c r="AW6" s="248">
        <f>SUM(AW11+AW15)</f>
        <v>0</v>
      </c>
      <c r="AX6" s="248">
        <f t="shared" si="3"/>
        <v>0</v>
      </c>
      <c r="AY6" s="248">
        <f t="shared" si="3"/>
        <v>0</v>
      </c>
      <c r="AZ6" s="248">
        <f t="shared" si="3"/>
        <v>0</v>
      </c>
      <c r="BA6" s="248">
        <f t="shared" si="3"/>
        <v>0</v>
      </c>
      <c r="BB6" s="248">
        <f t="shared" si="3"/>
        <v>-988799.99999999988</v>
      </c>
    </row>
    <row r="7" spans="1:58" ht="78.75" outlineLevel="2" x14ac:dyDescent="0.25">
      <c r="A7" s="115"/>
      <c r="B7" s="200"/>
      <c r="C7" s="201"/>
      <c r="D7" s="138"/>
      <c r="E7" s="295"/>
      <c r="F7" s="295"/>
      <c r="G7" s="296"/>
      <c r="H7" s="199" t="s">
        <v>369</v>
      </c>
      <c r="I7" s="130"/>
      <c r="J7" s="126"/>
      <c r="K7" s="126"/>
      <c r="L7" s="125" t="str">
        <f>IF(I7&lt;&gt;0,((VLOOKUP(I7,'1. Standard_Cost'!$B$4:$D$11,2)+VLOOKUP(I7,'1. Standard_Cost'!$B$4:$D$11,3))*J7*K7),"0")</f>
        <v>0</v>
      </c>
      <c r="M7" s="125">
        <f>L7*'1. Standard_Cost'!$F$4</f>
        <v>0</v>
      </c>
      <c r="N7" s="126"/>
      <c r="O7" s="126"/>
      <c r="P7" s="126"/>
      <c r="Q7" s="126"/>
      <c r="R7" s="127">
        <f>'1. Standard_Cost'!$B$15*N7*P7</f>
        <v>0</v>
      </c>
      <c r="S7" s="127">
        <f>N7*O7*P7*'1. Standard_Cost'!$C$15</f>
        <v>0</v>
      </c>
      <c r="T7" s="127">
        <f>N7*P7*Q7*'1. Standard_Cost'!$D$15</f>
        <v>0</v>
      </c>
      <c r="U7" s="127">
        <f>N7*O7*'1. Standard_Cost'!$E$15</f>
        <v>0</v>
      </c>
      <c r="V7" s="126"/>
      <c r="W7" s="126"/>
      <c r="X7" s="126"/>
      <c r="Y7" s="127">
        <f>+V7*((X7*'1. Standard_Cost'!$B$19)+(W7*X7*'1. Standard_Cost'!$C$19))</f>
        <v>0</v>
      </c>
      <c r="Z7" s="126"/>
      <c r="AA7" s="126"/>
      <c r="AB7" s="127">
        <f>+Z7*'1. Standard_Cost'!$B$23+AA7*'1. Standard_Cost'!$C$23</f>
        <v>0</v>
      </c>
      <c r="AC7" s="128"/>
      <c r="AD7" s="129"/>
      <c r="AE7" s="127">
        <f>SUM(AD7,AC7,AB7,Y7,U7,T7,S7,R7)*'1. Standard_Cost'!$B$31</f>
        <v>0</v>
      </c>
      <c r="AF7" s="127">
        <f>SUM(AE7,AD7,AC7,AB7,Y7,U7,T7,S7,R7)</f>
        <v>0</v>
      </c>
      <c r="AG7" s="126"/>
      <c r="AH7" s="126"/>
      <c r="AI7" s="126"/>
      <c r="AJ7" s="130"/>
      <c r="AK7" s="130"/>
      <c r="AL7" s="130"/>
      <c r="AM7" s="127">
        <f>AG7*'1. Standard_Cost'!$B$27+'Incremental_Cost Year 10'!AH7*'1. Standard_Cost'!$C$27+'Incremental_Cost Year 10'!AI7*'1. Standard_Cost'!$D$27+'Incremental_Cost Year 10'!AJ7+'Incremental_Cost Year 10'!AL7+AK7</f>
        <v>0</v>
      </c>
      <c r="AN7" s="127">
        <f>AM7*'1. Standard_Cost'!$C$31</f>
        <v>0</v>
      </c>
      <c r="AO7" s="249"/>
      <c r="AQ7" s="171">
        <f>L7+M7</f>
        <v>0</v>
      </c>
      <c r="AR7" s="171">
        <f>AF7</f>
        <v>0</v>
      </c>
      <c r="AS7" s="171">
        <f>AM7+AN7</f>
        <v>0</v>
      </c>
      <c r="AT7" s="171">
        <f>SUM(AQ7,AR7,AS7)</f>
        <v>0</v>
      </c>
      <c r="AU7" s="250">
        <f>AQ7</f>
        <v>0</v>
      </c>
      <c r="AV7" s="250"/>
      <c r="AW7" s="250"/>
      <c r="AX7" s="250"/>
      <c r="AY7" s="250"/>
      <c r="AZ7" s="250"/>
      <c r="BA7" s="250"/>
      <c r="BB7" s="251">
        <f>SUM(AU7:BA7)-AT7</f>
        <v>0</v>
      </c>
      <c r="BC7" s="169"/>
      <c r="BD7" s="169"/>
      <c r="BE7" s="169"/>
      <c r="BF7" s="169"/>
    </row>
    <row r="8" spans="1:58" ht="126" outlineLevel="2" x14ac:dyDescent="0.25">
      <c r="A8" s="115"/>
      <c r="B8" s="200"/>
      <c r="C8" s="201"/>
      <c r="D8" s="135"/>
      <c r="E8" s="219"/>
      <c r="F8" s="219"/>
      <c r="G8" s="313"/>
      <c r="H8" s="199" t="s">
        <v>370</v>
      </c>
      <c r="I8" s="130"/>
      <c r="J8" s="126"/>
      <c r="K8" s="126"/>
      <c r="L8" s="125" t="str">
        <f>IF(I8&lt;&gt;0,((VLOOKUP(I8,'1. Standard_Cost'!$B$4:$D$11,2)+VLOOKUP(I8,'1. Standard_Cost'!$B$4:$D$11,3))*J8*K8),"0")</f>
        <v>0</v>
      </c>
      <c r="M8" s="125">
        <f>L8*'1. Standard_Cost'!$F$4</f>
        <v>0</v>
      </c>
      <c r="N8" s="126"/>
      <c r="O8" s="126"/>
      <c r="P8" s="126"/>
      <c r="Q8" s="126"/>
      <c r="R8" s="127">
        <f>'1. Standard_Cost'!$B$15*N8*P8</f>
        <v>0</v>
      </c>
      <c r="S8" s="127">
        <f>N8*O8*P8*'1. Standard_Cost'!$C$15</f>
        <v>0</v>
      </c>
      <c r="T8" s="127">
        <f>N8*P8*Q8*'1. Standard_Cost'!$D$15</f>
        <v>0</v>
      </c>
      <c r="U8" s="127">
        <f>N8*O8*'1. Standard_Cost'!$E$15</f>
        <v>0</v>
      </c>
      <c r="V8" s="126"/>
      <c r="W8" s="126"/>
      <c r="X8" s="126"/>
      <c r="Y8" s="127">
        <f>+V8*((X8*'1. Standard_Cost'!$B$19)+(W8*X8*'1. Standard_Cost'!$C$19))</f>
        <v>0</v>
      </c>
      <c r="Z8" s="126"/>
      <c r="AA8" s="126"/>
      <c r="AB8" s="127">
        <f>+Z8*'1. Standard_Cost'!$B$23+AA8*'1. Standard_Cost'!$C$23</f>
        <v>0</v>
      </c>
      <c r="AC8" s="128"/>
      <c r="AD8" s="129"/>
      <c r="AE8" s="127">
        <f>SUM(AD8,AC8,AB8,Y8,U8,T8,S8,R8)*'1. Standard_Cost'!$B$31</f>
        <v>0</v>
      </c>
      <c r="AF8" s="127">
        <f>SUM(AE8,AD8,AC8,AB8,Y8,U8,T8,S8,R8)</f>
        <v>0</v>
      </c>
      <c r="AG8" s="126"/>
      <c r="AH8" s="126"/>
      <c r="AI8" s="126"/>
      <c r="AJ8" s="130"/>
      <c r="AK8" s="130"/>
      <c r="AL8" s="130"/>
      <c r="AM8" s="127">
        <f>AG8*'1. Standard_Cost'!$B$27+'Incremental_Cost Year 10'!AH8*'1. Standard_Cost'!$C$27+'Incremental_Cost Year 10'!AI8*'1. Standard_Cost'!$D$27+'Incremental_Cost Year 10'!AJ8+'Incremental_Cost Year 10'!AL8+AK8</f>
        <v>0</v>
      </c>
      <c r="AN8" s="127">
        <f>AM8*'1. Standard_Cost'!$C$31</f>
        <v>0</v>
      </c>
      <c r="AO8" s="130"/>
      <c r="AQ8" s="171">
        <f>L8+M8</f>
        <v>0</v>
      </c>
      <c r="AR8" s="171">
        <f>AF8</f>
        <v>0</v>
      </c>
      <c r="AS8" s="171">
        <f>AM8+AN8</f>
        <v>0</v>
      </c>
      <c r="AT8" s="171">
        <f>SUM(AQ8,AR8,AS8)</f>
        <v>0</v>
      </c>
      <c r="AU8" s="250">
        <f>AQ8</f>
        <v>0</v>
      </c>
      <c r="AV8" s="250"/>
      <c r="AW8" s="250"/>
      <c r="AX8" s="250"/>
      <c r="AY8" s="250"/>
      <c r="AZ8" s="250"/>
      <c r="BA8" s="250"/>
      <c r="BB8" s="251">
        <f t="shared" ref="BB8:BB14" si="4">SUM(AU8:BA8)-AT8</f>
        <v>0</v>
      </c>
      <c r="BC8" s="169"/>
      <c r="BD8" s="169"/>
      <c r="BE8" s="169"/>
      <c r="BF8" s="169"/>
    </row>
    <row r="9" spans="1:58" ht="157.5" outlineLevel="2" x14ac:dyDescent="0.25">
      <c r="A9" s="115"/>
      <c r="B9" s="200"/>
      <c r="C9" s="201"/>
      <c r="D9" s="135"/>
      <c r="E9" s="219"/>
      <c r="F9" s="219"/>
      <c r="G9" s="313"/>
      <c r="H9" s="199" t="s">
        <v>371</v>
      </c>
      <c r="I9" s="130"/>
      <c r="J9" s="126"/>
      <c r="K9" s="126"/>
      <c r="L9" s="125" t="str">
        <f>IF(I9&lt;&gt;0,((VLOOKUP(I9,'1. Standard_Cost'!$B$4:$D$11,2)+VLOOKUP(I9,'1. Standard_Cost'!$B$4:$D$11,3))*J9*K9),"0")</f>
        <v>0</v>
      </c>
      <c r="M9" s="125">
        <f>L9*'1. Standard_Cost'!$F$4</f>
        <v>0</v>
      </c>
      <c r="N9" s="126"/>
      <c r="O9" s="126"/>
      <c r="P9" s="126"/>
      <c r="Q9" s="126"/>
      <c r="R9" s="127">
        <f>'1. Standard_Cost'!$B$15*N9*P9</f>
        <v>0</v>
      </c>
      <c r="S9" s="127">
        <f>N9*O9*P9*'1. Standard_Cost'!$C$15</f>
        <v>0</v>
      </c>
      <c r="T9" s="127">
        <f>N9*P9*Q9*'1. Standard_Cost'!$D$15</f>
        <v>0</v>
      </c>
      <c r="U9" s="127">
        <f>N9*O9*'1. Standard_Cost'!$E$15</f>
        <v>0</v>
      </c>
      <c r="V9" s="126"/>
      <c r="W9" s="126"/>
      <c r="X9" s="126"/>
      <c r="Y9" s="127">
        <f>+V9*((X9*'1. Standard_Cost'!$B$19)+(W9*X9*'1. Standard_Cost'!$C$19))</f>
        <v>0</v>
      </c>
      <c r="Z9" s="126"/>
      <c r="AA9" s="126">
        <v>0</v>
      </c>
      <c r="AB9" s="127">
        <f>+Z9*'1. Standard_Cost'!$B$23+AA9*'1. Standard_Cost'!$C$23</f>
        <v>0</v>
      </c>
      <c r="AC9" s="128">
        <v>0</v>
      </c>
      <c r="AD9" s="129"/>
      <c r="AE9" s="127">
        <f>SUM(AD9,AC9,AB9,Y9,U9,T9,S9,R9)*'1. Standard_Cost'!$B$31</f>
        <v>0</v>
      </c>
      <c r="AF9" s="127">
        <f>SUM(AE9,AD9,AC9,AB9,Y9,U9,T9,S9,R9)</f>
        <v>0</v>
      </c>
      <c r="AG9" s="126"/>
      <c r="AH9" s="126"/>
      <c r="AI9" s="126"/>
      <c r="AJ9" s="130"/>
      <c r="AK9" s="130"/>
      <c r="AL9" s="130"/>
      <c r="AM9" s="127">
        <f>AG9*'1. Standard_Cost'!$B$27+'Incremental_Cost Year 10'!AH9*'1. Standard_Cost'!$C$27+'Incremental_Cost Year 10'!AI9*'1. Standard_Cost'!$D$27+'Incremental_Cost Year 10'!AJ9+'Incremental_Cost Year 10'!AL9+AK9</f>
        <v>0</v>
      </c>
      <c r="AN9" s="127">
        <f>AM9*'1. Standard_Cost'!$C$31</f>
        <v>0</v>
      </c>
      <c r="AO9" s="130"/>
      <c r="AQ9" s="171">
        <f>L9+M9</f>
        <v>0</v>
      </c>
      <c r="AR9" s="171">
        <f>AF9</f>
        <v>0</v>
      </c>
      <c r="AS9" s="171">
        <f>AM9+AN9</f>
        <v>0</v>
      </c>
      <c r="AT9" s="171">
        <f>SUM(AQ9,AR9,AS9)</f>
        <v>0</v>
      </c>
      <c r="AU9" s="250">
        <f>AQ9</f>
        <v>0</v>
      </c>
      <c r="AV9" s="250"/>
      <c r="AW9" s="250"/>
      <c r="AX9" s="250"/>
      <c r="AY9" s="250"/>
      <c r="AZ9" s="250"/>
      <c r="BA9" s="250"/>
      <c r="BB9" s="251">
        <f t="shared" si="4"/>
        <v>0</v>
      </c>
      <c r="BC9" s="169"/>
      <c r="BD9" s="169"/>
      <c r="BE9" s="169"/>
      <c r="BF9" s="169"/>
    </row>
    <row r="10" spans="1:58" ht="157.5" outlineLevel="2" x14ac:dyDescent="0.25">
      <c r="A10" s="115"/>
      <c r="B10" s="200"/>
      <c r="C10" s="201"/>
      <c r="D10" s="223"/>
      <c r="E10" s="219"/>
      <c r="F10" s="122"/>
      <c r="G10" s="123"/>
      <c r="H10" s="199" t="s">
        <v>372</v>
      </c>
      <c r="I10" s="130"/>
      <c r="J10" s="126"/>
      <c r="K10" s="126"/>
      <c r="L10" s="125" t="str">
        <f>IF(I10&lt;&gt;0,((VLOOKUP(I10,'1. Standard_Cost'!$B$4:$D$11,2)+VLOOKUP(I10,'1. Standard_Cost'!$B$4:$D$11,3))*J10*K10),"0")</f>
        <v>0</v>
      </c>
      <c r="M10" s="125">
        <f>L10*'1. Standard_Cost'!$F$4</f>
        <v>0</v>
      </c>
      <c r="N10" s="126"/>
      <c r="O10" s="126"/>
      <c r="P10" s="126"/>
      <c r="Q10" s="126"/>
      <c r="R10" s="127">
        <f>'1. Standard_Cost'!$B$15*N10*P10</f>
        <v>0</v>
      </c>
      <c r="S10" s="127">
        <f>N10*O10*P10*'1. Standard_Cost'!$C$15</f>
        <v>0</v>
      </c>
      <c r="T10" s="127">
        <f>N10*P10*Q10*'1. Standard_Cost'!$D$15</f>
        <v>0</v>
      </c>
      <c r="U10" s="127">
        <f>N10*O10*'1. Standard_Cost'!$E$15</f>
        <v>0</v>
      </c>
      <c r="V10" s="126"/>
      <c r="W10" s="126"/>
      <c r="X10" s="126"/>
      <c r="Y10" s="127">
        <f>+V10*((X10*'1. Standard_Cost'!$B$19)+(W10*X10*'1. Standard_Cost'!$C$19))</f>
        <v>0</v>
      </c>
      <c r="Z10" s="126"/>
      <c r="AA10" s="126"/>
      <c r="AB10" s="127">
        <f>+Z10*'1. Standard_Cost'!$B$23+AA10*'1. Standard_Cost'!$C$23</f>
        <v>0</v>
      </c>
      <c r="AC10" s="128"/>
      <c r="AD10" s="129"/>
      <c r="AE10" s="127">
        <f>SUM(AD10,AC10,AB10,Y10,U10,T10,S10,R10)*'1. Standard_Cost'!$B$31</f>
        <v>0</v>
      </c>
      <c r="AF10" s="127">
        <f>SUM(AE10,AD10,AC10,AB10,Y10,U10,T10,S10,R10)</f>
        <v>0</v>
      </c>
      <c r="AG10" s="126"/>
      <c r="AH10" s="126"/>
      <c r="AI10" s="126"/>
      <c r="AJ10" s="130"/>
      <c r="AK10" s="130"/>
      <c r="AL10" s="130"/>
      <c r="AM10" s="127">
        <f>AG10*'1. Standard_Cost'!$B$27+'Incremental_Cost Year 10'!AH10*'1. Standard_Cost'!$C$27+'Incremental_Cost Year 10'!AI10*'1. Standard_Cost'!$D$27+'Incremental_Cost Year 10'!AJ10+'Incremental_Cost Year 10'!AL10+AK10</f>
        <v>0</v>
      </c>
      <c r="AN10" s="127">
        <f>AM10*'1. Standard_Cost'!$C$31</f>
        <v>0</v>
      </c>
      <c r="AO10" s="130"/>
      <c r="AQ10" s="171">
        <f>L10+M10</f>
        <v>0</v>
      </c>
      <c r="AR10" s="171">
        <f>AF10</f>
        <v>0</v>
      </c>
      <c r="AS10" s="171">
        <f>AM10+AN10</f>
        <v>0</v>
      </c>
      <c r="AT10" s="171">
        <f>SUM(AQ10,AR10,AS10)</f>
        <v>0</v>
      </c>
      <c r="AU10" s="250">
        <f>AQ10</f>
        <v>0</v>
      </c>
      <c r="AV10" s="250"/>
      <c r="AW10" s="250"/>
      <c r="AX10" s="250"/>
      <c r="AY10" s="250"/>
      <c r="AZ10" s="250"/>
      <c r="BA10" s="250"/>
      <c r="BB10" s="251">
        <f t="shared" si="4"/>
        <v>0</v>
      </c>
      <c r="BC10" s="169"/>
      <c r="BD10" s="169"/>
      <c r="BE10" s="169"/>
      <c r="BF10" s="169"/>
    </row>
    <row r="11" spans="1:58" ht="78.75" outlineLevel="1" x14ac:dyDescent="0.25">
      <c r="A11" s="115"/>
      <c r="B11" s="142"/>
      <c r="C11" s="297"/>
      <c r="D11" s="116" t="s">
        <v>373</v>
      </c>
      <c r="E11" s="209" t="s">
        <v>374</v>
      </c>
      <c r="F11" s="117">
        <v>2022</v>
      </c>
      <c r="G11" s="117">
        <v>2024</v>
      </c>
      <c r="H11" s="134" t="s">
        <v>46</v>
      </c>
      <c r="I11" s="252"/>
      <c r="J11" s="252"/>
      <c r="K11" s="252"/>
      <c r="L11" s="127">
        <f>SUM(L7:L10)</f>
        <v>0</v>
      </c>
      <c r="M11" s="127">
        <f>SUM(M7:M10)</f>
        <v>0</v>
      </c>
      <c r="N11" s="127"/>
      <c r="O11" s="252"/>
      <c r="P11" s="252"/>
      <c r="Q11" s="252"/>
      <c r="R11" s="127">
        <f>SUM(R7:R10)</f>
        <v>0</v>
      </c>
      <c r="S11" s="127">
        <f>SUM(S7:S10)</f>
        <v>0</v>
      </c>
      <c r="T11" s="127">
        <f>SUM(T7:T10)</f>
        <v>0</v>
      </c>
      <c r="U11" s="127">
        <f>SUM(U7:U10)</f>
        <v>0</v>
      </c>
      <c r="V11" s="252"/>
      <c r="W11" s="252"/>
      <c r="X11" s="252"/>
      <c r="Y11" s="127">
        <f>SUM(Y7:Y10)</f>
        <v>0</v>
      </c>
      <c r="Z11" s="252"/>
      <c r="AA11" s="252"/>
      <c r="AB11" s="127">
        <f>SUM(AB7:AB10)</f>
        <v>0</v>
      </c>
      <c r="AC11" s="127">
        <f>SUM(AC7:AC9)</f>
        <v>0</v>
      </c>
      <c r="AD11" s="127">
        <f>SUM(AD7:AD9)</f>
        <v>0</v>
      </c>
      <c r="AE11" s="127">
        <f>SUM(AE7:AE9)</f>
        <v>0</v>
      </c>
      <c r="AF11" s="127">
        <f>SUM(AF7:AF9)</f>
        <v>0</v>
      </c>
      <c r="AG11" s="252"/>
      <c r="AH11" s="252"/>
      <c r="AI11" s="252"/>
      <c r="AJ11" s="127">
        <f>SUM(AJ7:AJ9)</f>
        <v>0</v>
      </c>
      <c r="AK11" s="127">
        <f>SUM(AK7:AK9)</f>
        <v>0</v>
      </c>
      <c r="AL11" s="127">
        <f>SUM(AL7:AL9)</f>
        <v>0</v>
      </c>
      <c r="AM11" s="127">
        <f>SUM(AM7:AM9)</f>
        <v>0</v>
      </c>
      <c r="AN11" s="127">
        <f>SUM(AN7:AN9)</f>
        <v>0</v>
      </c>
      <c r="AO11" s="253"/>
      <c r="AP11" s="254"/>
      <c r="AQ11" s="175">
        <f>SUM(AQ7:AQ10)</f>
        <v>0</v>
      </c>
      <c r="AR11" s="175">
        <f>SUM(AR7:AR10)</f>
        <v>0</v>
      </c>
      <c r="AS11" s="175">
        <f>SUM(AS7:AS10)</f>
        <v>0</v>
      </c>
      <c r="AT11" s="175">
        <f>SUM(AT7:AT10)</f>
        <v>0</v>
      </c>
      <c r="AU11" s="175">
        <f t="shared" ref="AU11:BA11" si="5">SUM(AU7:AU9)</f>
        <v>0</v>
      </c>
      <c r="AV11" s="175">
        <f t="shared" si="5"/>
        <v>0</v>
      </c>
      <c r="AW11" s="175">
        <f>SUM(AW7:AW9)</f>
        <v>0</v>
      </c>
      <c r="AX11" s="175">
        <f t="shared" si="5"/>
        <v>0</v>
      </c>
      <c r="AY11" s="175">
        <f t="shared" si="5"/>
        <v>0</v>
      </c>
      <c r="AZ11" s="175">
        <f t="shared" si="5"/>
        <v>0</v>
      </c>
      <c r="BA11" s="175">
        <f t="shared" si="5"/>
        <v>0</v>
      </c>
      <c r="BB11" s="175">
        <f>SUM(BB7:BB10)</f>
        <v>0</v>
      </c>
      <c r="BC11" s="169"/>
      <c r="BD11" s="169"/>
      <c r="BE11" s="169"/>
      <c r="BF11" s="169"/>
    </row>
    <row r="12" spans="1:58" ht="220.5" outlineLevel="2" x14ac:dyDescent="0.25">
      <c r="A12" s="115"/>
      <c r="B12" s="200"/>
      <c r="C12" s="201"/>
      <c r="D12" s="138"/>
      <c r="E12" s="295"/>
      <c r="F12" s="295"/>
      <c r="G12" s="296"/>
      <c r="H12" s="213" t="s">
        <v>375</v>
      </c>
      <c r="I12" s="130"/>
      <c r="J12" s="126"/>
      <c r="K12" s="126"/>
      <c r="L12" s="125" t="str">
        <f>IF(I12&lt;&gt;0,((VLOOKUP(I12,'1. Standard_Cost'!$B$4:$D$11,2)+VLOOKUP(I12,'1. Standard_Cost'!$B$4:$D$11,3))*J12*K12),"0")</f>
        <v>0</v>
      </c>
      <c r="M12" s="125">
        <f>L12*'1. Standard_Cost'!$F$4</f>
        <v>0</v>
      </c>
      <c r="N12" s="126"/>
      <c r="O12" s="126"/>
      <c r="P12" s="126"/>
      <c r="Q12" s="126"/>
      <c r="R12" s="127">
        <f>'1. Standard_Cost'!$B$15*N12*P12</f>
        <v>0</v>
      </c>
      <c r="S12" s="127">
        <f>N12*O12*P12*'1. Standard_Cost'!$C$15</f>
        <v>0</v>
      </c>
      <c r="T12" s="127">
        <f>N12*P12*Q12*'1. Standard_Cost'!$D$15</f>
        <v>0</v>
      </c>
      <c r="U12" s="127">
        <f>N12*O12*'1. Standard_Cost'!$E$15</f>
        <v>0</v>
      </c>
      <c r="V12" s="126"/>
      <c r="W12" s="126"/>
      <c r="X12" s="126"/>
      <c r="Y12" s="127">
        <f>+V12*((X12*'1. Standard_Cost'!$B$19)+(W12*X12*'1. Standard_Cost'!$C$19))</f>
        <v>0</v>
      </c>
      <c r="Z12" s="126"/>
      <c r="AA12" s="126"/>
      <c r="AB12" s="127">
        <f>+Z12*'1. Standard_Cost'!$B$23+AA12*'1. Standard_Cost'!$C$23</f>
        <v>0</v>
      </c>
      <c r="AC12" s="128"/>
      <c r="AD12" s="129"/>
      <c r="AE12" s="127">
        <f>SUM(AD12,AC12,AB12,Y12,U12,T12,S12,R12)*'1. Standard_Cost'!$B$31</f>
        <v>0</v>
      </c>
      <c r="AF12" s="127">
        <f>SUM(AE12,AD12,AC12,AB12,Y12,U12,T12,S12,R12)</f>
        <v>0</v>
      </c>
      <c r="AG12" s="126"/>
      <c r="AH12" s="126"/>
      <c r="AI12" s="126"/>
      <c r="AJ12" s="130"/>
      <c r="AK12" s="130"/>
      <c r="AL12" s="130"/>
      <c r="AM12" s="127">
        <f>AG12*'1. Standard_Cost'!$B$27+'Incremental_Cost Year 10'!AH12*'1. Standard_Cost'!$C$27+'Incremental_Cost Year 10'!AI12*'1. Standard_Cost'!$D$27+'Incremental_Cost Year 10'!AJ12+'Incremental_Cost Year 10'!AL12+AK12</f>
        <v>0</v>
      </c>
      <c r="AN12" s="127">
        <f>AM12*'1. Standard_Cost'!$C$31</f>
        <v>0</v>
      </c>
      <c r="AO12" s="130"/>
      <c r="AQ12" s="171">
        <f>L12+M12</f>
        <v>0</v>
      </c>
      <c r="AR12" s="171">
        <f>AF12</f>
        <v>0</v>
      </c>
      <c r="AS12" s="171">
        <f>AM12+AN12</f>
        <v>0</v>
      </c>
      <c r="AT12" s="171">
        <f>SUM(AQ12,AR12,AS12)</f>
        <v>0</v>
      </c>
      <c r="AU12" s="250">
        <f>AQ12</f>
        <v>0</v>
      </c>
      <c r="AV12" s="250"/>
      <c r="AW12" s="250"/>
      <c r="AX12" s="250"/>
      <c r="AY12" s="250"/>
      <c r="AZ12" s="250"/>
      <c r="BA12" s="250"/>
      <c r="BB12" s="251">
        <f t="shared" si="4"/>
        <v>0</v>
      </c>
      <c r="BC12" s="169"/>
      <c r="BD12" s="169"/>
      <c r="BE12" s="169"/>
      <c r="BF12" s="169"/>
    </row>
    <row r="13" spans="1:58" ht="94.5" outlineLevel="2" x14ac:dyDescent="0.25">
      <c r="A13" s="115"/>
      <c r="B13" s="200"/>
      <c r="C13" s="201"/>
      <c r="D13" s="135"/>
      <c r="E13" s="219"/>
      <c r="F13" s="219"/>
      <c r="G13" s="313"/>
      <c r="H13" s="213" t="s">
        <v>376</v>
      </c>
      <c r="I13" s="130"/>
      <c r="J13" s="126"/>
      <c r="K13" s="126"/>
      <c r="L13" s="125" t="str">
        <f>IF(I13&lt;&gt;0,((VLOOKUP(I13,'1. Standard_Cost'!$B$4:$D$11,2)+VLOOKUP(I13,'1. Standard_Cost'!$B$4:$D$11,3))*J13*K13),"0")</f>
        <v>0</v>
      </c>
      <c r="M13" s="125">
        <f>L13*'1. Standard_Cost'!$F$4</f>
        <v>0</v>
      </c>
      <c r="N13" s="126"/>
      <c r="O13" s="126"/>
      <c r="P13" s="126"/>
      <c r="Q13" s="126"/>
      <c r="R13" s="127">
        <f>'1. Standard_Cost'!$B$15*N13*P13</f>
        <v>0</v>
      </c>
      <c r="S13" s="127">
        <f>N13*O13*P13*'1. Standard_Cost'!$C$15</f>
        <v>0</v>
      </c>
      <c r="T13" s="127">
        <f>N13*P13*Q13*'1. Standard_Cost'!$D$15</f>
        <v>0</v>
      </c>
      <c r="U13" s="127">
        <f>N13*O13*'1. Standard_Cost'!$E$15</f>
        <v>0</v>
      </c>
      <c r="V13" s="126"/>
      <c r="W13" s="126"/>
      <c r="X13" s="126"/>
      <c r="Y13" s="127">
        <f>+V13*((X13*'1. Standard_Cost'!$B$19)+(W13*X13*'1. Standard_Cost'!$C$19))</f>
        <v>0</v>
      </c>
      <c r="Z13" s="126">
        <v>0</v>
      </c>
      <c r="AA13" s="126">
        <v>0</v>
      </c>
      <c r="AB13" s="127">
        <f>+Z13*'1. Standard_Cost'!$B$23+AA13*'1. Standard_Cost'!$C$23</f>
        <v>0</v>
      </c>
      <c r="AC13" s="128">
        <v>0</v>
      </c>
      <c r="AD13" s="129"/>
      <c r="AE13" s="127">
        <f>SUM(AD13,AC13,AB13,Y13,U13,T13,S13,R13)*'1. Standard_Cost'!$B$31</f>
        <v>0</v>
      </c>
      <c r="AF13" s="127">
        <f>SUM(AE13,AD13,AC13,AB13,Y13,U13,T13,S13,R13)</f>
        <v>0</v>
      </c>
      <c r="AG13" s="126"/>
      <c r="AH13" s="126"/>
      <c r="AI13" s="126"/>
      <c r="AJ13" s="130"/>
      <c r="AK13" s="130"/>
      <c r="AL13" s="130"/>
      <c r="AM13" s="127">
        <f>AG13*'1. Standard_Cost'!$B$27+'Incremental_Cost Year 10'!AH13*'1. Standard_Cost'!$C$27+'Incremental_Cost Year 10'!AI13*'1. Standard_Cost'!$D$27+'Incremental_Cost Year 10'!AJ13+'Incremental_Cost Year 10'!AL13+AK13</f>
        <v>0</v>
      </c>
      <c r="AN13" s="127">
        <f>AM13*'1. Standard_Cost'!$C$31</f>
        <v>0</v>
      </c>
      <c r="AO13" s="130"/>
      <c r="AQ13" s="171">
        <f>L13+M13</f>
        <v>0</v>
      </c>
      <c r="AR13" s="171">
        <f>AF13</f>
        <v>0</v>
      </c>
      <c r="AS13" s="171">
        <f>AM13+AN13</f>
        <v>0</v>
      </c>
      <c r="AT13" s="171">
        <f>SUM(AQ13,AR13,AS13)</f>
        <v>0</v>
      </c>
      <c r="AU13" s="250">
        <f>AQ13</f>
        <v>0</v>
      </c>
      <c r="AV13" s="250"/>
      <c r="AW13" s="250"/>
      <c r="AX13" s="250"/>
      <c r="AY13" s="250"/>
      <c r="AZ13" s="250"/>
      <c r="BA13" s="250"/>
      <c r="BB13" s="251">
        <f t="shared" si="4"/>
        <v>0</v>
      </c>
      <c r="BC13" s="169"/>
      <c r="BD13" s="169"/>
      <c r="BE13" s="169"/>
      <c r="BF13" s="169"/>
    </row>
    <row r="14" spans="1:58" ht="157.5" outlineLevel="2" x14ac:dyDescent="0.25">
      <c r="A14" s="115"/>
      <c r="B14" s="200"/>
      <c r="C14" s="201"/>
      <c r="D14" s="223"/>
      <c r="E14" s="219"/>
      <c r="F14" s="219"/>
      <c r="G14" s="313"/>
      <c r="H14" s="213" t="s">
        <v>377</v>
      </c>
      <c r="I14" s="130" t="s">
        <v>3</v>
      </c>
      <c r="J14" s="126">
        <v>0.5</v>
      </c>
      <c r="K14" s="126">
        <v>3</v>
      </c>
      <c r="L14" s="125">
        <f>IF(I14&lt;&gt;0,((VLOOKUP(I14,'1. Standard_Cost'!$B$4:$D$11,2)+VLOOKUP(I14,'1. Standard_Cost'!$B$4:$D$11,3))*J14*K14),"0")</f>
        <v>151200</v>
      </c>
      <c r="M14" s="125">
        <f>L14*'1. Standard_Cost'!$F$4</f>
        <v>25250.400000000001</v>
      </c>
      <c r="N14" s="126">
        <v>5</v>
      </c>
      <c r="O14" s="126">
        <v>1</v>
      </c>
      <c r="P14" s="126">
        <v>15</v>
      </c>
      <c r="Q14" s="126"/>
      <c r="R14" s="127">
        <f>'1. Standard_Cost'!$B$15*N14*P14</f>
        <v>150000</v>
      </c>
      <c r="S14" s="127">
        <f>N14*O14*P14*'1. Standard_Cost'!$C$15</f>
        <v>112500</v>
      </c>
      <c r="T14" s="127">
        <f>N14*P14*Q14*'1. Standard_Cost'!$D$15</f>
        <v>0</v>
      </c>
      <c r="U14" s="127">
        <f>N14*O14*'1. Standard_Cost'!$E$15</f>
        <v>200000</v>
      </c>
      <c r="V14" s="126"/>
      <c r="W14" s="126"/>
      <c r="X14" s="126"/>
      <c r="Y14" s="127">
        <f>+V14*((X14*'1. Standard_Cost'!$B$19)+(W14*X14*'1. Standard_Cost'!$C$19))</f>
        <v>0</v>
      </c>
      <c r="Z14" s="126"/>
      <c r="AA14" s="126">
        <v>6</v>
      </c>
      <c r="AB14" s="127">
        <f>+Z14*'1. Standard_Cost'!$B$23+AA14*'1. Standard_Cost'!$C$23</f>
        <v>114000</v>
      </c>
      <c r="AC14" s="128">
        <f>75*3300</f>
        <v>247500</v>
      </c>
      <c r="AD14" s="129"/>
      <c r="AE14" s="127">
        <f>SUM(AD14,AC14,AB14,Y14,U14,T14,S14,R14)*'1. Standard_Cost'!$B$31</f>
        <v>164800</v>
      </c>
      <c r="AF14" s="127">
        <f>SUM(AE14,AD14,AC14,AB14,Y14,U14,T14,S14,R14)</f>
        <v>988800</v>
      </c>
      <c r="AG14" s="126"/>
      <c r="AH14" s="126"/>
      <c r="AI14" s="126"/>
      <c r="AJ14" s="130"/>
      <c r="AK14" s="130"/>
      <c r="AL14" s="130"/>
      <c r="AM14" s="127">
        <f>AG14*'1. Standard_Cost'!$B$27+'Incremental_Cost Year 10'!AH14*'1. Standard_Cost'!$C$27+'Incremental_Cost Year 10'!AI14*'1. Standard_Cost'!$D$27+'Incremental_Cost Year 10'!AJ14+'Incremental_Cost Year 10'!AL14+AK14</f>
        <v>0</v>
      </c>
      <c r="AN14" s="127">
        <f>AM14*'1. Standard_Cost'!$C$31</f>
        <v>0</v>
      </c>
      <c r="AO14" s="130"/>
      <c r="AQ14" s="171">
        <f>L14+M14</f>
        <v>176450.4</v>
      </c>
      <c r="AR14" s="171">
        <f>AF14</f>
        <v>988800</v>
      </c>
      <c r="AS14" s="171">
        <f>AM14+AN14</f>
        <v>0</v>
      </c>
      <c r="AT14" s="171">
        <f>SUM(AQ14,AR14,AS14)</f>
        <v>1165250.3999999999</v>
      </c>
      <c r="AU14" s="250">
        <f>AQ14</f>
        <v>176450.4</v>
      </c>
      <c r="AV14" s="250"/>
      <c r="AW14" s="250"/>
      <c r="AX14" s="250"/>
      <c r="AY14" s="250"/>
      <c r="AZ14" s="250"/>
      <c r="BA14" s="250"/>
      <c r="BB14" s="251">
        <f t="shared" si="4"/>
        <v>-988799.99999999988</v>
      </c>
      <c r="BC14" s="169"/>
      <c r="BD14" s="169"/>
      <c r="BE14" s="169"/>
      <c r="BF14" s="169"/>
    </row>
    <row r="15" spans="1:58" ht="63" outlineLevel="1" x14ac:dyDescent="0.25">
      <c r="A15" s="115"/>
      <c r="B15" s="165"/>
      <c r="C15" s="166"/>
      <c r="D15" s="110" t="s">
        <v>378</v>
      </c>
      <c r="E15" s="116" t="s">
        <v>379</v>
      </c>
      <c r="F15" s="209">
        <v>2021</v>
      </c>
      <c r="G15" s="117">
        <v>2030</v>
      </c>
      <c r="H15" s="110" t="s">
        <v>47</v>
      </c>
      <c r="I15" s="252"/>
      <c r="J15" s="252"/>
      <c r="K15" s="252"/>
      <c r="L15" s="127">
        <f>SUM(L12:L14)</f>
        <v>151200</v>
      </c>
      <c r="M15" s="127">
        <f>SUM(M12:M14)</f>
        <v>25250.400000000001</v>
      </c>
      <c r="N15" s="252"/>
      <c r="O15" s="252"/>
      <c r="P15" s="252"/>
      <c r="Q15" s="252"/>
      <c r="R15" s="127">
        <f>SUM(R12:R14)</f>
        <v>150000</v>
      </c>
      <c r="S15" s="127">
        <f>SUM(S12:S14)</f>
        <v>112500</v>
      </c>
      <c r="T15" s="127">
        <f>SUM(T12:T14)</f>
        <v>0</v>
      </c>
      <c r="U15" s="127">
        <f>SUM(U12:U14)</f>
        <v>200000</v>
      </c>
      <c r="V15" s="252"/>
      <c r="W15" s="252"/>
      <c r="X15" s="252"/>
      <c r="Y15" s="127">
        <f>SUM(Y12:Y14)</f>
        <v>0</v>
      </c>
      <c r="Z15" s="252"/>
      <c r="AA15" s="252"/>
      <c r="AB15" s="127">
        <f>SUM(AB12:AB14)</f>
        <v>114000</v>
      </c>
      <c r="AC15" s="127">
        <f>SUM(AC12:AC14)</f>
        <v>247500</v>
      </c>
      <c r="AD15" s="127">
        <f>SUM(AD12:AD14)</f>
        <v>0</v>
      </c>
      <c r="AE15" s="127">
        <f>SUM(AE12:AE14)</f>
        <v>164800</v>
      </c>
      <c r="AF15" s="127">
        <f>SUM(AF12:AF14)</f>
        <v>988800</v>
      </c>
      <c r="AG15" s="252"/>
      <c r="AH15" s="252"/>
      <c r="AI15" s="252"/>
      <c r="AJ15" s="127">
        <f>SUM(AJ12:AJ12)</f>
        <v>0</v>
      </c>
      <c r="AK15" s="127">
        <f>SUM(AK12:AK14)</f>
        <v>0</v>
      </c>
      <c r="AL15" s="127">
        <f>SUM(AL12:AL14)</f>
        <v>0</v>
      </c>
      <c r="AM15" s="127">
        <f>SUM(AM12:AM14)</f>
        <v>0</v>
      </c>
      <c r="AN15" s="127">
        <f>SUM(AN12:AN14)</f>
        <v>0</v>
      </c>
      <c r="AO15" s="253"/>
      <c r="AP15" s="254"/>
      <c r="AQ15" s="175">
        <f>SUM(AQ12:AQ14)</f>
        <v>176450.4</v>
      </c>
      <c r="AR15" s="175">
        <f>SUM(AR12:AR14)</f>
        <v>988800</v>
      </c>
      <c r="AS15" s="175">
        <f>SUM(AS12:AS14)</f>
        <v>0</v>
      </c>
      <c r="AT15" s="175">
        <f>SUM(AT12:AT14)</f>
        <v>1165250.3999999999</v>
      </c>
      <c r="AU15" s="175">
        <f t="shared" ref="AU15:BB15" si="6">SUM(AU12:AU14)</f>
        <v>176450.4</v>
      </c>
      <c r="AV15" s="175">
        <f t="shared" si="6"/>
        <v>0</v>
      </c>
      <c r="AW15" s="175">
        <f>SUM(AW12:AW14)</f>
        <v>0</v>
      </c>
      <c r="AX15" s="175">
        <f t="shared" si="6"/>
        <v>0</v>
      </c>
      <c r="AY15" s="175">
        <f t="shared" si="6"/>
        <v>0</v>
      </c>
      <c r="AZ15" s="175">
        <f t="shared" si="6"/>
        <v>0</v>
      </c>
      <c r="BA15" s="175">
        <f t="shared" si="6"/>
        <v>0</v>
      </c>
      <c r="BB15" s="175">
        <f t="shared" si="6"/>
        <v>-988799.99999999988</v>
      </c>
      <c r="BC15" s="169"/>
      <c r="BD15" s="169"/>
      <c r="BE15" s="169"/>
      <c r="BF15" s="169"/>
    </row>
    <row r="16" spans="1:58" s="170" customFormat="1" ht="15.75" customHeight="1" x14ac:dyDescent="0.25">
      <c r="A16" s="120"/>
      <c r="B16" s="290"/>
      <c r="C16" s="391" t="s">
        <v>192</v>
      </c>
      <c r="D16" s="391"/>
      <c r="E16" s="392"/>
      <c r="F16" s="288"/>
      <c r="G16" s="288"/>
      <c r="H16" s="114" t="s">
        <v>209</v>
      </c>
      <c r="I16" s="246"/>
      <c r="J16" s="246"/>
      <c r="K16" s="246"/>
      <c r="L16" s="247">
        <f>SUM(L19)</f>
        <v>0</v>
      </c>
      <c r="M16" s="247">
        <f>SUM(M19)</f>
        <v>0</v>
      </c>
      <c r="N16" s="247"/>
      <c r="O16" s="247"/>
      <c r="P16" s="247"/>
      <c r="Q16" s="247"/>
      <c r="R16" s="247">
        <f>SUM(R19)</f>
        <v>0</v>
      </c>
      <c r="S16" s="247">
        <f>SUM(S19)</f>
        <v>0</v>
      </c>
      <c r="T16" s="247">
        <f>SUM(T19)</f>
        <v>0</v>
      </c>
      <c r="U16" s="247">
        <f>SUM(U19)</f>
        <v>0</v>
      </c>
      <c r="V16" s="247"/>
      <c r="W16" s="247"/>
      <c r="X16" s="247"/>
      <c r="Y16" s="247">
        <f>SUM(Y19)</f>
        <v>0</v>
      </c>
      <c r="Z16" s="247">
        <f t="shared" ref="Z16:AA16" si="7">SUM(Z19)</f>
        <v>0</v>
      </c>
      <c r="AA16" s="247">
        <f t="shared" si="7"/>
        <v>0</v>
      </c>
      <c r="AB16" s="247">
        <f t="shared" ref="AB16:AF16" si="8">SUM(AB19)</f>
        <v>0</v>
      </c>
      <c r="AC16" s="247">
        <f t="shared" si="8"/>
        <v>0</v>
      </c>
      <c r="AD16" s="247">
        <f t="shared" si="8"/>
        <v>0</v>
      </c>
      <c r="AE16" s="247">
        <f t="shared" si="8"/>
        <v>0</v>
      </c>
      <c r="AF16" s="247">
        <f t="shared" si="8"/>
        <v>0</v>
      </c>
      <c r="AG16" s="247"/>
      <c r="AH16" s="247"/>
      <c r="AI16" s="247"/>
      <c r="AJ16" s="247">
        <f>SUM(AJ19)</f>
        <v>0</v>
      </c>
      <c r="AK16" s="247">
        <f>SUM(AK19)</f>
        <v>0</v>
      </c>
      <c r="AL16" s="247">
        <f>SUM(AL19)</f>
        <v>0</v>
      </c>
      <c r="AM16" s="247">
        <f>SUM(AM19)</f>
        <v>0</v>
      </c>
      <c r="AN16" s="247">
        <f>SUM(AN19)</f>
        <v>0</v>
      </c>
      <c r="AO16" s="247"/>
      <c r="AP16" s="244"/>
      <c r="AQ16" s="248">
        <f>SUM(AQ19)</f>
        <v>0</v>
      </c>
      <c r="AR16" s="248">
        <f>SUM(AR19)</f>
        <v>0</v>
      </c>
      <c r="AS16" s="248">
        <f>SUM(AS19)</f>
        <v>0</v>
      </c>
      <c r="AT16" s="248">
        <f>SUM(AT19)</f>
        <v>0</v>
      </c>
      <c r="AU16" s="248">
        <f t="shared" ref="AU16:BB16" si="9">SUM(AU19)</f>
        <v>0</v>
      </c>
      <c r="AV16" s="248">
        <f t="shared" si="9"/>
        <v>0</v>
      </c>
      <c r="AW16" s="248">
        <f>SUM(AW19)</f>
        <v>0</v>
      </c>
      <c r="AX16" s="248">
        <f t="shared" si="9"/>
        <v>0</v>
      </c>
      <c r="AY16" s="248">
        <f t="shared" si="9"/>
        <v>0</v>
      </c>
      <c r="AZ16" s="248">
        <f t="shared" si="9"/>
        <v>0</v>
      </c>
      <c r="BA16" s="248">
        <f t="shared" si="9"/>
        <v>0</v>
      </c>
      <c r="BB16" s="248">
        <f t="shared" si="9"/>
        <v>0</v>
      </c>
    </row>
    <row r="17" spans="1:58" ht="126" outlineLevel="2" x14ac:dyDescent="0.25">
      <c r="A17" s="115"/>
      <c r="B17" s="200"/>
      <c r="C17" s="201"/>
      <c r="D17" s="220"/>
      <c r="E17" s="294"/>
      <c r="F17" s="295"/>
      <c r="G17" s="296"/>
      <c r="H17" s="199" t="s">
        <v>380</v>
      </c>
      <c r="I17" s="130"/>
      <c r="J17" s="126"/>
      <c r="K17" s="126"/>
      <c r="L17" s="125" t="str">
        <f>IF(I17&lt;&gt;0,((VLOOKUP(I17,'1. Standard_Cost'!$B$4:$D$11,2)+VLOOKUP(I17,'1. Standard_Cost'!$B$4:$D$11,3))*J17*K17),"0")</f>
        <v>0</v>
      </c>
      <c r="M17" s="125">
        <f>L17*'1. Standard_Cost'!$F$4</f>
        <v>0</v>
      </c>
      <c r="N17" s="126"/>
      <c r="O17" s="126"/>
      <c r="P17" s="126"/>
      <c r="Q17" s="126"/>
      <c r="R17" s="127">
        <f>'1. Standard_Cost'!$B$15*N17*P17</f>
        <v>0</v>
      </c>
      <c r="S17" s="127">
        <f>N17*O17*P17*'1. Standard_Cost'!$C$15</f>
        <v>0</v>
      </c>
      <c r="T17" s="127">
        <f>N17*P17*Q17*'1. Standard_Cost'!$D$15</f>
        <v>0</v>
      </c>
      <c r="U17" s="127">
        <f>N17*O17*'1. Standard_Cost'!$E$15</f>
        <v>0</v>
      </c>
      <c r="V17" s="126"/>
      <c r="W17" s="126"/>
      <c r="X17" s="126"/>
      <c r="Y17" s="127">
        <f>+V17*((X17*'1. Standard_Cost'!$B$19)+(W17*X17*'1. Standard_Cost'!$C$19))</f>
        <v>0</v>
      </c>
      <c r="Z17" s="126"/>
      <c r="AA17" s="126"/>
      <c r="AB17" s="127">
        <f>+Z17*'1. Standard_Cost'!$B$23+AA17*'1. Standard_Cost'!$C$23</f>
        <v>0</v>
      </c>
      <c r="AC17" s="128"/>
      <c r="AD17" s="129"/>
      <c r="AE17" s="127">
        <f>SUM(AD17,AC17,AB17,Y17,U17,T17,S17,R17)*'1. Standard_Cost'!$B$31</f>
        <v>0</v>
      </c>
      <c r="AF17" s="127">
        <f>SUM(AE17,AD17,AC17,AB17,Y17,U17,T17,S17,R17)</f>
        <v>0</v>
      </c>
      <c r="AG17" s="126"/>
      <c r="AH17" s="126"/>
      <c r="AI17" s="126"/>
      <c r="AJ17" s="130"/>
      <c r="AK17" s="130"/>
      <c r="AL17" s="130"/>
      <c r="AM17" s="127">
        <f>AG17*'1. Standard_Cost'!$B$27+'Incremental_Cost Year 10'!AH17*'1. Standard_Cost'!$C$27+'Incremental_Cost Year 10'!AI17*'1. Standard_Cost'!$D$27+'Incremental_Cost Year 10'!AJ17+'Incremental_Cost Year 10'!AL17+AK17</f>
        <v>0</v>
      </c>
      <c r="AN17" s="127">
        <f>AM17*'1. Standard_Cost'!$C$31</f>
        <v>0</v>
      </c>
      <c r="AO17" s="249"/>
      <c r="AQ17" s="171">
        <f>L17+M17</f>
        <v>0</v>
      </c>
      <c r="AR17" s="171">
        <f>AF17</f>
        <v>0</v>
      </c>
      <c r="AS17" s="171">
        <f>AM17+AN17</f>
        <v>0</v>
      </c>
      <c r="AT17" s="171">
        <f>SUM(AQ17,AR17,AS17)</f>
        <v>0</v>
      </c>
      <c r="AU17" s="250"/>
      <c r="AV17" s="250"/>
      <c r="AW17" s="250"/>
      <c r="AX17" s="250"/>
      <c r="AY17" s="250"/>
      <c r="AZ17" s="250"/>
      <c r="BA17" s="250"/>
      <c r="BB17" s="251">
        <f t="shared" ref="BB17:BB18" si="10">SUM(AU17:BA17)-AT17</f>
        <v>0</v>
      </c>
      <c r="BC17" s="169"/>
      <c r="BD17" s="169"/>
      <c r="BE17" s="169"/>
      <c r="BF17" s="169"/>
    </row>
    <row r="18" spans="1:58" ht="126" outlineLevel="2" x14ac:dyDescent="0.25">
      <c r="A18" s="115"/>
      <c r="B18" s="200"/>
      <c r="C18" s="201"/>
      <c r="D18" s="221"/>
      <c r="E18" s="121"/>
      <c r="F18" s="122"/>
      <c r="G18" s="123"/>
      <c r="H18" s="199" t="s">
        <v>381</v>
      </c>
      <c r="I18" s="130"/>
      <c r="J18" s="126"/>
      <c r="K18" s="126"/>
      <c r="L18" s="125" t="str">
        <f>IF(I18&lt;&gt;0,((VLOOKUP(I18,'1. Standard_Cost'!$B$4:$D$11,2)+VLOOKUP(I18,'1. Standard_Cost'!$B$4:$D$11,3))*J18*K18),"0")</f>
        <v>0</v>
      </c>
      <c r="M18" s="125">
        <f>L18*'1. Standard_Cost'!$F$4</f>
        <v>0</v>
      </c>
      <c r="N18" s="126"/>
      <c r="O18" s="126"/>
      <c r="P18" s="126"/>
      <c r="Q18" s="126"/>
      <c r="R18" s="127">
        <f>'1. Standard_Cost'!$B$15*N18*P18</f>
        <v>0</v>
      </c>
      <c r="S18" s="127">
        <f>N18*O18*P18*'1. Standard_Cost'!$C$15</f>
        <v>0</v>
      </c>
      <c r="T18" s="127">
        <f>N18*P18*Q18*'1. Standard_Cost'!$D$15</f>
        <v>0</v>
      </c>
      <c r="U18" s="127">
        <f>N18*O18*'1. Standard_Cost'!$E$15</f>
        <v>0</v>
      </c>
      <c r="V18" s="126"/>
      <c r="W18" s="126"/>
      <c r="X18" s="126"/>
      <c r="Y18" s="127">
        <f>+V18*((X18*'1. Standard_Cost'!$B$19)+(W18*X18*'1. Standard_Cost'!$C$19))</f>
        <v>0</v>
      </c>
      <c r="Z18" s="126"/>
      <c r="AA18" s="126"/>
      <c r="AB18" s="127">
        <f>+Z18*'1. Standard_Cost'!$B$23+AA18*'1. Standard_Cost'!$C$23</f>
        <v>0</v>
      </c>
      <c r="AC18" s="128"/>
      <c r="AD18" s="129"/>
      <c r="AE18" s="127">
        <f>SUM(AD18,AC18,AB18,Y18,U18,T18,S18,R18)*'1. Standard_Cost'!$B$31</f>
        <v>0</v>
      </c>
      <c r="AF18" s="127">
        <f>SUM(AE18,AD18,AC18,AB18,Y18,U18,T18,S18,R18)</f>
        <v>0</v>
      </c>
      <c r="AG18" s="126"/>
      <c r="AH18" s="126"/>
      <c r="AI18" s="126"/>
      <c r="AJ18" s="130"/>
      <c r="AK18" s="130"/>
      <c r="AL18" s="130"/>
      <c r="AM18" s="127">
        <f>AG18*'1. Standard_Cost'!$B$27+'Incremental_Cost Year 10'!AH18*'1. Standard_Cost'!$C$27+'Incremental_Cost Year 10'!AI18*'1. Standard_Cost'!$D$27+'Incremental_Cost Year 10'!AJ18+'Incremental_Cost Year 10'!AL18+AK18</f>
        <v>0</v>
      </c>
      <c r="AN18" s="127">
        <f>AM18*'1. Standard_Cost'!$C$31</f>
        <v>0</v>
      </c>
      <c r="AO18" s="130"/>
      <c r="AQ18" s="171">
        <f>L18+M18</f>
        <v>0</v>
      </c>
      <c r="AR18" s="171">
        <f>AF18</f>
        <v>0</v>
      </c>
      <c r="AS18" s="171">
        <f>AM18+AN18</f>
        <v>0</v>
      </c>
      <c r="AT18" s="171">
        <f>SUM(AQ18,AR18,AS18)</f>
        <v>0</v>
      </c>
      <c r="AU18" s="250">
        <f>AQ18</f>
        <v>0</v>
      </c>
      <c r="AV18" s="250"/>
      <c r="AW18" s="250"/>
      <c r="AX18" s="250"/>
      <c r="AY18" s="250"/>
      <c r="AZ18" s="250"/>
      <c r="BA18" s="250"/>
      <c r="BB18" s="251">
        <f t="shared" si="10"/>
        <v>0</v>
      </c>
      <c r="BC18" s="169"/>
      <c r="BD18" s="169"/>
      <c r="BE18" s="169"/>
      <c r="BF18" s="169"/>
    </row>
    <row r="19" spans="1:58" ht="63" outlineLevel="1" x14ac:dyDescent="0.25">
      <c r="A19" s="115"/>
      <c r="B19" s="200"/>
      <c r="C19" s="201"/>
      <c r="D19" s="107" t="s">
        <v>240</v>
      </c>
      <c r="E19" s="139" t="s">
        <v>193</v>
      </c>
      <c r="F19" s="136">
        <v>2024</v>
      </c>
      <c r="G19" s="117">
        <v>2027</v>
      </c>
      <c r="H19" s="134" t="s">
        <v>194</v>
      </c>
      <c r="I19" s="252"/>
      <c r="J19" s="252"/>
      <c r="K19" s="252"/>
      <c r="L19" s="127">
        <f>SUM(L17:L18)</f>
        <v>0</v>
      </c>
      <c r="M19" s="127">
        <f>SUM(M17:M18)</f>
        <v>0</v>
      </c>
      <c r="N19" s="127"/>
      <c r="O19" s="252"/>
      <c r="P19" s="252"/>
      <c r="Q19" s="252"/>
      <c r="R19" s="127">
        <f>SUM(R17:R18)</f>
        <v>0</v>
      </c>
      <c r="S19" s="127">
        <f>SUM(S17:S18)</f>
        <v>0</v>
      </c>
      <c r="T19" s="127">
        <f>SUM(T17:T18)</f>
        <v>0</v>
      </c>
      <c r="U19" s="127">
        <f>SUM(U17:U18)</f>
        <v>0</v>
      </c>
      <c r="V19" s="252"/>
      <c r="W19" s="252"/>
      <c r="X19" s="252"/>
      <c r="Y19" s="127">
        <f>SUM(Y17:Y18)</f>
        <v>0</v>
      </c>
      <c r="Z19" s="252"/>
      <c r="AA19" s="252"/>
      <c r="AB19" s="127">
        <f>SUM(AB17:AB18)</f>
        <v>0</v>
      </c>
      <c r="AC19" s="127">
        <f>SUM(AC17:AC18)</f>
        <v>0</v>
      </c>
      <c r="AD19" s="127">
        <f>SUM(AD17:AD18)</f>
        <v>0</v>
      </c>
      <c r="AE19" s="127">
        <f>SUM(AE17:AE18)</f>
        <v>0</v>
      </c>
      <c r="AF19" s="127">
        <f>SUM(AF17:AF18)</f>
        <v>0</v>
      </c>
      <c r="AG19" s="252"/>
      <c r="AH19" s="252"/>
      <c r="AI19" s="252"/>
      <c r="AJ19" s="127">
        <f>SUM(AJ17:AJ18)</f>
        <v>0</v>
      </c>
      <c r="AK19" s="127">
        <f>SUM(AK17:AK18)</f>
        <v>0</v>
      </c>
      <c r="AL19" s="127">
        <f>SUM(AL17:AL18)</f>
        <v>0</v>
      </c>
      <c r="AM19" s="127">
        <f>SUM(AM17:AM18)</f>
        <v>0</v>
      </c>
      <c r="AN19" s="127">
        <f>SUM(AN17:AN18)</f>
        <v>0</v>
      </c>
      <c r="AO19" s="253"/>
      <c r="AP19" s="254"/>
      <c r="AQ19" s="175">
        <f>SUM(AQ17:AQ18)</f>
        <v>0</v>
      </c>
      <c r="AR19" s="175">
        <f>SUM(AR17:AR18)</f>
        <v>0</v>
      </c>
      <c r="AS19" s="175">
        <f>SUM(AS17:AS18)</f>
        <v>0</v>
      </c>
      <c r="AT19" s="175">
        <f>SUM(AT17:AT18)</f>
        <v>0</v>
      </c>
      <c r="AU19" s="175">
        <f t="shared" ref="AU19:BB19" si="11">SUM(AU17:AU18)</f>
        <v>0</v>
      </c>
      <c r="AV19" s="175">
        <f t="shared" si="11"/>
        <v>0</v>
      </c>
      <c r="AW19" s="175">
        <f>SUM(AW17:AW18)</f>
        <v>0</v>
      </c>
      <c r="AX19" s="175">
        <f t="shared" si="11"/>
        <v>0</v>
      </c>
      <c r="AY19" s="175">
        <f t="shared" si="11"/>
        <v>0</v>
      </c>
      <c r="AZ19" s="175">
        <f t="shared" si="11"/>
        <v>0</v>
      </c>
      <c r="BA19" s="175">
        <f t="shared" si="11"/>
        <v>0</v>
      </c>
      <c r="BB19" s="175">
        <f t="shared" si="11"/>
        <v>0</v>
      </c>
      <c r="BC19" s="169"/>
      <c r="BD19" s="169"/>
      <c r="BE19" s="169"/>
      <c r="BF19" s="169"/>
    </row>
    <row r="20" spans="1:58" s="170" customFormat="1" ht="15.75" customHeight="1" x14ac:dyDescent="0.25">
      <c r="A20" s="120"/>
      <c r="B20" s="290"/>
      <c r="C20" s="391" t="s">
        <v>195</v>
      </c>
      <c r="D20" s="391"/>
      <c r="E20" s="392"/>
      <c r="F20" s="288"/>
      <c r="G20" s="288"/>
      <c r="H20" s="114" t="s">
        <v>208</v>
      </c>
      <c r="I20" s="246"/>
      <c r="J20" s="246"/>
      <c r="K20" s="246"/>
      <c r="L20" s="247">
        <f>SUM(L25+L29+L37+L39)</f>
        <v>279312600</v>
      </c>
      <c r="M20" s="247">
        <f>SUM(M25+M29+M37+M39)</f>
        <v>46645204.200000003</v>
      </c>
      <c r="N20" s="247"/>
      <c r="O20" s="247"/>
      <c r="P20" s="247"/>
      <c r="Q20" s="247"/>
      <c r="R20" s="247">
        <f>SUM(R25+R29+R37+R39)</f>
        <v>0</v>
      </c>
      <c r="S20" s="247">
        <f>SUM(S25+S29+S37+S39)</f>
        <v>0</v>
      </c>
      <c r="T20" s="247">
        <f>SUM(T25+T29+T37+T39)</f>
        <v>0</v>
      </c>
      <c r="U20" s="247">
        <f>SUM(U25+U29+U37+U39)</f>
        <v>0</v>
      </c>
      <c r="V20" s="247"/>
      <c r="W20" s="247"/>
      <c r="X20" s="247"/>
      <c r="Y20" s="247">
        <f>SUM(Y25+Y29+Y37+Y39)</f>
        <v>0</v>
      </c>
      <c r="Z20" s="247">
        <f t="shared" ref="Z20:AA20" si="12">SUM(Z25+Z29+Z37+Z39)</f>
        <v>0</v>
      </c>
      <c r="AA20" s="247">
        <f t="shared" si="12"/>
        <v>0</v>
      </c>
      <c r="AB20" s="247">
        <f t="shared" ref="AB20:AF20" si="13">SUM(AB25+AB29+AB37+AB39)</f>
        <v>0</v>
      </c>
      <c r="AC20" s="247">
        <f t="shared" si="13"/>
        <v>1164991395</v>
      </c>
      <c r="AD20" s="247">
        <f t="shared" si="13"/>
        <v>0</v>
      </c>
      <c r="AE20" s="247">
        <f t="shared" si="13"/>
        <v>570000</v>
      </c>
      <c r="AF20" s="247">
        <f t="shared" si="13"/>
        <v>1165561395</v>
      </c>
      <c r="AG20" s="247"/>
      <c r="AH20" s="247"/>
      <c r="AI20" s="247"/>
      <c r="AJ20" s="247">
        <f>SUM(AJ25+AJ29+AJ37+AJ39)</f>
        <v>0</v>
      </c>
      <c r="AK20" s="247">
        <f>SUM(AK25+AK29+AK37+AK39)</f>
        <v>0</v>
      </c>
      <c r="AL20" s="247">
        <f>SUM(AL25+AL29+AL37+AL39)</f>
        <v>0</v>
      </c>
      <c r="AM20" s="247">
        <f>SUM(AM25+AM29+AM37+AM39)</f>
        <v>0</v>
      </c>
      <c r="AN20" s="247">
        <f>SUM(AN25+AN29+AN37+AN39)</f>
        <v>0</v>
      </c>
      <c r="AO20" s="247"/>
      <c r="AP20" s="244"/>
      <c r="AQ20" s="248">
        <f>SUM(AQ25+AQ29+AQ37+AQ39)</f>
        <v>325957804.19999999</v>
      </c>
      <c r="AR20" s="248">
        <f>SUM(AR25+AR29+AR37+AR39)</f>
        <v>1165561395</v>
      </c>
      <c r="AS20" s="248">
        <f>SUM(AS25+AS29+AS37+AS39)</f>
        <v>0</v>
      </c>
      <c r="AT20" s="248">
        <f>SUM(AT25+AT29+AT37+AT39)</f>
        <v>1491519199.1999998</v>
      </c>
      <c r="AU20" s="248">
        <f t="shared" ref="AU20:BB20" si="14">SUM(AU25+AU29+AU37+AU39)</f>
        <v>1491519199.1999998</v>
      </c>
      <c r="AV20" s="248">
        <f t="shared" si="14"/>
        <v>0</v>
      </c>
      <c r="AW20" s="248">
        <f>SUM(AW25+AW29+AW37+AW39)</f>
        <v>0</v>
      </c>
      <c r="AX20" s="248">
        <f t="shared" si="14"/>
        <v>0</v>
      </c>
      <c r="AY20" s="248">
        <f t="shared" si="14"/>
        <v>0</v>
      </c>
      <c r="AZ20" s="248">
        <f t="shared" si="14"/>
        <v>0</v>
      </c>
      <c r="BA20" s="248">
        <f t="shared" si="14"/>
        <v>0</v>
      </c>
      <c r="BB20" s="248">
        <f t="shared" si="14"/>
        <v>0</v>
      </c>
    </row>
    <row r="21" spans="1:58" ht="204.75" outlineLevel="2" x14ac:dyDescent="0.25">
      <c r="A21" s="115"/>
      <c r="B21" s="200"/>
      <c r="C21" s="201"/>
      <c r="D21" s="135"/>
      <c r="E21" s="219"/>
      <c r="F21" s="219"/>
      <c r="G21" s="313"/>
      <c r="H21" s="199" t="s">
        <v>382</v>
      </c>
      <c r="I21" s="130"/>
      <c r="J21" s="126"/>
      <c r="K21" s="126"/>
      <c r="L21" s="125" t="str">
        <f>IF(I21&lt;&gt;0,((VLOOKUP(I21,'1. Standard_Cost'!$B$4:$D$11,2)+VLOOKUP(I21,'1. Standard_Cost'!$B$4:$D$11,3))*J21*K21),"0")</f>
        <v>0</v>
      </c>
      <c r="M21" s="125">
        <f>L21*'1. Standard_Cost'!$F$4</f>
        <v>0</v>
      </c>
      <c r="N21" s="126"/>
      <c r="O21" s="126"/>
      <c r="P21" s="126"/>
      <c r="Q21" s="126"/>
      <c r="R21" s="127">
        <f>'1. Standard_Cost'!$B$15*N21*P21</f>
        <v>0</v>
      </c>
      <c r="S21" s="127">
        <f>N21*O21*P21*'1. Standard_Cost'!$C$15</f>
        <v>0</v>
      </c>
      <c r="T21" s="127">
        <f>N21*P21*Q21*'1. Standard_Cost'!$D$15</f>
        <v>0</v>
      </c>
      <c r="U21" s="127">
        <f>N21*O21*'1. Standard_Cost'!$E$15</f>
        <v>0</v>
      </c>
      <c r="V21" s="126"/>
      <c r="W21" s="126"/>
      <c r="X21" s="126"/>
      <c r="Y21" s="127">
        <f>+V21*((X21*'1. Standard_Cost'!$B$19)+(W21*X21*'1. Standard_Cost'!$C$19))</f>
        <v>0</v>
      </c>
      <c r="Z21" s="126"/>
      <c r="AA21" s="126"/>
      <c r="AB21" s="127">
        <f>+Z21*'1. Standard_Cost'!$B$23+AA21*'1. Standard_Cost'!$C$23</f>
        <v>0</v>
      </c>
      <c r="AC21" s="128">
        <v>330591145</v>
      </c>
      <c r="AD21" s="129"/>
      <c r="AE21" s="127">
        <v>0</v>
      </c>
      <c r="AF21" s="127">
        <f>SUM(AE21,AD21,AC21,AB21,Y21,U21,T21,S21,R21)</f>
        <v>330591145</v>
      </c>
      <c r="AG21" s="126"/>
      <c r="AH21" s="126"/>
      <c r="AI21" s="126"/>
      <c r="AJ21" s="130"/>
      <c r="AK21" s="130"/>
      <c r="AL21" s="130"/>
      <c r="AM21" s="127">
        <f>AG21*'1. Standard_Cost'!$B$27+'Incremental_Cost Year 10'!AH21*'1. Standard_Cost'!$C$27+'Incremental_Cost Year 10'!AI21*'1. Standard_Cost'!$D$27+'Incremental_Cost Year 10'!AJ21+'Incremental_Cost Year 10'!AL21+AK21</f>
        <v>0</v>
      </c>
      <c r="AN21" s="127">
        <f>AM21*'1. Standard_Cost'!$C$31</f>
        <v>0</v>
      </c>
      <c r="AO21" s="249"/>
      <c r="AQ21" s="171">
        <f>L21+M21</f>
        <v>0</v>
      </c>
      <c r="AR21" s="171">
        <f>AF21</f>
        <v>330591145</v>
      </c>
      <c r="AS21" s="171">
        <f>AM21+AN21</f>
        <v>0</v>
      </c>
      <c r="AT21" s="171">
        <f>SUM(AQ21,AR21,AS21)</f>
        <v>330591145</v>
      </c>
      <c r="AU21" s="250">
        <v>330591145</v>
      </c>
      <c r="AV21" s="250"/>
      <c r="AW21" s="250"/>
      <c r="AX21" s="250"/>
      <c r="AY21" s="250"/>
      <c r="AZ21" s="250"/>
      <c r="BA21" s="250"/>
      <c r="BB21" s="251">
        <f t="shared" ref="BB21:BB24" si="15">SUM(AU21:BA21)-AT21</f>
        <v>0</v>
      </c>
      <c r="BC21" s="169"/>
      <c r="BD21" s="169"/>
      <c r="BE21" s="169"/>
      <c r="BF21" s="169"/>
    </row>
    <row r="22" spans="1:58" ht="47.25" outlineLevel="2" x14ac:dyDescent="0.25">
      <c r="A22" s="115"/>
      <c r="B22" s="200"/>
      <c r="C22" s="201"/>
      <c r="D22" s="135"/>
      <c r="E22" s="219"/>
      <c r="F22" s="219"/>
      <c r="G22" s="313"/>
      <c r="H22" s="199" t="s">
        <v>225</v>
      </c>
      <c r="I22" s="130" t="s">
        <v>3</v>
      </c>
      <c r="J22" s="126">
        <v>12</v>
      </c>
      <c r="K22" s="126">
        <v>10</v>
      </c>
      <c r="L22" s="125">
        <f>IF(I22&lt;&gt;0,((VLOOKUP(I22,'1. Standard_Cost'!$B$4:$D$11,2)+VLOOKUP(I22,'1. Standard_Cost'!$B$4:$D$11,3))*J22*K22),"0")</f>
        <v>12096000</v>
      </c>
      <c r="M22" s="125">
        <f>L22*'1. Standard_Cost'!$F$4</f>
        <v>2020032</v>
      </c>
      <c r="N22" s="126"/>
      <c r="O22" s="126"/>
      <c r="P22" s="126"/>
      <c r="Q22" s="126"/>
      <c r="R22" s="127">
        <f>'1. Standard_Cost'!$B$15*N22*P22</f>
        <v>0</v>
      </c>
      <c r="S22" s="127">
        <f>N22*O22*P22*'1. Standard_Cost'!$C$15</f>
        <v>0</v>
      </c>
      <c r="T22" s="127">
        <f>N22*P22*Q22*'1. Standard_Cost'!$D$15</f>
        <v>0</v>
      </c>
      <c r="U22" s="127">
        <f>N22*O22*'1. Standard_Cost'!$E$15</f>
        <v>0</v>
      </c>
      <c r="V22" s="126"/>
      <c r="W22" s="126"/>
      <c r="X22" s="126"/>
      <c r="Y22" s="127">
        <f>+V22*((X22*'1. Standard_Cost'!$B$19)+(W22*X22*'1. Standard_Cost'!$C$19))</f>
        <v>0</v>
      </c>
      <c r="Z22" s="126"/>
      <c r="AA22" s="126"/>
      <c r="AB22" s="127">
        <f>+Z22*'1. Standard_Cost'!$B$23+AA22*'1. Standard_Cost'!$C$23</f>
        <v>0</v>
      </c>
      <c r="AC22" s="128">
        <v>50000</v>
      </c>
      <c r="AD22" s="129"/>
      <c r="AE22" s="127">
        <f>SUM(AD22,AC22,AB22,Y22,U22,T22,S22,R22)*'1. Standard_Cost'!$B$31</f>
        <v>10000</v>
      </c>
      <c r="AF22" s="127">
        <f>SUM(AE22,AD22,AC22,AB22,Y22,U22,T22,S22,R22)</f>
        <v>60000</v>
      </c>
      <c r="AG22" s="126"/>
      <c r="AH22" s="126"/>
      <c r="AI22" s="126"/>
      <c r="AJ22" s="130"/>
      <c r="AK22" s="130"/>
      <c r="AL22" s="130"/>
      <c r="AM22" s="127">
        <f>AG22*'1. Standard_Cost'!$B$27+'Incremental_Cost Year 10'!AH22*'1. Standard_Cost'!$C$27+'Incremental_Cost Year 10'!AI22*'1. Standard_Cost'!$D$27+'Incremental_Cost Year 10'!AJ22+'Incremental_Cost Year 10'!AL22+AK22</f>
        <v>0</v>
      </c>
      <c r="AN22" s="127">
        <f>AM22*'1. Standard_Cost'!$C$31</f>
        <v>0</v>
      </c>
      <c r="AO22" s="249"/>
      <c r="AQ22" s="171">
        <f>L22+M22</f>
        <v>14116032</v>
      </c>
      <c r="AR22" s="171">
        <f>AF22</f>
        <v>60000</v>
      </c>
      <c r="AS22" s="171">
        <f>AM22+AN22</f>
        <v>0</v>
      </c>
      <c r="AT22" s="171">
        <f>SUM(AQ22,AR22,AS22)</f>
        <v>14176032</v>
      </c>
      <c r="AU22" s="250">
        <f>AT22</f>
        <v>14176032</v>
      </c>
      <c r="AV22" s="250"/>
      <c r="AW22" s="250"/>
      <c r="AX22" s="250"/>
      <c r="AY22" s="250"/>
      <c r="AZ22" s="250"/>
      <c r="BA22" s="250"/>
      <c r="BB22" s="251">
        <f t="shared" si="15"/>
        <v>0</v>
      </c>
      <c r="BC22" s="169"/>
      <c r="BD22" s="169"/>
      <c r="BE22" s="169"/>
      <c r="BF22" s="169"/>
    </row>
    <row r="23" spans="1:58" ht="47.25" outlineLevel="2" x14ac:dyDescent="0.25">
      <c r="A23" s="115"/>
      <c r="B23" s="200"/>
      <c r="C23" s="201"/>
      <c r="D23" s="135"/>
      <c r="E23" s="219"/>
      <c r="F23" s="219"/>
      <c r="G23" s="313"/>
      <c r="H23" s="199" t="s">
        <v>383</v>
      </c>
      <c r="I23" s="130" t="s">
        <v>5</v>
      </c>
      <c r="J23" s="126">
        <v>12</v>
      </c>
      <c r="K23" s="126">
        <v>36</v>
      </c>
      <c r="L23" s="125">
        <f>IF(I23&lt;&gt;0,((VLOOKUP(I23,'1. Standard_Cost'!$B$4:$D$11,2)+VLOOKUP(I23,'1. Standard_Cost'!$B$4:$D$11,3))*J23*K23),"0")</f>
        <v>30542400</v>
      </c>
      <c r="M23" s="125">
        <f>L23*'1. Standard_Cost'!$F$4</f>
        <v>5100580.8000000007</v>
      </c>
      <c r="N23" s="126"/>
      <c r="O23" s="126"/>
      <c r="P23" s="126"/>
      <c r="Q23" s="126"/>
      <c r="R23" s="127">
        <f>'1. Standard_Cost'!$B$15*N23*P23</f>
        <v>0</v>
      </c>
      <c r="S23" s="127">
        <f>N23*O23*P23*'1. Standard_Cost'!$C$15</f>
        <v>0</v>
      </c>
      <c r="T23" s="127">
        <f>N23*P23*Q23*'1. Standard_Cost'!$D$15</f>
        <v>0</v>
      </c>
      <c r="U23" s="127">
        <f>N23*O23*'1. Standard_Cost'!$E$15</f>
        <v>0</v>
      </c>
      <c r="V23" s="126"/>
      <c r="W23" s="126"/>
      <c r="X23" s="126"/>
      <c r="Y23" s="127">
        <f>+V23*((X23*'1. Standard_Cost'!$B$19)+(W23*X23*'1. Standard_Cost'!$C$19))</f>
        <v>0</v>
      </c>
      <c r="Z23" s="126"/>
      <c r="AA23" s="126"/>
      <c r="AB23" s="127">
        <f>+Z23*'1. Standard_Cost'!$B$23+AA23*'1. Standard_Cost'!$C$23</f>
        <v>0</v>
      </c>
      <c r="AC23" s="128">
        <f>50000*36</f>
        <v>1800000</v>
      </c>
      <c r="AD23" s="129"/>
      <c r="AE23" s="127">
        <f>SUM(AD23,AC23,AB23,Y23,U23,T23,S23,R23)*'1. Standard_Cost'!$B$31</f>
        <v>360000</v>
      </c>
      <c r="AF23" s="127">
        <f>SUM(AE23,AD23,AC23,AB23,Y23,U23,T23,S23,R23)</f>
        <v>2160000</v>
      </c>
      <c r="AG23" s="126"/>
      <c r="AH23" s="126"/>
      <c r="AI23" s="126"/>
      <c r="AJ23" s="130"/>
      <c r="AK23" s="130"/>
      <c r="AL23" s="130"/>
      <c r="AM23" s="127">
        <f>AG23*'1. Standard_Cost'!$B$27+'Incremental_Cost Year 10'!AH23*'1. Standard_Cost'!$C$27+'Incremental_Cost Year 10'!AI23*'1. Standard_Cost'!$D$27+'Incremental_Cost Year 10'!AJ23+'Incremental_Cost Year 10'!AL23+AK23</f>
        <v>0</v>
      </c>
      <c r="AN23" s="127">
        <f>AM23*'1. Standard_Cost'!$C$31</f>
        <v>0</v>
      </c>
      <c r="AO23" s="249"/>
      <c r="AQ23" s="171">
        <f>L23+M23</f>
        <v>35642980.799999997</v>
      </c>
      <c r="AR23" s="171">
        <f>AF23</f>
        <v>2160000</v>
      </c>
      <c r="AS23" s="171">
        <f>AM23+AN23</f>
        <v>0</v>
      </c>
      <c r="AT23" s="171">
        <f>SUM(AQ23,AR23,AS23)</f>
        <v>37802980.799999997</v>
      </c>
      <c r="AU23" s="250">
        <f>AT23</f>
        <v>37802980.799999997</v>
      </c>
      <c r="AV23" s="250"/>
      <c r="AW23" s="250"/>
      <c r="AX23" s="250"/>
      <c r="AY23" s="250"/>
      <c r="AZ23" s="250"/>
      <c r="BA23" s="250"/>
      <c r="BB23" s="251">
        <f t="shared" si="15"/>
        <v>0</v>
      </c>
      <c r="BC23" s="169"/>
      <c r="BD23" s="169"/>
      <c r="BE23" s="169"/>
      <c r="BF23" s="169"/>
    </row>
    <row r="24" spans="1:58" ht="15.75" outlineLevel="2" x14ac:dyDescent="0.25">
      <c r="A24" s="115"/>
      <c r="B24" s="200"/>
      <c r="C24" s="201"/>
      <c r="D24" s="211"/>
      <c r="E24" s="124"/>
      <c r="F24" s="140"/>
      <c r="G24" s="351"/>
      <c r="H24" s="199"/>
      <c r="I24" s="130"/>
      <c r="J24" s="126"/>
      <c r="K24" s="126"/>
      <c r="L24" s="125" t="str">
        <f>IF(I24&lt;&gt;0,((VLOOKUP(I24,'1. Standard_Cost'!$B$4:$D$11,2)+VLOOKUP(I24,'1. Standard_Cost'!$B$4:$D$11,3))*J24*K24),"0")</f>
        <v>0</v>
      </c>
      <c r="M24" s="125">
        <f>L24*'1. Standard_Cost'!$F$4</f>
        <v>0</v>
      </c>
      <c r="N24" s="126"/>
      <c r="O24" s="126"/>
      <c r="P24" s="126"/>
      <c r="Q24" s="126"/>
      <c r="R24" s="127">
        <f>'1. Standard_Cost'!$B$15*N24*P24</f>
        <v>0</v>
      </c>
      <c r="S24" s="127">
        <f>N24*O24*P24*'1. Standard_Cost'!$C$15</f>
        <v>0</v>
      </c>
      <c r="T24" s="127">
        <f>N24*P24*Q24*'1. Standard_Cost'!$D$15</f>
        <v>0</v>
      </c>
      <c r="U24" s="127">
        <f>N24*O24*'1. Standard_Cost'!$E$15</f>
        <v>0</v>
      </c>
      <c r="V24" s="126"/>
      <c r="W24" s="126"/>
      <c r="X24" s="126"/>
      <c r="Y24" s="127">
        <f>+V24*((X24*'1. Standard_Cost'!$B$19)+(W24*X24*'1. Standard_Cost'!$C$19))</f>
        <v>0</v>
      </c>
      <c r="Z24" s="126"/>
      <c r="AA24" s="126"/>
      <c r="AB24" s="127">
        <f>+Z24*'1. Standard_Cost'!$B$23+AA24*'1. Standard_Cost'!$C$23</f>
        <v>0</v>
      </c>
      <c r="AC24" s="128"/>
      <c r="AD24" s="129"/>
      <c r="AE24" s="127">
        <f>SUM(AD24,AC24,AB24,Y24,U24,T24,S24,R24)*'1. Standard_Cost'!$B$31</f>
        <v>0</v>
      </c>
      <c r="AF24" s="127">
        <f>SUM(AE24,AD24,AC24,AB24,Y24,U24,T24,S24,R24)</f>
        <v>0</v>
      </c>
      <c r="AG24" s="126"/>
      <c r="AH24" s="126"/>
      <c r="AI24" s="126"/>
      <c r="AJ24" s="130"/>
      <c r="AK24" s="130"/>
      <c r="AL24" s="130"/>
      <c r="AM24" s="127">
        <f>AG24*'1. Standard_Cost'!$B$27+'Incremental_Cost Year 10'!AH24*'1. Standard_Cost'!$C$27+'Incremental_Cost Year 10'!AI24*'1. Standard_Cost'!$D$27+'Incremental_Cost Year 10'!AJ24+'Incremental_Cost Year 10'!AL24+AK24</f>
        <v>0</v>
      </c>
      <c r="AN24" s="127">
        <f>AM24*'1. Standard_Cost'!$C$31</f>
        <v>0</v>
      </c>
      <c r="AO24" s="130"/>
      <c r="AQ24" s="171">
        <f>L24+M24</f>
        <v>0</v>
      </c>
      <c r="AR24" s="171">
        <f>AF24</f>
        <v>0</v>
      </c>
      <c r="AS24" s="171">
        <f>AM24+AN24</f>
        <v>0</v>
      </c>
      <c r="AT24" s="171">
        <f>SUM(AQ24,AR24,AS24)</f>
        <v>0</v>
      </c>
      <c r="AU24" s="250">
        <f>AT24</f>
        <v>0</v>
      </c>
      <c r="AV24" s="250"/>
      <c r="AW24" s="250"/>
      <c r="AX24" s="250"/>
      <c r="AY24" s="250"/>
      <c r="AZ24" s="250"/>
      <c r="BA24" s="250"/>
      <c r="BB24" s="251">
        <f t="shared" si="15"/>
        <v>0</v>
      </c>
      <c r="BC24" s="169"/>
      <c r="BD24" s="169"/>
      <c r="BE24" s="169"/>
      <c r="BF24" s="169"/>
    </row>
    <row r="25" spans="1:58" ht="63" outlineLevel="1" x14ac:dyDescent="0.25">
      <c r="A25" s="115"/>
      <c r="B25" s="165"/>
      <c r="C25" s="166"/>
      <c r="D25" s="150" t="s">
        <v>384</v>
      </c>
      <c r="E25" s="139" t="s">
        <v>196</v>
      </c>
      <c r="F25" s="222">
        <v>2021</v>
      </c>
      <c r="G25" s="117">
        <v>2030</v>
      </c>
      <c r="H25" s="134" t="s">
        <v>197</v>
      </c>
      <c r="I25" s="252"/>
      <c r="J25" s="252"/>
      <c r="K25" s="252"/>
      <c r="L25" s="127">
        <f>SUM(L21:L24)</f>
        <v>42638400</v>
      </c>
      <c r="M25" s="127">
        <f>SUM(M21:M24)</f>
        <v>7120612.8000000007</v>
      </c>
      <c r="N25" s="127"/>
      <c r="O25" s="252"/>
      <c r="P25" s="252"/>
      <c r="Q25" s="252"/>
      <c r="R25" s="127">
        <f>SUM(R21:R24)</f>
        <v>0</v>
      </c>
      <c r="S25" s="127">
        <f>SUM(S21:S24)</f>
        <v>0</v>
      </c>
      <c r="T25" s="127">
        <f>SUM(T21:T24)</f>
        <v>0</v>
      </c>
      <c r="U25" s="127">
        <f>SUM(U21:U24)</f>
        <v>0</v>
      </c>
      <c r="V25" s="252"/>
      <c r="W25" s="252"/>
      <c r="X25" s="252"/>
      <c r="Y25" s="127">
        <f>SUM(Y21:Y24)</f>
        <v>0</v>
      </c>
      <c r="Z25" s="252"/>
      <c r="AA25" s="252"/>
      <c r="AB25" s="127">
        <f>SUM(AB21:AB24)</f>
        <v>0</v>
      </c>
      <c r="AC25" s="127">
        <f>SUM(AC21:AC24)</f>
        <v>332441145</v>
      </c>
      <c r="AD25" s="127">
        <f>SUM(AD21:AD24)</f>
        <v>0</v>
      </c>
      <c r="AE25" s="127">
        <f>SUM(AE21:AE24)</f>
        <v>370000</v>
      </c>
      <c r="AF25" s="127">
        <f>SUM(AF21:AF24)</f>
        <v>332811145</v>
      </c>
      <c r="AG25" s="252"/>
      <c r="AH25" s="252"/>
      <c r="AI25" s="252"/>
      <c r="AJ25" s="127">
        <f>SUM(AJ21:AJ24)</f>
        <v>0</v>
      </c>
      <c r="AK25" s="127">
        <f>SUM(AK21:AK24)</f>
        <v>0</v>
      </c>
      <c r="AL25" s="127">
        <f>SUM(AL21:AL24)</f>
        <v>0</v>
      </c>
      <c r="AM25" s="127">
        <f>SUM(AM21:AM24)</f>
        <v>0</v>
      </c>
      <c r="AN25" s="127">
        <f>SUM(AN21:AN24)</f>
        <v>0</v>
      </c>
      <c r="AO25" s="253"/>
      <c r="AP25" s="254"/>
      <c r="AQ25" s="175">
        <f>SUM(AQ21:AQ24)</f>
        <v>49759012.799999997</v>
      </c>
      <c r="AR25" s="175">
        <f>SUM(AR21:AR24)</f>
        <v>332811145</v>
      </c>
      <c r="AS25" s="175">
        <f>SUM(AS21:AS24)</f>
        <v>0</v>
      </c>
      <c r="AT25" s="175">
        <f>SUM(AT21:AT24)</f>
        <v>382570157.80000001</v>
      </c>
      <c r="AU25" s="175">
        <f t="shared" ref="AU25:BB25" si="16">SUM(AU21:AU24)</f>
        <v>382570157.80000001</v>
      </c>
      <c r="AV25" s="175">
        <f t="shared" si="16"/>
        <v>0</v>
      </c>
      <c r="AW25" s="175">
        <f>SUM(AW21:AW24)</f>
        <v>0</v>
      </c>
      <c r="AX25" s="175">
        <f t="shared" si="16"/>
        <v>0</v>
      </c>
      <c r="AY25" s="175">
        <f t="shared" si="16"/>
        <v>0</v>
      </c>
      <c r="AZ25" s="175">
        <f t="shared" si="16"/>
        <v>0</v>
      </c>
      <c r="BA25" s="175">
        <f t="shared" si="16"/>
        <v>0</v>
      </c>
      <c r="BB25" s="175">
        <f t="shared" si="16"/>
        <v>0</v>
      </c>
      <c r="BC25" s="169"/>
      <c r="BD25" s="169"/>
      <c r="BE25" s="169"/>
      <c r="BF25" s="169"/>
    </row>
    <row r="26" spans="1:58" ht="157.5" outlineLevel="2" x14ac:dyDescent="0.25">
      <c r="A26" s="115"/>
      <c r="B26" s="200"/>
      <c r="C26" s="201"/>
      <c r="D26" s="138"/>
      <c r="E26" s="219"/>
      <c r="F26" s="219"/>
      <c r="G26" s="313"/>
      <c r="H26" s="199" t="s">
        <v>385</v>
      </c>
      <c r="I26" s="130"/>
      <c r="J26" s="126"/>
      <c r="K26" s="126"/>
      <c r="L26" s="125" t="str">
        <f>IF(I26&lt;&gt;0,((VLOOKUP(I26,'1. Standard_Cost'!$B$4:$D$11,2)+VLOOKUP(I26,'1. Standard_Cost'!$B$4:$D$11,3))*J26*K26),"0")</f>
        <v>0</v>
      </c>
      <c r="M26" s="125">
        <f>L26*'1. Standard_Cost'!$F$4</f>
        <v>0</v>
      </c>
      <c r="N26" s="126"/>
      <c r="O26" s="126"/>
      <c r="P26" s="126"/>
      <c r="Q26" s="126"/>
      <c r="R26" s="127">
        <f>'1. Standard_Cost'!$B$15*N26*P26</f>
        <v>0</v>
      </c>
      <c r="S26" s="127">
        <f>N26*O26*P26*'1. Standard_Cost'!$C$15</f>
        <v>0</v>
      </c>
      <c r="T26" s="127">
        <f>N26*P26*Q26*'1. Standard_Cost'!$D$15</f>
        <v>0</v>
      </c>
      <c r="U26" s="127">
        <f>N26*O26*'1. Standard_Cost'!$E$15</f>
        <v>0</v>
      </c>
      <c r="V26" s="126"/>
      <c r="W26" s="126"/>
      <c r="X26" s="126"/>
      <c r="Y26" s="127">
        <f>+V26*((X26*'1. Standard_Cost'!$B$19)+(W26*X26*'1. Standard_Cost'!$C$19))</f>
        <v>0</v>
      </c>
      <c r="Z26" s="126"/>
      <c r="AA26" s="126"/>
      <c r="AB26" s="127">
        <f>+Z26*'1. Standard_Cost'!$B$23+AA26*'1. Standard_Cost'!$C$23</f>
        <v>0</v>
      </c>
      <c r="AC26" s="128">
        <v>278358770</v>
      </c>
      <c r="AD26" s="129"/>
      <c r="AE26" s="127">
        <v>0</v>
      </c>
      <c r="AF26" s="127">
        <f>SUM(AE26,AD26,AC26,AB26,Y26,U26,T26,S26,R26)</f>
        <v>278358770</v>
      </c>
      <c r="AG26" s="126"/>
      <c r="AH26" s="126"/>
      <c r="AI26" s="126"/>
      <c r="AJ26" s="130"/>
      <c r="AK26" s="130"/>
      <c r="AL26" s="130"/>
      <c r="AM26" s="127">
        <f>AG26*'1. Standard_Cost'!$B$27+'Incremental_Cost Year 10'!AH26*'1. Standard_Cost'!$C$27+'Incremental_Cost Year 10'!AI26*'1. Standard_Cost'!$D$27+'Incremental_Cost Year 10'!AJ26+'Incremental_Cost Year 10'!AL26+AK26</f>
        <v>0</v>
      </c>
      <c r="AN26" s="127">
        <f>AM26*'1. Standard_Cost'!$C$31</f>
        <v>0</v>
      </c>
      <c r="AO26" s="249"/>
      <c r="AQ26" s="171">
        <f>L26+M26</f>
        <v>0</v>
      </c>
      <c r="AR26" s="171">
        <f>AF26</f>
        <v>278358770</v>
      </c>
      <c r="AS26" s="171">
        <f>AM26+AN26</f>
        <v>0</v>
      </c>
      <c r="AT26" s="171">
        <f>SUM(AQ26,AR26,AS26)</f>
        <v>278358770</v>
      </c>
      <c r="AU26" s="250">
        <f>AT26</f>
        <v>278358770</v>
      </c>
      <c r="AV26" s="250"/>
      <c r="AW26" s="250"/>
      <c r="AX26" s="250"/>
      <c r="AY26" s="250"/>
      <c r="AZ26" s="250"/>
      <c r="BA26" s="250"/>
      <c r="BB26" s="251">
        <f t="shared" ref="BB26:BB28" si="17">SUM(AU26:BA26)-AT26</f>
        <v>0</v>
      </c>
      <c r="BC26" s="169"/>
      <c r="BD26" s="169"/>
      <c r="BE26" s="169"/>
      <c r="BF26" s="169"/>
    </row>
    <row r="27" spans="1:58" ht="141.75" outlineLevel="2" x14ac:dyDescent="0.25">
      <c r="A27" s="115"/>
      <c r="B27" s="200"/>
      <c r="C27" s="201"/>
      <c r="D27" s="135"/>
      <c r="E27" s="219"/>
      <c r="F27" s="219"/>
      <c r="G27" s="313"/>
      <c r="H27" s="199" t="s">
        <v>386</v>
      </c>
      <c r="I27" s="130"/>
      <c r="J27" s="126"/>
      <c r="K27" s="126"/>
      <c r="L27" s="125" t="str">
        <f>IF(I27&lt;&gt;0,((VLOOKUP(I27,'1. Standard_Cost'!$B$4:$D$11,2)+VLOOKUP(I27,'1. Standard_Cost'!$B$4:$D$11,3))*J27*K27),"0")</f>
        <v>0</v>
      </c>
      <c r="M27" s="125">
        <f>L27*'1. Standard_Cost'!$F$4</f>
        <v>0</v>
      </c>
      <c r="N27" s="126"/>
      <c r="O27" s="126"/>
      <c r="P27" s="126"/>
      <c r="Q27" s="126"/>
      <c r="R27" s="127">
        <f>'1. Standard_Cost'!$B$15*N27*P27</f>
        <v>0</v>
      </c>
      <c r="S27" s="127">
        <f>N27*O27*P27*'1. Standard_Cost'!$C$15</f>
        <v>0</v>
      </c>
      <c r="T27" s="127">
        <f>N27*P27*Q27*'1. Standard_Cost'!$D$15</f>
        <v>0</v>
      </c>
      <c r="U27" s="127">
        <f>N27*O27*'1. Standard_Cost'!$E$15</f>
        <v>0</v>
      </c>
      <c r="V27" s="126"/>
      <c r="W27" s="126"/>
      <c r="X27" s="126"/>
      <c r="Y27" s="127">
        <f>+V27*((X27*'1. Standard_Cost'!$B$19)+(W27*X27*'1. Standard_Cost'!$C$19))</f>
        <v>0</v>
      </c>
      <c r="Z27" s="126"/>
      <c r="AA27" s="126"/>
      <c r="AB27" s="127">
        <f>+Z27*'1. Standard_Cost'!$B$23+AA27*'1. Standard_Cost'!$C$23</f>
        <v>0</v>
      </c>
      <c r="AC27" s="128">
        <v>184665179</v>
      </c>
      <c r="AD27" s="129"/>
      <c r="AE27" s="127">
        <v>0</v>
      </c>
      <c r="AF27" s="127">
        <f>SUM(AE27,AD27,AC27,AB27,Y27,U27,T27,S27,R27)</f>
        <v>184665179</v>
      </c>
      <c r="AG27" s="126"/>
      <c r="AH27" s="126"/>
      <c r="AI27" s="126"/>
      <c r="AJ27" s="130"/>
      <c r="AK27" s="130"/>
      <c r="AL27" s="130"/>
      <c r="AM27" s="127">
        <f>AG27*'1. Standard_Cost'!$B$27+'Incremental_Cost Year 10'!AH27*'1. Standard_Cost'!$C$27+'Incremental_Cost Year 10'!AI27*'1. Standard_Cost'!$D$27+'Incremental_Cost Year 10'!AJ27+'Incremental_Cost Year 10'!AL27+AK27</f>
        <v>0</v>
      </c>
      <c r="AN27" s="127">
        <f>AM27*'1. Standard_Cost'!$C$31</f>
        <v>0</v>
      </c>
      <c r="AO27" s="130"/>
      <c r="AQ27" s="171">
        <f>L27+M27</f>
        <v>0</v>
      </c>
      <c r="AR27" s="171">
        <f>AF27</f>
        <v>184665179</v>
      </c>
      <c r="AS27" s="171">
        <f>AM27+AN27</f>
        <v>0</v>
      </c>
      <c r="AT27" s="171">
        <f>SUM(AQ27,AR27,AS27)</f>
        <v>184665179</v>
      </c>
      <c r="AU27" s="250">
        <f>AT27</f>
        <v>184665179</v>
      </c>
      <c r="AV27" s="250"/>
      <c r="AW27" s="250"/>
      <c r="AX27" s="250"/>
      <c r="AY27" s="250"/>
      <c r="AZ27" s="250"/>
      <c r="BA27" s="250"/>
      <c r="BB27" s="251">
        <f t="shared" si="17"/>
        <v>0</v>
      </c>
      <c r="BC27" s="169"/>
      <c r="BD27" s="169"/>
      <c r="BE27" s="169"/>
      <c r="BF27" s="169"/>
    </row>
    <row r="28" spans="1:58" ht="189" outlineLevel="2" x14ac:dyDescent="0.25">
      <c r="A28" s="115"/>
      <c r="B28" s="200"/>
      <c r="C28" s="201"/>
      <c r="D28" s="223"/>
      <c r="E28" s="219"/>
      <c r="F28" s="219"/>
      <c r="G28" s="313"/>
      <c r="H28" s="199" t="s">
        <v>387</v>
      </c>
      <c r="I28" s="130"/>
      <c r="J28" s="126"/>
      <c r="K28" s="126"/>
      <c r="L28" s="125" t="str">
        <f>IF(I28&lt;&gt;0,((VLOOKUP(I28,'1. Standard_Cost'!$B$4:$D$11,2)+VLOOKUP(I28,'1. Standard_Cost'!$B$4:$D$11,3))*J28*K28),"0")</f>
        <v>0</v>
      </c>
      <c r="M28" s="125">
        <f>L28*'1. Standard_Cost'!$F$4</f>
        <v>0</v>
      </c>
      <c r="N28" s="126"/>
      <c r="O28" s="126"/>
      <c r="P28" s="126"/>
      <c r="Q28" s="126"/>
      <c r="R28" s="127">
        <f>'1. Standard_Cost'!$B$15*N28*P28</f>
        <v>0</v>
      </c>
      <c r="S28" s="127">
        <f>N28*O28*P28*'1. Standard_Cost'!$C$15</f>
        <v>0</v>
      </c>
      <c r="T28" s="127">
        <f>N28*P28*Q28*'1. Standard_Cost'!$D$15</f>
        <v>0</v>
      </c>
      <c r="U28" s="127">
        <f>N28*O28*'1. Standard_Cost'!$E$15</f>
        <v>0</v>
      </c>
      <c r="V28" s="126"/>
      <c r="W28" s="126"/>
      <c r="X28" s="126"/>
      <c r="Y28" s="127">
        <f>+V28*((X28*'1. Standard_Cost'!$B$19)+(W28*X28*'1. Standard_Cost'!$C$19))</f>
        <v>0</v>
      </c>
      <c r="Z28" s="126"/>
      <c r="AA28" s="126"/>
      <c r="AB28" s="127">
        <f>+Z28*'1. Standard_Cost'!$B$23+AA28*'1. Standard_Cost'!$C$23</f>
        <v>0</v>
      </c>
      <c r="AC28" s="128">
        <v>368526301</v>
      </c>
      <c r="AD28" s="129"/>
      <c r="AE28" s="127">
        <v>0</v>
      </c>
      <c r="AF28" s="127">
        <f>SUM(AE28,AD28,AC28,AB28,Y28,U28,T28,S28,R28)</f>
        <v>368526301</v>
      </c>
      <c r="AG28" s="126"/>
      <c r="AH28" s="126"/>
      <c r="AI28" s="126"/>
      <c r="AJ28" s="130"/>
      <c r="AK28" s="130"/>
      <c r="AL28" s="130"/>
      <c r="AM28" s="127">
        <f>AG28*'1. Standard_Cost'!$B$27+'Incremental_Cost Year 10'!AH28*'1. Standard_Cost'!$C$27+'Incremental_Cost Year 10'!AI28*'1. Standard_Cost'!$D$27+'Incremental_Cost Year 10'!AJ28+'Incremental_Cost Year 10'!AL28+AK28</f>
        <v>0</v>
      </c>
      <c r="AN28" s="127">
        <f>AM28*'1. Standard_Cost'!$C$31</f>
        <v>0</v>
      </c>
      <c r="AO28" s="130"/>
      <c r="AQ28" s="171">
        <f>L28+M28</f>
        <v>0</v>
      </c>
      <c r="AR28" s="171">
        <f>AF28</f>
        <v>368526301</v>
      </c>
      <c r="AS28" s="171">
        <f>AM28+AN28</f>
        <v>0</v>
      </c>
      <c r="AT28" s="171">
        <f>SUM(AQ28,AR28,AS28)</f>
        <v>368526301</v>
      </c>
      <c r="AU28" s="250">
        <f>AT28</f>
        <v>368526301</v>
      </c>
      <c r="AV28" s="250"/>
      <c r="AW28" s="250"/>
      <c r="AX28" s="250"/>
      <c r="AY28" s="250"/>
      <c r="AZ28" s="250"/>
      <c r="BA28" s="250"/>
      <c r="BB28" s="251">
        <f t="shared" si="17"/>
        <v>0</v>
      </c>
      <c r="BC28" s="169"/>
      <c r="BD28" s="169"/>
      <c r="BE28" s="169"/>
      <c r="BF28" s="169"/>
    </row>
    <row r="29" spans="1:58" ht="63" outlineLevel="1" x14ac:dyDescent="0.25">
      <c r="A29" s="115"/>
      <c r="B29" s="165"/>
      <c r="C29" s="301"/>
      <c r="D29" s="150" t="s">
        <v>388</v>
      </c>
      <c r="E29" s="139" t="s">
        <v>198</v>
      </c>
      <c r="F29" s="300">
        <v>2021</v>
      </c>
      <c r="G29" s="209">
        <v>2030</v>
      </c>
      <c r="H29" s="134" t="s">
        <v>199</v>
      </c>
      <c r="I29" s="252"/>
      <c r="J29" s="252"/>
      <c r="K29" s="252"/>
      <c r="L29" s="127">
        <f>SUM(L26:L28)</f>
        <v>0</v>
      </c>
      <c r="M29" s="127">
        <f>SUM(M26:M28)</f>
        <v>0</v>
      </c>
      <c r="N29" s="127"/>
      <c r="O29" s="252"/>
      <c r="P29" s="252"/>
      <c r="Q29" s="252"/>
      <c r="R29" s="127">
        <f>SUM(R26:R28)</f>
        <v>0</v>
      </c>
      <c r="S29" s="127">
        <f>SUM(S26:S28)</f>
        <v>0</v>
      </c>
      <c r="T29" s="127">
        <f>SUM(T26:T28)</f>
        <v>0</v>
      </c>
      <c r="U29" s="127">
        <f>SUM(U26:U28)</f>
        <v>0</v>
      </c>
      <c r="V29" s="252"/>
      <c r="W29" s="252"/>
      <c r="X29" s="252"/>
      <c r="Y29" s="127">
        <f>SUM(Y26:Y28)</f>
        <v>0</v>
      </c>
      <c r="Z29" s="252"/>
      <c r="AA29" s="252"/>
      <c r="AB29" s="127">
        <f>SUM(AB26:AB28)</f>
        <v>0</v>
      </c>
      <c r="AC29" s="127">
        <f>SUM(AC26:AC28)</f>
        <v>831550250</v>
      </c>
      <c r="AD29" s="127">
        <f>SUM(AD26:AD28)</f>
        <v>0</v>
      </c>
      <c r="AE29" s="127">
        <f>SUM(AE26:AE28)</f>
        <v>0</v>
      </c>
      <c r="AF29" s="127">
        <f>SUM(AF26:AF28)</f>
        <v>831550250</v>
      </c>
      <c r="AG29" s="252"/>
      <c r="AH29" s="252"/>
      <c r="AI29" s="252"/>
      <c r="AJ29" s="127">
        <f>SUM(AJ26:AJ28)</f>
        <v>0</v>
      </c>
      <c r="AK29" s="127">
        <f>SUM(AK26:AK28)</f>
        <v>0</v>
      </c>
      <c r="AL29" s="127">
        <f>SUM(AL26:AL28)</f>
        <v>0</v>
      </c>
      <c r="AM29" s="127">
        <f>SUM(AM26:AM28)</f>
        <v>0</v>
      </c>
      <c r="AN29" s="127">
        <f>SUM(AN26:AN28)</f>
        <v>0</v>
      </c>
      <c r="AO29" s="253"/>
      <c r="AP29" s="254"/>
      <c r="AQ29" s="175">
        <f>SUM(AQ26:AQ28)</f>
        <v>0</v>
      </c>
      <c r="AR29" s="175">
        <f>SUM(AR26:AR28)</f>
        <v>831550250</v>
      </c>
      <c r="AS29" s="175">
        <f>SUM(AS26:AS28)</f>
        <v>0</v>
      </c>
      <c r="AT29" s="175">
        <f>SUM(AT26:AT28)</f>
        <v>831550250</v>
      </c>
      <c r="AU29" s="175">
        <f t="shared" ref="AU29:BB29" si="18">SUM(AU26:AU28)</f>
        <v>831550250</v>
      </c>
      <c r="AV29" s="175">
        <f t="shared" si="18"/>
        <v>0</v>
      </c>
      <c r="AW29" s="175">
        <f t="shared" si="18"/>
        <v>0</v>
      </c>
      <c r="AX29" s="175">
        <f t="shared" si="18"/>
        <v>0</v>
      </c>
      <c r="AY29" s="175">
        <f t="shared" si="18"/>
        <v>0</v>
      </c>
      <c r="AZ29" s="175">
        <f t="shared" si="18"/>
        <v>0</v>
      </c>
      <c r="BA29" s="175">
        <f t="shared" si="18"/>
        <v>0</v>
      </c>
      <c r="BB29" s="175">
        <f t="shared" si="18"/>
        <v>0</v>
      </c>
      <c r="BC29" s="169"/>
      <c r="BD29" s="169"/>
      <c r="BE29" s="169"/>
      <c r="BF29" s="169"/>
    </row>
    <row r="30" spans="1:58" ht="78.75" outlineLevel="2" x14ac:dyDescent="0.25">
      <c r="A30" s="115"/>
      <c r="B30" s="200"/>
      <c r="C30" s="201"/>
      <c r="D30" s="138"/>
      <c r="E30" s="295"/>
      <c r="F30" s="295"/>
      <c r="G30" s="296"/>
      <c r="H30" s="213" t="s">
        <v>305</v>
      </c>
      <c r="I30" s="130" t="s">
        <v>3</v>
      </c>
      <c r="J30" s="126">
        <v>12</v>
      </c>
      <c r="K30" s="126">
        <v>4</v>
      </c>
      <c r="L30" s="125">
        <f>IF(I30&lt;&gt;0,((VLOOKUP(I30,'1. Standard_Cost'!$B$4:$D$11,2)+VLOOKUP(I30,'1. Standard_Cost'!$B$4:$D$11,3))*J30*K30),"0")</f>
        <v>4838400</v>
      </c>
      <c r="M30" s="125">
        <f>L30*'1. Standard_Cost'!$F$4</f>
        <v>808012.80000000005</v>
      </c>
      <c r="N30" s="126"/>
      <c r="O30" s="126"/>
      <c r="P30" s="126"/>
      <c r="Q30" s="126"/>
      <c r="R30" s="127">
        <f>'1. Standard_Cost'!$B$15*N30*P30</f>
        <v>0</v>
      </c>
      <c r="S30" s="127">
        <f>N30*O30*P30*'1. Standard_Cost'!$C$15</f>
        <v>0</v>
      </c>
      <c r="T30" s="127">
        <f>N30*P30*Q30*'1. Standard_Cost'!$D$15</f>
        <v>0</v>
      </c>
      <c r="U30" s="127">
        <f>N30*O30*'1. Standard_Cost'!$E$15</f>
        <v>0</v>
      </c>
      <c r="V30" s="126"/>
      <c r="W30" s="126"/>
      <c r="X30" s="126"/>
      <c r="Y30" s="127">
        <f>+V30*((X30*'1. Standard_Cost'!$B$19)+(W30*X30*'1. Standard_Cost'!$C$19))</f>
        <v>0</v>
      </c>
      <c r="Z30" s="126"/>
      <c r="AA30" s="126"/>
      <c r="AB30" s="127">
        <f>+Z30*'1. Standard_Cost'!$B$23+AA30*'1. Standard_Cost'!$C$23</f>
        <v>0</v>
      </c>
      <c r="AC30" s="128"/>
      <c r="AD30" s="129"/>
      <c r="AE30" s="127">
        <f>SUM(AD30,AC30,AB30,Y30,U30,T30,S30,R30)*'1. Standard_Cost'!$B$31</f>
        <v>0</v>
      </c>
      <c r="AF30" s="127">
        <f t="shared" ref="AF30:AF36" si="19">SUM(AE30,AD30,AC30,AB30,Y30,U30,T30,S30,R30)</f>
        <v>0</v>
      </c>
      <c r="AG30" s="126"/>
      <c r="AH30" s="126"/>
      <c r="AI30" s="126"/>
      <c r="AJ30" s="130"/>
      <c r="AK30" s="130"/>
      <c r="AL30" s="130"/>
      <c r="AM30" s="127">
        <f>AG30*'1. Standard_Cost'!$B$27+'Incremental_Cost Year 10'!AH30*'1. Standard_Cost'!$C$27+'Incremental_Cost Year 10'!AI30*'1. Standard_Cost'!$D$27+'Incremental_Cost Year 10'!AJ30+'Incremental_Cost Year 10'!AL30+AK30</f>
        <v>0</v>
      </c>
      <c r="AN30" s="127">
        <f>AM30*'1. Standard_Cost'!$C$31</f>
        <v>0</v>
      </c>
      <c r="AO30" s="249"/>
      <c r="AQ30" s="171">
        <f t="shared" ref="AQ30:AQ36" si="20">L30+M30</f>
        <v>5646412.7999999998</v>
      </c>
      <c r="AR30" s="171">
        <f t="shared" ref="AR30:AR36" si="21">AF30</f>
        <v>0</v>
      </c>
      <c r="AS30" s="171">
        <f t="shared" ref="AS30:AS36" si="22">AM30+AN30</f>
        <v>0</v>
      </c>
      <c r="AT30" s="171">
        <f t="shared" ref="AT30:AT36" si="23">SUM(AQ30,AR30,AS30)</f>
        <v>5646412.7999999998</v>
      </c>
      <c r="AU30" s="250">
        <f>AT30</f>
        <v>5646412.7999999998</v>
      </c>
      <c r="AV30" s="250"/>
      <c r="AW30" s="250"/>
      <c r="AX30" s="250"/>
      <c r="AY30" s="250"/>
      <c r="AZ30" s="250"/>
      <c r="BA30" s="250"/>
      <c r="BB30" s="251">
        <f t="shared" ref="BB30" si="24">SUM(AU30:BA30)-AT30</f>
        <v>0</v>
      </c>
      <c r="BC30" s="169"/>
      <c r="BD30" s="169"/>
      <c r="BE30" s="169"/>
      <c r="BF30" s="169"/>
    </row>
    <row r="31" spans="1:58" ht="78.75" outlineLevel="2" x14ac:dyDescent="0.25">
      <c r="A31" s="115"/>
      <c r="B31" s="200"/>
      <c r="C31" s="201"/>
      <c r="D31" s="135"/>
      <c r="E31" s="219"/>
      <c r="F31" s="219"/>
      <c r="G31" s="313"/>
      <c r="H31" s="213" t="s">
        <v>226</v>
      </c>
      <c r="I31" s="130" t="s">
        <v>5</v>
      </c>
      <c r="J31" s="126">
        <v>6</v>
      </c>
      <c r="K31" s="126">
        <v>420</v>
      </c>
      <c r="L31" s="125">
        <f>IF(I31&lt;&gt;0,((VLOOKUP(I31,'1. Standard_Cost'!$B$4:$D$11,2)+VLOOKUP(I31,'1. Standard_Cost'!$B$4:$D$11,3))*J31*K31),"0")</f>
        <v>178164000</v>
      </c>
      <c r="M31" s="125">
        <f>L31*'1. Standard_Cost'!$F$4</f>
        <v>29753388</v>
      </c>
      <c r="N31" s="126"/>
      <c r="O31" s="126"/>
      <c r="P31" s="126"/>
      <c r="Q31" s="126"/>
      <c r="R31" s="127">
        <f>'1. Standard_Cost'!$B$15*N31*P31</f>
        <v>0</v>
      </c>
      <c r="S31" s="127">
        <f>N31*O31*P31*'1. Standard_Cost'!$C$15</f>
        <v>0</v>
      </c>
      <c r="T31" s="127">
        <f>N31*P31*Q31*'1. Standard_Cost'!$D$15</f>
        <v>0</v>
      </c>
      <c r="U31" s="127">
        <f>N31*O31*'1. Standard_Cost'!$E$15</f>
        <v>0</v>
      </c>
      <c r="V31" s="126"/>
      <c r="W31" s="126"/>
      <c r="X31" s="126"/>
      <c r="Y31" s="127">
        <f>+V31*((X31*'1. Standard_Cost'!$B$19)+(W31*X31*'1. Standard_Cost'!$C$19))</f>
        <v>0</v>
      </c>
      <c r="Z31" s="126"/>
      <c r="AA31" s="126"/>
      <c r="AB31" s="127">
        <f>+Z31*'1. Standard_Cost'!$B$23+AA31*'1. Standard_Cost'!$C$23</f>
        <v>0</v>
      </c>
      <c r="AC31" s="128"/>
      <c r="AD31" s="129"/>
      <c r="AE31" s="127">
        <f>SUM(AD31,AC31,AB31,Y31,U31,T31,S31,R31)*'1. Standard_Cost'!$B$31</f>
        <v>0</v>
      </c>
      <c r="AF31" s="127">
        <f t="shared" si="19"/>
        <v>0</v>
      </c>
      <c r="AG31" s="126"/>
      <c r="AH31" s="126"/>
      <c r="AI31" s="126"/>
      <c r="AJ31" s="130"/>
      <c r="AK31" s="130"/>
      <c r="AL31" s="130"/>
      <c r="AM31" s="127">
        <f>AG31*'1. Standard_Cost'!$B$27+'Incremental_Cost Year 10'!AH31*'1. Standard_Cost'!$C$27+'Incremental_Cost Year 10'!AI31*'1. Standard_Cost'!$D$27+'Incremental_Cost Year 10'!AJ31+'Incremental_Cost Year 10'!AL31+AK31</f>
        <v>0</v>
      </c>
      <c r="AN31" s="127">
        <f>AM31*'1. Standard_Cost'!$C$31</f>
        <v>0</v>
      </c>
      <c r="AO31" s="249"/>
      <c r="AQ31" s="171">
        <f t="shared" si="20"/>
        <v>207917388</v>
      </c>
      <c r="AR31" s="171">
        <f t="shared" si="21"/>
        <v>0</v>
      </c>
      <c r="AS31" s="171">
        <f t="shared" si="22"/>
        <v>0</v>
      </c>
      <c r="AT31" s="171">
        <f t="shared" si="23"/>
        <v>207917388</v>
      </c>
      <c r="AU31" s="250">
        <f>AT31</f>
        <v>207917388</v>
      </c>
      <c r="AV31" s="250"/>
      <c r="AW31" s="250"/>
      <c r="AX31" s="250"/>
      <c r="AY31" s="250"/>
      <c r="AZ31" s="250"/>
      <c r="BA31" s="250"/>
      <c r="BB31" s="251">
        <f t="shared" ref="BB31:BB36" si="25">SUM(AU31:BA31)-AT31</f>
        <v>0</v>
      </c>
      <c r="BC31" s="169"/>
      <c r="BD31" s="169"/>
      <c r="BE31" s="169"/>
      <c r="BF31" s="169"/>
    </row>
    <row r="32" spans="1:58" ht="78.75" outlineLevel="2" x14ac:dyDescent="0.25">
      <c r="A32" s="115"/>
      <c r="B32" s="200"/>
      <c r="C32" s="201"/>
      <c r="D32" s="135"/>
      <c r="E32" s="219"/>
      <c r="F32" s="219"/>
      <c r="G32" s="313"/>
      <c r="H32" s="213" t="s">
        <v>306</v>
      </c>
      <c r="I32" s="130" t="s">
        <v>4</v>
      </c>
      <c r="J32" s="126">
        <v>6</v>
      </c>
      <c r="K32" s="126">
        <v>36</v>
      </c>
      <c r="L32" s="125">
        <f>IF(I32&lt;&gt;0,((VLOOKUP(I32,'1. Standard_Cost'!$B$4:$D$11,2)+VLOOKUP(I32,'1. Standard_Cost'!$B$4:$D$11,3))*J32*K32),"0")</f>
        <v>17442000</v>
      </c>
      <c r="M32" s="125">
        <f>L32*'1. Standard_Cost'!$F$4</f>
        <v>2912814</v>
      </c>
      <c r="N32" s="126"/>
      <c r="O32" s="126"/>
      <c r="P32" s="126"/>
      <c r="Q32" s="126"/>
      <c r="R32" s="127">
        <f>'1. Standard_Cost'!$B$15*N32*P32</f>
        <v>0</v>
      </c>
      <c r="S32" s="127">
        <f>N32*O32*P32*'1. Standard_Cost'!$C$15</f>
        <v>0</v>
      </c>
      <c r="T32" s="127">
        <f>N32*P32*Q32*'1. Standard_Cost'!$D$15</f>
        <v>0</v>
      </c>
      <c r="U32" s="127">
        <f>N32*O32*'1. Standard_Cost'!$E$15</f>
        <v>0</v>
      </c>
      <c r="V32" s="126"/>
      <c r="W32" s="126"/>
      <c r="X32" s="126"/>
      <c r="Y32" s="127">
        <f>+V32*((X32*'1. Standard_Cost'!$B$19)+(W32*X32*'1. Standard_Cost'!$C$19))</f>
        <v>0</v>
      </c>
      <c r="Z32" s="126"/>
      <c r="AA32" s="126"/>
      <c r="AB32" s="127">
        <f>+Z32*'1. Standard_Cost'!$B$23+AA32*'1. Standard_Cost'!$C$23</f>
        <v>0</v>
      </c>
      <c r="AC32" s="128"/>
      <c r="AD32" s="129"/>
      <c r="AE32" s="127">
        <f>SUM(AD32,AC32,AB32,Y32,U32,T32,S32,R32)*'1. Standard_Cost'!$B$31</f>
        <v>0</v>
      </c>
      <c r="AF32" s="127">
        <f t="shared" si="19"/>
        <v>0</v>
      </c>
      <c r="AG32" s="126"/>
      <c r="AH32" s="126"/>
      <c r="AI32" s="126"/>
      <c r="AJ32" s="130"/>
      <c r="AK32" s="130"/>
      <c r="AL32" s="130"/>
      <c r="AM32" s="127">
        <f>AG32*'1. Standard_Cost'!$B$27+'Incremental_Cost Year 10'!AH32*'1. Standard_Cost'!$C$27+'Incremental_Cost Year 10'!AI32*'1. Standard_Cost'!$D$27+'Incremental_Cost Year 10'!AJ32+'Incremental_Cost Year 10'!AL32+AK32</f>
        <v>0</v>
      </c>
      <c r="AN32" s="127">
        <f>AM32*'1. Standard_Cost'!$C$31</f>
        <v>0</v>
      </c>
      <c r="AO32" s="249"/>
      <c r="AQ32" s="171">
        <f t="shared" si="20"/>
        <v>20354814</v>
      </c>
      <c r="AR32" s="171">
        <f t="shared" si="21"/>
        <v>0</v>
      </c>
      <c r="AS32" s="171">
        <f t="shared" si="22"/>
        <v>0</v>
      </c>
      <c r="AT32" s="171">
        <f t="shared" si="23"/>
        <v>20354814</v>
      </c>
      <c r="AU32" s="250">
        <f>AT32</f>
        <v>20354814</v>
      </c>
      <c r="AV32" s="250"/>
      <c r="AW32" s="250"/>
      <c r="AX32" s="250"/>
      <c r="AY32" s="250"/>
      <c r="AZ32" s="250"/>
      <c r="BA32" s="250"/>
      <c r="BB32" s="251">
        <f t="shared" si="25"/>
        <v>0</v>
      </c>
      <c r="BC32" s="169"/>
      <c r="BD32" s="169"/>
      <c r="BE32" s="169"/>
      <c r="BF32" s="169"/>
    </row>
    <row r="33" spans="1:58" ht="63" outlineLevel="2" x14ac:dyDescent="0.25">
      <c r="A33" s="115"/>
      <c r="B33" s="200"/>
      <c r="C33" s="201"/>
      <c r="D33" s="135"/>
      <c r="E33" s="219"/>
      <c r="F33" s="219"/>
      <c r="G33" s="313"/>
      <c r="H33" s="213" t="s">
        <v>389</v>
      </c>
      <c r="I33" s="130"/>
      <c r="J33" s="126"/>
      <c r="K33" s="126"/>
      <c r="L33" s="125" t="str">
        <f>IF(I33&lt;&gt;0,((VLOOKUP(I33,'1. Standard_Cost'!$B$4:$D$11,2)+VLOOKUP(I33,'1. Standard_Cost'!$B$4:$D$11,3))*J33*K33),"0")</f>
        <v>0</v>
      </c>
      <c r="M33" s="125">
        <f>L33*'1. Standard_Cost'!$F$4</f>
        <v>0</v>
      </c>
      <c r="N33" s="126"/>
      <c r="O33" s="126"/>
      <c r="P33" s="126"/>
      <c r="Q33" s="126"/>
      <c r="R33" s="127">
        <f>'1. Standard_Cost'!$B$15*N33*P33</f>
        <v>0</v>
      </c>
      <c r="S33" s="127">
        <f>N33*O33*P33*'1. Standard_Cost'!$C$15</f>
        <v>0</v>
      </c>
      <c r="T33" s="127">
        <f>N33*P33*Q33*'1. Standard_Cost'!$D$15</f>
        <v>0</v>
      </c>
      <c r="U33" s="127">
        <f>N33*O33*'1. Standard_Cost'!$E$15</f>
        <v>0</v>
      </c>
      <c r="V33" s="126"/>
      <c r="W33" s="126"/>
      <c r="X33" s="126"/>
      <c r="Y33" s="127">
        <f>+V33*((X33*'1. Standard_Cost'!$B$19)+(W33*X33*'1. Standard_Cost'!$C$19))</f>
        <v>0</v>
      </c>
      <c r="Z33" s="126"/>
      <c r="AA33" s="126"/>
      <c r="AB33" s="127">
        <f>+Z33*'1. Standard_Cost'!$B$23+AA33*'1. Standard_Cost'!$C$23</f>
        <v>0</v>
      </c>
      <c r="AC33" s="128"/>
      <c r="AD33" s="129"/>
      <c r="AE33" s="127">
        <f>SUM(AD33,AC33,AB33,Y33,U33,T33,S33,R33)*'1. Standard_Cost'!$B$31</f>
        <v>0</v>
      </c>
      <c r="AF33" s="127">
        <f t="shared" si="19"/>
        <v>0</v>
      </c>
      <c r="AG33" s="126"/>
      <c r="AH33" s="126"/>
      <c r="AI33" s="126"/>
      <c r="AJ33" s="130"/>
      <c r="AK33" s="130"/>
      <c r="AL33" s="130"/>
      <c r="AM33" s="127">
        <f>AG33*'1. Standard_Cost'!$B$27+'Incremental_Cost Year 10'!AH33*'1. Standard_Cost'!$C$27+'Incremental_Cost Year 10'!AI33*'1. Standard_Cost'!$D$27+'Incremental_Cost Year 10'!AJ33+'Incremental_Cost Year 10'!AL33+AK33</f>
        <v>0</v>
      </c>
      <c r="AN33" s="127">
        <f>AM33*'1. Standard_Cost'!$C$31</f>
        <v>0</v>
      </c>
      <c r="AO33" s="130"/>
      <c r="AQ33" s="171">
        <f t="shared" si="20"/>
        <v>0</v>
      </c>
      <c r="AR33" s="171">
        <f t="shared" si="21"/>
        <v>0</v>
      </c>
      <c r="AS33" s="171">
        <f t="shared" si="22"/>
        <v>0</v>
      </c>
      <c r="AT33" s="171">
        <f t="shared" si="23"/>
        <v>0</v>
      </c>
      <c r="AU33" s="250"/>
      <c r="AV33" s="250"/>
      <c r="AW33" s="250"/>
      <c r="AX33" s="250"/>
      <c r="AY33" s="250"/>
      <c r="AZ33" s="250"/>
      <c r="BA33" s="250"/>
      <c r="BB33" s="251">
        <f t="shared" si="25"/>
        <v>0</v>
      </c>
      <c r="BC33" s="169"/>
      <c r="BD33" s="169"/>
      <c r="BE33" s="169"/>
      <c r="BF33" s="169"/>
    </row>
    <row r="34" spans="1:58" ht="110.25" outlineLevel="2" x14ac:dyDescent="0.25">
      <c r="A34" s="115"/>
      <c r="B34" s="200"/>
      <c r="C34" s="201"/>
      <c r="D34" s="135"/>
      <c r="E34" s="219"/>
      <c r="F34" s="219"/>
      <c r="G34" s="313"/>
      <c r="H34" s="213" t="s">
        <v>390</v>
      </c>
      <c r="I34" s="130" t="s">
        <v>3</v>
      </c>
      <c r="J34" s="126">
        <v>12</v>
      </c>
      <c r="K34" s="126">
        <v>3</v>
      </c>
      <c r="L34" s="125">
        <f>IF(I34&lt;&gt;0,((VLOOKUP(I34,'1. Standard_Cost'!$B$4:$D$11,2)+VLOOKUP(I34,'1. Standard_Cost'!$B$4:$D$11,3))*J34*K34),"0")</f>
        <v>3628800</v>
      </c>
      <c r="M34" s="125">
        <f>L34*'1. Standard_Cost'!$F$4</f>
        <v>606009.59999999998</v>
      </c>
      <c r="N34" s="126"/>
      <c r="O34" s="126"/>
      <c r="P34" s="126"/>
      <c r="Q34" s="126"/>
      <c r="R34" s="127">
        <f>'1. Standard_Cost'!$B$15*N34*P34</f>
        <v>0</v>
      </c>
      <c r="S34" s="127">
        <f>N34*O34*P34*'1. Standard_Cost'!$C$15</f>
        <v>0</v>
      </c>
      <c r="T34" s="127">
        <f>N34*P34*Q34*'1. Standard_Cost'!$D$15</f>
        <v>0</v>
      </c>
      <c r="U34" s="127">
        <f>N34*O34*'1. Standard_Cost'!$E$15</f>
        <v>0</v>
      </c>
      <c r="V34" s="126"/>
      <c r="W34" s="126"/>
      <c r="X34" s="126"/>
      <c r="Y34" s="127">
        <f>+V34*((X34*'1. Standard_Cost'!$B$19)+(W34*X34*'1. Standard_Cost'!$C$19))</f>
        <v>0</v>
      </c>
      <c r="Z34" s="126"/>
      <c r="AA34" s="126"/>
      <c r="AB34" s="127">
        <f>+Z34*'1. Standard_Cost'!$B$23+AA34*'1. Standard_Cost'!$C$23</f>
        <v>0</v>
      </c>
      <c r="AC34" s="128">
        <v>1000000</v>
      </c>
      <c r="AD34" s="129"/>
      <c r="AE34" s="127">
        <f>SUM(AD34,AC34,AB34,Y34,U34,T34,S34,R34)*'1. Standard_Cost'!$B$31</f>
        <v>200000</v>
      </c>
      <c r="AF34" s="127">
        <f t="shared" si="19"/>
        <v>1200000</v>
      </c>
      <c r="AG34" s="126"/>
      <c r="AH34" s="126"/>
      <c r="AI34" s="126"/>
      <c r="AJ34" s="130"/>
      <c r="AK34" s="130"/>
      <c r="AL34" s="130"/>
      <c r="AM34" s="127">
        <f>AG34*'1. Standard_Cost'!$B$27+'Incremental_Cost Year 10'!AH34*'1. Standard_Cost'!$C$27+'Incremental_Cost Year 10'!AI34*'1. Standard_Cost'!$D$27+'Incremental_Cost Year 10'!AJ34+'Incremental_Cost Year 10'!AL34+AK34</f>
        <v>0</v>
      </c>
      <c r="AN34" s="127">
        <f>AM34*'1. Standard_Cost'!$C$31</f>
        <v>0</v>
      </c>
      <c r="AO34" s="130"/>
      <c r="AQ34" s="171">
        <f t="shared" si="20"/>
        <v>4234809.5999999996</v>
      </c>
      <c r="AR34" s="171">
        <f t="shared" si="21"/>
        <v>1200000</v>
      </c>
      <c r="AS34" s="171">
        <f t="shared" si="22"/>
        <v>0</v>
      </c>
      <c r="AT34" s="171">
        <f t="shared" si="23"/>
        <v>5434809.5999999996</v>
      </c>
      <c r="AU34" s="250">
        <f>AT34</f>
        <v>5434809.5999999996</v>
      </c>
      <c r="AV34" s="250"/>
      <c r="AW34" s="250"/>
      <c r="AX34" s="250"/>
      <c r="AY34" s="250"/>
      <c r="AZ34" s="250"/>
      <c r="BA34" s="250"/>
      <c r="BB34" s="251">
        <f t="shared" si="25"/>
        <v>0</v>
      </c>
      <c r="BC34" s="169"/>
      <c r="BD34" s="169"/>
      <c r="BE34" s="169"/>
      <c r="BF34" s="169"/>
    </row>
    <row r="35" spans="1:58" ht="78.75" outlineLevel="2" x14ac:dyDescent="0.25">
      <c r="A35" s="115"/>
      <c r="B35" s="200"/>
      <c r="C35" s="201"/>
      <c r="D35" s="135"/>
      <c r="E35" s="219"/>
      <c r="F35" s="219"/>
      <c r="G35" s="313"/>
      <c r="H35" s="213" t="s">
        <v>391</v>
      </c>
      <c r="I35" s="130" t="s">
        <v>5</v>
      </c>
      <c r="J35" s="126">
        <v>1</v>
      </c>
      <c r="K35" s="126">
        <v>420</v>
      </c>
      <c r="L35" s="125">
        <f>IF(I35&lt;&gt;0,((VLOOKUP(I35,'1. Standard_Cost'!$B$4:$D$11,2)+VLOOKUP(I35,'1. Standard_Cost'!$B$4:$D$11,3))*J35*K35),"0")</f>
        <v>29694000</v>
      </c>
      <c r="M35" s="125">
        <f>L35*'1. Standard_Cost'!$F$4</f>
        <v>4958898</v>
      </c>
      <c r="N35" s="126"/>
      <c r="O35" s="126"/>
      <c r="P35" s="126"/>
      <c r="Q35" s="126"/>
      <c r="R35" s="127">
        <f>'1. Standard_Cost'!$B$15*N35*P35</f>
        <v>0</v>
      </c>
      <c r="S35" s="127">
        <f>N35*O35*P35*'1. Standard_Cost'!$C$15</f>
        <v>0</v>
      </c>
      <c r="T35" s="127">
        <f>N35*P35*Q35*'1. Standard_Cost'!$D$15</f>
        <v>0</v>
      </c>
      <c r="U35" s="127">
        <f>N35*O35*'1. Standard_Cost'!$E$15</f>
        <v>0</v>
      </c>
      <c r="V35" s="126"/>
      <c r="W35" s="126"/>
      <c r="X35" s="126"/>
      <c r="Y35" s="127">
        <f>+V35*((X35*'1. Standard_Cost'!$B$19)+(W35*X35*'1. Standard_Cost'!$C$19))</f>
        <v>0</v>
      </c>
      <c r="Z35" s="126"/>
      <c r="AA35" s="126"/>
      <c r="AB35" s="127">
        <f>+Z35*'1. Standard_Cost'!$B$23+AA35*'1. Standard_Cost'!$C$23</f>
        <v>0</v>
      </c>
      <c r="AC35" s="128"/>
      <c r="AD35" s="129"/>
      <c r="AE35" s="127">
        <f>SUM(AD35,AC35,AB35,Y35,U35,T35,S35,R35)*'1. Standard_Cost'!$B$31</f>
        <v>0</v>
      </c>
      <c r="AF35" s="127">
        <f t="shared" si="19"/>
        <v>0</v>
      </c>
      <c r="AG35" s="126"/>
      <c r="AH35" s="126"/>
      <c r="AI35" s="126"/>
      <c r="AJ35" s="130"/>
      <c r="AK35" s="130"/>
      <c r="AL35" s="130"/>
      <c r="AM35" s="127">
        <f>AG35*'1. Standard_Cost'!$B$27+'Incremental_Cost Year 10'!AH35*'1. Standard_Cost'!$C$27+'Incremental_Cost Year 10'!AI35*'1. Standard_Cost'!$D$27+'Incremental_Cost Year 10'!AJ35+'Incremental_Cost Year 10'!AL35+AK35</f>
        <v>0</v>
      </c>
      <c r="AN35" s="127">
        <f>AM35*'1. Standard_Cost'!$C$31</f>
        <v>0</v>
      </c>
      <c r="AO35" s="130"/>
      <c r="AQ35" s="171">
        <f t="shared" si="20"/>
        <v>34652898</v>
      </c>
      <c r="AR35" s="171">
        <f t="shared" si="21"/>
        <v>0</v>
      </c>
      <c r="AS35" s="171">
        <f t="shared" si="22"/>
        <v>0</v>
      </c>
      <c r="AT35" s="171">
        <f t="shared" si="23"/>
        <v>34652898</v>
      </c>
      <c r="AU35" s="250">
        <f>AT35</f>
        <v>34652898</v>
      </c>
      <c r="AV35" s="250"/>
      <c r="AW35" s="250"/>
      <c r="AX35" s="250"/>
      <c r="AY35" s="250"/>
      <c r="AZ35" s="250"/>
      <c r="BA35" s="250"/>
      <c r="BB35" s="251">
        <f t="shared" si="25"/>
        <v>0</v>
      </c>
      <c r="BC35" s="169"/>
      <c r="BD35" s="169"/>
      <c r="BE35" s="169"/>
      <c r="BF35" s="169"/>
    </row>
    <row r="36" spans="1:58" ht="78.75" outlineLevel="2" x14ac:dyDescent="0.25">
      <c r="A36" s="115"/>
      <c r="B36" s="200"/>
      <c r="C36" s="201"/>
      <c r="D36" s="223"/>
      <c r="E36" s="122"/>
      <c r="F36" s="122"/>
      <c r="G36" s="123"/>
      <c r="H36" s="213" t="s">
        <v>392</v>
      </c>
      <c r="I36" s="130" t="s">
        <v>4</v>
      </c>
      <c r="J36" s="126">
        <v>1</v>
      </c>
      <c r="K36" s="126">
        <v>36</v>
      </c>
      <c r="L36" s="125">
        <f>IF(I36&lt;&gt;0,((VLOOKUP(I36,'1. Standard_Cost'!$B$4:$D$11,2)+VLOOKUP(I36,'1. Standard_Cost'!$B$4:$D$11,3))*J36*K36),"0")</f>
        <v>2907000</v>
      </c>
      <c r="M36" s="125">
        <f>L36*'1. Standard_Cost'!$F$4</f>
        <v>485469</v>
      </c>
      <c r="N36" s="126"/>
      <c r="O36" s="126"/>
      <c r="P36" s="126"/>
      <c r="Q36" s="126"/>
      <c r="R36" s="127">
        <f>'1. Standard_Cost'!$B$15*N36*P36</f>
        <v>0</v>
      </c>
      <c r="S36" s="127">
        <f>N36*O36*P36*'1. Standard_Cost'!$C$15</f>
        <v>0</v>
      </c>
      <c r="T36" s="127">
        <f>N36*P36*Q36*'1. Standard_Cost'!$D$15</f>
        <v>0</v>
      </c>
      <c r="U36" s="127">
        <f>N36*O36*'1. Standard_Cost'!$E$15</f>
        <v>0</v>
      </c>
      <c r="V36" s="126"/>
      <c r="W36" s="126"/>
      <c r="X36" s="126"/>
      <c r="Y36" s="127">
        <f>+V36*((X36*'1. Standard_Cost'!$B$19)+(W36*X36*'1. Standard_Cost'!$C$19))</f>
        <v>0</v>
      </c>
      <c r="Z36" s="126"/>
      <c r="AA36" s="126"/>
      <c r="AB36" s="127">
        <f>+Z36*'1. Standard_Cost'!$B$23+AA36*'1. Standard_Cost'!$C$23</f>
        <v>0</v>
      </c>
      <c r="AC36" s="128"/>
      <c r="AD36" s="129"/>
      <c r="AE36" s="127">
        <f>SUM(AD36,AC36,AB36,Y36,U36,T36,S36,R36)*'1. Standard_Cost'!$B$31</f>
        <v>0</v>
      </c>
      <c r="AF36" s="127">
        <f t="shared" si="19"/>
        <v>0</v>
      </c>
      <c r="AG36" s="126"/>
      <c r="AH36" s="126"/>
      <c r="AI36" s="126"/>
      <c r="AJ36" s="130"/>
      <c r="AK36" s="130"/>
      <c r="AL36" s="130"/>
      <c r="AM36" s="127">
        <f>AG36*'1. Standard_Cost'!$B$27+'Incremental_Cost Year 10'!AH36*'1. Standard_Cost'!$C$27+'Incremental_Cost Year 10'!AI36*'1. Standard_Cost'!$D$27+'Incremental_Cost Year 10'!AJ36+'Incremental_Cost Year 10'!AL36+AK36</f>
        <v>0</v>
      </c>
      <c r="AN36" s="127">
        <f>AM36*'1. Standard_Cost'!$C$31</f>
        <v>0</v>
      </c>
      <c r="AO36" s="130"/>
      <c r="AQ36" s="171">
        <f t="shared" si="20"/>
        <v>3392469</v>
      </c>
      <c r="AR36" s="171">
        <f t="shared" si="21"/>
        <v>0</v>
      </c>
      <c r="AS36" s="171">
        <f t="shared" si="22"/>
        <v>0</v>
      </c>
      <c r="AT36" s="171">
        <f t="shared" si="23"/>
        <v>3392469</v>
      </c>
      <c r="AU36" s="250">
        <f>AT36</f>
        <v>3392469</v>
      </c>
      <c r="AV36" s="250"/>
      <c r="AW36" s="250"/>
      <c r="AX36" s="250"/>
      <c r="AY36" s="250"/>
      <c r="AZ36" s="250"/>
      <c r="BA36" s="250"/>
      <c r="BB36" s="251">
        <f t="shared" si="25"/>
        <v>0</v>
      </c>
      <c r="BC36" s="169"/>
      <c r="BD36" s="169"/>
      <c r="BE36" s="169"/>
      <c r="BF36" s="169"/>
    </row>
    <row r="37" spans="1:58" ht="63" outlineLevel="1" x14ac:dyDescent="0.25">
      <c r="A37" s="115"/>
      <c r="B37" s="165"/>
      <c r="C37" s="166"/>
      <c r="D37" s="150" t="s">
        <v>384</v>
      </c>
      <c r="E37" s="139" t="s">
        <v>200</v>
      </c>
      <c r="F37" s="222">
        <v>2021</v>
      </c>
      <c r="G37" s="117">
        <v>2030</v>
      </c>
      <c r="H37" s="134" t="s">
        <v>201</v>
      </c>
      <c r="I37" s="252"/>
      <c r="J37" s="252"/>
      <c r="K37" s="252"/>
      <c r="L37" s="127">
        <f>SUM(L30:L36)</f>
        <v>236674200</v>
      </c>
      <c r="M37" s="127">
        <f>SUM(M30:M36)</f>
        <v>39524591.399999999</v>
      </c>
      <c r="N37" s="127"/>
      <c r="O37" s="252"/>
      <c r="P37" s="252"/>
      <c r="Q37" s="252"/>
      <c r="R37" s="127">
        <f>SUM(R30:R36)</f>
        <v>0</v>
      </c>
      <c r="S37" s="127">
        <f>SUM(S30:S36)</f>
        <v>0</v>
      </c>
      <c r="T37" s="127">
        <f>SUM(T30:T36)</f>
        <v>0</v>
      </c>
      <c r="U37" s="127">
        <f>SUM(U30:U36)</f>
        <v>0</v>
      </c>
      <c r="V37" s="252"/>
      <c r="W37" s="252"/>
      <c r="X37" s="252"/>
      <c r="Y37" s="127">
        <f>SUM(Y30:Y36)</f>
        <v>0</v>
      </c>
      <c r="Z37" s="252"/>
      <c r="AA37" s="252"/>
      <c r="AB37" s="127">
        <f>SUM(AB30:AB36)</f>
        <v>0</v>
      </c>
      <c r="AC37" s="127">
        <f>SUM(AC30:AC36)</f>
        <v>1000000</v>
      </c>
      <c r="AD37" s="127">
        <f>SUM(AD30:AD36)</f>
        <v>0</v>
      </c>
      <c r="AE37" s="127">
        <f>SUM(AE30:AE36)</f>
        <v>200000</v>
      </c>
      <c r="AF37" s="127">
        <f>SUM(AF30:AF36)</f>
        <v>1200000</v>
      </c>
      <c r="AG37" s="252"/>
      <c r="AH37" s="252"/>
      <c r="AI37" s="252"/>
      <c r="AJ37" s="127">
        <f>SUM(AJ30:AJ36)</f>
        <v>0</v>
      </c>
      <c r="AK37" s="127">
        <f>SUM(AK30:AK36)</f>
        <v>0</v>
      </c>
      <c r="AL37" s="127">
        <f>SUM(AL30:AL36)</f>
        <v>0</v>
      </c>
      <c r="AM37" s="127">
        <f>SUM(AM30:AM36)</f>
        <v>0</v>
      </c>
      <c r="AN37" s="127">
        <f>SUM(AN30:AN36)</f>
        <v>0</v>
      </c>
      <c r="AO37" s="253"/>
      <c r="AP37" s="254"/>
      <c r="AQ37" s="175">
        <f>SUM(AQ30:AQ36)</f>
        <v>276198791.39999998</v>
      </c>
      <c r="AR37" s="175">
        <f>SUM(AR30:AR36)</f>
        <v>1200000</v>
      </c>
      <c r="AS37" s="175">
        <f>SUM(AS30:AS36)</f>
        <v>0</v>
      </c>
      <c r="AT37" s="175">
        <f>SUM(AT30:AT36)</f>
        <v>277398791.39999998</v>
      </c>
      <c r="AU37" s="175">
        <f t="shared" ref="AU37:BB37" si="26">SUM(AU30:AU36)</f>
        <v>277398791.39999998</v>
      </c>
      <c r="AV37" s="175">
        <f t="shared" si="26"/>
        <v>0</v>
      </c>
      <c r="AW37" s="175">
        <f t="shared" si="26"/>
        <v>0</v>
      </c>
      <c r="AX37" s="175">
        <f t="shared" si="26"/>
        <v>0</v>
      </c>
      <c r="AY37" s="175">
        <f t="shared" si="26"/>
        <v>0</v>
      </c>
      <c r="AZ37" s="175">
        <f t="shared" si="26"/>
        <v>0</v>
      </c>
      <c r="BA37" s="175">
        <f t="shared" si="26"/>
        <v>0</v>
      </c>
      <c r="BB37" s="175">
        <f t="shared" si="26"/>
        <v>0</v>
      </c>
      <c r="BC37" s="169"/>
      <c r="BD37" s="169"/>
      <c r="BE37" s="169"/>
      <c r="BF37" s="169"/>
    </row>
    <row r="38" spans="1:58" ht="63" outlineLevel="2" x14ac:dyDescent="0.25">
      <c r="A38" s="115"/>
      <c r="B38" s="200"/>
      <c r="C38" s="201"/>
      <c r="D38" s="224"/>
      <c r="E38" s="135" t="s">
        <v>393</v>
      </c>
      <c r="F38" s="302">
        <v>2021</v>
      </c>
      <c r="G38" s="302">
        <v>2023</v>
      </c>
      <c r="H38" s="199" t="s">
        <v>394</v>
      </c>
      <c r="I38" s="130"/>
      <c r="J38" s="126"/>
      <c r="K38" s="126"/>
      <c r="L38" s="125" t="str">
        <f>IF(I38&lt;&gt;0,((VLOOKUP(I38,'1. Standard_Cost'!$B$4:$D$11,2)+VLOOKUP(I38,'1. Standard_Cost'!$B$4:$D$11,3))*J38*K38),"0")</f>
        <v>0</v>
      </c>
      <c r="M38" s="125">
        <f>L38*'1. Standard_Cost'!$F$4</f>
        <v>0</v>
      </c>
      <c r="N38" s="126"/>
      <c r="O38" s="126"/>
      <c r="P38" s="126"/>
      <c r="Q38" s="126"/>
      <c r="R38" s="127">
        <f>'1. Standard_Cost'!$B$15*N38*P38</f>
        <v>0</v>
      </c>
      <c r="S38" s="127">
        <f>N38*O38*P38*'1. Standard_Cost'!$C$15</f>
        <v>0</v>
      </c>
      <c r="T38" s="127">
        <f>N38*P38*Q38*'1. Standard_Cost'!$D$15</f>
        <v>0</v>
      </c>
      <c r="U38" s="127">
        <f>N38*O38*'1. Standard_Cost'!$E$15</f>
        <v>0</v>
      </c>
      <c r="V38" s="126"/>
      <c r="W38" s="126"/>
      <c r="X38" s="126"/>
      <c r="Y38" s="127">
        <f>+V38*((X38*'1. Standard_Cost'!$B$19)+(W38*X38*'1. Standard_Cost'!$C$19))</f>
        <v>0</v>
      </c>
      <c r="Z38" s="126"/>
      <c r="AA38" s="126"/>
      <c r="AB38" s="127">
        <f>+Z38*'1. Standard_Cost'!$B$23+AA38*'1. Standard_Cost'!$C$23</f>
        <v>0</v>
      </c>
      <c r="AC38" s="128"/>
      <c r="AD38" s="129"/>
      <c r="AE38" s="127"/>
      <c r="AF38" s="127">
        <f>SUM(AE38,AD38,AC38,AB38,Y38,U38,T38,S38,R38)</f>
        <v>0</v>
      </c>
      <c r="AG38" s="126"/>
      <c r="AH38" s="126"/>
      <c r="AI38" s="126"/>
      <c r="AJ38" s="130"/>
      <c r="AK38" s="130"/>
      <c r="AL38" s="130"/>
      <c r="AM38" s="127">
        <f>AG38*'1. Standard_Cost'!$B$27+'Incremental_Cost Year 10'!AH38*'1. Standard_Cost'!$C$27+'Incremental_Cost Year 10'!AI38*'1. Standard_Cost'!$D$27+'Incremental_Cost Year 10'!AJ38+'Incremental_Cost Year 10'!AL38+AK38</f>
        <v>0</v>
      </c>
      <c r="AN38" s="127">
        <f>AM38*'1. Standard_Cost'!$C$31</f>
        <v>0</v>
      </c>
      <c r="AO38" s="249"/>
      <c r="AQ38" s="171">
        <f>L38+M38</f>
        <v>0</v>
      </c>
      <c r="AR38" s="171">
        <f>AF38</f>
        <v>0</v>
      </c>
      <c r="AS38" s="171">
        <f>AM38+AN38</f>
        <v>0</v>
      </c>
      <c r="AT38" s="171">
        <f>SUM(AQ38,AR38,AS38)</f>
        <v>0</v>
      </c>
      <c r="AU38" s="250">
        <f>AT38</f>
        <v>0</v>
      </c>
      <c r="AV38" s="250"/>
      <c r="AW38" s="250"/>
      <c r="AX38" s="250"/>
      <c r="AY38" s="250"/>
      <c r="AZ38" s="250"/>
      <c r="BA38" s="250"/>
      <c r="BB38" s="251">
        <f t="shared" ref="BB38" si="27">SUM(AU38:BA38)-AT38</f>
        <v>0</v>
      </c>
      <c r="BC38" s="169"/>
      <c r="BD38" s="169"/>
      <c r="BE38" s="169"/>
      <c r="BF38" s="169"/>
    </row>
    <row r="39" spans="1:58" ht="31.5" outlineLevel="1" x14ac:dyDescent="0.25">
      <c r="A39" s="115"/>
      <c r="B39" s="303"/>
      <c r="C39" s="304"/>
      <c r="D39" s="107" t="s">
        <v>388</v>
      </c>
      <c r="E39" s="139" t="s">
        <v>202</v>
      </c>
      <c r="F39" s="122">
        <v>2021</v>
      </c>
      <c r="G39" s="223">
        <v>2030</v>
      </c>
      <c r="H39" s="134" t="s">
        <v>203</v>
      </c>
      <c r="I39" s="252"/>
      <c r="J39" s="252"/>
      <c r="K39" s="252"/>
      <c r="L39" s="127">
        <f>SUM(L38:L38)</f>
        <v>0</v>
      </c>
      <c r="M39" s="127">
        <f>SUM(M38:M38)</f>
        <v>0</v>
      </c>
      <c r="N39" s="127"/>
      <c r="O39" s="252"/>
      <c r="P39" s="252"/>
      <c r="Q39" s="252"/>
      <c r="R39" s="127">
        <f>SUM(R38:R38)</f>
        <v>0</v>
      </c>
      <c r="S39" s="127">
        <f>SUM(S38:S38)</f>
        <v>0</v>
      </c>
      <c r="T39" s="127">
        <f>SUM(T38:T38)</f>
        <v>0</v>
      </c>
      <c r="U39" s="127">
        <f>SUM(U38:U38)</f>
        <v>0</v>
      </c>
      <c r="V39" s="252"/>
      <c r="W39" s="252"/>
      <c r="X39" s="252"/>
      <c r="Y39" s="127">
        <f>SUM(Y38:Y38)</f>
        <v>0</v>
      </c>
      <c r="Z39" s="252"/>
      <c r="AA39" s="252"/>
      <c r="AB39" s="127">
        <f>SUM(AB38:AB38)</f>
        <v>0</v>
      </c>
      <c r="AC39" s="127">
        <f>SUM(AC38:AC38)</f>
        <v>0</v>
      </c>
      <c r="AD39" s="127">
        <f>SUM(AD38:AD38)</f>
        <v>0</v>
      </c>
      <c r="AE39" s="127">
        <f>SUM(AE38:AE38)</f>
        <v>0</v>
      </c>
      <c r="AF39" s="127">
        <f>SUM(AF38:AF38)</f>
        <v>0</v>
      </c>
      <c r="AG39" s="252"/>
      <c r="AH39" s="252"/>
      <c r="AI39" s="252"/>
      <c r="AJ39" s="127">
        <f>SUM(AJ38:AJ38)</f>
        <v>0</v>
      </c>
      <c r="AK39" s="127">
        <f>SUM(AK38:AK38)</f>
        <v>0</v>
      </c>
      <c r="AL39" s="127">
        <f>SUM(AL38:AL38)</f>
        <v>0</v>
      </c>
      <c r="AM39" s="127">
        <f>SUM(AM38:AM38)</f>
        <v>0</v>
      </c>
      <c r="AN39" s="127">
        <f>SUM(AN38:AN38)</f>
        <v>0</v>
      </c>
      <c r="AO39" s="253"/>
      <c r="AP39" s="254"/>
      <c r="AQ39" s="175">
        <f>SUM(AQ38:AQ38)</f>
        <v>0</v>
      </c>
      <c r="AR39" s="175">
        <f>SUM(AR38:AR38)</f>
        <v>0</v>
      </c>
      <c r="AS39" s="175">
        <f>SUM(AS38:AS38)</f>
        <v>0</v>
      </c>
      <c r="AT39" s="175">
        <f>SUM(AT38:AT38)</f>
        <v>0</v>
      </c>
      <c r="AU39" s="175">
        <f t="shared" ref="AU39:BB39" si="28">SUM(AU38:AU38)</f>
        <v>0</v>
      </c>
      <c r="AV39" s="175">
        <f t="shared" si="28"/>
        <v>0</v>
      </c>
      <c r="AW39" s="175">
        <f t="shared" si="28"/>
        <v>0</v>
      </c>
      <c r="AX39" s="175">
        <f t="shared" si="28"/>
        <v>0</v>
      </c>
      <c r="AY39" s="175">
        <f t="shared" si="28"/>
        <v>0</v>
      </c>
      <c r="AZ39" s="175">
        <f t="shared" si="28"/>
        <v>0</v>
      </c>
      <c r="BA39" s="175">
        <f t="shared" si="28"/>
        <v>0</v>
      </c>
      <c r="BB39" s="175">
        <f t="shared" si="28"/>
        <v>0</v>
      </c>
      <c r="BC39" s="169"/>
      <c r="BD39" s="169"/>
      <c r="BE39" s="169"/>
      <c r="BF39" s="169"/>
    </row>
    <row r="40" spans="1:58" s="170" customFormat="1" ht="15.75" customHeight="1" x14ac:dyDescent="0.25">
      <c r="A40" s="120"/>
      <c r="B40" s="290"/>
      <c r="C40" s="391" t="s">
        <v>204</v>
      </c>
      <c r="D40" s="391"/>
      <c r="E40" s="392"/>
      <c r="F40" s="289"/>
      <c r="G40" s="288"/>
      <c r="H40" s="114" t="s">
        <v>207</v>
      </c>
      <c r="I40" s="246"/>
      <c r="J40" s="246"/>
      <c r="K40" s="246"/>
      <c r="L40" s="247">
        <f>SUM(L44)</f>
        <v>201875</v>
      </c>
      <c r="M40" s="247">
        <f>SUM(M44)</f>
        <v>33713.125</v>
      </c>
      <c r="N40" s="247"/>
      <c r="O40" s="247"/>
      <c r="P40" s="247"/>
      <c r="Q40" s="247"/>
      <c r="R40" s="247">
        <f>SUM(R44)</f>
        <v>500000</v>
      </c>
      <c r="S40" s="247">
        <f>SUM(S44)</f>
        <v>375000</v>
      </c>
      <c r="T40" s="247">
        <f>SUM(T44)</f>
        <v>0</v>
      </c>
      <c r="U40" s="247">
        <f>SUM(U44)</f>
        <v>400000</v>
      </c>
      <c r="V40" s="247"/>
      <c r="W40" s="247"/>
      <c r="X40" s="247"/>
      <c r="Y40" s="247">
        <f>SUM(Y44)</f>
        <v>0</v>
      </c>
      <c r="Z40" s="247">
        <f t="shared" ref="Z40:AA40" si="29">SUM(Z44)</f>
        <v>0</v>
      </c>
      <c r="AA40" s="247">
        <f t="shared" si="29"/>
        <v>0</v>
      </c>
      <c r="AB40" s="247">
        <f t="shared" ref="AB40:AF40" si="30">SUM(AB44)</f>
        <v>228000</v>
      </c>
      <c r="AC40" s="247">
        <f t="shared" si="30"/>
        <v>825000</v>
      </c>
      <c r="AD40" s="247">
        <f t="shared" si="30"/>
        <v>0</v>
      </c>
      <c r="AE40" s="247">
        <f t="shared" si="30"/>
        <v>465600</v>
      </c>
      <c r="AF40" s="247">
        <f t="shared" si="30"/>
        <v>2793600</v>
      </c>
      <c r="AG40" s="247"/>
      <c r="AH40" s="247"/>
      <c r="AI40" s="247"/>
      <c r="AJ40" s="247">
        <f>SUM(AJ44)</f>
        <v>0</v>
      </c>
      <c r="AK40" s="247">
        <f>SUM(AK44)</f>
        <v>0</v>
      </c>
      <c r="AL40" s="247">
        <f>SUM(AL44)</f>
        <v>0</v>
      </c>
      <c r="AM40" s="247">
        <f>SUM(AM44)</f>
        <v>0</v>
      </c>
      <c r="AN40" s="247">
        <f>SUM(AN44)</f>
        <v>0</v>
      </c>
      <c r="AO40" s="247"/>
      <c r="AP40" s="244"/>
      <c r="AQ40" s="248">
        <f>SUM(AQ44)</f>
        <v>235588.125</v>
      </c>
      <c r="AR40" s="248">
        <f>SUM(AR44)</f>
        <v>2793600</v>
      </c>
      <c r="AS40" s="248">
        <f>SUM(AS44)</f>
        <v>0</v>
      </c>
      <c r="AT40" s="248">
        <f>SUM(AT44)</f>
        <v>3029188.125</v>
      </c>
      <c r="AU40" s="248">
        <f t="shared" ref="AU40:BB40" si="31">SUM(AU44)</f>
        <v>235588.125</v>
      </c>
      <c r="AV40" s="248">
        <f t="shared" si="31"/>
        <v>0</v>
      </c>
      <c r="AW40" s="248">
        <f t="shared" si="31"/>
        <v>0</v>
      </c>
      <c r="AX40" s="248">
        <f t="shared" si="31"/>
        <v>0</v>
      </c>
      <c r="AY40" s="248">
        <f t="shared" si="31"/>
        <v>0</v>
      </c>
      <c r="AZ40" s="248">
        <f t="shared" si="31"/>
        <v>0</v>
      </c>
      <c r="BA40" s="248">
        <f t="shared" si="31"/>
        <v>0</v>
      </c>
      <c r="BB40" s="248">
        <f t="shared" si="31"/>
        <v>-2793600</v>
      </c>
    </row>
    <row r="41" spans="1:58" ht="94.5" outlineLevel="2" x14ac:dyDescent="0.25">
      <c r="A41" s="115"/>
      <c r="B41" s="200"/>
      <c r="C41" s="201"/>
      <c r="D41" s="138"/>
      <c r="E41" s="295"/>
      <c r="F41" s="295"/>
      <c r="G41" s="296"/>
      <c r="H41" s="213" t="s">
        <v>395</v>
      </c>
      <c r="I41" s="130"/>
      <c r="J41" s="126"/>
      <c r="K41" s="126"/>
      <c r="L41" s="125" t="str">
        <f>IF(I41&lt;&gt;0,((VLOOKUP(I41,'1. Standard_Cost'!$B$4:$D$11,2)+VLOOKUP(I41,'1. Standard_Cost'!$B$4:$D$11,3))*J41*K41),"0")</f>
        <v>0</v>
      </c>
      <c r="M41" s="125">
        <f>L41*'1. Standard_Cost'!$F$4</f>
        <v>0</v>
      </c>
      <c r="N41" s="126"/>
      <c r="O41" s="126"/>
      <c r="P41" s="126"/>
      <c r="Q41" s="126"/>
      <c r="R41" s="127">
        <f>'1. Standard_Cost'!$B$15*N41*P41</f>
        <v>0</v>
      </c>
      <c r="S41" s="127">
        <f>N41*O41*P41*'1. Standard_Cost'!$C$15</f>
        <v>0</v>
      </c>
      <c r="T41" s="127">
        <f>N41*P41*Q41*'1. Standard_Cost'!$D$15</f>
        <v>0</v>
      </c>
      <c r="U41" s="127">
        <f>N41*O41*'1. Standard_Cost'!$E$15</f>
        <v>0</v>
      </c>
      <c r="V41" s="126"/>
      <c r="W41" s="126"/>
      <c r="X41" s="126"/>
      <c r="Y41" s="127">
        <f>+V41*((X41*'1. Standard_Cost'!$B$19)+(W41*X41*'1. Standard_Cost'!$C$19))</f>
        <v>0</v>
      </c>
      <c r="Z41" s="126"/>
      <c r="AA41" s="126"/>
      <c r="AB41" s="127">
        <f>+Z41*'1. Standard_Cost'!$B$23+AA41*'1. Standard_Cost'!$C$23</f>
        <v>0</v>
      </c>
      <c r="AC41" s="128">
        <v>0</v>
      </c>
      <c r="AD41" s="129"/>
      <c r="AE41" s="127"/>
      <c r="AF41" s="127">
        <f>SUM(AE41,AD41,AC41,AB41,Y41,U41,T41,S41,R41)</f>
        <v>0</v>
      </c>
      <c r="AG41" s="126"/>
      <c r="AH41" s="126"/>
      <c r="AI41" s="126"/>
      <c r="AJ41" s="130"/>
      <c r="AK41" s="130"/>
      <c r="AL41" s="130"/>
      <c r="AM41" s="127">
        <f>AG41*'1. Standard_Cost'!$B$27+'Incremental_Cost Year 10'!AH41*'1. Standard_Cost'!$C$27+'Incremental_Cost Year 10'!AI41*'1. Standard_Cost'!$D$27+'Incremental_Cost Year 10'!AJ41+'Incremental_Cost Year 10'!AL41+AK41</f>
        <v>0</v>
      </c>
      <c r="AN41" s="127">
        <f>AM41*'1. Standard_Cost'!$C$31</f>
        <v>0</v>
      </c>
      <c r="AO41" s="249"/>
      <c r="AQ41" s="171">
        <f>L41+M41</f>
        <v>0</v>
      </c>
      <c r="AR41" s="171">
        <f>AF41</f>
        <v>0</v>
      </c>
      <c r="AS41" s="171">
        <f>AM41+AN41</f>
        <v>0</v>
      </c>
      <c r="AT41" s="171">
        <f>SUM(AQ41,AR41,AS41)</f>
        <v>0</v>
      </c>
      <c r="AU41" s="250">
        <f>AQ41</f>
        <v>0</v>
      </c>
      <c r="AV41" s="250"/>
      <c r="AW41" s="250"/>
      <c r="AX41" s="250">
        <v>0</v>
      </c>
      <c r="AY41" s="250"/>
      <c r="AZ41" s="250">
        <f>AT41</f>
        <v>0</v>
      </c>
      <c r="BA41" s="250"/>
      <c r="BB41" s="251">
        <f t="shared" ref="BB41:BB43" si="32">SUM(AU41:BA41)-AT41</f>
        <v>0</v>
      </c>
      <c r="BC41" s="169"/>
      <c r="BD41" s="169"/>
      <c r="BE41" s="169"/>
      <c r="BF41" s="169"/>
    </row>
    <row r="42" spans="1:58" ht="157.5" outlineLevel="2" x14ac:dyDescent="0.25">
      <c r="A42" s="115"/>
      <c r="B42" s="200"/>
      <c r="C42" s="201"/>
      <c r="D42" s="135"/>
      <c r="E42" s="219"/>
      <c r="F42" s="219"/>
      <c r="G42" s="313"/>
      <c r="H42" s="213" t="s">
        <v>538</v>
      </c>
      <c r="I42" s="130" t="s">
        <v>4</v>
      </c>
      <c r="J42" s="126">
        <v>0.5</v>
      </c>
      <c r="K42" s="126">
        <v>5</v>
      </c>
      <c r="L42" s="125">
        <f>IF(I42&lt;&gt;0,((VLOOKUP(I42,'1. Standard_Cost'!$B$4:$D$11,2)+VLOOKUP(I42,'1. Standard_Cost'!$B$4:$D$11,3))*J42*K42),"0")</f>
        <v>201875</v>
      </c>
      <c r="M42" s="125">
        <f>L42*'1. Standard_Cost'!$F$4</f>
        <v>33713.125</v>
      </c>
      <c r="N42" s="126">
        <v>10</v>
      </c>
      <c r="O42" s="126">
        <v>1</v>
      </c>
      <c r="P42" s="126">
        <v>25</v>
      </c>
      <c r="Q42" s="126"/>
      <c r="R42" s="127">
        <f>'1. Standard_Cost'!$B$15*N42*P42</f>
        <v>500000</v>
      </c>
      <c r="S42" s="127">
        <f>N42*O42*P42*'1. Standard_Cost'!$C$15</f>
        <v>375000</v>
      </c>
      <c r="T42" s="127">
        <f>N42*P42*Q42*'1. Standard_Cost'!$D$15</f>
        <v>0</v>
      </c>
      <c r="U42" s="127">
        <f>N42*O42*'1. Standard_Cost'!$E$15</f>
        <v>400000</v>
      </c>
      <c r="V42" s="126"/>
      <c r="W42" s="126"/>
      <c r="X42" s="126"/>
      <c r="Y42" s="127">
        <f>+V42*((X42*'1. Standard_Cost'!$B$19)+(W42*X42*'1. Standard_Cost'!$C$19))</f>
        <v>0</v>
      </c>
      <c r="Z42" s="126"/>
      <c r="AA42" s="126">
        <v>12</v>
      </c>
      <c r="AB42" s="127">
        <f>+Z42*'1. Standard_Cost'!$B$23+AA42*'1. Standard_Cost'!$C$23</f>
        <v>228000</v>
      </c>
      <c r="AC42" s="128">
        <f>250*300+250*3000</f>
        <v>825000</v>
      </c>
      <c r="AD42" s="129"/>
      <c r="AE42" s="127">
        <f>SUM(AD42,AC42,AB42,Y42,U42,T42,S42,R42)*'1. Standard_Cost'!$B$31</f>
        <v>465600</v>
      </c>
      <c r="AF42" s="127">
        <f>SUM(AE42,AD42,AC42,AB42,Y42,U42,T42,S42,R42)</f>
        <v>2793600</v>
      </c>
      <c r="AG42" s="126"/>
      <c r="AH42" s="126"/>
      <c r="AI42" s="126"/>
      <c r="AJ42" s="130"/>
      <c r="AK42" s="130"/>
      <c r="AL42" s="130"/>
      <c r="AM42" s="127">
        <f>AG42*'1. Standard_Cost'!$B$27+'Incremental_Cost Year 10'!AH42*'1. Standard_Cost'!$C$27+'Incremental_Cost Year 10'!AI42*'1. Standard_Cost'!$D$27+'Incremental_Cost Year 10'!AJ42+'Incremental_Cost Year 10'!AL42+AK42</f>
        <v>0</v>
      </c>
      <c r="AN42" s="127">
        <f>AM42*'1. Standard_Cost'!$C$31</f>
        <v>0</v>
      </c>
      <c r="AO42" s="130"/>
      <c r="AQ42" s="171">
        <f>L42+M42</f>
        <v>235588.125</v>
      </c>
      <c r="AR42" s="171">
        <f>AF42</f>
        <v>2793600</v>
      </c>
      <c r="AS42" s="171">
        <f>AM42+AN42</f>
        <v>0</v>
      </c>
      <c r="AT42" s="171">
        <f>SUM(AQ42,AR42,AS42)</f>
        <v>3029188.125</v>
      </c>
      <c r="AU42" s="250">
        <f>AQ42</f>
        <v>235588.125</v>
      </c>
      <c r="AV42" s="250"/>
      <c r="AW42" s="250"/>
      <c r="AX42" s="250"/>
      <c r="AY42" s="250"/>
      <c r="AZ42" s="250"/>
      <c r="BA42" s="250"/>
      <c r="BB42" s="251">
        <f t="shared" si="32"/>
        <v>-2793600</v>
      </c>
      <c r="BC42" s="169"/>
      <c r="BD42" s="169"/>
      <c r="BE42" s="169"/>
      <c r="BF42" s="169"/>
    </row>
    <row r="43" spans="1:58" ht="47.25" outlineLevel="2" x14ac:dyDescent="0.25">
      <c r="A43" s="115"/>
      <c r="B43" s="200"/>
      <c r="C43" s="201"/>
      <c r="D43" s="223"/>
      <c r="E43" s="219"/>
      <c r="F43" s="219"/>
      <c r="G43" s="313"/>
      <c r="H43" s="199" t="s">
        <v>223</v>
      </c>
      <c r="I43" s="130"/>
      <c r="J43" s="126"/>
      <c r="K43" s="126"/>
      <c r="L43" s="125" t="str">
        <f>IF(I43&lt;&gt;0,((VLOOKUP(I43,'1. Standard_Cost'!$B$4:$D$11,2)+VLOOKUP(I43,'1. Standard_Cost'!$B$4:$D$11,3))*J43*K43),"0")</f>
        <v>0</v>
      </c>
      <c r="M43" s="125">
        <f>L43*'1. Standard_Cost'!$F$4</f>
        <v>0</v>
      </c>
      <c r="N43" s="126"/>
      <c r="O43" s="126"/>
      <c r="P43" s="126"/>
      <c r="Q43" s="126"/>
      <c r="R43" s="127">
        <f>'1. Standard_Cost'!$B$15*N43*P43</f>
        <v>0</v>
      </c>
      <c r="S43" s="127">
        <f>N43*O43*P43*'1. Standard_Cost'!$C$15</f>
        <v>0</v>
      </c>
      <c r="T43" s="127">
        <f>N43*P43*Q43*'1. Standard_Cost'!$D$15</f>
        <v>0</v>
      </c>
      <c r="U43" s="127">
        <f>N43*O43*'1. Standard_Cost'!$E$15</f>
        <v>0</v>
      </c>
      <c r="V43" s="126"/>
      <c r="W43" s="126"/>
      <c r="X43" s="126"/>
      <c r="Y43" s="127">
        <f>+V43*((X43*'1. Standard_Cost'!$B$19)+(W43*X43*'1. Standard_Cost'!$C$19))</f>
        <v>0</v>
      </c>
      <c r="Z43" s="126"/>
      <c r="AA43" s="126"/>
      <c r="AB43" s="127">
        <f>+Z43*'1. Standard_Cost'!$B$23+AA43*'1. Standard_Cost'!$C$23</f>
        <v>0</v>
      </c>
      <c r="AC43" s="128"/>
      <c r="AD43" s="129"/>
      <c r="AE43" s="127">
        <v>0</v>
      </c>
      <c r="AF43" s="127">
        <f>SUM(AE43,AD43,AC43,AB43,Y43,U43,T43,S43,R43)</f>
        <v>0</v>
      </c>
      <c r="AG43" s="126"/>
      <c r="AH43" s="126"/>
      <c r="AI43" s="126"/>
      <c r="AJ43" s="130"/>
      <c r="AK43" s="130"/>
      <c r="AL43" s="130"/>
      <c r="AM43" s="127">
        <f>AG43*'1. Standard_Cost'!$B$27+'Incremental_Cost Year 10'!AH43*'1. Standard_Cost'!$C$27+'Incremental_Cost Year 10'!AI43*'1. Standard_Cost'!$D$27+'Incremental_Cost Year 10'!AJ43+'Incremental_Cost Year 10'!AL43+AK43</f>
        <v>0</v>
      </c>
      <c r="AN43" s="127">
        <f>AM43*'1. Standard_Cost'!$C$31</f>
        <v>0</v>
      </c>
      <c r="AO43" s="130"/>
      <c r="AQ43" s="171">
        <f>L43+M43</f>
        <v>0</v>
      </c>
      <c r="AR43" s="171">
        <f>AF43</f>
        <v>0</v>
      </c>
      <c r="AS43" s="171">
        <f>AM43+AN43</f>
        <v>0</v>
      </c>
      <c r="AT43" s="171">
        <f>SUM(AQ43,AR43,AS43)</f>
        <v>0</v>
      </c>
      <c r="AU43" s="250"/>
      <c r="AV43" s="250"/>
      <c r="AW43" s="250"/>
      <c r="AX43" s="250"/>
      <c r="AY43" s="250"/>
      <c r="AZ43" s="250"/>
      <c r="BA43" s="250"/>
      <c r="BB43" s="251">
        <f t="shared" si="32"/>
        <v>0</v>
      </c>
      <c r="BC43" s="169"/>
      <c r="BD43" s="169"/>
      <c r="BE43" s="169"/>
      <c r="BF43" s="169"/>
    </row>
    <row r="44" spans="1:58" ht="63" outlineLevel="1" x14ac:dyDescent="0.25">
      <c r="A44" s="115"/>
      <c r="B44" s="165"/>
      <c r="C44" s="166"/>
      <c r="D44" s="150" t="s">
        <v>396</v>
      </c>
      <c r="E44" s="139" t="s">
        <v>205</v>
      </c>
      <c r="F44" s="222">
        <v>2022</v>
      </c>
      <c r="G44" s="117">
        <v>2030</v>
      </c>
      <c r="H44" s="134" t="s">
        <v>206</v>
      </c>
      <c r="I44" s="252"/>
      <c r="J44" s="252"/>
      <c r="K44" s="252"/>
      <c r="L44" s="127">
        <f>SUM(L41:L43)</f>
        <v>201875</v>
      </c>
      <c r="M44" s="127">
        <f>SUM(M41:M43)</f>
        <v>33713.125</v>
      </c>
      <c r="N44" s="127"/>
      <c r="O44" s="252"/>
      <c r="P44" s="252"/>
      <c r="Q44" s="252"/>
      <c r="R44" s="127">
        <f>SUM(R41:R43)</f>
        <v>500000</v>
      </c>
      <c r="S44" s="127">
        <f>SUM(S41:S43)</f>
        <v>375000</v>
      </c>
      <c r="T44" s="127">
        <f>SUM(T41:T43)</f>
        <v>0</v>
      </c>
      <c r="U44" s="127">
        <f>SUM(U41:U43)</f>
        <v>400000</v>
      </c>
      <c r="V44" s="252"/>
      <c r="W44" s="252"/>
      <c r="X44" s="252"/>
      <c r="Y44" s="127">
        <f>SUM(Y41:Y43)</f>
        <v>0</v>
      </c>
      <c r="Z44" s="252"/>
      <c r="AA44" s="252"/>
      <c r="AB44" s="127">
        <f>SUM(AB41:AB43)</f>
        <v>228000</v>
      </c>
      <c r="AC44" s="127">
        <f>SUM(AC41:AC43)</f>
        <v>825000</v>
      </c>
      <c r="AD44" s="127">
        <f>SUM(AD41:AD43)</f>
        <v>0</v>
      </c>
      <c r="AE44" s="127">
        <f>SUM(AE41:AE43)</f>
        <v>465600</v>
      </c>
      <c r="AF44" s="127">
        <f>SUM(AF41:AF43)</f>
        <v>2793600</v>
      </c>
      <c r="AG44" s="252"/>
      <c r="AH44" s="252"/>
      <c r="AI44" s="252"/>
      <c r="AJ44" s="127">
        <f>SUM(AJ41:AJ43)</f>
        <v>0</v>
      </c>
      <c r="AK44" s="127">
        <f>SUM(AK41:AK43)</f>
        <v>0</v>
      </c>
      <c r="AL44" s="127">
        <f>SUM(AL41:AL43)</f>
        <v>0</v>
      </c>
      <c r="AM44" s="127">
        <f>SUM(AM41:AM43)</f>
        <v>0</v>
      </c>
      <c r="AN44" s="127">
        <f>SUM(AN41:AN43)</f>
        <v>0</v>
      </c>
      <c r="AO44" s="253"/>
      <c r="AP44" s="254"/>
      <c r="AQ44" s="175">
        <f>SUM(AQ41:AQ43)</f>
        <v>235588.125</v>
      </c>
      <c r="AR44" s="175">
        <f>SUM(AR41:AR43)</f>
        <v>2793600</v>
      </c>
      <c r="AS44" s="175">
        <f>SUM(AS41:AS43)</f>
        <v>0</v>
      </c>
      <c r="AT44" s="175">
        <f>SUM(AT41:AT43)</f>
        <v>3029188.125</v>
      </c>
      <c r="AU44" s="175">
        <f t="shared" ref="AU44:BB44" si="33">SUM(AU41:AU43)</f>
        <v>235588.125</v>
      </c>
      <c r="AV44" s="175">
        <f t="shared" si="33"/>
        <v>0</v>
      </c>
      <c r="AW44" s="175">
        <f t="shared" si="33"/>
        <v>0</v>
      </c>
      <c r="AX44" s="175">
        <f t="shared" si="33"/>
        <v>0</v>
      </c>
      <c r="AY44" s="175">
        <f t="shared" si="33"/>
        <v>0</v>
      </c>
      <c r="AZ44" s="175">
        <f t="shared" si="33"/>
        <v>0</v>
      </c>
      <c r="BA44" s="175">
        <f t="shared" si="33"/>
        <v>0</v>
      </c>
      <c r="BB44" s="175">
        <f t="shared" si="33"/>
        <v>-2793600</v>
      </c>
      <c r="BC44" s="169"/>
      <c r="BD44" s="169"/>
      <c r="BE44" s="169"/>
      <c r="BF44" s="169"/>
    </row>
    <row r="45" spans="1:58" s="170" customFormat="1" ht="15.75" customHeight="1" x14ac:dyDescent="0.25">
      <c r="A45" s="120"/>
      <c r="B45" s="290"/>
      <c r="C45" s="391" t="s">
        <v>210</v>
      </c>
      <c r="D45" s="391"/>
      <c r="E45" s="392"/>
      <c r="F45" s="289"/>
      <c r="G45" s="288"/>
      <c r="H45" s="114" t="s">
        <v>213</v>
      </c>
      <c r="I45" s="246"/>
      <c r="J45" s="246"/>
      <c r="K45" s="246"/>
      <c r="L45" s="247">
        <f>SUM(L50+L56+L60)</f>
        <v>1075889568.5714285</v>
      </c>
      <c r="M45" s="247">
        <f>SUM(M50+M56+M60)</f>
        <v>179673557.95142856</v>
      </c>
      <c r="N45" s="247"/>
      <c r="O45" s="247"/>
      <c r="P45" s="247"/>
      <c r="Q45" s="247"/>
      <c r="R45" s="247">
        <f>SUM(R50+R56+R60)</f>
        <v>0</v>
      </c>
      <c r="S45" s="247">
        <f>SUM(S50+S56+S60)</f>
        <v>0</v>
      </c>
      <c r="T45" s="247">
        <f>SUM(T50+T56+T60)</f>
        <v>0</v>
      </c>
      <c r="U45" s="247">
        <f>SUM(U50+U56+U60)</f>
        <v>0</v>
      </c>
      <c r="V45" s="247"/>
      <c r="W45" s="247"/>
      <c r="X45" s="247"/>
      <c r="Y45" s="247">
        <f>SUM(Y50+Y56+Y60)</f>
        <v>0</v>
      </c>
      <c r="Z45" s="247">
        <f t="shared" ref="Z45:AA45" si="34">SUM(Z50+Z56+Z60)</f>
        <v>0</v>
      </c>
      <c r="AA45" s="247">
        <f t="shared" si="34"/>
        <v>0</v>
      </c>
      <c r="AB45" s="247">
        <f t="shared" ref="AB45:AF45" si="35">SUM(AB50+AB56+AB60)</f>
        <v>0</v>
      </c>
      <c r="AC45" s="247">
        <f t="shared" si="35"/>
        <v>10050000</v>
      </c>
      <c r="AD45" s="247">
        <f t="shared" si="35"/>
        <v>0</v>
      </c>
      <c r="AE45" s="247">
        <f t="shared" si="35"/>
        <v>2010000</v>
      </c>
      <c r="AF45" s="247">
        <f t="shared" si="35"/>
        <v>12060000</v>
      </c>
      <c r="AG45" s="247"/>
      <c r="AH45" s="247"/>
      <c r="AI45" s="247"/>
      <c r="AJ45" s="247">
        <f>SUM(AJ50+AJ56+AJ60)</f>
        <v>0</v>
      </c>
      <c r="AK45" s="247">
        <f>SUM(AK50+AK56+AK60)</f>
        <v>0</v>
      </c>
      <c r="AL45" s="247">
        <f>SUM(AL50+AL56+AL60)</f>
        <v>0</v>
      </c>
      <c r="AM45" s="247">
        <f>SUM(AM50+AM56+AM60)</f>
        <v>0</v>
      </c>
      <c r="AN45" s="247">
        <f>SUM(AN50+AN56+AN60)</f>
        <v>0</v>
      </c>
      <c r="AO45" s="247"/>
      <c r="AP45" s="244"/>
      <c r="AQ45" s="248">
        <f>SUM(AQ50+AQ56+AQ60)</f>
        <v>1255563126.522857</v>
      </c>
      <c r="AR45" s="248">
        <f>SUM(AR50+AR56+AR60)</f>
        <v>12060000</v>
      </c>
      <c r="AS45" s="248">
        <f>SUM(AS50+AS56+AS60)</f>
        <v>0</v>
      </c>
      <c r="AT45" s="248">
        <f>SUM(AT50+AT56+AT60)</f>
        <v>1267623126.522857</v>
      </c>
      <c r="AU45" s="248">
        <f t="shared" ref="AU45:BB45" si="36">SUM(AU50+AU56+AU60)</f>
        <v>1267623126.522857</v>
      </c>
      <c r="AV45" s="248">
        <f t="shared" si="36"/>
        <v>0</v>
      </c>
      <c r="AW45" s="248">
        <f t="shared" si="36"/>
        <v>0</v>
      </c>
      <c r="AX45" s="248">
        <f t="shared" si="36"/>
        <v>0</v>
      </c>
      <c r="AY45" s="248">
        <f t="shared" si="36"/>
        <v>0</v>
      </c>
      <c r="AZ45" s="248">
        <f t="shared" si="36"/>
        <v>0</v>
      </c>
      <c r="BA45" s="248">
        <f t="shared" si="36"/>
        <v>0</v>
      </c>
      <c r="BB45" s="248">
        <f t="shared" si="36"/>
        <v>0</v>
      </c>
    </row>
    <row r="46" spans="1:58" ht="78.75" outlineLevel="2" x14ac:dyDescent="0.25">
      <c r="A46" s="115"/>
      <c r="B46" s="200"/>
      <c r="C46" s="201"/>
      <c r="D46" s="138"/>
      <c r="E46" s="295"/>
      <c r="F46" s="295"/>
      <c r="G46" s="296"/>
      <c r="H46" s="199" t="s">
        <v>397</v>
      </c>
      <c r="I46" s="130"/>
      <c r="J46" s="126"/>
      <c r="K46" s="126"/>
      <c r="L46" s="125" t="str">
        <f>IF(I46&lt;&gt;0,((VLOOKUP(I46,'1. Standard_Cost'!$B$4:$D$11,2)+VLOOKUP(I46,'1. Standard_Cost'!$B$4:$D$11,3))*J46*K46),"0")</f>
        <v>0</v>
      </c>
      <c r="M46" s="125">
        <f>L46*'1. Standard_Cost'!$F$4</f>
        <v>0</v>
      </c>
      <c r="N46" s="126"/>
      <c r="O46" s="126"/>
      <c r="P46" s="126"/>
      <c r="Q46" s="126"/>
      <c r="R46" s="127">
        <f>'1. Standard_Cost'!$B$15*N46*P46</f>
        <v>0</v>
      </c>
      <c r="S46" s="127">
        <f>N46*O46*P46*'1. Standard_Cost'!$C$15</f>
        <v>0</v>
      </c>
      <c r="T46" s="127">
        <f>N46*P46*Q46*'1. Standard_Cost'!$D$15</f>
        <v>0</v>
      </c>
      <c r="U46" s="127">
        <f>N46*O46*'1. Standard_Cost'!$E$15</f>
        <v>0</v>
      </c>
      <c r="V46" s="126"/>
      <c r="W46" s="126"/>
      <c r="X46" s="126"/>
      <c r="Y46" s="127">
        <f>+V46*((X46*'1. Standard_Cost'!$B$19)+(W46*X46*'1. Standard_Cost'!$C$19))</f>
        <v>0</v>
      </c>
      <c r="Z46" s="126"/>
      <c r="AA46" s="126"/>
      <c r="AB46" s="127">
        <f>+Z46*'1. Standard_Cost'!$B$23+AA46*'1. Standard_Cost'!$C$23</f>
        <v>0</v>
      </c>
      <c r="AC46" s="128"/>
      <c r="AD46" s="129"/>
      <c r="AE46" s="127">
        <f>SUM(AD46,AC46,AB46,Y46,U46,T46,S46,R46)*'1. Standard_Cost'!$B$31</f>
        <v>0</v>
      </c>
      <c r="AF46" s="127">
        <f>SUM(AE46,AD46,AC46,AB46,Y46,U46,T46,S46,R46)</f>
        <v>0</v>
      </c>
      <c r="AG46" s="126"/>
      <c r="AH46" s="126"/>
      <c r="AI46" s="126"/>
      <c r="AJ46" s="130"/>
      <c r="AK46" s="130"/>
      <c r="AL46" s="130"/>
      <c r="AM46" s="127">
        <f>AG46*'1. Standard_Cost'!$B$27+'Incremental_Cost Year 10'!AH46*'1. Standard_Cost'!$C$27+'Incremental_Cost Year 10'!AI46*'1. Standard_Cost'!$D$27+'Incremental_Cost Year 10'!AJ46+'Incremental_Cost Year 10'!AL46+AK46</f>
        <v>0</v>
      </c>
      <c r="AN46" s="127">
        <f>AM46*'1. Standard_Cost'!$C$31</f>
        <v>0</v>
      </c>
      <c r="AO46" s="249"/>
      <c r="AQ46" s="171">
        <f>L46+M46</f>
        <v>0</v>
      </c>
      <c r="AR46" s="171">
        <f>AF46</f>
        <v>0</v>
      </c>
      <c r="AS46" s="171">
        <f>AM46+AN46</f>
        <v>0</v>
      </c>
      <c r="AT46" s="171">
        <f>SUM(AQ46,AR46,AS46)</f>
        <v>0</v>
      </c>
      <c r="AU46" s="250">
        <f>AQ46</f>
        <v>0</v>
      </c>
      <c r="AV46" s="250"/>
      <c r="AW46" s="250"/>
      <c r="AX46" s="250"/>
      <c r="AY46" s="250"/>
      <c r="AZ46" s="250"/>
      <c r="BA46" s="250"/>
      <c r="BB46" s="251">
        <f t="shared" ref="BB46:BB49" si="37">SUM(AU46:BA46)-AT46</f>
        <v>0</v>
      </c>
      <c r="BC46" s="169"/>
      <c r="BD46" s="169"/>
      <c r="BE46" s="169"/>
      <c r="BF46" s="169"/>
    </row>
    <row r="47" spans="1:58" ht="47.25" outlineLevel="2" x14ac:dyDescent="0.25">
      <c r="A47" s="115"/>
      <c r="B47" s="200"/>
      <c r="C47" s="201"/>
      <c r="D47" s="135"/>
      <c r="E47" s="219"/>
      <c r="F47" s="219"/>
      <c r="G47" s="313"/>
      <c r="H47" s="199" t="s">
        <v>307</v>
      </c>
      <c r="I47" s="130"/>
      <c r="J47" s="126"/>
      <c r="K47" s="126"/>
      <c r="L47" s="125" t="str">
        <f>IF(I47&lt;&gt;0,((VLOOKUP(I47,'1. Standard_Cost'!$B$4:$D$11,2)+VLOOKUP(I47,'1. Standard_Cost'!$B$4:$D$11,3))*J47*K47),"0")</f>
        <v>0</v>
      </c>
      <c r="M47" s="125">
        <f>L47*'1. Standard_Cost'!$F$4</f>
        <v>0</v>
      </c>
      <c r="N47" s="126"/>
      <c r="O47" s="126"/>
      <c r="P47" s="126"/>
      <c r="Q47" s="126"/>
      <c r="R47" s="127">
        <f>'1. Standard_Cost'!$B$15*N47*P47</f>
        <v>0</v>
      </c>
      <c r="S47" s="127">
        <f>N47*O47*P47*'1. Standard_Cost'!$C$15</f>
        <v>0</v>
      </c>
      <c r="T47" s="127">
        <f>N47*P47*Q47*'1. Standard_Cost'!$D$15</f>
        <v>0</v>
      </c>
      <c r="U47" s="127">
        <f>N47*O47*'1. Standard_Cost'!$E$15</f>
        <v>0</v>
      </c>
      <c r="V47" s="126"/>
      <c r="W47" s="126"/>
      <c r="X47" s="126"/>
      <c r="Y47" s="127">
        <f>+V47*((X47*'1. Standard_Cost'!$B$19)+(W47*X47*'1. Standard_Cost'!$C$19))</f>
        <v>0</v>
      </c>
      <c r="Z47" s="126"/>
      <c r="AA47" s="126"/>
      <c r="AB47" s="127">
        <f>+Z47*'1. Standard_Cost'!$B$23+AA47*'1. Standard_Cost'!$C$23</f>
        <v>0</v>
      </c>
      <c r="AC47" s="128"/>
      <c r="AD47" s="129"/>
      <c r="AE47" s="127">
        <f>SUM(AD47,AC47,AB47,Y47,U47,T47,S47,R47)*'1. Standard_Cost'!$B$31</f>
        <v>0</v>
      </c>
      <c r="AF47" s="127">
        <f>SUM(AE47,AD47,AC47,AB47,Y47,U47,T47,S47,R47)</f>
        <v>0</v>
      </c>
      <c r="AG47" s="126"/>
      <c r="AH47" s="126"/>
      <c r="AI47" s="126"/>
      <c r="AJ47" s="130"/>
      <c r="AK47" s="130"/>
      <c r="AL47" s="130"/>
      <c r="AM47" s="127">
        <f>AG47*'1. Standard_Cost'!$B$27+'Incremental_Cost Year 10'!AH47*'1. Standard_Cost'!$C$27+'Incremental_Cost Year 10'!AI47*'1. Standard_Cost'!$D$27+'Incremental_Cost Year 10'!AJ47+'Incremental_Cost Year 10'!AL47+AK47</f>
        <v>0</v>
      </c>
      <c r="AN47" s="127">
        <f>AM47*'1. Standard_Cost'!$C$31</f>
        <v>0</v>
      </c>
      <c r="AO47" s="130"/>
      <c r="AQ47" s="171">
        <f>L47+M47</f>
        <v>0</v>
      </c>
      <c r="AR47" s="171">
        <f>AF47</f>
        <v>0</v>
      </c>
      <c r="AS47" s="171">
        <f>AM47+AN47</f>
        <v>0</v>
      </c>
      <c r="AT47" s="171">
        <f>SUM(AQ47,AR47,AS47)</f>
        <v>0</v>
      </c>
      <c r="AU47" s="250"/>
      <c r="AV47" s="250"/>
      <c r="AW47" s="250"/>
      <c r="AX47" s="250"/>
      <c r="AY47" s="250"/>
      <c r="AZ47" s="250"/>
      <c r="BA47" s="250"/>
      <c r="BB47" s="251">
        <f t="shared" si="37"/>
        <v>0</v>
      </c>
      <c r="BC47" s="169"/>
      <c r="BD47" s="169"/>
      <c r="BE47" s="169"/>
      <c r="BF47" s="169"/>
    </row>
    <row r="48" spans="1:58" ht="63" outlineLevel="2" x14ac:dyDescent="0.25">
      <c r="A48" s="115"/>
      <c r="B48" s="200"/>
      <c r="C48" s="201"/>
      <c r="D48" s="135"/>
      <c r="E48" s="219"/>
      <c r="F48" s="219"/>
      <c r="G48" s="313"/>
      <c r="H48" s="199" t="s">
        <v>308</v>
      </c>
      <c r="I48" s="130"/>
      <c r="J48" s="126"/>
      <c r="K48" s="126"/>
      <c r="L48" s="125" t="str">
        <f>IF(I48&lt;&gt;0,((VLOOKUP(I48,'1. Standard_Cost'!$B$4:$D$11,2)+VLOOKUP(I48,'1. Standard_Cost'!$B$4:$D$11,3))*J48*K48),"0")</f>
        <v>0</v>
      </c>
      <c r="M48" s="125">
        <f>L48*'1. Standard_Cost'!$F$4</f>
        <v>0</v>
      </c>
      <c r="N48" s="126"/>
      <c r="O48" s="126"/>
      <c r="P48" s="126"/>
      <c r="Q48" s="126"/>
      <c r="R48" s="127">
        <f>'1. Standard_Cost'!$B$15*N48*P48</f>
        <v>0</v>
      </c>
      <c r="S48" s="127">
        <f>N48*O48*P48*'1. Standard_Cost'!$C$15</f>
        <v>0</v>
      </c>
      <c r="T48" s="127">
        <f>N48*P48*Q48*'1. Standard_Cost'!$D$15</f>
        <v>0</v>
      </c>
      <c r="U48" s="127">
        <f>N48*O48*'1. Standard_Cost'!$E$15</f>
        <v>0</v>
      </c>
      <c r="V48" s="126"/>
      <c r="W48" s="126"/>
      <c r="X48" s="126"/>
      <c r="Y48" s="127">
        <f>+V48*((X48*'1. Standard_Cost'!$B$19)+(W48*X48*'1. Standard_Cost'!$C$19))</f>
        <v>0</v>
      </c>
      <c r="Z48" s="126"/>
      <c r="AA48" s="126"/>
      <c r="AB48" s="127">
        <f>+Z48*'1. Standard_Cost'!$B$23+AA48*'1. Standard_Cost'!$C$23</f>
        <v>0</v>
      </c>
      <c r="AC48" s="128"/>
      <c r="AD48" s="129"/>
      <c r="AE48" s="127">
        <f>SUM(AD48,AC48,AB48,Y48,U48,T48,S48,R48)*'1. Standard_Cost'!$B$31</f>
        <v>0</v>
      </c>
      <c r="AF48" s="127">
        <f>SUM(AE48,AD48,AC48,AB48,Y48,U48,T48,S48,R48)</f>
        <v>0</v>
      </c>
      <c r="AG48" s="126"/>
      <c r="AH48" s="126"/>
      <c r="AI48" s="126"/>
      <c r="AJ48" s="130"/>
      <c r="AK48" s="130"/>
      <c r="AL48" s="130"/>
      <c r="AM48" s="127">
        <f>AG48*'1. Standard_Cost'!$B$27+'Incremental_Cost Year 10'!AH48*'1. Standard_Cost'!$C$27+'Incremental_Cost Year 10'!AI48*'1. Standard_Cost'!$D$27+'Incremental_Cost Year 10'!AJ48+'Incremental_Cost Year 10'!AL48+AK48</f>
        <v>0</v>
      </c>
      <c r="AN48" s="127">
        <f>AM48*'1. Standard_Cost'!$C$31</f>
        <v>0</v>
      </c>
      <c r="AO48" s="249"/>
      <c r="AQ48" s="171">
        <f>L48+M48</f>
        <v>0</v>
      </c>
      <c r="AR48" s="171">
        <f>AF48</f>
        <v>0</v>
      </c>
      <c r="AS48" s="171">
        <f>AM48+AN48</f>
        <v>0</v>
      </c>
      <c r="AT48" s="171">
        <f>SUM(AQ48,AR48,AS48)</f>
        <v>0</v>
      </c>
      <c r="AU48" s="250"/>
      <c r="AV48" s="250"/>
      <c r="AW48" s="250"/>
      <c r="AX48" s="250"/>
      <c r="AY48" s="250"/>
      <c r="AZ48" s="250"/>
      <c r="BA48" s="250"/>
      <c r="BB48" s="251">
        <f t="shared" si="37"/>
        <v>0</v>
      </c>
      <c r="BC48" s="169"/>
      <c r="BD48" s="169"/>
      <c r="BE48" s="169"/>
      <c r="BF48" s="169"/>
    </row>
    <row r="49" spans="1:58" ht="94.5" outlineLevel="2" x14ac:dyDescent="0.25">
      <c r="A49" s="115"/>
      <c r="B49" s="200"/>
      <c r="C49" s="201"/>
      <c r="D49" s="223"/>
      <c r="E49" s="219"/>
      <c r="F49" s="219"/>
      <c r="G49" s="313"/>
      <c r="H49" s="199" t="s">
        <v>398</v>
      </c>
      <c r="I49" s="130"/>
      <c r="J49" s="126"/>
      <c r="K49" s="126"/>
      <c r="L49" s="125" t="str">
        <f>IF(I49&lt;&gt;0,((VLOOKUP(I49,'1. Standard_Cost'!$B$4:$D$11,2)+VLOOKUP(I49,'1. Standard_Cost'!$B$4:$D$11,3))*J49*K49),"0")</f>
        <v>0</v>
      </c>
      <c r="M49" s="125">
        <f>L49*'1. Standard_Cost'!$F$4</f>
        <v>0</v>
      </c>
      <c r="N49" s="126"/>
      <c r="O49" s="126"/>
      <c r="P49" s="126"/>
      <c r="Q49" s="126"/>
      <c r="R49" s="127">
        <f>'1. Standard_Cost'!$B$15*N49*P49</f>
        <v>0</v>
      </c>
      <c r="S49" s="127">
        <f>N49*O49*P49*'1. Standard_Cost'!$C$15</f>
        <v>0</v>
      </c>
      <c r="T49" s="127">
        <f>N49*P49*Q49*'1. Standard_Cost'!$D$15</f>
        <v>0</v>
      </c>
      <c r="U49" s="127">
        <f>N49*O49*'1. Standard_Cost'!$E$15</f>
        <v>0</v>
      </c>
      <c r="V49" s="126"/>
      <c r="W49" s="126"/>
      <c r="X49" s="126"/>
      <c r="Y49" s="127">
        <f>+V49*((X49*'1. Standard_Cost'!$B$19)+(W49*X49*'1. Standard_Cost'!$C$19))</f>
        <v>0</v>
      </c>
      <c r="Z49" s="126"/>
      <c r="AA49" s="126"/>
      <c r="AB49" s="127">
        <f>+Z49*'1. Standard_Cost'!$B$23+AA49*'1. Standard_Cost'!$C$23</f>
        <v>0</v>
      </c>
      <c r="AC49" s="128">
        <v>0</v>
      </c>
      <c r="AD49" s="129"/>
      <c r="AE49" s="127">
        <f>SUM(AD49,AC49,AB49,Y49,U49,T49,S49,R49)*'1. Standard_Cost'!$B$31</f>
        <v>0</v>
      </c>
      <c r="AF49" s="127">
        <f>SUM(AE49,AD49,AC49,AB49,Y49,U49,T49,S49,R49)</f>
        <v>0</v>
      </c>
      <c r="AG49" s="126"/>
      <c r="AH49" s="126"/>
      <c r="AI49" s="126"/>
      <c r="AJ49" s="130"/>
      <c r="AK49" s="130"/>
      <c r="AL49" s="130"/>
      <c r="AM49" s="127">
        <f>AG49*'1. Standard_Cost'!$B$27+'Incremental_Cost Year 10'!AH49*'1. Standard_Cost'!$C$27+'Incremental_Cost Year 10'!AI49*'1. Standard_Cost'!$D$27+'Incremental_Cost Year 10'!AJ49+'Incremental_Cost Year 10'!AL49+AK49</f>
        <v>0</v>
      </c>
      <c r="AN49" s="127">
        <f>AM49*'1. Standard_Cost'!$C$31</f>
        <v>0</v>
      </c>
      <c r="AO49" s="130"/>
      <c r="AQ49" s="171">
        <f>L49+M49</f>
        <v>0</v>
      </c>
      <c r="AR49" s="171">
        <f>AF49</f>
        <v>0</v>
      </c>
      <c r="AS49" s="171">
        <f>AM49+AN49</f>
        <v>0</v>
      </c>
      <c r="AT49" s="171">
        <f>SUM(AQ49,AR49,AS49)</f>
        <v>0</v>
      </c>
      <c r="AU49" s="250"/>
      <c r="AV49" s="250"/>
      <c r="AW49" s="250"/>
      <c r="AX49" s="250"/>
      <c r="AY49" s="250"/>
      <c r="AZ49" s="250"/>
      <c r="BA49" s="250"/>
      <c r="BB49" s="251">
        <f t="shared" si="37"/>
        <v>0</v>
      </c>
      <c r="BC49" s="169"/>
      <c r="BD49" s="169"/>
      <c r="BE49" s="169"/>
      <c r="BF49" s="169"/>
    </row>
    <row r="50" spans="1:58" ht="47.25" outlineLevel="1" x14ac:dyDescent="0.25">
      <c r="A50" s="115"/>
      <c r="B50" s="165"/>
      <c r="C50" s="166"/>
      <c r="D50" s="107" t="s">
        <v>388</v>
      </c>
      <c r="E50" s="139" t="s">
        <v>211</v>
      </c>
      <c r="F50" s="222">
        <v>2021</v>
      </c>
      <c r="G50" s="117">
        <v>2023</v>
      </c>
      <c r="H50" s="134" t="s">
        <v>212</v>
      </c>
      <c r="I50" s="252"/>
      <c r="J50" s="252"/>
      <c r="K50" s="252"/>
      <c r="L50" s="127">
        <f>SUM(L46:L49)</f>
        <v>0</v>
      </c>
      <c r="M50" s="127">
        <f>SUM(M46:M49)</f>
        <v>0</v>
      </c>
      <c r="N50" s="127"/>
      <c r="O50" s="252"/>
      <c r="P50" s="252"/>
      <c r="Q50" s="252"/>
      <c r="R50" s="127">
        <f>SUM(R46:R49)</f>
        <v>0</v>
      </c>
      <c r="S50" s="127">
        <f>SUM(S46:S49)</f>
        <v>0</v>
      </c>
      <c r="T50" s="127">
        <f>SUM(T46:T49)</f>
        <v>0</v>
      </c>
      <c r="U50" s="127">
        <f>SUM(U46:U49)</f>
        <v>0</v>
      </c>
      <c r="V50" s="252"/>
      <c r="W50" s="252"/>
      <c r="X50" s="252"/>
      <c r="Y50" s="127">
        <f>SUM(Y46:Y49)</f>
        <v>0</v>
      </c>
      <c r="Z50" s="252"/>
      <c r="AA50" s="252"/>
      <c r="AB50" s="127">
        <f>SUM(AB46:AB49)</f>
        <v>0</v>
      </c>
      <c r="AC50" s="127">
        <f>SUM(AC46:AC49)</f>
        <v>0</v>
      </c>
      <c r="AD50" s="127">
        <f>SUM(AD46:AD49)</f>
        <v>0</v>
      </c>
      <c r="AE50" s="127">
        <f>SUM(AE46:AE49)</f>
        <v>0</v>
      </c>
      <c r="AF50" s="127">
        <f>SUM(AF46:AF49)</f>
        <v>0</v>
      </c>
      <c r="AG50" s="252"/>
      <c r="AH50" s="252"/>
      <c r="AI50" s="252"/>
      <c r="AJ50" s="127">
        <f>SUM(AJ46:AJ49)</f>
        <v>0</v>
      </c>
      <c r="AK50" s="127">
        <f>SUM(AK46:AK49)</f>
        <v>0</v>
      </c>
      <c r="AL50" s="127">
        <f>SUM(AL46:AL49)</f>
        <v>0</v>
      </c>
      <c r="AM50" s="127">
        <f>SUM(AM46:AM49)</f>
        <v>0</v>
      </c>
      <c r="AN50" s="127">
        <f>SUM(AN46:AN49)</f>
        <v>0</v>
      </c>
      <c r="AO50" s="253"/>
      <c r="AP50" s="254"/>
      <c r="AQ50" s="175">
        <f>SUM(AQ46:AQ49)</f>
        <v>0</v>
      </c>
      <c r="AR50" s="175">
        <f>SUM(AR46:AR49)</f>
        <v>0</v>
      </c>
      <c r="AS50" s="175">
        <f>SUM(AS46:AS49)</f>
        <v>0</v>
      </c>
      <c r="AT50" s="175">
        <f>SUM(AT46:AT49)</f>
        <v>0</v>
      </c>
      <c r="AU50" s="175">
        <f t="shared" ref="AU50:BB50" si="38">SUM(AU46:AU49)</f>
        <v>0</v>
      </c>
      <c r="AV50" s="175">
        <f t="shared" si="38"/>
        <v>0</v>
      </c>
      <c r="AW50" s="175">
        <f t="shared" si="38"/>
        <v>0</v>
      </c>
      <c r="AX50" s="175">
        <f t="shared" si="38"/>
        <v>0</v>
      </c>
      <c r="AY50" s="175">
        <f t="shared" si="38"/>
        <v>0</v>
      </c>
      <c r="AZ50" s="175">
        <f t="shared" si="38"/>
        <v>0</v>
      </c>
      <c r="BA50" s="175">
        <f t="shared" si="38"/>
        <v>0</v>
      </c>
      <c r="BB50" s="175">
        <f t="shared" si="38"/>
        <v>0</v>
      </c>
      <c r="BC50" s="169"/>
      <c r="BD50" s="169"/>
      <c r="BE50" s="169"/>
      <c r="BF50" s="169"/>
    </row>
    <row r="51" spans="1:58" ht="126" outlineLevel="2" x14ac:dyDescent="0.25">
      <c r="A51" s="115"/>
      <c r="B51" s="200"/>
      <c r="C51" s="201"/>
      <c r="D51" s="138"/>
      <c r="E51" s="295"/>
      <c r="F51" s="295"/>
      <c r="G51" s="296"/>
      <c r="H51" s="199" t="s">
        <v>399</v>
      </c>
      <c r="I51" s="130"/>
      <c r="J51" s="126"/>
      <c r="K51" s="126"/>
      <c r="L51" s="125" t="str">
        <f>IF(I51&lt;&gt;0,((VLOOKUP(I51,'1. Standard_Cost'!$B$4:$D$11,2)+VLOOKUP(I51,'1. Standard_Cost'!$B$4:$D$11,3))*J51*K51),"0")</f>
        <v>0</v>
      </c>
      <c r="M51" s="125">
        <f>L51*'1. Standard_Cost'!$F$4</f>
        <v>0</v>
      </c>
      <c r="N51" s="126"/>
      <c r="O51" s="126"/>
      <c r="P51" s="126"/>
      <c r="Q51" s="126"/>
      <c r="R51" s="127">
        <f>'1. Standard_Cost'!$B$15*N51*P51</f>
        <v>0</v>
      </c>
      <c r="S51" s="127">
        <f>N51*O51*P51*'1. Standard_Cost'!$C$15</f>
        <v>0</v>
      </c>
      <c r="T51" s="127">
        <f>N51*P51*Q51*'1. Standard_Cost'!$D$15</f>
        <v>0</v>
      </c>
      <c r="U51" s="127">
        <f>N51*O51*'1. Standard_Cost'!$E$15</f>
        <v>0</v>
      </c>
      <c r="V51" s="126"/>
      <c r="W51" s="126"/>
      <c r="X51" s="126"/>
      <c r="Y51" s="127">
        <f>+V51*((X51*'1. Standard_Cost'!$B$19)+(W51*X51*'1. Standard_Cost'!$C$19))</f>
        <v>0</v>
      </c>
      <c r="Z51" s="126"/>
      <c r="AA51" s="126"/>
      <c r="AB51" s="127">
        <f>+Z51*'1. Standard_Cost'!$B$23+AA51*'1. Standard_Cost'!$C$23</f>
        <v>0</v>
      </c>
      <c r="AC51" s="128"/>
      <c r="AD51" s="129"/>
      <c r="AE51" s="127">
        <f>SUM(AD51,AC51,AB51,Y51,U51,T51,S51,R51)*'1. Standard_Cost'!$B$31</f>
        <v>0</v>
      </c>
      <c r="AF51" s="127">
        <f>SUM(AE51,AD51,AC51,AB51,Y51,U51,T51,S51,R51)</f>
        <v>0</v>
      </c>
      <c r="AG51" s="126"/>
      <c r="AH51" s="126"/>
      <c r="AI51" s="126"/>
      <c r="AJ51" s="130"/>
      <c r="AK51" s="130"/>
      <c r="AL51" s="130"/>
      <c r="AM51" s="127">
        <f>AG51*'1. Standard_Cost'!$B$27+'Incremental_Cost Year 10'!AH51*'1. Standard_Cost'!$C$27+'Incremental_Cost Year 10'!AI51*'1. Standard_Cost'!$D$27+'Incremental_Cost Year 10'!AJ51+'Incremental_Cost Year 10'!AL51+AK51</f>
        <v>0</v>
      </c>
      <c r="AN51" s="127">
        <f>AM51*'1. Standard_Cost'!$C$31</f>
        <v>0</v>
      </c>
      <c r="AO51" s="249"/>
      <c r="AQ51" s="171">
        <f>L51+M51</f>
        <v>0</v>
      </c>
      <c r="AR51" s="171">
        <f>AF51</f>
        <v>0</v>
      </c>
      <c r="AS51" s="171">
        <f>AM51+AN51</f>
        <v>0</v>
      </c>
      <c r="AT51" s="171">
        <f>SUM(AQ51,AR51,AS51)</f>
        <v>0</v>
      </c>
      <c r="AU51" s="250">
        <f>AQ51</f>
        <v>0</v>
      </c>
      <c r="AV51" s="250"/>
      <c r="AW51" s="250"/>
      <c r="AX51" s="250"/>
      <c r="AY51" s="250">
        <f>AR51</f>
        <v>0</v>
      </c>
      <c r="AZ51" s="250"/>
      <c r="BA51" s="250"/>
      <c r="BB51" s="251">
        <f t="shared" ref="BB51:BB55" si="39">SUM(AU51:BA51)-AT51</f>
        <v>0</v>
      </c>
      <c r="BC51" s="169"/>
      <c r="BD51" s="169"/>
      <c r="BE51" s="169"/>
      <c r="BF51" s="169"/>
    </row>
    <row r="52" spans="1:58" ht="63" outlineLevel="2" x14ac:dyDescent="0.25">
      <c r="A52" s="115"/>
      <c r="B52" s="200"/>
      <c r="C52" s="201"/>
      <c r="D52" s="135"/>
      <c r="E52" s="219"/>
      <c r="F52" s="219"/>
      <c r="G52" s="313"/>
      <c r="H52" s="213" t="s">
        <v>400</v>
      </c>
      <c r="I52" s="130" t="s">
        <v>1</v>
      </c>
      <c r="J52" s="126">
        <v>12</v>
      </c>
      <c r="K52" s="126">
        <f>416*3</f>
        <v>1248</v>
      </c>
      <c r="L52" s="125">
        <f>IF(I52&lt;&gt;0,((VLOOKUP(I52,'1. Standard_Cost'!$B$4:$D$11,2)+VLOOKUP(I52,'1. Standard_Cost'!$B$4:$D$11,3))*J52*K52),"0")</f>
        <v>1075169828.5714285</v>
      </c>
      <c r="M52" s="125">
        <f>L52*'1. Standard_Cost'!$F$4</f>
        <v>179553361.37142858</v>
      </c>
      <c r="N52" s="126"/>
      <c r="O52" s="126"/>
      <c r="P52" s="126"/>
      <c r="Q52" s="126"/>
      <c r="R52" s="127">
        <f>'1. Standard_Cost'!$B$15*N52*P52</f>
        <v>0</v>
      </c>
      <c r="S52" s="127">
        <f>N52*O52*P52*'1. Standard_Cost'!$C$15</f>
        <v>0</v>
      </c>
      <c r="T52" s="127">
        <f>N52*P52*Q52*'1. Standard_Cost'!$D$15</f>
        <v>0</v>
      </c>
      <c r="U52" s="127">
        <f>N52*O52*'1. Standard_Cost'!$E$15</f>
        <v>0</v>
      </c>
      <c r="V52" s="126"/>
      <c r="W52" s="126"/>
      <c r="X52" s="126"/>
      <c r="Y52" s="127">
        <f>+V52*((X52*'1. Standard_Cost'!$B$19)+(W52*X52*'1. Standard_Cost'!$C$19))</f>
        <v>0</v>
      </c>
      <c r="Z52" s="126"/>
      <c r="AA52" s="126"/>
      <c r="AB52" s="127">
        <f>+Z52*'1. Standard_Cost'!$B$23+AA52*'1. Standard_Cost'!$C$23</f>
        <v>0</v>
      </c>
      <c r="AC52" s="128">
        <f>100000/12*3*402</f>
        <v>10050000</v>
      </c>
      <c r="AD52" s="129"/>
      <c r="AE52" s="127">
        <f>SUM(AD52,AC52,AB52,Y52,U52,T52,S52,R52)*'1. Standard_Cost'!$B$31</f>
        <v>2010000</v>
      </c>
      <c r="AF52" s="127">
        <f>SUM(AE52,AD52,AC52,AB52,Y52,U52,T52,S52,R52)</f>
        <v>12060000</v>
      </c>
      <c r="AG52" s="126"/>
      <c r="AH52" s="126"/>
      <c r="AI52" s="126"/>
      <c r="AJ52" s="130"/>
      <c r="AK52" s="130"/>
      <c r="AL52" s="130"/>
      <c r="AM52" s="127">
        <f>AG52*'1. Standard_Cost'!$B$27+'Incremental_Cost Year 10'!AH52*'1. Standard_Cost'!$C$27+'Incremental_Cost Year 10'!AI52*'1. Standard_Cost'!$D$27+'Incremental_Cost Year 10'!AJ52+'Incremental_Cost Year 10'!AL52+AK52</f>
        <v>0</v>
      </c>
      <c r="AN52" s="127">
        <f>AM52*'1. Standard_Cost'!$C$31</f>
        <v>0</v>
      </c>
      <c r="AO52" s="130"/>
      <c r="AQ52" s="171">
        <f>L52+M52</f>
        <v>1254723189.942857</v>
      </c>
      <c r="AR52" s="171">
        <f>AF52</f>
        <v>12060000</v>
      </c>
      <c r="AS52" s="171">
        <f>AM52+AN52</f>
        <v>0</v>
      </c>
      <c r="AT52" s="171">
        <f>SUM(AQ52,AR52,AS52)</f>
        <v>1266783189.942857</v>
      </c>
      <c r="AU52" s="250">
        <f>AT52</f>
        <v>1266783189.942857</v>
      </c>
      <c r="AV52" s="250"/>
      <c r="AW52" s="250"/>
      <c r="AX52" s="250"/>
      <c r="AY52" s="250"/>
      <c r="AZ52" s="250"/>
      <c r="BA52" s="250"/>
      <c r="BB52" s="251">
        <f t="shared" si="39"/>
        <v>0</v>
      </c>
      <c r="BC52" s="169"/>
      <c r="BD52" s="169"/>
      <c r="BE52" s="169"/>
      <c r="BF52" s="169"/>
    </row>
    <row r="53" spans="1:58" ht="94.5" outlineLevel="2" x14ac:dyDescent="0.25">
      <c r="A53" s="115"/>
      <c r="B53" s="200"/>
      <c r="C53" s="201"/>
      <c r="D53" s="135"/>
      <c r="E53" s="219"/>
      <c r="F53" s="219"/>
      <c r="G53" s="313"/>
      <c r="H53" s="199" t="s">
        <v>227</v>
      </c>
      <c r="I53" s="130" t="s">
        <v>3</v>
      </c>
      <c r="J53" s="126">
        <v>6</v>
      </c>
      <c r="K53" s="126">
        <v>1</v>
      </c>
      <c r="L53" s="125">
        <f>IF(I53&lt;&gt;0,((VLOOKUP(I53,'1. Standard_Cost'!$B$4:$D$11,2)+VLOOKUP(I53,'1. Standard_Cost'!$B$4:$D$11,3))*J53*K53),"0")</f>
        <v>604800</v>
      </c>
      <c r="M53" s="125">
        <f>L53*'1. Standard_Cost'!$F$4</f>
        <v>101001.60000000001</v>
      </c>
      <c r="N53" s="126"/>
      <c r="O53" s="126"/>
      <c r="P53" s="126"/>
      <c r="Q53" s="126"/>
      <c r="R53" s="127">
        <f>'1. Standard_Cost'!$B$15*N53*P53</f>
        <v>0</v>
      </c>
      <c r="S53" s="127">
        <f>N53*O53*P53*'1. Standard_Cost'!$C$15</f>
        <v>0</v>
      </c>
      <c r="T53" s="127">
        <f>N53*P53*Q53*'1. Standard_Cost'!$D$15</f>
        <v>0</v>
      </c>
      <c r="U53" s="127">
        <f>N53*O53*'1. Standard_Cost'!$E$15</f>
        <v>0</v>
      </c>
      <c r="V53" s="126"/>
      <c r="W53" s="126"/>
      <c r="X53" s="126"/>
      <c r="Y53" s="127">
        <f>+V53*((X53*'1. Standard_Cost'!$B$19)+(W53*X53*'1. Standard_Cost'!$C$19))</f>
        <v>0</v>
      </c>
      <c r="Z53" s="126"/>
      <c r="AA53" s="126"/>
      <c r="AB53" s="127">
        <f>+Z53*'1. Standard_Cost'!$B$23+AA53*'1. Standard_Cost'!$C$23</f>
        <v>0</v>
      </c>
      <c r="AC53" s="128"/>
      <c r="AD53" s="129"/>
      <c r="AE53" s="127">
        <f>SUM(AD53,AC53,AB53,Y53,U53,T53,S53,R53)*'1. Standard_Cost'!$B$31</f>
        <v>0</v>
      </c>
      <c r="AF53" s="127">
        <f>SUM(AE53,AD53,AC53,AB53,Y53,U53,T53,S53,R53)</f>
        <v>0</v>
      </c>
      <c r="AG53" s="126"/>
      <c r="AH53" s="126"/>
      <c r="AI53" s="126"/>
      <c r="AJ53" s="130"/>
      <c r="AK53" s="130"/>
      <c r="AL53" s="130"/>
      <c r="AM53" s="127">
        <f>AG53*'1. Standard_Cost'!$B$27+'Incremental_Cost Year 10'!AH53*'1. Standard_Cost'!$C$27+'Incremental_Cost Year 10'!AI53*'1. Standard_Cost'!$D$27+'Incremental_Cost Year 10'!AJ53+'Incremental_Cost Year 10'!AL53+AK53</f>
        <v>0</v>
      </c>
      <c r="AN53" s="127">
        <f>AM53*'1. Standard_Cost'!$C$31</f>
        <v>0</v>
      </c>
      <c r="AO53" s="130"/>
      <c r="AQ53" s="171">
        <f>L53+M53</f>
        <v>705801.6</v>
      </c>
      <c r="AR53" s="171">
        <f>AF53</f>
        <v>0</v>
      </c>
      <c r="AS53" s="171">
        <f>AM53+AN53</f>
        <v>0</v>
      </c>
      <c r="AT53" s="171">
        <f>SUM(AQ53,AR53,AS53)</f>
        <v>705801.6</v>
      </c>
      <c r="AU53" s="250">
        <f>AQ53</f>
        <v>705801.6</v>
      </c>
      <c r="AV53" s="250"/>
      <c r="AW53" s="250"/>
      <c r="AX53" s="250"/>
      <c r="AY53" s="250"/>
      <c r="AZ53" s="250"/>
      <c r="BA53" s="250"/>
      <c r="BB53" s="251">
        <f t="shared" si="39"/>
        <v>0</v>
      </c>
      <c r="BC53" s="169"/>
      <c r="BD53" s="169"/>
      <c r="BE53" s="169"/>
      <c r="BF53" s="169"/>
    </row>
    <row r="54" spans="1:58" ht="78.75" outlineLevel="2" x14ac:dyDescent="0.25">
      <c r="A54" s="115"/>
      <c r="B54" s="200"/>
      <c r="C54" s="201"/>
      <c r="D54" s="135"/>
      <c r="E54" s="219"/>
      <c r="F54" s="219"/>
      <c r="G54" s="313"/>
      <c r="H54" s="199" t="s">
        <v>228</v>
      </c>
      <c r="I54" s="130" t="s">
        <v>5</v>
      </c>
      <c r="J54" s="126">
        <v>0.2</v>
      </c>
      <c r="K54" s="126">
        <v>1</v>
      </c>
      <c r="L54" s="125">
        <f>IF(I54&lt;&gt;0,((VLOOKUP(I54,'1. Standard_Cost'!$B$4:$D$11,2)+VLOOKUP(I54,'1. Standard_Cost'!$B$4:$D$11,3))*J54*K54),"0")</f>
        <v>14140</v>
      </c>
      <c r="M54" s="125">
        <f>L54*'1. Standard_Cost'!$F$4</f>
        <v>2361.38</v>
      </c>
      <c r="N54" s="126"/>
      <c r="O54" s="126"/>
      <c r="P54" s="126"/>
      <c r="Q54" s="126"/>
      <c r="R54" s="127">
        <f>'1. Standard_Cost'!$B$15*N54*P54</f>
        <v>0</v>
      </c>
      <c r="S54" s="127">
        <f>N54*O54*P54*'1. Standard_Cost'!$C$15</f>
        <v>0</v>
      </c>
      <c r="T54" s="127">
        <f>N54*P54*Q54*'1. Standard_Cost'!$D$15</f>
        <v>0</v>
      </c>
      <c r="U54" s="127">
        <f>N54*O54*'1. Standard_Cost'!$E$15</f>
        <v>0</v>
      </c>
      <c r="V54" s="126"/>
      <c r="W54" s="126"/>
      <c r="X54" s="126"/>
      <c r="Y54" s="127">
        <f>+V54*((X54*'1. Standard_Cost'!$B$19)+(W54*X54*'1. Standard_Cost'!$C$19))</f>
        <v>0</v>
      </c>
      <c r="Z54" s="126"/>
      <c r="AA54" s="126"/>
      <c r="AB54" s="127">
        <f>+Z54*'1. Standard_Cost'!$B$23+AA54*'1. Standard_Cost'!$C$23</f>
        <v>0</v>
      </c>
      <c r="AC54" s="128"/>
      <c r="AD54" s="129"/>
      <c r="AE54" s="127">
        <f>SUM(AD54,AC54,AB54,Y54,U54,T54,S54,R54)*'1. Standard_Cost'!$B$31</f>
        <v>0</v>
      </c>
      <c r="AF54" s="127">
        <f>SUM(AE54,AD54,AC54,AB54,Y54,U54,T54,S54,R54)</f>
        <v>0</v>
      </c>
      <c r="AG54" s="126"/>
      <c r="AH54" s="126"/>
      <c r="AI54" s="126"/>
      <c r="AJ54" s="130"/>
      <c r="AK54" s="130"/>
      <c r="AL54" s="130"/>
      <c r="AM54" s="127">
        <f>AG54*'1. Standard_Cost'!$B$27+'Incremental_Cost Year 10'!AH54*'1. Standard_Cost'!$C$27+'Incremental_Cost Year 10'!AI54*'1. Standard_Cost'!$D$27+'Incremental_Cost Year 10'!AJ54+'Incremental_Cost Year 10'!AL54+AK54</f>
        <v>0</v>
      </c>
      <c r="AN54" s="127">
        <f>AM54*'1. Standard_Cost'!$C$31</f>
        <v>0</v>
      </c>
      <c r="AO54" s="130"/>
      <c r="AQ54" s="171">
        <f>L54+M54</f>
        <v>16501.38</v>
      </c>
      <c r="AR54" s="171">
        <f>AF54</f>
        <v>0</v>
      </c>
      <c r="AS54" s="171">
        <f>AM54+AN54</f>
        <v>0</v>
      </c>
      <c r="AT54" s="171">
        <f>SUM(AQ54,AR54,AS54)</f>
        <v>16501.38</v>
      </c>
      <c r="AU54" s="250">
        <f>AQ54</f>
        <v>16501.38</v>
      </c>
      <c r="AV54" s="250"/>
      <c r="AW54" s="250"/>
      <c r="AX54" s="250"/>
      <c r="AY54" s="250"/>
      <c r="AZ54" s="250"/>
      <c r="BA54" s="250"/>
      <c r="BB54" s="251">
        <f t="shared" si="39"/>
        <v>0</v>
      </c>
      <c r="BC54" s="169"/>
      <c r="BD54" s="169"/>
      <c r="BE54" s="169"/>
      <c r="BF54" s="169"/>
    </row>
    <row r="55" spans="1:58" ht="63" outlineLevel="2" x14ac:dyDescent="0.25">
      <c r="A55" s="115"/>
      <c r="B55" s="200"/>
      <c r="C55" s="201"/>
      <c r="D55" s="223"/>
      <c r="E55" s="219"/>
      <c r="F55" s="219"/>
      <c r="G55" s="313"/>
      <c r="H55" s="199" t="s">
        <v>229</v>
      </c>
      <c r="I55" s="130" t="s">
        <v>3</v>
      </c>
      <c r="J55" s="126">
        <v>1</v>
      </c>
      <c r="K55" s="126">
        <v>1</v>
      </c>
      <c r="L55" s="125">
        <f>IF(I55&lt;&gt;0,((VLOOKUP(I55,'1. Standard_Cost'!$B$4:$D$11,2)+VLOOKUP(I55,'1. Standard_Cost'!$B$4:$D$11,3))*J55*K55),"0")</f>
        <v>100800</v>
      </c>
      <c r="M55" s="125">
        <f>L55*'1. Standard_Cost'!$F$4</f>
        <v>16833.600000000002</v>
      </c>
      <c r="N55" s="126"/>
      <c r="O55" s="126"/>
      <c r="P55" s="126"/>
      <c r="Q55" s="126"/>
      <c r="R55" s="127">
        <f>'1. Standard_Cost'!$B$15*N55*P55</f>
        <v>0</v>
      </c>
      <c r="S55" s="127">
        <f>N55*O55*P55*'1. Standard_Cost'!$C$15</f>
        <v>0</v>
      </c>
      <c r="T55" s="127">
        <f>N55*P55*Q55*'1. Standard_Cost'!$D$15</f>
        <v>0</v>
      </c>
      <c r="U55" s="127">
        <f>N55*O55*'1. Standard_Cost'!$E$15</f>
        <v>0</v>
      </c>
      <c r="V55" s="126"/>
      <c r="W55" s="126"/>
      <c r="X55" s="126"/>
      <c r="Y55" s="127">
        <f>+V55*((X55*'1. Standard_Cost'!$B$19)+(W55*X55*'1. Standard_Cost'!$C$19))</f>
        <v>0</v>
      </c>
      <c r="Z55" s="126"/>
      <c r="AA55" s="126"/>
      <c r="AB55" s="127">
        <f>+Z55*'1. Standard_Cost'!$B$23+AA55*'1. Standard_Cost'!$C$23</f>
        <v>0</v>
      </c>
      <c r="AC55" s="128"/>
      <c r="AD55" s="129"/>
      <c r="AE55" s="127">
        <f>SUM(AD55,AC55,AB55,Y55,U55,T55,S55,R55)*'1. Standard_Cost'!$B$31</f>
        <v>0</v>
      </c>
      <c r="AF55" s="127">
        <f>SUM(AE55,AD55,AC55,AB55,Y55,U55,T55,S55,R55)</f>
        <v>0</v>
      </c>
      <c r="AG55" s="126"/>
      <c r="AH55" s="126"/>
      <c r="AI55" s="126"/>
      <c r="AJ55" s="130"/>
      <c r="AK55" s="130"/>
      <c r="AL55" s="130"/>
      <c r="AM55" s="127">
        <f>AG55*'1. Standard_Cost'!$B$27+'Incremental_Cost Year 10'!AH55*'1. Standard_Cost'!$C$27+'Incremental_Cost Year 10'!AI55*'1. Standard_Cost'!$D$27+'Incremental_Cost Year 10'!AJ55+'Incremental_Cost Year 10'!AL55+AK55</f>
        <v>0</v>
      </c>
      <c r="AN55" s="127">
        <f>AM55*'1. Standard_Cost'!$C$31</f>
        <v>0</v>
      </c>
      <c r="AO55" s="130"/>
      <c r="AQ55" s="171">
        <f>L55+M55</f>
        <v>117633.60000000001</v>
      </c>
      <c r="AR55" s="171">
        <f>AF55</f>
        <v>0</v>
      </c>
      <c r="AS55" s="171">
        <f>AM55+AN55</f>
        <v>0</v>
      </c>
      <c r="AT55" s="171">
        <f>SUM(AQ55,AR55,AS55)</f>
        <v>117633.60000000001</v>
      </c>
      <c r="AU55" s="250">
        <f>AQ55</f>
        <v>117633.60000000001</v>
      </c>
      <c r="AV55" s="250"/>
      <c r="AW55" s="250"/>
      <c r="AX55" s="250"/>
      <c r="AY55" s="250"/>
      <c r="AZ55" s="250"/>
      <c r="BA55" s="250"/>
      <c r="BB55" s="251">
        <f t="shared" si="39"/>
        <v>0</v>
      </c>
      <c r="BC55" s="169"/>
      <c r="BD55" s="169"/>
      <c r="BE55" s="169"/>
      <c r="BF55" s="169"/>
    </row>
    <row r="56" spans="1:58" ht="94.5" outlineLevel="1" x14ac:dyDescent="0.25">
      <c r="A56" s="115"/>
      <c r="B56" s="165"/>
      <c r="C56" s="166"/>
      <c r="D56" s="107" t="s">
        <v>401</v>
      </c>
      <c r="E56" s="139" t="s">
        <v>214</v>
      </c>
      <c r="F56" s="222">
        <v>2021</v>
      </c>
      <c r="G56" s="117">
        <v>2030</v>
      </c>
      <c r="H56" s="134" t="s">
        <v>215</v>
      </c>
      <c r="I56" s="252"/>
      <c r="J56" s="252"/>
      <c r="K56" s="252"/>
      <c r="L56" s="127">
        <f>SUM(L51:L55)</f>
        <v>1075889568.5714285</v>
      </c>
      <c r="M56" s="127">
        <f>SUM(M51:M55)</f>
        <v>179673557.95142856</v>
      </c>
      <c r="N56" s="127"/>
      <c r="O56" s="252"/>
      <c r="P56" s="252"/>
      <c r="Q56" s="252"/>
      <c r="R56" s="127">
        <f>SUM(R51:R55)</f>
        <v>0</v>
      </c>
      <c r="S56" s="127">
        <f>SUM(S51:S55)</f>
        <v>0</v>
      </c>
      <c r="T56" s="127">
        <f>SUM(T51:T55)</f>
        <v>0</v>
      </c>
      <c r="U56" s="127">
        <f>SUM(U51:U55)</f>
        <v>0</v>
      </c>
      <c r="V56" s="252"/>
      <c r="W56" s="252"/>
      <c r="X56" s="252"/>
      <c r="Y56" s="127">
        <f>SUM(Y51:Y55)</f>
        <v>0</v>
      </c>
      <c r="Z56" s="252"/>
      <c r="AA56" s="252"/>
      <c r="AB56" s="127">
        <f>SUM(AB51:AB55)</f>
        <v>0</v>
      </c>
      <c r="AC56" s="127">
        <f>SUM(AC51:AC55)</f>
        <v>10050000</v>
      </c>
      <c r="AD56" s="127">
        <f>SUM(AD51:AD55)</f>
        <v>0</v>
      </c>
      <c r="AE56" s="127">
        <f>SUM(AE51:AE55)</f>
        <v>2010000</v>
      </c>
      <c r="AF56" s="127">
        <f>SUM(AF51:AF55)</f>
        <v>12060000</v>
      </c>
      <c r="AG56" s="252"/>
      <c r="AH56" s="252"/>
      <c r="AI56" s="252"/>
      <c r="AJ56" s="127">
        <f>SUM(AJ51:AJ55)</f>
        <v>0</v>
      </c>
      <c r="AK56" s="127">
        <f>SUM(AK51:AK55)</f>
        <v>0</v>
      </c>
      <c r="AL56" s="127">
        <f>SUM(AL51:AL55)</f>
        <v>0</v>
      </c>
      <c r="AM56" s="127">
        <f>SUM(AM51:AM55)</f>
        <v>0</v>
      </c>
      <c r="AN56" s="127">
        <f>SUM(AN51:AN55)</f>
        <v>0</v>
      </c>
      <c r="AO56" s="253"/>
      <c r="AP56" s="254"/>
      <c r="AQ56" s="175">
        <f>SUM(AQ51:AQ55)</f>
        <v>1255563126.522857</v>
      </c>
      <c r="AR56" s="175">
        <f>SUM(AR51:AR55)</f>
        <v>12060000</v>
      </c>
      <c r="AS56" s="175">
        <f>SUM(AS51:AS55)</f>
        <v>0</v>
      </c>
      <c r="AT56" s="175">
        <f>SUM(AT51:AT55)</f>
        <v>1267623126.522857</v>
      </c>
      <c r="AU56" s="175">
        <f t="shared" ref="AU56:BB56" si="40">SUM(AU51:AU55)</f>
        <v>1267623126.522857</v>
      </c>
      <c r="AV56" s="175">
        <f t="shared" si="40"/>
        <v>0</v>
      </c>
      <c r="AW56" s="175">
        <f t="shared" si="40"/>
        <v>0</v>
      </c>
      <c r="AX56" s="175">
        <f t="shared" si="40"/>
        <v>0</v>
      </c>
      <c r="AY56" s="175">
        <f t="shared" si="40"/>
        <v>0</v>
      </c>
      <c r="AZ56" s="175">
        <f t="shared" si="40"/>
        <v>0</v>
      </c>
      <c r="BA56" s="175">
        <f t="shared" si="40"/>
        <v>0</v>
      </c>
      <c r="BB56" s="175">
        <f t="shared" si="40"/>
        <v>0</v>
      </c>
      <c r="BC56" s="169"/>
      <c r="BD56" s="169"/>
      <c r="BE56" s="169"/>
      <c r="BF56" s="169"/>
    </row>
    <row r="57" spans="1:58" ht="110.25" outlineLevel="2" x14ac:dyDescent="0.25">
      <c r="A57" s="115"/>
      <c r="B57" s="200"/>
      <c r="C57" s="201"/>
      <c r="D57" s="138"/>
      <c r="E57" s="219"/>
      <c r="F57" s="219"/>
      <c r="G57" s="313"/>
      <c r="H57" s="199" t="s">
        <v>402</v>
      </c>
      <c r="I57" s="130"/>
      <c r="J57" s="126"/>
      <c r="K57" s="126"/>
      <c r="L57" s="125" t="str">
        <f>IF(I57&lt;&gt;0,((VLOOKUP(I57,'1. Standard_Cost'!$B$4:$D$11,2)+VLOOKUP(I57,'1. Standard_Cost'!$B$4:$D$11,3))*J57*K57),"0")</f>
        <v>0</v>
      </c>
      <c r="M57" s="125">
        <f>L57*'1. Standard_Cost'!$F$4</f>
        <v>0</v>
      </c>
      <c r="N57" s="126"/>
      <c r="O57" s="126"/>
      <c r="P57" s="126"/>
      <c r="Q57" s="126"/>
      <c r="R57" s="127">
        <f>'1. Standard_Cost'!$B$15*N57*P57</f>
        <v>0</v>
      </c>
      <c r="S57" s="127">
        <f>N57*O57*P57*'1. Standard_Cost'!$C$15</f>
        <v>0</v>
      </c>
      <c r="T57" s="127">
        <f>N57*P57*Q57*'1. Standard_Cost'!$D$15</f>
        <v>0</v>
      </c>
      <c r="U57" s="127">
        <f>N57*O57*'1. Standard_Cost'!$E$15</f>
        <v>0</v>
      </c>
      <c r="V57" s="126"/>
      <c r="W57" s="126"/>
      <c r="X57" s="126"/>
      <c r="Y57" s="127">
        <f>+V57*((X57*'1. Standard_Cost'!$B$19)+(W57*X57*'1. Standard_Cost'!$C$19))</f>
        <v>0</v>
      </c>
      <c r="Z57" s="126"/>
      <c r="AA57" s="126"/>
      <c r="AB57" s="127">
        <f>+Z57*'1. Standard_Cost'!$B$23+AA57*'1. Standard_Cost'!$C$23</f>
        <v>0</v>
      </c>
      <c r="AC57" s="128"/>
      <c r="AD57" s="129"/>
      <c r="AE57" s="127">
        <f>SUM(AD57,AC57,AB57,Y57,U57,T57,S57,R57)*'1. Standard_Cost'!$B$31</f>
        <v>0</v>
      </c>
      <c r="AF57" s="127">
        <f>SUM(AE57,AD57,AC57,AB57,Y57,U57,T57,S57,R57)</f>
        <v>0</v>
      </c>
      <c r="AG57" s="126"/>
      <c r="AH57" s="126"/>
      <c r="AI57" s="126"/>
      <c r="AJ57" s="130"/>
      <c r="AK57" s="130"/>
      <c r="AL57" s="130"/>
      <c r="AM57" s="127">
        <f>AG57*'1. Standard_Cost'!$B$27+'Incremental_Cost Year 10'!AH57*'1. Standard_Cost'!$C$27+'Incremental_Cost Year 10'!AI57*'1. Standard_Cost'!$D$27+'Incremental_Cost Year 10'!AJ57+'Incremental_Cost Year 10'!AL57+AK57</f>
        <v>0</v>
      </c>
      <c r="AN57" s="127">
        <f>AM57*'1. Standard_Cost'!$C$31</f>
        <v>0</v>
      </c>
      <c r="AO57" s="249"/>
      <c r="AQ57" s="171">
        <f>L57+M57</f>
        <v>0</v>
      </c>
      <c r="AR57" s="171">
        <f>AF57</f>
        <v>0</v>
      </c>
      <c r="AS57" s="171">
        <f>AM57+AN57</f>
        <v>0</v>
      </c>
      <c r="AT57" s="171">
        <f>SUM(AQ57,AR57,AS57)</f>
        <v>0</v>
      </c>
      <c r="AU57" s="250"/>
      <c r="AV57" s="250"/>
      <c r="AW57" s="250"/>
      <c r="AX57" s="250"/>
      <c r="AY57" s="250"/>
      <c r="AZ57" s="250"/>
      <c r="BA57" s="250"/>
      <c r="BB57" s="251">
        <f t="shared" ref="BB57:BB59" si="41">SUM(AU57:BA57)-AT57</f>
        <v>0</v>
      </c>
      <c r="BC57" s="169"/>
      <c r="BD57" s="169"/>
      <c r="BE57" s="169"/>
      <c r="BF57" s="169"/>
    </row>
    <row r="58" spans="1:58" ht="78.75" outlineLevel="2" x14ac:dyDescent="0.25">
      <c r="A58" s="115"/>
      <c r="B58" s="200"/>
      <c r="C58" s="201"/>
      <c r="D58" s="135"/>
      <c r="E58" s="219"/>
      <c r="F58" s="219"/>
      <c r="G58" s="313"/>
      <c r="H58" s="199" t="s">
        <v>403</v>
      </c>
      <c r="I58" s="130"/>
      <c r="J58" s="126"/>
      <c r="K58" s="126"/>
      <c r="L58" s="125" t="str">
        <f>IF(I58&lt;&gt;0,((VLOOKUP(I58,'1. Standard_Cost'!$B$4:$D$11,2)+VLOOKUP(I58,'1. Standard_Cost'!$B$4:$D$11,3))*J58*K58),"0")</f>
        <v>0</v>
      </c>
      <c r="M58" s="125">
        <f>L58*'1. Standard_Cost'!$F$4</f>
        <v>0</v>
      </c>
      <c r="N58" s="126"/>
      <c r="O58" s="126"/>
      <c r="P58" s="126"/>
      <c r="Q58" s="126"/>
      <c r="R58" s="127">
        <f>'1. Standard_Cost'!$B$15*N58*P58</f>
        <v>0</v>
      </c>
      <c r="S58" s="127">
        <f>N58*O58*P58*'1. Standard_Cost'!$C$15</f>
        <v>0</v>
      </c>
      <c r="T58" s="127">
        <f>N58*P58*Q58*'1. Standard_Cost'!$D$15</f>
        <v>0</v>
      </c>
      <c r="U58" s="127">
        <f>N58*O58*'1. Standard_Cost'!$E$15</f>
        <v>0</v>
      </c>
      <c r="V58" s="126"/>
      <c r="W58" s="126"/>
      <c r="X58" s="126"/>
      <c r="Y58" s="127">
        <f>+V58*((X58*'1. Standard_Cost'!$B$19)+(W58*X58*'1. Standard_Cost'!$C$19))</f>
        <v>0</v>
      </c>
      <c r="Z58" s="126"/>
      <c r="AA58" s="126"/>
      <c r="AB58" s="127">
        <f>+Z58*'1. Standard_Cost'!$B$23+AA58*'1. Standard_Cost'!$C$23</f>
        <v>0</v>
      </c>
      <c r="AC58" s="128"/>
      <c r="AD58" s="129"/>
      <c r="AE58" s="127">
        <f>SUM(AD58,AC58,AB58,Y58,U58,T58,S58,R58)*'1. Standard_Cost'!$B$31</f>
        <v>0</v>
      </c>
      <c r="AF58" s="127">
        <f>SUM(AE58,AD58,AC58,AB58,Y58,U58,T58,S58,R58)</f>
        <v>0</v>
      </c>
      <c r="AG58" s="126"/>
      <c r="AH58" s="126"/>
      <c r="AI58" s="126"/>
      <c r="AJ58" s="130"/>
      <c r="AK58" s="130"/>
      <c r="AL58" s="130"/>
      <c r="AM58" s="127">
        <f>AG58*'1. Standard_Cost'!$B$27+'Incremental_Cost Year 10'!AH58*'1. Standard_Cost'!$C$27+'Incremental_Cost Year 10'!AI58*'1. Standard_Cost'!$D$27+'Incremental_Cost Year 10'!AJ58+'Incremental_Cost Year 10'!AL58+AK58</f>
        <v>0</v>
      </c>
      <c r="AN58" s="127">
        <f>AM58*'1. Standard_Cost'!$C$31</f>
        <v>0</v>
      </c>
      <c r="AO58" s="130"/>
      <c r="AQ58" s="171">
        <f>L58+M58</f>
        <v>0</v>
      </c>
      <c r="AR58" s="171">
        <f>AF58</f>
        <v>0</v>
      </c>
      <c r="AS58" s="171">
        <f>AM58+AN58</f>
        <v>0</v>
      </c>
      <c r="AT58" s="171">
        <f>SUM(AQ58,AR58,AS58)</f>
        <v>0</v>
      </c>
      <c r="AU58" s="250"/>
      <c r="AV58" s="250"/>
      <c r="AW58" s="250"/>
      <c r="AX58" s="250"/>
      <c r="AY58" s="250"/>
      <c r="AZ58" s="250"/>
      <c r="BA58" s="250"/>
      <c r="BB58" s="251">
        <f t="shared" si="41"/>
        <v>0</v>
      </c>
      <c r="BC58" s="169"/>
      <c r="BD58" s="169"/>
      <c r="BE58" s="169"/>
      <c r="BF58" s="169"/>
    </row>
    <row r="59" spans="1:58" ht="78.75" outlineLevel="2" x14ac:dyDescent="0.25">
      <c r="A59" s="115"/>
      <c r="B59" s="147"/>
      <c r="C59" s="314"/>
      <c r="D59" s="223"/>
      <c r="E59" s="122"/>
      <c r="F59" s="122"/>
      <c r="G59" s="123"/>
      <c r="H59" s="199" t="s">
        <v>309</v>
      </c>
      <c r="I59" s="130"/>
      <c r="J59" s="126"/>
      <c r="K59" s="126"/>
      <c r="L59" s="125" t="str">
        <f>IF(I59&lt;&gt;0,((VLOOKUP(I59,'1. Standard_Cost'!$B$4:$D$11,2)+VLOOKUP(I59,'1. Standard_Cost'!$B$4:$D$11,3))*J59*K59),"0")</f>
        <v>0</v>
      </c>
      <c r="M59" s="125">
        <f>L59*'1. Standard_Cost'!$F$4</f>
        <v>0</v>
      </c>
      <c r="N59" s="126"/>
      <c r="O59" s="126"/>
      <c r="P59" s="126"/>
      <c r="Q59" s="126"/>
      <c r="R59" s="127">
        <f>'1. Standard_Cost'!$B$15*N59*P59</f>
        <v>0</v>
      </c>
      <c r="S59" s="127">
        <f>N59*O59*P59*'1. Standard_Cost'!$C$15</f>
        <v>0</v>
      </c>
      <c r="T59" s="127">
        <f>N59*P59*Q59*'1. Standard_Cost'!$D$15</f>
        <v>0</v>
      </c>
      <c r="U59" s="127">
        <f>N59*O59*'1. Standard_Cost'!$E$15</f>
        <v>0</v>
      </c>
      <c r="V59" s="126"/>
      <c r="W59" s="126"/>
      <c r="X59" s="126"/>
      <c r="Y59" s="127">
        <f>+V59*((X59*'1. Standard_Cost'!$B$19)+(W59*X59*'1. Standard_Cost'!$C$19))</f>
        <v>0</v>
      </c>
      <c r="Z59" s="126"/>
      <c r="AA59" s="126"/>
      <c r="AB59" s="127">
        <f>+Z59*'1. Standard_Cost'!$B$23+AA59*'1. Standard_Cost'!$C$23</f>
        <v>0</v>
      </c>
      <c r="AC59" s="128"/>
      <c r="AD59" s="129"/>
      <c r="AE59" s="127">
        <f>SUM(AD59,AC59,AB59,Y59,U59,T59,S59,R59)*'1. Standard_Cost'!$B$31</f>
        <v>0</v>
      </c>
      <c r="AF59" s="127">
        <f>SUM(AE59,AD59,AC59,AB59,Y59,U59,T59,S59,R59)</f>
        <v>0</v>
      </c>
      <c r="AG59" s="126"/>
      <c r="AH59" s="126"/>
      <c r="AI59" s="126"/>
      <c r="AJ59" s="130"/>
      <c r="AK59" s="130"/>
      <c r="AL59" s="130"/>
      <c r="AM59" s="127">
        <f>AG59*'1. Standard_Cost'!$B$27+'Incremental_Cost Year 10'!AH59*'1. Standard_Cost'!$C$27+'Incremental_Cost Year 10'!AI59*'1. Standard_Cost'!$D$27+'Incremental_Cost Year 10'!AJ59+'Incremental_Cost Year 10'!AL59+AK59</f>
        <v>0</v>
      </c>
      <c r="AN59" s="127">
        <f>AM59*'1. Standard_Cost'!$C$31</f>
        <v>0</v>
      </c>
      <c r="AO59" s="130"/>
      <c r="AQ59" s="171">
        <f>L59+M59</f>
        <v>0</v>
      </c>
      <c r="AR59" s="171">
        <f>AF59</f>
        <v>0</v>
      </c>
      <c r="AS59" s="171">
        <f>AM59+AN59</f>
        <v>0</v>
      </c>
      <c r="AT59" s="171">
        <f>SUM(AQ59,AR59,AS59)</f>
        <v>0</v>
      </c>
      <c r="AU59" s="250"/>
      <c r="AV59" s="250"/>
      <c r="AW59" s="250"/>
      <c r="AX59" s="250"/>
      <c r="AY59" s="250"/>
      <c r="AZ59" s="250"/>
      <c r="BA59" s="250"/>
      <c r="BB59" s="251">
        <f t="shared" si="41"/>
        <v>0</v>
      </c>
      <c r="BC59" s="169"/>
      <c r="BD59" s="169"/>
      <c r="BE59" s="169"/>
      <c r="BF59" s="169"/>
    </row>
    <row r="60" spans="1:58" ht="31.5" outlineLevel="1" x14ac:dyDescent="0.25">
      <c r="A60" s="115"/>
      <c r="B60" s="200"/>
      <c r="C60" s="201"/>
      <c r="D60" s="132" t="s">
        <v>388</v>
      </c>
      <c r="E60" s="133" t="s">
        <v>216</v>
      </c>
      <c r="F60" s="122">
        <v>2021</v>
      </c>
      <c r="G60" s="223">
        <v>2030</v>
      </c>
      <c r="H60" s="134" t="s">
        <v>217</v>
      </c>
      <c r="I60" s="252"/>
      <c r="J60" s="252"/>
      <c r="K60" s="252"/>
      <c r="L60" s="127">
        <f>SUM(L57:L59)</f>
        <v>0</v>
      </c>
      <c r="M60" s="127">
        <f>SUM(M57:M59)</f>
        <v>0</v>
      </c>
      <c r="N60" s="127"/>
      <c r="O60" s="252"/>
      <c r="P60" s="252"/>
      <c r="Q60" s="252"/>
      <c r="R60" s="127">
        <f>SUM(R57:R59)</f>
        <v>0</v>
      </c>
      <c r="S60" s="127">
        <f>SUM(S57:S59)</f>
        <v>0</v>
      </c>
      <c r="T60" s="127">
        <f>SUM(T57:T59)</f>
        <v>0</v>
      </c>
      <c r="U60" s="127">
        <f>SUM(U57:U59)</f>
        <v>0</v>
      </c>
      <c r="V60" s="252"/>
      <c r="W60" s="252"/>
      <c r="X60" s="252"/>
      <c r="Y60" s="127">
        <f>SUM(Y57:Y59)</f>
        <v>0</v>
      </c>
      <c r="Z60" s="252"/>
      <c r="AA60" s="252"/>
      <c r="AB60" s="127">
        <f>SUM(AB57:AB59)</f>
        <v>0</v>
      </c>
      <c r="AC60" s="127">
        <f>SUM(AC57:AC59)</f>
        <v>0</v>
      </c>
      <c r="AD60" s="127">
        <f>SUM(AD57:AD59)</f>
        <v>0</v>
      </c>
      <c r="AE60" s="127">
        <f>SUM(AE57:AE59)</f>
        <v>0</v>
      </c>
      <c r="AF60" s="127">
        <f>SUM(AF57:AF59)</f>
        <v>0</v>
      </c>
      <c r="AG60" s="252"/>
      <c r="AH60" s="252"/>
      <c r="AI60" s="252"/>
      <c r="AJ60" s="127">
        <f>SUM(AJ57:AJ59)</f>
        <v>0</v>
      </c>
      <c r="AK60" s="127">
        <f>SUM(AK57:AK59)</f>
        <v>0</v>
      </c>
      <c r="AL60" s="127">
        <f>SUM(AL57:AL59)</f>
        <v>0</v>
      </c>
      <c r="AM60" s="127">
        <f>SUM(AM57:AM59)</f>
        <v>0</v>
      </c>
      <c r="AN60" s="127">
        <f>SUM(AN57:AN59)</f>
        <v>0</v>
      </c>
      <c r="AO60" s="253"/>
      <c r="AP60" s="254"/>
      <c r="AQ60" s="175">
        <f>SUM(AQ57:AQ59)</f>
        <v>0</v>
      </c>
      <c r="AR60" s="175">
        <f>SUM(AR57:AR59)</f>
        <v>0</v>
      </c>
      <c r="AS60" s="175">
        <f>SUM(AS57:AS59)</f>
        <v>0</v>
      </c>
      <c r="AT60" s="175">
        <f>SUM(AT57:AT59)</f>
        <v>0</v>
      </c>
      <c r="AU60" s="175">
        <f t="shared" ref="AU60:BB60" si="42">SUM(AU57:AU59)</f>
        <v>0</v>
      </c>
      <c r="AV60" s="175">
        <f t="shared" si="42"/>
        <v>0</v>
      </c>
      <c r="AW60" s="175">
        <f t="shared" si="42"/>
        <v>0</v>
      </c>
      <c r="AX60" s="175">
        <f t="shared" si="42"/>
        <v>0</v>
      </c>
      <c r="AY60" s="175">
        <f t="shared" si="42"/>
        <v>0</v>
      </c>
      <c r="AZ60" s="175">
        <f t="shared" si="42"/>
        <v>0</v>
      </c>
      <c r="BA60" s="175">
        <f t="shared" si="42"/>
        <v>0</v>
      </c>
      <c r="BB60" s="175">
        <f t="shared" si="42"/>
        <v>0</v>
      </c>
      <c r="BC60" s="169"/>
      <c r="BD60" s="169"/>
      <c r="BE60" s="169"/>
      <c r="BF60" s="169"/>
    </row>
    <row r="61" spans="1:58" s="170" customFormat="1" ht="15.75" customHeight="1" x14ac:dyDescent="0.25">
      <c r="A61" s="120"/>
      <c r="B61" s="290"/>
      <c r="C61" s="391" t="s">
        <v>218</v>
      </c>
      <c r="D61" s="391"/>
      <c r="E61" s="392"/>
      <c r="F61" s="289"/>
      <c r="G61" s="288"/>
      <c r="H61" s="114" t="s">
        <v>219</v>
      </c>
      <c r="I61" s="246"/>
      <c r="J61" s="246"/>
      <c r="K61" s="246"/>
      <c r="L61" s="247">
        <f>SUM(L77)</f>
        <v>646486825</v>
      </c>
      <c r="M61" s="247">
        <f>SUM(M77)</f>
        <v>107963299.77500001</v>
      </c>
      <c r="N61" s="247"/>
      <c r="O61" s="247"/>
      <c r="P61" s="247"/>
      <c r="Q61" s="247"/>
      <c r="R61" s="247">
        <f>SUM(R77)</f>
        <v>280000</v>
      </c>
      <c r="S61" s="247">
        <f>SUM(S77)</f>
        <v>420000</v>
      </c>
      <c r="T61" s="247">
        <f>SUM(T77)</f>
        <v>0</v>
      </c>
      <c r="U61" s="247">
        <f>SUM(U77)</f>
        <v>560000</v>
      </c>
      <c r="V61" s="247"/>
      <c r="W61" s="247"/>
      <c r="X61" s="247"/>
      <c r="Y61" s="247">
        <f>SUM(Y77)</f>
        <v>0</v>
      </c>
      <c r="Z61" s="247">
        <f t="shared" ref="Z61:AA61" si="43">SUM(Z77)</f>
        <v>0</v>
      </c>
      <c r="AA61" s="247">
        <f t="shared" si="43"/>
        <v>0</v>
      </c>
      <c r="AB61" s="247">
        <f t="shared" ref="AB61:AF61" si="44">SUM(AB77)</f>
        <v>171000</v>
      </c>
      <c r="AC61" s="247">
        <f t="shared" si="44"/>
        <v>549876000</v>
      </c>
      <c r="AD61" s="247">
        <f t="shared" si="44"/>
        <v>0</v>
      </c>
      <c r="AE61" s="247">
        <f t="shared" si="44"/>
        <v>81821400</v>
      </c>
      <c r="AF61" s="247">
        <f t="shared" si="44"/>
        <v>633128400</v>
      </c>
      <c r="AG61" s="247"/>
      <c r="AH61" s="247"/>
      <c r="AI61" s="247"/>
      <c r="AJ61" s="247">
        <f>SUM(AJ77)</f>
        <v>0</v>
      </c>
      <c r="AK61" s="247">
        <f>SUM(AK77)</f>
        <v>0</v>
      </c>
      <c r="AL61" s="247">
        <f>SUM(AL77)</f>
        <v>0</v>
      </c>
      <c r="AM61" s="247">
        <f>SUM(AM77)</f>
        <v>0</v>
      </c>
      <c r="AN61" s="247">
        <f>SUM(AN77)</f>
        <v>0</v>
      </c>
      <c r="AO61" s="247"/>
      <c r="AP61" s="244"/>
      <c r="AQ61" s="248">
        <f>SUM(AQ77)</f>
        <v>754450124.77499998</v>
      </c>
      <c r="AR61" s="248">
        <f>SUM(AR77)</f>
        <v>633128400</v>
      </c>
      <c r="AS61" s="248">
        <f>SUM(AS77)</f>
        <v>0</v>
      </c>
      <c r="AT61" s="248">
        <f>SUM(AT77)</f>
        <v>1387578524.7750001</v>
      </c>
      <c r="AU61" s="248">
        <f t="shared" ref="AU61:BB61" si="45">SUM(AU77)</f>
        <v>1384152524.7750001</v>
      </c>
      <c r="AV61" s="248">
        <f t="shared" si="45"/>
        <v>0</v>
      </c>
      <c r="AW61" s="248">
        <f t="shared" si="45"/>
        <v>0</v>
      </c>
      <c r="AX61" s="248">
        <f t="shared" si="45"/>
        <v>0</v>
      </c>
      <c r="AY61" s="248">
        <f t="shared" si="45"/>
        <v>2346000</v>
      </c>
      <c r="AZ61" s="248">
        <f t="shared" si="45"/>
        <v>0</v>
      </c>
      <c r="BA61" s="248">
        <f t="shared" si="45"/>
        <v>0</v>
      </c>
      <c r="BB61" s="248">
        <f t="shared" si="45"/>
        <v>-1080000</v>
      </c>
    </row>
    <row r="62" spans="1:58" ht="141.75" outlineLevel="2" x14ac:dyDescent="0.25">
      <c r="A62" s="115"/>
      <c r="B62" s="200"/>
      <c r="C62" s="201"/>
      <c r="D62" s="350"/>
      <c r="E62" s="315"/>
      <c r="F62" s="316"/>
      <c r="G62" s="317"/>
      <c r="H62" s="199" t="s">
        <v>404</v>
      </c>
      <c r="I62" s="130"/>
      <c r="J62" s="126"/>
      <c r="K62" s="126"/>
      <c r="L62" s="125" t="str">
        <f>IF(I62&lt;&gt;0,((VLOOKUP(I62,'1. Standard_Cost'!$B$4:$D$11,2)+VLOOKUP(I62,'1. Standard_Cost'!$B$4:$D$11,3))*J62*K62),"0")</f>
        <v>0</v>
      </c>
      <c r="M62" s="125">
        <f>L62*'1. Standard_Cost'!$F$4</f>
        <v>0</v>
      </c>
      <c r="N62" s="126"/>
      <c r="O62" s="126"/>
      <c r="P62" s="126"/>
      <c r="Q62" s="126"/>
      <c r="R62" s="127">
        <f>'1. Standard_Cost'!$B$15*N62*P62</f>
        <v>0</v>
      </c>
      <c r="S62" s="127">
        <f>N62*O62*P62*'1. Standard_Cost'!$C$15</f>
        <v>0</v>
      </c>
      <c r="T62" s="127">
        <f>N62*P62*Q62*'1. Standard_Cost'!$D$15</f>
        <v>0</v>
      </c>
      <c r="U62" s="127">
        <f>N62*O62*'1. Standard_Cost'!$E$15</f>
        <v>0</v>
      </c>
      <c r="V62" s="126"/>
      <c r="W62" s="126"/>
      <c r="X62" s="126"/>
      <c r="Y62" s="127">
        <f>+V62*((X62*'1. Standard_Cost'!$B$19)+(W62*X62*'1. Standard_Cost'!$C$19))</f>
        <v>0</v>
      </c>
      <c r="Z62" s="126"/>
      <c r="AA62" s="126"/>
      <c r="AB62" s="127">
        <f>+Z62*'1. Standard_Cost'!$B$23+AA62*'1. Standard_Cost'!$C$23</f>
        <v>0</v>
      </c>
      <c r="AC62" s="128"/>
      <c r="AD62" s="129"/>
      <c r="AE62" s="127">
        <f>SUM(AD62,AC62,AB62,Y62,U62,T62,S62,R62)*'1. Standard_Cost'!$B$31</f>
        <v>0</v>
      </c>
      <c r="AF62" s="127">
        <f t="shared" ref="AF62:AF67" si="46">SUM(AE62,AD62,AC62,AB62,Y62,U62,T62,S62,R62)</f>
        <v>0</v>
      </c>
      <c r="AG62" s="126"/>
      <c r="AH62" s="126"/>
      <c r="AI62" s="126"/>
      <c r="AJ62" s="130"/>
      <c r="AK62" s="130"/>
      <c r="AL62" s="130"/>
      <c r="AM62" s="127">
        <f>AG62*'1. Standard_Cost'!$B$27+'Incremental_Cost Year 10'!AH62*'1. Standard_Cost'!$C$27+'Incremental_Cost Year 10'!AI62*'1. Standard_Cost'!$D$27+'Incremental_Cost Year 10'!AJ62+'Incremental_Cost Year 10'!AL62+AK62</f>
        <v>0</v>
      </c>
      <c r="AN62" s="127">
        <f>AM62*'1. Standard_Cost'!$C$31</f>
        <v>0</v>
      </c>
      <c r="AO62" s="249"/>
      <c r="AQ62" s="171">
        <f t="shared" ref="AQ62:AQ76" si="47">L62+M62</f>
        <v>0</v>
      </c>
      <c r="AR62" s="171">
        <f t="shared" ref="AR62:AR76" si="48">AF62</f>
        <v>0</v>
      </c>
      <c r="AS62" s="171">
        <f t="shared" ref="AS62:AS76" si="49">AM62+AN62</f>
        <v>0</v>
      </c>
      <c r="AT62" s="171">
        <f t="shared" ref="AT62:AT76" si="50">SUM(AQ62,AR62,AS62)</f>
        <v>0</v>
      </c>
      <c r="AU62" s="250">
        <f>AQ62</f>
        <v>0</v>
      </c>
      <c r="AV62" s="250"/>
      <c r="AW62" s="250"/>
      <c r="AX62" s="250"/>
      <c r="AY62" s="250">
        <f>AR62</f>
        <v>0</v>
      </c>
      <c r="AZ62" s="250"/>
      <c r="BA62" s="250"/>
      <c r="BB62" s="251">
        <f t="shared" ref="BB62" si="51">SUM(AU62:BA62)-AT62</f>
        <v>0</v>
      </c>
      <c r="BC62" s="169"/>
      <c r="BD62" s="169"/>
      <c r="BE62" s="169"/>
      <c r="BF62" s="169"/>
    </row>
    <row r="63" spans="1:58" ht="173.25" outlineLevel="2" x14ac:dyDescent="0.25">
      <c r="A63" s="115"/>
      <c r="B63" s="200"/>
      <c r="C63" s="201"/>
      <c r="D63" s="141"/>
      <c r="E63" s="318"/>
      <c r="F63" s="219"/>
      <c r="G63" s="313"/>
      <c r="H63" s="199" t="s">
        <v>405</v>
      </c>
      <c r="I63" s="130"/>
      <c r="J63" s="126"/>
      <c r="K63" s="126"/>
      <c r="L63" s="125" t="str">
        <f>IF(I63&lt;&gt;0,((VLOOKUP(I63,'1. Standard_Cost'!$B$4:$D$11,2)+VLOOKUP(I63,'1. Standard_Cost'!$B$4:$D$11,3))*J63*K63),"0")</f>
        <v>0</v>
      </c>
      <c r="M63" s="125">
        <f>L63*'1. Standard_Cost'!$F$4</f>
        <v>0</v>
      </c>
      <c r="N63" s="126"/>
      <c r="O63" s="126"/>
      <c r="P63" s="126"/>
      <c r="Q63" s="126"/>
      <c r="R63" s="127">
        <f>'1. Standard_Cost'!$B$15*N63*P63</f>
        <v>0</v>
      </c>
      <c r="S63" s="127">
        <f>N63*O63*P63*'1. Standard_Cost'!$C$15</f>
        <v>0</v>
      </c>
      <c r="T63" s="127">
        <f>N63*P63*Q63*'1. Standard_Cost'!$D$15</f>
        <v>0</v>
      </c>
      <c r="U63" s="127">
        <f>N63*O63*'1. Standard_Cost'!$E$15</f>
        <v>0</v>
      </c>
      <c r="V63" s="126"/>
      <c r="W63" s="126"/>
      <c r="X63" s="126"/>
      <c r="Y63" s="127">
        <f>+V63*((X63*'1. Standard_Cost'!$B$19)+(W63*X63*'1. Standard_Cost'!$C$19))</f>
        <v>0</v>
      </c>
      <c r="Z63" s="126"/>
      <c r="AA63" s="126"/>
      <c r="AB63" s="127">
        <f>+Z63*'1. Standard_Cost'!$B$23+AA63*'1. Standard_Cost'!$C$23</f>
        <v>0</v>
      </c>
      <c r="AC63" s="128"/>
      <c r="AD63" s="129"/>
      <c r="AE63" s="127">
        <f>SUM(AD63,AC63,AB63,Y63,U63,T63,S63,R63)*'1. Standard_Cost'!$B$31</f>
        <v>0</v>
      </c>
      <c r="AF63" s="127">
        <f t="shared" si="46"/>
        <v>0</v>
      </c>
      <c r="AG63" s="126"/>
      <c r="AH63" s="126"/>
      <c r="AI63" s="126"/>
      <c r="AJ63" s="130"/>
      <c r="AK63" s="130"/>
      <c r="AL63" s="130"/>
      <c r="AM63" s="127">
        <f>AG63*'1. Standard_Cost'!$B$27+'Incremental_Cost Year 10'!AH63*'1. Standard_Cost'!$C$27+'Incremental_Cost Year 10'!AI63*'1. Standard_Cost'!$D$27+'Incremental_Cost Year 10'!AJ63+'Incremental_Cost Year 10'!AL63+AK63</f>
        <v>0</v>
      </c>
      <c r="AN63" s="127">
        <f>AM63*'1. Standard_Cost'!$C$31</f>
        <v>0</v>
      </c>
      <c r="AO63" s="249"/>
      <c r="AQ63" s="171">
        <f t="shared" si="47"/>
        <v>0</v>
      </c>
      <c r="AR63" s="171">
        <f t="shared" si="48"/>
        <v>0</v>
      </c>
      <c r="AS63" s="171">
        <f t="shared" si="49"/>
        <v>0</v>
      </c>
      <c r="AT63" s="171">
        <f t="shared" si="50"/>
        <v>0</v>
      </c>
      <c r="AU63" s="250"/>
      <c r="AV63" s="250"/>
      <c r="AW63" s="250"/>
      <c r="AX63" s="250"/>
      <c r="AY63" s="250"/>
      <c r="AZ63" s="250"/>
      <c r="BA63" s="250"/>
      <c r="BB63" s="251">
        <f t="shared" ref="BB63:BB76" si="52">SUM(AU63:BA63)-AT63</f>
        <v>0</v>
      </c>
      <c r="BC63" s="169"/>
      <c r="BD63" s="169"/>
      <c r="BE63" s="169"/>
      <c r="BF63" s="169"/>
    </row>
    <row r="64" spans="1:58" ht="78.75" outlineLevel="2" x14ac:dyDescent="0.25">
      <c r="A64" s="115"/>
      <c r="B64" s="200"/>
      <c r="C64" s="201"/>
      <c r="D64" s="131"/>
      <c r="E64" s="319"/>
      <c r="F64" s="219"/>
      <c r="G64" s="313"/>
      <c r="H64" s="199" t="s">
        <v>406</v>
      </c>
      <c r="I64" s="130" t="s">
        <v>1</v>
      </c>
      <c r="J64" s="126">
        <v>12</v>
      </c>
      <c r="K64" s="126">
        <v>130</v>
      </c>
      <c r="L64" s="125">
        <f>IF(I64&lt;&gt;0,((VLOOKUP(I64,'1. Standard_Cost'!$B$4:$D$11,2)+VLOOKUP(I64,'1. Standard_Cost'!$B$4:$D$11,3))*J64*K64),"0")</f>
        <v>111996857.14285713</v>
      </c>
      <c r="M64" s="125">
        <f>L64*'1. Standard_Cost'!$F$4</f>
        <v>18703475.142857142</v>
      </c>
      <c r="N64" s="126"/>
      <c r="O64" s="126"/>
      <c r="P64" s="126"/>
      <c r="Q64" s="126"/>
      <c r="R64" s="127">
        <f>'1. Standard_Cost'!$B$15*N64*P64</f>
        <v>0</v>
      </c>
      <c r="S64" s="127">
        <f>N64*O64*P64*'1. Standard_Cost'!$C$15</f>
        <v>0</v>
      </c>
      <c r="T64" s="127">
        <f>N64*P64*Q64*'1. Standard_Cost'!$D$15</f>
        <v>0</v>
      </c>
      <c r="U64" s="127">
        <f>N64*O64*'1. Standard_Cost'!$E$15</f>
        <v>0</v>
      </c>
      <c r="V64" s="126"/>
      <c r="W64" s="126"/>
      <c r="X64" s="126"/>
      <c r="Y64" s="127">
        <f>+V64*((X64*'1. Standard_Cost'!$B$19)+(W64*X64*'1. Standard_Cost'!$C$19))</f>
        <v>0</v>
      </c>
      <c r="Z64" s="126"/>
      <c r="AA64" s="126"/>
      <c r="AB64" s="127">
        <f>+Z64*'1. Standard_Cost'!$B$23+AA64*'1. Standard_Cost'!$C$23</f>
        <v>0</v>
      </c>
      <c r="AC64" s="128">
        <f>10*500000</f>
        <v>5000000</v>
      </c>
      <c r="AD64" s="129"/>
      <c r="AE64" s="127">
        <v>0</v>
      </c>
      <c r="AF64" s="127">
        <f t="shared" si="46"/>
        <v>5000000</v>
      </c>
      <c r="AG64" s="126"/>
      <c r="AH64" s="126"/>
      <c r="AI64" s="126"/>
      <c r="AJ64" s="130"/>
      <c r="AK64" s="130"/>
      <c r="AL64" s="130"/>
      <c r="AM64" s="127">
        <f>AG64*'1. Standard_Cost'!$B$27+'Incremental_Cost Year 10'!AH64*'1. Standard_Cost'!$C$27+'Incremental_Cost Year 10'!AI64*'1. Standard_Cost'!$D$27+'Incremental_Cost Year 10'!AJ64+'Incremental_Cost Year 10'!AL64+AK64</f>
        <v>0</v>
      </c>
      <c r="AN64" s="127">
        <f>AM64*'1. Standard_Cost'!$C$31</f>
        <v>0</v>
      </c>
      <c r="AO64" s="130"/>
      <c r="AQ64" s="171">
        <f t="shared" si="47"/>
        <v>130700332.28571427</v>
      </c>
      <c r="AR64" s="171">
        <f t="shared" si="48"/>
        <v>5000000</v>
      </c>
      <c r="AS64" s="171">
        <f t="shared" si="49"/>
        <v>0</v>
      </c>
      <c r="AT64" s="171">
        <f t="shared" si="50"/>
        <v>135700332.28571427</v>
      </c>
      <c r="AU64" s="250">
        <f>AT64</f>
        <v>135700332.28571427</v>
      </c>
      <c r="AV64" s="250"/>
      <c r="AW64" s="250"/>
      <c r="AX64" s="250"/>
      <c r="AY64" s="250"/>
      <c r="AZ64" s="250"/>
      <c r="BA64" s="250"/>
      <c r="BB64" s="251">
        <f t="shared" si="52"/>
        <v>0</v>
      </c>
      <c r="BC64" s="169"/>
      <c r="BD64" s="169"/>
      <c r="BE64" s="169"/>
      <c r="BF64" s="169"/>
    </row>
    <row r="65" spans="1:58" ht="31.5" outlineLevel="2" x14ac:dyDescent="0.25">
      <c r="A65" s="115"/>
      <c r="B65" s="200"/>
      <c r="C65" s="201"/>
      <c r="D65" s="131"/>
      <c r="E65" s="318"/>
      <c r="F65" s="219"/>
      <c r="G65" s="313"/>
      <c r="H65" s="199" t="s">
        <v>407</v>
      </c>
      <c r="I65" s="130" t="s">
        <v>1</v>
      </c>
      <c r="J65" s="126">
        <v>12</v>
      </c>
      <c r="K65" s="126">
        <v>93</v>
      </c>
      <c r="L65" s="125">
        <f>IF(I65&lt;&gt;0,((VLOOKUP(I65,'1. Standard_Cost'!$B$4:$D$11,2)+VLOOKUP(I65,'1. Standard_Cost'!$B$4:$D$11,3))*J65*K65),"0")</f>
        <v>80120828.571428567</v>
      </c>
      <c r="M65" s="125">
        <f>L65*'1. Standard_Cost'!$F$4</f>
        <v>13380178.371428572</v>
      </c>
      <c r="N65" s="126"/>
      <c r="O65" s="126"/>
      <c r="P65" s="126"/>
      <c r="Q65" s="126"/>
      <c r="R65" s="127">
        <f>'1. Standard_Cost'!$B$15*N65*P65</f>
        <v>0</v>
      </c>
      <c r="S65" s="127">
        <f>N65*O65*P65*'1. Standard_Cost'!$C$15</f>
        <v>0</v>
      </c>
      <c r="T65" s="127">
        <f>N65*P65*Q65*'1. Standard_Cost'!$D$15</f>
        <v>0</v>
      </c>
      <c r="U65" s="127">
        <f>N65*O65*'1. Standard_Cost'!$E$15</f>
        <v>0</v>
      </c>
      <c r="V65" s="126"/>
      <c r="W65" s="126"/>
      <c r="X65" s="126"/>
      <c r="Y65" s="127">
        <f>+V65*((X65*'1. Standard_Cost'!$B$19)+(W65*X65*'1. Standard_Cost'!$C$19))</f>
        <v>0</v>
      </c>
      <c r="Z65" s="126"/>
      <c r="AA65" s="126"/>
      <c r="AB65" s="127">
        <f>+Z65*'1. Standard_Cost'!$B$23+AA65*'1. Standard_Cost'!$C$23</f>
        <v>0</v>
      </c>
      <c r="AC65" s="128">
        <f>300000*14</f>
        <v>4200000</v>
      </c>
      <c r="AD65" s="129"/>
      <c r="AE65" s="127">
        <v>0</v>
      </c>
      <c r="AF65" s="127">
        <f t="shared" si="46"/>
        <v>4200000</v>
      </c>
      <c r="AG65" s="126"/>
      <c r="AH65" s="126"/>
      <c r="AI65" s="126"/>
      <c r="AJ65" s="130"/>
      <c r="AK65" s="130"/>
      <c r="AL65" s="130"/>
      <c r="AM65" s="127">
        <f>AG65*'1. Standard_Cost'!$B$27+'Incremental_Cost Year 10'!AH65*'1. Standard_Cost'!$C$27+'Incremental_Cost Year 10'!AI65*'1. Standard_Cost'!$D$27+'Incremental_Cost Year 10'!AJ65+'Incremental_Cost Year 10'!AL65+AK65</f>
        <v>0</v>
      </c>
      <c r="AN65" s="127">
        <f>AM65*'1. Standard_Cost'!$C$31</f>
        <v>0</v>
      </c>
      <c r="AO65" s="130"/>
      <c r="AQ65" s="171">
        <f t="shared" si="47"/>
        <v>93501006.942857146</v>
      </c>
      <c r="AR65" s="171">
        <f t="shared" si="48"/>
        <v>4200000</v>
      </c>
      <c r="AS65" s="171">
        <f t="shared" si="49"/>
        <v>0</v>
      </c>
      <c r="AT65" s="171">
        <f t="shared" si="50"/>
        <v>97701006.942857146</v>
      </c>
      <c r="AU65" s="250">
        <f>AT65</f>
        <v>97701006.942857146</v>
      </c>
      <c r="AV65" s="250"/>
      <c r="AW65" s="250"/>
      <c r="AX65" s="250"/>
      <c r="AY65" s="250"/>
      <c r="AZ65" s="250"/>
      <c r="BA65" s="250"/>
      <c r="BB65" s="251">
        <f t="shared" si="52"/>
        <v>0</v>
      </c>
      <c r="BC65" s="169"/>
      <c r="BD65" s="169"/>
      <c r="BE65" s="169"/>
      <c r="BF65" s="169"/>
    </row>
    <row r="66" spans="1:58" ht="110.25" outlineLevel="2" x14ac:dyDescent="0.25">
      <c r="A66" s="115"/>
      <c r="B66" s="200"/>
      <c r="C66" s="201"/>
      <c r="D66" s="131"/>
      <c r="E66" s="318"/>
      <c r="F66" s="219"/>
      <c r="G66" s="313"/>
      <c r="H66" s="199" t="s">
        <v>548</v>
      </c>
      <c r="I66" s="130" t="s">
        <v>1</v>
      </c>
      <c r="J66" s="126">
        <v>12</v>
      </c>
      <c r="K66" s="126">
        <f>14*2+14*2</f>
        <v>56</v>
      </c>
      <c r="L66" s="125">
        <f>IF(I66&lt;&gt;0,((VLOOKUP(I66,'1. Standard_Cost'!$B$4:$D$11,2)+VLOOKUP(I66,'1. Standard_Cost'!$B$4:$D$11,3))*J66*K66),"0")</f>
        <v>48244800</v>
      </c>
      <c r="M66" s="125">
        <f>L66*'1. Standard_Cost'!$F$4</f>
        <v>8056881.6000000006</v>
      </c>
      <c r="N66" s="126"/>
      <c r="O66" s="126"/>
      <c r="P66" s="126"/>
      <c r="Q66" s="126"/>
      <c r="R66" s="127">
        <f>'1. Standard_Cost'!$B$15*N66*P66</f>
        <v>0</v>
      </c>
      <c r="S66" s="127">
        <f>N66*O66*P66*'1. Standard_Cost'!$C$15</f>
        <v>0</v>
      </c>
      <c r="T66" s="127">
        <f>N66*P66*Q66*'1. Standard_Cost'!$D$15</f>
        <v>0</v>
      </c>
      <c r="U66" s="127">
        <f>N66*O66*'1. Standard_Cost'!$E$15</f>
        <v>0</v>
      </c>
      <c r="V66" s="126"/>
      <c r="W66" s="126"/>
      <c r="X66" s="126"/>
      <c r="Y66" s="127">
        <f>+V66*((X66*'1. Standard_Cost'!$B$19)+(W66*X66*'1. Standard_Cost'!$C$19))</f>
        <v>0</v>
      </c>
      <c r="Z66" s="126"/>
      <c r="AA66" s="126"/>
      <c r="AB66" s="127">
        <f>+Z66*'1. Standard_Cost'!$B$23+AA66*'1. Standard_Cost'!$C$23</f>
        <v>0</v>
      </c>
      <c r="AC66" s="128">
        <f>30000000*4</f>
        <v>120000000</v>
      </c>
      <c r="AD66" s="129"/>
      <c r="AE66" s="127"/>
      <c r="AF66" s="127">
        <f t="shared" si="46"/>
        <v>120000000</v>
      </c>
      <c r="AG66" s="126"/>
      <c r="AH66" s="126"/>
      <c r="AI66" s="126"/>
      <c r="AJ66" s="130"/>
      <c r="AK66" s="130"/>
      <c r="AL66" s="130"/>
      <c r="AM66" s="127">
        <f>AG66*'1. Standard_Cost'!$B$27+'Incremental_Cost Year 10'!AH66*'1. Standard_Cost'!$C$27+'Incremental_Cost Year 10'!AI66*'1. Standard_Cost'!$D$27+'Incremental_Cost Year 10'!AJ66+'Incremental_Cost Year 10'!AL66+AK66</f>
        <v>0</v>
      </c>
      <c r="AN66" s="127">
        <f>AM66*'1. Standard_Cost'!$C$31</f>
        <v>0</v>
      </c>
      <c r="AO66" s="130"/>
      <c r="AQ66" s="171">
        <f t="shared" si="47"/>
        <v>56301681.600000001</v>
      </c>
      <c r="AR66" s="171">
        <f t="shared" si="48"/>
        <v>120000000</v>
      </c>
      <c r="AS66" s="171">
        <f t="shared" si="49"/>
        <v>0</v>
      </c>
      <c r="AT66" s="171">
        <f t="shared" si="50"/>
        <v>176301681.59999999</v>
      </c>
      <c r="AU66" s="250">
        <f>AT66</f>
        <v>176301681.59999999</v>
      </c>
      <c r="AV66" s="250"/>
      <c r="AW66" s="250"/>
      <c r="AX66" s="250"/>
      <c r="AY66" s="250"/>
      <c r="AZ66" s="250"/>
      <c r="BA66" s="250"/>
      <c r="BB66" s="251">
        <f t="shared" si="52"/>
        <v>0</v>
      </c>
      <c r="BC66" s="169"/>
      <c r="BD66" s="169"/>
      <c r="BE66" s="169"/>
      <c r="BF66" s="169"/>
    </row>
    <row r="67" spans="1:58" ht="31.5" outlineLevel="2" x14ac:dyDescent="0.25">
      <c r="A67" s="115"/>
      <c r="B67" s="200"/>
      <c r="C67" s="201"/>
      <c r="D67" s="131"/>
      <c r="E67" s="318"/>
      <c r="F67" s="219"/>
      <c r="G67" s="313"/>
      <c r="H67" s="199" t="s">
        <v>408</v>
      </c>
      <c r="I67" s="130" t="s">
        <v>1</v>
      </c>
      <c r="J67" s="126">
        <v>12</v>
      </c>
      <c r="K67" s="126">
        <v>400</v>
      </c>
      <c r="L67" s="125">
        <f>IF(I67&lt;&gt;0,((VLOOKUP(I67,'1. Standard_Cost'!$B$4:$D$11,2)+VLOOKUP(I67,'1. Standard_Cost'!$B$4:$D$11,3))*J67*K67),"0")</f>
        <v>344605714.28571427</v>
      </c>
      <c r="M67" s="125">
        <f>L67*'1. Standard_Cost'!$F$4</f>
        <v>57549154.285714284</v>
      </c>
      <c r="N67" s="126"/>
      <c r="O67" s="126"/>
      <c r="P67" s="126"/>
      <c r="Q67" s="126"/>
      <c r="R67" s="127">
        <f>'1. Standard_Cost'!$B$15*N67*P67</f>
        <v>0</v>
      </c>
      <c r="S67" s="127">
        <f>N67*O67*P67*'1. Standard_Cost'!$C$15</f>
        <v>0</v>
      </c>
      <c r="T67" s="127">
        <f>N67*P67*Q67*'1. Standard_Cost'!$D$15</f>
        <v>0</v>
      </c>
      <c r="U67" s="127">
        <f>N67*O67*'1. Standard_Cost'!$E$15</f>
        <v>0</v>
      </c>
      <c r="V67" s="126"/>
      <c r="W67" s="126"/>
      <c r="X67" s="126"/>
      <c r="Y67" s="127">
        <f>+V67*((X67*'1. Standard_Cost'!$B$19)+(W67*X67*'1. Standard_Cost'!$C$19))</f>
        <v>0</v>
      </c>
      <c r="Z67" s="126"/>
      <c r="AA67" s="126"/>
      <c r="AB67" s="127">
        <f>+Z67*'1. Standard_Cost'!$B$23+AA67*'1. Standard_Cost'!$C$23</f>
        <v>0</v>
      </c>
      <c r="AC67" s="128">
        <v>406252000</v>
      </c>
      <c r="AD67" s="129"/>
      <c r="AE67" s="127">
        <f>SUM(AD67,AC67,AB67,Y67,U67,T67,S67,R67)*'1. Standard_Cost'!$B$31</f>
        <v>81250400</v>
      </c>
      <c r="AF67" s="127">
        <f t="shared" si="46"/>
        <v>487502400</v>
      </c>
      <c r="AG67" s="126"/>
      <c r="AH67" s="126"/>
      <c r="AI67" s="126"/>
      <c r="AJ67" s="130"/>
      <c r="AK67" s="130"/>
      <c r="AL67" s="130"/>
      <c r="AM67" s="127">
        <f>AG67*'1. Standard_Cost'!$B$27+'Incremental_Cost Year 10'!AH67*'1. Standard_Cost'!$C$27+'Incremental_Cost Year 10'!AI67*'1. Standard_Cost'!$D$27+'Incremental_Cost Year 10'!AJ67+'Incremental_Cost Year 10'!AL67+AK67</f>
        <v>0</v>
      </c>
      <c r="AN67" s="127">
        <f>AM67*'1. Standard_Cost'!$C$31</f>
        <v>0</v>
      </c>
      <c r="AO67" s="130"/>
      <c r="AQ67" s="171">
        <f t="shared" si="47"/>
        <v>402154868.57142854</v>
      </c>
      <c r="AR67" s="171">
        <f t="shared" si="48"/>
        <v>487502400</v>
      </c>
      <c r="AS67" s="171">
        <f t="shared" si="49"/>
        <v>0</v>
      </c>
      <c r="AT67" s="171">
        <f t="shared" si="50"/>
        <v>889657268.57142854</v>
      </c>
      <c r="AU67" s="250">
        <f>AT67</f>
        <v>889657268.57142854</v>
      </c>
      <c r="AV67" s="250"/>
      <c r="AW67" s="250"/>
      <c r="AX67" s="250"/>
      <c r="AY67" s="250"/>
      <c r="AZ67" s="250"/>
      <c r="BA67" s="250"/>
      <c r="BB67" s="251">
        <f t="shared" si="52"/>
        <v>0</v>
      </c>
      <c r="BC67" s="169"/>
      <c r="BD67" s="169"/>
      <c r="BE67" s="169"/>
      <c r="BF67" s="169"/>
    </row>
    <row r="68" spans="1:58" ht="110.25" outlineLevel="2" x14ac:dyDescent="0.25">
      <c r="A68" s="115"/>
      <c r="B68" s="200"/>
      <c r="C68" s="201"/>
      <c r="D68" s="131"/>
      <c r="E68" s="318"/>
      <c r="F68" s="219"/>
      <c r="G68" s="313"/>
      <c r="H68" s="199" t="s">
        <v>409</v>
      </c>
      <c r="I68" s="130"/>
      <c r="J68" s="126"/>
      <c r="K68" s="126"/>
      <c r="L68" s="125" t="str">
        <f>IF(I68&lt;&gt;0,((VLOOKUP(I68,'1. Standard_Cost'!$B$4:$D$11,2)+VLOOKUP(I68,'1. Standard_Cost'!$B$4:$D$11,3))*J68*K68),"0")</f>
        <v>0</v>
      </c>
      <c r="M68" s="125">
        <f>L68*'1. Standard_Cost'!$F$4</f>
        <v>0</v>
      </c>
      <c r="N68" s="126"/>
      <c r="O68" s="126"/>
      <c r="P68" s="126"/>
      <c r="Q68" s="126"/>
      <c r="R68" s="127">
        <f>'1. Standard_Cost'!$B$15*N68*P68</f>
        <v>0</v>
      </c>
      <c r="S68" s="127">
        <f>N68*O68*P68*'1. Standard_Cost'!$C$15</f>
        <v>0</v>
      </c>
      <c r="T68" s="127">
        <f>N68*P68*Q68*'1. Standard_Cost'!$D$15</f>
        <v>0</v>
      </c>
      <c r="U68" s="127">
        <f>N68*O68*'1. Standard_Cost'!$E$15</f>
        <v>0</v>
      </c>
      <c r="V68" s="126"/>
      <c r="W68" s="126"/>
      <c r="X68" s="126"/>
      <c r="Y68" s="127">
        <f>+V68*((X68*'1. Standard_Cost'!$B$19)+(W68*X68*'1. Standard_Cost'!$C$19))</f>
        <v>0</v>
      </c>
      <c r="Z68" s="126"/>
      <c r="AA68" s="126"/>
      <c r="AB68" s="127">
        <f>+Z68*'1. Standard_Cost'!$B$23+AA68*'1. Standard_Cost'!$C$23</f>
        <v>0</v>
      </c>
      <c r="AC68" s="128"/>
      <c r="AD68" s="129"/>
      <c r="AE68" s="127">
        <f>SUM(AD68,AC68,AB68,Y68,U68,T68,S68,R68)*'1. Standard_Cost'!$B$31</f>
        <v>0</v>
      </c>
      <c r="AF68" s="127">
        <f>SUM(AE68,AD68,AC68,AB68,Y68,U68,T68,S68,R68)</f>
        <v>0</v>
      </c>
      <c r="AG68" s="126"/>
      <c r="AH68" s="126"/>
      <c r="AI68" s="126"/>
      <c r="AJ68" s="130"/>
      <c r="AK68" s="130"/>
      <c r="AL68" s="130"/>
      <c r="AM68" s="127">
        <f>AG68*'1. Standard_Cost'!$B$27+'Incremental_Cost Year 10'!AH68*'1. Standard_Cost'!$C$27+'Incremental_Cost Year 10'!AI68*'1. Standard_Cost'!$D$27+'Incremental_Cost Year 10'!AJ68+'Incremental_Cost Year 10'!AL68+AK68</f>
        <v>0</v>
      </c>
      <c r="AN68" s="127">
        <f>AM68*'1. Standard_Cost'!$C$31</f>
        <v>0</v>
      </c>
      <c r="AO68" s="130"/>
      <c r="AQ68" s="171">
        <f t="shared" si="47"/>
        <v>0</v>
      </c>
      <c r="AR68" s="171">
        <f t="shared" si="48"/>
        <v>0</v>
      </c>
      <c r="AS68" s="171">
        <f t="shared" si="49"/>
        <v>0</v>
      </c>
      <c r="AT68" s="171">
        <f t="shared" si="50"/>
        <v>0</v>
      </c>
      <c r="AU68" s="250">
        <f>AT68</f>
        <v>0</v>
      </c>
      <c r="AV68" s="250">
        <f>AQ68</f>
        <v>0</v>
      </c>
      <c r="AW68" s="250"/>
      <c r="AX68" s="250"/>
      <c r="AY68" s="250"/>
      <c r="AZ68" s="250"/>
      <c r="BA68" s="250"/>
      <c r="BB68" s="251">
        <f t="shared" si="52"/>
        <v>0</v>
      </c>
      <c r="BC68" s="169"/>
      <c r="BD68" s="169"/>
      <c r="BE68" s="169"/>
      <c r="BF68" s="169"/>
    </row>
    <row r="69" spans="1:58" ht="47.25" outlineLevel="2" x14ac:dyDescent="0.25">
      <c r="A69" s="115"/>
      <c r="B69" s="200"/>
      <c r="C69" s="201"/>
      <c r="D69" s="131"/>
      <c r="E69" s="318"/>
      <c r="F69" s="219"/>
      <c r="G69" s="313"/>
      <c r="H69" s="199" t="s">
        <v>224</v>
      </c>
      <c r="I69" s="130"/>
      <c r="J69" s="126"/>
      <c r="K69" s="126"/>
      <c r="L69" s="125" t="str">
        <f>IF(I69&lt;&gt;0,((VLOOKUP(I69,'1. Standard_Cost'!$B$4:$D$11,2)+VLOOKUP(I69,'1. Standard_Cost'!$B$4:$D$11,3))*J69*K69),"0")</f>
        <v>0</v>
      </c>
      <c r="M69" s="125">
        <f>L69*'1. Standard_Cost'!$F$4</f>
        <v>0</v>
      </c>
      <c r="N69" s="126"/>
      <c r="O69" s="126"/>
      <c r="P69" s="126"/>
      <c r="Q69" s="126"/>
      <c r="R69" s="127">
        <f>'1. Standard_Cost'!$B$15*N69*P69</f>
        <v>0</v>
      </c>
      <c r="S69" s="127">
        <f>N69*O69*P69*'1. Standard_Cost'!$C$15</f>
        <v>0</v>
      </c>
      <c r="T69" s="127">
        <f>N69*P69*Q69*'1. Standard_Cost'!$D$15</f>
        <v>0</v>
      </c>
      <c r="U69" s="127">
        <f>N69*O69*'1. Standard_Cost'!$E$15</f>
        <v>0</v>
      </c>
      <c r="V69" s="126"/>
      <c r="W69" s="126"/>
      <c r="X69" s="126"/>
      <c r="Y69" s="127">
        <f>+V69*((X69*'1. Standard_Cost'!$B$19)+(W69*X69*'1. Standard_Cost'!$C$19))</f>
        <v>0</v>
      </c>
      <c r="Z69" s="126"/>
      <c r="AA69" s="126"/>
      <c r="AB69" s="127">
        <f>+Z69*'1. Standard_Cost'!$B$23+AA69*'1. Standard_Cost'!$C$23</f>
        <v>0</v>
      </c>
      <c r="AC69" s="128"/>
      <c r="AD69" s="129"/>
      <c r="AE69" s="127"/>
      <c r="AF69" s="127"/>
      <c r="AG69" s="126"/>
      <c r="AH69" s="126"/>
      <c r="AI69" s="126"/>
      <c r="AJ69" s="130"/>
      <c r="AK69" s="130"/>
      <c r="AL69" s="130"/>
      <c r="AM69" s="127">
        <f>AG69*'1. Standard_Cost'!$B$27+'Incremental_Cost Year 10'!AH69*'1. Standard_Cost'!$C$27+'Incremental_Cost Year 10'!AI69*'1. Standard_Cost'!$D$27+'Incremental_Cost Year 10'!AJ69+'Incremental_Cost Year 10'!AL69+AK69</f>
        <v>0</v>
      </c>
      <c r="AN69" s="127">
        <f>AM69*'1. Standard_Cost'!$C$31</f>
        <v>0</v>
      </c>
      <c r="AO69" s="130"/>
      <c r="AQ69" s="171">
        <f t="shared" si="47"/>
        <v>0</v>
      </c>
      <c r="AR69" s="171">
        <f t="shared" si="48"/>
        <v>0</v>
      </c>
      <c r="AS69" s="171">
        <f t="shared" si="49"/>
        <v>0</v>
      </c>
      <c r="AT69" s="171">
        <f t="shared" si="50"/>
        <v>0</v>
      </c>
      <c r="AU69" s="250"/>
      <c r="AV69" s="250"/>
      <c r="AW69" s="250"/>
      <c r="AX69" s="250"/>
      <c r="AY69" s="250"/>
      <c r="AZ69" s="250"/>
      <c r="BA69" s="250"/>
      <c r="BB69" s="251">
        <f t="shared" si="52"/>
        <v>0</v>
      </c>
      <c r="BC69" s="169"/>
      <c r="BD69" s="169"/>
      <c r="BE69" s="169"/>
      <c r="BF69" s="169"/>
    </row>
    <row r="70" spans="1:58" ht="189" outlineLevel="2" x14ac:dyDescent="0.25">
      <c r="A70" s="115"/>
      <c r="B70" s="200"/>
      <c r="C70" s="201"/>
      <c r="D70" s="131"/>
      <c r="E70" s="318"/>
      <c r="F70" s="219"/>
      <c r="G70" s="313"/>
      <c r="H70" s="111" t="s">
        <v>410</v>
      </c>
      <c r="I70" s="130"/>
      <c r="J70" s="126"/>
      <c r="K70" s="126"/>
      <c r="L70" s="125" t="str">
        <f>IF(I70&lt;&gt;0,((VLOOKUP(I70,'1. Standard_Cost'!$B$4:$D$11,2)+VLOOKUP(I70,'1. Standard_Cost'!$B$4:$D$11,3))*J70*K70),"0")</f>
        <v>0</v>
      </c>
      <c r="M70" s="125">
        <f>L70*'1. Standard_Cost'!$F$4</f>
        <v>0</v>
      </c>
      <c r="N70" s="126"/>
      <c r="O70" s="126"/>
      <c r="P70" s="126"/>
      <c r="Q70" s="126"/>
      <c r="R70" s="127">
        <f>'1. Standard_Cost'!$B$15*N70*P70</f>
        <v>0</v>
      </c>
      <c r="S70" s="127">
        <f>N70*O70*P70*'1. Standard_Cost'!$C$15</f>
        <v>0</v>
      </c>
      <c r="T70" s="127">
        <f>N70*P70*Q70*'1. Standard_Cost'!$D$15</f>
        <v>0</v>
      </c>
      <c r="U70" s="127">
        <f>N70*O70*'1. Standard_Cost'!$E$15</f>
        <v>0</v>
      </c>
      <c r="V70" s="126"/>
      <c r="W70" s="126"/>
      <c r="X70" s="126"/>
      <c r="Y70" s="127">
        <f>+V70*((X70*'1. Standard_Cost'!$B$19)+(W70*X70*'1. Standard_Cost'!$C$19))</f>
        <v>0</v>
      </c>
      <c r="Z70" s="126"/>
      <c r="AA70" s="126"/>
      <c r="AB70" s="127">
        <f>+Z70*'1. Standard_Cost'!$B$23+AA70*'1. Standard_Cost'!$C$23</f>
        <v>0</v>
      </c>
      <c r="AC70" s="128"/>
      <c r="AD70" s="129"/>
      <c r="AE70" s="127">
        <f>SUM(AD70,AC70,AB70,Y70,U70,T70,S70,R70)*'1. Standard_Cost'!$B$31</f>
        <v>0</v>
      </c>
      <c r="AF70" s="127">
        <f t="shared" ref="AF70:AF76" si="53">SUM(AE70,AD70,AC70,AB70,Y70,U70,T70,S70,R70)</f>
        <v>0</v>
      </c>
      <c r="AG70" s="126"/>
      <c r="AH70" s="126"/>
      <c r="AI70" s="126"/>
      <c r="AJ70" s="130"/>
      <c r="AK70" s="130"/>
      <c r="AL70" s="130"/>
      <c r="AM70" s="127">
        <f>AG70*'1. Standard_Cost'!$B$27+'Incremental_Cost Year 10'!AH70*'1. Standard_Cost'!$C$27+'Incremental_Cost Year 10'!AI70*'1. Standard_Cost'!$D$27+'Incremental_Cost Year 10'!AJ70+'Incremental_Cost Year 10'!AL70+AK70</f>
        <v>0</v>
      </c>
      <c r="AN70" s="127">
        <f>AM70*'1. Standard_Cost'!$C$31</f>
        <v>0</v>
      </c>
      <c r="AO70" s="130"/>
      <c r="AQ70" s="171">
        <f t="shared" si="47"/>
        <v>0</v>
      </c>
      <c r="AR70" s="171">
        <f t="shared" si="48"/>
        <v>0</v>
      </c>
      <c r="AS70" s="171">
        <f t="shared" si="49"/>
        <v>0</v>
      </c>
      <c r="AT70" s="171">
        <f t="shared" si="50"/>
        <v>0</v>
      </c>
      <c r="AU70" s="250">
        <f>AQ70</f>
        <v>0</v>
      </c>
      <c r="AV70" s="250"/>
      <c r="AW70" s="250"/>
      <c r="AX70" s="250"/>
      <c r="AY70" s="250">
        <f>AR70</f>
        <v>0</v>
      </c>
      <c r="AZ70" s="250"/>
      <c r="BA70" s="250"/>
      <c r="BB70" s="251">
        <f t="shared" si="52"/>
        <v>0</v>
      </c>
      <c r="BC70" s="169"/>
      <c r="BD70" s="169"/>
      <c r="BE70" s="169"/>
      <c r="BF70" s="169"/>
    </row>
    <row r="71" spans="1:58" ht="173.25" outlineLevel="2" x14ac:dyDescent="0.25">
      <c r="A71" s="115"/>
      <c r="B71" s="200"/>
      <c r="C71" s="201"/>
      <c r="D71" s="131"/>
      <c r="E71" s="318"/>
      <c r="F71" s="219"/>
      <c r="G71" s="313"/>
      <c r="H71" s="111" t="s">
        <v>411</v>
      </c>
      <c r="I71" s="130"/>
      <c r="J71" s="126"/>
      <c r="K71" s="126"/>
      <c r="L71" s="125" t="str">
        <f>IF(I71&lt;&gt;0,((VLOOKUP(I71,'1. Standard_Cost'!$B$4:$D$11,2)+VLOOKUP(I71,'1. Standard_Cost'!$B$4:$D$11,3))*J71*K71),"0")</f>
        <v>0</v>
      </c>
      <c r="M71" s="125">
        <f>L71*'1. Standard_Cost'!$F$4</f>
        <v>0</v>
      </c>
      <c r="N71" s="126"/>
      <c r="O71" s="126"/>
      <c r="P71" s="126"/>
      <c r="Q71" s="126"/>
      <c r="R71" s="127">
        <f>'1. Standard_Cost'!$B$15*N71*P71</f>
        <v>0</v>
      </c>
      <c r="S71" s="127">
        <f>N71*O71*P71*'1. Standard_Cost'!$C$15</f>
        <v>0</v>
      </c>
      <c r="T71" s="127">
        <f>N71*P71*Q71*'1. Standard_Cost'!$D$15</f>
        <v>0</v>
      </c>
      <c r="U71" s="127">
        <f>N71*O71*'1. Standard_Cost'!$E$15</f>
        <v>0</v>
      </c>
      <c r="V71" s="126"/>
      <c r="W71" s="126"/>
      <c r="X71" s="126"/>
      <c r="Y71" s="127">
        <f>+V71*((X71*'1. Standard_Cost'!$B$19)+(W71*X71*'1. Standard_Cost'!$C$19))</f>
        <v>0</v>
      </c>
      <c r="Z71" s="126"/>
      <c r="AA71" s="126"/>
      <c r="AB71" s="127">
        <f>+Z71*'1. Standard_Cost'!$B$23+AA71*'1. Standard_Cost'!$C$23</f>
        <v>0</v>
      </c>
      <c r="AC71" s="128"/>
      <c r="AD71" s="129"/>
      <c r="AE71" s="127">
        <f>SUM(AD71,AC71,AB71,Y71,U71,T71,S71,R71)*'1. Standard_Cost'!$B$31</f>
        <v>0</v>
      </c>
      <c r="AF71" s="127">
        <f t="shared" si="53"/>
        <v>0</v>
      </c>
      <c r="AG71" s="126"/>
      <c r="AH71" s="126"/>
      <c r="AI71" s="126"/>
      <c r="AJ71" s="130"/>
      <c r="AK71" s="130"/>
      <c r="AL71" s="130"/>
      <c r="AM71" s="127">
        <f>AG71*'1. Standard_Cost'!$B$27+'Incremental_Cost Year 10'!AH71*'1. Standard_Cost'!$C$27+'Incremental_Cost Year 10'!AI71*'1. Standard_Cost'!$D$27+'Incremental_Cost Year 10'!AJ71+'Incremental_Cost Year 10'!AL71+AK71</f>
        <v>0</v>
      </c>
      <c r="AN71" s="127">
        <f>AM71*'1. Standard_Cost'!$C$31</f>
        <v>0</v>
      </c>
      <c r="AO71" s="130"/>
      <c r="AQ71" s="171">
        <f t="shared" si="47"/>
        <v>0</v>
      </c>
      <c r="AR71" s="171">
        <f t="shared" si="48"/>
        <v>0</v>
      </c>
      <c r="AS71" s="171">
        <f t="shared" si="49"/>
        <v>0</v>
      </c>
      <c r="AT71" s="171">
        <f t="shared" si="50"/>
        <v>0</v>
      </c>
      <c r="AU71" s="250">
        <f>AQ71</f>
        <v>0</v>
      </c>
      <c r="AV71" s="250"/>
      <c r="AW71" s="250"/>
      <c r="AX71" s="250"/>
      <c r="AY71" s="250"/>
      <c r="AZ71" s="250"/>
      <c r="BA71" s="250"/>
      <c r="BB71" s="251">
        <f t="shared" si="52"/>
        <v>0</v>
      </c>
      <c r="BC71" s="169"/>
      <c r="BD71" s="169"/>
      <c r="BE71" s="169"/>
      <c r="BF71" s="169"/>
    </row>
    <row r="72" spans="1:58" ht="189" outlineLevel="2" x14ac:dyDescent="0.25">
      <c r="A72" s="115"/>
      <c r="B72" s="200"/>
      <c r="C72" s="201"/>
      <c r="D72" s="131"/>
      <c r="E72" s="318"/>
      <c r="F72" s="219"/>
      <c r="G72" s="313"/>
      <c r="H72" s="199" t="s">
        <v>412</v>
      </c>
      <c r="I72" s="130" t="s">
        <v>4</v>
      </c>
      <c r="J72" s="126">
        <v>0.5</v>
      </c>
      <c r="K72" s="126">
        <v>5</v>
      </c>
      <c r="L72" s="125">
        <f>IF(I72&lt;&gt;0,((VLOOKUP(I72,'1. Standard_Cost'!$B$4:$D$11,2)+VLOOKUP(I72,'1. Standard_Cost'!$B$4:$D$11,3))*J72*K72),"0")</f>
        <v>201875</v>
      </c>
      <c r="M72" s="125">
        <f>L72*'1. Standard_Cost'!$F$4</f>
        <v>33713.125</v>
      </c>
      <c r="N72" s="126">
        <v>5</v>
      </c>
      <c r="O72" s="126">
        <v>2</v>
      </c>
      <c r="P72" s="126">
        <v>20</v>
      </c>
      <c r="Q72" s="126"/>
      <c r="R72" s="127">
        <f>'1. Standard_Cost'!$B$15*N72*P72</f>
        <v>200000</v>
      </c>
      <c r="S72" s="127">
        <f>N72*O72*P72*'1. Standard_Cost'!$C$15</f>
        <v>300000</v>
      </c>
      <c r="T72" s="127">
        <f>N72*P72*Q72*'1. Standard_Cost'!$D$15</f>
        <v>0</v>
      </c>
      <c r="U72" s="127">
        <f>N72*O72*'1. Standard_Cost'!$E$15</f>
        <v>400000</v>
      </c>
      <c r="V72" s="126"/>
      <c r="W72" s="126"/>
      <c r="X72" s="126"/>
      <c r="Y72" s="127">
        <f>+V72*((X72*'1. Standard_Cost'!$B$19)+(W72*X72*'1. Standard_Cost'!$C$19))</f>
        <v>0</v>
      </c>
      <c r="Z72" s="126"/>
      <c r="AA72" s="126">
        <v>6</v>
      </c>
      <c r="AB72" s="127">
        <f>+Z72*'1. Standard_Cost'!$B$23+AA72*'1. Standard_Cost'!$C$23</f>
        <v>114000</v>
      </c>
      <c r="AC72" s="128">
        <f>100*300*2+100*3000*2</f>
        <v>660000</v>
      </c>
      <c r="AD72" s="129"/>
      <c r="AE72" s="127">
        <f>SUM(AD72,AC72,AB72,Y72,U72,T72,S72,R72)*'1. Standard_Cost'!$B$31</f>
        <v>334800</v>
      </c>
      <c r="AF72" s="127">
        <f t="shared" si="53"/>
        <v>2008800</v>
      </c>
      <c r="AG72" s="126"/>
      <c r="AH72" s="126"/>
      <c r="AI72" s="126"/>
      <c r="AJ72" s="130"/>
      <c r="AK72" s="130"/>
      <c r="AL72" s="130"/>
      <c r="AM72" s="127">
        <f>AG72*'1. Standard_Cost'!$B$27+'Incremental_Cost Year 10'!AH72*'1. Standard_Cost'!$C$27+'Incremental_Cost Year 10'!AI72*'1. Standard_Cost'!$D$27+'Incremental_Cost Year 10'!AJ72+'Incremental_Cost Year 10'!AL72+AK72</f>
        <v>0</v>
      </c>
      <c r="AN72" s="127">
        <f>AM72*'1. Standard_Cost'!$C$31</f>
        <v>0</v>
      </c>
      <c r="AO72" s="249"/>
      <c r="AQ72" s="171">
        <f t="shared" si="47"/>
        <v>235588.125</v>
      </c>
      <c r="AR72" s="171">
        <f t="shared" si="48"/>
        <v>2008800</v>
      </c>
      <c r="AS72" s="171">
        <f t="shared" si="49"/>
        <v>0</v>
      </c>
      <c r="AT72" s="171">
        <f t="shared" si="50"/>
        <v>2244388.125</v>
      </c>
      <c r="AU72" s="250">
        <f>AQ72</f>
        <v>235588.125</v>
      </c>
      <c r="AV72" s="250"/>
      <c r="AW72" s="250"/>
      <c r="AX72" s="250"/>
      <c r="AY72" s="250">
        <f>928800</f>
        <v>928800</v>
      </c>
      <c r="AZ72" s="250"/>
      <c r="BA72" s="250"/>
      <c r="BB72" s="251">
        <f t="shared" si="52"/>
        <v>-1080000</v>
      </c>
      <c r="BC72" s="169"/>
      <c r="BD72" s="169"/>
      <c r="BE72" s="169"/>
      <c r="BF72" s="169"/>
    </row>
    <row r="73" spans="1:58" ht="157.5" outlineLevel="2" x14ac:dyDescent="0.25">
      <c r="A73" s="115"/>
      <c r="B73" s="200"/>
      <c r="C73" s="201"/>
      <c r="D73" s="131"/>
      <c r="E73" s="318"/>
      <c r="F73" s="219"/>
      <c r="G73" s="313"/>
      <c r="H73" s="199" t="s">
        <v>413</v>
      </c>
      <c r="I73" s="130" t="s">
        <v>4</v>
      </c>
      <c r="J73" s="126">
        <v>0.2</v>
      </c>
      <c r="K73" s="126">
        <v>5</v>
      </c>
      <c r="L73" s="125">
        <f>IF(I73&lt;&gt;0,((VLOOKUP(I73,'1. Standard_Cost'!$B$4:$D$11,2)+VLOOKUP(I73,'1. Standard_Cost'!$B$4:$D$11,3))*J73*K73),"0")</f>
        <v>80750</v>
      </c>
      <c r="M73" s="125">
        <f>L73*'1. Standard_Cost'!$F$4</f>
        <v>13485.25</v>
      </c>
      <c r="N73" s="126">
        <v>2</v>
      </c>
      <c r="O73" s="126">
        <v>2</v>
      </c>
      <c r="P73" s="126">
        <v>20</v>
      </c>
      <c r="Q73" s="126"/>
      <c r="R73" s="127">
        <f>'1. Standard_Cost'!$B$15*N73*P73</f>
        <v>80000</v>
      </c>
      <c r="S73" s="127">
        <f>N73*O73*P73*'1. Standard_Cost'!$C$15</f>
        <v>120000</v>
      </c>
      <c r="T73" s="127">
        <f>N73*P73*Q73*'1. Standard_Cost'!$D$15</f>
        <v>0</v>
      </c>
      <c r="U73" s="127">
        <f>N73*O73*'1. Standard_Cost'!$E$15</f>
        <v>160000</v>
      </c>
      <c r="V73" s="126"/>
      <c r="W73" s="126"/>
      <c r="X73" s="126"/>
      <c r="Y73" s="127">
        <f>+V73*((X73*'1. Standard_Cost'!$B$19)+(W73*X73*'1. Standard_Cost'!$C$19))</f>
        <v>0</v>
      </c>
      <c r="Z73" s="126"/>
      <c r="AA73" s="126">
        <v>3</v>
      </c>
      <c r="AB73" s="127">
        <f>+Z73*'1. Standard_Cost'!$B$23+AA73*'1. Standard_Cost'!$C$23</f>
        <v>57000</v>
      </c>
      <c r="AC73" s="128">
        <f>40*3300*2</f>
        <v>264000</v>
      </c>
      <c r="AD73" s="129"/>
      <c r="AE73" s="127">
        <f>SUM(AD73,AC73,AB73,Y73,U73,T73,S73,R73)*'1. Standard_Cost'!$B$31</f>
        <v>136200</v>
      </c>
      <c r="AF73" s="127">
        <f t="shared" si="53"/>
        <v>817200</v>
      </c>
      <c r="AG73" s="126"/>
      <c r="AH73" s="126"/>
      <c r="AI73" s="126"/>
      <c r="AJ73" s="130"/>
      <c r="AK73" s="130"/>
      <c r="AL73" s="130"/>
      <c r="AM73" s="127">
        <f>AG73*'1. Standard_Cost'!$B$27+'Incremental_Cost Year 10'!AH73*'1. Standard_Cost'!$C$27+'Incremental_Cost Year 10'!AI73*'1. Standard_Cost'!$D$27+'Incremental_Cost Year 10'!AJ73+'Incremental_Cost Year 10'!AL73+AK73</f>
        <v>0</v>
      </c>
      <c r="AN73" s="127">
        <f>AM73*'1. Standard_Cost'!$C$31</f>
        <v>0</v>
      </c>
      <c r="AO73" s="249"/>
      <c r="AQ73" s="171">
        <f t="shared" si="47"/>
        <v>94235.25</v>
      </c>
      <c r="AR73" s="171">
        <f t="shared" si="48"/>
        <v>817200</v>
      </c>
      <c r="AS73" s="171">
        <f t="shared" si="49"/>
        <v>0</v>
      </c>
      <c r="AT73" s="171">
        <f t="shared" si="50"/>
        <v>911435.25</v>
      </c>
      <c r="AU73" s="250">
        <f>AQ73</f>
        <v>94235.25</v>
      </c>
      <c r="AV73" s="250"/>
      <c r="AW73" s="250"/>
      <c r="AX73" s="250"/>
      <c r="AY73" s="250">
        <f>AR73</f>
        <v>817200</v>
      </c>
      <c r="AZ73" s="250"/>
      <c r="BA73" s="250"/>
      <c r="BB73" s="251">
        <f t="shared" si="52"/>
        <v>0</v>
      </c>
      <c r="BC73" s="169"/>
      <c r="BD73" s="169"/>
      <c r="BE73" s="169"/>
      <c r="BF73" s="169"/>
    </row>
    <row r="74" spans="1:58" ht="47.25" outlineLevel="2" x14ac:dyDescent="0.25">
      <c r="A74" s="115"/>
      <c r="B74" s="200"/>
      <c r="C74" s="201"/>
      <c r="D74" s="131"/>
      <c r="E74" s="318"/>
      <c r="F74" s="219"/>
      <c r="G74" s="313"/>
      <c r="H74" s="199" t="s">
        <v>310</v>
      </c>
      <c r="I74" s="130"/>
      <c r="J74" s="126"/>
      <c r="K74" s="126"/>
      <c r="L74" s="125" t="str">
        <f>IF(I74&lt;&gt;0,((VLOOKUP(I74,'1. Standard_Cost'!$B$4:$D$11,2)+VLOOKUP(I74,'1. Standard_Cost'!$B$4:$D$11,3))*J74*K74),"0")</f>
        <v>0</v>
      </c>
      <c r="M74" s="125">
        <f>L74*'1. Standard_Cost'!$F$4</f>
        <v>0</v>
      </c>
      <c r="N74" s="126"/>
      <c r="O74" s="126"/>
      <c r="P74" s="126"/>
      <c r="Q74" s="126"/>
      <c r="R74" s="127">
        <f>'1. Standard_Cost'!$B$15*N74*P74</f>
        <v>0</v>
      </c>
      <c r="S74" s="127">
        <f>N74*O74*P74*'1. Standard_Cost'!$C$15</f>
        <v>0</v>
      </c>
      <c r="T74" s="127">
        <f>N74*P74*Q74*'1. Standard_Cost'!$D$15</f>
        <v>0</v>
      </c>
      <c r="U74" s="127">
        <f>N74*O74*'1. Standard_Cost'!$E$15</f>
        <v>0</v>
      </c>
      <c r="V74" s="126"/>
      <c r="W74" s="126"/>
      <c r="X74" s="126"/>
      <c r="Y74" s="127">
        <f>+V74*((X74*'1. Standard_Cost'!$B$19)+(W74*X74*'1. Standard_Cost'!$C$19))</f>
        <v>0</v>
      </c>
      <c r="Z74" s="126"/>
      <c r="AA74" s="126"/>
      <c r="AB74" s="127">
        <f>+Z74*'1. Standard_Cost'!$B$23+AA74*'1. Standard_Cost'!$C$23</f>
        <v>0</v>
      </c>
      <c r="AC74" s="128"/>
      <c r="AD74" s="129"/>
      <c r="AE74" s="127">
        <f>SUM(AD74,AC74,AB74,Y74,U74,T74,S74,R74)*'1. Standard_Cost'!$B$31</f>
        <v>0</v>
      </c>
      <c r="AF74" s="127">
        <f t="shared" si="53"/>
        <v>0</v>
      </c>
      <c r="AG74" s="126"/>
      <c r="AH74" s="126"/>
      <c r="AI74" s="126"/>
      <c r="AJ74" s="130"/>
      <c r="AK74" s="130"/>
      <c r="AL74" s="130"/>
      <c r="AM74" s="127">
        <f>AG74*'1. Standard_Cost'!$B$27+'Incremental_Cost Year 10'!AH74*'1. Standard_Cost'!$C$27+'Incremental_Cost Year 10'!AI74*'1. Standard_Cost'!$D$27+'Incremental_Cost Year 10'!AJ74+'Incremental_Cost Year 10'!AL74+AK74</f>
        <v>0</v>
      </c>
      <c r="AN74" s="127">
        <f>AM74*'1. Standard_Cost'!$C$31</f>
        <v>0</v>
      </c>
      <c r="AO74" s="130"/>
      <c r="AQ74" s="171">
        <f t="shared" si="47"/>
        <v>0</v>
      </c>
      <c r="AR74" s="171">
        <f t="shared" si="48"/>
        <v>0</v>
      </c>
      <c r="AS74" s="171">
        <f t="shared" si="49"/>
        <v>0</v>
      </c>
      <c r="AT74" s="171">
        <f t="shared" si="50"/>
        <v>0</v>
      </c>
      <c r="AU74" s="250"/>
      <c r="AV74" s="250"/>
      <c r="AW74" s="250"/>
      <c r="AX74" s="250"/>
      <c r="AY74" s="250"/>
      <c r="AZ74" s="250"/>
      <c r="BA74" s="250"/>
      <c r="BB74" s="251">
        <f t="shared" si="52"/>
        <v>0</v>
      </c>
      <c r="BC74" s="169"/>
      <c r="BD74" s="169"/>
      <c r="BE74" s="169"/>
      <c r="BF74" s="169"/>
    </row>
    <row r="75" spans="1:58" ht="126" outlineLevel="2" x14ac:dyDescent="0.25">
      <c r="A75" s="115"/>
      <c r="B75" s="200"/>
      <c r="C75" s="201"/>
      <c r="D75" s="131"/>
      <c r="E75" s="219"/>
      <c r="F75" s="219"/>
      <c r="G75" s="313"/>
      <c r="H75" s="112" t="s">
        <v>414</v>
      </c>
      <c r="I75" s="130" t="s">
        <v>5</v>
      </c>
      <c r="J75" s="126">
        <v>12</v>
      </c>
      <c r="K75" s="126">
        <v>72</v>
      </c>
      <c r="L75" s="125">
        <f>IF(I75&lt;&gt;0,((VLOOKUP(I75,'1. Standard_Cost'!$B$4:$D$11,2)+VLOOKUP(I75,'1. Standard_Cost'!$B$4:$D$11,3))*J75*K75),"0")</f>
        <v>61084800</v>
      </c>
      <c r="M75" s="125">
        <f>L75*'1. Standard_Cost'!$F$4</f>
        <v>10201161.600000001</v>
      </c>
      <c r="N75" s="126"/>
      <c r="O75" s="126"/>
      <c r="P75" s="126"/>
      <c r="Q75" s="126"/>
      <c r="R75" s="127">
        <f>'1. Standard_Cost'!$B$15*N75*P75</f>
        <v>0</v>
      </c>
      <c r="S75" s="127">
        <f>N75*O75*P75*'1. Standard_Cost'!$C$15</f>
        <v>0</v>
      </c>
      <c r="T75" s="127">
        <f>N75*P75*Q75*'1. Standard_Cost'!$D$15</f>
        <v>0</v>
      </c>
      <c r="U75" s="127">
        <f>N75*O75*'1. Standard_Cost'!$E$15</f>
        <v>0</v>
      </c>
      <c r="V75" s="126"/>
      <c r="W75" s="126"/>
      <c r="X75" s="126"/>
      <c r="Y75" s="127">
        <f>+V75*((X75*'1. Standard_Cost'!$B$19)+(W75*X75*'1. Standard_Cost'!$C$19))</f>
        <v>0</v>
      </c>
      <c r="Z75" s="126"/>
      <c r="AA75" s="126"/>
      <c r="AB75" s="127">
        <f>+Z75*'1. Standard_Cost'!$B$23+AA75*'1. Standard_Cost'!$C$23</f>
        <v>0</v>
      </c>
      <c r="AC75" s="128">
        <v>13000000</v>
      </c>
      <c r="AD75" s="129"/>
      <c r="AE75" s="127"/>
      <c r="AF75" s="127">
        <f t="shared" si="53"/>
        <v>13000000</v>
      </c>
      <c r="AG75" s="126"/>
      <c r="AH75" s="126"/>
      <c r="AI75" s="126"/>
      <c r="AJ75" s="130"/>
      <c r="AK75" s="130"/>
      <c r="AL75" s="130"/>
      <c r="AM75" s="127">
        <f>AG75*'1. Standard_Cost'!$B$27+'Incremental_Cost Year 10'!AH75*'1. Standard_Cost'!$C$27+'Incremental_Cost Year 10'!AI75*'1. Standard_Cost'!$D$27+'Incremental_Cost Year 10'!AJ75+'Incremental_Cost Year 10'!AL75+AK75</f>
        <v>0</v>
      </c>
      <c r="AN75" s="127">
        <f>AM75*'1. Standard_Cost'!$C$31</f>
        <v>0</v>
      </c>
      <c r="AO75" s="130"/>
      <c r="AQ75" s="171">
        <f t="shared" si="47"/>
        <v>71285961.599999994</v>
      </c>
      <c r="AR75" s="171">
        <f t="shared" si="48"/>
        <v>13000000</v>
      </c>
      <c r="AS75" s="171">
        <f t="shared" si="49"/>
        <v>0</v>
      </c>
      <c r="AT75" s="171">
        <f t="shared" si="50"/>
        <v>84285961.599999994</v>
      </c>
      <c r="AU75" s="250">
        <f>AT75</f>
        <v>84285961.599999994</v>
      </c>
      <c r="AV75" s="250"/>
      <c r="AW75" s="250"/>
      <c r="AX75" s="250"/>
      <c r="AY75" s="250"/>
      <c r="AZ75" s="250"/>
      <c r="BA75" s="250"/>
      <c r="BB75" s="251">
        <f t="shared" si="52"/>
        <v>0</v>
      </c>
      <c r="BC75" s="169"/>
      <c r="BD75" s="169"/>
      <c r="BE75" s="169"/>
      <c r="BF75" s="169"/>
    </row>
    <row r="76" spans="1:58" ht="94.5" outlineLevel="2" x14ac:dyDescent="0.25">
      <c r="A76" s="115"/>
      <c r="B76" s="200"/>
      <c r="C76" s="201"/>
      <c r="D76" s="305"/>
      <c r="E76" s="320"/>
      <c r="F76" s="122"/>
      <c r="G76" s="123"/>
      <c r="H76" s="199" t="s">
        <v>415</v>
      </c>
      <c r="I76" s="130" t="s">
        <v>3</v>
      </c>
      <c r="J76" s="126">
        <v>0.5</v>
      </c>
      <c r="K76" s="126">
        <v>3</v>
      </c>
      <c r="L76" s="125">
        <f>IF(I76&lt;&gt;0,((VLOOKUP(I76,'1. Standard_Cost'!$B$4:$D$11,2)+VLOOKUP(I76,'1. Standard_Cost'!$B$4:$D$11,3))*J76*K76),"0")</f>
        <v>151200</v>
      </c>
      <c r="M76" s="125">
        <f>L76*'1. Standard_Cost'!$F$4</f>
        <v>25250.400000000001</v>
      </c>
      <c r="N76" s="126"/>
      <c r="O76" s="126"/>
      <c r="P76" s="126"/>
      <c r="Q76" s="126"/>
      <c r="R76" s="127">
        <f>'1. Standard_Cost'!$B$15*N76*P76</f>
        <v>0</v>
      </c>
      <c r="S76" s="127">
        <f>N76*O76*P76*'1. Standard_Cost'!$C$15</f>
        <v>0</v>
      </c>
      <c r="T76" s="127">
        <f>N76*P76*Q76*'1. Standard_Cost'!$D$15</f>
        <v>0</v>
      </c>
      <c r="U76" s="127">
        <f>N76*O76*'1. Standard_Cost'!$E$15</f>
        <v>0</v>
      </c>
      <c r="V76" s="126"/>
      <c r="W76" s="126"/>
      <c r="X76" s="126"/>
      <c r="Y76" s="127">
        <f>+V76*((X76*'1. Standard_Cost'!$B$19)+(W76*X76*'1. Standard_Cost'!$C$19))</f>
        <v>0</v>
      </c>
      <c r="Z76" s="126"/>
      <c r="AA76" s="126"/>
      <c r="AB76" s="127">
        <f>+Z76*'1. Standard_Cost'!$B$23+AA76*'1. Standard_Cost'!$C$23</f>
        <v>0</v>
      </c>
      <c r="AC76" s="128">
        <v>500000</v>
      </c>
      <c r="AD76" s="129"/>
      <c r="AE76" s="127">
        <f>SUM(AD76,AC76,AB76,Y76,U76,T76,S76,R76)*'1. Standard_Cost'!$B$31</f>
        <v>100000</v>
      </c>
      <c r="AF76" s="127">
        <f t="shared" si="53"/>
        <v>600000</v>
      </c>
      <c r="AG76" s="126"/>
      <c r="AH76" s="126"/>
      <c r="AI76" s="126"/>
      <c r="AJ76" s="130"/>
      <c r="AK76" s="130"/>
      <c r="AL76" s="130"/>
      <c r="AM76" s="127">
        <f>AG76*'1. Standard_Cost'!$B$27+'Incremental_Cost Year 10'!AH76*'1. Standard_Cost'!$C$27+'Incremental_Cost Year 10'!AI76*'1. Standard_Cost'!$D$27+'Incremental_Cost Year 10'!AJ76+'Incremental_Cost Year 10'!AL76+AK76</f>
        <v>0</v>
      </c>
      <c r="AN76" s="127">
        <f>AM76*'1. Standard_Cost'!$C$31</f>
        <v>0</v>
      </c>
      <c r="AO76" s="130"/>
      <c r="AQ76" s="171">
        <f t="shared" si="47"/>
        <v>176450.4</v>
      </c>
      <c r="AR76" s="171">
        <f t="shared" si="48"/>
        <v>600000</v>
      </c>
      <c r="AS76" s="171">
        <f t="shared" si="49"/>
        <v>0</v>
      </c>
      <c r="AT76" s="171">
        <f t="shared" si="50"/>
        <v>776450.4</v>
      </c>
      <c r="AU76" s="250">
        <f>AQ76</f>
        <v>176450.4</v>
      </c>
      <c r="AV76" s="250"/>
      <c r="AW76" s="250"/>
      <c r="AX76" s="250"/>
      <c r="AY76" s="250">
        <v>600000</v>
      </c>
      <c r="AZ76" s="250"/>
      <c r="BA76" s="250"/>
      <c r="BB76" s="251">
        <f t="shared" si="52"/>
        <v>0</v>
      </c>
      <c r="BC76" s="169"/>
      <c r="BD76" s="169"/>
      <c r="BE76" s="169"/>
      <c r="BF76" s="169"/>
    </row>
    <row r="77" spans="1:58" ht="141.75" outlineLevel="1" x14ac:dyDescent="0.25">
      <c r="A77" s="115"/>
      <c r="B77" s="165"/>
      <c r="C77" s="166"/>
      <c r="D77" s="107" t="s">
        <v>416</v>
      </c>
      <c r="E77" s="139" t="s">
        <v>221</v>
      </c>
      <c r="F77" s="222">
        <v>2021</v>
      </c>
      <c r="G77" s="117">
        <v>2030</v>
      </c>
      <c r="H77" s="134" t="s">
        <v>220</v>
      </c>
      <c r="I77" s="252"/>
      <c r="J77" s="252"/>
      <c r="K77" s="252"/>
      <c r="L77" s="127">
        <f>SUM(L62:L76)</f>
        <v>646486825</v>
      </c>
      <c r="M77" s="127">
        <f>SUM(M62:M76)</f>
        <v>107963299.77500001</v>
      </c>
      <c r="N77" s="127"/>
      <c r="O77" s="252"/>
      <c r="P77" s="252"/>
      <c r="Q77" s="252"/>
      <c r="R77" s="127">
        <f>SUM(R62:R76)</f>
        <v>280000</v>
      </c>
      <c r="S77" s="127">
        <f>SUM(S62:S76)</f>
        <v>420000</v>
      </c>
      <c r="T77" s="127">
        <f>SUM(T62:T76)</f>
        <v>0</v>
      </c>
      <c r="U77" s="127">
        <f>SUM(U62:U76)</f>
        <v>560000</v>
      </c>
      <c r="V77" s="252"/>
      <c r="W77" s="252"/>
      <c r="X77" s="252"/>
      <c r="Y77" s="127">
        <f>SUM(Y62:Y76)</f>
        <v>0</v>
      </c>
      <c r="Z77" s="252"/>
      <c r="AA77" s="252"/>
      <c r="AB77" s="127">
        <f>SUM(AB62:AB76)</f>
        <v>171000</v>
      </c>
      <c r="AC77" s="127">
        <f>SUM(AC62:AC76)</f>
        <v>549876000</v>
      </c>
      <c r="AD77" s="127">
        <f>SUM(AD62:AD76)</f>
        <v>0</v>
      </c>
      <c r="AE77" s="127">
        <f>SUM(AE62:AE76)</f>
        <v>81821400</v>
      </c>
      <c r="AF77" s="127">
        <f>SUM(AF62:AF76)</f>
        <v>633128400</v>
      </c>
      <c r="AG77" s="252"/>
      <c r="AH77" s="252"/>
      <c r="AI77" s="252"/>
      <c r="AJ77" s="127">
        <f>SUM(AJ62:AJ76)</f>
        <v>0</v>
      </c>
      <c r="AK77" s="127">
        <f>SUM(AK62:AK76)</f>
        <v>0</v>
      </c>
      <c r="AL77" s="127">
        <f>SUM(AL62:AL76)</f>
        <v>0</v>
      </c>
      <c r="AM77" s="127">
        <f>SUM(AM62:AM76)</f>
        <v>0</v>
      </c>
      <c r="AN77" s="127">
        <f>SUM(AN62:AN76)</f>
        <v>0</v>
      </c>
      <c r="AO77" s="253"/>
      <c r="AP77" s="254"/>
      <c r="AQ77" s="175">
        <f>SUM(AQ62:AQ76)</f>
        <v>754450124.77499998</v>
      </c>
      <c r="AR77" s="175">
        <f>SUM(AR62:AR76)</f>
        <v>633128400</v>
      </c>
      <c r="AS77" s="175">
        <f>SUM(AS62:AS76)</f>
        <v>0</v>
      </c>
      <c r="AT77" s="175">
        <f>SUM(AT62:AT76)</f>
        <v>1387578524.7750001</v>
      </c>
      <c r="AU77" s="175">
        <f t="shared" ref="AU77:BB77" si="54">SUM(AU62:AU76)</f>
        <v>1384152524.7750001</v>
      </c>
      <c r="AV77" s="175">
        <f t="shared" si="54"/>
        <v>0</v>
      </c>
      <c r="AW77" s="175">
        <f t="shared" si="54"/>
        <v>0</v>
      </c>
      <c r="AX77" s="175">
        <f t="shared" si="54"/>
        <v>0</v>
      </c>
      <c r="AY77" s="175">
        <f t="shared" si="54"/>
        <v>2346000</v>
      </c>
      <c r="AZ77" s="175">
        <f t="shared" si="54"/>
        <v>0</v>
      </c>
      <c r="BA77" s="175">
        <f t="shared" si="54"/>
        <v>0</v>
      </c>
      <c r="BB77" s="175">
        <f t="shared" si="54"/>
        <v>-1080000</v>
      </c>
      <c r="BC77" s="169"/>
      <c r="BD77" s="169"/>
      <c r="BE77" s="169"/>
      <c r="BF77" s="169"/>
    </row>
    <row r="78" spans="1:58" s="170" customFormat="1" ht="15.75" customHeight="1" x14ac:dyDescent="0.25">
      <c r="A78" s="120"/>
      <c r="B78" s="396" t="s">
        <v>298</v>
      </c>
      <c r="C78" s="389"/>
      <c r="D78" s="389"/>
      <c r="E78" s="390"/>
      <c r="F78" s="339"/>
      <c r="G78" s="339"/>
      <c r="H78" s="339" t="s">
        <v>60</v>
      </c>
      <c r="I78" s="243"/>
      <c r="J78" s="243"/>
      <c r="K78" s="243"/>
      <c r="L78" s="243">
        <f>SUM(L79,L93,L100,L106,L111,L118,L123,L134,L140)</f>
        <v>95419232.857142866</v>
      </c>
      <c r="M78" s="243">
        <f>SUM(M79,M93,M100,M106,M111,M118,M123,M134,M140)</f>
        <v>15935011.887142858</v>
      </c>
      <c r="N78" s="243"/>
      <c r="O78" s="243"/>
      <c r="P78" s="243"/>
      <c r="Q78" s="243"/>
      <c r="R78" s="243">
        <f>SUM(R79,R93,R100,R106,R111,R118,R123,R134,R140)</f>
        <v>400000</v>
      </c>
      <c r="S78" s="243">
        <f>SUM(S79,S93,S100,S106,S111,S118,S123,S134,S140)</f>
        <v>300000</v>
      </c>
      <c r="T78" s="243">
        <f>SUM(T79,T93,T100,T106,T111,T118,T123,T134,T140)</f>
        <v>0</v>
      </c>
      <c r="U78" s="243">
        <f>SUM(U79,U93,U100,U106,U111,U118,U123,U134,U140)</f>
        <v>400000</v>
      </c>
      <c r="V78" s="243"/>
      <c r="W78" s="243"/>
      <c r="X78" s="243"/>
      <c r="Y78" s="243">
        <f>SUM(Y79,Y93,Y100,Y106,Y111,Y118,Y123,Y134,Y140)</f>
        <v>510000</v>
      </c>
      <c r="Z78" s="243"/>
      <c r="AA78" s="243"/>
      <c r="AB78" s="243">
        <f>SUM(AB79,AB93,AB100,AB106,AB111,AB118,AB123,AB134,AB140)</f>
        <v>3724000</v>
      </c>
      <c r="AC78" s="243">
        <f>SUM(AC79,AC93,AC100,AC106,AC111,AC118,AC123,AC134,AC140)</f>
        <v>14669131786</v>
      </c>
      <c r="AD78" s="243">
        <f>SUM(AD79,AD93,AD100,AD106,AD111,AD118,AD123,AD134,AD140)</f>
        <v>0</v>
      </c>
      <c r="AE78" s="243">
        <f>SUM(AE79,AE93,AE100,AE106,AE111,AE118,AE123,AE134,AE140)</f>
        <v>317846157.19999999</v>
      </c>
      <c r="AF78" s="243">
        <f>SUM(AF79,AF93,AF100,AF106,AF111,AF118,AF123,AF134,AF140)</f>
        <v>15004551943.200001</v>
      </c>
      <c r="AG78" s="243"/>
      <c r="AH78" s="243"/>
      <c r="AI78" s="243"/>
      <c r="AJ78" s="243">
        <f>SUM(AJ79,AJ93,AJ100,AJ106,AJ111,AJ118,AJ123,AJ134,AJ140)</f>
        <v>0</v>
      </c>
      <c r="AK78" s="243">
        <f>SUM(AK79,AK93,AK100,AK106,AK111,AK118,AK123,AK134,AK140)</f>
        <v>0</v>
      </c>
      <c r="AL78" s="243">
        <f>SUM(AL79,AL93,AL100,AL106,AL111,AL118,AL123,AL134,AL140)</f>
        <v>0</v>
      </c>
      <c r="AM78" s="243">
        <f>SUM(AM79,AM93,AM100,AM106,AM111,AM118,AM123,AM134,AM140)</f>
        <v>0</v>
      </c>
      <c r="AN78" s="243">
        <f>SUM(AN79,AN93,AN100,AN106,AN111,AN118,AN123,AN134,AN140)</f>
        <v>0</v>
      </c>
      <c r="AO78" s="243"/>
      <c r="AP78" s="244"/>
      <c r="AQ78" s="245">
        <f>SUM(AQ79,AQ93,AQ100,AQ106,AQ111,AQ118,AQ123,AQ134,AQ140)</f>
        <v>111354244.74428572</v>
      </c>
      <c r="AR78" s="245">
        <f>SUM(AR79,AR93,AR100,AR106,AR111,AR118,AR123,AR134,AR140)</f>
        <v>15004551943.200001</v>
      </c>
      <c r="AS78" s="245">
        <f>SUM(AS79,AS93,AS100,AS106,AS111,AS118,AS123,AS134,AS140)</f>
        <v>0</v>
      </c>
      <c r="AT78" s="245">
        <f>SUM(AT79,AT93,AT100,AT106,AT111,AT118,AT123,AT134,AT140)</f>
        <v>15115906187.944286</v>
      </c>
      <c r="AU78" s="245">
        <f t="shared" ref="AU78:BB78" si="55">SUM(AU79,AU93,AU100,AU106,AU111,AU118,AU123,AU134,AU140)</f>
        <v>14795657388.5</v>
      </c>
      <c r="AV78" s="245">
        <f t="shared" si="55"/>
        <v>0</v>
      </c>
      <c r="AW78" s="245">
        <f t="shared" si="55"/>
        <v>0</v>
      </c>
      <c r="AX78" s="245">
        <f t="shared" si="55"/>
        <v>0</v>
      </c>
      <c r="AY78" s="245">
        <f t="shared" si="55"/>
        <v>0</v>
      </c>
      <c r="AZ78" s="245">
        <f t="shared" si="55"/>
        <v>0</v>
      </c>
      <c r="BA78" s="245">
        <f t="shared" si="55"/>
        <v>0</v>
      </c>
      <c r="BB78" s="245">
        <f t="shared" si="55"/>
        <v>-320248799.44428575</v>
      </c>
    </row>
    <row r="79" spans="1:58" s="170" customFormat="1" ht="15.75" customHeight="1" x14ac:dyDescent="0.25">
      <c r="A79" s="120"/>
      <c r="B79" s="290"/>
      <c r="C79" s="391" t="s">
        <v>313</v>
      </c>
      <c r="D79" s="391"/>
      <c r="E79" s="392"/>
      <c r="F79" s="293"/>
      <c r="G79" s="293"/>
      <c r="H79" s="114" t="s">
        <v>163</v>
      </c>
      <c r="I79" s="246"/>
      <c r="J79" s="246"/>
      <c r="K79" s="246"/>
      <c r="L79" s="247">
        <f>SUM(L85,L88,L92)</f>
        <v>7309440</v>
      </c>
      <c r="M79" s="247">
        <f>SUM(M85,M88,M92)</f>
        <v>1220676.48</v>
      </c>
      <c r="N79" s="247"/>
      <c r="O79" s="247"/>
      <c r="P79" s="247"/>
      <c r="Q79" s="247"/>
      <c r="R79" s="247">
        <f>SUM(R85,R88,R92)</f>
        <v>0</v>
      </c>
      <c r="S79" s="247">
        <f>SUM(S85,S88,S92)</f>
        <v>0</v>
      </c>
      <c r="T79" s="247">
        <f>SUM(T85,T88,T92)</f>
        <v>0</v>
      </c>
      <c r="U79" s="247">
        <f>SUM(U85,U88,U92)</f>
        <v>0</v>
      </c>
      <c r="V79" s="247"/>
      <c r="W79" s="247"/>
      <c r="X79" s="247"/>
      <c r="Y79" s="247">
        <f>SUM(Y85,Y88,Y92)</f>
        <v>255000</v>
      </c>
      <c r="Z79" s="247"/>
      <c r="AA79" s="247"/>
      <c r="AB79" s="247">
        <f>SUM(AB85,AB88,AB92)</f>
        <v>855000</v>
      </c>
      <c r="AC79" s="247">
        <f>SUM(AC85,AC88,AC92)</f>
        <v>2513515516</v>
      </c>
      <c r="AD79" s="247">
        <f>SUM(AD85,AD88,AD92)</f>
        <v>0</v>
      </c>
      <c r="AE79" s="247">
        <f>SUM(AE85,AE88,AE92)</f>
        <v>313878103.19999999</v>
      </c>
      <c r="AF79" s="247">
        <f>SUM(AF85,AF88,AF92)</f>
        <v>2828503619.1999998</v>
      </c>
      <c r="AG79" s="247"/>
      <c r="AH79" s="247"/>
      <c r="AI79" s="247"/>
      <c r="AJ79" s="247">
        <f>SUM(AJ85,AJ88,AJ92)</f>
        <v>0</v>
      </c>
      <c r="AK79" s="247">
        <f>SUM(AK85,AK88,AK92)</f>
        <v>0</v>
      </c>
      <c r="AL79" s="247">
        <f>SUM(AL85,AL88,AL92)</f>
        <v>0</v>
      </c>
      <c r="AM79" s="247">
        <f>SUM(AM85,AM88,AM92)</f>
        <v>0</v>
      </c>
      <c r="AN79" s="247">
        <f>SUM(AN85,AN88,AN92)</f>
        <v>0</v>
      </c>
      <c r="AO79" s="247"/>
      <c r="AP79" s="255"/>
      <c r="AQ79" s="248">
        <f>SUM(AQ85,AQ88,AQ92)</f>
        <v>8530116.4800000004</v>
      </c>
      <c r="AR79" s="248">
        <f>SUM(AR85,AR88,AR92)</f>
        <v>2828503619.1999998</v>
      </c>
      <c r="AS79" s="248">
        <f>SUM(AS85,AS88,AS92)</f>
        <v>0</v>
      </c>
      <c r="AT79" s="248">
        <f>SUM(AT85,AT88,AT92)</f>
        <v>2837033735.6799998</v>
      </c>
      <c r="AU79" s="248">
        <f t="shared" ref="AU79:BB79" si="56">SUM(AU85,AU88,AU92)</f>
        <v>2522561735</v>
      </c>
      <c r="AV79" s="248">
        <f t="shared" si="56"/>
        <v>0</v>
      </c>
      <c r="AW79" s="248">
        <f t="shared" si="56"/>
        <v>0</v>
      </c>
      <c r="AX79" s="248">
        <f t="shared" si="56"/>
        <v>0</v>
      </c>
      <c r="AY79" s="248">
        <f t="shared" si="56"/>
        <v>0</v>
      </c>
      <c r="AZ79" s="248">
        <f t="shared" si="56"/>
        <v>0</v>
      </c>
      <c r="BA79" s="248">
        <f t="shared" si="56"/>
        <v>0</v>
      </c>
      <c r="BB79" s="248">
        <f t="shared" si="56"/>
        <v>-314472000.68000001</v>
      </c>
    </row>
    <row r="80" spans="1:58" ht="31.5" outlineLevel="2" x14ac:dyDescent="0.25">
      <c r="A80" s="115"/>
      <c r="B80" s="200"/>
      <c r="C80" s="201"/>
      <c r="D80" s="202"/>
      <c r="E80" s="226"/>
      <c r="F80" s="306"/>
      <c r="G80" s="307"/>
      <c r="H80" s="164" t="s">
        <v>417</v>
      </c>
      <c r="I80" s="130"/>
      <c r="J80" s="126"/>
      <c r="K80" s="126"/>
      <c r="L80" s="125" t="str">
        <f>IF(I80&lt;&gt;0,((VLOOKUP(I80,'1. Standard_Cost'!$B$4:$D$11,2)+VLOOKUP(I80,'1. Standard_Cost'!$B$4:$D$11,3))*J80*K80),"0")</f>
        <v>0</v>
      </c>
      <c r="M80" s="125">
        <f>L80*'1. Standard_Cost'!$F$4</f>
        <v>0</v>
      </c>
      <c r="N80" s="126"/>
      <c r="O80" s="126"/>
      <c r="P80" s="126"/>
      <c r="Q80" s="126"/>
      <c r="R80" s="127">
        <f>'1. Standard_Cost'!$B$15*N80*P80</f>
        <v>0</v>
      </c>
      <c r="S80" s="127">
        <f>N80*O80*P80*'1. Standard_Cost'!$C$15</f>
        <v>0</v>
      </c>
      <c r="T80" s="127">
        <f>N80*P80*Q80*'1. Standard_Cost'!$D$15</f>
        <v>0</v>
      </c>
      <c r="U80" s="127">
        <f>N80*O80*'1. Standard_Cost'!$E$15</f>
        <v>0</v>
      </c>
      <c r="V80" s="126"/>
      <c r="W80" s="126"/>
      <c r="X80" s="126"/>
      <c r="Y80" s="127">
        <f>+V80*((X80*'1. Standard_Cost'!$B$19)+(W80*X80*'1. Standard_Cost'!$C$19))</f>
        <v>0</v>
      </c>
      <c r="Z80" s="126"/>
      <c r="AA80" s="126"/>
      <c r="AB80" s="127">
        <f>+Z80*'1. Standard_Cost'!$B$23+AA80*'1. Standard_Cost'!$C$23</f>
        <v>0</v>
      </c>
      <c r="AC80" s="128">
        <v>876090000</v>
      </c>
      <c r="AD80" s="129"/>
      <c r="AE80" s="127">
        <f>0</f>
        <v>0</v>
      </c>
      <c r="AF80" s="127">
        <f>SUM(AE80,AD80,AC80,AB80,Y80,U80,T80,S80,R80)</f>
        <v>876090000</v>
      </c>
      <c r="AG80" s="126"/>
      <c r="AH80" s="126"/>
      <c r="AI80" s="126"/>
      <c r="AJ80" s="130"/>
      <c r="AK80" s="130"/>
      <c r="AL80" s="130"/>
      <c r="AM80" s="127">
        <f>AG80*'1. Standard_Cost'!$B$27+'Incremental_Cost Year 10'!AH80*'1. Standard_Cost'!$C$27+'Incremental_Cost Year 10'!AI80*'1. Standard_Cost'!$D$27+'Incremental_Cost Year 10'!AJ80+'Incremental_Cost Year 10'!AL80+AK80</f>
        <v>0</v>
      </c>
      <c r="AN80" s="127">
        <f>AM80*'1. Standard_Cost'!$C$31</f>
        <v>0</v>
      </c>
      <c r="AO80" s="130"/>
      <c r="AP80" s="256"/>
      <c r="AQ80" s="171">
        <f>L80+M80</f>
        <v>0</v>
      </c>
      <c r="AR80" s="171">
        <f>AF80</f>
        <v>876090000</v>
      </c>
      <c r="AS80" s="171">
        <f>AM80+AN80</f>
        <v>0</v>
      </c>
      <c r="AT80" s="171">
        <f>SUM(AQ80,AR80,AS80)</f>
        <v>876090000</v>
      </c>
      <c r="AU80" s="250">
        <v>876090000</v>
      </c>
      <c r="AV80" s="250"/>
      <c r="AW80" s="250"/>
      <c r="AX80" s="250"/>
      <c r="AY80" s="250"/>
      <c r="AZ80" s="250"/>
      <c r="BA80" s="250"/>
      <c r="BB80" s="251">
        <f t="shared" ref="BB80:BB84" si="57">SUM(AU80:BA80)-AT80</f>
        <v>0</v>
      </c>
      <c r="BC80" s="169"/>
      <c r="BD80" s="169"/>
      <c r="BE80" s="169"/>
      <c r="BF80" s="169"/>
    </row>
    <row r="81" spans="1:58" ht="31.5" outlineLevel="2" x14ac:dyDescent="0.25">
      <c r="A81" s="115"/>
      <c r="B81" s="200"/>
      <c r="C81" s="201"/>
      <c r="D81" s="202"/>
      <c r="E81" s="202"/>
      <c r="F81" s="308"/>
      <c r="G81" s="309"/>
      <c r="H81" s="164" t="s">
        <v>418</v>
      </c>
      <c r="I81" s="130"/>
      <c r="J81" s="126"/>
      <c r="K81" s="126"/>
      <c r="L81" s="125" t="str">
        <f>IF(I81&lt;&gt;0,((VLOOKUP(I81,'1. Standard_Cost'!$B$4:$D$11,2)+VLOOKUP(I81,'1. Standard_Cost'!$B$4:$D$11,3))*J81*K81),"0")</f>
        <v>0</v>
      </c>
      <c r="M81" s="125">
        <f>L81*'1. Standard_Cost'!$F$4</f>
        <v>0</v>
      </c>
      <c r="N81" s="126"/>
      <c r="O81" s="126"/>
      <c r="P81" s="126"/>
      <c r="Q81" s="126"/>
      <c r="R81" s="127">
        <f>'1. Standard_Cost'!$B$15*N81*P81</f>
        <v>0</v>
      </c>
      <c r="S81" s="127">
        <f>N81*O81*P81*'1. Standard_Cost'!$C$15</f>
        <v>0</v>
      </c>
      <c r="T81" s="127">
        <f>N81*P81*Q81*'1. Standard_Cost'!$D$15</f>
        <v>0</v>
      </c>
      <c r="U81" s="127">
        <f>N81*O81*'1. Standard_Cost'!$E$15</f>
        <v>0</v>
      </c>
      <c r="V81" s="126"/>
      <c r="W81" s="126"/>
      <c r="X81" s="126"/>
      <c r="Y81" s="127">
        <f>+V81*((X81*'1. Standard_Cost'!$B$19)+(W81*X81*'1. Standard_Cost'!$C$19))</f>
        <v>0</v>
      </c>
      <c r="Z81" s="126"/>
      <c r="AA81" s="126"/>
      <c r="AB81" s="127">
        <f>+Z81*'1. Standard_Cost'!$B$23+AA81*'1. Standard_Cost'!$C$23</f>
        <v>0</v>
      </c>
      <c r="AC81" s="128">
        <v>56520000</v>
      </c>
      <c r="AD81" s="129"/>
      <c r="AE81" s="127">
        <f>0</f>
        <v>0</v>
      </c>
      <c r="AF81" s="127">
        <f>SUM(AE81,AD81,AC81,AB81,Y81,U81,T81,S81,R81)</f>
        <v>56520000</v>
      </c>
      <c r="AG81" s="126"/>
      <c r="AH81" s="126"/>
      <c r="AI81" s="126"/>
      <c r="AJ81" s="130"/>
      <c r="AK81" s="130"/>
      <c r="AL81" s="130"/>
      <c r="AM81" s="127">
        <f>AG81*'1. Standard_Cost'!$B$27+'Incremental_Cost Year 10'!AH81*'1. Standard_Cost'!$C$27+'Incremental_Cost Year 10'!AI81*'1. Standard_Cost'!$D$27+'Incremental_Cost Year 10'!AJ81+'Incremental_Cost Year 10'!AL81+AK81</f>
        <v>0</v>
      </c>
      <c r="AN81" s="127">
        <f>AM81*'1. Standard_Cost'!$C$31</f>
        <v>0</v>
      </c>
      <c r="AO81" s="130"/>
      <c r="AP81" s="256"/>
      <c r="AQ81" s="171">
        <f>L81+M81</f>
        <v>0</v>
      </c>
      <c r="AR81" s="171">
        <f>AF81</f>
        <v>56520000</v>
      </c>
      <c r="AS81" s="171">
        <f>AM81+AN81</f>
        <v>0</v>
      </c>
      <c r="AT81" s="171">
        <f>SUM(AQ81,AR81,AS81)</f>
        <v>56520000</v>
      </c>
      <c r="AU81" s="250">
        <v>56520000</v>
      </c>
      <c r="AV81" s="250"/>
      <c r="AW81" s="250"/>
      <c r="AX81" s="250"/>
      <c r="AY81" s="250"/>
      <c r="AZ81" s="250"/>
      <c r="BA81" s="250"/>
      <c r="BB81" s="251">
        <f t="shared" si="57"/>
        <v>0</v>
      </c>
      <c r="BC81" s="169"/>
      <c r="BD81" s="169"/>
      <c r="BE81" s="169"/>
      <c r="BF81" s="169"/>
    </row>
    <row r="82" spans="1:58" ht="31.5" outlineLevel="2" x14ac:dyDescent="0.25">
      <c r="A82" s="115"/>
      <c r="B82" s="200"/>
      <c r="C82" s="201"/>
      <c r="D82" s="202"/>
      <c r="E82" s="202"/>
      <c r="F82" s="308"/>
      <c r="G82" s="309"/>
      <c r="H82" s="164" t="s">
        <v>419</v>
      </c>
      <c r="I82" s="130"/>
      <c r="J82" s="126"/>
      <c r="K82" s="126"/>
      <c r="L82" s="125" t="str">
        <f>IF(I82&lt;&gt;0,((VLOOKUP(I82,'1. Standard_Cost'!$B$4:$D$11,2)+VLOOKUP(I82,'1. Standard_Cost'!$B$4:$D$11,3))*J82*K82),"0")</f>
        <v>0</v>
      </c>
      <c r="M82" s="125">
        <f>L82*'1. Standard_Cost'!$F$4</f>
        <v>0</v>
      </c>
      <c r="N82" s="126"/>
      <c r="O82" s="126"/>
      <c r="P82" s="126"/>
      <c r="Q82" s="126"/>
      <c r="R82" s="127">
        <f>'1. Standard_Cost'!$B$15*N82*P82</f>
        <v>0</v>
      </c>
      <c r="S82" s="127">
        <f>N82*O82*P82*'1. Standard_Cost'!$C$15</f>
        <v>0</v>
      </c>
      <c r="T82" s="127">
        <f>N82*P82*Q82*'1. Standard_Cost'!$D$15</f>
        <v>0</v>
      </c>
      <c r="U82" s="127">
        <f>N82*O82*'1. Standard_Cost'!$E$15</f>
        <v>0</v>
      </c>
      <c r="V82" s="126"/>
      <c r="W82" s="126"/>
      <c r="X82" s="126"/>
      <c r="Y82" s="127">
        <f>+V82*((X82*'1. Standard_Cost'!$B$19)+(W82*X82*'1. Standard_Cost'!$C$19))</f>
        <v>0</v>
      </c>
      <c r="Z82" s="126"/>
      <c r="AA82" s="126"/>
      <c r="AB82" s="127">
        <f>+Z82*'1. Standard_Cost'!$B$23+AA82*'1. Standard_Cost'!$C$23</f>
        <v>0</v>
      </c>
      <c r="AC82" s="128">
        <v>12625000</v>
      </c>
      <c r="AD82" s="129"/>
      <c r="AE82" s="127">
        <f>0</f>
        <v>0</v>
      </c>
      <c r="AF82" s="127">
        <f>SUM(AE82,AD82,AC82,AB82,Y82,U82,T82,S82,R82)</f>
        <v>12625000</v>
      </c>
      <c r="AG82" s="126"/>
      <c r="AH82" s="126"/>
      <c r="AI82" s="126"/>
      <c r="AJ82" s="130"/>
      <c r="AK82" s="130"/>
      <c r="AL82" s="130"/>
      <c r="AM82" s="127">
        <f>AG82*'1. Standard_Cost'!$B$27+'Incremental_Cost Year 10'!AH82*'1. Standard_Cost'!$C$27+'Incremental_Cost Year 10'!AI82*'1. Standard_Cost'!$D$27+'Incremental_Cost Year 10'!AJ82+'Incremental_Cost Year 10'!AL82+AK82</f>
        <v>0</v>
      </c>
      <c r="AN82" s="127">
        <f>AM82*'1. Standard_Cost'!$C$31</f>
        <v>0</v>
      </c>
      <c r="AO82" s="130"/>
      <c r="AP82" s="256"/>
      <c r="AQ82" s="171">
        <f>L82+M82</f>
        <v>0</v>
      </c>
      <c r="AR82" s="171">
        <f>AF82</f>
        <v>12625000</v>
      </c>
      <c r="AS82" s="171">
        <f>AM82+AN82</f>
        <v>0</v>
      </c>
      <c r="AT82" s="171">
        <f>SUM(AQ82,AR82,AS82)</f>
        <v>12625000</v>
      </c>
      <c r="AU82" s="250">
        <v>12625000</v>
      </c>
      <c r="AV82" s="250"/>
      <c r="AW82" s="250"/>
      <c r="AX82" s="250"/>
      <c r="AY82" s="250"/>
      <c r="AZ82" s="250"/>
      <c r="BA82" s="250"/>
      <c r="BB82" s="251">
        <f t="shared" si="57"/>
        <v>0</v>
      </c>
      <c r="BC82" s="169"/>
      <c r="BD82" s="169"/>
      <c r="BE82" s="169"/>
      <c r="BF82" s="169"/>
    </row>
    <row r="83" spans="1:58" ht="78.75" outlineLevel="2" x14ac:dyDescent="0.25">
      <c r="A83" s="115"/>
      <c r="B83" s="200"/>
      <c r="C83" s="201"/>
      <c r="D83" s="137"/>
      <c r="E83" s="105"/>
      <c r="F83" s="308"/>
      <c r="G83" s="309"/>
      <c r="H83" s="199" t="s">
        <v>539</v>
      </c>
      <c r="I83" s="130"/>
      <c r="J83" s="126"/>
      <c r="K83" s="126"/>
      <c r="L83" s="125" t="str">
        <f>IF(I83&lt;&gt;0,((VLOOKUP(I83,'1. Standard_Cost'!$B$4:$D$11,2)+VLOOKUP(I83,'1. Standard_Cost'!$B$4:$D$11,3))*J83*K83),"0")</f>
        <v>0</v>
      </c>
      <c r="M83" s="125">
        <f>L83*'1. Standard_Cost'!$F$4</f>
        <v>0</v>
      </c>
      <c r="N83" s="126"/>
      <c r="O83" s="126"/>
      <c r="P83" s="126"/>
      <c r="Q83" s="126"/>
      <c r="R83" s="127">
        <f>'1. Standard_Cost'!$B$15*N83*P83</f>
        <v>0</v>
      </c>
      <c r="S83" s="127">
        <f>N83*O83*P83*'1. Standard_Cost'!$C$15</f>
        <v>0</v>
      </c>
      <c r="T83" s="127">
        <f>N83*P83*Q83*'1. Standard_Cost'!$D$15</f>
        <v>0</v>
      </c>
      <c r="U83" s="127">
        <f>N83*O83*'1. Standard_Cost'!$E$15</f>
        <v>0</v>
      </c>
      <c r="V83" s="126"/>
      <c r="W83" s="126"/>
      <c r="X83" s="126"/>
      <c r="Y83" s="127">
        <f>+V83*((X83*'1. Standard_Cost'!$B$19)+(W83*X83*'1. Standard_Cost'!$C$19))</f>
        <v>0</v>
      </c>
      <c r="Z83" s="126"/>
      <c r="AA83" s="126"/>
      <c r="AB83" s="127">
        <f>+Z83*'1. Standard_Cost'!$B$23+AA83*'1. Standard_Cost'!$C$23</f>
        <v>0</v>
      </c>
      <c r="AC83" s="128">
        <v>1567230000</v>
      </c>
      <c r="AD83" s="129"/>
      <c r="AE83" s="127">
        <f>SUM(AD83,AC83,AB83,Y83,U83,T83,S83,R83)*'1. Standard_Cost'!$B$31</f>
        <v>313446000</v>
      </c>
      <c r="AF83" s="127">
        <f>SUM(AE83,AD83,AC83,AB83,Y83,U83,T83,S83,R83)</f>
        <v>1880676000</v>
      </c>
      <c r="AG83" s="126"/>
      <c r="AH83" s="126"/>
      <c r="AI83" s="126"/>
      <c r="AJ83" s="130"/>
      <c r="AK83" s="130"/>
      <c r="AL83" s="130"/>
      <c r="AM83" s="127">
        <f>AG83*'1. Standard_Cost'!$B$27+'Incremental_Cost Year 10'!AH83*'1. Standard_Cost'!$C$27+'Incremental_Cost Year 10'!AI83*'1. Standard_Cost'!$D$27+'Incremental_Cost Year 10'!AJ83+'Incremental_Cost Year 10'!AL83+AK83</f>
        <v>0</v>
      </c>
      <c r="AN83" s="127">
        <f>AM83*'1. Standard_Cost'!$C$31</f>
        <v>0</v>
      </c>
      <c r="AO83" s="130"/>
      <c r="AP83" s="256"/>
      <c r="AQ83" s="171">
        <f>L83+M83</f>
        <v>0</v>
      </c>
      <c r="AR83" s="171">
        <f>AF83</f>
        <v>1880676000</v>
      </c>
      <c r="AS83" s="171">
        <f>AM83+AN83</f>
        <v>0</v>
      </c>
      <c r="AT83" s="171">
        <f>SUM(AQ83,AR83,AS83)</f>
        <v>1880676000</v>
      </c>
      <c r="AU83" s="250">
        <v>1567230000</v>
      </c>
      <c r="AV83" s="250"/>
      <c r="AW83" s="250"/>
      <c r="AX83" s="250"/>
      <c r="AY83" s="250"/>
      <c r="AZ83" s="250"/>
      <c r="BA83" s="250"/>
      <c r="BB83" s="251">
        <f t="shared" si="57"/>
        <v>-313446000</v>
      </c>
      <c r="BC83" s="169"/>
      <c r="BD83" s="169"/>
      <c r="BE83" s="169"/>
      <c r="BF83" s="169"/>
    </row>
    <row r="84" spans="1:58" ht="31.5" outlineLevel="2" x14ac:dyDescent="0.25">
      <c r="A84" s="115"/>
      <c r="B84" s="200"/>
      <c r="C84" s="201"/>
      <c r="D84" s="137"/>
      <c r="E84" s="202"/>
      <c r="F84" s="308"/>
      <c r="G84" s="309"/>
      <c r="H84" s="164" t="s">
        <v>420</v>
      </c>
      <c r="I84" s="130"/>
      <c r="J84" s="126"/>
      <c r="K84" s="126"/>
      <c r="L84" s="125" t="str">
        <f>IF(I84&lt;&gt;0,((VLOOKUP(I84,'1. Standard_Cost'!$B$4:$D$11,2)+VLOOKUP(I84,'1. Standard_Cost'!$B$4:$D$11,3))*J84*K84),"0")</f>
        <v>0</v>
      </c>
      <c r="M84" s="125">
        <f>L84*'1. Standard_Cost'!$F$4</f>
        <v>0</v>
      </c>
      <c r="N84" s="126"/>
      <c r="O84" s="126"/>
      <c r="P84" s="126"/>
      <c r="Q84" s="126"/>
      <c r="R84" s="127">
        <f>'1. Standard_Cost'!$B$15*N84*P84</f>
        <v>0</v>
      </c>
      <c r="S84" s="127">
        <f>N84*O84*P84*'1. Standard_Cost'!$C$15</f>
        <v>0</v>
      </c>
      <c r="T84" s="127">
        <f>N84*P84*Q84*'1. Standard_Cost'!$D$15</f>
        <v>0</v>
      </c>
      <c r="U84" s="127">
        <f>N84*O84*'1. Standard_Cost'!$E$15</f>
        <v>0</v>
      </c>
      <c r="V84" s="126"/>
      <c r="W84" s="126"/>
      <c r="X84" s="126"/>
      <c r="Y84" s="127">
        <f>+V84*((X84*'1. Standard_Cost'!$B$19)+(W84*X84*'1. Standard_Cost'!$C$19))</f>
        <v>0</v>
      </c>
      <c r="Z84" s="126"/>
      <c r="AA84" s="126"/>
      <c r="AB84" s="127">
        <f>+Z84*'1. Standard_Cost'!$B$23+AA84*'1. Standard_Cost'!$C$23</f>
        <v>0</v>
      </c>
      <c r="AC84" s="128"/>
      <c r="AD84" s="129"/>
      <c r="AE84" s="127">
        <f>SUM(AD84,AC84,AB84,Y84,U84,T84,S84,R84)*'1. Standard_Cost'!$B$31</f>
        <v>0</v>
      </c>
      <c r="AF84" s="127">
        <f>SUM(AE84,AD84,AC84,AB84,Y84,U84,T84,S84,R84)</f>
        <v>0</v>
      </c>
      <c r="AG84" s="126"/>
      <c r="AH84" s="126"/>
      <c r="AI84" s="126"/>
      <c r="AJ84" s="130"/>
      <c r="AK84" s="130"/>
      <c r="AL84" s="130"/>
      <c r="AM84" s="127">
        <f>AG84*'1. Standard_Cost'!$B$27+'Incremental_Cost Year 10'!AH84*'1. Standard_Cost'!$C$27+'Incremental_Cost Year 10'!AI84*'1. Standard_Cost'!$D$27+'Incremental_Cost Year 10'!AJ84+'Incremental_Cost Year 10'!AL84+AK84</f>
        <v>0</v>
      </c>
      <c r="AN84" s="127">
        <f>AM84*'1. Standard_Cost'!$C$31</f>
        <v>0</v>
      </c>
      <c r="AO84" s="130"/>
      <c r="AP84" s="256"/>
      <c r="AQ84" s="171">
        <f>L84+M84</f>
        <v>0</v>
      </c>
      <c r="AR84" s="171">
        <f>AF84</f>
        <v>0</v>
      </c>
      <c r="AS84" s="171">
        <f>AM84+AN84</f>
        <v>0</v>
      </c>
      <c r="AT84" s="171">
        <f>SUM(AQ84,AR84,AS84)</f>
        <v>0</v>
      </c>
      <c r="AU84" s="250"/>
      <c r="AV84" s="250"/>
      <c r="AW84" s="250"/>
      <c r="AX84" s="250"/>
      <c r="AY84" s="250"/>
      <c r="AZ84" s="250"/>
      <c r="BA84" s="250"/>
      <c r="BB84" s="251">
        <f t="shared" si="57"/>
        <v>0</v>
      </c>
      <c r="BC84" s="169"/>
      <c r="BD84" s="169"/>
      <c r="BE84" s="169"/>
      <c r="BF84" s="169"/>
    </row>
    <row r="85" spans="1:58" ht="110.25" outlineLevel="1" x14ac:dyDescent="0.25">
      <c r="A85" s="115"/>
      <c r="B85" s="165"/>
      <c r="C85" s="166"/>
      <c r="D85" s="139" t="s">
        <v>421</v>
      </c>
      <c r="E85" s="212" t="s">
        <v>273</v>
      </c>
      <c r="F85" s="136">
        <v>2021</v>
      </c>
      <c r="G85" s="117">
        <v>2030</v>
      </c>
      <c r="H85" s="110" t="s">
        <v>175</v>
      </c>
      <c r="I85" s="252"/>
      <c r="J85" s="252"/>
      <c r="K85" s="252"/>
      <c r="L85" s="127">
        <f>SUM(L80:L84)</f>
        <v>0</v>
      </c>
      <c r="M85" s="127">
        <f>SUM(M80:M84)</f>
        <v>0</v>
      </c>
      <c r="N85" s="252"/>
      <c r="O85" s="252"/>
      <c r="P85" s="252"/>
      <c r="Q85" s="252"/>
      <c r="R85" s="127">
        <f>SUM(R80:R84)</f>
        <v>0</v>
      </c>
      <c r="S85" s="127">
        <f>SUM(S80:S84)</f>
        <v>0</v>
      </c>
      <c r="T85" s="127">
        <f>SUM(T80:T84)</f>
        <v>0</v>
      </c>
      <c r="U85" s="127">
        <f>SUM(U80:U84)</f>
        <v>0</v>
      </c>
      <c r="V85" s="252"/>
      <c r="W85" s="252"/>
      <c r="X85" s="252"/>
      <c r="Y85" s="127">
        <f>SUM(Y80:Y84)</f>
        <v>0</v>
      </c>
      <c r="Z85" s="252"/>
      <c r="AA85" s="252"/>
      <c r="AB85" s="127">
        <f>SUM(AB80:AB84)</f>
        <v>0</v>
      </c>
      <c r="AC85" s="127">
        <f>SUM(AC80:AC84)</f>
        <v>2512465000</v>
      </c>
      <c r="AD85" s="127">
        <f>SUM(AD80:AD84)</f>
        <v>0</v>
      </c>
      <c r="AE85" s="127">
        <f>SUM(AE80:AE84)</f>
        <v>313446000</v>
      </c>
      <c r="AF85" s="127">
        <f>SUM(AF80:AF84)</f>
        <v>2825911000</v>
      </c>
      <c r="AG85" s="252"/>
      <c r="AH85" s="252"/>
      <c r="AI85" s="252"/>
      <c r="AJ85" s="127">
        <f>SUM(AJ80:AJ84)</f>
        <v>0</v>
      </c>
      <c r="AK85" s="127">
        <f>SUM(AK80:AK84)</f>
        <v>0</v>
      </c>
      <c r="AL85" s="127">
        <f>SUM(AL80:AL84)</f>
        <v>0</v>
      </c>
      <c r="AM85" s="127">
        <f>SUM(AM80:AM84)</f>
        <v>0</v>
      </c>
      <c r="AN85" s="127">
        <f>SUM(AN80:AN84)</f>
        <v>0</v>
      </c>
      <c r="AO85" s="253"/>
      <c r="AP85" s="254"/>
      <c r="AQ85" s="175">
        <f>SUM(AQ80:AQ84)</f>
        <v>0</v>
      </c>
      <c r="AR85" s="175">
        <f>SUM(AR80:AR84)</f>
        <v>2825911000</v>
      </c>
      <c r="AS85" s="175">
        <f>SUM(AS80:AS84)</f>
        <v>0</v>
      </c>
      <c r="AT85" s="175">
        <f>SUM(AT80:AT84)</f>
        <v>2825911000</v>
      </c>
      <c r="AU85" s="175">
        <f t="shared" ref="AU85:BB85" si="58">SUM(AU80:AU84)</f>
        <v>2512465000</v>
      </c>
      <c r="AV85" s="175">
        <f t="shared" si="58"/>
        <v>0</v>
      </c>
      <c r="AW85" s="175">
        <f t="shared" si="58"/>
        <v>0</v>
      </c>
      <c r="AX85" s="175">
        <f t="shared" si="58"/>
        <v>0</v>
      </c>
      <c r="AY85" s="175">
        <f t="shared" si="58"/>
        <v>0</v>
      </c>
      <c r="AZ85" s="175">
        <f t="shared" si="58"/>
        <v>0</v>
      </c>
      <c r="BA85" s="175">
        <f t="shared" si="58"/>
        <v>0</v>
      </c>
      <c r="BB85" s="175">
        <f t="shared" si="58"/>
        <v>-313446000</v>
      </c>
      <c r="BC85" s="169"/>
      <c r="BD85" s="169"/>
      <c r="BE85" s="169"/>
      <c r="BF85" s="169"/>
    </row>
    <row r="86" spans="1:58" ht="126" outlineLevel="2" x14ac:dyDescent="0.25">
      <c r="A86" s="115"/>
      <c r="B86" s="200"/>
      <c r="C86" s="201"/>
      <c r="D86" s="346"/>
      <c r="E86" s="321"/>
      <c r="F86" s="295"/>
      <c r="G86" s="296"/>
      <c r="H86" s="164" t="s">
        <v>422</v>
      </c>
      <c r="I86" s="130" t="s">
        <v>3</v>
      </c>
      <c r="J86" s="126">
        <v>0.7</v>
      </c>
      <c r="K86" s="126">
        <v>9</v>
      </c>
      <c r="L86" s="125">
        <f>IF(I86&lt;&gt;0,((VLOOKUP(I86,'1. Standard_Cost'!$B$4:$D$11,2)+VLOOKUP(I86,'1. Standard_Cost'!$B$4:$D$11,3))*J86*K86),"0")</f>
        <v>635040</v>
      </c>
      <c r="M86" s="125">
        <f>L86*'1. Standard_Cost'!$F$4</f>
        <v>106051.68000000001</v>
      </c>
      <c r="N86" s="126"/>
      <c r="O86" s="126"/>
      <c r="P86" s="126"/>
      <c r="Q86" s="126"/>
      <c r="R86" s="127">
        <f>'1. Standard_Cost'!$B$15*N86*P86</f>
        <v>0</v>
      </c>
      <c r="S86" s="127">
        <f>N86*O86*P86*'1. Standard_Cost'!$C$15</f>
        <v>0</v>
      </c>
      <c r="T86" s="127">
        <f>N86*P86*Q86*'1. Standard_Cost'!$D$15</f>
        <v>0</v>
      </c>
      <c r="U86" s="127">
        <f>N86*O86*'1. Standard_Cost'!$E$15</f>
        <v>0</v>
      </c>
      <c r="V86" s="126"/>
      <c r="W86" s="126"/>
      <c r="X86" s="126"/>
      <c r="Y86" s="127">
        <f>+V86*((X86*'1. Standard_Cost'!$B$19)+(W86*X86*'1. Standard_Cost'!$C$19))</f>
        <v>0</v>
      </c>
      <c r="Z86" s="126"/>
      <c r="AA86" s="126"/>
      <c r="AB86" s="127">
        <f>+Z86*'1. Standard_Cost'!$B$23+AA86*'1. Standard_Cost'!$C$23</f>
        <v>0</v>
      </c>
      <c r="AC86" s="128">
        <v>102430</v>
      </c>
      <c r="AD86" s="129"/>
      <c r="AE86" s="127">
        <f>SUM(AD86,AC86,AB86,Y86,U86,T86,S86,R86)*'1. Standard_Cost'!$B$31</f>
        <v>20486</v>
      </c>
      <c r="AF86" s="127">
        <f>SUM(AE86,AD86,AC86,AB86,Y86,U86,T86,S86,R86)</f>
        <v>122916</v>
      </c>
      <c r="AG86" s="126"/>
      <c r="AH86" s="126"/>
      <c r="AI86" s="126"/>
      <c r="AJ86" s="130"/>
      <c r="AK86" s="130"/>
      <c r="AL86" s="130"/>
      <c r="AM86" s="127">
        <f>AG86*'1. Standard_Cost'!$B$27+'Incremental_Cost Year 10'!AH86*'1. Standard_Cost'!$C$27+'Incremental_Cost Year 10'!AI86*'1. Standard_Cost'!$D$27+'Incremental_Cost Year 10'!AJ86+'Incremental_Cost Year 10'!AL86+AK86</f>
        <v>0</v>
      </c>
      <c r="AN86" s="127">
        <f>AM86*'1. Standard_Cost'!$C$31</f>
        <v>0</v>
      </c>
      <c r="AO86" s="130"/>
      <c r="AQ86" s="171">
        <f>L86+M86</f>
        <v>741091.68</v>
      </c>
      <c r="AR86" s="171">
        <f>AF86</f>
        <v>122916</v>
      </c>
      <c r="AS86" s="171">
        <f>AM86+AN86</f>
        <v>0</v>
      </c>
      <c r="AT86" s="171">
        <f>SUM(AQ86,AR86,AS86)</f>
        <v>864007.68000000005</v>
      </c>
      <c r="AU86" s="250">
        <v>864008</v>
      </c>
      <c r="AV86" s="250"/>
      <c r="AW86" s="250"/>
      <c r="AX86" s="250"/>
      <c r="AY86" s="250"/>
      <c r="AZ86" s="250"/>
      <c r="BA86" s="250"/>
      <c r="BB86" s="251">
        <f t="shared" ref="BB86:BB87" si="59">SUM(AU86:BA86)-AT86</f>
        <v>0.31999999994877726</v>
      </c>
      <c r="BC86" s="169"/>
      <c r="BD86" s="169"/>
      <c r="BE86" s="169"/>
      <c r="BF86" s="169"/>
    </row>
    <row r="87" spans="1:58" ht="189" outlineLevel="2" x14ac:dyDescent="0.25">
      <c r="A87" s="115"/>
      <c r="B87" s="200"/>
      <c r="C87" s="201"/>
      <c r="D87" s="133"/>
      <c r="E87" s="322"/>
      <c r="F87" s="122"/>
      <c r="G87" s="123"/>
      <c r="H87" s="199" t="s">
        <v>423</v>
      </c>
      <c r="I87" s="130" t="s">
        <v>3</v>
      </c>
      <c r="J87" s="126">
        <v>2</v>
      </c>
      <c r="K87" s="126">
        <v>7</v>
      </c>
      <c r="L87" s="125">
        <f>IF(I87&lt;&gt;0,((VLOOKUP(I87,'1. Standard_Cost'!$B$4:$D$11,2)+VLOOKUP(I87,'1. Standard_Cost'!$B$4:$D$11,3))*J87*K87),"0")</f>
        <v>1411200</v>
      </c>
      <c r="M87" s="125">
        <f>L87*'1. Standard_Cost'!$F$4</f>
        <v>235670.40000000002</v>
      </c>
      <c r="N87" s="126"/>
      <c r="O87" s="126"/>
      <c r="P87" s="126"/>
      <c r="Q87" s="126"/>
      <c r="R87" s="127">
        <f>'1. Standard_Cost'!$B$15*N87*P87</f>
        <v>0</v>
      </c>
      <c r="S87" s="127">
        <f>N87*O87*P87*'1. Standard_Cost'!$C$15</f>
        <v>0</v>
      </c>
      <c r="T87" s="127">
        <f>N87*P87*Q87*'1. Standard_Cost'!$D$15</f>
        <v>0</v>
      </c>
      <c r="U87" s="127">
        <f>N87*O87*'1. Standard_Cost'!$E$15</f>
        <v>0</v>
      </c>
      <c r="V87" s="126"/>
      <c r="W87" s="126"/>
      <c r="X87" s="126"/>
      <c r="Y87" s="127">
        <f>+V87*((X87*'1. Standard_Cost'!$B$19)+(W87*X87*'1. Standard_Cost'!$C$19))</f>
        <v>0</v>
      </c>
      <c r="Z87" s="126"/>
      <c r="AA87" s="126">
        <v>20</v>
      </c>
      <c r="AB87" s="127">
        <f>+Z87*'1. Standard_Cost'!$B$23+AA87*'1. Standard_Cost'!$C$23</f>
        <v>380000</v>
      </c>
      <c r="AC87" s="128">
        <v>211125</v>
      </c>
      <c r="AD87" s="129"/>
      <c r="AE87" s="127">
        <f>SUM(AD87,AC87,AB87,Y87,U87,T87,S87,R87)*'1. Standard_Cost'!$B$31</f>
        <v>118225</v>
      </c>
      <c r="AF87" s="127">
        <f>SUM(AE87,AD87,AC87,AB87,Y87,U87,T87,S87,R87)</f>
        <v>709350</v>
      </c>
      <c r="AG87" s="126"/>
      <c r="AH87" s="126"/>
      <c r="AI87" s="126"/>
      <c r="AJ87" s="130"/>
      <c r="AK87" s="130"/>
      <c r="AL87" s="130"/>
      <c r="AM87" s="127">
        <f>AG87*'1. Standard_Cost'!$B$27+'Incremental_Cost Year 10'!AH87*'1. Standard_Cost'!$C$27+'Incremental_Cost Year 10'!AI87*'1. Standard_Cost'!$D$27+'Incremental_Cost Year 10'!AJ87+'Incremental_Cost Year 10'!AL87+AK87</f>
        <v>0</v>
      </c>
      <c r="AN87" s="127">
        <f>AM87*'1. Standard_Cost'!$C$31</f>
        <v>0</v>
      </c>
      <c r="AO87" s="130"/>
      <c r="AQ87" s="171">
        <f>L87+M87</f>
        <v>1646870.4</v>
      </c>
      <c r="AR87" s="171">
        <f>AF87</f>
        <v>709350</v>
      </c>
      <c r="AS87" s="171">
        <f>AM87+AN87</f>
        <v>0</v>
      </c>
      <c r="AT87" s="171">
        <f>SUM(AQ87,AR87,AS87)</f>
        <v>2356220.4</v>
      </c>
      <c r="AU87" s="250">
        <v>1900220</v>
      </c>
      <c r="AV87" s="250"/>
      <c r="AW87" s="250"/>
      <c r="AX87" s="250"/>
      <c r="AY87" s="250"/>
      <c r="AZ87" s="250"/>
      <c r="BA87" s="250"/>
      <c r="BB87" s="251">
        <f t="shared" si="59"/>
        <v>-456000.39999999991</v>
      </c>
      <c r="BC87" s="169"/>
      <c r="BD87" s="169"/>
      <c r="BE87" s="169"/>
      <c r="BF87" s="169"/>
    </row>
    <row r="88" spans="1:58" ht="63" outlineLevel="1" x14ac:dyDescent="0.25">
      <c r="A88" s="115"/>
      <c r="B88" s="165"/>
      <c r="C88" s="166"/>
      <c r="D88" s="212" t="s">
        <v>240</v>
      </c>
      <c r="E88" s="212" t="s">
        <v>269</v>
      </c>
      <c r="F88" s="117">
        <v>2024</v>
      </c>
      <c r="G88" s="117">
        <v>2030</v>
      </c>
      <c r="H88" s="110" t="s">
        <v>270</v>
      </c>
      <c r="I88" s="252"/>
      <c r="J88" s="252"/>
      <c r="K88" s="252"/>
      <c r="L88" s="127">
        <f>SUM(L86:L87)</f>
        <v>2046240</v>
      </c>
      <c r="M88" s="127">
        <f>SUM(M86:M87)</f>
        <v>341722.08</v>
      </c>
      <c r="N88" s="252"/>
      <c r="O88" s="252"/>
      <c r="P88" s="252"/>
      <c r="Q88" s="252"/>
      <c r="R88" s="127">
        <f>SUM(R86:R87)</f>
        <v>0</v>
      </c>
      <c r="S88" s="127">
        <f>SUM(S86:S87)</f>
        <v>0</v>
      </c>
      <c r="T88" s="127">
        <f>SUM(T86:T87)</f>
        <v>0</v>
      </c>
      <c r="U88" s="127">
        <f>SUM(U86:U87)</f>
        <v>0</v>
      </c>
      <c r="V88" s="252"/>
      <c r="W88" s="252"/>
      <c r="X88" s="252"/>
      <c r="Y88" s="127">
        <f>SUM(Y86:Y87)</f>
        <v>0</v>
      </c>
      <c r="Z88" s="252"/>
      <c r="AA88" s="252"/>
      <c r="AB88" s="127">
        <f>SUM(AB86:AB87)</f>
        <v>380000</v>
      </c>
      <c r="AC88" s="127">
        <f>SUM(AC86:AC87)</f>
        <v>313555</v>
      </c>
      <c r="AD88" s="127">
        <f>SUM(AD86:AD87)</f>
        <v>0</v>
      </c>
      <c r="AE88" s="127">
        <f>SUM(AE86:AE87)</f>
        <v>138711</v>
      </c>
      <c r="AF88" s="127">
        <f>SUM(AF86:AF87)</f>
        <v>832266</v>
      </c>
      <c r="AG88" s="252"/>
      <c r="AH88" s="252"/>
      <c r="AI88" s="252"/>
      <c r="AJ88" s="127">
        <f>SUM(AJ86:AJ87)</f>
        <v>0</v>
      </c>
      <c r="AK88" s="127">
        <f>SUM(AK86:AK87)</f>
        <v>0</v>
      </c>
      <c r="AL88" s="127">
        <f>SUM(AL86:AL87)</f>
        <v>0</v>
      </c>
      <c r="AM88" s="127">
        <f>SUM(AM86:AM87)</f>
        <v>0</v>
      </c>
      <c r="AN88" s="127">
        <f>SUM(AN86:AN87)</f>
        <v>0</v>
      </c>
      <c r="AO88" s="253"/>
      <c r="AP88" s="254"/>
      <c r="AQ88" s="175">
        <f>SUM(AQ86:AQ87)</f>
        <v>2387962.08</v>
      </c>
      <c r="AR88" s="175">
        <f>SUM(AR86:AR87)</f>
        <v>832266</v>
      </c>
      <c r="AS88" s="175">
        <f>SUM(AS86:AS87)</f>
        <v>0</v>
      </c>
      <c r="AT88" s="175">
        <f>SUM(AT86:AT87)</f>
        <v>3220228.08</v>
      </c>
      <c r="AU88" s="175">
        <f t="shared" ref="AU88:BB88" si="60">SUM(AU86:AU87)</f>
        <v>2764228</v>
      </c>
      <c r="AV88" s="175">
        <f t="shared" si="60"/>
        <v>0</v>
      </c>
      <c r="AW88" s="175">
        <f t="shared" si="60"/>
        <v>0</v>
      </c>
      <c r="AX88" s="175">
        <f t="shared" si="60"/>
        <v>0</v>
      </c>
      <c r="AY88" s="175">
        <f t="shared" si="60"/>
        <v>0</v>
      </c>
      <c r="AZ88" s="175">
        <f t="shared" si="60"/>
        <v>0</v>
      </c>
      <c r="BA88" s="175">
        <f t="shared" si="60"/>
        <v>0</v>
      </c>
      <c r="BB88" s="175">
        <f t="shared" si="60"/>
        <v>-456000.07999999996</v>
      </c>
      <c r="BC88" s="169"/>
      <c r="BD88" s="169"/>
      <c r="BE88" s="169"/>
      <c r="BF88" s="169"/>
    </row>
    <row r="89" spans="1:58" ht="63" outlineLevel="2" x14ac:dyDescent="0.25">
      <c r="A89" s="115"/>
      <c r="B89" s="200"/>
      <c r="C89" s="201"/>
      <c r="D89" s="346"/>
      <c r="E89" s="321"/>
      <c r="F89" s="306"/>
      <c r="G89" s="307"/>
      <c r="H89" s="199" t="s">
        <v>424</v>
      </c>
      <c r="I89" s="130" t="s">
        <v>2</v>
      </c>
      <c r="J89" s="126">
        <v>12</v>
      </c>
      <c r="K89" s="126">
        <v>2</v>
      </c>
      <c r="L89" s="125">
        <f>IF(I89&lt;&gt;0,((VLOOKUP(I89,'1. Standard_Cost'!$B$4:$D$11,2)+VLOOKUP(I89,'1. Standard_Cost'!$B$4:$D$11,3))*J89*K89),"0")</f>
        <v>2904000</v>
      </c>
      <c r="M89" s="125">
        <f>L89*'1. Standard_Cost'!$F$4</f>
        <v>484968</v>
      </c>
      <c r="N89" s="126"/>
      <c r="O89" s="126"/>
      <c r="P89" s="126"/>
      <c r="Q89" s="126"/>
      <c r="R89" s="127">
        <f>'1. Standard_Cost'!$B$15*N89*P89</f>
        <v>0</v>
      </c>
      <c r="S89" s="127">
        <f>N89*O89*P89*'1. Standard_Cost'!$C$15</f>
        <v>0</v>
      </c>
      <c r="T89" s="127">
        <f>N89*P89*Q89*'1. Standard_Cost'!$D$15</f>
        <v>0</v>
      </c>
      <c r="U89" s="127">
        <f>N89*O89*'1. Standard_Cost'!$E$15</f>
        <v>0</v>
      </c>
      <c r="V89" s="126"/>
      <c r="W89" s="126"/>
      <c r="X89" s="126"/>
      <c r="Y89" s="127">
        <f>+V89*((X89*'1. Standard_Cost'!$B$19)+(W89*X89*'1. Standard_Cost'!$C$19))</f>
        <v>0</v>
      </c>
      <c r="Z89" s="126"/>
      <c r="AA89" s="126"/>
      <c r="AB89" s="127">
        <f>+Z89*'1. Standard_Cost'!$B$23+AA89*'1. Standard_Cost'!$C$23</f>
        <v>0</v>
      </c>
      <c r="AC89" s="128">
        <v>406676</v>
      </c>
      <c r="AD89" s="129"/>
      <c r="AE89" s="127">
        <f>SUM(AD89,AC89,AB89,Y89,U89,T89,S89,R89)*'1. Standard_Cost'!$B$31</f>
        <v>81335.200000000012</v>
      </c>
      <c r="AF89" s="127">
        <f>SUM(AE89,AD89,AC89,AB89,Y89,U89,T89,S89,R89)</f>
        <v>488011.2</v>
      </c>
      <c r="AG89" s="126"/>
      <c r="AH89" s="126"/>
      <c r="AI89" s="126"/>
      <c r="AJ89" s="130"/>
      <c r="AK89" s="130"/>
      <c r="AL89" s="130"/>
      <c r="AM89" s="127">
        <f>AG89*'1. Standard_Cost'!$B$27+'Incremental_Cost Year 10'!AH89*'1. Standard_Cost'!$C$27+'Incremental_Cost Year 10'!AI89*'1. Standard_Cost'!$D$27+'Incremental_Cost Year 10'!AJ89+'Incremental_Cost Year 10'!AL89+AK89</f>
        <v>0</v>
      </c>
      <c r="AN89" s="127">
        <f>AM89*'1. Standard_Cost'!$C$31</f>
        <v>0</v>
      </c>
      <c r="AO89" s="130"/>
      <c r="AQ89" s="171">
        <f>L89+M89</f>
        <v>3388968</v>
      </c>
      <c r="AR89" s="171">
        <f>AF89</f>
        <v>488011.2</v>
      </c>
      <c r="AS89" s="171">
        <f>AM89+AN89</f>
        <v>0</v>
      </c>
      <c r="AT89" s="171">
        <f>SUM(AQ89,AR89,AS89)</f>
        <v>3876979.2</v>
      </c>
      <c r="AU89" s="250">
        <v>3876979</v>
      </c>
      <c r="AV89" s="250"/>
      <c r="AW89" s="250"/>
      <c r="AX89" s="250"/>
      <c r="AY89" s="250"/>
      <c r="AZ89" s="250"/>
      <c r="BA89" s="250"/>
      <c r="BB89" s="251">
        <f t="shared" ref="BB89:BB91" si="61">SUM(AU89:BA89)-AT89</f>
        <v>-0.20000000018626451</v>
      </c>
      <c r="BC89" s="169"/>
      <c r="BD89" s="169"/>
      <c r="BE89" s="169"/>
      <c r="BF89" s="169"/>
    </row>
    <row r="90" spans="1:58" ht="110.25" outlineLevel="2" x14ac:dyDescent="0.25">
      <c r="A90" s="115"/>
      <c r="B90" s="200"/>
      <c r="C90" s="201"/>
      <c r="D90" s="203"/>
      <c r="E90" s="323"/>
      <c r="F90" s="308"/>
      <c r="G90" s="309"/>
      <c r="H90" s="199" t="s">
        <v>425</v>
      </c>
      <c r="I90" s="130" t="s">
        <v>2</v>
      </c>
      <c r="J90" s="126">
        <v>12</v>
      </c>
      <c r="K90" s="126">
        <v>1</v>
      </c>
      <c r="L90" s="125">
        <f>IF(I90&lt;&gt;0,((VLOOKUP(I90,'1. Standard_Cost'!$B$4:$D$11,2)+VLOOKUP(I90,'1. Standard_Cost'!$B$4:$D$11,3))*J90*K90),"0")</f>
        <v>1452000</v>
      </c>
      <c r="M90" s="125">
        <f>L90*'1. Standard_Cost'!$F$4</f>
        <v>242484</v>
      </c>
      <c r="N90" s="126"/>
      <c r="O90" s="126"/>
      <c r="P90" s="126"/>
      <c r="Q90" s="126"/>
      <c r="R90" s="127">
        <f>'1. Standard_Cost'!$B$15*N90*P90</f>
        <v>0</v>
      </c>
      <c r="S90" s="127">
        <f>N90*O90*P90*'1. Standard_Cost'!$C$15</f>
        <v>0</v>
      </c>
      <c r="T90" s="127">
        <f>N90*P90*Q90*'1. Standard_Cost'!$D$15</f>
        <v>0</v>
      </c>
      <c r="U90" s="127">
        <f>N90*O90*'1. Standard_Cost'!$E$15</f>
        <v>0</v>
      </c>
      <c r="V90" s="126"/>
      <c r="W90" s="126"/>
      <c r="X90" s="126"/>
      <c r="Y90" s="127">
        <f>+V90*((X90*'1. Standard_Cost'!$B$19)+(W90*X90*'1. Standard_Cost'!$C$19))</f>
        <v>0</v>
      </c>
      <c r="Z90" s="126"/>
      <c r="AA90" s="126">
        <v>25</v>
      </c>
      <c r="AB90" s="127">
        <f>+Z90*'1. Standard_Cost'!$B$23+AA90*'1. Standard_Cost'!$C$23</f>
        <v>475000</v>
      </c>
      <c r="AC90" s="128">
        <v>203240</v>
      </c>
      <c r="AD90" s="129"/>
      <c r="AE90" s="127">
        <f>SUM(AD90,AC90,AB90,Y90,U90,T90,S90,R90)*'1. Standard_Cost'!$B$31</f>
        <v>135648</v>
      </c>
      <c r="AF90" s="127">
        <f>SUM(AE90,AD90,AC90,AB90,Y90,U90,T90,S90,R90)</f>
        <v>813888</v>
      </c>
      <c r="AG90" s="126"/>
      <c r="AH90" s="126"/>
      <c r="AI90" s="126"/>
      <c r="AJ90" s="130"/>
      <c r="AK90" s="130"/>
      <c r="AL90" s="130"/>
      <c r="AM90" s="127">
        <f>AG90*'1. Standard_Cost'!$B$27+'Incremental_Cost Year 10'!AH90*'1. Standard_Cost'!$C$27+'Incremental_Cost Year 10'!AI90*'1. Standard_Cost'!$D$27+'Incremental_Cost Year 10'!AJ90+'Incremental_Cost Year 10'!AL90+AK90</f>
        <v>0</v>
      </c>
      <c r="AN90" s="127">
        <f>AM90*'1. Standard_Cost'!$C$31</f>
        <v>0</v>
      </c>
      <c r="AO90" s="130"/>
      <c r="AQ90" s="171">
        <f>L90+M90</f>
        <v>1694484</v>
      </c>
      <c r="AR90" s="171">
        <f>AF90</f>
        <v>813888</v>
      </c>
      <c r="AS90" s="171">
        <f>AM90+AN90</f>
        <v>0</v>
      </c>
      <c r="AT90" s="171">
        <f>SUM(AQ90,AR90,AS90)</f>
        <v>2508372</v>
      </c>
      <c r="AU90" s="250">
        <v>1938372</v>
      </c>
      <c r="AV90" s="250"/>
      <c r="AW90" s="250"/>
      <c r="AX90" s="250"/>
      <c r="AY90" s="250"/>
      <c r="AZ90" s="250"/>
      <c r="BA90" s="250"/>
      <c r="BB90" s="251">
        <f t="shared" si="61"/>
        <v>-570000</v>
      </c>
      <c r="BC90" s="169"/>
      <c r="BD90" s="169"/>
      <c r="BE90" s="169"/>
      <c r="BF90" s="169"/>
    </row>
    <row r="91" spans="1:58" ht="78.75" outlineLevel="2" x14ac:dyDescent="0.25">
      <c r="A91" s="115"/>
      <c r="B91" s="200"/>
      <c r="C91" s="201"/>
      <c r="D91" s="133"/>
      <c r="E91" s="322"/>
      <c r="F91" s="324"/>
      <c r="G91" s="325"/>
      <c r="H91" s="108" t="s">
        <v>426</v>
      </c>
      <c r="I91" s="130" t="s">
        <v>3</v>
      </c>
      <c r="J91" s="126">
        <v>3</v>
      </c>
      <c r="K91" s="126">
        <v>3</v>
      </c>
      <c r="L91" s="125">
        <f>IF(I91&lt;&gt;0,((VLOOKUP(I91,'1. Standard_Cost'!$B$4:$D$11,2)+VLOOKUP(I91,'1. Standard_Cost'!$B$4:$D$11,3))*J91*K91),"0")</f>
        <v>907200</v>
      </c>
      <c r="M91" s="125">
        <f>L91*'1. Standard_Cost'!$F$4</f>
        <v>151502.39999999999</v>
      </c>
      <c r="N91" s="126"/>
      <c r="O91" s="126"/>
      <c r="P91" s="126"/>
      <c r="Q91" s="126"/>
      <c r="R91" s="127">
        <f>'1. Standard_Cost'!$B$15*N91*P91</f>
        <v>0</v>
      </c>
      <c r="S91" s="127">
        <f>N91*O91*P91*'1. Standard_Cost'!$C$15</f>
        <v>0</v>
      </c>
      <c r="T91" s="127">
        <f>N91*P91*Q91*'1. Standard_Cost'!$D$15</f>
        <v>0</v>
      </c>
      <c r="U91" s="127">
        <f>N91*O91*'1. Standard_Cost'!$E$15</f>
        <v>0</v>
      </c>
      <c r="V91" s="126">
        <v>1</v>
      </c>
      <c r="W91" s="126">
        <v>5</v>
      </c>
      <c r="X91" s="126">
        <v>3</v>
      </c>
      <c r="Y91" s="127">
        <f>+V91*((X91*'1. Standard_Cost'!$B$19)+(W91*X91*'1. Standard_Cost'!$C$19))</f>
        <v>255000</v>
      </c>
      <c r="Z91" s="126"/>
      <c r="AA91" s="126"/>
      <c r="AB91" s="127">
        <f>+Z91*'1. Standard_Cost'!$B$23+AA91*'1. Standard_Cost'!$C$23</f>
        <v>0</v>
      </c>
      <c r="AC91" s="128">
        <v>127045</v>
      </c>
      <c r="AD91" s="129"/>
      <c r="AE91" s="127">
        <f>SUM(AD91,AC91,AB91,Y91,U91,T91,S91,R91)*'1. Standard_Cost'!$B$31</f>
        <v>76409</v>
      </c>
      <c r="AF91" s="127">
        <f>SUM(AE91,AD91,AC91,AB91,Y91,U91,T91,S91,R91)</f>
        <v>458454</v>
      </c>
      <c r="AG91" s="126"/>
      <c r="AH91" s="126"/>
      <c r="AI91" s="126"/>
      <c r="AJ91" s="130"/>
      <c r="AK91" s="130"/>
      <c r="AL91" s="130"/>
      <c r="AM91" s="127">
        <f>AG91*'1. Standard_Cost'!$B$27+'Incremental_Cost Year 10'!AH91*'1. Standard_Cost'!$C$27+'Incremental_Cost Year 10'!AI91*'1. Standard_Cost'!$D$27+'Incremental_Cost Year 10'!AJ91+'Incremental_Cost Year 10'!AL91+AK91</f>
        <v>0</v>
      </c>
      <c r="AN91" s="127">
        <f>AM91*'1. Standard_Cost'!$C$31</f>
        <v>0</v>
      </c>
      <c r="AO91" s="130"/>
      <c r="AQ91" s="171">
        <f>L91+M91</f>
        <v>1058702.3999999999</v>
      </c>
      <c r="AR91" s="171">
        <f>AF91</f>
        <v>458454</v>
      </c>
      <c r="AS91" s="171">
        <f>AM91+AN91</f>
        <v>0</v>
      </c>
      <c r="AT91" s="171">
        <f>SUM(AQ91,AR91,AS91)</f>
        <v>1517156.4</v>
      </c>
      <c r="AU91" s="250">
        <v>1517156</v>
      </c>
      <c r="AV91" s="250"/>
      <c r="AW91" s="250"/>
      <c r="AX91" s="250"/>
      <c r="AY91" s="250"/>
      <c r="AZ91" s="250"/>
      <c r="BA91" s="250"/>
      <c r="BB91" s="251">
        <f t="shared" si="61"/>
        <v>-0.39999999990686774</v>
      </c>
      <c r="BC91" s="169"/>
      <c r="BD91" s="169"/>
      <c r="BE91" s="169"/>
      <c r="BF91" s="169"/>
    </row>
    <row r="92" spans="1:58" ht="78.75" outlineLevel="1" x14ac:dyDescent="0.25">
      <c r="A92" s="115"/>
      <c r="B92" s="165"/>
      <c r="C92" s="166"/>
      <c r="D92" s="150" t="s">
        <v>240</v>
      </c>
      <c r="E92" s="212" t="s">
        <v>271</v>
      </c>
      <c r="F92" s="104">
        <v>2021</v>
      </c>
      <c r="G92" s="104">
        <v>2030</v>
      </c>
      <c r="H92" s="110" t="s">
        <v>272</v>
      </c>
      <c r="I92" s="252"/>
      <c r="J92" s="252"/>
      <c r="K92" s="252"/>
      <c r="L92" s="127">
        <f>SUM(L89:L91)</f>
        <v>5263200</v>
      </c>
      <c r="M92" s="127">
        <f>SUM(M89:M91)</f>
        <v>878954.4</v>
      </c>
      <c r="N92" s="252"/>
      <c r="O92" s="252"/>
      <c r="P92" s="252"/>
      <c r="Q92" s="252"/>
      <c r="R92" s="127">
        <f>SUM(R89:R91)</f>
        <v>0</v>
      </c>
      <c r="S92" s="127">
        <f>SUM(S89:S91)</f>
        <v>0</v>
      </c>
      <c r="T92" s="127">
        <f>SUM(T89:T91)</f>
        <v>0</v>
      </c>
      <c r="U92" s="127">
        <f>SUM(U89:U91)</f>
        <v>0</v>
      </c>
      <c r="V92" s="252"/>
      <c r="W92" s="252"/>
      <c r="X92" s="252"/>
      <c r="Y92" s="127">
        <f>SUM(Y89:Y91)</f>
        <v>255000</v>
      </c>
      <c r="Z92" s="252"/>
      <c r="AA92" s="252"/>
      <c r="AB92" s="127">
        <f>SUM(AB89:AB91)</f>
        <v>475000</v>
      </c>
      <c r="AC92" s="127">
        <f>SUM(AC89:AC91)</f>
        <v>736961</v>
      </c>
      <c r="AD92" s="127">
        <f>SUM(AD89:AD91)</f>
        <v>0</v>
      </c>
      <c r="AE92" s="127">
        <f>SUM(AE89:AE91)</f>
        <v>293392.2</v>
      </c>
      <c r="AF92" s="127">
        <f>SUM(AF89:AF91)</f>
        <v>1760353.2</v>
      </c>
      <c r="AG92" s="252"/>
      <c r="AH92" s="252"/>
      <c r="AI92" s="252"/>
      <c r="AJ92" s="127">
        <f>SUM(AJ89:AJ91)</f>
        <v>0</v>
      </c>
      <c r="AK92" s="127">
        <f>SUM(AK89:AK91)</f>
        <v>0</v>
      </c>
      <c r="AL92" s="127">
        <f>SUM(AL89:AL91)</f>
        <v>0</v>
      </c>
      <c r="AM92" s="127">
        <f>SUM(AM89:AM91)</f>
        <v>0</v>
      </c>
      <c r="AN92" s="127">
        <f>SUM(AN89:AN91)</f>
        <v>0</v>
      </c>
      <c r="AO92" s="253"/>
      <c r="AP92" s="254"/>
      <c r="AQ92" s="175">
        <f>SUM(AQ89:AQ91)</f>
        <v>6142154.4000000004</v>
      </c>
      <c r="AR92" s="175">
        <f>SUM(AR89:AR91)</f>
        <v>1760353.2</v>
      </c>
      <c r="AS92" s="175">
        <f>SUM(AS89:AS91)</f>
        <v>0</v>
      </c>
      <c r="AT92" s="175">
        <f>SUM(AT89:AT91)</f>
        <v>7902507.5999999996</v>
      </c>
      <c r="AU92" s="175">
        <f t="shared" ref="AU92:BB92" si="62">SUM(AU89:AU91)</f>
        <v>7332507</v>
      </c>
      <c r="AV92" s="175">
        <f t="shared" si="62"/>
        <v>0</v>
      </c>
      <c r="AW92" s="175">
        <f t="shared" si="62"/>
        <v>0</v>
      </c>
      <c r="AX92" s="175">
        <f t="shared" si="62"/>
        <v>0</v>
      </c>
      <c r="AY92" s="175">
        <f t="shared" si="62"/>
        <v>0</v>
      </c>
      <c r="AZ92" s="175">
        <f t="shared" si="62"/>
        <v>0</v>
      </c>
      <c r="BA92" s="175">
        <f t="shared" si="62"/>
        <v>0</v>
      </c>
      <c r="BB92" s="175">
        <f t="shared" si="62"/>
        <v>-570000.60000000009</v>
      </c>
      <c r="BC92" s="169"/>
      <c r="BD92" s="169"/>
      <c r="BE92" s="169"/>
      <c r="BF92" s="169"/>
    </row>
    <row r="93" spans="1:58" s="184" customFormat="1" ht="15.75" customHeight="1" x14ac:dyDescent="0.25">
      <c r="A93" s="143"/>
      <c r="B93" s="290"/>
      <c r="C93" s="391" t="s">
        <v>537</v>
      </c>
      <c r="D93" s="391"/>
      <c r="E93" s="392"/>
      <c r="F93" s="291"/>
      <c r="G93" s="291"/>
      <c r="H93" s="144" t="s">
        <v>165</v>
      </c>
      <c r="I93" s="257"/>
      <c r="J93" s="257"/>
      <c r="K93" s="257"/>
      <c r="L93" s="258">
        <f>SUM(L99)</f>
        <v>913550</v>
      </c>
      <c r="M93" s="258">
        <f>SUM(M99)</f>
        <v>152562.85</v>
      </c>
      <c r="N93" s="257"/>
      <c r="O93" s="257"/>
      <c r="P93" s="257"/>
      <c r="Q93" s="257"/>
      <c r="R93" s="258">
        <f>SUM(R99)</f>
        <v>0</v>
      </c>
      <c r="S93" s="258">
        <f>SUM(S99)</f>
        <v>0</v>
      </c>
      <c r="T93" s="258">
        <f>SUM(T99)</f>
        <v>0</v>
      </c>
      <c r="U93" s="258">
        <f>SUM(U99)</f>
        <v>0</v>
      </c>
      <c r="V93" s="257"/>
      <c r="W93" s="257"/>
      <c r="X93" s="257"/>
      <c r="Y93" s="258">
        <f>SUM(Y99)</f>
        <v>0</v>
      </c>
      <c r="Z93" s="257"/>
      <c r="AA93" s="257"/>
      <c r="AB93" s="258">
        <f>SUM(AB99)</f>
        <v>1045000</v>
      </c>
      <c r="AC93" s="258">
        <f>SUM(AC99)</f>
        <v>242082</v>
      </c>
      <c r="AD93" s="258">
        <f>SUM(AD99)</f>
        <v>0</v>
      </c>
      <c r="AE93" s="258">
        <f>SUM(AE99)</f>
        <v>257416.4</v>
      </c>
      <c r="AF93" s="258">
        <f>SUM(AF99)</f>
        <v>1544498.4</v>
      </c>
      <c r="AG93" s="257"/>
      <c r="AH93" s="257"/>
      <c r="AI93" s="257"/>
      <c r="AJ93" s="258">
        <f>SUM(AJ99)</f>
        <v>0</v>
      </c>
      <c r="AK93" s="258">
        <f>SUM(AK99)</f>
        <v>0</v>
      </c>
      <c r="AL93" s="258">
        <f>SUM(AL99)</f>
        <v>0</v>
      </c>
      <c r="AM93" s="258">
        <f>SUM(AM99)</f>
        <v>0</v>
      </c>
      <c r="AN93" s="258">
        <f>SUM(AN99)</f>
        <v>0</v>
      </c>
      <c r="AO93" s="259"/>
      <c r="AP93" s="260"/>
      <c r="AQ93" s="261">
        <f>SUM(AQ99)</f>
        <v>1066112.8500000001</v>
      </c>
      <c r="AR93" s="261">
        <f>SUM(AR99)</f>
        <v>1544498.4</v>
      </c>
      <c r="AS93" s="261">
        <f>SUM(AS99)</f>
        <v>0</v>
      </c>
      <c r="AT93" s="261">
        <f>SUM(AT99)</f>
        <v>2610611.25</v>
      </c>
      <c r="AU93" s="261">
        <f t="shared" ref="AU93:BA93" si="63">SUM(AU99)</f>
        <v>1134611</v>
      </c>
      <c r="AV93" s="261">
        <f t="shared" si="63"/>
        <v>0</v>
      </c>
      <c r="AW93" s="261">
        <f t="shared" si="63"/>
        <v>0</v>
      </c>
      <c r="AX93" s="261">
        <f t="shared" si="63"/>
        <v>0</v>
      </c>
      <c r="AY93" s="261">
        <f t="shared" si="63"/>
        <v>0</v>
      </c>
      <c r="AZ93" s="261">
        <f t="shared" si="63"/>
        <v>0</v>
      </c>
      <c r="BA93" s="261">
        <f t="shared" si="63"/>
        <v>0</v>
      </c>
      <c r="BB93" s="261">
        <f>SUM(BB99)</f>
        <v>-1476000.25</v>
      </c>
    </row>
    <row r="94" spans="1:58" ht="110.25" outlineLevel="2" x14ac:dyDescent="0.25">
      <c r="A94" s="115"/>
      <c r="B94" s="200"/>
      <c r="C94" s="201"/>
      <c r="D94" s="346"/>
      <c r="E94" s="321"/>
      <c r="F94" s="306"/>
      <c r="G94" s="307"/>
      <c r="H94" s="109" t="s">
        <v>427</v>
      </c>
      <c r="I94" s="130"/>
      <c r="J94" s="126"/>
      <c r="K94" s="126"/>
      <c r="L94" s="125" t="str">
        <f>IF(I94&lt;&gt;0,((VLOOKUP(I94,'1. Standard_Cost'!$B$4:$D$11,2)+VLOOKUP(I94,'1. Standard_Cost'!$B$4:$D$11,3))*J94*K94),"0")</f>
        <v>0</v>
      </c>
      <c r="M94" s="125">
        <f>L94*'1. Standard_Cost'!$F$4</f>
        <v>0</v>
      </c>
      <c r="N94" s="126"/>
      <c r="O94" s="126"/>
      <c r="P94" s="126"/>
      <c r="Q94" s="126"/>
      <c r="R94" s="127">
        <f>'1. Standard_Cost'!$B$15*N94*P94</f>
        <v>0</v>
      </c>
      <c r="S94" s="127">
        <f>N94*O94*P94*'1. Standard_Cost'!$C$15</f>
        <v>0</v>
      </c>
      <c r="T94" s="127">
        <f>N94*P94*Q94*'1. Standard_Cost'!$D$15</f>
        <v>0</v>
      </c>
      <c r="U94" s="127">
        <f>N94*O94*'1. Standard_Cost'!$E$15</f>
        <v>0</v>
      </c>
      <c r="V94" s="126"/>
      <c r="W94" s="126"/>
      <c r="X94" s="126"/>
      <c r="Y94" s="127">
        <f>+V94*((X94*'1. Standard_Cost'!$B$19)+(W94*X94*'1. Standard_Cost'!$C$19))</f>
        <v>0</v>
      </c>
      <c r="Z94" s="126"/>
      <c r="AA94" s="126"/>
      <c r="AB94" s="127">
        <f>+Z94*'1. Standard_Cost'!$B$23+AA94*'1. Standard_Cost'!$C$23</f>
        <v>0</v>
      </c>
      <c r="AC94" s="128"/>
      <c r="AD94" s="129"/>
      <c r="AE94" s="127">
        <f>SUM(AD94,AC94,AB94,Y94,U94,T94,S94,R94)*'1. Standard_Cost'!$B$31</f>
        <v>0</v>
      </c>
      <c r="AF94" s="127">
        <f>SUM(AE94,AD94,AC94,AB94,Y94,U94,T94,S94,R94)</f>
        <v>0</v>
      </c>
      <c r="AG94" s="126"/>
      <c r="AH94" s="126"/>
      <c r="AI94" s="126"/>
      <c r="AJ94" s="130"/>
      <c r="AK94" s="130"/>
      <c r="AL94" s="130"/>
      <c r="AM94" s="127">
        <f>AG94*'1. Standard_Cost'!$B$27+'Incremental_Cost Year 10'!AH94*'1. Standard_Cost'!$C$27+'Incremental_Cost Year 10'!AI94*'1. Standard_Cost'!$D$27+'Incremental_Cost Year 10'!AJ94+'Incremental_Cost Year 10'!AL94+AK94</f>
        <v>0</v>
      </c>
      <c r="AN94" s="127">
        <f>AM94*'1. Standard_Cost'!$C$31</f>
        <v>0</v>
      </c>
      <c r="AO94" s="130"/>
      <c r="AQ94" s="171">
        <f>L94+M94</f>
        <v>0</v>
      </c>
      <c r="AR94" s="171">
        <f>AF94</f>
        <v>0</v>
      </c>
      <c r="AS94" s="171">
        <f>AM94+AN94</f>
        <v>0</v>
      </c>
      <c r="AT94" s="171">
        <f>SUM(AQ94,AR94,AS94)</f>
        <v>0</v>
      </c>
      <c r="AU94" s="250"/>
      <c r="AV94" s="250"/>
      <c r="AW94" s="250"/>
      <c r="AX94" s="250"/>
      <c r="AY94" s="250"/>
      <c r="AZ94" s="250"/>
      <c r="BA94" s="250"/>
      <c r="BB94" s="251">
        <f t="shared" ref="BB94:BB98" si="64">SUM(AU94:BA94)-AT94</f>
        <v>0</v>
      </c>
      <c r="BC94" s="169"/>
      <c r="BD94" s="169"/>
      <c r="BE94" s="169"/>
      <c r="BF94" s="169"/>
    </row>
    <row r="95" spans="1:58" ht="63" outlineLevel="2" x14ac:dyDescent="0.25">
      <c r="A95" s="115"/>
      <c r="B95" s="200"/>
      <c r="C95" s="201"/>
      <c r="D95" s="203"/>
      <c r="E95" s="323"/>
      <c r="F95" s="308"/>
      <c r="G95" s="309"/>
      <c r="H95" s="109" t="s">
        <v>428</v>
      </c>
      <c r="I95" s="130"/>
      <c r="J95" s="126"/>
      <c r="K95" s="126"/>
      <c r="L95" s="125" t="str">
        <f>IF(I95&lt;&gt;0,((VLOOKUP(I95,'1. Standard_Cost'!$B$4:$D$11,2)+VLOOKUP(I95,'1. Standard_Cost'!$B$4:$D$11,3))*J95*K95),"0")</f>
        <v>0</v>
      </c>
      <c r="M95" s="125">
        <f>L95*'1. Standard_Cost'!$F$4</f>
        <v>0</v>
      </c>
      <c r="N95" s="126"/>
      <c r="O95" s="126"/>
      <c r="P95" s="126"/>
      <c r="Q95" s="126"/>
      <c r="R95" s="127">
        <f>'1. Standard_Cost'!$B$15*N95*P95</f>
        <v>0</v>
      </c>
      <c r="S95" s="127">
        <f>N95*O95*P95*'1. Standard_Cost'!$C$15</f>
        <v>0</v>
      </c>
      <c r="T95" s="127">
        <f>N95*P95*Q95*'1. Standard_Cost'!$D$15</f>
        <v>0</v>
      </c>
      <c r="U95" s="127">
        <f>N95*O95*'1. Standard_Cost'!$E$15</f>
        <v>0</v>
      </c>
      <c r="V95" s="126"/>
      <c r="W95" s="126"/>
      <c r="X95" s="126"/>
      <c r="Y95" s="127">
        <f>+V95*((X95*'1. Standard_Cost'!$B$19)+(W95*X95*'1. Standard_Cost'!$C$19))</f>
        <v>0</v>
      </c>
      <c r="Z95" s="126"/>
      <c r="AA95" s="126"/>
      <c r="AB95" s="127">
        <f>+Z95*'1. Standard_Cost'!$B$23+AA95*'1. Standard_Cost'!$C$23</f>
        <v>0</v>
      </c>
      <c r="AC95" s="128"/>
      <c r="AD95" s="129"/>
      <c r="AE95" s="127">
        <f>SUM(AD95,AC95,AB95,Y95,U95,T95,S95,R95)*'1. Standard_Cost'!$B$31</f>
        <v>0</v>
      </c>
      <c r="AF95" s="127">
        <f>SUM(AE95,AD95,AC95,AB95,Y95,U95,T95,S95,R95)</f>
        <v>0</v>
      </c>
      <c r="AG95" s="126"/>
      <c r="AH95" s="126"/>
      <c r="AI95" s="126"/>
      <c r="AJ95" s="130"/>
      <c r="AK95" s="130"/>
      <c r="AL95" s="130"/>
      <c r="AM95" s="127">
        <f>AG95*'1. Standard_Cost'!$B$27+'Incremental_Cost Year 10'!AH95*'1. Standard_Cost'!$C$27+'Incremental_Cost Year 10'!AI95*'1. Standard_Cost'!$D$27+'Incremental_Cost Year 10'!AJ95+'Incremental_Cost Year 10'!AL95+AK95</f>
        <v>0</v>
      </c>
      <c r="AN95" s="127">
        <f>AM95*'1. Standard_Cost'!$C$31</f>
        <v>0</v>
      </c>
      <c r="AO95" s="130"/>
      <c r="AQ95" s="171">
        <f>L95+M95</f>
        <v>0</v>
      </c>
      <c r="AR95" s="171">
        <f>AF95</f>
        <v>0</v>
      </c>
      <c r="AS95" s="171">
        <f>AM95+AN95</f>
        <v>0</v>
      </c>
      <c r="AT95" s="171">
        <f>SUM(AQ95,AR95,AS95)</f>
        <v>0</v>
      </c>
      <c r="AU95" s="250"/>
      <c r="AV95" s="250"/>
      <c r="AW95" s="250"/>
      <c r="AX95" s="250"/>
      <c r="AY95" s="250"/>
      <c r="AZ95" s="250"/>
      <c r="BA95" s="250"/>
      <c r="BB95" s="251">
        <f t="shared" si="64"/>
        <v>0</v>
      </c>
      <c r="BC95" s="169"/>
      <c r="BD95" s="169"/>
      <c r="BE95" s="169"/>
      <c r="BF95" s="169"/>
    </row>
    <row r="96" spans="1:58" ht="78.75" outlineLevel="2" x14ac:dyDescent="0.25">
      <c r="A96" s="115"/>
      <c r="B96" s="200"/>
      <c r="C96" s="201"/>
      <c r="D96" s="203"/>
      <c r="E96" s="323"/>
      <c r="F96" s="326"/>
      <c r="G96" s="327"/>
      <c r="H96" s="109" t="s">
        <v>429</v>
      </c>
      <c r="I96" s="130" t="s">
        <v>5</v>
      </c>
      <c r="J96" s="126">
        <v>1</v>
      </c>
      <c r="K96" s="126">
        <v>1</v>
      </c>
      <c r="L96" s="125">
        <f>IF(I96&lt;&gt;0,((VLOOKUP(I96,'1. Standard_Cost'!$B$4:$D$11,2)+VLOOKUP(I96,'1. Standard_Cost'!$B$4:$D$11,3))*J96*K96),"0")</f>
        <v>70700</v>
      </c>
      <c r="M96" s="125">
        <f>L96*'1. Standard_Cost'!$F$4</f>
        <v>11806.900000000001</v>
      </c>
      <c r="N96" s="126"/>
      <c r="O96" s="126"/>
      <c r="P96" s="126"/>
      <c r="Q96" s="126"/>
      <c r="R96" s="127">
        <f>'1. Standard_Cost'!$B$15*N96*P96</f>
        <v>0</v>
      </c>
      <c r="S96" s="127">
        <f>N96*O96*P96*'1. Standard_Cost'!$C$15</f>
        <v>0</v>
      </c>
      <c r="T96" s="127">
        <f>N96*P96*Q96*'1. Standard_Cost'!$D$15</f>
        <v>0</v>
      </c>
      <c r="U96" s="127">
        <f>N96*O96*'1. Standard_Cost'!$E$15</f>
        <v>0</v>
      </c>
      <c r="V96" s="126"/>
      <c r="W96" s="126"/>
      <c r="X96" s="126"/>
      <c r="Y96" s="127">
        <f>+V96*((X96*'1. Standard_Cost'!$B$19)+(W96*X96*'1. Standard_Cost'!$C$19))</f>
        <v>0</v>
      </c>
      <c r="Z96" s="126"/>
      <c r="AA96" s="126">
        <v>25</v>
      </c>
      <c r="AB96" s="127">
        <f>+Z96*'1. Standard_Cost'!$B$23+AA96*'1. Standard_Cost'!$C$23</f>
        <v>475000</v>
      </c>
      <c r="AC96" s="128">
        <v>99000</v>
      </c>
      <c r="AD96" s="129"/>
      <c r="AE96" s="127">
        <f>SUM(AD96,AC96,AB96,Y96,U96,T96,S96,R96)*'1. Standard_Cost'!$B$31</f>
        <v>114800</v>
      </c>
      <c r="AF96" s="127">
        <f>SUM(AE96,AD96,AC96,AB96,Y96,U96,T96,S96,R96)</f>
        <v>688800</v>
      </c>
      <c r="AG96" s="126"/>
      <c r="AH96" s="126"/>
      <c r="AI96" s="126"/>
      <c r="AJ96" s="130"/>
      <c r="AK96" s="130"/>
      <c r="AL96" s="130"/>
      <c r="AM96" s="127">
        <f>AG96*'1. Standard_Cost'!$B$27+'Incremental_Cost Year 10'!AH96*'1. Standard_Cost'!$C$27+'Incremental_Cost Year 10'!AI96*'1. Standard_Cost'!$D$27+'Incremental_Cost Year 10'!AJ96+'Incremental_Cost Year 10'!AL96+AK96</f>
        <v>0</v>
      </c>
      <c r="AN96" s="127">
        <f>AM96*'1. Standard_Cost'!$C$31</f>
        <v>0</v>
      </c>
      <c r="AO96" s="130"/>
      <c r="AQ96" s="171">
        <f>L96+M96</f>
        <v>82506.899999999994</v>
      </c>
      <c r="AR96" s="171">
        <f>AF96</f>
        <v>688800</v>
      </c>
      <c r="AS96" s="171">
        <f>AM96+AN96</f>
        <v>0</v>
      </c>
      <c r="AT96" s="171">
        <f>SUM(AQ96,AR96,AS96)</f>
        <v>771306.9</v>
      </c>
      <c r="AU96" s="250">
        <v>93307</v>
      </c>
      <c r="AV96" s="250"/>
      <c r="AW96" s="250"/>
      <c r="AX96" s="250"/>
      <c r="AY96" s="250"/>
      <c r="AZ96" s="250"/>
      <c r="BA96" s="250"/>
      <c r="BB96" s="251">
        <f t="shared" si="64"/>
        <v>-677999.9</v>
      </c>
      <c r="BC96" s="169"/>
      <c r="BD96" s="169"/>
      <c r="BE96" s="169"/>
      <c r="BF96" s="169"/>
    </row>
    <row r="97" spans="1:58" ht="141.75" outlineLevel="2" x14ac:dyDescent="0.25">
      <c r="A97" s="115"/>
      <c r="B97" s="200"/>
      <c r="C97" s="201"/>
      <c r="D97" s="203"/>
      <c r="E97" s="323"/>
      <c r="F97" s="308"/>
      <c r="G97" s="309"/>
      <c r="H97" s="225" t="s">
        <v>430</v>
      </c>
      <c r="I97" s="130" t="s">
        <v>4</v>
      </c>
      <c r="J97" s="126">
        <v>2</v>
      </c>
      <c r="K97" s="126">
        <v>5</v>
      </c>
      <c r="L97" s="125">
        <f>IF(I97&lt;&gt;0,((VLOOKUP(I97,'1. Standard_Cost'!$B$4:$D$11,2)+VLOOKUP(I97,'1. Standard_Cost'!$B$4:$D$11,3))*J97*K97),"0")</f>
        <v>807500</v>
      </c>
      <c r="M97" s="125">
        <f>L97*'1. Standard_Cost'!$F$4</f>
        <v>134852.5</v>
      </c>
      <c r="N97" s="126"/>
      <c r="O97" s="126"/>
      <c r="P97" s="126"/>
      <c r="Q97" s="126"/>
      <c r="R97" s="127">
        <f>'1. Standard_Cost'!$B$15*N97*P97</f>
        <v>0</v>
      </c>
      <c r="S97" s="127">
        <f>N97*O97*P97*'1. Standard_Cost'!$C$15</f>
        <v>0</v>
      </c>
      <c r="T97" s="127">
        <f>N97*P97*Q97*'1. Standard_Cost'!$D$15</f>
        <v>0</v>
      </c>
      <c r="U97" s="127">
        <f>N97*O97*'1. Standard_Cost'!$E$15</f>
        <v>0</v>
      </c>
      <c r="V97" s="126"/>
      <c r="W97" s="126"/>
      <c r="X97" s="126"/>
      <c r="Y97" s="127">
        <f>+V97*((X97*'1. Standard_Cost'!$B$19)+(W97*X97*'1. Standard_Cost'!$C$19))</f>
        <v>0</v>
      </c>
      <c r="Z97" s="126"/>
      <c r="AA97" s="126">
        <v>30</v>
      </c>
      <c r="AB97" s="127">
        <f>+Z97*'1. Standard_Cost'!$B$23+AA97*'1. Standard_Cost'!$C$23</f>
        <v>570000</v>
      </c>
      <c r="AC97" s="128">
        <v>113082</v>
      </c>
      <c r="AD97" s="129"/>
      <c r="AE97" s="127">
        <f>SUM(AD97,AC97,AB97,Y97,U97,T97,S97,R97)*'1. Standard_Cost'!$B$31</f>
        <v>136616.4</v>
      </c>
      <c r="AF97" s="127">
        <f>SUM(AE97,AD97,AC97,AB97,Y97,U97,T97,S97,R97)</f>
        <v>819698.4</v>
      </c>
      <c r="AG97" s="126"/>
      <c r="AH97" s="126"/>
      <c r="AI97" s="126"/>
      <c r="AJ97" s="130"/>
      <c r="AK97" s="130"/>
      <c r="AL97" s="130"/>
      <c r="AM97" s="127">
        <f>AG97*'1. Standard_Cost'!$B$27+'Incremental_Cost Year 10'!AH97*'1. Standard_Cost'!$C$27+'Incremental_Cost Year 10'!AI97*'1. Standard_Cost'!$D$27+'Incremental_Cost Year 10'!AJ97+'Incremental_Cost Year 10'!AL97+AK97</f>
        <v>0</v>
      </c>
      <c r="AN97" s="127">
        <f>AM97*'1. Standard_Cost'!$C$31</f>
        <v>0</v>
      </c>
      <c r="AO97" s="130"/>
      <c r="AQ97" s="171">
        <f>L97+M97</f>
        <v>942352.5</v>
      </c>
      <c r="AR97" s="171">
        <f>AF97</f>
        <v>819698.4</v>
      </c>
      <c r="AS97" s="171">
        <f>AM97+AN97</f>
        <v>0</v>
      </c>
      <c r="AT97" s="171">
        <f>SUM(AQ97,AR97,AS97)</f>
        <v>1762050.9</v>
      </c>
      <c r="AU97" s="250">
        <v>964051</v>
      </c>
      <c r="AV97" s="250"/>
      <c r="AW97" s="250"/>
      <c r="AX97" s="250"/>
      <c r="AY97" s="250"/>
      <c r="AZ97" s="250"/>
      <c r="BA97" s="250"/>
      <c r="BB97" s="251">
        <f t="shared" si="64"/>
        <v>-797999.89999999991</v>
      </c>
      <c r="BC97" s="169"/>
      <c r="BD97" s="169"/>
      <c r="BE97" s="169"/>
      <c r="BF97" s="169"/>
    </row>
    <row r="98" spans="1:58" ht="78.75" outlineLevel="2" x14ac:dyDescent="0.25">
      <c r="A98" s="115"/>
      <c r="B98" s="200"/>
      <c r="C98" s="201"/>
      <c r="D98" s="133"/>
      <c r="E98" s="323"/>
      <c r="F98" s="308"/>
      <c r="G98" s="309"/>
      <c r="H98" s="109" t="s">
        <v>431</v>
      </c>
      <c r="I98" s="130" t="s">
        <v>5</v>
      </c>
      <c r="J98" s="126">
        <v>0.5</v>
      </c>
      <c r="K98" s="126">
        <v>1</v>
      </c>
      <c r="L98" s="125">
        <f>IF(I98&lt;&gt;0,((VLOOKUP(I98,'1. Standard_Cost'!$B$4:$D$11,2)+VLOOKUP(I98,'1. Standard_Cost'!$B$4:$D$11,3))*J98*K98),"0")</f>
        <v>35350</v>
      </c>
      <c r="M98" s="125">
        <f>L98*'1. Standard_Cost'!$F$4</f>
        <v>5903.4500000000007</v>
      </c>
      <c r="N98" s="126"/>
      <c r="O98" s="126"/>
      <c r="P98" s="126"/>
      <c r="Q98" s="126"/>
      <c r="R98" s="127">
        <f>'1. Standard_Cost'!$B$15*N98*P98</f>
        <v>0</v>
      </c>
      <c r="S98" s="127">
        <f>N98*O98*P98*'1. Standard_Cost'!$C$15</f>
        <v>0</v>
      </c>
      <c r="T98" s="127">
        <f>N98*P98*Q98*'1. Standard_Cost'!$D$15</f>
        <v>0</v>
      </c>
      <c r="U98" s="127">
        <f>N98*O98*'1. Standard_Cost'!$E$15</f>
        <v>0</v>
      </c>
      <c r="V98" s="126"/>
      <c r="W98" s="126"/>
      <c r="X98" s="126"/>
      <c r="Y98" s="127">
        <f>+V98*((X98*'1. Standard_Cost'!$B$19)+(W98*X98*'1. Standard_Cost'!$C$19))</f>
        <v>0</v>
      </c>
      <c r="Z98" s="126"/>
      <c r="AA98" s="145"/>
      <c r="AB98" s="127">
        <f>+Z98*'1. Standard_Cost'!$B$23+AA98*'1. Standard_Cost'!$C$23</f>
        <v>0</v>
      </c>
      <c r="AC98" s="128">
        <v>30000</v>
      </c>
      <c r="AD98" s="129"/>
      <c r="AE98" s="127">
        <f>SUM(AD98,AC98,AB98,Y98,U98,T98,S98,R98)*'1. Standard_Cost'!$B$31</f>
        <v>6000</v>
      </c>
      <c r="AF98" s="127">
        <f>SUM(AE98,AD98,AC98,AB98,Y98,U98,T98,S98,R98)</f>
        <v>36000</v>
      </c>
      <c r="AG98" s="126"/>
      <c r="AH98" s="126"/>
      <c r="AI98" s="126"/>
      <c r="AJ98" s="130"/>
      <c r="AK98" s="130"/>
      <c r="AL98" s="130"/>
      <c r="AM98" s="127">
        <f>AG98*'1. Standard_Cost'!$B$27+'Incremental_Cost Year 10'!AH98*'1. Standard_Cost'!$C$27+'Incremental_Cost Year 10'!AI98*'1. Standard_Cost'!$D$27+'Incremental_Cost Year 10'!AJ98+'Incremental_Cost Year 10'!AL98+AK98</f>
        <v>0</v>
      </c>
      <c r="AN98" s="127">
        <f>AM98*'1. Standard_Cost'!$C$31</f>
        <v>0</v>
      </c>
      <c r="AO98" s="262"/>
      <c r="AQ98" s="171">
        <f>L98+M98</f>
        <v>41253.449999999997</v>
      </c>
      <c r="AR98" s="171">
        <f>AF98</f>
        <v>36000</v>
      </c>
      <c r="AS98" s="171">
        <f>AM98+AN98</f>
        <v>0</v>
      </c>
      <c r="AT98" s="171">
        <f>SUM(AQ98,AR98,AS98)</f>
        <v>77253.45</v>
      </c>
      <c r="AU98" s="250">
        <v>77253</v>
      </c>
      <c r="AV98" s="250"/>
      <c r="AW98" s="250"/>
      <c r="AX98" s="250"/>
      <c r="AY98" s="250"/>
      <c r="AZ98" s="250"/>
      <c r="BA98" s="250"/>
      <c r="BB98" s="251">
        <f t="shared" si="64"/>
        <v>-0.44999999999708962</v>
      </c>
      <c r="BC98" s="169"/>
      <c r="BD98" s="169"/>
      <c r="BE98" s="169"/>
      <c r="BF98" s="169"/>
    </row>
    <row r="99" spans="1:58" ht="94.5" outlineLevel="1" x14ac:dyDescent="0.25">
      <c r="A99" s="115"/>
      <c r="B99" s="165"/>
      <c r="C99" s="166"/>
      <c r="D99" s="212" t="s">
        <v>432</v>
      </c>
      <c r="E99" s="212" t="s">
        <v>274</v>
      </c>
      <c r="F99" s="136">
        <v>2022</v>
      </c>
      <c r="G99" s="117">
        <v>2030</v>
      </c>
      <c r="H99" s="110" t="s">
        <v>164</v>
      </c>
      <c r="I99" s="252"/>
      <c r="J99" s="252"/>
      <c r="K99" s="252"/>
      <c r="L99" s="127">
        <f>SUM(L94:L98)</f>
        <v>913550</v>
      </c>
      <c r="M99" s="127">
        <f>SUM(M94:M98)</f>
        <v>152562.85</v>
      </c>
      <c r="N99" s="252"/>
      <c r="O99" s="252"/>
      <c r="P99" s="252"/>
      <c r="Q99" s="252"/>
      <c r="R99" s="127">
        <f>SUM(R94:R98)</f>
        <v>0</v>
      </c>
      <c r="S99" s="127">
        <f>SUM(S94:S98)</f>
        <v>0</v>
      </c>
      <c r="T99" s="127">
        <f>SUM(T94:T98)</f>
        <v>0</v>
      </c>
      <c r="U99" s="127">
        <f>SUM(U94:U98)</f>
        <v>0</v>
      </c>
      <c r="V99" s="252"/>
      <c r="W99" s="252"/>
      <c r="X99" s="252"/>
      <c r="Y99" s="127">
        <f>SUM(Y94:Y98)</f>
        <v>0</v>
      </c>
      <c r="Z99" s="127"/>
      <c r="AA99" s="252"/>
      <c r="AB99" s="127">
        <f>SUM(AB94:AB98)</f>
        <v>1045000</v>
      </c>
      <c r="AC99" s="127">
        <f>SUM(AC94:AC98)</f>
        <v>242082</v>
      </c>
      <c r="AD99" s="127">
        <f>SUM(AD94:AD98)</f>
        <v>0</v>
      </c>
      <c r="AE99" s="127">
        <f>SUM(AE94:AE98)</f>
        <v>257416.4</v>
      </c>
      <c r="AF99" s="127">
        <f>SUM(AF94:AF98)</f>
        <v>1544498.4</v>
      </c>
      <c r="AG99" s="252"/>
      <c r="AH99" s="252"/>
      <c r="AI99" s="252"/>
      <c r="AJ99" s="127">
        <f>SUM(AJ94:AJ98)</f>
        <v>0</v>
      </c>
      <c r="AK99" s="127">
        <f>SUM(AK94:AK98)</f>
        <v>0</v>
      </c>
      <c r="AL99" s="127">
        <f>SUM(AL94:AL98)</f>
        <v>0</v>
      </c>
      <c r="AM99" s="127">
        <f>SUM(AM94:AM98)</f>
        <v>0</v>
      </c>
      <c r="AN99" s="127">
        <f>SUM(AN94:AN98)</f>
        <v>0</v>
      </c>
      <c r="AO99" s="253"/>
      <c r="AP99" s="254"/>
      <c r="AQ99" s="175">
        <f>SUM(AQ94:AQ98)</f>
        <v>1066112.8500000001</v>
      </c>
      <c r="AR99" s="175">
        <f>SUM(AR94:AR98)</f>
        <v>1544498.4</v>
      </c>
      <c r="AS99" s="175">
        <f>SUM(AS94:AS98)</f>
        <v>0</v>
      </c>
      <c r="AT99" s="175">
        <f>SUM(AT94:AT98)</f>
        <v>2610611.25</v>
      </c>
      <c r="AU99" s="175">
        <f t="shared" ref="AU99:BA99" si="65">SUM(AU94:AU98)</f>
        <v>1134611</v>
      </c>
      <c r="AV99" s="175">
        <f t="shared" si="65"/>
        <v>0</v>
      </c>
      <c r="AW99" s="175">
        <f t="shared" si="65"/>
        <v>0</v>
      </c>
      <c r="AX99" s="175">
        <f t="shared" si="65"/>
        <v>0</v>
      </c>
      <c r="AY99" s="175">
        <f t="shared" si="65"/>
        <v>0</v>
      </c>
      <c r="AZ99" s="175">
        <f t="shared" si="65"/>
        <v>0</v>
      </c>
      <c r="BA99" s="175">
        <f t="shared" si="65"/>
        <v>0</v>
      </c>
      <c r="BB99" s="251">
        <f t="shared" ref="BB99" si="66">SUM(AU99:BA99)-AT99</f>
        <v>-1476000.25</v>
      </c>
      <c r="BC99" s="169"/>
      <c r="BD99" s="169"/>
      <c r="BE99" s="169"/>
      <c r="BF99" s="169"/>
    </row>
    <row r="100" spans="1:58" s="184" customFormat="1" ht="15.75" customHeight="1" x14ac:dyDescent="0.25">
      <c r="A100" s="143"/>
      <c r="B100" s="290"/>
      <c r="C100" s="391" t="s">
        <v>176</v>
      </c>
      <c r="D100" s="391"/>
      <c r="E100" s="392"/>
      <c r="F100" s="291"/>
      <c r="G100" s="291"/>
      <c r="H100" s="144" t="s">
        <v>178</v>
      </c>
      <c r="I100" s="257"/>
      <c r="J100" s="257"/>
      <c r="K100" s="257"/>
      <c r="L100" s="258">
        <f>SUM(L105)</f>
        <v>2520000</v>
      </c>
      <c r="M100" s="258">
        <f>SUM(M105)</f>
        <v>420840</v>
      </c>
      <c r="N100" s="257"/>
      <c r="O100" s="257"/>
      <c r="P100" s="257"/>
      <c r="Q100" s="257"/>
      <c r="R100" s="258">
        <f>SUM(R105)</f>
        <v>0</v>
      </c>
      <c r="S100" s="258">
        <f>SUM(S105)</f>
        <v>0</v>
      </c>
      <c r="T100" s="258">
        <f>SUM(T105)</f>
        <v>0</v>
      </c>
      <c r="U100" s="258">
        <f>SUM(U105)</f>
        <v>0</v>
      </c>
      <c r="V100" s="257"/>
      <c r="W100" s="257"/>
      <c r="X100" s="257"/>
      <c r="Y100" s="258">
        <f>SUM(Y105)</f>
        <v>0</v>
      </c>
      <c r="Z100" s="257"/>
      <c r="AA100" s="257"/>
      <c r="AB100" s="258">
        <f>SUM(AB105)</f>
        <v>0</v>
      </c>
      <c r="AC100" s="258">
        <f>SUM(AC105)</f>
        <v>359425</v>
      </c>
      <c r="AD100" s="258">
        <f>SUM(AD105)</f>
        <v>0</v>
      </c>
      <c r="AE100" s="258">
        <f>SUM(AE105)</f>
        <v>71885</v>
      </c>
      <c r="AF100" s="258">
        <f>SUM(AF105)</f>
        <v>431310</v>
      </c>
      <c r="AG100" s="257"/>
      <c r="AH100" s="257"/>
      <c r="AI100" s="257"/>
      <c r="AJ100" s="258">
        <f>SUM(AJ105)</f>
        <v>0</v>
      </c>
      <c r="AK100" s="258">
        <f>SUM(AK105)</f>
        <v>0</v>
      </c>
      <c r="AL100" s="258">
        <f>SUM(AL105)</f>
        <v>0</v>
      </c>
      <c r="AM100" s="258">
        <f>SUM(AM105)</f>
        <v>0</v>
      </c>
      <c r="AN100" s="258">
        <f>SUM(AN105)</f>
        <v>0</v>
      </c>
      <c r="AO100" s="259"/>
      <c r="AP100" s="260"/>
      <c r="AQ100" s="261">
        <f>SUM(AQ105)</f>
        <v>2940840</v>
      </c>
      <c r="AR100" s="261">
        <f>SUM(AR105)</f>
        <v>431310</v>
      </c>
      <c r="AS100" s="261">
        <f>SUM(AS105)</f>
        <v>0</v>
      </c>
      <c r="AT100" s="261">
        <f>SUM(AT105)</f>
        <v>3372150</v>
      </c>
      <c r="AU100" s="261">
        <f t="shared" ref="AU100:BA100" si="67">SUM(AU105)</f>
        <v>3372149</v>
      </c>
      <c r="AV100" s="261">
        <f t="shared" si="67"/>
        <v>0</v>
      </c>
      <c r="AW100" s="261">
        <f t="shared" si="67"/>
        <v>0</v>
      </c>
      <c r="AX100" s="261">
        <f t="shared" si="67"/>
        <v>0</v>
      </c>
      <c r="AY100" s="261">
        <f t="shared" si="67"/>
        <v>0</v>
      </c>
      <c r="AZ100" s="261">
        <f t="shared" si="67"/>
        <v>0</v>
      </c>
      <c r="BA100" s="261">
        <f t="shared" si="67"/>
        <v>0</v>
      </c>
      <c r="BB100" s="261">
        <f>SUM(BB105)</f>
        <v>-0.99999999982537702</v>
      </c>
    </row>
    <row r="101" spans="1:58" ht="47.25" outlineLevel="2" x14ac:dyDescent="0.25">
      <c r="A101" s="115"/>
      <c r="B101" s="303"/>
      <c r="C101" s="329"/>
      <c r="D101" s="342"/>
      <c r="E101" s="328"/>
      <c r="F101" s="328"/>
      <c r="G101" s="328"/>
      <c r="H101" s="199" t="s">
        <v>433</v>
      </c>
      <c r="I101" s="130" t="s">
        <v>3</v>
      </c>
      <c r="J101" s="126">
        <v>2</v>
      </c>
      <c r="K101" s="126">
        <v>7</v>
      </c>
      <c r="L101" s="125">
        <f>IF(I101&lt;&gt;0,((VLOOKUP(I101,'1. Standard_Cost'!$B$4:$D$11,2)+VLOOKUP(I101,'1. Standard_Cost'!$B$4:$D$11,3))*J101*K101),"0")</f>
        <v>1411200</v>
      </c>
      <c r="M101" s="125">
        <f>L101*'1. Standard_Cost'!$F$4</f>
        <v>235670.40000000002</v>
      </c>
      <c r="N101" s="126"/>
      <c r="O101" s="126"/>
      <c r="P101" s="126"/>
      <c r="Q101" s="126"/>
      <c r="R101" s="127">
        <f>'1. Standard_Cost'!$B$15*N101*P101</f>
        <v>0</v>
      </c>
      <c r="S101" s="127">
        <f>N101*O101*P101*'1. Standard_Cost'!$C$15</f>
        <v>0</v>
      </c>
      <c r="T101" s="127">
        <f>N101*P101*Q101*'1. Standard_Cost'!$D$15</f>
        <v>0</v>
      </c>
      <c r="U101" s="127">
        <f>N101*O101*'1. Standard_Cost'!$E$15</f>
        <v>0</v>
      </c>
      <c r="V101" s="126"/>
      <c r="W101" s="126"/>
      <c r="X101" s="126"/>
      <c r="Y101" s="127">
        <f>+V101*((X101*'1. Standard_Cost'!$B$19)+(W101*X101*'1. Standard_Cost'!$C$19))</f>
        <v>0</v>
      </c>
      <c r="Z101" s="126"/>
      <c r="AA101" s="126"/>
      <c r="AB101" s="127">
        <f>+Z101*'1. Standard_Cost'!$B$23+AA101*'1. Standard_Cost'!$C$23</f>
        <v>0</v>
      </c>
      <c r="AC101" s="128">
        <v>211125</v>
      </c>
      <c r="AD101" s="129"/>
      <c r="AE101" s="127">
        <f>SUM(AD101,AC101,AB101,Y101,U101,T101,S101,R101)*'1. Standard_Cost'!$B$31</f>
        <v>42225</v>
      </c>
      <c r="AF101" s="127">
        <f>SUM(AE101,AD101,AC101,AB101,Y101,U101,T101,S101,R101)</f>
        <v>253350</v>
      </c>
      <c r="AG101" s="126"/>
      <c r="AH101" s="126"/>
      <c r="AI101" s="126"/>
      <c r="AJ101" s="130"/>
      <c r="AK101" s="130"/>
      <c r="AL101" s="130"/>
      <c r="AM101" s="127">
        <f>AG101*'1. Standard_Cost'!$B$27+'Incremental_Cost Year 10'!AH101*'1. Standard_Cost'!$C$27+'Incremental_Cost Year 10'!AI101*'1. Standard_Cost'!$D$27+'Incremental_Cost Year 10'!AJ101+'Incremental_Cost Year 10'!AL101+AK101</f>
        <v>0</v>
      </c>
      <c r="AN101" s="127">
        <f>AM101*'1. Standard_Cost'!$C$31</f>
        <v>0</v>
      </c>
      <c r="AO101" s="130"/>
      <c r="AQ101" s="171">
        <f>L101+M101</f>
        <v>1646870.4</v>
      </c>
      <c r="AR101" s="171">
        <f>AF101</f>
        <v>253350</v>
      </c>
      <c r="AS101" s="171">
        <f>AM101+AN101</f>
        <v>0</v>
      </c>
      <c r="AT101" s="171">
        <f>SUM(AQ101,AR101,AS101)</f>
        <v>1900220.4</v>
      </c>
      <c r="AU101" s="250">
        <v>1900220</v>
      </c>
      <c r="AV101" s="250"/>
      <c r="AW101" s="250"/>
      <c r="AX101" s="250"/>
      <c r="AY101" s="250"/>
      <c r="AZ101" s="250"/>
      <c r="BA101" s="250"/>
      <c r="BB101" s="251">
        <f t="shared" ref="BB101:BB104" si="68">SUM(AU101:BA101)-AT101</f>
        <v>-0.39999999990686774</v>
      </c>
      <c r="BC101" s="169"/>
      <c r="BD101" s="169"/>
      <c r="BE101" s="169"/>
      <c r="BF101" s="169"/>
    </row>
    <row r="102" spans="1:58" ht="47.25" outlineLevel="2" x14ac:dyDescent="0.25">
      <c r="A102" s="115"/>
      <c r="B102" s="200"/>
      <c r="C102" s="330"/>
      <c r="D102" s="343"/>
      <c r="E102" s="328"/>
      <c r="F102" s="328"/>
      <c r="G102" s="328"/>
      <c r="H102" s="199" t="s">
        <v>434</v>
      </c>
      <c r="I102" s="130" t="s">
        <v>3</v>
      </c>
      <c r="J102" s="126">
        <v>1</v>
      </c>
      <c r="K102" s="126">
        <v>2</v>
      </c>
      <c r="L102" s="125">
        <f>IF(I102&lt;&gt;0,((VLOOKUP(I102,'1. Standard_Cost'!$B$4:$D$11,2)+VLOOKUP(I102,'1. Standard_Cost'!$B$4:$D$11,3))*J102*K102),"0")</f>
        <v>201600</v>
      </c>
      <c r="M102" s="125">
        <f>L102*'1. Standard_Cost'!$F$4</f>
        <v>33667.200000000004</v>
      </c>
      <c r="N102" s="126"/>
      <c r="O102" s="126"/>
      <c r="P102" s="126"/>
      <c r="Q102" s="126"/>
      <c r="R102" s="127">
        <f>'1. Standard_Cost'!$B$15*N102*P102</f>
        <v>0</v>
      </c>
      <c r="S102" s="127">
        <f>N102*O102*P102*'1. Standard_Cost'!$C$15</f>
        <v>0</v>
      </c>
      <c r="T102" s="127">
        <f>N102*P102*Q102*'1. Standard_Cost'!$D$15</f>
        <v>0</v>
      </c>
      <c r="U102" s="127">
        <f>N102*O102*'1. Standard_Cost'!$E$15</f>
        <v>0</v>
      </c>
      <c r="V102" s="126"/>
      <c r="W102" s="126"/>
      <c r="X102" s="126"/>
      <c r="Y102" s="127">
        <f>+V102*((X102*'1. Standard_Cost'!$B$19)+(W102*X102*'1. Standard_Cost'!$C$19))</f>
        <v>0</v>
      </c>
      <c r="Z102" s="126"/>
      <c r="AA102" s="126"/>
      <c r="AB102" s="127">
        <f>+Z102*'1. Standard_Cost'!$B$23+AA102*'1. Standard_Cost'!$C$23</f>
        <v>0</v>
      </c>
      <c r="AC102" s="128">
        <v>28300</v>
      </c>
      <c r="AD102" s="129"/>
      <c r="AE102" s="127">
        <f>SUM(AD102,AC102,AB102,Y102,U102,T102,S102,R102)*'1. Standard_Cost'!$B$31</f>
        <v>5660</v>
      </c>
      <c r="AF102" s="127">
        <f>SUM(AE102,AD102,AC102,AB102,Y102,U102,T102,S102,R102)</f>
        <v>33960</v>
      </c>
      <c r="AG102" s="126"/>
      <c r="AH102" s="126"/>
      <c r="AI102" s="126"/>
      <c r="AJ102" s="130"/>
      <c r="AK102" s="130"/>
      <c r="AL102" s="130"/>
      <c r="AM102" s="127">
        <f>AG102*'1. Standard_Cost'!$B$27+'Incremental_Cost Year 10'!AH102*'1. Standard_Cost'!$C$27+'Incremental_Cost Year 10'!AI102*'1. Standard_Cost'!$D$27+'Incremental_Cost Year 10'!AJ102+'Incremental_Cost Year 10'!AL102+AK102</f>
        <v>0</v>
      </c>
      <c r="AN102" s="127">
        <f>AM102*'1. Standard_Cost'!$C$31</f>
        <v>0</v>
      </c>
      <c r="AO102" s="130"/>
      <c r="AQ102" s="171">
        <f>L102+M102</f>
        <v>235267.20000000001</v>
      </c>
      <c r="AR102" s="171">
        <f>AF102</f>
        <v>33960</v>
      </c>
      <c r="AS102" s="171">
        <f>AM102+AN102</f>
        <v>0</v>
      </c>
      <c r="AT102" s="171">
        <f>SUM(AQ102,AR102,AS102)</f>
        <v>269227.2</v>
      </c>
      <c r="AU102" s="250">
        <v>269227</v>
      </c>
      <c r="AV102" s="250"/>
      <c r="AW102" s="250"/>
      <c r="AX102" s="250"/>
      <c r="AY102" s="250"/>
      <c r="AZ102" s="250"/>
      <c r="BA102" s="250"/>
      <c r="BB102" s="251">
        <f t="shared" si="68"/>
        <v>-0.20000000001164153</v>
      </c>
      <c r="BC102" s="169"/>
      <c r="BD102" s="169"/>
      <c r="BE102" s="169"/>
      <c r="BF102" s="169"/>
    </row>
    <row r="103" spans="1:58" ht="47.25" outlineLevel="2" x14ac:dyDescent="0.25">
      <c r="A103" s="115"/>
      <c r="B103" s="200"/>
      <c r="C103" s="330"/>
      <c r="D103" s="343"/>
      <c r="E103" s="328"/>
      <c r="F103" s="328"/>
      <c r="G103" s="328"/>
      <c r="H103" s="103" t="s">
        <v>435</v>
      </c>
      <c r="I103" s="130"/>
      <c r="J103" s="126"/>
      <c r="K103" s="126"/>
      <c r="L103" s="125" t="str">
        <f>IF(I103&lt;&gt;0,((VLOOKUP(I103,'1. Standard_Cost'!$B$4:$D$11,2)+VLOOKUP(I103,'1. Standard_Cost'!$B$4:$D$11,3))*J103*K103),"0")</f>
        <v>0</v>
      </c>
      <c r="M103" s="125">
        <f>L103*'1. Standard_Cost'!$F$4</f>
        <v>0</v>
      </c>
      <c r="N103" s="126"/>
      <c r="O103" s="126"/>
      <c r="P103" s="126"/>
      <c r="Q103" s="126"/>
      <c r="R103" s="127">
        <f>'1. Standard_Cost'!$B$15*N103*P103</f>
        <v>0</v>
      </c>
      <c r="S103" s="127">
        <f>N103*O103*P103*'1. Standard_Cost'!$C$15</f>
        <v>0</v>
      </c>
      <c r="T103" s="127">
        <f>N103*P103*Q103*'1. Standard_Cost'!$D$15</f>
        <v>0</v>
      </c>
      <c r="U103" s="127">
        <f>N103*O103*'1. Standard_Cost'!$E$15</f>
        <v>0</v>
      </c>
      <c r="V103" s="126"/>
      <c r="W103" s="126"/>
      <c r="X103" s="126"/>
      <c r="Y103" s="127">
        <f>+V103*((X103*'1. Standard_Cost'!$B$19)+(W103*X103*'1. Standard_Cost'!$C$19))</f>
        <v>0</v>
      </c>
      <c r="Z103" s="126"/>
      <c r="AA103" s="126"/>
      <c r="AB103" s="127">
        <f>+Z103*'1. Standard_Cost'!$B$23+AA103*'1. Standard_Cost'!$C$23</f>
        <v>0</v>
      </c>
      <c r="AC103" s="128"/>
      <c r="AD103" s="129"/>
      <c r="AE103" s="127">
        <f>SUM(AD103,AC103,AB103,Y103,U103,T103,S103,R103)*'1. Standard_Cost'!$B$31</f>
        <v>0</v>
      </c>
      <c r="AF103" s="127">
        <f>SUM(AE103,AD103,AC103,AB103,Y103,U103,T103,S103,R103)</f>
        <v>0</v>
      </c>
      <c r="AG103" s="126"/>
      <c r="AH103" s="126"/>
      <c r="AI103" s="126"/>
      <c r="AJ103" s="130"/>
      <c r="AK103" s="130"/>
      <c r="AL103" s="130"/>
      <c r="AM103" s="127">
        <f>AG103*'1. Standard_Cost'!$B$27+'Incremental_Cost Year 10'!AH103*'1. Standard_Cost'!$C$27+'Incremental_Cost Year 10'!AI103*'1. Standard_Cost'!$D$27+'Incremental_Cost Year 10'!AJ103+'Incremental_Cost Year 10'!AL103+AK103</f>
        <v>0</v>
      </c>
      <c r="AN103" s="127">
        <f>AM103*'1. Standard_Cost'!$C$31</f>
        <v>0</v>
      </c>
      <c r="AO103" s="130"/>
      <c r="AQ103" s="171">
        <f>L103+M103</f>
        <v>0</v>
      </c>
      <c r="AR103" s="171">
        <f>AF103</f>
        <v>0</v>
      </c>
      <c r="AS103" s="171">
        <f>AM103+AN103</f>
        <v>0</v>
      </c>
      <c r="AT103" s="171">
        <f>SUM(AQ103,AR103,AS103)</f>
        <v>0</v>
      </c>
      <c r="AU103" s="250"/>
      <c r="AV103" s="250"/>
      <c r="AW103" s="250"/>
      <c r="AX103" s="250"/>
      <c r="AY103" s="250"/>
      <c r="AZ103" s="250"/>
      <c r="BA103" s="250"/>
      <c r="BB103" s="251">
        <f t="shared" si="68"/>
        <v>0</v>
      </c>
      <c r="BC103" s="169"/>
      <c r="BD103" s="169"/>
      <c r="BE103" s="169"/>
      <c r="BF103" s="169"/>
    </row>
    <row r="104" spans="1:58" ht="63" outlineLevel="2" x14ac:dyDescent="0.25">
      <c r="A104" s="115"/>
      <c r="B104" s="310"/>
      <c r="C104" s="331"/>
      <c r="D104" s="344"/>
      <c r="E104" s="328"/>
      <c r="F104" s="328"/>
      <c r="G104" s="328"/>
      <c r="H104" s="103" t="s">
        <v>436</v>
      </c>
      <c r="I104" s="130" t="s">
        <v>3</v>
      </c>
      <c r="J104" s="126">
        <v>3</v>
      </c>
      <c r="K104" s="126">
        <v>3</v>
      </c>
      <c r="L104" s="125">
        <f>IF(I104&lt;&gt;0,((VLOOKUP(I104,'1. Standard_Cost'!$B$4:$D$11,2)+VLOOKUP(I104,'1. Standard_Cost'!$B$4:$D$11,3))*J104*K104),"0")</f>
        <v>907200</v>
      </c>
      <c r="M104" s="125">
        <f>L104*'1. Standard_Cost'!$F$4</f>
        <v>151502.39999999999</v>
      </c>
      <c r="N104" s="126"/>
      <c r="O104" s="126"/>
      <c r="P104" s="126"/>
      <c r="Q104" s="126"/>
      <c r="R104" s="127">
        <f>'1. Standard_Cost'!$B$15*N104*P104</f>
        <v>0</v>
      </c>
      <c r="S104" s="127">
        <f>N104*O104*P104*'1. Standard_Cost'!$C$15</f>
        <v>0</v>
      </c>
      <c r="T104" s="127">
        <f>N104*P104*Q104*'1. Standard_Cost'!$D$15</f>
        <v>0</v>
      </c>
      <c r="U104" s="127">
        <f>N104*O104*'1. Standard_Cost'!$E$15</f>
        <v>0</v>
      </c>
      <c r="V104" s="126"/>
      <c r="W104" s="126"/>
      <c r="X104" s="126"/>
      <c r="Y104" s="127">
        <f>+V104*((X104*'1. Standard_Cost'!$B$19)+(W104*X104*'1. Standard_Cost'!$C$19))</f>
        <v>0</v>
      </c>
      <c r="Z104" s="126"/>
      <c r="AA104" s="145"/>
      <c r="AB104" s="127">
        <f>+Z104*'1. Standard_Cost'!$B$23+AA104*'1. Standard_Cost'!$C$23</f>
        <v>0</v>
      </c>
      <c r="AC104" s="128">
        <v>120000</v>
      </c>
      <c r="AD104" s="129"/>
      <c r="AE104" s="127">
        <f>SUM(AD104,AC104,AB104,Y104,U104,T104,S104,R104)*'1. Standard_Cost'!$B$31</f>
        <v>24000</v>
      </c>
      <c r="AF104" s="127">
        <f>SUM(AE104,AD104,AC104,AB104,Y104,U104,T104,S104,R104)</f>
        <v>144000</v>
      </c>
      <c r="AG104" s="126"/>
      <c r="AH104" s="126"/>
      <c r="AI104" s="126"/>
      <c r="AJ104" s="130"/>
      <c r="AK104" s="130"/>
      <c r="AL104" s="130"/>
      <c r="AM104" s="127">
        <f>AG104*'1. Standard_Cost'!$B$27+'Incremental_Cost Year 10'!AH104*'1. Standard_Cost'!$C$27+'Incremental_Cost Year 10'!AI104*'1. Standard_Cost'!$D$27+'Incremental_Cost Year 10'!AJ104+'Incremental_Cost Year 10'!AL104+AK104</f>
        <v>0</v>
      </c>
      <c r="AN104" s="127">
        <f>AM104*'1. Standard_Cost'!$C$31</f>
        <v>0</v>
      </c>
      <c r="AO104" s="262"/>
      <c r="AQ104" s="171">
        <f>L104+M104</f>
        <v>1058702.3999999999</v>
      </c>
      <c r="AR104" s="171">
        <f>AF104</f>
        <v>144000</v>
      </c>
      <c r="AS104" s="171">
        <f>AM104+AN104</f>
        <v>0</v>
      </c>
      <c r="AT104" s="171">
        <f>SUM(AQ104,AR104,AS104)</f>
        <v>1202702.3999999999</v>
      </c>
      <c r="AU104" s="250">
        <v>1202702</v>
      </c>
      <c r="AV104" s="250"/>
      <c r="AW104" s="250"/>
      <c r="AX104" s="250"/>
      <c r="AY104" s="250"/>
      <c r="AZ104" s="250"/>
      <c r="BA104" s="250"/>
      <c r="BB104" s="251">
        <f t="shared" si="68"/>
        <v>-0.39999999990686774</v>
      </c>
      <c r="BC104" s="169"/>
      <c r="BD104" s="169"/>
      <c r="BE104" s="169"/>
      <c r="BF104" s="169"/>
    </row>
    <row r="105" spans="1:58" ht="47.25" outlineLevel="1" x14ac:dyDescent="0.25">
      <c r="A105" s="115"/>
      <c r="B105" s="165"/>
      <c r="C105" s="166"/>
      <c r="D105" s="229" t="s">
        <v>432</v>
      </c>
      <c r="E105" s="212" t="s">
        <v>275</v>
      </c>
      <c r="F105" s="136">
        <v>2023</v>
      </c>
      <c r="G105" s="117">
        <v>2030</v>
      </c>
      <c r="H105" s="110" t="s">
        <v>177</v>
      </c>
      <c r="I105" s="252"/>
      <c r="J105" s="252"/>
      <c r="K105" s="252"/>
      <c r="L105" s="127">
        <f>SUM(L101:L104)</f>
        <v>2520000</v>
      </c>
      <c r="M105" s="127">
        <f>SUM(M101:M104)</f>
        <v>420840</v>
      </c>
      <c r="N105" s="127"/>
      <c r="O105" s="252"/>
      <c r="P105" s="252"/>
      <c r="Q105" s="252"/>
      <c r="R105" s="127">
        <f>SUM(R101:R104)</f>
        <v>0</v>
      </c>
      <c r="S105" s="127">
        <f>SUM(S101:S104)</f>
        <v>0</v>
      </c>
      <c r="T105" s="127">
        <f>SUM(T101:T104)</f>
        <v>0</v>
      </c>
      <c r="U105" s="127">
        <f>SUM(U101:U104)</f>
        <v>0</v>
      </c>
      <c r="V105" s="252"/>
      <c r="W105" s="252"/>
      <c r="X105" s="252"/>
      <c r="Y105" s="127">
        <f>SUM(Y101:Y104)</f>
        <v>0</v>
      </c>
      <c r="Z105" s="252"/>
      <c r="AA105" s="252"/>
      <c r="AB105" s="127">
        <f>SUM(AB101:AB104)</f>
        <v>0</v>
      </c>
      <c r="AC105" s="127">
        <f>SUM(AC101:AC104)</f>
        <v>359425</v>
      </c>
      <c r="AD105" s="127">
        <f>SUM(AD101:AD104)</f>
        <v>0</v>
      </c>
      <c r="AE105" s="127">
        <f>SUM(AE101:AE104)</f>
        <v>71885</v>
      </c>
      <c r="AF105" s="127">
        <f>SUM(AF101:AF104)</f>
        <v>431310</v>
      </c>
      <c r="AG105" s="252"/>
      <c r="AH105" s="252"/>
      <c r="AI105" s="252"/>
      <c r="AJ105" s="127">
        <f>SUM(AJ101:AJ104)</f>
        <v>0</v>
      </c>
      <c r="AK105" s="127">
        <f>SUM(AK101:AK104)</f>
        <v>0</v>
      </c>
      <c r="AL105" s="127">
        <f>SUM(AL101:AL104)</f>
        <v>0</v>
      </c>
      <c r="AM105" s="127">
        <f>SUM(AM101:AM104)</f>
        <v>0</v>
      </c>
      <c r="AN105" s="127">
        <f>SUM(AN101:AN104)</f>
        <v>0</v>
      </c>
      <c r="AO105" s="253"/>
      <c r="AP105" s="254"/>
      <c r="AQ105" s="175">
        <f>SUM(AQ101:AQ104)</f>
        <v>2940840</v>
      </c>
      <c r="AR105" s="175">
        <f>SUM(AR101:AR104)</f>
        <v>431310</v>
      </c>
      <c r="AS105" s="175">
        <f>SUM(AS101:AS104)</f>
        <v>0</v>
      </c>
      <c r="AT105" s="175">
        <f>SUM(AT101:AT104)</f>
        <v>3372150</v>
      </c>
      <c r="AU105" s="175">
        <f t="shared" ref="AU105:BB105" si="69">SUM(AU101:AU104)</f>
        <v>3372149</v>
      </c>
      <c r="AV105" s="175">
        <f t="shared" si="69"/>
        <v>0</v>
      </c>
      <c r="AW105" s="175">
        <f t="shared" si="69"/>
        <v>0</v>
      </c>
      <c r="AX105" s="175">
        <f t="shared" si="69"/>
        <v>0</v>
      </c>
      <c r="AY105" s="175">
        <f t="shared" si="69"/>
        <v>0</v>
      </c>
      <c r="AZ105" s="175">
        <f t="shared" si="69"/>
        <v>0</v>
      </c>
      <c r="BA105" s="175">
        <f t="shared" si="69"/>
        <v>0</v>
      </c>
      <c r="BB105" s="175">
        <f t="shared" si="69"/>
        <v>-0.99999999982537702</v>
      </c>
      <c r="BC105" s="169"/>
      <c r="BD105" s="169"/>
      <c r="BE105" s="169"/>
      <c r="BF105" s="169"/>
    </row>
    <row r="106" spans="1:58" s="184" customFormat="1" ht="15.75" customHeight="1" x14ac:dyDescent="0.25">
      <c r="A106" s="143"/>
      <c r="B106" s="290"/>
      <c r="C106" s="391" t="s">
        <v>276</v>
      </c>
      <c r="D106" s="391"/>
      <c r="E106" s="392"/>
      <c r="F106" s="291"/>
      <c r="G106" s="291"/>
      <c r="H106" s="144" t="s">
        <v>258</v>
      </c>
      <c r="I106" s="257"/>
      <c r="J106" s="257"/>
      <c r="K106" s="257"/>
      <c r="L106" s="258">
        <f>SUM(L110)</f>
        <v>1655900</v>
      </c>
      <c r="M106" s="258">
        <f>SUM(M110)</f>
        <v>276535.3</v>
      </c>
      <c r="N106" s="257"/>
      <c r="O106" s="257"/>
      <c r="P106" s="257"/>
      <c r="Q106" s="257"/>
      <c r="R106" s="258">
        <f>SUM(R110)</f>
        <v>0</v>
      </c>
      <c r="S106" s="258">
        <f>SUM(S110)</f>
        <v>0</v>
      </c>
      <c r="T106" s="258">
        <f>SUM(T110)</f>
        <v>0</v>
      </c>
      <c r="U106" s="258">
        <f>SUM(U110)</f>
        <v>0</v>
      </c>
      <c r="V106" s="257"/>
      <c r="W106" s="257"/>
      <c r="X106" s="257"/>
      <c r="Y106" s="258">
        <f>SUM(Y110)</f>
        <v>0</v>
      </c>
      <c r="Z106" s="258"/>
      <c r="AA106" s="258"/>
      <c r="AB106" s="258">
        <f>SUM(AB110)</f>
        <v>1140000</v>
      </c>
      <c r="AC106" s="258">
        <f>SUM(AC110)</f>
        <v>253100</v>
      </c>
      <c r="AD106" s="258">
        <f>SUM(AD110)</f>
        <v>0</v>
      </c>
      <c r="AE106" s="258">
        <f>SUM(AE110)</f>
        <v>278620</v>
      </c>
      <c r="AF106" s="258">
        <f>SUM(AF110)</f>
        <v>1671720</v>
      </c>
      <c r="AG106" s="257"/>
      <c r="AH106" s="257"/>
      <c r="AI106" s="257"/>
      <c r="AJ106" s="258">
        <f>SUM(AJ110)</f>
        <v>0</v>
      </c>
      <c r="AK106" s="258">
        <f>SUM(AK110)</f>
        <v>0</v>
      </c>
      <c r="AL106" s="258">
        <f>SUM(AL110)</f>
        <v>0</v>
      </c>
      <c r="AM106" s="258">
        <f>SUM(AM110)</f>
        <v>0</v>
      </c>
      <c r="AN106" s="258">
        <f>SUM(AN110)</f>
        <v>0</v>
      </c>
      <c r="AO106" s="259"/>
      <c r="AP106" s="260"/>
      <c r="AQ106" s="261">
        <f>SUM(AQ110)</f>
        <v>1932435.3</v>
      </c>
      <c r="AR106" s="261">
        <f>SUM(AR110)</f>
        <v>1671720</v>
      </c>
      <c r="AS106" s="261">
        <f>SUM(AS110)</f>
        <v>0</v>
      </c>
      <c r="AT106" s="261">
        <f>SUM(AT110)</f>
        <v>3604155.3</v>
      </c>
      <c r="AU106" s="261">
        <f t="shared" ref="AU106:BA106" si="70">SUM(AU110)</f>
        <v>2236156</v>
      </c>
      <c r="AV106" s="261">
        <f t="shared" si="70"/>
        <v>0</v>
      </c>
      <c r="AW106" s="261">
        <f t="shared" si="70"/>
        <v>0</v>
      </c>
      <c r="AX106" s="261">
        <f t="shared" si="70"/>
        <v>0</v>
      </c>
      <c r="AY106" s="261">
        <f t="shared" si="70"/>
        <v>0</v>
      </c>
      <c r="AZ106" s="261">
        <f t="shared" si="70"/>
        <v>0</v>
      </c>
      <c r="BA106" s="261">
        <f t="shared" si="70"/>
        <v>0</v>
      </c>
      <c r="BB106" s="261">
        <f>SUM(BB110)</f>
        <v>-1367999.3</v>
      </c>
    </row>
    <row r="107" spans="1:58" ht="63" outlineLevel="2" x14ac:dyDescent="0.25">
      <c r="A107" s="115"/>
      <c r="B107" s="200"/>
      <c r="C107" s="201"/>
      <c r="D107" s="202"/>
      <c r="E107" s="226"/>
      <c r="F107" s="306"/>
      <c r="G107" s="307"/>
      <c r="H107" s="199" t="s">
        <v>437</v>
      </c>
      <c r="I107" s="130" t="s">
        <v>5</v>
      </c>
      <c r="J107" s="126">
        <v>2</v>
      </c>
      <c r="K107" s="126">
        <v>1</v>
      </c>
      <c r="L107" s="125">
        <f>IF(I107&lt;&gt;0,((VLOOKUP(I107,'1. Standard_Cost'!$B$4:$D$11,2)+VLOOKUP(I107,'1. Standard_Cost'!$B$4:$D$11,3))*J107*K107),"0")</f>
        <v>141400</v>
      </c>
      <c r="M107" s="125">
        <f>L107*'1. Standard_Cost'!$F$4</f>
        <v>23613.800000000003</v>
      </c>
      <c r="N107" s="126"/>
      <c r="O107" s="126"/>
      <c r="P107" s="126"/>
      <c r="Q107" s="126"/>
      <c r="R107" s="127">
        <f>'1. Standard_Cost'!$B$15*N107*P107</f>
        <v>0</v>
      </c>
      <c r="S107" s="127">
        <f>N107*O107*P107*'1. Standard_Cost'!$C$15</f>
        <v>0</v>
      </c>
      <c r="T107" s="127">
        <f>N107*P107*Q107*'1. Standard_Cost'!$D$15</f>
        <v>0</v>
      </c>
      <c r="U107" s="127">
        <f>N107*O107*'1. Standard_Cost'!$E$15</f>
        <v>0</v>
      </c>
      <c r="V107" s="126"/>
      <c r="W107" s="126"/>
      <c r="X107" s="126"/>
      <c r="Y107" s="127">
        <f>+V107*((X107*'1. Standard_Cost'!$B$19)+(W107*X107*'1. Standard_Cost'!$C$19))</f>
        <v>0</v>
      </c>
      <c r="Z107" s="126"/>
      <c r="AA107" s="126">
        <v>40</v>
      </c>
      <c r="AB107" s="127">
        <f>+Z107*'1. Standard_Cost'!$B$23+AA107*'1. Standard_Cost'!$C$23</f>
        <v>760000</v>
      </c>
      <c r="AC107" s="128">
        <v>20000</v>
      </c>
      <c r="AD107" s="129"/>
      <c r="AE107" s="127">
        <f>SUM(AD107,AC107,AB107,Y107,U107,T107,S107,R107)*'1. Standard_Cost'!$B$31</f>
        <v>156000</v>
      </c>
      <c r="AF107" s="127">
        <f>SUM(AE107,AD107,AC107,AB107,Y107,U107,T107,S107,R107)</f>
        <v>936000</v>
      </c>
      <c r="AG107" s="126"/>
      <c r="AH107" s="126"/>
      <c r="AI107" s="126"/>
      <c r="AJ107" s="130"/>
      <c r="AK107" s="130"/>
      <c r="AL107" s="130"/>
      <c r="AM107" s="127">
        <f>AG107*'1. Standard_Cost'!$B$27+'Incremental_Cost Year 10'!AH107*'1. Standard_Cost'!$C$27+'Incremental_Cost Year 10'!AI107*'1. Standard_Cost'!$D$27+'Incremental_Cost Year 10'!AJ107+'Incremental_Cost Year 10'!AL107+AK107</f>
        <v>0</v>
      </c>
      <c r="AN107" s="127">
        <f>AM107*'1. Standard_Cost'!$C$31</f>
        <v>0</v>
      </c>
      <c r="AO107" s="130"/>
      <c r="AQ107" s="171">
        <f>L107+M107</f>
        <v>165013.79999999999</v>
      </c>
      <c r="AR107" s="171">
        <f>AF107</f>
        <v>936000</v>
      </c>
      <c r="AS107" s="171">
        <f>AM107+AN107</f>
        <v>0</v>
      </c>
      <c r="AT107" s="171">
        <f>SUM(AQ107,AR107,AS107)</f>
        <v>1101013.8</v>
      </c>
      <c r="AU107" s="250">
        <v>189014</v>
      </c>
      <c r="AV107" s="250"/>
      <c r="AW107" s="250"/>
      <c r="AX107" s="250"/>
      <c r="AY107" s="250"/>
      <c r="AZ107" s="250"/>
      <c r="BA107" s="250"/>
      <c r="BB107" s="251">
        <f t="shared" ref="BB107:BB109" si="71">SUM(AU107:BA107)-AT107</f>
        <v>-911999.8</v>
      </c>
      <c r="BC107" s="169"/>
      <c r="BD107" s="169"/>
      <c r="BE107" s="169"/>
      <c r="BF107" s="169"/>
    </row>
    <row r="108" spans="1:58" ht="78.75" outlineLevel="2" x14ac:dyDescent="0.25">
      <c r="A108" s="115"/>
      <c r="B108" s="200"/>
      <c r="C108" s="201"/>
      <c r="D108" s="202"/>
      <c r="E108" s="202"/>
      <c r="F108" s="308"/>
      <c r="G108" s="309"/>
      <c r="H108" s="199" t="s">
        <v>438</v>
      </c>
      <c r="I108" s="130" t="s">
        <v>4</v>
      </c>
      <c r="J108" s="126">
        <v>2</v>
      </c>
      <c r="K108" s="126">
        <v>5</v>
      </c>
      <c r="L108" s="125">
        <f>IF(I108&lt;&gt;0,((VLOOKUP(I108,'1. Standard_Cost'!$B$4:$D$11,2)+VLOOKUP(I108,'1. Standard_Cost'!$B$4:$D$11,3))*J108*K108),"0")</f>
        <v>807500</v>
      </c>
      <c r="M108" s="125">
        <f>L108*'1. Standard_Cost'!$F$4</f>
        <v>134852.5</v>
      </c>
      <c r="N108" s="126"/>
      <c r="O108" s="126"/>
      <c r="P108" s="126"/>
      <c r="Q108" s="126"/>
      <c r="R108" s="127">
        <f>'1. Standard_Cost'!$B$15*N108*P108</f>
        <v>0</v>
      </c>
      <c r="S108" s="127">
        <f>N108*O108*P108*'1. Standard_Cost'!$C$15</f>
        <v>0</v>
      </c>
      <c r="T108" s="127">
        <f>N108*P108*Q108*'1. Standard_Cost'!$D$15</f>
        <v>0</v>
      </c>
      <c r="U108" s="127">
        <f>N108*O108*'1. Standard_Cost'!$E$15</f>
        <v>0</v>
      </c>
      <c r="V108" s="126"/>
      <c r="W108" s="126"/>
      <c r="X108" s="126"/>
      <c r="Y108" s="127">
        <f>+V108*((X108*'1. Standard_Cost'!$B$19)+(W108*X108*'1. Standard_Cost'!$C$19))</f>
        <v>0</v>
      </c>
      <c r="Z108" s="126"/>
      <c r="AA108" s="126">
        <v>20</v>
      </c>
      <c r="AB108" s="127">
        <f>+Z108*'1. Standard_Cost'!$B$23+AA108*'1. Standard_Cost'!$C$23</f>
        <v>380000</v>
      </c>
      <c r="AC108" s="128">
        <v>113100</v>
      </c>
      <c r="AD108" s="129"/>
      <c r="AE108" s="127">
        <f>SUM(AD108,AC108,AB108,Y108,U108,T108,S108,R108)*'1. Standard_Cost'!$B$31</f>
        <v>98620</v>
      </c>
      <c r="AF108" s="127">
        <f>SUM(AE108,AD108,AC108,AB108,Y108,U108,T108,S108,R108)</f>
        <v>591720</v>
      </c>
      <c r="AG108" s="126"/>
      <c r="AH108" s="126"/>
      <c r="AI108" s="126"/>
      <c r="AJ108" s="130"/>
      <c r="AK108" s="130"/>
      <c r="AL108" s="130"/>
      <c r="AM108" s="127">
        <f>AG108*'1. Standard_Cost'!$B$27+'Incremental_Cost Year 10'!AH108*'1. Standard_Cost'!$C$27+'Incremental_Cost Year 10'!AI108*'1. Standard_Cost'!$D$27+'Incremental_Cost Year 10'!AJ108+'Incremental_Cost Year 10'!AL108+AK108</f>
        <v>0</v>
      </c>
      <c r="AN108" s="127">
        <f>AM108*'1. Standard_Cost'!$C$31</f>
        <v>0</v>
      </c>
      <c r="AO108" s="130"/>
      <c r="AQ108" s="171">
        <f>L108+M108</f>
        <v>942352.5</v>
      </c>
      <c r="AR108" s="171">
        <f>AF108</f>
        <v>591720</v>
      </c>
      <c r="AS108" s="171">
        <f>AM108+AN108</f>
        <v>0</v>
      </c>
      <c r="AT108" s="171">
        <f>SUM(AQ108,AR108,AS108)</f>
        <v>1534072.5</v>
      </c>
      <c r="AU108" s="250">
        <v>1078073</v>
      </c>
      <c r="AV108" s="250"/>
      <c r="AW108" s="250"/>
      <c r="AX108" s="250"/>
      <c r="AY108" s="250"/>
      <c r="AZ108" s="250"/>
      <c r="BA108" s="250"/>
      <c r="BB108" s="251">
        <f t="shared" si="71"/>
        <v>-455999.5</v>
      </c>
      <c r="BC108" s="169"/>
      <c r="BD108" s="169"/>
      <c r="BE108" s="169"/>
      <c r="BF108" s="169"/>
    </row>
    <row r="109" spans="1:58" ht="78.75" outlineLevel="2" x14ac:dyDescent="0.25">
      <c r="A109" s="115"/>
      <c r="B109" s="200"/>
      <c r="C109" s="201"/>
      <c r="D109" s="202"/>
      <c r="E109" s="310"/>
      <c r="F109" s="311"/>
      <c r="G109" s="312"/>
      <c r="H109" s="199" t="s">
        <v>439</v>
      </c>
      <c r="I109" s="130" t="s">
        <v>5</v>
      </c>
      <c r="J109" s="126">
        <v>2</v>
      </c>
      <c r="K109" s="126">
        <v>5</v>
      </c>
      <c r="L109" s="125">
        <f>IF(I109&lt;&gt;0,((VLOOKUP(I109,'1. Standard_Cost'!$B$4:$D$11,2)+VLOOKUP(I109,'1. Standard_Cost'!$B$4:$D$11,3))*J109*K109),"0")</f>
        <v>707000</v>
      </c>
      <c r="M109" s="125">
        <f>L109*'1. Standard_Cost'!$F$4</f>
        <v>118069</v>
      </c>
      <c r="N109" s="126"/>
      <c r="O109" s="126"/>
      <c r="P109" s="126"/>
      <c r="Q109" s="126"/>
      <c r="R109" s="127">
        <f>'1. Standard_Cost'!$B$15*N109*P109</f>
        <v>0</v>
      </c>
      <c r="S109" s="127">
        <f>N109*O109*P109*'1. Standard_Cost'!$C$15</f>
        <v>0</v>
      </c>
      <c r="T109" s="127">
        <f>N109*P109*Q109*'1. Standard_Cost'!$D$15</f>
        <v>0</v>
      </c>
      <c r="U109" s="127">
        <f>N109*O109*'1. Standard_Cost'!$E$15</f>
        <v>0</v>
      </c>
      <c r="V109" s="126"/>
      <c r="W109" s="126"/>
      <c r="X109" s="126"/>
      <c r="Y109" s="127">
        <f>+V109*((X109*'1. Standard_Cost'!$B$19)+(W109*X109*'1. Standard_Cost'!$C$19))</f>
        <v>0</v>
      </c>
      <c r="Z109" s="126"/>
      <c r="AA109" s="126"/>
      <c r="AB109" s="127">
        <f>+Z109*'1. Standard_Cost'!$B$23+AA109*'1. Standard_Cost'!$C$23</f>
        <v>0</v>
      </c>
      <c r="AC109" s="128">
        <v>120000</v>
      </c>
      <c r="AD109" s="129"/>
      <c r="AE109" s="127">
        <f>SUM(AD109,AC109,AB109,Y109,U109,T109,S109,R109)*'1. Standard_Cost'!$B$31</f>
        <v>24000</v>
      </c>
      <c r="AF109" s="127">
        <f>SUM(AE109,AD109,AC109,AB109,Y109,U109,T109,S109,R109)</f>
        <v>144000</v>
      </c>
      <c r="AG109" s="126"/>
      <c r="AH109" s="126"/>
      <c r="AI109" s="126"/>
      <c r="AJ109" s="130"/>
      <c r="AK109" s="130"/>
      <c r="AL109" s="130"/>
      <c r="AM109" s="127">
        <f>AG109*'1. Standard_Cost'!$B$27+'Incremental_Cost Year 10'!AH109*'1. Standard_Cost'!$C$27+'Incremental_Cost Year 10'!AI109*'1. Standard_Cost'!$D$27+'Incremental_Cost Year 10'!AJ109+'Incremental_Cost Year 10'!AL109+AK109</f>
        <v>0</v>
      </c>
      <c r="AN109" s="127">
        <f>AM109*'1. Standard_Cost'!$C$31</f>
        <v>0</v>
      </c>
      <c r="AO109" s="130"/>
      <c r="AQ109" s="171">
        <f>L109+M109</f>
        <v>825069</v>
      </c>
      <c r="AR109" s="171">
        <f>AF109</f>
        <v>144000</v>
      </c>
      <c r="AS109" s="171">
        <f>AM109+AN109</f>
        <v>0</v>
      </c>
      <c r="AT109" s="171">
        <f>SUM(AQ109,AR109,AS109)</f>
        <v>969069</v>
      </c>
      <c r="AU109" s="250">
        <v>969069</v>
      </c>
      <c r="AV109" s="250"/>
      <c r="AW109" s="250"/>
      <c r="AX109" s="250"/>
      <c r="AY109" s="250"/>
      <c r="AZ109" s="250"/>
      <c r="BA109" s="250"/>
      <c r="BB109" s="251">
        <f t="shared" si="71"/>
        <v>0</v>
      </c>
      <c r="BC109" s="169"/>
      <c r="BD109" s="169"/>
      <c r="BE109" s="169"/>
      <c r="BF109" s="169"/>
    </row>
    <row r="110" spans="1:58" ht="47.25" outlineLevel="1" x14ac:dyDescent="0.25">
      <c r="A110" s="115"/>
      <c r="B110" s="200"/>
      <c r="C110" s="201"/>
      <c r="D110" s="227" t="s">
        <v>432</v>
      </c>
      <c r="E110" s="226" t="s">
        <v>275</v>
      </c>
      <c r="F110" s="136">
        <v>2025</v>
      </c>
      <c r="G110" s="117">
        <v>2030</v>
      </c>
      <c r="H110" s="110" t="s">
        <v>277</v>
      </c>
      <c r="I110" s="252"/>
      <c r="J110" s="252"/>
      <c r="K110" s="252"/>
      <c r="L110" s="127">
        <f>SUM(L107:L109)</f>
        <v>1655900</v>
      </c>
      <c r="M110" s="127">
        <f>SUM(M107:M109)</f>
        <v>276535.3</v>
      </c>
      <c r="N110" s="127"/>
      <c r="O110" s="252"/>
      <c r="P110" s="252"/>
      <c r="Q110" s="252"/>
      <c r="R110" s="127">
        <f>SUM(R107:R109)</f>
        <v>0</v>
      </c>
      <c r="S110" s="127">
        <f>SUM(S107:S109)</f>
        <v>0</v>
      </c>
      <c r="T110" s="127">
        <f>SUM(T107:T109)</f>
        <v>0</v>
      </c>
      <c r="U110" s="127">
        <f>SUM(U107:U109)</f>
        <v>0</v>
      </c>
      <c r="V110" s="252"/>
      <c r="W110" s="252"/>
      <c r="X110" s="252"/>
      <c r="Y110" s="127">
        <f>SUM(Y107:Y109)</f>
        <v>0</v>
      </c>
      <c r="Z110" s="252"/>
      <c r="AA110" s="252"/>
      <c r="AB110" s="127">
        <f>SUM(AB107:AB109)</f>
        <v>1140000</v>
      </c>
      <c r="AC110" s="127">
        <f>SUM(AC107:AC109)</f>
        <v>253100</v>
      </c>
      <c r="AD110" s="127">
        <f>SUM(AD107:AD109)</f>
        <v>0</v>
      </c>
      <c r="AE110" s="127">
        <f>SUM(AE107:AE109)</f>
        <v>278620</v>
      </c>
      <c r="AF110" s="127">
        <f>SUM(AF107:AF109)</f>
        <v>1671720</v>
      </c>
      <c r="AG110" s="252"/>
      <c r="AH110" s="252"/>
      <c r="AI110" s="252"/>
      <c r="AJ110" s="127">
        <f>SUM(AJ107:AJ109)</f>
        <v>0</v>
      </c>
      <c r="AK110" s="127">
        <f>SUM(AK107:AK109)</f>
        <v>0</v>
      </c>
      <c r="AL110" s="127">
        <f>SUM(AL107:AL109)</f>
        <v>0</v>
      </c>
      <c r="AM110" s="127">
        <f>SUM(AM107:AM109)</f>
        <v>0</v>
      </c>
      <c r="AN110" s="127">
        <f>SUM(AN107:AN109)</f>
        <v>0</v>
      </c>
      <c r="AO110" s="253"/>
      <c r="AP110" s="254"/>
      <c r="AQ110" s="175">
        <f>SUM(AQ107:AQ109)</f>
        <v>1932435.3</v>
      </c>
      <c r="AR110" s="175">
        <f>SUM(AR107:AR109)</f>
        <v>1671720</v>
      </c>
      <c r="AS110" s="175">
        <f>SUM(AS107:AS109)</f>
        <v>0</v>
      </c>
      <c r="AT110" s="175">
        <f>SUM(AT107:AT109)</f>
        <v>3604155.3</v>
      </c>
      <c r="AU110" s="175">
        <f t="shared" ref="AU110:BB110" si="72">SUM(AU107:AU109)</f>
        <v>2236156</v>
      </c>
      <c r="AV110" s="175">
        <f t="shared" si="72"/>
        <v>0</v>
      </c>
      <c r="AW110" s="175">
        <f t="shared" si="72"/>
        <v>0</v>
      </c>
      <c r="AX110" s="175">
        <f t="shared" si="72"/>
        <v>0</v>
      </c>
      <c r="AY110" s="175">
        <f t="shared" si="72"/>
        <v>0</v>
      </c>
      <c r="AZ110" s="175">
        <f t="shared" si="72"/>
        <v>0</v>
      </c>
      <c r="BA110" s="175">
        <f t="shared" si="72"/>
        <v>0</v>
      </c>
      <c r="BB110" s="175">
        <f t="shared" si="72"/>
        <v>-1367999.3</v>
      </c>
      <c r="BC110" s="169"/>
      <c r="BD110" s="169"/>
      <c r="BE110" s="169"/>
      <c r="BF110" s="169"/>
    </row>
    <row r="111" spans="1:58" s="184" customFormat="1" ht="15.75" customHeight="1" x14ac:dyDescent="0.25">
      <c r="A111" s="143"/>
      <c r="B111" s="290"/>
      <c r="C111" s="391" t="s">
        <v>278</v>
      </c>
      <c r="D111" s="391"/>
      <c r="E111" s="392"/>
      <c r="F111" s="291"/>
      <c r="G111" s="291"/>
      <c r="H111" s="144" t="s">
        <v>262</v>
      </c>
      <c r="I111" s="257"/>
      <c r="J111" s="257"/>
      <c r="K111" s="257"/>
      <c r="L111" s="258">
        <f>SUM(L117)</f>
        <v>2562100</v>
      </c>
      <c r="M111" s="258">
        <f>SUM(M117)</f>
        <v>427870.7</v>
      </c>
      <c r="N111" s="257"/>
      <c r="O111" s="257"/>
      <c r="P111" s="257"/>
      <c r="Q111" s="257"/>
      <c r="R111" s="258">
        <f>SUM(R117)</f>
        <v>0</v>
      </c>
      <c r="S111" s="258">
        <f>SUM(S117)</f>
        <v>0</v>
      </c>
      <c r="T111" s="258">
        <f>SUM(T117)</f>
        <v>0</v>
      </c>
      <c r="U111" s="258">
        <f>SUM(U117)</f>
        <v>0</v>
      </c>
      <c r="V111" s="257"/>
      <c r="W111" s="257"/>
      <c r="X111" s="257"/>
      <c r="Y111" s="258">
        <f>SUM(Y117)</f>
        <v>0</v>
      </c>
      <c r="Z111" s="258"/>
      <c r="AA111" s="258"/>
      <c r="AB111" s="258">
        <f>SUM(AB117)</f>
        <v>475000</v>
      </c>
      <c r="AC111" s="258">
        <f>SUM(AC117)</f>
        <v>358920</v>
      </c>
      <c r="AD111" s="258">
        <f>SUM(AD117)</f>
        <v>0</v>
      </c>
      <c r="AE111" s="258">
        <f>SUM(AE117)</f>
        <v>166784</v>
      </c>
      <c r="AF111" s="258">
        <f>SUM(AF117)</f>
        <v>1000704</v>
      </c>
      <c r="AG111" s="257"/>
      <c r="AH111" s="257"/>
      <c r="AI111" s="257"/>
      <c r="AJ111" s="258">
        <f>SUM(AJ117)</f>
        <v>0</v>
      </c>
      <c r="AK111" s="258">
        <f>SUM(AK117)</f>
        <v>0</v>
      </c>
      <c r="AL111" s="258">
        <f>SUM(AL117)</f>
        <v>0</v>
      </c>
      <c r="AM111" s="258">
        <f>SUM(AM117)</f>
        <v>0</v>
      </c>
      <c r="AN111" s="258">
        <f>SUM(AN117)</f>
        <v>0</v>
      </c>
      <c r="AO111" s="259"/>
      <c r="AP111" s="260"/>
      <c r="AQ111" s="261">
        <f>SUM(AQ117)</f>
        <v>2989970.7</v>
      </c>
      <c r="AR111" s="261">
        <f>SUM(AR117)</f>
        <v>1000704</v>
      </c>
      <c r="AS111" s="261">
        <f>SUM(AS117)</f>
        <v>0</v>
      </c>
      <c r="AT111" s="261">
        <f>SUM(AT117)</f>
        <v>3990674.7</v>
      </c>
      <c r="AU111" s="261">
        <f t="shared" ref="AU111:BA111" si="73">SUM(AU117)</f>
        <v>3420675</v>
      </c>
      <c r="AV111" s="261">
        <f t="shared" si="73"/>
        <v>0</v>
      </c>
      <c r="AW111" s="261">
        <f t="shared" si="73"/>
        <v>0</v>
      </c>
      <c r="AX111" s="261">
        <f t="shared" si="73"/>
        <v>0</v>
      </c>
      <c r="AY111" s="261">
        <f t="shared" si="73"/>
        <v>0</v>
      </c>
      <c r="AZ111" s="261">
        <f t="shared" si="73"/>
        <v>0</v>
      </c>
      <c r="BA111" s="261">
        <f t="shared" si="73"/>
        <v>0</v>
      </c>
      <c r="BB111" s="261">
        <f>SUM(BB117)</f>
        <v>-569999.69999999995</v>
      </c>
    </row>
    <row r="112" spans="1:58" ht="78.75" outlineLevel="2" x14ac:dyDescent="0.25">
      <c r="A112" s="115"/>
      <c r="B112" s="200"/>
      <c r="C112" s="201"/>
      <c r="D112" s="210"/>
      <c r="E112" s="321"/>
      <c r="F112" s="306"/>
      <c r="G112" s="307"/>
      <c r="H112" s="199" t="s">
        <v>440</v>
      </c>
      <c r="I112" s="130" t="s">
        <v>2</v>
      </c>
      <c r="J112" s="126">
        <v>1</v>
      </c>
      <c r="K112" s="126">
        <v>6</v>
      </c>
      <c r="L112" s="125">
        <f>IF(I112&lt;&gt;0,((VLOOKUP(I112,'1. Standard_Cost'!$B$4:$D$11,2)+VLOOKUP(I112,'1. Standard_Cost'!$B$4:$D$11,3))*J112*K112),"0")</f>
        <v>726000</v>
      </c>
      <c r="M112" s="125">
        <f>L112*'1. Standard_Cost'!$F$4</f>
        <v>121242</v>
      </c>
      <c r="N112" s="126"/>
      <c r="O112" s="126"/>
      <c r="P112" s="126"/>
      <c r="Q112" s="126"/>
      <c r="R112" s="127">
        <f>'1. Standard_Cost'!$B$15*N112*P112</f>
        <v>0</v>
      </c>
      <c r="S112" s="127">
        <f>N112*O112*P112*'1. Standard_Cost'!$C$15</f>
        <v>0</v>
      </c>
      <c r="T112" s="127">
        <f>N112*P112*Q112*'1. Standard_Cost'!$D$15</f>
        <v>0</v>
      </c>
      <c r="U112" s="127">
        <f>N112*O112*'1. Standard_Cost'!$E$15</f>
        <v>0</v>
      </c>
      <c r="V112" s="126"/>
      <c r="W112" s="126"/>
      <c r="X112" s="126"/>
      <c r="Y112" s="127">
        <f>+V112*((X112*'1. Standard_Cost'!$B$19)+(W112*X112*'1. Standard_Cost'!$C$19))</f>
        <v>0</v>
      </c>
      <c r="Z112" s="126"/>
      <c r="AA112" s="126"/>
      <c r="AB112" s="127">
        <f>+Z112*'1. Standard_Cost'!$B$23+AA112*'1. Standard_Cost'!$C$23</f>
        <v>0</v>
      </c>
      <c r="AC112" s="128">
        <v>101700</v>
      </c>
      <c r="AD112" s="129"/>
      <c r="AE112" s="127">
        <f>SUM(AD112,AC112,AB112,Y112,U112,T112,S112,R112)*'1. Standard_Cost'!$B$31</f>
        <v>20340</v>
      </c>
      <c r="AF112" s="127">
        <f>SUM(AE112,AD112,AC112,AB112,Y112,U112,T112,S112,R112)</f>
        <v>122040</v>
      </c>
      <c r="AG112" s="126"/>
      <c r="AH112" s="126"/>
      <c r="AI112" s="126"/>
      <c r="AJ112" s="130"/>
      <c r="AK112" s="130"/>
      <c r="AL112" s="130"/>
      <c r="AM112" s="127">
        <f>AG112*'1. Standard_Cost'!$B$27+'Incremental_Cost Year 10'!AH112*'1. Standard_Cost'!$C$27+'Incremental_Cost Year 10'!AI112*'1. Standard_Cost'!$D$27+'Incremental_Cost Year 10'!AJ112+'Incremental_Cost Year 10'!AL112+AK112</f>
        <v>0</v>
      </c>
      <c r="AN112" s="127">
        <f>AM112*'1. Standard_Cost'!$C$31</f>
        <v>0</v>
      </c>
      <c r="AO112" s="130"/>
      <c r="AQ112" s="171">
        <f>L112+M112</f>
        <v>847242</v>
      </c>
      <c r="AR112" s="171">
        <f>AF112</f>
        <v>122040</v>
      </c>
      <c r="AS112" s="171">
        <f>AM112+AN112</f>
        <v>0</v>
      </c>
      <c r="AT112" s="171">
        <f>SUM(AQ112,AR112,AS112)</f>
        <v>969282</v>
      </c>
      <c r="AU112" s="250">
        <v>969282</v>
      </c>
      <c r="AV112" s="250"/>
      <c r="AW112" s="250"/>
      <c r="AX112" s="250"/>
      <c r="AY112" s="250"/>
      <c r="AZ112" s="250"/>
      <c r="BA112" s="250"/>
      <c r="BB112" s="251">
        <f t="shared" ref="BB112:BB116" si="74">SUM(AU112:BA112)-AT112</f>
        <v>0</v>
      </c>
      <c r="BC112" s="169"/>
      <c r="BD112" s="169"/>
      <c r="BE112" s="169"/>
      <c r="BF112" s="169"/>
    </row>
    <row r="113" spans="1:58" ht="78.75" outlineLevel="2" x14ac:dyDescent="0.25">
      <c r="A113" s="115"/>
      <c r="B113" s="200"/>
      <c r="C113" s="201"/>
      <c r="D113" s="208"/>
      <c r="E113" s="323"/>
      <c r="F113" s="308"/>
      <c r="G113" s="309"/>
      <c r="H113" s="199" t="s">
        <v>441</v>
      </c>
      <c r="I113" s="130" t="s">
        <v>3</v>
      </c>
      <c r="J113" s="126">
        <v>1</v>
      </c>
      <c r="K113" s="126">
        <v>7</v>
      </c>
      <c r="L113" s="125">
        <f>IF(I113&lt;&gt;0,((VLOOKUP(I113,'1. Standard_Cost'!$B$4:$D$11,2)+VLOOKUP(I113,'1. Standard_Cost'!$B$4:$D$11,3))*J113*K113),"0")</f>
        <v>705600</v>
      </c>
      <c r="M113" s="125">
        <f>L113*'1. Standard_Cost'!$F$4</f>
        <v>117835.20000000001</v>
      </c>
      <c r="N113" s="126"/>
      <c r="O113" s="126"/>
      <c r="P113" s="126"/>
      <c r="Q113" s="126"/>
      <c r="R113" s="127">
        <f>'1. Standard_Cost'!$B$15*N113*P113</f>
        <v>0</v>
      </c>
      <c r="S113" s="127">
        <f>N113*O113*P113*'1. Standard_Cost'!$C$15</f>
        <v>0</v>
      </c>
      <c r="T113" s="127">
        <f>N113*P113*Q113*'1. Standard_Cost'!$D$15</f>
        <v>0</v>
      </c>
      <c r="U113" s="127">
        <f>N113*O113*'1. Standard_Cost'!$E$15</f>
        <v>0</v>
      </c>
      <c r="V113" s="126"/>
      <c r="W113" s="126"/>
      <c r="X113" s="126"/>
      <c r="Y113" s="127">
        <f>+V113*((X113*'1. Standard_Cost'!$B$19)+(W113*X113*'1. Standard_Cost'!$C$19))</f>
        <v>0</v>
      </c>
      <c r="Z113" s="126"/>
      <c r="AA113" s="126"/>
      <c r="AB113" s="127">
        <f>+Z113*'1. Standard_Cost'!$B$23+AA113*'1. Standard_Cost'!$C$23</f>
        <v>0</v>
      </c>
      <c r="AC113" s="128">
        <v>98900</v>
      </c>
      <c r="AD113" s="129"/>
      <c r="AE113" s="127">
        <f>SUM(AD113,AC113,AB113,Y113,U113,T113,S113,R113)*'1. Standard_Cost'!$B$31</f>
        <v>19780</v>
      </c>
      <c r="AF113" s="127">
        <f>SUM(AE113,AD113,AC113,AB113,Y113,U113,T113,S113,R113)</f>
        <v>118680</v>
      </c>
      <c r="AG113" s="126"/>
      <c r="AH113" s="126"/>
      <c r="AI113" s="126"/>
      <c r="AJ113" s="130"/>
      <c r="AK113" s="130"/>
      <c r="AL113" s="130"/>
      <c r="AM113" s="127">
        <f>AG113*'1. Standard_Cost'!$B$27+'Incremental_Cost Year 10'!AH113*'1. Standard_Cost'!$C$27+'Incremental_Cost Year 10'!AI113*'1. Standard_Cost'!$D$27+'Incremental_Cost Year 10'!AJ113+'Incremental_Cost Year 10'!AL113+AK113</f>
        <v>0</v>
      </c>
      <c r="AN113" s="127">
        <f>AM113*'1. Standard_Cost'!$C$31</f>
        <v>0</v>
      </c>
      <c r="AO113" s="130"/>
      <c r="AQ113" s="171">
        <f>L113+M113</f>
        <v>823435.2</v>
      </c>
      <c r="AR113" s="171">
        <f>AF113</f>
        <v>118680</v>
      </c>
      <c r="AS113" s="171">
        <f>AM113+AN113</f>
        <v>0</v>
      </c>
      <c r="AT113" s="171">
        <f>SUM(AQ113,AR113,AS113)</f>
        <v>942115.2</v>
      </c>
      <c r="AU113" s="250">
        <v>942115</v>
      </c>
      <c r="AV113" s="250"/>
      <c r="AW113" s="250"/>
      <c r="AX113" s="250"/>
      <c r="AY113" s="250"/>
      <c r="AZ113" s="250"/>
      <c r="BA113" s="250"/>
      <c r="BB113" s="251">
        <f t="shared" si="74"/>
        <v>-0.19999999995343387</v>
      </c>
      <c r="BC113" s="169"/>
      <c r="BD113" s="169"/>
      <c r="BE113" s="169"/>
      <c r="BF113" s="169"/>
    </row>
    <row r="114" spans="1:58" ht="78.75" outlineLevel="2" x14ac:dyDescent="0.25">
      <c r="A114" s="115"/>
      <c r="B114" s="200"/>
      <c r="C114" s="201"/>
      <c r="D114" s="203"/>
      <c r="E114" s="323"/>
      <c r="F114" s="308"/>
      <c r="G114" s="309"/>
      <c r="H114" s="199" t="s">
        <v>547</v>
      </c>
      <c r="I114" s="130" t="s">
        <v>4</v>
      </c>
      <c r="J114" s="126">
        <v>2</v>
      </c>
      <c r="K114" s="126">
        <v>7</v>
      </c>
      <c r="L114" s="125">
        <f>IF(I114&lt;&gt;0,((VLOOKUP(I114,'1. Standard_Cost'!$B$4:$D$11,2)+VLOOKUP(I114,'1. Standard_Cost'!$B$4:$D$11,3))*J114*K114),"0")</f>
        <v>1130500</v>
      </c>
      <c r="M114" s="125">
        <f>L114*'1. Standard_Cost'!$F$4</f>
        <v>188793.5</v>
      </c>
      <c r="N114" s="126"/>
      <c r="O114" s="126"/>
      <c r="P114" s="126"/>
      <c r="Q114" s="126"/>
      <c r="R114" s="127">
        <f>'1. Standard_Cost'!$B$15*N114*P114</f>
        <v>0</v>
      </c>
      <c r="S114" s="127">
        <f>N114*O114*P114*'1. Standard_Cost'!$C$15</f>
        <v>0</v>
      </c>
      <c r="T114" s="127">
        <f>N114*P114*Q114*'1. Standard_Cost'!$D$15</f>
        <v>0</v>
      </c>
      <c r="U114" s="127">
        <f>N114*O114*'1. Standard_Cost'!$E$15</f>
        <v>0</v>
      </c>
      <c r="V114" s="126"/>
      <c r="W114" s="126"/>
      <c r="X114" s="126"/>
      <c r="Y114" s="127">
        <f>+V114*((X114*'1. Standard_Cost'!$B$19)+(W114*X114*'1. Standard_Cost'!$C$19))</f>
        <v>0</v>
      </c>
      <c r="Z114" s="126"/>
      <c r="AA114" s="126">
        <v>25</v>
      </c>
      <c r="AB114" s="127">
        <f>+Z114*'1. Standard_Cost'!$B$23+AA114*'1. Standard_Cost'!$C$23</f>
        <v>475000</v>
      </c>
      <c r="AC114" s="128">
        <v>158320</v>
      </c>
      <c r="AD114" s="129"/>
      <c r="AE114" s="127">
        <f>SUM(AD114,AC114,AB114,Y114,U114,T114,S114,R114)*'1. Standard_Cost'!$B$31</f>
        <v>126664</v>
      </c>
      <c r="AF114" s="127">
        <f>SUM(AE114,AD114,AC114,AB114,Y114,U114,T114,S114,R114)</f>
        <v>759984</v>
      </c>
      <c r="AG114" s="126"/>
      <c r="AH114" s="126"/>
      <c r="AI114" s="126"/>
      <c r="AJ114" s="130"/>
      <c r="AK114" s="130"/>
      <c r="AL114" s="130"/>
      <c r="AM114" s="127">
        <f>AG114*'1. Standard_Cost'!$B$27+'Incremental_Cost Year 10'!AH114*'1. Standard_Cost'!$C$27+'Incremental_Cost Year 10'!AI114*'1. Standard_Cost'!$D$27+'Incremental_Cost Year 10'!AJ114+'Incremental_Cost Year 10'!AL114+AK114</f>
        <v>0</v>
      </c>
      <c r="AN114" s="127">
        <f>AM114*'1. Standard_Cost'!$C$31</f>
        <v>0</v>
      </c>
      <c r="AO114" s="130"/>
      <c r="AQ114" s="171">
        <f>L114+M114</f>
        <v>1319293.5</v>
      </c>
      <c r="AR114" s="171">
        <f>AF114</f>
        <v>759984</v>
      </c>
      <c r="AS114" s="171">
        <f>AM114+AN114</f>
        <v>0</v>
      </c>
      <c r="AT114" s="171">
        <f>SUM(AQ114,AR114,AS114)</f>
        <v>2079277.5</v>
      </c>
      <c r="AU114" s="250">
        <v>1509278</v>
      </c>
      <c r="AV114" s="250"/>
      <c r="AW114" s="250"/>
      <c r="AX114" s="250"/>
      <c r="AY114" s="250"/>
      <c r="AZ114" s="250"/>
      <c r="BA114" s="250"/>
      <c r="BB114" s="251">
        <f t="shared" si="74"/>
        <v>-569999.5</v>
      </c>
      <c r="BC114" s="169"/>
      <c r="BD114" s="169"/>
      <c r="BE114" s="169"/>
      <c r="BF114" s="169"/>
    </row>
    <row r="115" spans="1:58" ht="31.5" outlineLevel="2" x14ac:dyDescent="0.25">
      <c r="A115" s="115"/>
      <c r="B115" s="200"/>
      <c r="C115" s="201"/>
      <c r="D115" s="203"/>
      <c r="E115" s="323"/>
      <c r="F115" s="308"/>
      <c r="G115" s="309"/>
      <c r="H115" s="213" t="s">
        <v>279</v>
      </c>
      <c r="I115" s="130"/>
      <c r="J115" s="126"/>
      <c r="K115" s="126"/>
      <c r="L115" s="125" t="str">
        <f>IF(I115&lt;&gt;0,((VLOOKUP(I115,'1. Standard_Cost'!$B$4:$D$11,2)+VLOOKUP(I115,'1. Standard_Cost'!$B$4:$D$11,3))*J115*K115),"0")</f>
        <v>0</v>
      </c>
      <c r="M115" s="125">
        <f>L115*'1. Standard_Cost'!$F$4</f>
        <v>0</v>
      </c>
      <c r="N115" s="126"/>
      <c r="O115" s="126"/>
      <c r="P115" s="126"/>
      <c r="Q115" s="126"/>
      <c r="R115" s="127">
        <f>'1. Standard_Cost'!$B$15*N115*P115</f>
        <v>0</v>
      </c>
      <c r="S115" s="127">
        <f>N115*O115*P115*'1. Standard_Cost'!$C$15</f>
        <v>0</v>
      </c>
      <c r="T115" s="127">
        <f>N115*P115*Q115*'1. Standard_Cost'!$D$15</f>
        <v>0</v>
      </c>
      <c r="U115" s="127">
        <f>N115*O115*'1. Standard_Cost'!$E$15</f>
        <v>0</v>
      </c>
      <c r="V115" s="126"/>
      <c r="W115" s="126"/>
      <c r="X115" s="126"/>
      <c r="Y115" s="127">
        <f>+V115*((X115*'1. Standard_Cost'!$B$19)+(W115*X115*'1. Standard_Cost'!$C$19))</f>
        <v>0</v>
      </c>
      <c r="Z115" s="126"/>
      <c r="AA115" s="126"/>
      <c r="AB115" s="127">
        <f>+Z115*'1. Standard_Cost'!$B$23+AA115*'1. Standard_Cost'!$C$23</f>
        <v>0</v>
      </c>
      <c r="AC115" s="128"/>
      <c r="AD115" s="129"/>
      <c r="AE115" s="127">
        <f>SUM(AD115,AC115,AB115,Y115,U115,T115,S115,R115)*'1. Standard_Cost'!$B$31</f>
        <v>0</v>
      </c>
      <c r="AF115" s="127">
        <f>SUM(AE115,AD115,AC115,AB115,Y115,U115,T115,S115,R115)</f>
        <v>0</v>
      </c>
      <c r="AG115" s="126"/>
      <c r="AH115" s="126"/>
      <c r="AI115" s="126"/>
      <c r="AJ115" s="130"/>
      <c r="AK115" s="130"/>
      <c r="AL115" s="130"/>
      <c r="AM115" s="127">
        <f>AG115*'1. Standard_Cost'!$B$27+'Incremental_Cost Year 10'!AH115*'1. Standard_Cost'!$C$27+'Incremental_Cost Year 10'!AI115*'1. Standard_Cost'!$D$27+'Incremental_Cost Year 10'!AJ115+'Incremental_Cost Year 10'!AL115+AK115</f>
        <v>0</v>
      </c>
      <c r="AN115" s="127">
        <f>AM115*'1. Standard_Cost'!$C$31</f>
        <v>0</v>
      </c>
      <c r="AO115" s="130"/>
      <c r="AQ115" s="171">
        <f>L115+M115</f>
        <v>0</v>
      </c>
      <c r="AR115" s="171">
        <f>AF115</f>
        <v>0</v>
      </c>
      <c r="AS115" s="171">
        <f>AM115+AN115</f>
        <v>0</v>
      </c>
      <c r="AT115" s="171">
        <f>SUM(AQ115,AR115,AS115)</f>
        <v>0</v>
      </c>
      <c r="AU115" s="250"/>
      <c r="AV115" s="250"/>
      <c r="AW115" s="250"/>
      <c r="AX115" s="250"/>
      <c r="AY115" s="250"/>
      <c r="AZ115" s="250"/>
      <c r="BA115" s="250"/>
      <c r="BB115" s="251">
        <f t="shared" si="74"/>
        <v>0</v>
      </c>
      <c r="BC115" s="169"/>
      <c r="BD115" s="169"/>
      <c r="BE115" s="169"/>
      <c r="BF115" s="169"/>
    </row>
    <row r="116" spans="1:58" ht="47.25" outlineLevel="2" x14ac:dyDescent="0.25">
      <c r="A116" s="115"/>
      <c r="B116" s="200"/>
      <c r="C116" s="201"/>
      <c r="D116" s="211"/>
      <c r="E116" s="322"/>
      <c r="F116" s="311"/>
      <c r="G116" s="312"/>
      <c r="H116" s="199" t="s">
        <v>442</v>
      </c>
      <c r="I116" s="130"/>
      <c r="J116" s="126"/>
      <c r="K116" s="126"/>
      <c r="L116" s="125" t="str">
        <f>IF(I116&lt;&gt;0,((VLOOKUP(I116,'1. Standard_Cost'!$B$4:$D$11,2)+VLOOKUP(I116,'1. Standard_Cost'!$B$4:$D$11,3))*J116*K116),"0")</f>
        <v>0</v>
      </c>
      <c r="M116" s="125">
        <f>L116*'1. Standard_Cost'!$F$4</f>
        <v>0</v>
      </c>
      <c r="N116" s="126"/>
      <c r="O116" s="126"/>
      <c r="P116" s="126"/>
      <c r="Q116" s="126"/>
      <c r="R116" s="127">
        <f>'1. Standard_Cost'!$B$15*N116*P116</f>
        <v>0</v>
      </c>
      <c r="S116" s="127">
        <f>N116*O116*P116*'1. Standard_Cost'!$C$15</f>
        <v>0</v>
      </c>
      <c r="T116" s="127">
        <f>N116*P116*Q116*'1. Standard_Cost'!$D$15</f>
        <v>0</v>
      </c>
      <c r="U116" s="127">
        <f>N116*O116*'1. Standard_Cost'!$E$15</f>
        <v>0</v>
      </c>
      <c r="V116" s="126"/>
      <c r="W116" s="126"/>
      <c r="X116" s="126"/>
      <c r="Y116" s="127">
        <f>+V116*((X116*'1. Standard_Cost'!$B$19)+(W116*X116*'1. Standard_Cost'!$C$19))</f>
        <v>0</v>
      </c>
      <c r="Z116" s="126"/>
      <c r="AA116" s="126"/>
      <c r="AB116" s="127">
        <f>+Z116*'1. Standard_Cost'!$B$23+AA116*'1. Standard_Cost'!$C$23</f>
        <v>0</v>
      </c>
      <c r="AC116" s="128"/>
      <c r="AD116" s="129"/>
      <c r="AE116" s="127">
        <f>SUM(AD116,AC116,AB116,Y116,U116,T116,S116,R116)*'1. Standard_Cost'!$B$31</f>
        <v>0</v>
      </c>
      <c r="AF116" s="127">
        <f>SUM(AE116,AD116,AC116,AB116,Y116,U116,T116,S116,R116)</f>
        <v>0</v>
      </c>
      <c r="AG116" s="126"/>
      <c r="AH116" s="126"/>
      <c r="AI116" s="126"/>
      <c r="AJ116" s="130"/>
      <c r="AK116" s="130"/>
      <c r="AL116" s="130"/>
      <c r="AM116" s="127">
        <f>AG116*'1. Standard_Cost'!$B$27+'Incremental_Cost Year 10'!AH116*'1. Standard_Cost'!$C$27+'Incremental_Cost Year 10'!AI116*'1. Standard_Cost'!$D$27+'Incremental_Cost Year 10'!AJ116+'Incremental_Cost Year 10'!AL116+AK116</f>
        <v>0</v>
      </c>
      <c r="AN116" s="127">
        <f>AM116*'1. Standard_Cost'!$C$31</f>
        <v>0</v>
      </c>
      <c r="AO116" s="130"/>
      <c r="AQ116" s="171">
        <f>L116+M116</f>
        <v>0</v>
      </c>
      <c r="AR116" s="171">
        <f>AF116</f>
        <v>0</v>
      </c>
      <c r="AS116" s="171">
        <f>AM116+AN116</f>
        <v>0</v>
      </c>
      <c r="AT116" s="171">
        <f>SUM(AQ116,AR116,AS116)</f>
        <v>0</v>
      </c>
      <c r="AU116" s="250"/>
      <c r="AV116" s="250"/>
      <c r="AW116" s="250"/>
      <c r="AX116" s="250"/>
      <c r="AY116" s="250"/>
      <c r="AZ116" s="250"/>
      <c r="BA116" s="250"/>
      <c r="BB116" s="251">
        <f t="shared" si="74"/>
        <v>0</v>
      </c>
      <c r="BC116" s="169"/>
      <c r="BD116" s="169"/>
      <c r="BE116" s="169"/>
      <c r="BF116" s="169"/>
    </row>
    <row r="117" spans="1:58" ht="47.25" outlineLevel="1" x14ac:dyDescent="0.25">
      <c r="A117" s="115"/>
      <c r="B117" s="165"/>
      <c r="C117" s="166"/>
      <c r="D117" s="229" t="s">
        <v>432</v>
      </c>
      <c r="E117" s="212" t="s">
        <v>280</v>
      </c>
      <c r="F117" s="136">
        <v>2021</v>
      </c>
      <c r="G117" s="117">
        <v>2030</v>
      </c>
      <c r="H117" s="110" t="s">
        <v>281</v>
      </c>
      <c r="I117" s="252"/>
      <c r="J117" s="252"/>
      <c r="K117" s="252"/>
      <c r="L117" s="127">
        <f>SUM(L112:L116)</f>
        <v>2562100</v>
      </c>
      <c r="M117" s="127">
        <f>SUM(M112:M116)</f>
        <v>427870.7</v>
      </c>
      <c r="N117" s="127"/>
      <c r="O117" s="252"/>
      <c r="P117" s="252"/>
      <c r="Q117" s="252"/>
      <c r="R117" s="127">
        <f>SUM(R112:R116)</f>
        <v>0</v>
      </c>
      <c r="S117" s="127">
        <f>SUM(S112:S116)</f>
        <v>0</v>
      </c>
      <c r="T117" s="127">
        <f>SUM(T112:T116)</f>
        <v>0</v>
      </c>
      <c r="U117" s="127">
        <f>SUM(U112:U116)</f>
        <v>0</v>
      </c>
      <c r="V117" s="252"/>
      <c r="W117" s="252"/>
      <c r="X117" s="252"/>
      <c r="Y117" s="127">
        <f>SUM(Y112:Y116)</f>
        <v>0</v>
      </c>
      <c r="Z117" s="252"/>
      <c r="AA117" s="252"/>
      <c r="AB117" s="127">
        <f>SUM(AB112:AB116)</f>
        <v>475000</v>
      </c>
      <c r="AC117" s="127">
        <f>SUM(AC112:AC116)</f>
        <v>358920</v>
      </c>
      <c r="AD117" s="127">
        <f>SUM(AD112:AD116)</f>
        <v>0</v>
      </c>
      <c r="AE117" s="127">
        <f>SUM(AE112:AE116)</f>
        <v>166784</v>
      </c>
      <c r="AF117" s="127">
        <f>SUM(AF112:AF116)</f>
        <v>1000704</v>
      </c>
      <c r="AG117" s="252"/>
      <c r="AH117" s="252"/>
      <c r="AI117" s="252"/>
      <c r="AJ117" s="127">
        <f>SUM(AJ112:AJ116)</f>
        <v>0</v>
      </c>
      <c r="AK117" s="127">
        <f>SUM(AK112:AK116)</f>
        <v>0</v>
      </c>
      <c r="AL117" s="127">
        <f>SUM(AL112:AL116)</f>
        <v>0</v>
      </c>
      <c r="AM117" s="127">
        <f>SUM(AM112:AM116)</f>
        <v>0</v>
      </c>
      <c r="AN117" s="127">
        <f>SUM(AN112:AN116)</f>
        <v>0</v>
      </c>
      <c r="AO117" s="253"/>
      <c r="AP117" s="254"/>
      <c r="AQ117" s="175">
        <f>SUM(AQ112:AQ116)</f>
        <v>2989970.7</v>
      </c>
      <c r="AR117" s="175">
        <f>SUM(AR112:AR116)</f>
        <v>1000704</v>
      </c>
      <c r="AS117" s="175">
        <f>SUM(AS112:AS116)</f>
        <v>0</v>
      </c>
      <c r="AT117" s="175">
        <f>SUM(AT112:AT116)</f>
        <v>3990674.7</v>
      </c>
      <c r="AU117" s="175">
        <f t="shared" ref="AU117:BB117" si="75">SUM(AU112:AU116)</f>
        <v>3420675</v>
      </c>
      <c r="AV117" s="175">
        <f t="shared" si="75"/>
        <v>0</v>
      </c>
      <c r="AW117" s="175">
        <f t="shared" si="75"/>
        <v>0</v>
      </c>
      <c r="AX117" s="175">
        <f t="shared" si="75"/>
        <v>0</v>
      </c>
      <c r="AY117" s="175">
        <f t="shared" si="75"/>
        <v>0</v>
      </c>
      <c r="AZ117" s="175">
        <f t="shared" si="75"/>
        <v>0</v>
      </c>
      <c r="BA117" s="175">
        <f t="shared" si="75"/>
        <v>0</v>
      </c>
      <c r="BB117" s="175">
        <f t="shared" si="75"/>
        <v>-569999.69999999995</v>
      </c>
      <c r="BC117" s="169"/>
      <c r="BD117" s="169"/>
      <c r="BE117" s="169"/>
      <c r="BF117" s="169"/>
    </row>
    <row r="118" spans="1:58" s="184" customFormat="1" ht="15.75" customHeight="1" x14ac:dyDescent="0.25">
      <c r="A118" s="143"/>
      <c r="B118" s="290"/>
      <c r="C118" s="391" t="s">
        <v>282</v>
      </c>
      <c r="D118" s="391"/>
      <c r="E118" s="392"/>
      <c r="F118" s="291"/>
      <c r="G118" s="291"/>
      <c r="H118" s="144" t="s">
        <v>266</v>
      </c>
      <c r="I118" s="257"/>
      <c r="J118" s="257"/>
      <c r="K118" s="257"/>
      <c r="L118" s="258">
        <f>SUM(L122)</f>
        <v>0</v>
      </c>
      <c r="M118" s="258">
        <f>SUM(M122)</f>
        <v>0</v>
      </c>
      <c r="N118" s="257"/>
      <c r="O118" s="257"/>
      <c r="P118" s="257"/>
      <c r="Q118" s="257"/>
      <c r="R118" s="258">
        <f>SUM(R122)</f>
        <v>0</v>
      </c>
      <c r="S118" s="258">
        <f>SUM(S122)</f>
        <v>0</v>
      </c>
      <c r="T118" s="258">
        <f>SUM(T122)</f>
        <v>0</v>
      </c>
      <c r="U118" s="258">
        <f>SUM(U122)</f>
        <v>0</v>
      </c>
      <c r="V118" s="257"/>
      <c r="W118" s="257"/>
      <c r="X118" s="257"/>
      <c r="Y118" s="258">
        <f>SUM(Y122)</f>
        <v>0</v>
      </c>
      <c r="Z118" s="258"/>
      <c r="AA118" s="258"/>
      <c r="AB118" s="258">
        <f>SUM(AB122)</f>
        <v>0</v>
      </c>
      <c r="AC118" s="258">
        <f>SUM(AC122)</f>
        <v>0</v>
      </c>
      <c r="AD118" s="258">
        <f>SUM(AD122)</f>
        <v>0</v>
      </c>
      <c r="AE118" s="258">
        <f>SUM(AE122)</f>
        <v>0</v>
      </c>
      <c r="AF118" s="258">
        <f>SUM(AF122)</f>
        <v>0</v>
      </c>
      <c r="AG118" s="257"/>
      <c r="AH118" s="257"/>
      <c r="AI118" s="257"/>
      <c r="AJ118" s="258">
        <f>SUM(AJ122)</f>
        <v>0</v>
      </c>
      <c r="AK118" s="258">
        <f>SUM(AK122)</f>
        <v>0</v>
      </c>
      <c r="AL118" s="258">
        <f>SUM(AL122)</f>
        <v>0</v>
      </c>
      <c r="AM118" s="258">
        <f>SUM(AM122)</f>
        <v>0</v>
      </c>
      <c r="AN118" s="258">
        <f>SUM(AN122)</f>
        <v>0</v>
      </c>
      <c r="AO118" s="259"/>
      <c r="AP118" s="260"/>
      <c r="AQ118" s="261">
        <f>SUM(AQ122)</f>
        <v>0</v>
      </c>
      <c r="AR118" s="261">
        <f>SUM(AR122)</f>
        <v>0</v>
      </c>
      <c r="AS118" s="261">
        <f>SUM(AS122)</f>
        <v>0</v>
      </c>
      <c r="AT118" s="261">
        <f>SUM(AT122)</f>
        <v>0</v>
      </c>
      <c r="AU118" s="261">
        <f t="shared" ref="AU118:BA118" si="76">SUM(AU122)</f>
        <v>0</v>
      </c>
      <c r="AV118" s="261">
        <f t="shared" si="76"/>
        <v>0</v>
      </c>
      <c r="AW118" s="261">
        <f t="shared" si="76"/>
        <v>0</v>
      </c>
      <c r="AX118" s="261">
        <f t="shared" si="76"/>
        <v>0</v>
      </c>
      <c r="AY118" s="261">
        <f t="shared" si="76"/>
        <v>0</v>
      </c>
      <c r="AZ118" s="261">
        <f t="shared" si="76"/>
        <v>0</v>
      </c>
      <c r="BA118" s="261">
        <f t="shared" si="76"/>
        <v>0</v>
      </c>
      <c r="BB118" s="261">
        <f>SUM(BB122)</f>
        <v>0</v>
      </c>
    </row>
    <row r="119" spans="1:58" ht="94.5" outlineLevel="2" x14ac:dyDescent="0.25">
      <c r="A119" s="115"/>
      <c r="B119" s="200"/>
      <c r="C119" s="201"/>
      <c r="D119" s="348"/>
      <c r="E119" s="321"/>
      <c r="F119" s="306"/>
      <c r="G119" s="307"/>
      <c r="H119" s="199" t="s">
        <v>443</v>
      </c>
      <c r="I119" s="130"/>
      <c r="J119" s="126"/>
      <c r="K119" s="126"/>
      <c r="L119" s="125" t="str">
        <f>IF(I119&lt;&gt;0,((VLOOKUP(I119,'1. Standard_Cost'!$B$4:$D$11,2)+VLOOKUP(I119,'1. Standard_Cost'!$B$4:$D$11,3))*J119*K119),"0")</f>
        <v>0</v>
      </c>
      <c r="M119" s="125">
        <f>L119*'1. Standard_Cost'!$F$4</f>
        <v>0</v>
      </c>
      <c r="N119" s="126"/>
      <c r="O119" s="126"/>
      <c r="P119" s="126"/>
      <c r="Q119" s="126"/>
      <c r="R119" s="127">
        <f>'1. Standard_Cost'!$B$15*N119*P119</f>
        <v>0</v>
      </c>
      <c r="S119" s="127">
        <f>N119*O119*P119*'1. Standard_Cost'!$C$15</f>
        <v>0</v>
      </c>
      <c r="T119" s="127">
        <f>N119*P119*Q119*'1. Standard_Cost'!$D$15</f>
        <v>0</v>
      </c>
      <c r="U119" s="127">
        <f>N119*O119*'1. Standard_Cost'!$E$15</f>
        <v>0</v>
      </c>
      <c r="V119" s="126"/>
      <c r="W119" s="126"/>
      <c r="X119" s="126"/>
      <c r="Y119" s="127">
        <f>+V119*((X119*'1. Standard_Cost'!$B$19)+(W119*X119*'1. Standard_Cost'!$C$19))</f>
        <v>0</v>
      </c>
      <c r="Z119" s="126"/>
      <c r="AA119" s="126"/>
      <c r="AB119" s="127">
        <f>+Z119*'1. Standard_Cost'!$B$23+AA119*'1. Standard_Cost'!$C$23</f>
        <v>0</v>
      </c>
      <c r="AC119" s="128"/>
      <c r="AD119" s="129"/>
      <c r="AE119" s="127">
        <f>SUM(AD119,AC119,AB119,Y119,U119,T119,S119,R119)*'1. Standard_Cost'!$B$31</f>
        <v>0</v>
      </c>
      <c r="AF119" s="127">
        <f>SUM(AE119,AD119,AC119,AB119,Y119,U119,T119,S119,R119)</f>
        <v>0</v>
      </c>
      <c r="AG119" s="126"/>
      <c r="AH119" s="126"/>
      <c r="AI119" s="126"/>
      <c r="AJ119" s="130"/>
      <c r="AK119" s="130"/>
      <c r="AL119" s="130"/>
      <c r="AM119" s="127">
        <f>AG119*'1. Standard_Cost'!$B$27+'Incremental_Cost Year 10'!AH119*'1. Standard_Cost'!$C$27+'Incremental_Cost Year 10'!AI119*'1. Standard_Cost'!$D$27+'Incremental_Cost Year 10'!AJ119+'Incremental_Cost Year 10'!AL119+AK119</f>
        <v>0</v>
      </c>
      <c r="AN119" s="127">
        <f>AM119*'1. Standard_Cost'!$C$31</f>
        <v>0</v>
      </c>
      <c r="AO119" s="130"/>
      <c r="AQ119" s="171">
        <f>L119+M119</f>
        <v>0</v>
      </c>
      <c r="AR119" s="171">
        <f>AF119</f>
        <v>0</v>
      </c>
      <c r="AS119" s="171">
        <f>AM119+AN119</f>
        <v>0</v>
      </c>
      <c r="AT119" s="171">
        <f>SUM(AQ119,AR119,AS119)</f>
        <v>0</v>
      </c>
      <c r="AU119" s="250"/>
      <c r="AV119" s="250"/>
      <c r="AW119" s="250"/>
      <c r="AX119" s="250"/>
      <c r="AY119" s="250"/>
      <c r="AZ119" s="250"/>
      <c r="BA119" s="250"/>
      <c r="BB119" s="251">
        <f t="shared" ref="BB119:BB121" si="77">SUM(AU119:BA119)-AT119</f>
        <v>0</v>
      </c>
      <c r="BC119" s="169"/>
      <c r="BD119" s="169"/>
      <c r="BE119" s="169"/>
      <c r="BF119" s="169"/>
    </row>
    <row r="120" spans="1:58" ht="110.25" outlineLevel="2" x14ac:dyDescent="0.25">
      <c r="A120" s="115"/>
      <c r="B120" s="200"/>
      <c r="C120" s="201"/>
      <c r="D120" s="132"/>
      <c r="E120" s="323"/>
      <c r="F120" s="308"/>
      <c r="G120" s="309"/>
      <c r="H120" s="199" t="s">
        <v>444</v>
      </c>
      <c r="I120" s="130"/>
      <c r="J120" s="126"/>
      <c r="K120" s="126"/>
      <c r="L120" s="125" t="str">
        <f>IF(I120&lt;&gt;0,((VLOOKUP(I120,'1. Standard_Cost'!$B$4:$D$11,2)+VLOOKUP(I120,'1. Standard_Cost'!$B$4:$D$11,3))*J120*K120),"0")</f>
        <v>0</v>
      </c>
      <c r="M120" s="125">
        <f>L120*'1. Standard_Cost'!$F$4</f>
        <v>0</v>
      </c>
      <c r="N120" s="126"/>
      <c r="O120" s="126"/>
      <c r="P120" s="126"/>
      <c r="Q120" s="126"/>
      <c r="R120" s="127">
        <f>'1. Standard_Cost'!$B$15*N120*P120</f>
        <v>0</v>
      </c>
      <c r="S120" s="127">
        <f>N120*O120*P120*'1. Standard_Cost'!$C$15</f>
        <v>0</v>
      </c>
      <c r="T120" s="127">
        <f>N120*P120*Q120*'1. Standard_Cost'!$D$15</f>
        <v>0</v>
      </c>
      <c r="U120" s="127">
        <f>N120*O120*'1. Standard_Cost'!$E$15</f>
        <v>0</v>
      </c>
      <c r="V120" s="126"/>
      <c r="W120" s="126"/>
      <c r="X120" s="126"/>
      <c r="Y120" s="127">
        <f>+V120*((X120*'1. Standard_Cost'!$B$19)+(W120*X120*'1. Standard_Cost'!$C$19))</f>
        <v>0</v>
      </c>
      <c r="Z120" s="126"/>
      <c r="AA120" s="126"/>
      <c r="AB120" s="127">
        <f>+Z120*'1. Standard_Cost'!$B$23+AA120*'1. Standard_Cost'!$C$23</f>
        <v>0</v>
      </c>
      <c r="AC120" s="128"/>
      <c r="AD120" s="129"/>
      <c r="AE120" s="127">
        <f>SUM(AD120,AC120,AB120,Y120,U120,T120,S120,R120)*'1. Standard_Cost'!$B$31</f>
        <v>0</v>
      </c>
      <c r="AF120" s="127">
        <f>SUM(AE120,AD120,AC120,AB120,Y120,U120,T120,S120,R120)</f>
        <v>0</v>
      </c>
      <c r="AG120" s="126"/>
      <c r="AH120" s="126"/>
      <c r="AI120" s="126"/>
      <c r="AJ120" s="130"/>
      <c r="AK120" s="130"/>
      <c r="AL120" s="130"/>
      <c r="AM120" s="127">
        <f>AG120*'1. Standard_Cost'!$B$27+'Incremental_Cost Year 10'!AH120*'1. Standard_Cost'!$C$27+'Incremental_Cost Year 10'!AI120*'1. Standard_Cost'!$D$27+'Incremental_Cost Year 10'!AJ120+'Incremental_Cost Year 10'!AL120+AK120</f>
        <v>0</v>
      </c>
      <c r="AN120" s="127">
        <f>AM120*'1. Standard_Cost'!$C$31</f>
        <v>0</v>
      </c>
      <c r="AO120" s="130"/>
      <c r="AQ120" s="171">
        <f>L120+M120</f>
        <v>0</v>
      </c>
      <c r="AR120" s="171">
        <f>AF120</f>
        <v>0</v>
      </c>
      <c r="AS120" s="171">
        <f>AM120+AN120</f>
        <v>0</v>
      </c>
      <c r="AT120" s="171">
        <f>SUM(AQ120,AR120,AS120)</f>
        <v>0</v>
      </c>
      <c r="AU120" s="250"/>
      <c r="AV120" s="250"/>
      <c r="AW120" s="250"/>
      <c r="AX120" s="250"/>
      <c r="AY120" s="250"/>
      <c r="AZ120" s="250"/>
      <c r="BA120" s="250"/>
      <c r="BB120" s="251">
        <f t="shared" si="77"/>
        <v>0</v>
      </c>
      <c r="BC120" s="169"/>
      <c r="BD120" s="169"/>
      <c r="BE120" s="169"/>
      <c r="BF120" s="169"/>
    </row>
    <row r="121" spans="1:58" ht="126" outlineLevel="2" x14ac:dyDescent="0.25">
      <c r="A121" s="115"/>
      <c r="B121" s="200"/>
      <c r="C121" s="201"/>
      <c r="D121" s="349"/>
      <c r="E121" s="322"/>
      <c r="F121" s="311"/>
      <c r="G121" s="312"/>
      <c r="H121" s="199" t="s">
        <v>445</v>
      </c>
      <c r="I121" s="130"/>
      <c r="J121" s="126"/>
      <c r="K121" s="126"/>
      <c r="L121" s="125" t="str">
        <f>IF(I121&lt;&gt;0,((VLOOKUP(I121,'1. Standard_Cost'!$B$4:$D$11,2)+VLOOKUP(I121,'1. Standard_Cost'!$B$4:$D$11,3))*J121*K121),"0")</f>
        <v>0</v>
      </c>
      <c r="M121" s="125">
        <f>L121*'1. Standard_Cost'!$F$4</f>
        <v>0</v>
      </c>
      <c r="N121" s="126"/>
      <c r="O121" s="126"/>
      <c r="P121" s="126"/>
      <c r="Q121" s="126"/>
      <c r="R121" s="127">
        <f>'1. Standard_Cost'!$B$15*N121*P121</f>
        <v>0</v>
      </c>
      <c r="S121" s="127">
        <f>N121*O121*P121*'1. Standard_Cost'!$C$15</f>
        <v>0</v>
      </c>
      <c r="T121" s="127">
        <f>N121*P121*Q121*'1. Standard_Cost'!$D$15</f>
        <v>0</v>
      </c>
      <c r="U121" s="127">
        <f>N121*O121*'1. Standard_Cost'!$E$15</f>
        <v>0</v>
      </c>
      <c r="V121" s="126"/>
      <c r="W121" s="126"/>
      <c r="X121" s="126"/>
      <c r="Y121" s="127">
        <f>+V121*((X121*'1. Standard_Cost'!$B$19)+(W121*X121*'1. Standard_Cost'!$C$19))</f>
        <v>0</v>
      </c>
      <c r="Z121" s="126"/>
      <c r="AA121" s="126"/>
      <c r="AB121" s="127">
        <f>+Z121*'1. Standard_Cost'!$B$23+AA121*'1. Standard_Cost'!$C$23</f>
        <v>0</v>
      </c>
      <c r="AC121" s="128"/>
      <c r="AD121" s="129"/>
      <c r="AE121" s="127">
        <f>SUM(AD121,AC121,AB121,Y121,U121,T121,S121,R121)*'1. Standard_Cost'!$B$31</f>
        <v>0</v>
      </c>
      <c r="AF121" s="127">
        <f>SUM(AE121,AD121,AC121,AB121,Y121,U121,T121,S121,R121)</f>
        <v>0</v>
      </c>
      <c r="AG121" s="126"/>
      <c r="AH121" s="126"/>
      <c r="AI121" s="126"/>
      <c r="AJ121" s="130"/>
      <c r="AK121" s="130"/>
      <c r="AL121" s="130"/>
      <c r="AM121" s="127">
        <f>AG121*'1. Standard_Cost'!$B$27+'Incremental_Cost Year 10'!AH121*'1. Standard_Cost'!$C$27+'Incremental_Cost Year 10'!AI121*'1. Standard_Cost'!$D$27+'Incremental_Cost Year 10'!AJ121+'Incremental_Cost Year 10'!AL121+AK121</f>
        <v>0</v>
      </c>
      <c r="AN121" s="127">
        <f>AM121*'1. Standard_Cost'!$C$31</f>
        <v>0</v>
      </c>
      <c r="AO121" s="130"/>
      <c r="AQ121" s="171">
        <f>L121+M121</f>
        <v>0</v>
      </c>
      <c r="AR121" s="171">
        <f>AF121</f>
        <v>0</v>
      </c>
      <c r="AS121" s="171">
        <f>AM121+AN121</f>
        <v>0</v>
      </c>
      <c r="AT121" s="171">
        <f>SUM(AQ121,AR121,AS121)</f>
        <v>0</v>
      </c>
      <c r="AU121" s="250"/>
      <c r="AV121" s="250"/>
      <c r="AW121" s="250"/>
      <c r="AX121" s="250"/>
      <c r="AY121" s="250"/>
      <c r="AZ121" s="250"/>
      <c r="BA121" s="250"/>
      <c r="BB121" s="251">
        <f t="shared" si="77"/>
        <v>0</v>
      </c>
      <c r="BC121" s="169"/>
      <c r="BD121" s="169"/>
      <c r="BE121" s="169"/>
      <c r="BF121" s="169"/>
    </row>
    <row r="122" spans="1:58" ht="63" outlineLevel="1" x14ac:dyDescent="0.25">
      <c r="A122" s="115"/>
      <c r="B122" s="200"/>
      <c r="C122" s="201"/>
      <c r="D122" s="146" t="s">
        <v>432</v>
      </c>
      <c r="E122" s="212" t="s">
        <v>283</v>
      </c>
      <c r="F122" s="136">
        <v>2022</v>
      </c>
      <c r="G122" s="117">
        <v>2025</v>
      </c>
      <c r="H122" s="110" t="s">
        <v>268</v>
      </c>
      <c r="I122" s="252"/>
      <c r="J122" s="252"/>
      <c r="K122" s="252"/>
      <c r="L122" s="127">
        <f>SUM(L119:L121)</f>
        <v>0</v>
      </c>
      <c r="M122" s="127">
        <f>SUM(M119:M121)</f>
        <v>0</v>
      </c>
      <c r="N122" s="127"/>
      <c r="O122" s="252"/>
      <c r="P122" s="252"/>
      <c r="Q122" s="252"/>
      <c r="R122" s="127">
        <f>SUM(R119:R121)</f>
        <v>0</v>
      </c>
      <c r="S122" s="127">
        <f>SUM(S119:S121)</f>
        <v>0</v>
      </c>
      <c r="T122" s="127">
        <f>SUM(T119:T121)</f>
        <v>0</v>
      </c>
      <c r="U122" s="127">
        <f>SUM(U119:U121)</f>
        <v>0</v>
      </c>
      <c r="V122" s="252"/>
      <c r="W122" s="252"/>
      <c r="X122" s="252"/>
      <c r="Y122" s="127">
        <f>SUM(Y119:Y121)</f>
        <v>0</v>
      </c>
      <c r="Z122" s="252"/>
      <c r="AA122" s="252"/>
      <c r="AB122" s="127">
        <f>SUM(AB119:AB121)</f>
        <v>0</v>
      </c>
      <c r="AC122" s="127">
        <f>SUM(AC119:AC121)</f>
        <v>0</v>
      </c>
      <c r="AD122" s="127">
        <f>SUM(AD119:AD121)</f>
        <v>0</v>
      </c>
      <c r="AE122" s="127">
        <f>SUM(AE119:AE121)</f>
        <v>0</v>
      </c>
      <c r="AF122" s="127">
        <f>SUM(AF119:AF121)</f>
        <v>0</v>
      </c>
      <c r="AG122" s="252"/>
      <c r="AH122" s="252"/>
      <c r="AI122" s="252"/>
      <c r="AJ122" s="127">
        <f>SUM(AJ119:AJ121)</f>
        <v>0</v>
      </c>
      <c r="AK122" s="127">
        <f>SUM(AK119:AK121)</f>
        <v>0</v>
      </c>
      <c r="AL122" s="127">
        <f>SUM(AL119:AL121)</f>
        <v>0</v>
      </c>
      <c r="AM122" s="127">
        <f>SUM(AM119:AM121)</f>
        <v>0</v>
      </c>
      <c r="AN122" s="127">
        <f>SUM(AN119:AN121)</f>
        <v>0</v>
      </c>
      <c r="AO122" s="253"/>
      <c r="AP122" s="254"/>
      <c r="AQ122" s="175">
        <f>SUM(AQ119:AQ121)</f>
        <v>0</v>
      </c>
      <c r="AR122" s="175">
        <f>SUM(AR119:AR121)</f>
        <v>0</v>
      </c>
      <c r="AS122" s="175">
        <f>SUM(AS119:AS121)</f>
        <v>0</v>
      </c>
      <c r="AT122" s="175">
        <f>SUM(AT119:AT121)</f>
        <v>0</v>
      </c>
      <c r="AU122" s="175">
        <f t="shared" ref="AU122:BB122" si="78">SUM(AU119:AU121)</f>
        <v>0</v>
      </c>
      <c r="AV122" s="175">
        <f t="shared" si="78"/>
        <v>0</v>
      </c>
      <c r="AW122" s="175">
        <f t="shared" si="78"/>
        <v>0</v>
      </c>
      <c r="AX122" s="175">
        <f t="shared" si="78"/>
        <v>0</v>
      </c>
      <c r="AY122" s="175">
        <f t="shared" si="78"/>
        <v>0</v>
      </c>
      <c r="AZ122" s="175">
        <f t="shared" si="78"/>
        <v>0</v>
      </c>
      <c r="BA122" s="175">
        <f t="shared" si="78"/>
        <v>0</v>
      </c>
      <c r="BB122" s="175">
        <f t="shared" si="78"/>
        <v>0</v>
      </c>
      <c r="BC122" s="169"/>
      <c r="BD122" s="169"/>
      <c r="BE122" s="169"/>
      <c r="BF122" s="169"/>
    </row>
    <row r="123" spans="1:58" s="184" customFormat="1" ht="15.75" customHeight="1" x14ac:dyDescent="0.25">
      <c r="A123" s="143"/>
      <c r="B123" s="290"/>
      <c r="C123" s="391" t="s">
        <v>287</v>
      </c>
      <c r="D123" s="391"/>
      <c r="E123" s="392"/>
      <c r="F123" s="291"/>
      <c r="G123" s="289"/>
      <c r="H123" s="144" t="s">
        <v>288</v>
      </c>
      <c r="I123" s="257"/>
      <c r="J123" s="257"/>
      <c r="K123" s="257"/>
      <c r="L123" s="258">
        <f>SUM(L133)</f>
        <v>64119942.857142858</v>
      </c>
      <c r="M123" s="258">
        <f>SUM(M133)</f>
        <v>10708030.457142858</v>
      </c>
      <c r="N123" s="257"/>
      <c r="O123" s="257"/>
      <c r="P123" s="257"/>
      <c r="Q123" s="257"/>
      <c r="R123" s="258">
        <f>SUM(R133)</f>
        <v>0</v>
      </c>
      <c r="S123" s="258">
        <f>SUM(S133)</f>
        <v>0</v>
      </c>
      <c r="T123" s="258">
        <f>SUM(T133)</f>
        <v>0</v>
      </c>
      <c r="U123" s="258">
        <f>SUM(U133)</f>
        <v>0</v>
      </c>
      <c r="V123" s="257"/>
      <c r="W123" s="257"/>
      <c r="X123" s="257"/>
      <c r="Y123" s="258">
        <f>SUM(Y133)</f>
        <v>0</v>
      </c>
      <c r="Z123" s="258"/>
      <c r="AA123" s="258"/>
      <c r="AB123" s="258">
        <f>SUM(AB133)</f>
        <v>0</v>
      </c>
      <c r="AC123" s="258">
        <f>SUM(AC133)</f>
        <v>10872553</v>
      </c>
      <c r="AD123" s="258">
        <f>SUM(AD133)</f>
        <v>0</v>
      </c>
      <c r="AE123" s="258">
        <f>SUM(AE133)</f>
        <v>2174510.6</v>
      </c>
      <c r="AF123" s="258">
        <f>SUM(AF133)</f>
        <v>13047063.6</v>
      </c>
      <c r="AG123" s="257"/>
      <c r="AH123" s="257"/>
      <c r="AI123" s="257"/>
      <c r="AJ123" s="258">
        <f>SUM(AJ133)</f>
        <v>0</v>
      </c>
      <c r="AK123" s="258">
        <f>SUM(AK133)</f>
        <v>0</v>
      </c>
      <c r="AL123" s="258">
        <f>SUM(AL133)</f>
        <v>0</v>
      </c>
      <c r="AM123" s="258">
        <f>SUM(AM133)</f>
        <v>0</v>
      </c>
      <c r="AN123" s="258">
        <f>SUM(AN133)</f>
        <v>0</v>
      </c>
      <c r="AO123" s="259"/>
      <c r="AP123" s="260"/>
      <c r="AQ123" s="261">
        <f>SUM(AQ133)</f>
        <v>74827973.314285725</v>
      </c>
      <c r="AR123" s="261">
        <f>SUM(AR133)</f>
        <v>13047063.6</v>
      </c>
      <c r="AS123" s="261">
        <f>SUM(AS133)</f>
        <v>0</v>
      </c>
      <c r="AT123" s="261">
        <f>SUM(AT133)</f>
        <v>87875036.914285704</v>
      </c>
      <c r="AU123" s="261">
        <f t="shared" ref="AU123:BB123" si="79">SUM(AU133)</f>
        <v>87875038</v>
      </c>
      <c r="AV123" s="261">
        <f t="shared" si="79"/>
        <v>0</v>
      </c>
      <c r="AW123" s="261">
        <f t="shared" si="79"/>
        <v>0</v>
      </c>
      <c r="AX123" s="261">
        <f t="shared" si="79"/>
        <v>0</v>
      </c>
      <c r="AY123" s="261">
        <f t="shared" si="79"/>
        <v>0</v>
      </c>
      <c r="AZ123" s="261">
        <f t="shared" si="79"/>
        <v>0</v>
      </c>
      <c r="BA123" s="261">
        <f t="shared" si="79"/>
        <v>0</v>
      </c>
      <c r="BB123" s="261">
        <f t="shared" si="79"/>
        <v>1.0857142880558968</v>
      </c>
    </row>
    <row r="124" spans="1:58" ht="78.75" outlineLevel="2" x14ac:dyDescent="0.25">
      <c r="A124" s="115"/>
      <c r="B124" s="200"/>
      <c r="C124" s="201"/>
      <c r="D124" s="346"/>
      <c r="E124" s="321"/>
      <c r="F124" s="306"/>
      <c r="G124" s="307"/>
      <c r="H124" s="199" t="s">
        <v>549</v>
      </c>
      <c r="I124" s="130"/>
      <c r="J124" s="126"/>
      <c r="K124" s="126"/>
      <c r="L124" s="125" t="str">
        <f>IF(I124&lt;&gt;0,((VLOOKUP(I124,'1. Standard_Cost'!$B$4:$D$11,2)+VLOOKUP(I124,'1. Standard_Cost'!$B$4:$D$11,3))*J124*K124),"0")</f>
        <v>0</v>
      </c>
      <c r="M124" s="125">
        <f>L124*'1. Standard_Cost'!$F$4</f>
        <v>0</v>
      </c>
      <c r="N124" s="126"/>
      <c r="O124" s="126"/>
      <c r="P124" s="126"/>
      <c r="Q124" s="126"/>
      <c r="R124" s="127">
        <f>'1. Standard_Cost'!$B$15*N124*P124</f>
        <v>0</v>
      </c>
      <c r="S124" s="127">
        <f>N124*O124*P124*'1. Standard_Cost'!$C$15</f>
        <v>0</v>
      </c>
      <c r="T124" s="127">
        <f>N124*P124*Q124*'1. Standard_Cost'!$D$15</f>
        <v>0</v>
      </c>
      <c r="U124" s="127">
        <f>N124*O124*'1. Standard_Cost'!$E$15</f>
        <v>0</v>
      </c>
      <c r="V124" s="126"/>
      <c r="W124" s="126"/>
      <c r="X124" s="126"/>
      <c r="Y124" s="127">
        <f>+V124*((X124*'1. Standard_Cost'!$B$19)+(W124*X124*'1. Standard_Cost'!$C$19))</f>
        <v>0</v>
      </c>
      <c r="Z124" s="126"/>
      <c r="AA124" s="126"/>
      <c r="AB124" s="127">
        <f>+Z124*'1. Standard_Cost'!$B$23+AA124*'1. Standard_Cost'!$C$23</f>
        <v>0</v>
      </c>
      <c r="AC124" s="128"/>
      <c r="AD124" s="129"/>
      <c r="AE124" s="127">
        <f>SUM(AD124,AC124,AB124,Y124,U124,T124,S124,R124)*'1. Standard_Cost'!$B$31</f>
        <v>0</v>
      </c>
      <c r="AF124" s="127">
        <f t="shared" ref="AF124:AF132" si="80">SUM(AE124,AD124,AC124,AB124,Y124,U124,T124,S124,R124)</f>
        <v>0</v>
      </c>
      <c r="AG124" s="126"/>
      <c r="AH124" s="126"/>
      <c r="AI124" s="126"/>
      <c r="AJ124" s="130"/>
      <c r="AK124" s="130"/>
      <c r="AL124" s="130"/>
      <c r="AM124" s="127">
        <f>AG124*'1. Standard_Cost'!$B$27+'Incremental_Cost Year 10'!AH124*'1. Standard_Cost'!$C$27+'Incremental_Cost Year 10'!AI124*'1. Standard_Cost'!$D$27+'Incremental_Cost Year 10'!AJ124+'Incremental_Cost Year 10'!AL124+AK124</f>
        <v>0</v>
      </c>
      <c r="AN124" s="127">
        <f>AM124*'1. Standard_Cost'!$C$31</f>
        <v>0</v>
      </c>
      <c r="AO124" s="130"/>
      <c r="AQ124" s="171">
        <f t="shared" ref="AQ124:AQ132" si="81">L124+M124</f>
        <v>0</v>
      </c>
      <c r="AR124" s="171">
        <f t="shared" ref="AR124:AR132" si="82">AF124</f>
        <v>0</v>
      </c>
      <c r="AS124" s="171">
        <f t="shared" ref="AS124:AS132" si="83">AM124+AN124</f>
        <v>0</v>
      </c>
      <c r="AT124" s="171">
        <f t="shared" ref="AT124:AT132" si="84">SUM(AQ124,AR124,AS124)</f>
        <v>0</v>
      </c>
      <c r="AU124" s="250"/>
      <c r="AV124" s="250"/>
      <c r="AW124" s="250"/>
      <c r="AX124" s="250"/>
      <c r="AY124" s="250"/>
      <c r="AZ124" s="250"/>
      <c r="BA124" s="250"/>
      <c r="BB124" s="251">
        <f t="shared" ref="BB124:BB132" si="85">SUM(AU124:BA124)-AT124</f>
        <v>0</v>
      </c>
      <c r="BC124" s="169"/>
      <c r="BD124" s="169"/>
      <c r="BE124" s="169"/>
      <c r="BF124" s="169"/>
    </row>
    <row r="125" spans="1:58" ht="63" outlineLevel="2" x14ac:dyDescent="0.25">
      <c r="A125" s="115"/>
      <c r="B125" s="200"/>
      <c r="C125" s="201"/>
      <c r="D125" s="131"/>
      <c r="E125" s="323"/>
      <c r="F125" s="308"/>
      <c r="G125" s="309"/>
      <c r="H125" s="199" t="s">
        <v>446</v>
      </c>
      <c r="I125" s="130" t="s">
        <v>1</v>
      </c>
      <c r="J125" s="126">
        <v>12</v>
      </c>
      <c r="K125" s="126">
        <v>12</v>
      </c>
      <c r="L125" s="125">
        <f>IF(I125&lt;&gt;0,((VLOOKUP(I125,'1. Standard_Cost'!$B$4:$D$11,2)+VLOOKUP(I125,'1. Standard_Cost'!$B$4:$D$11,3))*J125*K125),"0")</f>
        <v>10338171.428571429</v>
      </c>
      <c r="M125" s="125">
        <f>L125*'1. Standard_Cost'!$F$4</f>
        <v>1726474.6285714288</v>
      </c>
      <c r="N125" s="126"/>
      <c r="O125" s="126"/>
      <c r="P125" s="126"/>
      <c r="Q125" s="126"/>
      <c r="R125" s="127">
        <f>'1. Standard_Cost'!$B$15*N125*P125</f>
        <v>0</v>
      </c>
      <c r="S125" s="127">
        <f>N125*O125*P125*'1. Standard_Cost'!$C$15</f>
        <v>0</v>
      </c>
      <c r="T125" s="127">
        <f>N125*P125*Q125*'1. Standard_Cost'!$D$15</f>
        <v>0</v>
      </c>
      <c r="U125" s="127">
        <f>N125*O125*'1. Standard_Cost'!$E$15</f>
        <v>0</v>
      </c>
      <c r="V125" s="126"/>
      <c r="W125" s="126"/>
      <c r="X125" s="126"/>
      <c r="Y125" s="127">
        <f>+V125*((X125*'1. Standard_Cost'!$B$19)+(W125*X125*'1. Standard_Cost'!$C$19))</f>
        <v>0</v>
      </c>
      <c r="Z125" s="126"/>
      <c r="AA125" s="126"/>
      <c r="AB125" s="127">
        <f>+Z125*'1. Standard_Cost'!$B$23+AA125*'1. Standard_Cost'!$C$23</f>
        <v>0</v>
      </c>
      <c r="AC125" s="128">
        <v>1448000</v>
      </c>
      <c r="AD125" s="129"/>
      <c r="AE125" s="127">
        <f>SUM(AD125,AC125,AB125,Y125,U125,T125,S125,R125)*'1. Standard_Cost'!$B$31</f>
        <v>289600</v>
      </c>
      <c r="AF125" s="127">
        <f t="shared" si="80"/>
        <v>1737600</v>
      </c>
      <c r="AG125" s="126"/>
      <c r="AH125" s="126"/>
      <c r="AI125" s="126"/>
      <c r="AJ125" s="130"/>
      <c r="AK125" s="130"/>
      <c r="AL125" s="130"/>
      <c r="AM125" s="127">
        <f>AG125*'1. Standard_Cost'!$B$27+'Incremental_Cost Year 10'!AH125*'1. Standard_Cost'!$C$27+'Incremental_Cost Year 10'!AI125*'1. Standard_Cost'!$D$27+'Incremental_Cost Year 10'!AJ125+'Incremental_Cost Year 10'!AL125+AK125</f>
        <v>0</v>
      </c>
      <c r="AN125" s="127">
        <f>AM125*'1. Standard_Cost'!$C$31</f>
        <v>0</v>
      </c>
      <c r="AO125" s="130"/>
      <c r="AQ125" s="171">
        <f t="shared" si="81"/>
        <v>12064646.057142857</v>
      </c>
      <c r="AR125" s="171">
        <f t="shared" si="82"/>
        <v>1737600</v>
      </c>
      <c r="AS125" s="171">
        <f t="shared" si="83"/>
        <v>0</v>
      </c>
      <c r="AT125" s="171">
        <f t="shared" si="84"/>
        <v>13802246.057142857</v>
      </c>
      <c r="AU125" s="250">
        <v>13802246</v>
      </c>
      <c r="AV125" s="250"/>
      <c r="AW125" s="250"/>
      <c r="AX125" s="250"/>
      <c r="AY125" s="250"/>
      <c r="AZ125" s="250"/>
      <c r="BA125" s="250"/>
      <c r="BB125" s="251">
        <f t="shared" si="85"/>
        <v>-5.714285746216774E-2</v>
      </c>
      <c r="BC125" s="169"/>
      <c r="BD125" s="169"/>
      <c r="BE125" s="169"/>
      <c r="BF125" s="169"/>
    </row>
    <row r="126" spans="1:58" ht="63" outlineLevel="2" x14ac:dyDescent="0.25">
      <c r="A126" s="115"/>
      <c r="B126" s="200"/>
      <c r="C126" s="201"/>
      <c r="D126" s="131"/>
      <c r="E126" s="323"/>
      <c r="F126" s="308"/>
      <c r="G126" s="309"/>
      <c r="H126" s="199" t="s">
        <v>447</v>
      </c>
      <c r="I126" s="130" t="s">
        <v>1</v>
      </c>
      <c r="J126" s="126">
        <v>12</v>
      </c>
      <c r="K126" s="126">
        <v>8</v>
      </c>
      <c r="L126" s="125">
        <f>IF(I126&lt;&gt;0,((VLOOKUP(I126,'1. Standard_Cost'!$B$4:$D$11,2)+VLOOKUP(I126,'1. Standard_Cost'!$B$4:$D$11,3))*J126*K126),"0")</f>
        <v>6892114.2857142854</v>
      </c>
      <c r="M126" s="125">
        <f>L126*'1. Standard_Cost'!$F$4</f>
        <v>1150983.0857142857</v>
      </c>
      <c r="N126" s="126"/>
      <c r="O126" s="126"/>
      <c r="P126" s="126"/>
      <c r="Q126" s="126"/>
      <c r="R126" s="127">
        <f>'1. Standard_Cost'!$B$15*N126*P126</f>
        <v>0</v>
      </c>
      <c r="S126" s="127">
        <f>N126*O126*P126*'1. Standard_Cost'!$C$15</f>
        <v>0</v>
      </c>
      <c r="T126" s="127">
        <f>N126*P126*Q126*'1. Standard_Cost'!$D$15</f>
        <v>0</v>
      </c>
      <c r="U126" s="127">
        <f>N126*O126*'1. Standard_Cost'!$E$15</f>
        <v>0</v>
      </c>
      <c r="V126" s="126"/>
      <c r="W126" s="126"/>
      <c r="X126" s="126"/>
      <c r="Y126" s="127">
        <f>+V126*((X126*'1. Standard_Cost'!$B$19)+(W126*X126*'1. Standard_Cost'!$C$19))</f>
        <v>0</v>
      </c>
      <c r="Z126" s="126"/>
      <c r="AA126" s="126"/>
      <c r="AB126" s="127">
        <f>+Z126*'1. Standard_Cost'!$B$23+AA126*'1. Standard_Cost'!$C$23</f>
        <v>0</v>
      </c>
      <c r="AC126" s="128">
        <v>965172</v>
      </c>
      <c r="AD126" s="129"/>
      <c r="AE126" s="127">
        <f>SUM(AD126,AC126,AB126,Y126,U126,T126,S126,R126)*'1. Standard_Cost'!$B$31</f>
        <v>193034.40000000002</v>
      </c>
      <c r="AF126" s="127">
        <f t="shared" si="80"/>
        <v>1158206.3999999999</v>
      </c>
      <c r="AG126" s="126"/>
      <c r="AH126" s="126"/>
      <c r="AI126" s="126"/>
      <c r="AJ126" s="130"/>
      <c r="AK126" s="130"/>
      <c r="AL126" s="130"/>
      <c r="AM126" s="127">
        <f>AG126*'1. Standard_Cost'!$B$27+'Incremental_Cost Year 10'!AH126*'1. Standard_Cost'!$C$27+'Incremental_Cost Year 10'!AI126*'1. Standard_Cost'!$D$27+'Incremental_Cost Year 10'!AJ126+'Incremental_Cost Year 10'!AL126+AK126</f>
        <v>0</v>
      </c>
      <c r="AN126" s="127">
        <f>AM126*'1. Standard_Cost'!$C$31</f>
        <v>0</v>
      </c>
      <c r="AO126" s="130"/>
      <c r="AQ126" s="171">
        <f t="shared" si="81"/>
        <v>8043097.3714285716</v>
      </c>
      <c r="AR126" s="171">
        <f t="shared" si="82"/>
        <v>1158206.3999999999</v>
      </c>
      <c r="AS126" s="171">
        <f t="shared" si="83"/>
        <v>0</v>
      </c>
      <c r="AT126" s="171">
        <f t="shared" si="84"/>
        <v>9201303.771428572</v>
      </c>
      <c r="AU126" s="250">
        <v>9201304</v>
      </c>
      <c r="AV126" s="250"/>
      <c r="AW126" s="250"/>
      <c r="AX126" s="250"/>
      <c r="AY126" s="250"/>
      <c r="AZ126" s="250"/>
      <c r="BA126" s="250"/>
      <c r="BB126" s="251">
        <f t="shared" si="85"/>
        <v>0.22857142798602581</v>
      </c>
      <c r="BC126" s="169"/>
      <c r="BD126" s="169"/>
      <c r="BE126" s="169"/>
      <c r="BF126" s="169"/>
    </row>
    <row r="127" spans="1:58" ht="47.25" outlineLevel="2" x14ac:dyDescent="0.25">
      <c r="A127" s="115"/>
      <c r="B127" s="200"/>
      <c r="C127" s="201"/>
      <c r="D127" s="131"/>
      <c r="E127" s="323"/>
      <c r="F127" s="308"/>
      <c r="G127" s="309"/>
      <c r="H127" s="199" t="s">
        <v>448</v>
      </c>
      <c r="I127" s="263" t="s">
        <v>1</v>
      </c>
      <c r="J127" s="264">
        <v>12</v>
      </c>
      <c r="K127" s="264">
        <v>5</v>
      </c>
      <c r="L127" s="125">
        <f>IF(I127&lt;&gt;0,((VLOOKUP(I127,'1. Standard_Cost'!$B$4:$D$11,2)+VLOOKUP(I127,'1. Standard_Cost'!$B$4:$D$11,3))*J127*K127),"0")</f>
        <v>4307571.4285714282</v>
      </c>
      <c r="M127" s="125">
        <f>L127*'1. Standard_Cost'!$F$4</f>
        <v>719364.42857142852</v>
      </c>
      <c r="N127" s="126"/>
      <c r="O127" s="126"/>
      <c r="P127" s="126"/>
      <c r="Q127" s="126"/>
      <c r="R127" s="127">
        <f>'1. Standard_Cost'!$B$15*N127*P127</f>
        <v>0</v>
      </c>
      <c r="S127" s="127">
        <f>N127*O127*P127*'1. Standard_Cost'!$C$15</f>
        <v>0</v>
      </c>
      <c r="T127" s="127">
        <f>N127*P127*Q127*'1. Standard_Cost'!$D$15</f>
        <v>0</v>
      </c>
      <c r="U127" s="127">
        <f>N127*O127*'1. Standard_Cost'!$E$15</f>
        <v>0</v>
      </c>
      <c r="V127" s="126"/>
      <c r="W127" s="126"/>
      <c r="X127" s="126"/>
      <c r="Y127" s="127">
        <f>+V127*((X127*'1. Standard_Cost'!$B$19)+(W127*X127*'1. Standard_Cost'!$C$19))</f>
        <v>0</v>
      </c>
      <c r="Z127" s="126"/>
      <c r="AA127" s="126"/>
      <c r="AB127" s="127">
        <f>+Z127*'1. Standard_Cost'!$B$23+AA127*'1. Standard_Cost'!$C$23</f>
        <v>0</v>
      </c>
      <c r="AC127" s="128">
        <v>754040</v>
      </c>
      <c r="AD127" s="129"/>
      <c r="AE127" s="127">
        <f>SUM(AD127,AC127,AB127,Y127,U127,T127,S127,R127)*'1. Standard_Cost'!$B$31</f>
        <v>150808</v>
      </c>
      <c r="AF127" s="127">
        <f t="shared" si="80"/>
        <v>904848</v>
      </c>
      <c r="AG127" s="126"/>
      <c r="AH127" s="126"/>
      <c r="AI127" s="126"/>
      <c r="AJ127" s="130"/>
      <c r="AK127" s="130"/>
      <c r="AL127" s="130"/>
      <c r="AM127" s="127">
        <f>AG127*'1. Standard_Cost'!$B$27+'Incremental_Cost Year 10'!AH127*'1. Standard_Cost'!$C$27+'Incremental_Cost Year 10'!AI127*'1. Standard_Cost'!$D$27+'Incremental_Cost Year 10'!AJ127+'Incremental_Cost Year 10'!AL127+AK127</f>
        <v>0</v>
      </c>
      <c r="AN127" s="127">
        <f>AM127*'1. Standard_Cost'!$C$31</f>
        <v>0</v>
      </c>
      <c r="AO127" s="130"/>
      <c r="AQ127" s="171">
        <f t="shared" si="81"/>
        <v>5026935.8571428563</v>
      </c>
      <c r="AR127" s="171">
        <f t="shared" si="82"/>
        <v>904848</v>
      </c>
      <c r="AS127" s="171">
        <f t="shared" si="83"/>
        <v>0</v>
      </c>
      <c r="AT127" s="171">
        <f t="shared" si="84"/>
        <v>5931783.8571428563</v>
      </c>
      <c r="AU127" s="250">
        <v>5931784</v>
      </c>
      <c r="AV127" s="250"/>
      <c r="AW127" s="250"/>
      <c r="AX127" s="250"/>
      <c r="AY127" s="250"/>
      <c r="AZ127" s="250"/>
      <c r="BA127" s="250"/>
      <c r="BB127" s="251">
        <f t="shared" si="85"/>
        <v>0.14285714365541935</v>
      </c>
      <c r="BC127" s="169"/>
      <c r="BD127" s="169"/>
      <c r="BE127" s="169"/>
      <c r="BF127" s="169"/>
    </row>
    <row r="128" spans="1:58" ht="63" outlineLevel="2" x14ac:dyDescent="0.25">
      <c r="A128" s="115"/>
      <c r="B128" s="200"/>
      <c r="C128" s="201"/>
      <c r="D128" s="131"/>
      <c r="E128" s="323"/>
      <c r="F128" s="326"/>
      <c r="G128" s="309"/>
      <c r="H128" s="199" t="s">
        <v>449</v>
      </c>
      <c r="I128" s="130" t="s">
        <v>1</v>
      </c>
      <c r="J128" s="126">
        <v>12</v>
      </c>
      <c r="K128" s="126">
        <v>21</v>
      </c>
      <c r="L128" s="125">
        <f>IF(I128&lt;&gt;0,((VLOOKUP(I128,'1. Standard_Cost'!$B$4:$D$11,2)+VLOOKUP(I128,'1. Standard_Cost'!$B$4:$D$11,3))*J128*K128),"0")</f>
        <v>18091800</v>
      </c>
      <c r="M128" s="125">
        <f>L128*'1. Standard_Cost'!$F$4</f>
        <v>3021330.6</v>
      </c>
      <c r="N128" s="126"/>
      <c r="O128" s="126"/>
      <c r="P128" s="126"/>
      <c r="Q128" s="126"/>
      <c r="R128" s="127">
        <f>'1. Standard_Cost'!$B$15*N128*P128</f>
        <v>0</v>
      </c>
      <c r="S128" s="127">
        <f>N128*O128*P128*'1. Standard_Cost'!$C$15</f>
        <v>0</v>
      </c>
      <c r="T128" s="127">
        <f>N128*P128*Q128*'1. Standard_Cost'!$D$15</f>
        <v>0</v>
      </c>
      <c r="U128" s="127">
        <f>N128*O128*'1. Standard_Cost'!$E$15</f>
        <v>0</v>
      </c>
      <c r="V128" s="126"/>
      <c r="W128" s="126"/>
      <c r="X128" s="126"/>
      <c r="Y128" s="127">
        <f>+V128*((X128*'1. Standard_Cost'!$B$19)+(W128*X128*'1. Standard_Cost'!$C$19))</f>
        <v>0</v>
      </c>
      <c r="Z128" s="126"/>
      <c r="AA128" s="126"/>
      <c r="AB128" s="127">
        <f>+Z128*'1. Standard_Cost'!$B$23+AA128*'1. Standard_Cost'!$C$23</f>
        <v>0</v>
      </c>
      <c r="AC128" s="128">
        <v>3166970</v>
      </c>
      <c r="AD128" s="129"/>
      <c r="AE128" s="127">
        <f>SUM(AD128,AC128,AB128,Y128,U128,T128,S128,R128)*'1. Standard_Cost'!$B$31</f>
        <v>633394</v>
      </c>
      <c r="AF128" s="127">
        <f t="shared" si="80"/>
        <v>3800364</v>
      </c>
      <c r="AG128" s="126"/>
      <c r="AH128" s="126"/>
      <c r="AI128" s="126"/>
      <c r="AJ128" s="130"/>
      <c r="AK128" s="130"/>
      <c r="AL128" s="130"/>
      <c r="AM128" s="127">
        <f>AG128*'1. Standard_Cost'!$B$27+'Incremental_Cost Year 10'!AH128*'1. Standard_Cost'!$C$27+'Incremental_Cost Year 10'!AI128*'1. Standard_Cost'!$D$27+'Incremental_Cost Year 10'!AJ128+'Incremental_Cost Year 10'!AL128+AK128</f>
        <v>0</v>
      </c>
      <c r="AN128" s="127">
        <f>AM128*'1. Standard_Cost'!$C$31</f>
        <v>0</v>
      </c>
      <c r="AO128" s="130"/>
      <c r="AQ128" s="171">
        <f t="shared" si="81"/>
        <v>21113130.600000001</v>
      </c>
      <c r="AR128" s="171">
        <f t="shared" si="82"/>
        <v>3800364</v>
      </c>
      <c r="AS128" s="171">
        <f t="shared" si="83"/>
        <v>0</v>
      </c>
      <c r="AT128" s="171">
        <f t="shared" si="84"/>
        <v>24913494.600000001</v>
      </c>
      <c r="AU128" s="250">
        <v>24913495</v>
      </c>
      <c r="AV128" s="250"/>
      <c r="AW128" s="250"/>
      <c r="AX128" s="250"/>
      <c r="AY128" s="250"/>
      <c r="AZ128" s="250"/>
      <c r="BA128" s="250"/>
      <c r="BB128" s="251">
        <f t="shared" si="85"/>
        <v>0.39999999850988388</v>
      </c>
      <c r="BC128" s="169"/>
      <c r="BD128" s="169"/>
      <c r="BE128" s="169"/>
      <c r="BF128" s="169"/>
    </row>
    <row r="129" spans="1:58" ht="31.5" outlineLevel="2" x14ac:dyDescent="0.25">
      <c r="A129" s="115"/>
      <c r="B129" s="200"/>
      <c r="C129" s="201"/>
      <c r="D129" s="131"/>
      <c r="E129" s="323"/>
      <c r="F129" s="326"/>
      <c r="G129" s="309"/>
      <c r="H129" s="199" t="s">
        <v>284</v>
      </c>
      <c r="I129" s="130" t="s">
        <v>1</v>
      </c>
      <c r="J129" s="126">
        <v>12</v>
      </c>
      <c r="K129" s="126">
        <v>5</v>
      </c>
      <c r="L129" s="125">
        <f>IF(I129&lt;&gt;0,((VLOOKUP(I129,'1. Standard_Cost'!$B$4:$D$11,2)+VLOOKUP(I129,'1. Standard_Cost'!$B$4:$D$11,3))*J129*K129),"0")</f>
        <v>4307571.4285714282</v>
      </c>
      <c r="M129" s="125">
        <f>L129*'1. Standard_Cost'!$F$4</f>
        <v>719364.42857142852</v>
      </c>
      <c r="N129" s="126"/>
      <c r="O129" s="126"/>
      <c r="P129" s="126"/>
      <c r="Q129" s="126"/>
      <c r="R129" s="127">
        <f>'1. Standard_Cost'!$B$15*N129*P129</f>
        <v>0</v>
      </c>
      <c r="S129" s="127">
        <f>N129*O129*P129*'1. Standard_Cost'!$C$15</f>
        <v>0</v>
      </c>
      <c r="T129" s="127">
        <f>N129*P129*Q129*'1. Standard_Cost'!$D$15</f>
        <v>0</v>
      </c>
      <c r="U129" s="127">
        <f>N129*O129*'1. Standard_Cost'!$E$15</f>
        <v>0</v>
      </c>
      <c r="V129" s="126"/>
      <c r="W129" s="126"/>
      <c r="X129" s="126"/>
      <c r="Y129" s="127">
        <f>+V129*((X129*'1. Standard_Cost'!$B$19)+(W129*X129*'1. Standard_Cost'!$C$19))</f>
        <v>0</v>
      </c>
      <c r="Z129" s="126"/>
      <c r="AA129" s="126"/>
      <c r="AB129" s="127">
        <f>+Z129*'1. Standard_Cost'!$B$23+AA129*'1. Standard_Cost'!$C$23</f>
        <v>0</v>
      </c>
      <c r="AC129" s="128">
        <v>1005388</v>
      </c>
      <c r="AD129" s="129"/>
      <c r="AE129" s="127">
        <f>SUM(AD129,AC129,AB129,Y129,U129,T129,S129,R129)*'1. Standard_Cost'!$B$31</f>
        <v>201077.6</v>
      </c>
      <c r="AF129" s="127">
        <f t="shared" si="80"/>
        <v>1206465.6000000001</v>
      </c>
      <c r="AG129" s="126"/>
      <c r="AH129" s="126"/>
      <c r="AI129" s="126"/>
      <c r="AJ129" s="130"/>
      <c r="AK129" s="130"/>
      <c r="AL129" s="130"/>
      <c r="AM129" s="127">
        <f>AG129*'1. Standard_Cost'!$B$27+'Incremental_Cost Year 10'!AH129*'1. Standard_Cost'!$C$27+'Incremental_Cost Year 10'!AI129*'1. Standard_Cost'!$D$27+'Incremental_Cost Year 10'!AJ129+'Incremental_Cost Year 10'!AL129+AK129</f>
        <v>0</v>
      </c>
      <c r="AN129" s="127">
        <f>AM129*'1. Standard_Cost'!$C$31</f>
        <v>0</v>
      </c>
      <c r="AO129" s="130"/>
      <c r="AQ129" s="171">
        <f t="shared" si="81"/>
        <v>5026935.8571428563</v>
      </c>
      <c r="AR129" s="171">
        <f t="shared" si="82"/>
        <v>1206465.6000000001</v>
      </c>
      <c r="AS129" s="171">
        <f t="shared" si="83"/>
        <v>0</v>
      </c>
      <c r="AT129" s="171">
        <f t="shared" si="84"/>
        <v>6233401.457142856</v>
      </c>
      <c r="AU129" s="250">
        <v>6233401</v>
      </c>
      <c r="AV129" s="250"/>
      <c r="AW129" s="250"/>
      <c r="AX129" s="250"/>
      <c r="AY129" s="250"/>
      <c r="AZ129" s="250"/>
      <c r="BA129" s="250"/>
      <c r="BB129" s="251">
        <f t="shared" si="85"/>
        <v>-0.45714285597205162</v>
      </c>
      <c r="BC129" s="169"/>
      <c r="BD129" s="169"/>
      <c r="BE129" s="169"/>
      <c r="BF129" s="169"/>
    </row>
    <row r="130" spans="1:58" ht="78.75" outlineLevel="2" x14ac:dyDescent="0.25">
      <c r="A130" s="115"/>
      <c r="B130" s="200"/>
      <c r="C130" s="201"/>
      <c r="D130" s="131"/>
      <c r="E130" s="323"/>
      <c r="F130" s="326"/>
      <c r="G130" s="309"/>
      <c r="H130" s="199" t="s">
        <v>450</v>
      </c>
      <c r="I130" s="130" t="s">
        <v>1</v>
      </c>
      <c r="J130" s="126">
        <v>12</v>
      </c>
      <c r="K130" s="126">
        <v>10</v>
      </c>
      <c r="L130" s="125">
        <f>IF(I130&lt;&gt;0,((VLOOKUP(I130,'1. Standard_Cost'!$B$4:$D$11,2)+VLOOKUP(I130,'1. Standard_Cost'!$B$4:$D$11,3))*J130*K130),"0")</f>
        <v>8615142.8571428563</v>
      </c>
      <c r="M130" s="125">
        <f>L130*'1. Standard_Cost'!$F$4</f>
        <v>1438728.857142857</v>
      </c>
      <c r="N130" s="126"/>
      <c r="O130" s="126"/>
      <c r="P130" s="126"/>
      <c r="Q130" s="126"/>
      <c r="R130" s="127">
        <f>'1. Standard_Cost'!$B$15*N130*P130</f>
        <v>0</v>
      </c>
      <c r="S130" s="127">
        <f>N130*O130*P130*'1. Standard_Cost'!$C$15</f>
        <v>0</v>
      </c>
      <c r="T130" s="127">
        <f>N130*P130*Q130*'1. Standard_Cost'!$D$15</f>
        <v>0</v>
      </c>
      <c r="U130" s="127">
        <f>N130*O130*'1. Standard_Cost'!$E$15</f>
        <v>0</v>
      </c>
      <c r="V130" s="126"/>
      <c r="W130" s="126"/>
      <c r="X130" s="126"/>
      <c r="Y130" s="127">
        <f>+V130*((X130*'1. Standard_Cost'!$B$19)+(W130*X130*'1. Standard_Cost'!$C$19))</f>
        <v>0</v>
      </c>
      <c r="Z130" s="126"/>
      <c r="AA130" s="126"/>
      <c r="AB130" s="127">
        <f>+Z130*'1. Standard_Cost'!$B$23+AA130*'1. Standard_Cost'!$C$23</f>
        <v>0</v>
      </c>
      <c r="AC130" s="128">
        <v>1508080</v>
      </c>
      <c r="AD130" s="129"/>
      <c r="AE130" s="127">
        <f>SUM(AD130,AC130,AB130,Y130,U130,T130,S130,R130)*'1. Standard_Cost'!$B$31</f>
        <v>301616</v>
      </c>
      <c r="AF130" s="127">
        <f t="shared" si="80"/>
        <v>1809696</v>
      </c>
      <c r="AG130" s="126"/>
      <c r="AH130" s="126"/>
      <c r="AI130" s="126"/>
      <c r="AJ130" s="130"/>
      <c r="AK130" s="130"/>
      <c r="AL130" s="130"/>
      <c r="AM130" s="127">
        <f>AG130*'1. Standard_Cost'!$B$27+'Incremental_Cost Year 10'!AH130*'1. Standard_Cost'!$C$27+'Incremental_Cost Year 10'!AI130*'1. Standard_Cost'!$D$27+'Incremental_Cost Year 10'!AJ130+'Incremental_Cost Year 10'!AL130+AK130</f>
        <v>0</v>
      </c>
      <c r="AN130" s="127">
        <f>AM130*'1. Standard_Cost'!$C$31</f>
        <v>0</v>
      </c>
      <c r="AO130" s="130"/>
      <c r="AQ130" s="171">
        <f t="shared" si="81"/>
        <v>10053871.714285713</v>
      </c>
      <c r="AR130" s="171">
        <f t="shared" si="82"/>
        <v>1809696</v>
      </c>
      <c r="AS130" s="171">
        <f t="shared" si="83"/>
        <v>0</v>
      </c>
      <c r="AT130" s="171">
        <f t="shared" si="84"/>
        <v>11863567.714285713</v>
      </c>
      <c r="AU130" s="250">
        <v>11863568</v>
      </c>
      <c r="AV130" s="250"/>
      <c r="AW130" s="250"/>
      <c r="AX130" s="250"/>
      <c r="AY130" s="250"/>
      <c r="AZ130" s="250"/>
      <c r="BA130" s="250"/>
      <c r="BB130" s="251">
        <f t="shared" si="85"/>
        <v>0.2857142873108387</v>
      </c>
      <c r="BC130" s="169"/>
      <c r="BD130" s="169"/>
      <c r="BE130" s="169"/>
      <c r="BF130" s="169"/>
    </row>
    <row r="131" spans="1:58" ht="47.25" outlineLevel="2" x14ac:dyDescent="0.25">
      <c r="A131" s="115"/>
      <c r="B131" s="200"/>
      <c r="C131" s="201"/>
      <c r="D131" s="131"/>
      <c r="E131" s="323"/>
      <c r="F131" s="326"/>
      <c r="G131" s="309"/>
      <c r="H131" s="225" t="s">
        <v>285</v>
      </c>
      <c r="I131" s="130" t="s">
        <v>1</v>
      </c>
      <c r="J131" s="126">
        <v>12</v>
      </c>
      <c r="K131" s="126">
        <v>5</v>
      </c>
      <c r="L131" s="125">
        <f>IF(I131&lt;&gt;0,((VLOOKUP(I131,'1. Standard_Cost'!$B$4:$D$11,2)+VLOOKUP(I131,'1. Standard_Cost'!$B$4:$D$11,3))*J131*K131),"0")</f>
        <v>4307571.4285714282</v>
      </c>
      <c r="M131" s="125">
        <f>L131*'1. Standard_Cost'!$F$4</f>
        <v>719364.42857142852</v>
      </c>
      <c r="N131" s="126"/>
      <c r="O131" s="126"/>
      <c r="P131" s="126"/>
      <c r="Q131" s="126"/>
      <c r="R131" s="127">
        <f>'1. Standard_Cost'!$B$15*N131*P131</f>
        <v>0</v>
      </c>
      <c r="S131" s="127">
        <f>N131*O131*P131*'1. Standard_Cost'!$C$15</f>
        <v>0</v>
      </c>
      <c r="T131" s="127">
        <f>N131*P131*Q131*'1. Standard_Cost'!$D$15</f>
        <v>0</v>
      </c>
      <c r="U131" s="127">
        <f>N131*O131*'1. Standard_Cost'!$E$15</f>
        <v>0</v>
      </c>
      <c r="V131" s="126"/>
      <c r="W131" s="126"/>
      <c r="X131" s="126"/>
      <c r="Y131" s="127">
        <f>+V131*((X131*'1. Standard_Cost'!$B$19)+(W131*X131*'1. Standard_Cost'!$C$19))</f>
        <v>0</v>
      </c>
      <c r="Z131" s="126"/>
      <c r="AA131" s="126"/>
      <c r="AB131" s="127">
        <f>+Z131*'1. Standard_Cost'!$B$23+AA131*'1. Standard_Cost'!$C$23</f>
        <v>0</v>
      </c>
      <c r="AC131" s="128">
        <v>754040</v>
      </c>
      <c r="AD131" s="129"/>
      <c r="AE131" s="127">
        <f>SUM(AD131,AC131,AB131,Y131,U131,T131,S131,R131)*'1. Standard_Cost'!$B$31</f>
        <v>150808</v>
      </c>
      <c r="AF131" s="127">
        <f t="shared" si="80"/>
        <v>904848</v>
      </c>
      <c r="AG131" s="126"/>
      <c r="AH131" s="126"/>
      <c r="AI131" s="126"/>
      <c r="AJ131" s="130"/>
      <c r="AK131" s="130"/>
      <c r="AL131" s="130"/>
      <c r="AM131" s="127">
        <f>AG131*'1. Standard_Cost'!$B$27+'Incremental_Cost Year 10'!AH131*'1. Standard_Cost'!$C$27+'Incremental_Cost Year 10'!AI131*'1. Standard_Cost'!$D$27+'Incremental_Cost Year 10'!AJ131+'Incremental_Cost Year 10'!AL131+AK131</f>
        <v>0</v>
      </c>
      <c r="AN131" s="127">
        <f>AM131*'1. Standard_Cost'!$C$31</f>
        <v>0</v>
      </c>
      <c r="AO131" s="130"/>
      <c r="AQ131" s="171">
        <f t="shared" si="81"/>
        <v>5026935.8571428563</v>
      </c>
      <c r="AR131" s="171">
        <f t="shared" si="82"/>
        <v>904848</v>
      </c>
      <c r="AS131" s="171">
        <f t="shared" si="83"/>
        <v>0</v>
      </c>
      <c r="AT131" s="171">
        <f t="shared" si="84"/>
        <v>5931783.8571428563</v>
      </c>
      <c r="AU131" s="250">
        <v>5931784</v>
      </c>
      <c r="AV131" s="250"/>
      <c r="AW131" s="250"/>
      <c r="AX131" s="250"/>
      <c r="AY131" s="250"/>
      <c r="AZ131" s="250"/>
      <c r="BA131" s="250"/>
      <c r="BB131" s="251">
        <f t="shared" si="85"/>
        <v>0.14285714365541935</v>
      </c>
      <c r="BC131" s="169"/>
      <c r="BD131" s="169"/>
      <c r="BE131" s="169"/>
      <c r="BF131" s="169"/>
    </row>
    <row r="132" spans="1:58" ht="141.75" outlineLevel="2" x14ac:dyDescent="0.25">
      <c r="A132" s="115"/>
      <c r="B132" s="147"/>
      <c r="C132" s="314"/>
      <c r="D132" s="305"/>
      <c r="E132" s="322"/>
      <c r="F132" s="324"/>
      <c r="G132" s="312"/>
      <c r="H132" s="213" t="s">
        <v>451</v>
      </c>
      <c r="I132" s="130" t="s">
        <v>2</v>
      </c>
      <c r="J132" s="126">
        <v>12</v>
      </c>
      <c r="K132" s="126">
        <v>5</v>
      </c>
      <c r="L132" s="125">
        <f>IF(I132&lt;&gt;0,((VLOOKUP(I132,'1. Standard_Cost'!$B$4:$D$11,2)+VLOOKUP(I132,'1. Standard_Cost'!$B$4:$D$11,3))*J132*K132),"0")</f>
        <v>7260000</v>
      </c>
      <c r="M132" s="125">
        <f>L132*'1. Standard_Cost'!$F$4</f>
        <v>1212420</v>
      </c>
      <c r="N132" s="126"/>
      <c r="O132" s="126"/>
      <c r="P132" s="126"/>
      <c r="Q132" s="126"/>
      <c r="R132" s="127">
        <f>'1. Standard_Cost'!$B$15*N132*P132</f>
        <v>0</v>
      </c>
      <c r="S132" s="127">
        <f>N132*O132*P132*'1. Standard_Cost'!$C$15</f>
        <v>0</v>
      </c>
      <c r="T132" s="127">
        <f>N132*P132*Q132*'1. Standard_Cost'!$D$15</f>
        <v>0</v>
      </c>
      <c r="U132" s="127">
        <f>N132*O132*'1. Standard_Cost'!$E$15</f>
        <v>0</v>
      </c>
      <c r="V132" s="126"/>
      <c r="W132" s="126"/>
      <c r="X132" s="126"/>
      <c r="Y132" s="127">
        <f>+V132*((X132*'1. Standard_Cost'!$B$19)+(W132*X132*'1. Standard_Cost'!$C$19))</f>
        <v>0</v>
      </c>
      <c r="Z132" s="126"/>
      <c r="AA132" s="126"/>
      <c r="AB132" s="127">
        <f>+Z132*'1. Standard_Cost'!$B$23+AA132*'1. Standard_Cost'!$C$23</f>
        <v>0</v>
      </c>
      <c r="AC132" s="128">
        <v>1270863</v>
      </c>
      <c r="AD132" s="129"/>
      <c r="AE132" s="127">
        <f>SUM(AD132,AC132,AB132,Y132,U132,T132,S132,R132)*'1. Standard_Cost'!$B$31</f>
        <v>254172.6</v>
      </c>
      <c r="AF132" s="127">
        <f t="shared" si="80"/>
        <v>1525035.6</v>
      </c>
      <c r="AG132" s="126"/>
      <c r="AH132" s="126"/>
      <c r="AI132" s="126"/>
      <c r="AJ132" s="130"/>
      <c r="AK132" s="130"/>
      <c r="AL132" s="130"/>
      <c r="AM132" s="127">
        <f>AG132*'1. Standard_Cost'!$B$27+'Incremental_Cost Year 10'!AH132*'1. Standard_Cost'!$C$27+'Incremental_Cost Year 10'!AI132*'1. Standard_Cost'!$D$27+'Incremental_Cost Year 10'!AJ132+'Incremental_Cost Year 10'!AL132+AK132</f>
        <v>0</v>
      </c>
      <c r="AN132" s="127">
        <f>AM132*'1. Standard_Cost'!$C$31</f>
        <v>0</v>
      </c>
      <c r="AO132" s="130"/>
      <c r="AQ132" s="171">
        <f t="shared" si="81"/>
        <v>8472420</v>
      </c>
      <c r="AR132" s="171">
        <f t="shared" si="82"/>
        <v>1525035.6</v>
      </c>
      <c r="AS132" s="171">
        <f t="shared" si="83"/>
        <v>0</v>
      </c>
      <c r="AT132" s="171">
        <f t="shared" si="84"/>
        <v>9997455.5999999996</v>
      </c>
      <c r="AU132" s="250">
        <v>9997456</v>
      </c>
      <c r="AV132" s="250"/>
      <c r="AW132" s="250"/>
      <c r="AX132" s="250"/>
      <c r="AY132" s="250"/>
      <c r="AZ132" s="250"/>
      <c r="BA132" s="250"/>
      <c r="BB132" s="251">
        <f t="shared" si="85"/>
        <v>0.40000000037252903</v>
      </c>
      <c r="BC132" s="169"/>
      <c r="BD132" s="169"/>
      <c r="BE132" s="169"/>
      <c r="BF132" s="169"/>
    </row>
    <row r="133" spans="1:58" ht="110.25" outlineLevel="1" x14ac:dyDescent="0.25">
      <c r="A133" s="115"/>
      <c r="B133" s="200"/>
      <c r="C133" s="201"/>
      <c r="D133" s="146" t="s">
        <v>561</v>
      </c>
      <c r="E133" s="310" t="s">
        <v>452</v>
      </c>
      <c r="F133" s="121">
        <v>2021</v>
      </c>
      <c r="G133" s="223">
        <v>2030</v>
      </c>
      <c r="H133" s="110" t="s">
        <v>286</v>
      </c>
      <c r="I133" s="252"/>
      <c r="J133" s="252"/>
      <c r="K133" s="252"/>
      <c r="L133" s="127">
        <f>SUM(L124:L132)</f>
        <v>64119942.857142858</v>
      </c>
      <c r="M133" s="127">
        <f>SUM(M124:M132)</f>
        <v>10708030.457142858</v>
      </c>
      <c r="N133" s="127"/>
      <c r="O133" s="252"/>
      <c r="P133" s="252"/>
      <c r="Q133" s="252"/>
      <c r="R133" s="127">
        <f>SUM(R124:R132)</f>
        <v>0</v>
      </c>
      <c r="S133" s="127">
        <f>SUM(S124:S132)</f>
        <v>0</v>
      </c>
      <c r="T133" s="127">
        <f>SUM(T124:T132)</f>
        <v>0</v>
      </c>
      <c r="U133" s="127">
        <f>SUM(U124:U132)</f>
        <v>0</v>
      </c>
      <c r="V133" s="252"/>
      <c r="W133" s="252"/>
      <c r="X133" s="252"/>
      <c r="Y133" s="127">
        <f>SUM(Y124:Y132)</f>
        <v>0</v>
      </c>
      <c r="Z133" s="252"/>
      <c r="AA133" s="252"/>
      <c r="AB133" s="127">
        <f>SUM(AB124:AB132)</f>
        <v>0</v>
      </c>
      <c r="AC133" s="127">
        <f>SUM(AC124:AC132)</f>
        <v>10872553</v>
      </c>
      <c r="AD133" s="127">
        <f>SUM(AD124:AD132)</f>
        <v>0</v>
      </c>
      <c r="AE133" s="127">
        <f>SUM(AE124:AE132)</f>
        <v>2174510.6</v>
      </c>
      <c r="AF133" s="127">
        <f>SUM(AF124:AF132)</f>
        <v>13047063.6</v>
      </c>
      <c r="AG133" s="252"/>
      <c r="AH133" s="252"/>
      <c r="AI133" s="252"/>
      <c r="AJ133" s="127">
        <f>SUM(AJ124:AJ132)</f>
        <v>0</v>
      </c>
      <c r="AK133" s="127">
        <f>SUM(AK124:AK132)</f>
        <v>0</v>
      </c>
      <c r="AL133" s="127">
        <f>SUM(AL124:AL132)</f>
        <v>0</v>
      </c>
      <c r="AM133" s="127">
        <f>SUM(AM124:AM132)</f>
        <v>0</v>
      </c>
      <c r="AN133" s="127">
        <f>SUM(AN124:AN132)</f>
        <v>0</v>
      </c>
      <c r="AO133" s="253"/>
      <c r="AP133" s="254"/>
      <c r="AQ133" s="175">
        <f>SUM(AQ124:AQ132)</f>
        <v>74827973.314285725</v>
      </c>
      <c r="AR133" s="175">
        <f>SUM(AR124:AR132)</f>
        <v>13047063.6</v>
      </c>
      <c r="AS133" s="175">
        <f>SUM(AS124:AS132)</f>
        <v>0</v>
      </c>
      <c r="AT133" s="175">
        <f>SUM(AT124:AT132)</f>
        <v>87875036.914285704</v>
      </c>
      <c r="AU133" s="175">
        <f t="shared" ref="AU133:BB133" si="86">SUM(AU124:AU132)</f>
        <v>87875038</v>
      </c>
      <c r="AV133" s="175">
        <f t="shared" si="86"/>
        <v>0</v>
      </c>
      <c r="AW133" s="175">
        <f t="shared" si="86"/>
        <v>0</v>
      </c>
      <c r="AX133" s="175">
        <f t="shared" si="86"/>
        <v>0</v>
      </c>
      <c r="AY133" s="175">
        <f t="shared" si="86"/>
        <v>0</v>
      </c>
      <c r="AZ133" s="175">
        <f t="shared" si="86"/>
        <v>0</v>
      </c>
      <c r="BA133" s="175">
        <f t="shared" si="86"/>
        <v>0</v>
      </c>
      <c r="BB133" s="175">
        <f t="shared" si="86"/>
        <v>1.0857142880558968</v>
      </c>
      <c r="BC133" s="169"/>
      <c r="BD133" s="169"/>
      <c r="BE133" s="169"/>
      <c r="BF133" s="169"/>
    </row>
    <row r="134" spans="1:58" s="184" customFormat="1" ht="15.75" customHeight="1" x14ac:dyDescent="0.25">
      <c r="A134" s="143"/>
      <c r="B134" s="290"/>
      <c r="C134" s="391" t="s">
        <v>289</v>
      </c>
      <c r="D134" s="391"/>
      <c r="E134" s="392"/>
      <c r="F134" s="291"/>
      <c r="G134" s="289"/>
      <c r="H134" s="144" t="s">
        <v>290</v>
      </c>
      <c r="I134" s="257"/>
      <c r="J134" s="257"/>
      <c r="K134" s="257"/>
      <c r="L134" s="258">
        <f>SUM(L139)</f>
        <v>6261800</v>
      </c>
      <c r="M134" s="258">
        <f>SUM(M139)</f>
        <v>1045720.6000000001</v>
      </c>
      <c r="N134" s="257"/>
      <c r="O134" s="257"/>
      <c r="P134" s="257"/>
      <c r="Q134" s="257"/>
      <c r="R134" s="258">
        <f>SUM(R139)</f>
        <v>0</v>
      </c>
      <c r="S134" s="258">
        <f>SUM(S139)</f>
        <v>0</v>
      </c>
      <c r="T134" s="258">
        <f>SUM(T139)</f>
        <v>0</v>
      </c>
      <c r="U134" s="258">
        <f>SUM(U139)</f>
        <v>0</v>
      </c>
      <c r="V134" s="257"/>
      <c r="W134" s="257"/>
      <c r="X134" s="257"/>
      <c r="Y134" s="258">
        <f>SUM(Y139)</f>
        <v>0</v>
      </c>
      <c r="Z134" s="258"/>
      <c r="AA134" s="258"/>
      <c r="AB134" s="258">
        <f>SUM(AB139)</f>
        <v>0</v>
      </c>
      <c r="AC134" s="258">
        <f>SUM(AC139)</f>
        <v>12140639290</v>
      </c>
      <c r="AD134" s="258">
        <f>SUM(AD139)</f>
        <v>0</v>
      </c>
      <c r="AE134" s="258">
        <f>SUM(AE139)</f>
        <v>127858</v>
      </c>
      <c r="AF134" s="258">
        <f>SUM(AF139)</f>
        <v>12153007148</v>
      </c>
      <c r="AG134" s="257"/>
      <c r="AH134" s="257"/>
      <c r="AI134" s="257"/>
      <c r="AJ134" s="258">
        <f>SUM(AJ139)</f>
        <v>0</v>
      </c>
      <c r="AK134" s="258">
        <f>SUM(AK139)</f>
        <v>0</v>
      </c>
      <c r="AL134" s="258">
        <f>SUM(AL139)</f>
        <v>0</v>
      </c>
      <c r="AM134" s="258">
        <f>SUM(AM139)</f>
        <v>0</v>
      </c>
      <c r="AN134" s="258">
        <f>SUM(AN139)</f>
        <v>0</v>
      </c>
      <c r="AO134" s="259"/>
      <c r="AP134" s="260"/>
      <c r="AQ134" s="261">
        <f>SUM(AQ139)</f>
        <v>7307520.5999999996</v>
      </c>
      <c r="AR134" s="261">
        <f>SUM(AR139)</f>
        <v>12153007148</v>
      </c>
      <c r="AS134" s="261">
        <f>SUM(AS139)</f>
        <v>0</v>
      </c>
      <c r="AT134" s="261">
        <f>SUM(AT139)</f>
        <v>12160314668.6</v>
      </c>
      <c r="AU134" s="261">
        <f t="shared" ref="AU134:BB134" si="87">SUM(AU139)</f>
        <v>12160314669</v>
      </c>
      <c r="AV134" s="261">
        <f t="shared" si="87"/>
        <v>0</v>
      </c>
      <c r="AW134" s="261">
        <f t="shared" si="87"/>
        <v>0</v>
      </c>
      <c r="AX134" s="261">
        <f t="shared" si="87"/>
        <v>0</v>
      </c>
      <c r="AY134" s="261">
        <f t="shared" si="87"/>
        <v>0</v>
      </c>
      <c r="AZ134" s="261">
        <f t="shared" si="87"/>
        <v>0</v>
      </c>
      <c r="BA134" s="261">
        <f t="shared" si="87"/>
        <v>0</v>
      </c>
      <c r="BB134" s="261">
        <f t="shared" si="87"/>
        <v>0.40000000037252903</v>
      </c>
    </row>
    <row r="135" spans="1:58" ht="126" outlineLevel="2" x14ac:dyDescent="0.25">
      <c r="A135" s="115"/>
      <c r="B135" s="200"/>
      <c r="C135" s="201"/>
      <c r="D135" s="346"/>
      <c r="E135" s="321"/>
      <c r="F135" s="337"/>
      <c r="G135" s="338"/>
      <c r="H135" s="199" t="s">
        <v>453</v>
      </c>
      <c r="I135" s="130"/>
      <c r="J135" s="126"/>
      <c r="K135" s="126"/>
      <c r="L135" s="125" t="str">
        <f>IF(I135&lt;&gt;0,((VLOOKUP(I135,'1. Standard_Cost'!$B$4:$D$11,2)+VLOOKUP(I135,'1. Standard_Cost'!$B$4:$D$11,3))*J135*K135),"0")</f>
        <v>0</v>
      </c>
      <c r="M135" s="125">
        <f>L135*'1. Standard_Cost'!$F$4</f>
        <v>0</v>
      </c>
      <c r="N135" s="126"/>
      <c r="O135" s="126"/>
      <c r="P135" s="126"/>
      <c r="Q135" s="126"/>
      <c r="R135" s="127">
        <f>'1. Standard_Cost'!$B$15*N135*P135</f>
        <v>0</v>
      </c>
      <c r="S135" s="127">
        <f>N135*O135*P135*'1. Standard_Cost'!$C$15</f>
        <v>0</v>
      </c>
      <c r="T135" s="127">
        <f>N135*P135*Q135*'1. Standard_Cost'!$D$15</f>
        <v>0</v>
      </c>
      <c r="U135" s="127">
        <f>N135*O135*'1. Standard_Cost'!$E$15</f>
        <v>0</v>
      </c>
      <c r="V135" s="126"/>
      <c r="W135" s="126"/>
      <c r="X135" s="126"/>
      <c r="Y135" s="127">
        <f>+V135*((X135*'1. Standard_Cost'!$B$19)+(W135*X135*'1. Standard_Cost'!$C$19))</f>
        <v>0</v>
      </c>
      <c r="Z135" s="126"/>
      <c r="AA135" s="126"/>
      <c r="AB135" s="127">
        <f>+Z135*'1. Standard_Cost'!$B$23+AA135*'1. Standard_Cost'!$C$23</f>
        <v>0</v>
      </c>
      <c r="AC135" s="128">
        <v>12140000000</v>
      </c>
      <c r="AD135" s="129"/>
      <c r="AE135" s="127"/>
      <c r="AF135" s="127">
        <f>SUM(AE135,AD135,AC135,AB135,Y135,U135,T135,S135,R135)</f>
        <v>12140000000</v>
      </c>
      <c r="AG135" s="126"/>
      <c r="AH135" s="126"/>
      <c r="AI135" s="126"/>
      <c r="AJ135" s="130"/>
      <c r="AK135" s="130"/>
      <c r="AL135" s="130"/>
      <c r="AM135" s="127">
        <f>AG135*'1. Standard_Cost'!$B$27+'Incremental_Cost Year 10'!AH135*'1. Standard_Cost'!$C$27+'Incremental_Cost Year 10'!AI135*'1. Standard_Cost'!$D$27+'Incremental_Cost Year 10'!AJ135+'Incremental_Cost Year 10'!AL135+AK135</f>
        <v>0</v>
      </c>
      <c r="AN135" s="127">
        <f>AM135*'1. Standard_Cost'!$C$31</f>
        <v>0</v>
      </c>
      <c r="AO135" s="130"/>
      <c r="AQ135" s="171">
        <f>L135+M135</f>
        <v>0</v>
      </c>
      <c r="AR135" s="171">
        <f>AF135</f>
        <v>12140000000</v>
      </c>
      <c r="AS135" s="171">
        <f>AM135+AN135</f>
        <v>0</v>
      </c>
      <c r="AT135" s="171">
        <f>SUM(AQ135,AR135,AS135)</f>
        <v>12140000000</v>
      </c>
      <c r="AU135" s="250">
        <v>12140000000</v>
      </c>
      <c r="AV135" s="250"/>
      <c r="AW135" s="250"/>
      <c r="AX135" s="250"/>
      <c r="AY135" s="250"/>
      <c r="AZ135" s="250"/>
      <c r="BA135" s="250"/>
      <c r="BB135" s="251">
        <f t="shared" ref="BB135:BB138" si="88">SUM(AU135:BA135)-AT135</f>
        <v>0</v>
      </c>
      <c r="BC135" s="169"/>
      <c r="BD135" s="169"/>
      <c r="BE135" s="169"/>
      <c r="BF135" s="169"/>
    </row>
    <row r="136" spans="1:58" ht="94.5" outlineLevel="2" x14ac:dyDescent="0.25">
      <c r="A136" s="115"/>
      <c r="B136" s="200"/>
      <c r="C136" s="201"/>
      <c r="D136" s="203"/>
      <c r="E136" s="323"/>
      <c r="F136" s="335"/>
      <c r="G136" s="336"/>
      <c r="H136" s="199" t="s">
        <v>454</v>
      </c>
      <c r="I136" s="130" t="s">
        <v>5</v>
      </c>
      <c r="J136" s="126">
        <v>12</v>
      </c>
      <c r="K136" s="126">
        <v>5</v>
      </c>
      <c r="L136" s="125">
        <f>IF(I136&lt;&gt;0,((VLOOKUP(I136,'1. Standard_Cost'!$B$4:$D$11,2)+VLOOKUP(I136,'1. Standard_Cost'!$B$4:$D$11,3))*J136*K136),"0")</f>
        <v>4242000</v>
      </c>
      <c r="M136" s="125">
        <f>L136*'1. Standard_Cost'!$F$4</f>
        <v>708414</v>
      </c>
      <c r="N136" s="126"/>
      <c r="O136" s="126"/>
      <c r="P136" s="126"/>
      <c r="Q136" s="126"/>
      <c r="R136" s="127">
        <f>'1. Standard_Cost'!$B$15*N136*P136</f>
        <v>0</v>
      </c>
      <c r="S136" s="127">
        <f>N136*O136*P136*'1. Standard_Cost'!$C$15</f>
        <v>0</v>
      </c>
      <c r="T136" s="127">
        <f>N136*P136*Q136*'1. Standard_Cost'!$D$15</f>
        <v>0</v>
      </c>
      <c r="U136" s="127">
        <f>N136*O136*'1. Standard_Cost'!$E$15</f>
        <v>0</v>
      </c>
      <c r="V136" s="126"/>
      <c r="W136" s="126"/>
      <c r="X136" s="126"/>
      <c r="Y136" s="127">
        <f>+V136*((X136*'1. Standard_Cost'!$B$19)+(W136*X136*'1. Standard_Cost'!$C$19))</f>
        <v>0</v>
      </c>
      <c r="Z136" s="126"/>
      <c r="AA136" s="126"/>
      <c r="AB136" s="127">
        <f>+Z136*'1. Standard_Cost'!$B$23+AA136*'1. Standard_Cost'!$C$23</f>
        <v>0</v>
      </c>
      <c r="AC136" s="128">
        <v>594050</v>
      </c>
      <c r="AD136" s="129"/>
      <c r="AE136" s="127">
        <f>SUM(AD136,AC136,AB136,Y136,U136,T136,S136,R136)*'1. Standard_Cost'!$B$31</f>
        <v>118810</v>
      </c>
      <c r="AF136" s="127">
        <f>SUM(AE136,AD136,AC136,AB136,Y136,U136,T136,S136,R136)</f>
        <v>712860</v>
      </c>
      <c r="AG136" s="126"/>
      <c r="AH136" s="126"/>
      <c r="AI136" s="126"/>
      <c r="AJ136" s="130"/>
      <c r="AK136" s="130"/>
      <c r="AL136" s="130"/>
      <c r="AM136" s="127">
        <f>AG136*'1. Standard_Cost'!$B$27+'Incremental_Cost Year 10'!AH136*'1. Standard_Cost'!$C$27+'Incremental_Cost Year 10'!AI136*'1. Standard_Cost'!$D$27+'Incremental_Cost Year 10'!AJ136+'Incremental_Cost Year 10'!AL136+AK136</f>
        <v>0</v>
      </c>
      <c r="AN136" s="127">
        <f>AM136*'1. Standard_Cost'!$C$31</f>
        <v>0</v>
      </c>
      <c r="AO136" s="130"/>
      <c r="AQ136" s="171">
        <f>L136+M136</f>
        <v>4950414</v>
      </c>
      <c r="AR136" s="171">
        <f>AF136</f>
        <v>712860</v>
      </c>
      <c r="AS136" s="171">
        <f>AM136+AN136</f>
        <v>0</v>
      </c>
      <c r="AT136" s="171">
        <f>SUM(AQ136,AR136,AS136)</f>
        <v>5663274</v>
      </c>
      <c r="AU136" s="250">
        <v>5663274</v>
      </c>
      <c r="AV136" s="250"/>
      <c r="AW136" s="250"/>
      <c r="AX136" s="250"/>
      <c r="AY136" s="250"/>
      <c r="AZ136" s="250"/>
      <c r="BA136" s="250"/>
      <c r="BB136" s="251">
        <f t="shared" si="88"/>
        <v>0</v>
      </c>
      <c r="BC136" s="169"/>
      <c r="BD136" s="169"/>
      <c r="BE136" s="169"/>
      <c r="BF136" s="169"/>
    </row>
    <row r="137" spans="1:58" ht="110.25" outlineLevel="2" x14ac:dyDescent="0.25">
      <c r="A137" s="115"/>
      <c r="B137" s="200"/>
      <c r="C137" s="201"/>
      <c r="D137" s="203"/>
      <c r="E137" s="323"/>
      <c r="F137" s="335"/>
      <c r="G137" s="336"/>
      <c r="H137" s="199" t="s">
        <v>455</v>
      </c>
      <c r="I137" s="130" t="s">
        <v>4</v>
      </c>
      <c r="J137" s="126">
        <v>1</v>
      </c>
      <c r="K137" s="126">
        <v>4</v>
      </c>
      <c r="L137" s="125">
        <f>IF(I137&lt;&gt;0,((VLOOKUP(I137,'1. Standard_Cost'!$B$4:$D$11,2)+VLOOKUP(I137,'1. Standard_Cost'!$B$4:$D$11,3))*J137*K137),"0")</f>
        <v>323000</v>
      </c>
      <c r="M137" s="125">
        <f>L137*'1. Standard_Cost'!$F$4</f>
        <v>53941</v>
      </c>
      <c r="N137" s="126"/>
      <c r="O137" s="126"/>
      <c r="P137" s="126"/>
      <c r="Q137" s="126"/>
      <c r="R137" s="127">
        <f>'1. Standard_Cost'!$B$15*N137*P137</f>
        <v>0</v>
      </c>
      <c r="S137" s="127">
        <f>N137*O137*P137*'1. Standard_Cost'!$C$15</f>
        <v>0</v>
      </c>
      <c r="T137" s="127">
        <f>N137*P137*Q137*'1. Standard_Cost'!$D$15</f>
        <v>0</v>
      </c>
      <c r="U137" s="127">
        <f>N137*O137*'1. Standard_Cost'!$E$15</f>
        <v>0</v>
      </c>
      <c r="V137" s="126"/>
      <c r="W137" s="126"/>
      <c r="X137" s="126"/>
      <c r="Y137" s="127">
        <f>+V137*((X137*'1. Standard_Cost'!$B$19)+(W137*X137*'1. Standard_Cost'!$C$19))</f>
        <v>0</v>
      </c>
      <c r="Z137" s="126"/>
      <c r="AA137" s="126"/>
      <c r="AB137" s="127">
        <f>+Z137*'1. Standard_Cost'!$B$23+AA137*'1. Standard_Cost'!$C$23</f>
        <v>0</v>
      </c>
      <c r="AC137" s="128">
        <v>45240</v>
      </c>
      <c r="AD137" s="129"/>
      <c r="AE137" s="127">
        <f>SUM(AD137,AC137,AB137,Y137,U137,T137,S137,R137)*'1. Standard_Cost'!$B$31</f>
        <v>9048</v>
      </c>
      <c r="AF137" s="127">
        <f>SUM(AE137,AD137,AC137,AB137,Y137,U137,T137,S137,R137)</f>
        <v>54288</v>
      </c>
      <c r="AG137" s="126"/>
      <c r="AH137" s="126"/>
      <c r="AI137" s="126"/>
      <c r="AJ137" s="130"/>
      <c r="AK137" s="130"/>
      <c r="AL137" s="130"/>
      <c r="AM137" s="127">
        <f>AG137*'1. Standard_Cost'!$B$27+'Incremental_Cost Year 10'!AH137*'1. Standard_Cost'!$C$27+'Incremental_Cost Year 10'!AI137*'1. Standard_Cost'!$D$27+'Incremental_Cost Year 10'!AJ137+'Incremental_Cost Year 10'!AL137+AK137</f>
        <v>0</v>
      </c>
      <c r="AN137" s="127">
        <f>AM137*'1. Standard_Cost'!$C$31</f>
        <v>0</v>
      </c>
      <c r="AO137" s="130"/>
      <c r="AQ137" s="171">
        <f>L137+M137</f>
        <v>376941</v>
      </c>
      <c r="AR137" s="171">
        <f>AF137</f>
        <v>54288</v>
      </c>
      <c r="AS137" s="171">
        <f>AM137+AN137</f>
        <v>0</v>
      </c>
      <c r="AT137" s="171">
        <f>SUM(AQ137,AR137,AS137)</f>
        <v>431229</v>
      </c>
      <c r="AU137" s="250">
        <v>431229</v>
      </c>
      <c r="AV137" s="250"/>
      <c r="AW137" s="250"/>
      <c r="AX137" s="250"/>
      <c r="AY137" s="250"/>
      <c r="AZ137" s="250"/>
      <c r="BA137" s="250"/>
      <c r="BB137" s="251">
        <f t="shared" si="88"/>
        <v>0</v>
      </c>
      <c r="BC137" s="169"/>
      <c r="BD137" s="169"/>
      <c r="BE137" s="169"/>
      <c r="BF137" s="169"/>
    </row>
    <row r="138" spans="1:58" ht="110.25" outlineLevel="2" x14ac:dyDescent="0.25">
      <c r="A138" s="115"/>
      <c r="B138" s="200"/>
      <c r="C138" s="334"/>
      <c r="D138" s="347"/>
      <c r="E138" s="323"/>
      <c r="F138" s="335"/>
      <c r="G138" s="336"/>
      <c r="H138" s="199" t="s">
        <v>456</v>
      </c>
      <c r="I138" s="130" t="s">
        <v>5</v>
      </c>
      <c r="J138" s="126">
        <v>12</v>
      </c>
      <c r="K138" s="126">
        <v>2</v>
      </c>
      <c r="L138" s="125">
        <f>IF(I138&lt;&gt;0,((VLOOKUP(I138,'1. Standard_Cost'!$B$4:$D$11,2)+VLOOKUP(I138,'1. Standard_Cost'!$B$4:$D$11,3))*J138*K138),"0")</f>
        <v>1696800</v>
      </c>
      <c r="M138" s="125">
        <f>L138*'1. Standard_Cost'!$F$4</f>
        <v>283365.60000000003</v>
      </c>
      <c r="N138" s="126"/>
      <c r="O138" s="126"/>
      <c r="P138" s="126"/>
      <c r="Q138" s="126"/>
      <c r="R138" s="127">
        <f>'1. Standard_Cost'!$B$15*N138*P138</f>
        <v>0</v>
      </c>
      <c r="S138" s="127">
        <f>N138*O138*P138*'1. Standard_Cost'!$C$15</f>
        <v>0</v>
      </c>
      <c r="T138" s="127">
        <f>N138*P138*Q138*'1. Standard_Cost'!$D$15</f>
        <v>0</v>
      </c>
      <c r="U138" s="127">
        <f>N138*O138*'1. Standard_Cost'!$E$15</f>
        <v>0</v>
      </c>
      <c r="V138" s="126"/>
      <c r="W138" s="126"/>
      <c r="X138" s="126"/>
      <c r="Y138" s="127">
        <f>+V138*((X138*'1. Standard_Cost'!$B$19)+(W138*X138*'1. Standard_Cost'!$C$19))</f>
        <v>0</v>
      </c>
      <c r="Z138" s="126"/>
      <c r="AA138" s="145"/>
      <c r="AB138" s="127">
        <f>+Z138*'1. Standard_Cost'!$B$23+AA138*'1. Standard_Cost'!$C$23</f>
        <v>0</v>
      </c>
      <c r="AC138" s="128">
        <v>10200000</v>
      </c>
      <c r="AD138" s="129"/>
      <c r="AE138" s="127">
        <f>SUM(AD138,AC138,AB138,Y138,U138,T138,S138,R138)*'1. Standard_Cost'!$B$31</f>
        <v>2040000</v>
      </c>
      <c r="AF138" s="127">
        <f>SUM(AE138,AD138,AC138,AB138,Y138,U138,T138,S138,R138)</f>
        <v>12240000</v>
      </c>
      <c r="AG138" s="126"/>
      <c r="AH138" s="126"/>
      <c r="AI138" s="126"/>
      <c r="AJ138" s="130"/>
      <c r="AK138" s="130"/>
      <c r="AL138" s="130"/>
      <c r="AM138" s="127">
        <f>AG138*'1. Standard_Cost'!$B$27+'Incremental_Cost Year 10'!AH138*'1. Standard_Cost'!$C$27+'Incremental_Cost Year 10'!AI138*'1. Standard_Cost'!$D$27+'Incremental_Cost Year 10'!AJ138+'Incremental_Cost Year 10'!AL138+AK138</f>
        <v>0</v>
      </c>
      <c r="AN138" s="127">
        <f>AM138*'1. Standard_Cost'!$C$31</f>
        <v>0</v>
      </c>
      <c r="AO138" s="262"/>
      <c r="AQ138" s="171">
        <f>L138+M138</f>
        <v>1980165.6</v>
      </c>
      <c r="AR138" s="171">
        <f>AF138</f>
        <v>12240000</v>
      </c>
      <c r="AS138" s="171">
        <f>AM138+AN138</f>
        <v>0</v>
      </c>
      <c r="AT138" s="171">
        <f>SUM(AQ138,AR138,AS138)</f>
        <v>14220165.6</v>
      </c>
      <c r="AU138" s="250">
        <v>14220166</v>
      </c>
      <c r="AV138" s="250"/>
      <c r="AW138" s="250"/>
      <c r="AX138" s="250"/>
      <c r="AY138" s="250"/>
      <c r="AZ138" s="250"/>
      <c r="BA138" s="250"/>
      <c r="BB138" s="251">
        <f t="shared" si="88"/>
        <v>0.40000000037252903</v>
      </c>
      <c r="BC138" s="169"/>
      <c r="BD138" s="169"/>
      <c r="BE138" s="169"/>
      <c r="BF138" s="169"/>
    </row>
    <row r="139" spans="1:58" ht="47.25" outlineLevel="1" x14ac:dyDescent="0.25">
      <c r="A139" s="115"/>
      <c r="B139" s="165"/>
      <c r="C139" s="166"/>
      <c r="D139" s="228" t="s">
        <v>233</v>
      </c>
      <c r="E139" s="212" t="s">
        <v>291</v>
      </c>
      <c r="F139" s="136">
        <v>2022</v>
      </c>
      <c r="G139" s="117">
        <v>2030</v>
      </c>
      <c r="H139" s="110" t="s">
        <v>292</v>
      </c>
      <c r="I139" s="252"/>
      <c r="J139" s="252"/>
      <c r="K139" s="252"/>
      <c r="L139" s="127">
        <f>SUM(L135:L138)</f>
        <v>6261800</v>
      </c>
      <c r="M139" s="127">
        <f>SUM(M135:M138)</f>
        <v>1045720.6000000001</v>
      </c>
      <c r="N139" s="127"/>
      <c r="O139" s="252"/>
      <c r="P139" s="252"/>
      <c r="Q139" s="252"/>
      <c r="R139" s="127">
        <f>SUM(R135:R138)</f>
        <v>0</v>
      </c>
      <c r="S139" s="127">
        <f>SUM(S135:S138)</f>
        <v>0</v>
      </c>
      <c r="T139" s="127">
        <f>SUM(T135:T138)</f>
        <v>0</v>
      </c>
      <c r="U139" s="127">
        <f>SUM(U135:U138)</f>
        <v>0</v>
      </c>
      <c r="V139" s="252"/>
      <c r="W139" s="252"/>
      <c r="X139" s="252"/>
      <c r="Y139" s="127">
        <f>SUM(Y135:Y138)</f>
        <v>0</v>
      </c>
      <c r="Z139" s="252"/>
      <c r="AA139" s="252"/>
      <c r="AB139" s="127">
        <f>SUM(AB135:AB138)</f>
        <v>0</v>
      </c>
      <c r="AC139" s="127">
        <f>SUM(AC135:AC137)</f>
        <v>12140639290</v>
      </c>
      <c r="AD139" s="127">
        <f>SUM(AD135:AD137)</f>
        <v>0</v>
      </c>
      <c r="AE139" s="127">
        <f>SUM(AE135:AE137)</f>
        <v>127858</v>
      </c>
      <c r="AF139" s="127">
        <f>SUM(AF135:AF138)</f>
        <v>12153007148</v>
      </c>
      <c r="AG139" s="252"/>
      <c r="AH139" s="252"/>
      <c r="AI139" s="252"/>
      <c r="AJ139" s="127">
        <f>SUM(AJ135:AJ137)</f>
        <v>0</v>
      </c>
      <c r="AK139" s="127">
        <f>SUM(AK135:AK137)</f>
        <v>0</v>
      </c>
      <c r="AL139" s="127">
        <f>SUM(AL135:AL137)</f>
        <v>0</v>
      </c>
      <c r="AM139" s="127">
        <f>SUM(AM135:AM137)</f>
        <v>0</v>
      </c>
      <c r="AN139" s="127">
        <f>SUM(AN135:AN137)</f>
        <v>0</v>
      </c>
      <c r="AO139" s="253"/>
      <c r="AP139" s="254"/>
      <c r="AQ139" s="175">
        <f>SUM(AQ135:AQ138)</f>
        <v>7307520.5999999996</v>
      </c>
      <c r="AR139" s="175">
        <f>SUM(AR135:AR138)</f>
        <v>12153007148</v>
      </c>
      <c r="AS139" s="175">
        <f>SUM(AS135:AS138)</f>
        <v>0</v>
      </c>
      <c r="AT139" s="175">
        <f>SUM(AT135:AT138)</f>
        <v>12160314668.6</v>
      </c>
      <c r="AU139" s="175">
        <f t="shared" ref="AU139:BB139" si="89">SUM(AU135:AU138)</f>
        <v>12160314669</v>
      </c>
      <c r="AV139" s="175">
        <f t="shared" si="89"/>
        <v>0</v>
      </c>
      <c r="AW139" s="175">
        <f t="shared" si="89"/>
        <v>0</v>
      </c>
      <c r="AX139" s="175">
        <f t="shared" si="89"/>
        <v>0</v>
      </c>
      <c r="AY139" s="175">
        <f t="shared" si="89"/>
        <v>0</v>
      </c>
      <c r="AZ139" s="175">
        <f t="shared" si="89"/>
        <v>0</v>
      </c>
      <c r="BA139" s="175">
        <f t="shared" si="89"/>
        <v>0</v>
      </c>
      <c r="BB139" s="175">
        <f t="shared" si="89"/>
        <v>0.40000000037252903</v>
      </c>
      <c r="BC139" s="169"/>
      <c r="BD139" s="169"/>
      <c r="BE139" s="169"/>
      <c r="BF139" s="169"/>
    </row>
    <row r="140" spans="1:58" s="184" customFormat="1" ht="15.75" customHeight="1" x14ac:dyDescent="0.25">
      <c r="A140" s="143"/>
      <c r="B140" s="290"/>
      <c r="C140" s="391" t="s">
        <v>293</v>
      </c>
      <c r="D140" s="391"/>
      <c r="E140" s="392"/>
      <c r="F140" s="291"/>
      <c r="G140" s="289"/>
      <c r="H140" s="144" t="s">
        <v>294</v>
      </c>
      <c r="I140" s="257"/>
      <c r="J140" s="257"/>
      <c r="K140" s="257"/>
      <c r="L140" s="258">
        <f>SUM(L149)</f>
        <v>10076500</v>
      </c>
      <c r="M140" s="258">
        <f>SUM(M149)</f>
        <v>1682775.5</v>
      </c>
      <c r="N140" s="257"/>
      <c r="O140" s="257"/>
      <c r="P140" s="257"/>
      <c r="Q140" s="257"/>
      <c r="R140" s="258">
        <f>SUM(R149)</f>
        <v>400000</v>
      </c>
      <c r="S140" s="258">
        <f>SUM(S149)</f>
        <v>300000</v>
      </c>
      <c r="T140" s="258">
        <f>SUM(T149)</f>
        <v>0</v>
      </c>
      <c r="U140" s="258">
        <f>SUM(U149)</f>
        <v>400000</v>
      </c>
      <c r="V140" s="257"/>
      <c r="W140" s="257"/>
      <c r="X140" s="257"/>
      <c r="Y140" s="258">
        <f>SUM(Y149)</f>
        <v>255000</v>
      </c>
      <c r="Z140" s="258"/>
      <c r="AA140" s="258"/>
      <c r="AB140" s="258">
        <f>SUM(AB149)</f>
        <v>209000</v>
      </c>
      <c r="AC140" s="258">
        <f>SUM(AC149)</f>
        <v>2890900</v>
      </c>
      <c r="AD140" s="258">
        <f>SUM(AD149)</f>
        <v>0</v>
      </c>
      <c r="AE140" s="258">
        <f>SUM(AE149)</f>
        <v>890980</v>
      </c>
      <c r="AF140" s="258">
        <f>SUM(AF149)</f>
        <v>5345880</v>
      </c>
      <c r="AG140" s="257"/>
      <c r="AH140" s="257"/>
      <c r="AI140" s="257"/>
      <c r="AJ140" s="258">
        <f>SUM(AJ149)</f>
        <v>0</v>
      </c>
      <c r="AK140" s="258">
        <f>SUM(AK149)</f>
        <v>0</v>
      </c>
      <c r="AL140" s="258">
        <f>SUM(AL149)</f>
        <v>0</v>
      </c>
      <c r="AM140" s="258">
        <f>SUM(AM149)</f>
        <v>0</v>
      </c>
      <c r="AN140" s="258">
        <f>SUM(AN149)</f>
        <v>0</v>
      </c>
      <c r="AO140" s="259"/>
      <c r="AP140" s="260"/>
      <c r="AQ140" s="261">
        <f>SUM(AQ149)</f>
        <v>11759275.5</v>
      </c>
      <c r="AR140" s="261">
        <f>SUM(AR149)</f>
        <v>5345880</v>
      </c>
      <c r="AS140" s="261">
        <f>SUM(AS149)</f>
        <v>0</v>
      </c>
      <c r="AT140" s="261">
        <f>SUM(AT149)</f>
        <v>17105155.5</v>
      </c>
      <c r="AU140" s="261">
        <f t="shared" ref="AU140:BA140" si="90">SUM(AU149)</f>
        <v>14742355.5</v>
      </c>
      <c r="AV140" s="261">
        <f t="shared" si="90"/>
        <v>0</v>
      </c>
      <c r="AW140" s="261">
        <f t="shared" si="90"/>
        <v>0</v>
      </c>
      <c r="AX140" s="261">
        <f t="shared" si="90"/>
        <v>0</v>
      </c>
      <c r="AY140" s="261">
        <f t="shared" si="90"/>
        <v>0</v>
      </c>
      <c r="AZ140" s="261">
        <f t="shared" si="90"/>
        <v>0</v>
      </c>
      <c r="BA140" s="261">
        <f t="shared" si="90"/>
        <v>0</v>
      </c>
      <c r="BB140" s="261">
        <f t="shared" ref="BB140" si="91">SUM(BB149)</f>
        <v>-2362800</v>
      </c>
    </row>
    <row r="141" spans="1:58" ht="78.75" outlineLevel="2" x14ac:dyDescent="0.25">
      <c r="A141" s="115"/>
      <c r="B141" s="303"/>
      <c r="C141" s="329"/>
      <c r="D141" s="342"/>
      <c r="E141" s="328"/>
      <c r="F141" s="328"/>
      <c r="G141" s="328"/>
      <c r="H141" s="199" t="s">
        <v>457</v>
      </c>
      <c r="I141" s="130"/>
      <c r="J141" s="126"/>
      <c r="K141" s="126"/>
      <c r="L141" s="125" t="str">
        <f>IF(I141&lt;&gt;0,((VLOOKUP(I141,'1. Standard_Cost'!$B$4:$D$11,2)+VLOOKUP(I141,'1. Standard_Cost'!$B$4:$D$11,3))*J141*K141),"0")</f>
        <v>0</v>
      </c>
      <c r="M141" s="125">
        <f>L141*'1. Standard_Cost'!$F$4</f>
        <v>0</v>
      </c>
      <c r="N141" s="126"/>
      <c r="O141" s="126"/>
      <c r="P141" s="126"/>
      <c r="Q141" s="126"/>
      <c r="R141" s="127">
        <f>'1. Standard_Cost'!$B$15*N141*P141</f>
        <v>0</v>
      </c>
      <c r="S141" s="127">
        <f>N141*O141*P141*'1. Standard_Cost'!$C$15</f>
        <v>0</v>
      </c>
      <c r="T141" s="127">
        <f>N141*P141*Q141*'1. Standard_Cost'!$D$15</f>
        <v>0</v>
      </c>
      <c r="U141" s="127">
        <f>N141*O141*'1. Standard_Cost'!$E$15</f>
        <v>0</v>
      </c>
      <c r="V141" s="126"/>
      <c r="W141" s="126"/>
      <c r="X141" s="126"/>
      <c r="Y141" s="127">
        <f>+V141*((X141*'1. Standard_Cost'!$B$19)+(W141*X141*'1. Standard_Cost'!$C$19))</f>
        <v>0</v>
      </c>
      <c r="Z141" s="126"/>
      <c r="AA141" s="126"/>
      <c r="AB141" s="127">
        <f>+Z141*'1. Standard_Cost'!$B$23+AA141*'1. Standard_Cost'!$C$23</f>
        <v>0</v>
      </c>
      <c r="AC141" s="128"/>
      <c r="AD141" s="129"/>
      <c r="AE141" s="127">
        <f>SUM(AD141,AC141,AB141,Y141,U141,T141,S141,R141)*'1. Standard_Cost'!$B$31</f>
        <v>0</v>
      </c>
      <c r="AF141" s="127">
        <f t="shared" ref="AF141:AF148" si="92">SUM(AE141,AD141,AC141,AB141,Y141,U141,T141,S141,R141)</f>
        <v>0</v>
      </c>
      <c r="AG141" s="126"/>
      <c r="AH141" s="126"/>
      <c r="AI141" s="126"/>
      <c r="AJ141" s="130"/>
      <c r="AK141" s="130"/>
      <c r="AL141" s="130"/>
      <c r="AM141" s="127">
        <f>AG141*'1. Standard_Cost'!$B$27+'Incremental_Cost Year 10'!AH141*'1. Standard_Cost'!$C$27+'Incremental_Cost Year 10'!AI141*'1. Standard_Cost'!$D$27+'Incremental_Cost Year 10'!AJ141+'Incremental_Cost Year 10'!AL141+AK141</f>
        <v>0</v>
      </c>
      <c r="AN141" s="127">
        <f>AM141*'1. Standard_Cost'!$C$31</f>
        <v>0</v>
      </c>
      <c r="AO141" s="130"/>
      <c r="AQ141" s="171">
        <f t="shared" ref="AQ141:AQ148" si="93">L141+M141</f>
        <v>0</v>
      </c>
      <c r="AR141" s="171">
        <f t="shared" ref="AR141:AR148" si="94">AF141</f>
        <v>0</v>
      </c>
      <c r="AS141" s="171">
        <f t="shared" ref="AS141:AS148" si="95">AM141+AN141</f>
        <v>0</v>
      </c>
      <c r="AT141" s="171">
        <f t="shared" ref="AT141:AT148" si="96">SUM(AQ141,AR141,AS141)</f>
        <v>0</v>
      </c>
      <c r="AU141" s="250"/>
      <c r="AV141" s="250"/>
      <c r="AW141" s="250"/>
      <c r="AX141" s="250"/>
      <c r="AY141" s="250"/>
      <c r="AZ141" s="250"/>
      <c r="BA141" s="250"/>
      <c r="BB141" s="251">
        <f t="shared" ref="BB141:BB148" si="97">SUM(AU141:BA141)-AT141</f>
        <v>0</v>
      </c>
      <c r="BC141" s="169"/>
      <c r="BD141" s="169"/>
      <c r="BE141" s="169"/>
      <c r="BF141" s="169"/>
    </row>
    <row r="142" spans="1:58" ht="47.25" outlineLevel="2" x14ac:dyDescent="0.25">
      <c r="A142" s="115"/>
      <c r="B142" s="200"/>
      <c r="C142" s="330"/>
      <c r="D142" s="343"/>
      <c r="E142" s="328"/>
      <c r="F142" s="328"/>
      <c r="G142" s="328"/>
      <c r="H142" s="199" t="s">
        <v>458</v>
      </c>
      <c r="I142" s="130"/>
      <c r="J142" s="126"/>
      <c r="K142" s="126"/>
      <c r="L142" s="125" t="str">
        <f>IF(I142&lt;&gt;0,((VLOOKUP(I142,'1. Standard_Cost'!$B$4:$D$11,2)+VLOOKUP(I142,'1. Standard_Cost'!$B$4:$D$11,3))*J142*K142),"0")</f>
        <v>0</v>
      </c>
      <c r="M142" s="125">
        <f>L142*'1. Standard_Cost'!$F$4</f>
        <v>0</v>
      </c>
      <c r="N142" s="126"/>
      <c r="O142" s="126"/>
      <c r="P142" s="126"/>
      <c r="Q142" s="126"/>
      <c r="R142" s="127">
        <f>'1. Standard_Cost'!$B$15*N142*P142</f>
        <v>0</v>
      </c>
      <c r="S142" s="127">
        <f>N142*O142*P142*'1. Standard_Cost'!$C$15</f>
        <v>0</v>
      </c>
      <c r="T142" s="127">
        <f>N142*P142*Q142*'1. Standard_Cost'!$D$15</f>
        <v>0</v>
      </c>
      <c r="U142" s="127">
        <f>N142*O142*'1. Standard_Cost'!$E$15</f>
        <v>0</v>
      </c>
      <c r="V142" s="126"/>
      <c r="W142" s="126"/>
      <c r="X142" s="126"/>
      <c r="Y142" s="127">
        <f>+V142*((X142*'1. Standard_Cost'!$B$19)+(W142*X142*'1. Standard_Cost'!$C$19))</f>
        <v>0</v>
      </c>
      <c r="Z142" s="126"/>
      <c r="AA142" s="126"/>
      <c r="AB142" s="127">
        <f>+Z142*'1. Standard_Cost'!$B$23+AA142*'1. Standard_Cost'!$C$23</f>
        <v>0</v>
      </c>
      <c r="AC142" s="128"/>
      <c r="AD142" s="129"/>
      <c r="AE142" s="127">
        <f>SUM(AD142,AC142,AB142,Y142,U142,T142,S142,R142)*'1. Standard_Cost'!$B$31</f>
        <v>0</v>
      </c>
      <c r="AF142" s="127">
        <f t="shared" si="92"/>
        <v>0</v>
      </c>
      <c r="AG142" s="126"/>
      <c r="AH142" s="126"/>
      <c r="AI142" s="126"/>
      <c r="AJ142" s="130"/>
      <c r="AK142" s="130"/>
      <c r="AL142" s="130"/>
      <c r="AM142" s="127">
        <f>AG142*'1. Standard_Cost'!$B$27+'Incremental_Cost Year 10'!AH142*'1. Standard_Cost'!$C$27+'Incremental_Cost Year 10'!AI142*'1. Standard_Cost'!$D$27+'Incremental_Cost Year 10'!AJ142+'Incremental_Cost Year 10'!AL142+AK142</f>
        <v>0</v>
      </c>
      <c r="AN142" s="127">
        <f>AM142*'1. Standard_Cost'!$C$31</f>
        <v>0</v>
      </c>
      <c r="AO142" s="130"/>
      <c r="AQ142" s="171">
        <f t="shared" si="93"/>
        <v>0</v>
      </c>
      <c r="AR142" s="171">
        <f t="shared" si="94"/>
        <v>0</v>
      </c>
      <c r="AS142" s="171">
        <f t="shared" si="95"/>
        <v>0</v>
      </c>
      <c r="AT142" s="171">
        <f t="shared" si="96"/>
        <v>0</v>
      </c>
      <c r="AU142" s="250"/>
      <c r="AV142" s="250"/>
      <c r="AW142" s="250"/>
      <c r="AX142" s="250"/>
      <c r="AY142" s="250"/>
      <c r="AZ142" s="250"/>
      <c r="BA142" s="250"/>
      <c r="BB142" s="251">
        <f t="shared" si="97"/>
        <v>0</v>
      </c>
      <c r="BC142" s="169"/>
      <c r="BD142" s="169"/>
      <c r="BE142" s="169"/>
      <c r="BF142" s="169"/>
    </row>
    <row r="143" spans="1:58" ht="126" outlineLevel="2" x14ac:dyDescent="0.25">
      <c r="A143" s="115"/>
      <c r="B143" s="200"/>
      <c r="C143" s="330"/>
      <c r="D143" s="343"/>
      <c r="E143" s="328"/>
      <c r="F143" s="328"/>
      <c r="G143" s="328"/>
      <c r="H143" s="199" t="s">
        <v>459</v>
      </c>
      <c r="I143" s="130" t="s">
        <v>3</v>
      </c>
      <c r="J143" s="126">
        <v>12</v>
      </c>
      <c r="K143" s="126">
        <v>5</v>
      </c>
      <c r="L143" s="125">
        <f>IF(I143&lt;&gt;0,((VLOOKUP(I143,'1. Standard_Cost'!$B$4:$D$11,2)+VLOOKUP(I143,'1. Standard_Cost'!$B$4:$D$11,3))*J143*K143),"0")</f>
        <v>6048000</v>
      </c>
      <c r="M143" s="125">
        <f>L143*'1. Standard_Cost'!$F$4</f>
        <v>1010016</v>
      </c>
      <c r="N143" s="126"/>
      <c r="O143" s="126"/>
      <c r="P143" s="126"/>
      <c r="Q143" s="126"/>
      <c r="R143" s="127">
        <f>'1. Standard_Cost'!$B$15*N143*P143</f>
        <v>0</v>
      </c>
      <c r="S143" s="127">
        <f>N143*O143*P143*'1. Standard_Cost'!$C$15</f>
        <v>0</v>
      </c>
      <c r="T143" s="127">
        <f>N143*P143*Q143*'1. Standard_Cost'!$D$15</f>
        <v>0</v>
      </c>
      <c r="U143" s="127">
        <f>N143*O143*'1. Standard_Cost'!$E$15</f>
        <v>0</v>
      </c>
      <c r="V143" s="126"/>
      <c r="W143" s="126"/>
      <c r="X143" s="126"/>
      <c r="Y143" s="127">
        <f>+V143*((X143*'1. Standard_Cost'!$B$19)+(W143*X143*'1. Standard_Cost'!$C$19))</f>
        <v>0</v>
      </c>
      <c r="Z143" s="126"/>
      <c r="AA143" s="126"/>
      <c r="AB143" s="127">
        <f>+Z143*'1. Standard_Cost'!$B$23+AA143*'1. Standard_Cost'!$C$23</f>
        <v>0</v>
      </c>
      <c r="AC143" s="128">
        <v>1200000</v>
      </c>
      <c r="AD143" s="129"/>
      <c r="AE143" s="127">
        <f>SUM(AD143,AC143,AB143,Y143,U143,T143,S143,R143)*'1. Standard_Cost'!$B$31</f>
        <v>240000</v>
      </c>
      <c r="AF143" s="127">
        <f t="shared" si="92"/>
        <v>1440000</v>
      </c>
      <c r="AG143" s="126"/>
      <c r="AH143" s="126"/>
      <c r="AI143" s="126"/>
      <c r="AJ143" s="130"/>
      <c r="AK143" s="130"/>
      <c r="AL143" s="130"/>
      <c r="AM143" s="127">
        <f>AG143*'1. Standard_Cost'!$B$27+'Incremental_Cost Year 10'!AH143*'1. Standard_Cost'!$C$27+'Incremental_Cost Year 10'!AI143*'1. Standard_Cost'!$D$27+'Incremental_Cost Year 10'!AJ143+'Incremental_Cost Year 10'!AL143+AK143</f>
        <v>0</v>
      </c>
      <c r="AN143" s="127">
        <f>AM143*'1. Standard_Cost'!$C$31</f>
        <v>0</v>
      </c>
      <c r="AO143" s="130"/>
      <c r="AQ143" s="171">
        <f t="shared" si="93"/>
        <v>7058016</v>
      </c>
      <c r="AR143" s="171">
        <f t="shared" si="94"/>
        <v>1440000</v>
      </c>
      <c r="AS143" s="171">
        <f t="shared" si="95"/>
        <v>0</v>
      </c>
      <c r="AT143" s="171">
        <f t="shared" si="96"/>
        <v>8498016</v>
      </c>
      <c r="AU143" s="250">
        <v>8498016</v>
      </c>
      <c r="AV143" s="250"/>
      <c r="AW143" s="250"/>
      <c r="AX143" s="250"/>
      <c r="AY143" s="250"/>
      <c r="AZ143" s="250"/>
      <c r="BA143" s="250"/>
      <c r="BB143" s="251">
        <f t="shared" si="97"/>
        <v>0</v>
      </c>
      <c r="BC143" s="169"/>
      <c r="BD143" s="169"/>
      <c r="BE143" s="169"/>
      <c r="BF143" s="169"/>
    </row>
    <row r="144" spans="1:58" ht="47.25" outlineLevel="2" x14ac:dyDescent="0.25">
      <c r="A144" s="115"/>
      <c r="B144" s="200"/>
      <c r="C144" s="330"/>
      <c r="D144" s="343"/>
      <c r="E144" s="328"/>
      <c r="F144" s="328"/>
      <c r="G144" s="328"/>
      <c r="H144" s="199" t="s">
        <v>460</v>
      </c>
      <c r="I144" s="130"/>
      <c r="J144" s="126"/>
      <c r="K144" s="126"/>
      <c r="L144" s="125" t="str">
        <f>IF(I144&lt;&gt;0,((VLOOKUP(I144,'1. Standard_Cost'!$B$4:$D$11,2)+VLOOKUP(I144,'1. Standard_Cost'!$B$4:$D$11,3))*J144*K144),"0")</f>
        <v>0</v>
      </c>
      <c r="M144" s="125">
        <f>L144*'1. Standard_Cost'!$F$4</f>
        <v>0</v>
      </c>
      <c r="N144" s="126"/>
      <c r="O144" s="126"/>
      <c r="P144" s="126"/>
      <c r="Q144" s="126"/>
      <c r="R144" s="127">
        <f>'1. Standard_Cost'!$B$15*N144*P144</f>
        <v>0</v>
      </c>
      <c r="S144" s="127">
        <f>N144*O144*P144*'1. Standard_Cost'!$C$15</f>
        <v>0</v>
      </c>
      <c r="T144" s="127">
        <f>N144*P144*Q144*'1. Standard_Cost'!$D$15</f>
        <v>0</v>
      </c>
      <c r="U144" s="127">
        <f>N144*O144*'1. Standard_Cost'!$E$15</f>
        <v>0</v>
      </c>
      <c r="V144" s="126">
        <v>1</v>
      </c>
      <c r="W144" s="126">
        <v>5</v>
      </c>
      <c r="X144" s="126">
        <v>3</v>
      </c>
      <c r="Y144" s="127">
        <f>+V144*((X144*'1. Standard_Cost'!$B$19)+(W144*X144*'1. Standard_Cost'!$C$19))</f>
        <v>255000</v>
      </c>
      <c r="Z144" s="126"/>
      <c r="AA144" s="126"/>
      <c r="AB144" s="127">
        <f>+Z144*'1. Standard_Cost'!$B$23+AA144*'1. Standard_Cost'!$C$23</f>
        <v>0</v>
      </c>
      <c r="AC144" s="128">
        <v>500000</v>
      </c>
      <c r="AD144" s="129"/>
      <c r="AE144" s="127">
        <f>SUM(AD144,AC144,AB144,Y144,U144,T144,S144,R144)*'1. Standard_Cost'!$B$31</f>
        <v>151000</v>
      </c>
      <c r="AF144" s="127">
        <f t="shared" si="92"/>
        <v>906000</v>
      </c>
      <c r="AG144" s="126"/>
      <c r="AH144" s="126"/>
      <c r="AI144" s="126"/>
      <c r="AJ144" s="130"/>
      <c r="AK144" s="130"/>
      <c r="AL144" s="130"/>
      <c r="AM144" s="127">
        <f>AG144*'1. Standard_Cost'!$B$27+'Incremental_Cost Year 10'!AH144*'1. Standard_Cost'!$C$27+'Incremental_Cost Year 10'!AI144*'1. Standard_Cost'!$D$27+'Incremental_Cost Year 10'!AJ144+'Incremental_Cost Year 10'!AL144+AK144</f>
        <v>0</v>
      </c>
      <c r="AN144" s="127">
        <f>AM144*'1. Standard_Cost'!$C$31</f>
        <v>0</v>
      </c>
      <c r="AO144" s="130"/>
      <c r="AQ144" s="171">
        <f t="shared" si="93"/>
        <v>0</v>
      </c>
      <c r="AR144" s="171">
        <f t="shared" si="94"/>
        <v>906000</v>
      </c>
      <c r="AS144" s="171">
        <f t="shared" si="95"/>
        <v>0</v>
      </c>
      <c r="AT144" s="171">
        <f t="shared" si="96"/>
        <v>906000</v>
      </c>
      <c r="AU144" s="250">
        <v>906000</v>
      </c>
      <c r="AV144" s="250"/>
      <c r="AW144" s="250"/>
      <c r="AX144" s="250"/>
      <c r="AY144" s="250"/>
      <c r="AZ144" s="250"/>
      <c r="BA144" s="250"/>
      <c r="BB144" s="251">
        <f t="shared" si="97"/>
        <v>0</v>
      </c>
      <c r="BC144" s="169"/>
      <c r="BD144" s="169"/>
      <c r="BE144" s="169"/>
      <c r="BF144" s="169"/>
    </row>
    <row r="145" spans="1:58" ht="126" outlineLevel="2" x14ac:dyDescent="0.25">
      <c r="A145" s="115"/>
      <c r="B145" s="200"/>
      <c r="C145" s="330"/>
      <c r="D145" s="343"/>
      <c r="E145" s="328"/>
      <c r="F145" s="328"/>
      <c r="G145" s="328"/>
      <c r="H145" s="199" t="s">
        <v>461</v>
      </c>
      <c r="I145" s="130" t="s">
        <v>4</v>
      </c>
      <c r="J145" s="126">
        <v>3</v>
      </c>
      <c r="K145" s="126">
        <v>8</v>
      </c>
      <c r="L145" s="125">
        <f>IF(I145&lt;&gt;0,((VLOOKUP(I145,'1. Standard_Cost'!$B$4:$D$11,2)+VLOOKUP(I145,'1. Standard_Cost'!$B$4:$D$11,3))*J145*K145),"0")</f>
        <v>1938000</v>
      </c>
      <c r="M145" s="125">
        <f>L145*'1. Standard_Cost'!$F$4</f>
        <v>323646</v>
      </c>
      <c r="N145" s="126"/>
      <c r="O145" s="126"/>
      <c r="P145" s="126"/>
      <c r="Q145" s="126"/>
      <c r="R145" s="127">
        <f>'1. Standard_Cost'!$B$15*N145*P145</f>
        <v>0</v>
      </c>
      <c r="S145" s="127">
        <f>N145*O145*P145*'1. Standard_Cost'!$C$15</f>
        <v>0</v>
      </c>
      <c r="T145" s="127">
        <f>N145*P145*Q145*'1. Standard_Cost'!$D$15</f>
        <v>0</v>
      </c>
      <c r="U145" s="127">
        <f>N145*O145*'1. Standard_Cost'!$E$15</f>
        <v>0</v>
      </c>
      <c r="V145" s="126"/>
      <c r="W145" s="126"/>
      <c r="X145" s="126"/>
      <c r="Y145" s="127">
        <f>+V145*((X145*'1. Standard_Cost'!$B$19)+(W145*X145*'1. Standard_Cost'!$C$19))</f>
        <v>0</v>
      </c>
      <c r="Z145" s="126"/>
      <c r="AA145" s="126"/>
      <c r="AB145" s="127">
        <f>+Z145*'1. Standard_Cost'!$B$23+AA145*'1. Standard_Cost'!$C$23</f>
        <v>0</v>
      </c>
      <c r="AC145" s="128">
        <v>271400</v>
      </c>
      <c r="AD145" s="129"/>
      <c r="AE145" s="127">
        <f>SUM(AD145,AC145,AB145,Y145,U145,T145,S145,R145)*'1. Standard_Cost'!$B$31</f>
        <v>54280</v>
      </c>
      <c r="AF145" s="127">
        <f t="shared" si="92"/>
        <v>325680</v>
      </c>
      <c r="AG145" s="126"/>
      <c r="AH145" s="126"/>
      <c r="AI145" s="126"/>
      <c r="AJ145" s="130"/>
      <c r="AK145" s="130"/>
      <c r="AL145" s="130"/>
      <c r="AM145" s="127">
        <f>AG145*'1. Standard_Cost'!$B$27+'Incremental_Cost Year 10'!AH145*'1. Standard_Cost'!$C$27+'Incremental_Cost Year 10'!AI145*'1. Standard_Cost'!$D$27+'Incremental_Cost Year 10'!AJ145+'Incremental_Cost Year 10'!AL145+AK145</f>
        <v>0</v>
      </c>
      <c r="AN145" s="127">
        <f>AM145*'1. Standard_Cost'!$C$31</f>
        <v>0</v>
      </c>
      <c r="AO145" s="130"/>
      <c r="AQ145" s="171">
        <f t="shared" si="93"/>
        <v>2261646</v>
      </c>
      <c r="AR145" s="171">
        <f t="shared" si="94"/>
        <v>325680</v>
      </c>
      <c r="AS145" s="171">
        <f t="shared" si="95"/>
        <v>0</v>
      </c>
      <c r="AT145" s="171">
        <f t="shared" si="96"/>
        <v>2587326</v>
      </c>
      <c r="AU145" s="250">
        <v>2587326</v>
      </c>
      <c r="AV145" s="250"/>
      <c r="AW145" s="250"/>
      <c r="AX145" s="250"/>
      <c r="AY145" s="250"/>
      <c r="AZ145" s="250"/>
      <c r="BA145" s="250"/>
      <c r="BB145" s="251">
        <f t="shared" si="97"/>
        <v>0</v>
      </c>
      <c r="BC145" s="169"/>
      <c r="BD145" s="169"/>
      <c r="BE145" s="169"/>
      <c r="BF145" s="169"/>
    </row>
    <row r="146" spans="1:58" ht="204.75" outlineLevel="2" x14ac:dyDescent="0.25">
      <c r="A146" s="115"/>
      <c r="B146" s="200"/>
      <c r="C146" s="330"/>
      <c r="D146" s="343"/>
      <c r="E146" s="328"/>
      <c r="F146" s="328"/>
      <c r="G146" s="328"/>
      <c r="H146" s="199" t="s">
        <v>462</v>
      </c>
      <c r="I146" s="130"/>
      <c r="J146" s="126"/>
      <c r="K146" s="126"/>
      <c r="L146" s="125" t="str">
        <f>IF(I146&lt;&gt;0,((VLOOKUP(I146,'1. Standard_Cost'!$B$4:$D$11,2)+VLOOKUP(I146,'1. Standard_Cost'!$B$4:$D$11,3))*J146*K146),"0")</f>
        <v>0</v>
      </c>
      <c r="M146" s="125">
        <f>L146*'1. Standard_Cost'!$F$4</f>
        <v>0</v>
      </c>
      <c r="N146" s="126"/>
      <c r="O146" s="126"/>
      <c r="P146" s="126"/>
      <c r="Q146" s="126"/>
      <c r="R146" s="127">
        <f>'1. Standard_Cost'!$B$15*N146*P146</f>
        <v>0</v>
      </c>
      <c r="S146" s="127">
        <f>N146*O146*P146*'1. Standard_Cost'!$C$15</f>
        <v>0</v>
      </c>
      <c r="T146" s="127">
        <f>N146*P146*Q146*'1. Standard_Cost'!$D$15</f>
        <v>0</v>
      </c>
      <c r="U146" s="127">
        <f>N146*O146*'1. Standard_Cost'!$E$15</f>
        <v>0</v>
      </c>
      <c r="V146" s="126"/>
      <c r="W146" s="126"/>
      <c r="X146" s="126"/>
      <c r="Y146" s="127">
        <f>+V146*((X146*'1. Standard_Cost'!$B$19)+(W146*X146*'1. Standard_Cost'!$C$19))</f>
        <v>0</v>
      </c>
      <c r="Z146" s="126"/>
      <c r="AA146" s="126"/>
      <c r="AB146" s="127">
        <f>+Z146*'1. Standard_Cost'!$B$23+AA146*'1. Standard_Cost'!$C$23</f>
        <v>0</v>
      </c>
      <c r="AC146" s="128">
        <v>12000</v>
      </c>
      <c r="AD146" s="129"/>
      <c r="AE146" s="127">
        <f>SUM(AD146,AC146,AB146,Y146,U146,T146,S146,R146)*'1. Standard_Cost'!$B$31</f>
        <v>2400</v>
      </c>
      <c r="AF146" s="127">
        <f t="shared" si="92"/>
        <v>14400</v>
      </c>
      <c r="AG146" s="126"/>
      <c r="AH146" s="126"/>
      <c r="AI146" s="126"/>
      <c r="AJ146" s="130"/>
      <c r="AK146" s="130"/>
      <c r="AL146" s="130"/>
      <c r="AM146" s="127">
        <f>AG146*'1. Standard_Cost'!$B$27+'Incremental_Cost Year 10'!AH146*'1. Standard_Cost'!$C$27+'Incremental_Cost Year 10'!AI146*'1. Standard_Cost'!$D$27+'Incremental_Cost Year 10'!AJ146+'Incremental_Cost Year 10'!AL146+AK146</f>
        <v>0</v>
      </c>
      <c r="AN146" s="127">
        <f>AM146*'1. Standard_Cost'!$C$31</f>
        <v>0</v>
      </c>
      <c r="AO146" s="130"/>
      <c r="AQ146" s="171">
        <f t="shared" si="93"/>
        <v>0</v>
      </c>
      <c r="AR146" s="171">
        <f t="shared" si="94"/>
        <v>14400</v>
      </c>
      <c r="AS146" s="171">
        <f t="shared" si="95"/>
        <v>0</v>
      </c>
      <c r="AT146" s="171">
        <f t="shared" si="96"/>
        <v>14400</v>
      </c>
      <c r="AU146" s="250">
        <v>14400</v>
      </c>
      <c r="AV146" s="250"/>
      <c r="AW146" s="250"/>
      <c r="AX146" s="250"/>
      <c r="AY146" s="250"/>
      <c r="AZ146" s="250"/>
      <c r="BA146" s="250"/>
      <c r="BB146" s="251">
        <f t="shared" si="97"/>
        <v>0</v>
      </c>
      <c r="BC146" s="169"/>
      <c r="BD146" s="169"/>
      <c r="BE146" s="169"/>
      <c r="BF146" s="169"/>
    </row>
    <row r="147" spans="1:58" ht="94.5" outlineLevel="2" x14ac:dyDescent="0.25">
      <c r="A147" s="115"/>
      <c r="B147" s="200"/>
      <c r="C147" s="330"/>
      <c r="D147" s="343"/>
      <c r="E147" s="328"/>
      <c r="F147" s="328"/>
      <c r="G147" s="328"/>
      <c r="H147" s="199" t="s">
        <v>295</v>
      </c>
      <c r="I147" s="130" t="s">
        <v>5</v>
      </c>
      <c r="J147" s="126">
        <v>0.5</v>
      </c>
      <c r="K147" s="126">
        <v>50</v>
      </c>
      <c r="L147" s="125">
        <f>IF(I147&lt;&gt;0,((VLOOKUP(I147,'1. Standard_Cost'!$B$4:$D$11,2)+VLOOKUP(I147,'1. Standard_Cost'!$B$4:$D$11,3))*J147*K147),"0")</f>
        <v>1767500</v>
      </c>
      <c r="M147" s="125">
        <f>L147*'1. Standard_Cost'!$F$4</f>
        <v>295172.5</v>
      </c>
      <c r="N147" s="126"/>
      <c r="O147" s="126"/>
      <c r="P147" s="126"/>
      <c r="Q147" s="126"/>
      <c r="R147" s="127">
        <f>'1. Standard_Cost'!$B$15*N147*P147</f>
        <v>0</v>
      </c>
      <c r="S147" s="127">
        <f>N147*O147*P147*'1. Standard_Cost'!$C$15</f>
        <v>0</v>
      </c>
      <c r="T147" s="127">
        <f>N147*P147*Q147*'1. Standard_Cost'!$D$15</f>
        <v>0</v>
      </c>
      <c r="U147" s="127">
        <f>N147*O147*'1. Standard_Cost'!$E$15</f>
        <v>0</v>
      </c>
      <c r="V147" s="126"/>
      <c r="W147" s="126"/>
      <c r="X147" s="126"/>
      <c r="Y147" s="127">
        <f>+V147*((X147*'1. Standard_Cost'!$B$19)+(W147*X147*'1. Standard_Cost'!$C$19))</f>
        <v>0</v>
      </c>
      <c r="Z147" s="126"/>
      <c r="AA147" s="126"/>
      <c r="AB147" s="127">
        <f>+Z147*'1. Standard_Cost'!$B$23+AA147*'1. Standard_Cost'!$C$23</f>
        <v>0</v>
      </c>
      <c r="AC147" s="128">
        <v>247500</v>
      </c>
      <c r="AD147" s="129"/>
      <c r="AE147" s="127">
        <f>SUM(AD147,AC147,AB147,Y147,U147,T147,S147,R147)*'1. Standard_Cost'!$B$31</f>
        <v>49500</v>
      </c>
      <c r="AF147" s="127">
        <f t="shared" si="92"/>
        <v>297000</v>
      </c>
      <c r="AG147" s="126"/>
      <c r="AH147" s="126"/>
      <c r="AI147" s="126"/>
      <c r="AJ147" s="130"/>
      <c r="AK147" s="130"/>
      <c r="AL147" s="130"/>
      <c r="AM147" s="127">
        <f>AG147*'1. Standard_Cost'!$B$27+'Incremental_Cost Year 10'!AH147*'1. Standard_Cost'!$C$27+'Incremental_Cost Year 10'!AI147*'1. Standard_Cost'!$D$27+'Incremental_Cost Year 10'!AJ147+'Incremental_Cost Year 10'!AL147+AK147</f>
        <v>0</v>
      </c>
      <c r="AN147" s="127">
        <f>AM147*'1. Standard_Cost'!$C$31</f>
        <v>0</v>
      </c>
      <c r="AO147" s="130"/>
      <c r="AQ147" s="171">
        <f t="shared" si="93"/>
        <v>2062672.5</v>
      </c>
      <c r="AR147" s="171">
        <f t="shared" si="94"/>
        <v>297000</v>
      </c>
      <c r="AS147" s="171">
        <f t="shared" si="95"/>
        <v>0</v>
      </c>
      <c r="AT147" s="171">
        <f t="shared" si="96"/>
        <v>2359672.5</v>
      </c>
      <c r="AU147" s="250">
        <f>AT147</f>
        <v>2359672.5</v>
      </c>
      <c r="AV147" s="250"/>
      <c r="AW147" s="250"/>
      <c r="AX147" s="250"/>
      <c r="AY147" s="250"/>
      <c r="AZ147" s="250"/>
      <c r="BA147" s="250"/>
      <c r="BB147" s="251">
        <f t="shared" si="97"/>
        <v>0</v>
      </c>
      <c r="BC147" s="169"/>
      <c r="BD147" s="169"/>
      <c r="BE147" s="169"/>
      <c r="BF147" s="169"/>
    </row>
    <row r="148" spans="1:58" ht="141.75" outlineLevel="2" x14ac:dyDescent="0.25">
      <c r="A148" s="115"/>
      <c r="B148" s="147"/>
      <c r="C148" s="341"/>
      <c r="D148" s="343"/>
      <c r="E148" s="328"/>
      <c r="F148" s="328"/>
      <c r="G148" s="328"/>
      <c r="H148" s="199" t="s">
        <v>463</v>
      </c>
      <c r="I148" s="130" t="s">
        <v>4</v>
      </c>
      <c r="J148" s="126">
        <v>2</v>
      </c>
      <c r="K148" s="126">
        <v>2</v>
      </c>
      <c r="L148" s="125">
        <f>IF(I148&lt;&gt;0,((VLOOKUP(I148,'1. Standard_Cost'!$B$4:$D$11,2)+VLOOKUP(I148,'1. Standard_Cost'!$B$4:$D$11,3))*J148*K148),"0")</f>
        <v>323000</v>
      </c>
      <c r="M148" s="125">
        <f>L148*'1. Standard_Cost'!$F$4</f>
        <v>53941</v>
      </c>
      <c r="N148" s="126">
        <v>10</v>
      </c>
      <c r="O148" s="126">
        <v>1</v>
      </c>
      <c r="P148" s="126">
        <v>20</v>
      </c>
      <c r="Q148" s="126"/>
      <c r="R148" s="127">
        <f>'1. Standard_Cost'!$B$15*N148*P148</f>
        <v>400000</v>
      </c>
      <c r="S148" s="127">
        <f>N148*O148*P148*'1. Standard_Cost'!$C$15</f>
        <v>300000</v>
      </c>
      <c r="T148" s="127">
        <f>N148*P148*Q148*'1. Standard_Cost'!$D$15</f>
        <v>0</v>
      </c>
      <c r="U148" s="127">
        <f>N148*O148*'1. Standard_Cost'!$E$15</f>
        <v>400000</v>
      </c>
      <c r="V148" s="126"/>
      <c r="W148" s="126"/>
      <c r="X148" s="126"/>
      <c r="Y148" s="127">
        <f>+V148*((X148*'1. Standard_Cost'!$B$19)+(W148*X148*'1. Standard_Cost'!$C$19))</f>
        <v>0</v>
      </c>
      <c r="Z148" s="126"/>
      <c r="AA148" s="126">
        <v>11</v>
      </c>
      <c r="AB148" s="127">
        <f>+Z148*'1. Standard_Cost'!$B$23+AA148*'1. Standard_Cost'!$C$23</f>
        <v>209000</v>
      </c>
      <c r="AC148" s="128">
        <f>200*3300</f>
        <v>660000</v>
      </c>
      <c r="AD148" s="129"/>
      <c r="AE148" s="127">
        <f>SUM(AD148,AC148,AB148,Y148,U148,T148,S148,R148)*'1. Standard_Cost'!$B$31</f>
        <v>393800</v>
      </c>
      <c r="AF148" s="127">
        <f t="shared" si="92"/>
        <v>2362800</v>
      </c>
      <c r="AG148" s="126"/>
      <c r="AH148" s="126"/>
      <c r="AI148" s="126"/>
      <c r="AJ148" s="130"/>
      <c r="AK148" s="130"/>
      <c r="AL148" s="130"/>
      <c r="AM148" s="127">
        <f>AG148*'1. Standard_Cost'!$B$27+'Incremental_Cost Year 10'!AH148*'1. Standard_Cost'!$C$27+'Incremental_Cost Year 10'!AI148*'1. Standard_Cost'!$D$27+'Incremental_Cost Year 10'!AJ148+'Incremental_Cost Year 10'!AL148+AK148</f>
        <v>0</v>
      </c>
      <c r="AN148" s="127">
        <f>AM148*'1. Standard_Cost'!$C$31</f>
        <v>0</v>
      </c>
      <c r="AO148" s="130"/>
      <c r="AQ148" s="171">
        <f t="shared" si="93"/>
        <v>376941</v>
      </c>
      <c r="AR148" s="171">
        <f t="shared" si="94"/>
        <v>2362800</v>
      </c>
      <c r="AS148" s="171">
        <f t="shared" si="95"/>
        <v>0</v>
      </c>
      <c r="AT148" s="171">
        <f t="shared" si="96"/>
        <v>2739741</v>
      </c>
      <c r="AU148" s="250">
        <v>376941</v>
      </c>
      <c r="AV148" s="250"/>
      <c r="AW148" s="250"/>
      <c r="AX148" s="250"/>
      <c r="AY148" s="250"/>
      <c r="AZ148" s="250"/>
      <c r="BA148" s="250"/>
      <c r="BB148" s="251">
        <f t="shared" si="97"/>
        <v>-2362800</v>
      </c>
      <c r="BC148" s="169"/>
      <c r="BD148" s="169"/>
      <c r="BE148" s="169"/>
      <c r="BF148" s="169"/>
    </row>
    <row r="149" spans="1:58" ht="141.75" outlineLevel="1" x14ac:dyDescent="0.25">
      <c r="A149" s="115"/>
      <c r="B149" s="165"/>
      <c r="C149" s="166"/>
      <c r="D149" s="228" t="s">
        <v>464</v>
      </c>
      <c r="E149" s="345" t="s">
        <v>296</v>
      </c>
      <c r="F149" s="136">
        <v>2024</v>
      </c>
      <c r="G149" s="117">
        <v>2030</v>
      </c>
      <c r="H149" s="110" t="s">
        <v>297</v>
      </c>
      <c r="I149" s="252"/>
      <c r="J149" s="252"/>
      <c r="K149" s="252"/>
      <c r="L149" s="127">
        <f>SUM(L141:L148)</f>
        <v>10076500</v>
      </c>
      <c r="M149" s="127">
        <f>SUM(M141:M148)</f>
        <v>1682775.5</v>
      </c>
      <c r="N149" s="127"/>
      <c r="O149" s="252"/>
      <c r="P149" s="252"/>
      <c r="Q149" s="252"/>
      <c r="R149" s="127">
        <f>SUM(R141:R148)</f>
        <v>400000</v>
      </c>
      <c r="S149" s="127">
        <f>SUM(S141:S148)</f>
        <v>300000</v>
      </c>
      <c r="T149" s="127">
        <f>SUM(T141:T148)</f>
        <v>0</v>
      </c>
      <c r="U149" s="127">
        <f>SUM(U141:U148)</f>
        <v>400000</v>
      </c>
      <c r="V149" s="252"/>
      <c r="W149" s="252"/>
      <c r="X149" s="252"/>
      <c r="Y149" s="127">
        <f>SUM(Y141:Y148)</f>
        <v>255000</v>
      </c>
      <c r="Z149" s="252"/>
      <c r="AA149" s="252"/>
      <c r="AB149" s="127">
        <f>SUM(AB141:AB148)</f>
        <v>209000</v>
      </c>
      <c r="AC149" s="127">
        <f>SUM(AC141:AC148)</f>
        <v>2890900</v>
      </c>
      <c r="AD149" s="127">
        <f>SUM(AD141:AD148)</f>
        <v>0</v>
      </c>
      <c r="AE149" s="127">
        <f>SUM(AE141:AE148)</f>
        <v>890980</v>
      </c>
      <c r="AF149" s="127">
        <f>SUM(AF141:AF148)</f>
        <v>5345880</v>
      </c>
      <c r="AG149" s="252"/>
      <c r="AH149" s="252"/>
      <c r="AI149" s="252"/>
      <c r="AJ149" s="127">
        <f>SUM(AJ141:AJ148)</f>
        <v>0</v>
      </c>
      <c r="AK149" s="127">
        <f>SUM(AK141:AK148)</f>
        <v>0</v>
      </c>
      <c r="AL149" s="127">
        <f>SUM(AL141:AL148)</f>
        <v>0</v>
      </c>
      <c r="AM149" s="127">
        <f>SUM(AM141:AM148)</f>
        <v>0</v>
      </c>
      <c r="AN149" s="127">
        <f>SUM(AN141:AN148)</f>
        <v>0</v>
      </c>
      <c r="AO149" s="253"/>
      <c r="AP149" s="254"/>
      <c r="AQ149" s="175">
        <f>SUM(AQ141:AQ148)</f>
        <v>11759275.5</v>
      </c>
      <c r="AR149" s="175">
        <f>SUM(AR141:AR148)</f>
        <v>5345880</v>
      </c>
      <c r="AS149" s="175">
        <f>SUM(AS141:AS148)</f>
        <v>0</v>
      </c>
      <c r="AT149" s="175">
        <f>SUM(AT141:AT148)</f>
        <v>17105155.5</v>
      </c>
      <c r="AU149" s="175">
        <f t="shared" ref="AU149:BB149" si="98">SUM(AU141:AU148)</f>
        <v>14742355.5</v>
      </c>
      <c r="AV149" s="175">
        <f t="shared" si="98"/>
        <v>0</v>
      </c>
      <c r="AW149" s="175">
        <f t="shared" si="98"/>
        <v>0</v>
      </c>
      <c r="AX149" s="175">
        <f t="shared" si="98"/>
        <v>0</v>
      </c>
      <c r="AY149" s="175">
        <f t="shared" si="98"/>
        <v>0</v>
      </c>
      <c r="AZ149" s="175">
        <f t="shared" si="98"/>
        <v>0</v>
      </c>
      <c r="BA149" s="175">
        <f t="shared" si="98"/>
        <v>0</v>
      </c>
      <c r="BB149" s="175">
        <f t="shared" si="98"/>
        <v>-2362800</v>
      </c>
      <c r="BC149" s="169"/>
      <c r="BD149" s="169"/>
      <c r="BE149" s="169"/>
      <c r="BF149" s="169"/>
    </row>
    <row r="150" spans="1:58" s="170" customFormat="1" ht="15.75" customHeight="1" x14ac:dyDescent="0.25">
      <c r="A150" s="120"/>
      <c r="B150" s="388" t="s">
        <v>231</v>
      </c>
      <c r="C150" s="393"/>
      <c r="D150" s="393"/>
      <c r="E150" s="394"/>
      <c r="F150" s="339"/>
      <c r="G150" s="339"/>
      <c r="H150" s="148" t="s">
        <v>166</v>
      </c>
      <c r="I150" s="265"/>
      <c r="J150" s="243"/>
      <c r="K150" s="243"/>
      <c r="L150" s="243">
        <f>L151+L163+L182</f>
        <v>11011226200</v>
      </c>
      <c r="M150" s="243">
        <f>M151+M163+M182</f>
        <v>1838874775.3999999</v>
      </c>
      <c r="N150" s="243"/>
      <c r="O150" s="243"/>
      <c r="P150" s="243"/>
      <c r="Q150" s="243"/>
      <c r="R150" s="243">
        <f>R151+R163+R182</f>
        <v>0</v>
      </c>
      <c r="S150" s="243">
        <f>S151+S163+S182</f>
        <v>0</v>
      </c>
      <c r="T150" s="243">
        <f>T151+T163+T182</f>
        <v>0</v>
      </c>
      <c r="U150" s="243">
        <f>U151+U163+U182</f>
        <v>0</v>
      </c>
      <c r="V150" s="243"/>
      <c r="W150" s="243"/>
      <c r="X150" s="243"/>
      <c r="Y150" s="243"/>
      <c r="Z150" s="243">
        <v>0</v>
      </c>
      <c r="AA150" s="243"/>
      <c r="AB150" s="243">
        <f>AB151+AB163+AB182</f>
        <v>0</v>
      </c>
      <c r="AC150" s="243">
        <f>AC151+AC163+AC182</f>
        <v>15604265921</v>
      </c>
      <c r="AD150" s="243">
        <f>AD151+AD163+AD182</f>
        <v>0</v>
      </c>
      <c r="AE150" s="243">
        <f>AE151+AE163+AE182</f>
        <v>2000053151</v>
      </c>
      <c r="AF150" s="243">
        <f>AF151+AF163+AF182</f>
        <v>17604319072</v>
      </c>
      <c r="AG150" s="243"/>
      <c r="AH150" s="243"/>
      <c r="AI150" s="243"/>
      <c r="AJ150" s="243">
        <f>AJ151+AJ163+AJ182</f>
        <v>0</v>
      </c>
      <c r="AK150" s="243">
        <f>AK151+AK163+AK182</f>
        <v>0</v>
      </c>
      <c r="AL150" s="243">
        <f>AL151+AL163+AL182</f>
        <v>0</v>
      </c>
      <c r="AM150" s="243">
        <f>AM151+AM163+AM182</f>
        <v>0</v>
      </c>
      <c r="AN150" s="243">
        <f>AN151+AN163+AN182</f>
        <v>0</v>
      </c>
      <c r="AO150" s="243"/>
      <c r="AP150" s="244"/>
      <c r="AQ150" s="243">
        <f>AQ151+AQ163+AQ182</f>
        <v>12850100975.4</v>
      </c>
      <c r="AR150" s="243">
        <f>AR151+AR163+AR182</f>
        <v>17604319072</v>
      </c>
      <c r="AS150" s="243">
        <f>AS151+AS163+AS182</f>
        <v>0</v>
      </c>
      <c r="AT150" s="243">
        <f>AT151+AT163+AT182</f>
        <v>30454420047.399998</v>
      </c>
      <c r="AU150" s="243">
        <f t="shared" ref="AU150:BB150" si="99">AU151+AU163+AU182</f>
        <v>28654420047.200001</v>
      </c>
      <c r="AV150" s="243">
        <f t="shared" si="99"/>
        <v>0</v>
      </c>
      <c r="AW150" s="243">
        <f t="shared" si="99"/>
        <v>0</v>
      </c>
      <c r="AX150" s="243">
        <f t="shared" si="99"/>
        <v>0</v>
      </c>
      <c r="AY150" s="243">
        <f t="shared" si="99"/>
        <v>0</v>
      </c>
      <c r="AZ150" s="243">
        <f t="shared" si="99"/>
        <v>0</v>
      </c>
      <c r="BA150" s="243">
        <f t="shared" si="99"/>
        <v>0</v>
      </c>
      <c r="BB150" s="243">
        <f t="shared" si="99"/>
        <v>-1800000000.1999998</v>
      </c>
    </row>
    <row r="151" spans="1:58" s="184" customFormat="1" ht="15.75" customHeight="1" x14ac:dyDescent="0.25">
      <c r="A151" s="143"/>
      <c r="B151" s="290"/>
      <c r="C151" s="391" t="s">
        <v>232</v>
      </c>
      <c r="D151" s="391"/>
      <c r="E151" s="392"/>
      <c r="F151" s="287"/>
      <c r="G151" s="289"/>
      <c r="H151" s="149" t="s">
        <v>167</v>
      </c>
      <c r="I151" s="257"/>
      <c r="J151" s="257"/>
      <c r="K151" s="257"/>
      <c r="L151" s="258">
        <f>L156+L159+L162</f>
        <v>11029200</v>
      </c>
      <c r="M151" s="258">
        <f>M156+M159+M162</f>
        <v>1841876.4000000001</v>
      </c>
      <c r="N151" s="257"/>
      <c r="O151" s="257"/>
      <c r="P151" s="257"/>
      <c r="Q151" s="257"/>
      <c r="R151" s="258">
        <f>R156+R159+R162</f>
        <v>0</v>
      </c>
      <c r="S151" s="258">
        <f>S156+S159+S162</f>
        <v>0</v>
      </c>
      <c r="T151" s="258">
        <f>T156+T159+T162</f>
        <v>0</v>
      </c>
      <c r="U151" s="258">
        <f>U156+U159+U162</f>
        <v>0</v>
      </c>
      <c r="V151" s="257"/>
      <c r="W151" s="257"/>
      <c r="X151" s="257"/>
      <c r="Y151" s="258"/>
      <c r="Z151" s="258">
        <v>0</v>
      </c>
      <c r="AA151" s="257"/>
      <c r="AB151" s="258">
        <f>AB156+AB159+AB162</f>
        <v>0</v>
      </c>
      <c r="AC151" s="258">
        <f>AC156+AC159+AC162</f>
        <v>4432366</v>
      </c>
      <c r="AD151" s="258">
        <f>AD156+AD159+AD162</f>
        <v>0</v>
      </c>
      <c r="AE151" s="258">
        <f>AE156+AE159+AE162</f>
        <v>0</v>
      </c>
      <c r="AF151" s="258">
        <f>AF156+AF159+AF162</f>
        <v>4432366</v>
      </c>
      <c r="AG151" s="257"/>
      <c r="AH151" s="257"/>
      <c r="AI151" s="257"/>
      <c r="AJ151" s="258">
        <f>AJ156+AJ159+AJ162</f>
        <v>0</v>
      </c>
      <c r="AK151" s="258">
        <f>AK156+AK159+AK162</f>
        <v>0</v>
      </c>
      <c r="AL151" s="258">
        <f>AL156+AL159+AL162</f>
        <v>0</v>
      </c>
      <c r="AM151" s="258">
        <f>AM156+AM159+AM162</f>
        <v>0</v>
      </c>
      <c r="AN151" s="258">
        <f>AN156+AN159+AN162</f>
        <v>0</v>
      </c>
      <c r="AO151" s="259"/>
      <c r="AP151" s="260"/>
      <c r="AQ151" s="258">
        <f>AQ156+AQ159+AQ162</f>
        <v>12871076.4</v>
      </c>
      <c r="AR151" s="258">
        <f>AR156+AR159+AR162</f>
        <v>4432366</v>
      </c>
      <c r="AS151" s="258">
        <f>AS156+AS159+AS162</f>
        <v>0</v>
      </c>
      <c r="AT151" s="258">
        <f>AT156+AT159+AT162</f>
        <v>17303442.399999999</v>
      </c>
      <c r="AU151" s="258">
        <f t="shared" ref="AU151:BB151" si="100">AU156+AU159+AU162</f>
        <v>17303442</v>
      </c>
      <c r="AV151" s="258">
        <f t="shared" si="100"/>
        <v>0</v>
      </c>
      <c r="AW151" s="258">
        <f t="shared" si="100"/>
        <v>0</v>
      </c>
      <c r="AX151" s="258">
        <f t="shared" si="100"/>
        <v>0</v>
      </c>
      <c r="AY151" s="258">
        <f t="shared" si="100"/>
        <v>0</v>
      </c>
      <c r="AZ151" s="258">
        <f t="shared" si="100"/>
        <v>0</v>
      </c>
      <c r="BA151" s="258">
        <f t="shared" si="100"/>
        <v>0</v>
      </c>
      <c r="BB151" s="258">
        <f t="shared" si="100"/>
        <v>-0.39999999850988388</v>
      </c>
    </row>
    <row r="152" spans="1:58" ht="47.25" outlineLevel="2" x14ac:dyDescent="0.25">
      <c r="A152" s="115"/>
      <c r="B152" s="200"/>
      <c r="C152" s="201"/>
      <c r="D152" s="202"/>
      <c r="E152" s="294"/>
      <c r="F152" s="306"/>
      <c r="G152" s="307"/>
      <c r="H152" s="199" t="s">
        <v>465</v>
      </c>
      <c r="I152" s="130"/>
      <c r="J152" s="126"/>
      <c r="K152" s="126"/>
      <c r="L152" s="125" t="str">
        <f>IF(I152&lt;&gt;0,((VLOOKUP(I152,'1. Standard_Cost'!$B$4:$D$11,2)+VLOOKUP(I152,'1. Standard_Cost'!$B$4:$D$11,3))*J152*K152),"0")</f>
        <v>0</v>
      </c>
      <c r="M152" s="125">
        <f>L152*'1. Standard_Cost'!$F$4</f>
        <v>0</v>
      </c>
      <c r="N152" s="126"/>
      <c r="O152" s="126"/>
      <c r="P152" s="126"/>
      <c r="Q152" s="126"/>
      <c r="R152" s="127">
        <f>'1. Standard_Cost'!$B$15*N152*P152</f>
        <v>0</v>
      </c>
      <c r="S152" s="127">
        <f>N152*O152*P152*'1. Standard_Cost'!$C$15</f>
        <v>0</v>
      </c>
      <c r="T152" s="127">
        <f>N152*P152*Q152*'1. Standard_Cost'!$D$15</f>
        <v>0</v>
      </c>
      <c r="U152" s="127">
        <f>N152*O152*'1. Standard_Cost'!$E$15</f>
        <v>0</v>
      </c>
      <c r="V152" s="126"/>
      <c r="W152" s="126"/>
      <c r="X152" s="126"/>
      <c r="Y152" s="127">
        <f>+V152*((X152*'1. Standard_Cost'!$B$19)+(W152*X152*'1. Standard_Cost'!$C$19))</f>
        <v>0</v>
      </c>
      <c r="Z152" s="126"/>
      <c r="AA152" s="126"/>
      <c r="AB152" s="127">
        <f>+Z152*'1. Standard_Cost'!$B$23+AA152*'1. Standard_Cost'!$C$23</f>
        <v>0</v>
      </c>
      <c r="AC152" s="128"/>
      <c r="AD152" s="129"/>
      <c r="AE152" s="127">
        <f>SUM(AD152,AC152,AB152,Y152,U152,T152,S152,R152)*'1. Standard_Cost'!$B$31</f>
        <v>0</v>
      </c>
      <c r="AF152" s="127">
        <f>SUM(AE152,AD152,AC152,AB152,Y152,U152,T152,S152,R152)</f>
        <v>0</v>
      </c>
      <c r="AG152" s="126"/>
      <c r="AH152" s="126"/>
      <c r="AI152" s="126"/>
      <c r="AJ152" s="130"/>
      <c r="AK152" s="130"/>
      <c r="AL152" s="130"/>
      <c r="AM152" s="127">
        <f>AG152*'1. Standard_Cost'!$B$27+'Incremental_Cost Year 10'!AH152*'1. Standard_Cost'!$C$27+'Incremental_Cost Year 10'!AI152*'1. Standard_Cost'!$D$27+'Incremental_Cost Year 10'!AJ152+'Incremental_Cost Year 10'!AL152+AK152</f>
        <v>0</v>
      </c>
      <c r="AN152" s="127">
        <f>AM152*'1. Standard_Cost'!$C$31</f>
        <v>0</v>
      </c>
      <c r="AO152" s="130"/>
      <c r="AP152" s="256"/>
      <c r="AQ152" s="171">
        <f>L152+M152</f>
        <v>0</v>
      </c>
      <c r="AR152" s="171">
        <f>AF152</f>
        <v>0</v>
      </c>
      <c r="AS152" s="171">
        <f>AM152+AN152</f>
        <v>0</v>
      </c>
      <c r="AT152" s="171">
        <f>SUM(AQ152,AR152,AS152)</f>
        <v>0</v>
      </c>
      <c r="AU152" s="250"/>
      <c r="AV152" s="250"/>
      <c r="AW152" s="250"/>
      <c r="AX152" s="250"/>
      <c r="AY152" s="250"/>
      <c r="AZ152" s="250"/>
      <c r="BA152" s="250"/>
      <c r="BB152" s="251">
        <f t="shared" ref="BB152:BB155" si="101">SUM(AU152:BA152)-AT152</f>
        <v>0</v>
      </c>
      <c r="BC152" s="169"/>
      <c r="BD152" s="169"/>
      <c r="BE152" s="169"/>
      <c r="BF152" s="169"/>
    </row>
    <row r="153" spans="1:58" ht="141.75" outlineLevel="2" x14ac:dyDescent="0.25">
      <c r="A153" s="115"/>
      <c r="B153" s="200"/>
      <c r="C153" s="201"/>
      <c r="D153" s="116"/>
      <c r="E153" s="230"/>
      <c r="F153" s="308"/>
      <c r="G153" s="309"/>
      <c r="H153" s="199" t="s">
        <v>466</v>
      </c>
      <c r="I153" s="130"/>
      <c r="J153" s="126"/>
      <c r="K153" s="126"/>
      <c r="L153" s="125" t="str">
        <f>IF(I153&lt;&gt;0,((VLOOKUP(I153,'1. Standard_Cost'!$B$4:$D$11,2)+VLOOKUP(I153,'1. Standard_Cost'!$B$4:$D$11,3))*J153*K153),"0")</f>
        <v>0</v>
      </c>
      <c r="M153" s="125">
        <f>L153*'1. Standard_Cost'!$F$4</f>
        <v>0</v>
      </c>
      <c r="N153" s="126"/>
      <c r="O153" s="126"/>
      <c r="P153" s="126"/>
      <c r="Q153" s="126"/>
      <c r="R153" s="127">
        <f>'1. Standard_Cost'!$B$15*N153*P153</f>
        <v>0</v>
      </c>
      <c r="S153" s="127">
        <f>N153*O153*P153*'1. Standard_Cost'!$C$15</f>
        <v>0</v>
      </c>
      <c r="T153" s="127">
        <f>N153*P153*Q153*'1. Standard_Cost'!$D$15</f>
        <v>0</v>
      </c>
      <c r="U153" s="127">
        <f>N153*O153*'1. Standard_Cost'!$E$15</f>
        <v>0</v>
      </c>
      <c r="V153" s="126"/>
      <c r="W153" s="126"/>
      <c r="X153" s="126"/>
      <c r="Y153" s="127">
        <f>+V153*((X153*'1. Standard_Cost'!$B$19)+(W153*X153*'1. Standard_Cost'!$C$19))</f>
        <v>0</v>
      </c>
      <c r="Z153" s="126"/>
      <c r="AA153" s="126"/>
      <c r="AB153" s="127">
        <f>+Z153*'1. Standard_Cost'!$B$23+AA153*'1. Standard_Cost'!$C$23</f>
        <v>0</v>
      </c>
      <c r="AC153" s="128"/>
      <c r="AD153" s="129"/>
      <c r="AE153" s="127">
        <f>SUM(AD153,AC153,AB153,Y153,U153,T153,S153,R153)*'1. Standard_Cost'!$B$31</f>
        <v>0</v>
      </c>
      <c r="AF153" s="127">
        <f>SUM(AE153,AD153,AC153,AB153,Y153,U153,T153,S153,R153)</f>
        <v>0</v>
      </c>
      <c r="AG153" s="126"/>
      <c r="AH153" s="126"/>
      <c r="AI153" s="126"/>
      <c r="AJ153" s="130"/>
      <c r="AK153" s="130"/>
      <c r="AL153" s="130"/>
      <c r="AM153" s="127">
        <f>AG153*'1. Standard_Cost'!$B$27+'Incremental_Cost Year 10'!AH153*'1. Standard_Cost'!$C$27+'Incremental_Cost Year 10'!AI153*'1. Standard_Cost'!$D$27+'Incremental_Cost Year 10'!AJ153+'Incremental_Cost Year 10'!AL153+AK153</f>
        <v>0</v>
      </c>
      <c r="AN153" s="127">
        <f>AM153*'1. Standard_Cost'!$C$31</f>
        <v>0</v>
      </c>
      <c r="AO153" s="130"/>
      <c r="AP153" s="256"/>
      <c r="AQ153" s="171">
        <f>L153+M153</f>
        <v>0</v>
      </c>
      <c r="AR153" s="171">
        <f>AF153</f>
        <v>0</v>
      </c>
      <c r="AS153" s="171">
        <f>AM153+AN153</f>
        <v>0</v>
      </c>
      <c r="AT153" s="171">
        <f>SUM(AQ153,AR153,AS153)</f>
        <v>0</v>
      </c>
      <c r="AU153" s="250"/>
      <c r="AV153" s="250"/>
      <c r="AW153" s="250"/>
      <c r="AX153" s="250"/>
      <c r="AY153" s="250"/>
      <c r="AZ153" s="250"/>
      <c r="BA153" s="250"/>
      <c r="BB153" s="251">
        <f t="shared" si="101"/>
        <v>0</v>
      </c>
      <c r="BC153" s="169"/>
      <c r="BD153" s="169"/>
      <c r="BE153" s="169"/>
      <c r="BF153" s="169"/>
    </row>
    <row r="154" spans="1:58" ht="94.5" outlineLevel="2" x14ac:dyDescent="0.25">
      <c r="A154" s="115"/>
      <c r="B154" s="200"/>
      <c r="C154" s="201"/>
      <c r="D154" s="139"/>
      <c r="E154" s="230"/>
      <c r="F154" s="308"/>
      <c r="G154" s="309"/>
      <c r="H154" s="199" t="s">
        <v>467</v>
      </c>
      <c r="I154" s="130"/>
      <c r="J154" s="126"/>
      <c r="K154" s="126"/>
      <c r="L154" s="125" t="str">
        <f>IF(I154&lt;&gt;0,((VLOOKUP(I154,'1. Standard_Cost'!$B$4:$D$11,2)+VLOOKUP(I154,'1. Standard_Cost'!$B$4:$D$11,3))*J154*K154),"0")</f>
        <v>0</v>
      </c>
      <c r="M154" s="125">
        <f>L154*'1. Standard_Cost'!$F$4</f>
        <v>0</v>
      </c>
      <c r="N154" s="126"/>
      <c r="O154" s="126"/>
      <c r="P154" s="126"/>
      <c r="Q154" s="126"/>
      <c r="R154" s="127">
        <f>'1. Standard_Cost'!$B$15*N154*P154</f>
        <v>0</v>
      </c>
      <c r="S154" s="127">
        <f>N154*O154*P154*'1. Standard_Cost'!$C$15</f>
        <v>0</v>
      </c>
      <c r="T154" s="127">
        <f>N154*P154*Q154*'1. Standard_Cost'!$D$15</f>
        <v>0</v>
      </c>
      <c r="U154" s="127">
        <f>N154*O154*'1. Standard_Cost'!$E$15</f>
        <v>0</v>
      </c>
      <c r="V154" s="126"/>
      <c r="W154" s="126"/>
      <c r="X154" s="126"/>
      <c r="Y154" s="127">
        <f>+V154*((X154*'1. Standard_Cost'!$B$19)+(W154*X154*'1. Standard_Cost'!$C$19))</f>
        <v>0</v>
      </c>
      <c r="Z154" s="126"/>
      <c r="AA154" s="126"/>
      <c r="AB154" s="127">
        <f>+Z154*'1. Standard_Cost'!$B$23+AA154*'1. Standard_Cost'!$C$23</f>
        <v>0</v>
      </c>
      <c r="AC154" s="128"/>
      <c r="AD154" s="129"/>
      <c r="AE154" s="127">
        <f>SUM(AD154,AC154,AB154,Y154,U154,T154,S154,R154)*'1. Standard_Cost'!$B$31</f>
        <v>0</v>
      </c>
      <c r="AF154" s="127">
        <f>SUM(AE154,AD154,AC154,AB154,Y154,U154,T154,S154,R154)</f>
        <v>0</v>
      </c>
      <c r="AG154" s="126"/>
      <c r="AH154" s="126"/>
      <c r="AI154" s="126"/>
      <c r="AJ154" s="130"/>
      <c r="AK154" s="130"/>
      <c r="AL154" s="130"/>
      <c r="AM154" s="127">
        <f>AG154*'1. Standard_Cost'!$B$27+'Incremental_Cost Year 10'!AH154*'1. Standard_Cost'!$C$27+'Incremental_Cost Year 10'!AI154*'1. Standard_Cost'!$D$27+'Incremental_Cost Year 10'!AJ154+'Incremental_Cost Year 10'!AL154+AK154</f>
        <v>0</v>
      </c>
      <c r="AN154" s="127">
        <f>AM154*'1. Standard_Cost'!$C$31</f>
        <v>0</v>
      </c>
      <c r="AO154" s="130"/>
      <c r="AP154" s="256"/>
      <c r="AQ154" s="171">
        <f>L154+M154</f>
        <v>0</v>
      </c>
      <c r="AR154" s="171">
        <f>AF154</f>
        <v>0</v>
      </c>
      <c r="AS154" s="171">
        <f>AM154+AN154</f>
        <v>0</v>
      </c>
      <c r="AT154" s="171">
        <f>SUM(AQ154,AR154,AS154)</f>
        <v>0</v>
      </c>
      <c r="AU154" s="250"/>
      <c r="AV154" s="250"/>
      <c r="AW154" s="250"/>
      <c r="AX154" s="250"/>
      <c r="AY154" s="250"/>
      <c r="AZ154" s="250"/>
      <c r="BA154" s="250"/>
      <c r="BB154" s="251">
        <f t="shared" si="101"/>
        <v>0</v>
      </c>
      <c r="BC154" s="169"/>
      <c r="BD154" s="169"/>
      <c r="BE154" s="169"/>
      <c r="BF154" s="169"/>
    </row>
    <row r="155" spans="1:58" ht="141.75" outlineLevel="2" x14ac:dyDescent="0.25">
      <c r="A155" s="115"/>
      <c r="B155" s="200"/>
      <c r="C155" s="201"/>
      <c r="D155" s="151"/>
      <c r="E155" s="121"/>
      <c r="F155" s="311"/>
      <c r="G155" s="312"/>
      <c r="H155" s="199" t="s">
        <v>540</v>
      </c>
      <c r="I155" s="130"/>
      <c r="J155" s="126"/>
      <c r="K155" s="126"/>
      <c r="L155" s="125" t="str">
        <f>IF(I155&lt;&gt;0,((VLOOKUP(I155,'1. Standard_Cost'!$B$4:$D$11,2)+VLOOKUP(I155,'1. Standard_Cost'!$B$4:$D$11,3))*J155*K155),"0")</f>
        <v>0</v>
      </c>
      <c r="M155" s="125">
        <f>L155*'1. Standard_Cost'!$F$4</f>
        <v>0</v>
      </c>
      <c r="N155" s="126"/>
      <c r="O155" s="126"/>
      <c r="P155" s="126"/>
      <c r="Q155" s="126"/>
      <c r="R155" s="127">
        <f>'1. Standard_Cost'!$B$15*N155*P155</f>
        <v>0</v>
      </c>
      <c r="S155" s="127">
        <f>N155*O155*P155*'1. Standard_Cost'!$C$15</f>
        <v>0</v>
      </c>
      <c r="T155" s="127">
        <f>N155*P155*Q155*'1. Standard_Cost'!$D$15</f>
        <v>0</v>
      </c>
      <c r="U155" s="127">
        <f>N155*O155*'1. Standard_Cost'!$E$15</f>
        <v>0</v>
      </c>
      <c r="V155" s="126"/>
      <c r="W155" s="126"/>
      <c r="X155" s="126"/>
      <c r="Y155" s="127">
        <f>+V155*((X155*'1. Standard_Cost'!$B$19)+(W155*X155*'1. Standard_Cost'!$C$19))</f>
        <v>0</v>
      </c>
      <c r="Z155" s="126"/>
      <c r="AA155" s="126"/>
      <c r="AB155" s="127">
        <f>+Z155*'1. Standard_Cost'!$B$23+AA155*'1. Standard_Cost'!$C$23</f>
        <v>0</v>
      </c>
      <c r="AC155" s="128"/>
      <c r="AD155" s="129"/>
      <c r="AE155" s="127">
        <f>SUM(AD155,AC155,AB155,Y155,U155,T155,S155,R155)*'1. Standard_Cost'!$B$31</f>
        <v>0</v>
      </c>
      <c r="AF155" s="127">
        <f>SUM(AE155,AD155,AC155,AB155,Y155,U155,T155,S155,R155)</f>
        <v>0</v>
      </c>
      <c r="AG155" s="126"/>
      <c r="AH155" s="126"/>
      <c r="AI155" s="126"/>
      <c r="AJ155" s="130"/>
      <c r="AK155" s="130"/>
      <c r="AL155" s="130"/>
      <c r="AM155" s="127">
        <f>AG155*'1. Standard_Cost'!$B$27+'Incremental_Cost Year 10'!AH155*'1. Standard_Cost'!$C$27+'Incremental_Cost Year 10'!AI155*'1. Standard_Cost'!$D$27+'Incremental_Cost Year 10'!AJ155+'Incremental_Cost Year 10'!AL155+AK155</f>
        <v>0</v>
      </c>
      <c r="AN155" s="127">
        <f>AM155*'1. Standard_Cost'!$C$31</f>
        <v>0</v>
      </c>
      <c r="AO155" s="130"/>
      <c r="AP155" s="256"/>
      <c r="AQ155" s="171">
        <f>L155+M155</f>
        <v>0</v>
      </c>
      <c r="AR155" s="171">
        <f>AF155</f>
        <v>0</v>
      </c>
      <c r="AS155" s="171">
        <f>AM155+AN155</f>
        <v>0</v>
      </c>
      <c r="AT155" s="171">
        <f>SUM(AQ155,AR155,AS155)</f>
        <v>0</v>
      </c>
      <c r="AU155" s="250"/>
      <c r="AV155" s="250"/>
      <c r="AW155" s="250"/>
      <c r="AX155" s="250"/>
      <c r="AY155" s="250"/>
      <c r="AZ155" s="250"/>
      <c r="BA155" s="250"/>
      <c r="BB155" s="251">
        <f t="shared" si="101"/>
        <v>0</v>
      </c>
      <c r="BC155" s="169"/>
      <c r="BD155" s="169"/>
      <c r="BE155" s="169"/>
      <c r="BF155" s="169"/>
    </row>
    <row r="156" spans="1:58" ht="47.25" outlineLevel="2" x14ac:dyDescent="0.25">
      <c r="A156" s="115"/>
      <c r="B156" s="165"/>
      <c r="C156" s="166"/>
      <c r="D156" s="212" t="s">
        <v>233</v>
      </c>
      <c r="E156" s="212" t="s">
        <v>468</v>
      </c>
      <c r="F156" s="136">
        <v>2021</v>
      </c>
      <c r="G156" s="117">
        <v>2025</v>
      </c>
      <c r="H156" s="110" t="s">
        <v>168</v>
      </c>
      <c r="I156" s="252"/>
      <c r="J156" s="252"/>
      <c r="K156" s="252"/>
      <c r="L156" s="127">
        <f>SUM(L152:L155)</f>
        <v>0</v>
      </c>
      <c r="M156" s="127">
        <f>SUM(M152:M155)</f>
        <v>0</v>
      </c>
      <c r="N156" s="252"/>
      <c r="O156" s="252"/>
      <c r="P156" s="252"/>
      <c r="Q156" s="252"/>
      <c r="R156" s="127">
        <f>SUM(R152:R155)</f>
        <v>0</v>
      </c>
      <c r="S156" s="127">
        <f>SUM(S152:S155)</f>
        <v>0</v>
      </c>
      <c r="T156" s="127">
        <f>SUM(T152:T155)</f>
        <v>0</v>
      </c>
      <c r="U156" s="127">
        <f>SUM(U152:U155)</f>
        <v>0</v>
      </c>
      <c r="V156" s="252"/>
      <c r="W156" s="252"/>
      <c r="X156" s="252"/>
      <c r="Y156" s="127">
        <f>SUM(Y152:Y155)</f>
        <v>0</v>
      </c>
      <c r="Z156" s="252"/>
      <c r="AA156" s="252"/>
      <c r="AB156" s="127">
        <f>SUM(AB152:AB155)</f>
        <v>0</v>
      </c>
      <c r="AC156" s="127">
        <f>SUM(AC152:AC155)</f>
        <v>0</v>
      </c>
      <c r="AD156" s="127">
        <f>SUM(AD152:AD155)</f>
        <v>0</v>
      </c>
      <c r="AE156" s="127">
        <f>SUM(AE152:AE155)</f>
        <v>0</v>
      </c>
      <c r="AF156" s="127">
        <f>SUM(AF152:AF155)</f>
        <v>0</v>
      </c>
      <c r="AG156" s="252"/>
      <c r="AH156" s="252"/>
      <c r="AI156" s="252"/>
      <c r="AJ156" s="127">
        <f>SUM(AJ152:AJ155)</f>
        <v>0</v>
      </c>
      <c r="AK156" s="127">
        <f>SUM(AK152:AK155)</f>
        <v>0</v>
      </c>
      <c r="AL156" s="127">
        <f>SUM(AL152:AL155)</f>
        <v>0</v>
      </c>
      <c r="AM156" s="127">
        <f>SUM(AM152:AM155)</f>
        <v>0</v>
      </c>
      <c r="AN156" s="127">
        <f>SUM(AN152:AN155)</f>
        <v>0</v>
      </c>
      <c r="AO156" s="253"/>
      <c r="AP156" s="254"/>
      <c r="AQ156" s="175">
        <f>SUM(AQ152:AQ155)</f>
        <v>0</v>
      </c>
      <c r="AR156" s="175">
        <f>SUM(AR152:AR155)</f>
        <v>0</v>
      </c>
      <c r="AS156" s="175">
        <f>SUM(AS152:AS155)</f>
        <v>0</v>
      </c>
      <c r="AT156" s="175">
        <f>SUM(AT152:AT155)</f>
        <v>0</v>
      </c>
      <c r="AU156" s="175">
        <f t="shared" ref="AU156:BA156" si="102">SUM(AU152:AU155)</f>
        <v>0</v>
      </c>
      <c r="AV156" s="175">
        <f t="shared" si="102"/>
        <v>0</v>
      </c>
      <c r="AW156" s="175">
        <f t="shared" si="102"/>
        <v>0</v>
      </c>
      <c r="AX156" s="175">
        <f t="shared" si="102"/>
        <v>0</v>
      </c>
      <c r="AY156" s="175">
        <f t="shared" si="102"/>
        <v>0</v>
      </c>
      <c r="AZ156" s="175">
        <f t="shared" si="102"/>
        <v>0</v>
      </c>
      <c r="BA156" s="175">
        <f t="shared" si="102"/>
        <v>0</v>
      </c>
      <c r="BB156" s="175">
        <f>SUM(BB152:BB155)</f>
        <v>0</v>
      </c>
      <c r="BC156" s="169"/>
      <c r="BD156" s="169"/>
      <c r="BE156" s="169"/>
      <c r="BF156" s="169"/>
    </row>
    <row r="157" spans="1:58" ht="141.75" outlineLevel="1" x14ac:dyDescent="0.25">
      <c r="A157" s="115"/>
      <c r="B157" s="200"/>
      <c r="C157" s="201"/>
      <c r="D157" s="342"/>
      <c r="E157" s="328"/>
      <c r="F157" s="328"/>
      <c r="G157" s="328"/>
      <c r="H157" s="213" t="s">
        <v>469</v>
      </c>
      <c r="I157" s="130"/>
      <c r="J157" s="126"/>
      <c r="K157" s="126"/>
      <c r="L157" s="125" t="str">
        <f>IF(I157&lt;&gt;0,((VLOOKUP(I157,'1. Standard_Cost'!$B$4:$D$11,2)+VLOOKUP(I157,'1. Standard_Cost'!$B$4:$D$11,3))*J157*K157),"0")</f>
        <v>0</v>
      </c>
      <c r="M157" s="125">
        <f>L157*'1. Standard_Cost'!$F$4</f>
        <v>0</v>
      </c>
      <c r="N157" s="126"/>
      <c r="O157" s="126"/>
      <c r="P157" s="126"/>
      <c r="Q157" s="126"/>
      <c r="R157" s="127">
        <f>'1. Standard_Cost'!$B$15*N157*P157</f>
        <v>0</v>
      </c>
      <c r="S157" s="127">
        <f>N157*O157*P157*'1. Standard_Cost'!$C$15</f>
        <v>0</v>
      </c>
      <c r="T157" s="127">
        <f>N157*P157*Q157*'1. Standard_Cost'!$D$15</f>
        <v>0</v>
      </c>
      <c r="U157" s="127">
        <f>N157*O157*'1. Standard_Cost'!$E$15</f>
        <v>0</v>
      </c>
      <c r="V157" s="126"/>
      <c r="W157" s="126"/>
      <c r="X157" s="126"/>
      <c r="Y157" s="127">
        <f>+V157*((X157*'1. Standard_Cost'!$B$19)+(W157*X157*'1. Standard_Cost'!$C$19))</f>
        <v>0</v>
      </c>
      <c r="Z157" s="126"/>
      <c r="AA157" s="126"/>
      <c r="AB157" s="127">
        <f>+Z157*'1. Standard_Cost'!$B$23+AA157*'1. Standard_Cost'!$C$23</f>
        <v>0</v>
      </c>
      <c r="AC157" s="128"/>
      <c r="AD157" s="129"/>
      <c r="AE157" s="127">
        <f>SUM(AD157,AC157,AB157,Y157,U157,T157,S157,R157)*'1. Standard_Cost'!$B$31</f>
        <v>0</v>
      </c>
      <c r="AF157" s="127">
        <f>SUM(AE157,AD157,AC157,AB157,Y157,U157,T157,S157,R157)</f>
        <v>0</v>
      </c>
      <c r="AG157" s="126"/>
      <c r="AH157" s="126"/>
      <c r="AI157" s="126"/>
      <c r="AJ157" s="130"/>
      <c r="AK157" s="130"/>
      <c r="AL157" s="130"/>
      <c r="AM157" s="127">
        <f>AG157*'1. Standard_Cost'!$B$27+'Incremental_Cost Year 10'!AH157*'1. Standard_Cost'!$C$27+'Incremental_Cost Year 10'!AI157*'1. Standard_Cost'!$D$27+'Incremental_Cost Year 10'!AJ157+'Incremental_Cost Year 10'!AL157+AK157</f>
        <v>0</v>
      </c>
      <c r="AN157" s="127">
        <f>AM157*'1. Standard_Cost'!$C$31</f>
        <v>0</v>
      </c>
      <c r="AO157" s="130"/>
      <c r="AP157" s="256"/>
      <c r="AQ157" s="171">
        <f>L157+M157</f>
        <v>0</v>
      </c>
      <c r="AR157" s="171">
        <f>AF157</f>
        <v>0</v>
      </c>
      <c r="AS157" s="171">
        <f>AM157+AN157</f>
        <v>0</v>
      </c>
      <c r="AT157" s="171">
        <f>SUM(AQ157,AR157,AS157)</f>
        <v>0</v>
      </c>
      <c r="AU157" s="250"/>
      <c r="AV157" s="250"/>
      <c r="AW157" s="250"/>
      <c r="AX157" s="250"/>
      <c r="AY157" s="250"/>
      <c r="AZ157" s="250"/>
      <c r="BA157" s="250"/>
      <c r="BB157" s="251">
        <f t="shared" ref="BB157:BB158" si="103">SUM(AU157:BA157)-AT157</f>
        <v>0</v>
      </c>
      <c r="BC157" s="169"/>
      <c r="BD157" s="169"/>
      <c r="BE157" s="169"/>
      <c r="BF157" s="169"/>
    </row>
    <row r="158" spans="1:58" ht="47.25" outlineLevel="2" x14ac:dyDescent="0.25">
      <c r="A158" s="115"/>
      <c r="B158" s="200"/>
      <c r="C158" s="201"/>
      <c r="D158" s="344"/>
      <c r="E158" s="328"/>
      <c r="F158" s="328"/>
      <c r="G158" s="328"/>
      <c r="H158" s="199" t="s">
        <v>470</v>
      </c>
      <c r="I158" s="130"/>
      <c r="J158" s="126"/>
      <c r="K158" s="126"/>
      <c r="L158" s="125" t="str">
        <f>IF(I158&lt;&gt;0,((VLOOKUP(I158,'1. Standard_Cost'!$B$4:$D$11,2)+VLOOKUP(I158,'1. Standard_Cost'!$B$4:$D$11,3))*J158*K158),"0")</f>
        <v>0</v>
      </c>
      <c r="M158" s="125">
        <f>L158*'1. Standard_Cost'!$F$4</f>
        <v>0</v>
      </c>
      <c r="N158" s="126"/>
      <c r="O158" s="126"/>
      <c r="P158" s="126"/>
      <c r="Q158" s="126"/>
      <c r="R158" s="127">
        <f>'1. Standard_Cost'!$B$15*N158*P158</f>
        <v>0</v>
      </c>
      <c r="S158" s="127">
        <f>N158*O158*P158*'1. Standard_Cost'!$C$15</f>
        <v>0</v>
      </c>
      <c r="T158" s="127">
        <f>N158*P158*Q158*'1. Standard_Cost'!$D$15</f>
        <v>0</v>
      </c>
      <c r="U158" s="127">
        <f>N158*O158*'1. Standard_Cost'!$E$15</f>
        <v>0</v>
      </c>
      <c r="V158" s="126"/>
      <c r="W158" s="126"/>
      <c r="X158" s="126"/>
      <c r="Y158" s="127">
        <f>+V158*((X158*'1. Standard_Cost'!$B$19)+(W158*X158*'1. Standard_Cost'!$C$19))</f>
        <v>0</v>
      </c>
      <c r="Z158" s="126"/>
      <c r="AA158" s="126"/>
      <c r="AB158" s="127">
        <f>+Z158*'1. Standard_Cost'!$B$23+AA158*'1. Standard_Cost'!$C$23</f>
        <v>0</v>
      </c>
      <c r="AC158" s="128"/>
      <c r="AD158" s="129"/>
      <c r="AE158" s="127">
        <f>SUM(AD158,AC158,AB158,Y158,U158,T158,S158,R158)*'1. Standard_Cost'!$B$31</f>
        <v>0</v>
      </c>
      <c r="AF158" s="127">
        <f>SUM(AE158,AD158,AC158,AB158,Y158,U158,T158,S158,R158)</f>
        <v>0</v>
      </c>
      <c r="AG158" s="126"/>
      <c r="AH158" s="126"/>
      <c r="AI158" s="126"/>
      <c r="AJ158" s="130"/>
      <c r="AK158" s="130"/>
      <c r="AL158" s="130"/>
      <c r="AM158" s="127">
        <f>AG158*'1. Standard_Cost'!$B$27+'Incremental_Cost Year 10'!AH158*'1. Standard_Cost'!$C$27+'Incremental_Cost Year 10'!AI158*'1. Standard_Cost'!$D$27+'Incremental_Cost Year 10'!AJ158+'Incremental_Cost Year 10'!AL158+AK158</f>
        <v>0</v>
      </c>
      <c r="AN158" s="127">
        <f>AM158*'1. Standard_Cost'!$C$31</f>
        <v>0</v>
      </c>
      <c r="AO158" s="130"/>
      <c r="AP158" s="256"/>
      <c r="AQ158" s="171">
        <f>L158+M158</f>
        <v>0</v>
      </c>
      <c r="AR158" s="171">
        <f>AF158</f>
        <v>0</v>
      </c>
      <c r="AS158" s="171">
        <f>AM158+AN158</f>
        <v>0</v>
      </c>
      <c r="AT158" s="171">
        <f>SUM(AQ158,AR158,AS158)</f>
        <v>0</v>
      </c>
      <c r="AU158" s="250"/>
      <c r="AV158" s="250"/>
      <c r="AW158" s="250"/>
      <c r="AX158" s="250"/>
      <c r="AY158" s="250"/>
      <c r="AZ158" s="250"/>
      <c r="BA158" s="250"/>
      <c r="BB158" s="251">
        <f t="shared" si="103"/>
        <v>0</v>
      </c>
      <c r="BC158" s="169"/>
      <c r="BD158" s="169"/>
      <c r="BE158" s="169"/>
      <c r="BF158" s="169"/>
    </row>
    <row r="159" spans="1:58" ht="63" outlineLevel="2" x14ac:dyDescent="0.25">
      <c r="A159" s="115"/>
      <c r="B159" s="165"/>
      <c r="C159" s="166"/>
      <c r="D159" s="150" t="s">
        <v>471</v>
      </c>
      <c r="E159" s="212" t="s">
        <v>472</v>
      </c>
      <c r="F159" s="106">
        <v>2021</v>
      </c>
      <c r="G159" s="104">
        <v>2030</v>
      </c>
      <c r="H159" s="110" t="s">
        <v>179</v>
      </c>
      <c r="I159" s="252"/>
      <c r="J159" s="252"/>
      <c r="K159" s="252"/>
      <c r="L159" s="127">
        <f>SUM(L157:L158)</f>
        <v>0</v>
      </c>
      <c r="M159" s="127">
        <f>SUM(M157:M158)</f>
        <v>0</v>
      </c>
      <c r="N159" s="252"/>
      <c r="O159" s="252"/>
      <c r="P159" s="252"/>
      <c r="Q159" s="252"/>
      <c r="R159" s="127">
        <f>SUM(R157:R158)</f>
        <v>0</v>
      </c>
      <c r="S159" s="127">
        <f>SUM(S157:S158)</f>
        <v>0</v>
      </c>
      <c r="T159" s="127">
        <f>SUM(T157:T158)</f>
        <v>0</v>
      </c>
      <c r="U159" s="127">
        <f>SUM(U157:U158)</f>
        <v>0</v>
      </c>
      <c r="V159" s="252"/>
      <c r="W159" s="252"/>
      <c r="X159" s="252"/>
      <c r="Y159" s="127">
        <f>SUM(Y157:Y158)</f>
        <v>0</v>
      </c>
      <c r="Z159" s="252"/>
      <c r="AA159" s="252"/>
      <c r="AB159" s="127">
        <f>SUM(AB157:AB158)</f>
        <v>0</v>
      </c>
      <c r="AC159" s="127">
        <f>SUM(AC157:AC158)</f>
        <v>0</v>
      </c>
      <c r="AD159" s="127">
        <f>SUM(AD157:AD158)</f>
        <v>0</v>
      </c>
      <c r="AE159" s="127">
        <f>SUM(AE157:AE158)</f>
        <v>0</v>
      </c>
      <c r="AF159" s="127">
        <f>SUM(AF157:AF158)</f>
        <v>0</v>
      </c>
      <c r="AG159" s="252"/>
      <c r="AH159" s="252"/>
      <c r="AI159" s="252"/>
      <c r="AJ159" s="127">
        <f>SUM(AJ157:AJ158)</f>
        <v>0</v>
      </c>
      <c r="AK159" s="127">
        <f>SUM(AK157:AK158)</f>
        <v>0</v>
      </c>
      <c r="AL159" s="127">
        <f>SUM(AL157:AL158)</f>
        <v>0</v>
      </c>
      <c r="AM159" s="127">
        <f>SUM(AM157:AM158)</f>
        <v>0</v>
      </c>
      <c r="AN159" s="127">
        <f>SUM(AN157:AN158)</f>
        <v>0</v>
      </c>
      <c r="AO159" s="253"/>
      <c r="AP159" s="254"/>
      <c r="AQ159" s="175">
        <f>SUM(AQ157:AQ158)</f>
        <v>0</v>
      </c>
      <c r="AR159" s="175">
        <f>SUM(AR157:AR158)</f>
        <v>0</v>
      </c>
      <c r="AS159" s="175">
        <f>SUM(AS157:AS158)</f>
        <v>0</v>
      </c>
      <c r="AT159" s="175">
        <f>SUM(AT157:AT158)</f>
        <v>0</v>
      </c>
      <c r="AU159" s="175">
        <f t="shared" ref="AU159:BB159" si="104">SUM(AU157:AU158)</f>
        <v>0</v>
      </c>
      <c r="AV159" s="175">
        <f t="shared" si="104"/>
        <v>0</v>
      </c>
      <c r="AW159" s="175">
        <f t="shared" si="104"/>
        <v>0</v>
      </c>
      <c r="AX159" s="175">
        <f t="shared" si="104"/>
        <v>0</v>
      </c>
      <c r="AY159" s="175">
        <f t="shared" si="104"/>
        <v>0</v>
      </c>
      <c r="AZ159" s="175">
        <f t="shared" si="104"/>
        <v>0</v>
      </c>
      <c r="BA159" s="175">
        <f t="shared" si="104"/>
        <v>0</v>
      </c>
      <c r="BB159" s="175">
        <f t="shared" si="104"/>
        <v>0</v>
      </c>
      <c r="BC159" s="169"/>
      <c r="BD159" s="169"/>
      <c r="BE159" s="169"/>
      <c r="BF159" s="169"/>
    </row>
    <row r="160" spans="1:58" ht="110.25" outlineLevel="2" x14ac:dyDescent="0.25">
      <c r="A160" s="115"/>
      <c r="B160" s="200"/>
      <c r="C160" s="201"/>
      <c r="D160" s="328"/>
      <c r="E160" s="328"/>
      <c r="F160" s="328"/>
      <c r="G160" s="328"/>
      <c r="H160" s="199" t="s">
        <v>473</v>
      </c>
      <c r="I160" s="130"/>
      <c r="J160" s="126"/>
      <c r="K160" s="126"/>
      <c r="L160" s="125" t="str">
        <f>IF(I160&lt;&gt;0,((VLOOKUP(I160,'1. Standard_Cost'!$B$4:$D$11,2)+VLOOKUP(I160,'1. Standard_Cost'!$B$4:$D$11,3))*J160*K160),"0")</f>
        <v>0</v>
      </c>
      <c r="M160" s="125">
        <f>L160*'1. Standard_Cost'!$F$4</f>
        <v>0</v>
      </c>
      <c r="N160" s="126"/>
      <c r="O160" s="126"/>
      <c r="P160" s="126"/>
      <c r="Q160" s="126"/>
      <c r="R160" s="127">
        <f>'1. Standard_Cost'!$B$15*N160*P160</f>
        <v>0</v>
      </c>
      <c r="S160" s="127">
        <f>N160*O160*P160*'1. Standard_Cost'!$C$15</f>
        <v>0</v>
      </c>
      <c r="T160" s="127">
        <f>N160*P160*Q160*'1. Standard_Cost'!$D$15</f>
        <v>0</v>
      </c>
      <c r="U160" s="127">
        <f>N160*O160*'1. Standard_Cost'!$E$15</f>
        <v>0</v>
      </c>
      <c r="V160" s="126"/>
      <c r="W160" s="126"/>
      <c r="X160" s="126"/>
      <c r="Y160" s="127">
        <f>+V160*((X160*'1. Standard_Cost'!$B$19)+(W160*X160*'1. Standard_Cost'!$C$19))</f>
        <v>0</v>
      </c>
      <c r="Z160" s="126"/>
      <c r="AA160" s="126"/>
      <c r="AB160" s="127">
        <f>+Z160*'1. Standard_Cost'!$B$23+AA160*'1. Standard_Cost'!$C$23</f>
        <v>0</v>
      </c>
      <c r="AC160" s="128"/>
      <c r="AD160" s="129"/>
      <c r="AE160" s="127">
        <f>SUM(AD160,AC160,AB160,Y160,U160,T160,S160,R160)*'1. Standard_Cost'!$B$31</f>
        <v>0</v>
      </c>
      <c r="AF160" s="127">
        <f>SUM(AE160,AD160,AC160,AB160,Y160,U160,T160,S160,R160)</f>
        <v>0</v>
      </c>
      <c r="AG160" s="126"/>
      <c r="AH160" s="126"/>
      <c r="AI160" s="126"/>
      <c r="AJ160" s="130"/>
      <c r="AK160" s="130"/>
      <c r="AL160" s="130"/>
      <c r="AM160" s="127">
        <f>AG160*'1. Standard_Cost'!$B$27+'Incremental_Cost Year 10'!AH160*'1. Standard_Cost'!$C$27+'Incremental_Cost Year 10'!AI160*'1. Standard_Cost'!$D$27+'Incremental_Cost Year 10'!AJ160+'Incremental_Cost Year 10'!AL160+AK160</f>
        <v>0</v>
      </c>
      <c r="AN160" s="127">
        <f>AM160*'1. Standard_Cost'!$C$31</f>
        <v>0</v>
      </c>
      <c r="AO160" s="130"/>
      <c r="AP160" s="256"/>
      <c r="AQ160" s="171">
        <f>L160+M160</f>
        <v>0</v>
      </c>
      <c r="AR160" s="171">
        <f>AF160</f>
        <v>0</v>
      </c>
      <c r="AS160" s="171">
        <f>AM160+AN160</f>
        <v>0</v>
      </c>
      <c r="AT160" s="171">
        <f>SUM(AQ160,AR160,AS160)</f>
        <v>0</v>
      </c>
      <c r="AU160" s="250"/>
      <c r="AV160" s="250"/>
      <c r="AW160" s="250"/>
      <c r="AX160" s="250"/>
      <c r="AY160" s="250"/>
      <c r="AZ160" s="250"/>
      <c r="BA160" s="250"/>
      <c r="BB160" s="251">
        <f t="shared" ref="BB160:BB161" si="105">SUM(AU160:BA160)-AT160</f>
        <v>0</v>
      </c>
      <c r="BC160" s="169"/>
      <c r="BD160" s="169"/>
      <c r="BE160" s="169"/>
      <c r="BF160" s="169"/>
    </row>
    <row r="161" spans="1:58" ht="47.25" outlineLevel="2" x14ac:dyDescent="0.25">
      <c r="A161" s="115"/>
      <c r="B161" s="200"/>
      <c r="C161" s="201"/>
      <c r="D161" s="328"/>
      <c r="E161" s="328"/>
      <c r="F161" s="328"/>
      <c r="G161" s="328"/>
      <c r="H161" s="213" t="s">
        <v>311</v>
      </c>
      <c r="I161" s="130" t="s">
        <v>5</v>
      </c>
      <c r="J161" s="126">
        <v>12</v>
      </c>
      <c r="K161" s="126">
        <v>13</v>
      </c>
      <c r="L161" s="125">
        <f>IF(I161&lt;&gt;0,((VLOOKUP(I161,'1. Standard_Cost'!$B$4:$D$11,2)+VLOOKUP(I161,'1. Standard_Cost'!$B$4:$D$11,3))*J161*K161),"0")</f>
        <v>11029200</v>
      </c>
      <c r="M161" s="125">
        <f>L161*'1. Standard_Cost'!$F$4</f>
        <v>1841876.4000000001</v>
      </c>
      <c r="N161" s="126"/>
      <c r="O161" s="126"/>
      <c r="P161" s="126"/>
      <c r="Q161" s="126"/>
      <c r="R161" s="127">
        <f>'1. Standard_Cost'!$B$15*N161*P161</f>
        <v>0</v>
      </c>
      <c r="S161" s="127">
        <f>N161*O161*P161*'1. Standard_Cost'!$C$15</f>
        <v>0</v>
      </c>
      <c r="T161" s="127">
        <f>N161*P161*Q161*'1. Standard_Cost'!$D$15</f>
        <v>0</v>
      </c>
      <c r="U161" s="127">
        <f>N161*O161*'1. Standard_Cost'!$E$15</f>
        <v>0</v>
      </c>
      <c r="V161" s="126"/>
      <c r="W161" s="126"/>
      <c r="X161" s="126"/>
      <c r="Y161" s="127">
        <f>+V161*((X161*'1. Standard_Cost'!$B$19)+(W161*X161*'1. Standard_Cost'!$C$19))</f>
        <v>0</v>
      </c>
      <c r="Z161" s="126"/>
      <c r="AA161" s="126"/>
      <c r="AB161" s="127">
        <f>+Z161*'1. Standard_Cost'!$B$23+AA161*'1. Standard_Cost'!$C$23</f>
        <v>0</v>
      </c>
      <c r="AC161" s="128">
        <v>4432366</v>
      </c>
      <c r="AD161" s="129"/>
      <c r="AE161" s="127">
        <f>0</f>
        <v>0</v>
      </c>
      <c r="AF161" s="127">
        <f>SUM(AE161,AD161,AC161,AB161,Y161,U161,T161,S161,R161)</f>
        <v>4432366</v>
      </c>
      <c r="AG161" s="126"/>
      <c r="AH161" s="126"/>
      <c r="AI161" s="126"/>
      <c r="AJ161" s="130"/>
      <c r="AK161" s="130"/>
      <c r="AL161" s="130"/>
      <c r="AM161" s="127">
        <f>AG161*'1. Standard_Cost'!$B$27+'Incremental_Cost Year 10'!AH161*'1. Standard_Cost'!$C$27+'Incremental_Cost Year 10'!AI161*'1. Standard_Cost'!$D$27+'Incremental_Cost Year 10'!AJ161+'Incremental_Cost Year 10'!AL161+AK161</f>
        <v>0</v>
      </c>
      <c r="AN161" s="127">
        <f>AM161*'1. Standard_Cost'!$C$31</f>
        <v>0</v>
      </c>
      <c r="AO161" s="130"/>
      <c r="AP161" s="256"/>
      <c r="AQ161" s="171">
        <f>L161+M161</f>
        <v>12871076.4</v>
      </c>
      <c r="AR161" s="171">
        <f>AF161</f>
        <v>4432366</v>
      </c>
      <c r="AS161" s="171">
        <f>AM161+AN161</f>
        <v>0</v>
      </c>
      <c r="AT161" s="171">
        <f>SUM(AQ161,AR161,AS161)</f>
        <v>17303442.399999999</v>
      </c>
      <c r="AU161" s="250">
        <v>17303442</v>
      </c>
      <c r="AV161" s="250"/>
      <c r="AW161" s="250"/>
      <c r="AX161" s="250"/>
      <c r="AY161" s="250"/>
      <c r="AZ161" s="250"/>
      <c r="BA161" s="250"/>
      <c r="BB161" s="251">
        <f t="shared" si="105"/>
        <v>-0.39999999850988388</v>
      </c>
      <c r="BC161" s="169"/>
      <c r="BD161" s="169"/>
      <c r="BE161" s="169"/>
      <c r="BF161" s="169"/>
    </row>
    <row r="162" spans="1:58" ht="47.25" outlineLevel="2" x14ac:dyDescent="0.25">
      <c r="A162" s="115"/>
      <c r="B162" s="165"/>
      <c r="C162" s="166"/>
      <c r="D162" s="107" t="s">
        <v>233</v>
      </c>
      <c r="E162" s="212" t="s">
        <v>474</v>
      </c>
      <c r="F162" s="136">
        <v>2021</v>
      </c>
      <c r="G162" s="117">
        <v>2030</v>
      </c>
      <c r="H162" s="110" t="s">
        <v>180</v>
      </c>
      <c r="I162" s="252"/>
      <c r="J162" s="252"/>
      <c r="K162" s="252"/>
      <c r="L162" s="127">
        <f>SUM(L160:L161)</f>
        <v>11029200</v>
      </c>
      <c r="M162" s="127">
        <f>SUM(M160:M161)</f>
        <v>1841876.4000000001</v>
      </c>
      <c r="N162" s="252"/>
      <c r="O162" s="252"/>
      <c r="P162" s="252"/>
      <c r="Q162" s="252"/>
      <c r="R162" s="127">
        <f>SUM(R160:R161)</f>
        <v>0</v>
      </c>
      <c r="S162" s="127">
        <f>SUM(S160:S161)</f>
        <v>0</v>
      </c>
      <c r="T162" s="127">
        <f>SUM(T160:T161)</f>
        <v>0</v>
      </c>
      <c r="U162" s="127">
        <f>SUM(U160:U161)</f>
        <v>0</v>
      </c>
      <c r="V162" s="252"/>
      <c r="W162" s="252"/>
      <c r="X162" s="252"/>
      <c r="Y162" s="127">
        <f>SUM(Y160:Y161)</f>
        <v>0</v>
      </c>
      <c r="Z162" s="252"/>
      <c r="AA162" s="252"/>
      <c r="AB162" s="127">
        <f>SUM(AB160:AB161)</f>
        <v>0</v>
      </c>
      <c r="AC162" s="127">
        <f>SUM(AC160:AC161)</f>
        <v>4432366</v>
      </c>
      <c r="AD162" s="127">
        <f>SUM(AD160:AD161)</f>
        <v>0</v>
      </c>
      <c r="AE162" s="127">
        <f>SUM(AE160:AE161)</f>
        <v>0</v>
      </c>
      <c r="AF162" s="127">
        <f>SUM(AF160:AF161)</f>
        <v>4432366</v>
      </c>
      <c r="AG162" s="252"/>
      <c r="AH162" s="252"/>
      <c r="AI162" s="252"/>
      <c r="AJ162" s="127">
        <f>SUM(AJ160:AJ161)</f>
        <v>0</v>
      </c>
      <c r="AK162" s="127">
        <f>SUM(AK160:AK161)</f>
        <v>0</v>
      </c>
      <c r="AL162" s="127">
        <f>SUM(AL160:AL161)</f>
        <v>0</v>
      </c>
      <c r="AM162" s="127">
        <f>SUM(AM160:AM161)</f>
        <v>0</v>
      </c>
      <c r="AN162" s="127">
        <f>SUM(AN160:AN161)</f>
        <v>0</v>
      </c>
      <c r="AO162" s="253"/>
      <c r="AP162" s="254"/>
      <c r="AQ162" s="175">
        <f>SUM(AQ160:AQ161)</f>
        <v>12871076.4</v>
      </c>
      <c r="AR162" s="175">
        <f>SUM(AR160:AR161)</f>
        <v>4432366</v>
      </c>
      <c r="AS162" s="175">
        <f>SUM(AS160:AS161)</f>
        <v>0</v>
      </c>
      <c r="AT162" s="175">
        <f>SUM(AT160:AT161)</f>
        <v>17303442.399999999</v>
      </c>
      <c r="AU162" s="175">
        <f t="shared" ref="AU162:BA162" si="106">SUM(AU160:AU161)</f>
        <v>17303442</v>
      </c>
      <c r="AV162" s="175">
        <f t="shared" si="106"/>
        <v>0</v>
      </c>
      <c r="AW162" s="175">
        <f t="shared" si="106"/>
        <v>0</v>
      </c>
      <c r="AX162" s="175">
        <f t="shared" si="106"/>
        <v>0</v>
      </c>
      <c r="AY162" s="175">
        <f t="shared" si="106"/>
        <v>0</v>
      </c>
      <c r="AZ162" s="175">
        <f t="shared" si="106"/>
        <v>0</v>
      </c>
      <c r="BA162" s="175">
        <f t="shared" si="106"/>
        <v>0</v>
      </c>
      <c r="BB162" s="175">
        <f>SUM(BB160:BB161)</f>
        <v>-0.39999999850988388</v>
      </c>
      <c r="BC162" s="169"/>
      <c r="BD162" s="169"/>
      <c r="BE162" s="169"/>
      <c r="BF162" s="169"/>
    </row>
    <row r="163" spans="1:58" ht="15.75" customHeight="1" outlineLevel="2" x14ac:dyDescent="0.25">
      <c r="A163" s="143"/>
      <c r="B163" s="290"/>
      <c r="C163" s="391" t="s">
        <v>234</v>
      </c>
      <c r="D163" s="391"/>
      <c r="E163" s="392"/>
      <c r="F163" s="287"/>
      <c r="G163" s="289"/>
      <c r="H163" s="144" t="s">
        <v>169</v>
      </c>
      <c r="I163" s="257"/>
      <c r="J163" s="257"/>
      <c r="K163" s="257"/>
      <c r="L163" s="258">
        <f>L168+L178+L181</f>
        <v>436722700</v>
      </c>
      <c r="M163" s="258">
        <f>M168+M178+M181</f>
        <v>72932690.900000006</v>
      </c>
      <c r="N163" s="257"/>
      <c r="O163" s="257"/>
      <c r="P163" s="257"/>
      <c r="Q163" s="257"/>
      <c r="R163" s="258">
        <f>R168+R178+R181</f>
        <v>0</v>
      </c>
      <c r="S163" s="258">
        <f>S168+S178+S181</f>
        <v>0</v>
      </c>
      <c r="T163" s="258">
        <f>T168+T178+T181</f>
        <v>0</v>
      </c>
      <c r="U163" s="258">
        <f>U168+U178+U181</f>
        <v>0</v>
      </c>
      <c r="V163" s="257"/>
      <c r="W163" s="257"/>
      <c r="X163" s="257"/>
      <c r="Y163" s="258">
        <f>Y168+Y178+Y181</f>
        <v>0</v>
      </c>
      <c r="Z163" s="258"/>
      <c r="AA163" s="258"/>
      <c r="AB163" s="258">
        <f>AB168+AB178+AB181</f>
        <v>0</v>
      </c>
      <c r="AC163" s="258">
        <f>AC168+AC178+AC181</f>
        <v>5590843555</v>
      </c>
      <c r="AD163" s="258">
        <f>AD168+AD178+AD181</f>
        <v>0</v>
      </c>
      <c r="AE163" s="258">
        <f>AE168+AE178+AE181</f>
        <v>28151</v>
      </c>
      <c r="AF163" s="258">
        <f>AF168+AF178+AF181</f>
        <v>5590871706</v>
      </c>
      <c r="AG163" s="257"/>
      <c r="AH163" s="257"/>
      <c r="AI163" s="257"/>
      <c r="AJ163" s="258">
        <f>AJ168+AJ178+AJ181</f>
        <v>0</v>
      </c>
      <c r="AK163" s="258">
        <f>AK168+AK178+AK181</f>
        <v>0</v>
      </c>
      <c r="AL163" s="258">
        <f>AL168+AL178+AL181</f>
        <v>0</v>
      </c>
      <c r="AM163" s="258">
        <f>AM168+AM178+AM181</f>
        <v>0</v>
      </c>
      <c r="AN163" s="258">
        <f>AN168+AN178+AN181</f>
        <v>0</v>
      </c>
      <c r="AO163" s="259"/>
      <c r="AP163" s="260"/>
      <c r="AQ163" s="261">
        <f>AQ168+AQ178+AQ181</f>
        <v>509655390.89999998</v>
      </c>
      <c r="AR163" s="261">
        <f>AR168+AR178+AR181</f>
        <v>5590871706</v>
      </c>
      <c r="AS163" s="261">
        <f>AS168+AS178+AS181</f>
        <v>0</v>
      </c>
      <c r="AT163" s="261">
        <f>AT168+AT178+AT181</f>
        <v>6100527096.8999996</v>
      </c>
      <c r="AU163" s="261">
        <f t="shared" ref="AU163:BB163" si="107">AU168+AU178+AU181</f>
        <v>6100527097.1999998</v>
      </c>
      <c r="AV163" s="261">
        <f t="shared" si="107"/>
        <v>0</v>
      </c>
      <c r="AW163" s="261">
        <f t="shared" si="107"/>
        <v>0</v>
      </c>
      <c r="AX163" s="261">
        <f t="shared" si="107"/>
        <v>0</v>
      </c>
      <c r="AY163" s="261">
        <f t="shared" si="107"/>
        <v>0</v>
      </c>
      <c r="AZ163" s="261">
        <f t="shared" si="107"/>
        <v>0</v>
      </c>
      <c r="BA163" s="261">
        <f t="shared" si="107"/>
        <v>0</v>
      </c>
      <c r="BB163" s="261">
        <f t="shared" si="107"/>
        <v>0.30000000004656613</v>
      </c>
      <c r="BC163" s="184"/>
      <c r="BD163" s="184"/>
      <c r="BE163" s="184"/>
      <c r="BF163" s="184"/>
    </row>
    <row r="164" spans="1:58" ht="78.75" outlineLevel="2" x14ac:dyDescent="0.25">
      <c r="A164" s="115"/>
      <c r="B164" s="200"/>
      <c r="C164" s="201"/>
      <c r="D164" s="333"/>
      <c r="E164" s="295"/>
      <c r="F164" s="306"/>
      <c r="G164" s="307"/>
      <c r="H164" s="199" t="s">
        <v>475</v>
      </c>
      <c r="I164" s="130"/>
      <c r="J164" s="126"/>
      <c r="K164" s="126"/>
      <c r="L164" s="125" t="str">
        <f>IF(I164&lt;&gt;0,((VLOOKUP(I164,'1. Standard_Cost'!$B$4:$D$11,2)+VLOOKUP(I164,'1. Standard_Cost'!$B$4:$D$11,3))*J164*K164),"0")</f>
        <v>0</v>
      </c>
      <c r="M164" s="125">
        <f>L164*'1. Standard_Cost'!$F$4</f>
        <v>0</v>
      </c>
      <c r="N164" s="126"/>
      <c r="O164" s="126"/>
      <c r="P164" s="126"/>
      <c r="Q164" s="126"/>
      <c r="R164" s="127">
        <f>'1. Standard_Cost'!$B$15*N164*P164</f>
        <v>0</v>
      </c>
      <c r="S164" s="127">
        <f>N164*O164*P164*'1. Standard_Cost'!$C$15</f>
        <v>0</v>
      </c>
      <c r="T164" s="127">
        <f>N164*P164*Q164*'1. Standard_Cost'!$D$15</f>
        <v>0</v>
      </c>
      <c r="U164" s="127">
        <f>N164*O164*'1. Standard_Cost'!$E$15</f>
        <v>0</v>
      </c>
      <c r="V164" s="126"/>
      <c r="W164" s="126"/>
      <c r="X164" s="126"/>
      <c r="Y164" s="127">
        <f>+V164*((X164*'1. Standard_Cost'!$B$19)+(W164*X164*'1. Standard_Cost'!$C$19))</f>
        <v>0</v>
      </c>
      <c r="Z164" s="126"/>
      <c r="AA164" s="126"/>
      <c r="AB164" s="127">
        <f>+Z164*'1. Standard_Cost'!$B$23+AA164*'1. Standard_Cost'!$C$23</f>
        <v>0</v>
      </c>
      <c r="AC164" s="128"/>
      <c r="AD164" s="129"/>
      <c r="AE164" s="127">
        <f>SUM(AD164,AC164,AB164,Y164,U164,T164,S164,R164)*'1. Standard_Cost'!$B$31</f>
        <v>0</v>
      </c>
      <c r="AF164" s="127">
        <f>SUM(AE164,AD164,AC164,AB164,Y164,U164,T164,S164,R164)</f>
        <v>0</v>
      </c>
      <c r="AG164" s="126"/>
      <c r="AH164" s="126"/>
      <c r="AI164" s="126"/>
      <c r="AJ164" s="130"/>
      <c r="AK164" s="130"/>
      <c r="AL164" s="130"/>
      <c r="AM164" s="127">
        <f>AG164*'1. Standard_Cost'!$B$27+'Incremental_Cost Year 10'!AH164*'1. Standard_Cost'!$C$27+'Incremental_Cost Year 10'!AI164*'1. Standard_Cost'!$D$27+'Incremental_Cost Year 10'!AJ164+'Incremental_Cost Year 10'!AL164+AK164</f>
        <v>0</v>
      </c>
      <c r="AN164" s="127">
        <f>AM164*'1. Standard_Cost'!$C$31</f>
        <v>0</v>
      </c>
      <c r="AO164" s="130"/>
      <c r="AP164" s="256"/>
      <c r="AQ164" s="171">
        <f>L164+M164</f>
        <v>0</v>
      </c>
      <c r="AR164" s="171">
        <f>AF164</f>
        <v>0</v>
      </c>
      <c r="AS164" s="171">
        <f>AM164+AN164</f>
        <v>0</v>
      </c>
      <c r="AT164" s="171">
        <f>SUM(AQ164,AR164,AS164)</f>
        <v>0</v>
      </c>
      <c r="AU164" s="250"/>
      <c r="AV164" s="250"/>
      <c r="AW164" s="250"/>
      <c r="AX164" s="250"/>
      <c r="AY164" s="250"/>
      <c r="AZ164" s="250"/>
      <c r="BA164" s="250"/>
      <c r="BB164" s="251">
        <f t="shared" ref="BB164:BB167" si="108">SUM(AU164:BA164)-AT164</f>
        <v>0</v>
      </c>
      <c r="BC164" s="169"/>
      <c r="BD164" s="169"/>
      <c r="BE164" s="169"/>
      <c r="BF164" s="169"/>
    </row>
    <row r="165" spans="1:58" ht="78.75" outlineLevel="2" x14ac:dyDescent="0.25">
      <c r="A165" s="115"/>
      <c r="B165" s="200"/>
      <c r="C165" s="201"/>
      <c r="D165" s="151"/>
      <c r="E165" s="219"/>
      <c r="F165" s="308"/>
      <c r="G165" s="309"/>
      <c r="H165" s="199" t="s">
        <v>476</v>
      </c>
      <c r="I165" s="130"/>
      <c r="J165" s="126"/>
      <c r="K165" s="126"/>
      <c r="L165" s="125" t="str">
        <f>IF(I165&lt;&gt;0,((VLOOKUP(I165,'1. Standard_Cost'!$B$4:$D$11,2)+VLOOKUP(I165,'1. Standard_Cost'!$B$4:$D$11,3))*J165*K165),"0")</f>
        <v>0</v>
      </c>
      <c r="M165" s="125">
        <f>L165*'1. Standard_Cost'!$F$4</f>
        <v>0</v>
      </c>
      <c r="N165" s="126"/>
      <c r="O165" s="126"/>
      <c r="P165" s="126"/>
      <c r="Q165" s="126"/>
      <c r="R165" s="127">
        <f>'1. Standard_Cost'!$B$15*N165*P165</f>
        <v>0</v>
      </c>
      <c r="S165" s="127">
        <f>N165*O165*P165*'1. Standard_Cost'!$C$15</f>
        <v>0</v>
      </c>
      <c r="T165" s="127">
        <f>N165*P165*Q165*'1. Standard_Cost'!$D$15</f>
        <v>0</v>
      </c>
      <c r="U165" s="127">
        <f>N165*O165*'1. Standard_Cost'!$E$15</f>
        <v>0</v>
      </c>
      <c r="V165" s="126"/>
      <c r="W165" s="126"/>
      <c r="X165" s="126"/>
      <c r="Y165" s="127">
        <f>+V165*((X165*'1. Standard_Cost'!$B$19)+(W165*X165*'1. Standard_Cost'!$C$19))</f>
        <v>0</v>
      </c>
      <c r="Z165" s="126"/>
      <c r="AA165" s="126"/>
      <c r="AB165" s="127">
        <f>+Z165*'1. Standard_Cost'!$B$23+AA165*'1. Standard_Cost'!$C$23</f>
        <v>0</v>
      </c>
      <c r="AC165" s="128"/>
      <c r="AD165" s="129"/>
      <c r="AE165" s="127">
        <f>SUM(AD165,AC165,AB165,Y165,U165,T165,S165,R165)*'1. Standard_Cost'!$B$31</f>
        <v>0</v>
      </c>
      <c r="AF165" s="127">
        <f>SUM(AE165,AD165,AC165,AB165,Y165,U165,T165,S165,R165)</f>
        <v>0</v>
      </c>
      <c r="AG165" s="126"/>
      <c r="AH165" s="126"/>
      <c r="AI165" s="126"/>
      <c r="AJ165" s="130"/>
      <c r="AK165" s="130"/>
      <c r="AL165" s="130"/>
      <c r="AM165" s="127">
        <f>AG165*'1. Standard_Cost'!$B$27+'Incremental_Cost Year 10'!AH165*'1. Standard_Cost'!$C$27+'Incremental_Cost Year 10'!AI165*'1. Standard_Cost'!$D$27+'Incremental_Cost Year 10'!AJ165+'Incremental_Cost Year 10'!AL165+AK165</f>
        <v>0</v>
      </c>
      <c r="AN165" s="127">
        <f>AM165*'1. Standard_Cost'!$C$31</f>
        <v>0</v>
      </c>
      <c r="AO165" s="130"/>
      <c r="AP165" s="256"/>
      <c r="AQ165" s="171">
        <f>L165+M165</f>
        <v>0</v>
      </c>
      <c r="AR165" s="171">
        <f>AF165</f>
        <v>0</v>
      </c>
      <c r="AS165" s="171">
        <f>AM165+AN165</f>
        <v>0</v>
      </c>
      <c r="AT165" s="171">
        <f>SUM(AQ165,AR165,AS165)</f>
        <v>0</v>
      </c>
      <c r="AU165" s="250"/>
      <c r="AV165" s="250"/>
      <c r="AW165" s="250"/>
      <c r="AX165" s="250"/>
      <c r="AY165" s="250"/>
      <c r="AZ165" s="250"/>
      <c r="BA165" s="250"/>
      <c r="BB165" s="251">
        <f t="shared" si="108"/>
        <v>0</v>
      </c>
      <c r="BC165" s="169"/>
      <c r="BD165" s="169"/>
      <c r="BE165" s="169"/>
      <c r="BF165" s="169"/>
    </row>
    <row r="166" spans="1:58" ht="110.25" outlineLevel="2" x14ac:dyDescent="0.25">
      <c r="A166" s="115"/>
      <c r="B166" s="200"/>
      <c r="C166" s="201"/>
      <c r="D166" s="151"/>
      <c r="E166" s="219"/>
      <c r="F166" s="308"/>
      <c r="G166" s="309"/>
      <c r="H166" s="199" t="s">
        <v>541</v>
      </c>
      <c r="I166" s="130"/>
      <c r="J166" s="126"/>
      <c r="K166" s="126"/>
      <c r="L166" s="125" t="str">
        <f>IF(I166&lt;&gt;0,((VLOOKUP(I166,'1. Standard_Cost'!$B$4:$D$11,2)+VLOOKUP(I166,'1. Standard_Cost'!$B$4:$D$11,3))*J166*K166),"0")</f>
        <v>0</v>
      </c>
      <c r="M166" s="125">
        <f>L166*'1. Standard_Cost'!$F$4</f>
        <v>0</v>
      </c>
      <c r="N166" s="126"/>
      <c r="O166" s="126"/>
      <c r="P166" s="126"/>
      <c r="Q166" s="126"/>
      <c r="R166" s="127">
        <f>'1. Standard_Cost'!$B$15*N166*P166</f>
        <v>0</v>
      </c>
      <c r="S166" s="127">
        <f>N166*O166*P166*'1. Standard_Cost'!$C$15</f>
        <v>0</v>
      </c>
      <c r="T166" s="127">
        <f>N166*P166*Q166*'1. Standard_Cost'!$D$15</f>
        <v>0</v>
      </c>
      <c r="U166" s="127">
        <f>N166*O166*'1. Standard_Cost'!$E$15</f>
        <v>0</v>
      </c>
      <c r="V166" s="126"/>
      <c r="W166" s="126"/>
      <c r="X166" s="126"/>
      <c r="Y166" s="127">
        <f>+V166*((X166*'1. Standard_Cost'!$B$19)+(W166*X166*'1. Standard_Cost'!$C$19))</f>
        <v>0</v>
      </c>
      <c r="Z166" s="126"/>
      <c r="AA166" s="126"/>
      <c r="AB166" s="127">
        <f>+Z166*'1. Standard_Cost'!$B$23+AA166*'1. Standard_Cost'!$C$23</f>
        <v>0</v>
      </c>
      <c r="AC166" s="128"/>
      <c r="AD166" s="129"/>
      <c r="AE166" s="127">
        <f>SUM(AD166,AC166,AB166,Y166,U166,T166,S166,R166)*'1. Standard_Cost'!$B$31</f>
        <v>0</v>
      </c>
      <c r="AF166" s="127">
        <f>SUM(AE166,AD166,AC166,AB166,Y166,U166,T166,S166,R166)</f>
        <v>0</v>
      </c>
      <c r="AG166" s="126"/>
      <c r="AH166" s="126"/>
      <c r="AI166" s="126"/>
      <c r="AJ166" s="130"/>
      <c r="AK166" s="130"/>
      <c r="AL166" s="130"/>
      <c r="AM166" s="127">
        <f>AG166*'1. Standard_Cost'!$B$27+'Incremental_Cost Year 10'!AH166*'1. Standard_Cost'!$C$27+'Incremental_Cost Year 10'!AI166*'1. Standard_Cost'!$D$27+'Incremental_Cost Year 10'!AJ166+'Incremental_Cost Year 10'!AL166+AK166</f>
        <v>0</v>
      </c>
      <c r="AN166" s="127">
        <f>AM166*'1. Standard_Cost'!$C$31</f>
        <v>0</v>
      </c>
      <c r="AO166" s="130"/>
      <c r="AP166" s="256"/>
      <c r="AQ166" s="171">
        <f>L166+M166</f>
        <v>0</v>
      </c>
      <c r="AR166" s="171">
        <f>AF166</f>
        <v>0</v>
      </c>
      <c r="AS166" s="171">
        <f>AM166+AN166</f>
        <v>0</v>
      </c>
      <c r="AT166" s="171">
        <f>SUM(AQ166,AR166,AS166)</f>
        <v>0</v>
      </c>
      <c r="AU166" s="250"/>
      <c r="AV166" s="250"/>
      <c r="AW166" s="250"/>
      <c r="AX166" s="250"/>
      <c r="AY166" s="250"/>
      <c r="AZ166" s="250"/>
      <c r="BA166" s="250"/>
      <c r="BB166" s="251">
        <f t="shared" si="108"/>
        <v>0</v>
      </c>
      <c r="BC166" s="169"/>
      <c r="BD166" s="169"/>
      <c r="BE166" s="169"/>
      <c r="BF166" s="169"/>
    </row>
    <row r="167" spans="1:58" ht="47.25" outlineLevel="2" x14ac:dyDescent="0.25">
      <c r="A167" s="115"/>
      <c r="B167" s="200"/>
      <c r="C167" s="201"/>
      <c r="D167" s="310"/>
      <c r="E167" s="122"/>
      <c r="F167" s="311"/>
      <c r="G167" s="312"/>
      <c r="H167" s="199" t="s">
        <v>315</v>
      </c>
      <c r="I167" s="130" t="s">
        <v>4</v>
      </c>
      <c r="J167" s="126">
        <v>12</v>
      </c>
      <c r="K167" s="126">
        <v>398</v>
      </c>
      <c r="L167" s="125">
        <f>IF(I167&lt;&gt;0,((VLOOKUP(I167,'1. Standard_Cost'!$B$4:$D$11,2)+VLOOKUP(I167,'1. Standard_Cost'!$B$4:$D$11,3))*J167*K167),"0")</f>
        <v>385662000</v>
      </c>
      <c r="M167" s="125">
        <f>L167*'1. Standard_Cost'!$F$4</f>
        <v>64405554</v>
      </c>
      <c r="N167" s="126"/>
      <c r="O167" s="126"/>
      <c r="P167" s="126"/>
      <c r="Q167" s="126"/>
      <c r="R167" s="127">
        <f>'1. Standard_Cost'!$B$15*N167*P167</f>
        <v>0</v>
      </c>
      <c r="S167" s="127">
        <f>N167*O167*P167*'1. Standard_Cost'!$C$15</f>
        <v>0</v>
      </c>
      <c r="T167" s="127">
        <f>N167*P167*Q167*'1. Standard_Cost'!$D$15</f>
        <v>0</v>
      </c>
      <c r="U167" s="127">
        <f>N167*O167*'1. Standard_Cost'!$E$15</f>
        <v>0</v>
      </c>
      <c r="V167" s="126"/>
      <c r="W167" s="126"/>
      <c r="X167" s="126"/>
      <c r="Y167" s="127">
        <f>+V167*((X167*'1. Standard_Cost'!$B$19)+(W167*X167*'1. Standard_Cost'!$C$19))</f>
        <v>0</v>
      </c>
      <c r="Z167" s="126"/>
      <c r="AA167" s="126"/>
      <c r="AB167" s="127">
        <f>+Z167*'1. Standard_Cost'!$B$23+AA167*'1. Standard_Cost'!$C$23</f>
        <v>0</v>
      </c>
      <c r="AC167" s="128">
        <v>957000000</v>
      </c>
      <c r="AD167" s="129"/>
      <c r="AE167" s="127">
        <f>0</f>
        <v>0</v>
      </c>
      <c r="AF167" s="127">
        <f>SUM(AE167,AD167,AC167,AB167,Y167,U167,T167,S167,R167)</f>
        <v>957000000</v>
      </c>
      <c r="AG167" s="126"/>
      <c r="AH167" s="126"/>
      <c r="AI167" s="126"/>
      <c r="AJ167" s="130"/>
      <c r="AK167" s="130"/>
      <c r="AL167" s="130"/>
      <c r="AM167" s="127">
        <f>AG167*'1. Standard_Cost'!$B$27+'Incremental_Cost Year 10'!AH167*'1. Standard_Cost'!$C$27+'Incremental_Cost Year 10'!AI167*'1. Standard_Cost'!$D$27+'Incremental_Cost Year 10'!AJ167+'Incremental_Cost Year 10'!AL167+AK167</f>
        <v>0</v>
      </c>
      <c r="AN167" s="127">
        <f>AM167*'1. Standard_Cost'!$C$31</f>
        <v>0</v>
      </c>
      <c r="AO167" s="130"/>
      <c r="AP167" s="256"/>
      <c r="AQ167" s="171">
        <f>L167+M167</f>
        <v>450067554</v>
      </c>
      <c r="AR167" s="171">
        <f>AF167</f>
        <v>957000000</v>
      </c>
      <c r="AS167" s="171">
        <f>AM167+AN167</f>
        <v>0</v>
      </c>
      <c r="AT167" s="171">
        <f>SUM(AQ167,AR167,AS167)</f>
        <v>1407067554</v>
      </c>
      <c r="AU167" s="250">
        <v>1407067554</v>
      </c>
      <c r="AV167" s="250"/>
      <c r="AW167" s="250"/>
      <c r="AX167" s="250"/>
      <c r="AY167" s="250"/>
      <c r="AZ167" s="250"/>
      <c r="BA167" s="250"/>
      <c r="BB167" s="251">
        <f t="shared" si="108"/>
        <v>0</v>
      </c>
      <c r="BC167" s="169"/>
      <c r="BD167" s="169"/>
      <c r="BE167" s="169"/>
      <c r="BF167" s="169"/>
    </row>
    <row r="168" spans="1:58" ht="78.75" outlineLevel="2" x14ac:dyDescent="0.25">
      <c r="A168" s="115"/>
      <c r="B168" s="165"/>
      <c r="C168" s="166"/>
      <c r="D168" s="139" t="s">
        <v>477</v>
      </c>
      <c r="E168" s="212" t="s">
        <v>478</v>
      </c>
      <c r="F168" s="136">
        <v>2021</v>
      </c>
      <c r="G168" s="117">
        <v>2030</v>
      </c>
      <c r="H168" s="110" t="s">
        <v>170</v>
      </c>
      <c r="I168" s="252"/>
      <c r="J168" s="252"/>
      <c r="K168" s="252"/>
      <c r="L168" s="127">
        <f>SUM(L164:L167)</f>
        <v>385662000</v>
      </c>
      <c r="M168" s="127">
        <f>SUM(M164:M167)</f>
        <v>64405554</v>
      </c>
      <c r="N168" s="252"/>
      <c r="O168" s="252"/>
      <c r="P168" s="252"/>
      <c r="Q168" s="252"/>
      <c r="R168" s="127">
        <f>SUM(R164:R167)</f>
        <v>0</v>
      </c>
      <c r="S168" s="127">
        <f>SUM(S164:S167)</f>
        <v>0</v>
      </c>
      <c r="T168" s="127">
        <f>SUM(T164:T167)</f>
        <v>0</v>
      </c>
      <c r="U168" s="127">
        <f>SUM(U164:U167)</f>
        <v>0</v>
      </c>
      <c r="V168" s="252"/>
      <c r="W168" s="252"/>
      <c r="X168" s="252"/>
      <c r="Y168" s="127">
        <f>SUM(Y164:Y167)</f>
        <v>0</v>
      </c>
      <c r="Z168" s="127"/>
      <c r="AA168" s="252"/>
      <c r="AB168" s="127">
        <f>SUM(AB164:AB167)</f>
        <v>0</v>
      </c>
      <c r="AC168" s="127">
        <f>SUM(AC164:AC167)</f>
        <v>957000000</v>
      </c>
      <c r="AD168" s="127">
        <f>SUM(AD164:AD167)</f>
        <v>0</v>
      </c>
      <c r="AE168" s="127">
        <f>SUM(AE164:AE167)</f>
        <v>0</v>
      </c>
      <c r="AF168" s="127">
        <f>SUM(AF164:AF167)</f>
        <v>957000000</v>
      </c>
      <c r="AG168" s="252"/>
      <c r="AH168" s="252"/>
      <c r="AI168" s="252"/>
      <c r="AJ168" s="127">
        <f>SUM(AJ164:AJ167)</f>
        <v>0</v>
      </c>
      <c r="AK168" s="127">
        <f>SUM(AK164:AK167)</f>
        <v>0</v>
      </c>
      <c r="AL168" s="127">
        <f>SUM(AL164:AL167)</f>
        <v>0</v>
      </c>
      <c r="AM168" s="127">
        <f>SUM(AM164:AM167)</f>
        <v>0</v>
      </c>
      <c r="AN168" s="127">
        <f>SUM(AN164:AN167)</f>
        <v>0</v>
      </c>
      <c r="AO168" s="253"/>
      <c r="AP168" s="254"/>
      <c r="AQ168" s="175">
        <f>SUM(AQ164:AQ167)</f>
        <v>450067554</v>
      </c>
      <c r="AR168" s="175">
        <f>SUM(AR164:AR167)</f>
        <v>957000000</v>
      </c>
      <c r="AS168" s="175">
        <f>SUM(AS164:AS167)</f>
        <v>0</v>
      </c>
      <c r="AT168" s="175">
        <f>SUM(AT164:AT167)</f>
        <v>1407067554</v>
      </c>
      <c r="AU168" s="175">
        <f>SUM(AU164:AU167)</f>
        <v>1407067554</v>
      </c>
      <c r="AV168" s="175">
        <f t="shared" ref="AV168:AZ168" si="109">SUM(AV164:AV167)</f>
        <v>0</v>
      </c>
      <c r="AW168" s="175">
        <f t="shared" si="109"/>
        <v>0</v>
      </c>
      <c r="AX168" s="175">
        <f t="shared" si="109"/>
        <v>0</v>
      </c>
      <c r="AY168" s="175">
        <f t="shared" si="109"/>
        <v>0</v>
      </c>
      <c r="AZ168" s="175">
        <f t="shared" si="109"/>
        <v>0</v>
      </c>
      <c r="BA168" s="175">
        <f>SUM(BA164:BA167)</f>
        <v>0</v>
      </c>
      <c r="BB168" s="175">
        <f>SUM(BB164:BB167)</f>
        <v>0</v>
      </c>
      <c r="BC168" s="169"/>
      <c r="BD168" s="169"/>
      <c r="BE168" s="169"/>
      <c r="BF168" s="169"/>
    </row>
    <row r="169" spans="1:58" ht="31.5" outlineLevel="1" x14ac:dyDescent="0.25">
      <c r="A169" s="115"/>
      <c r="B169" s="200"/>
      <c r="C169" s="201"/>
      <c r="D169" s="342"/>
      <c r="E169" s="328"/>
      <c r="F169" s="328"/>
      <c r="G169" s="328"/>
      <c r="H169" s="199" t="s">
        <v>479</v>
      </c>
      <c r="I169" s="130"/>
      <c r="J169" s="126"/>
      <c r="K169" s="126"/>
      <c r="L169" s="125" t="str">
        <f>IF(I169&lt;&gt;0,((VLOOKUP(I169,'1. Standard_Cost'!$B$4:$D$11,2)+VLOOKUP(I169,'1. Standard_Cost'!$B$4:$D$11,3))*J169*K169),"0")</f>
        <v>0</v>
      </c>
      <c r="M169" s="125">
        <f>L169*'1. Standard_Cost'!$F$4</f>
        <v>0</v>
      </c>
      <c r="N169" s="126"/>
      <c r="O169" s="126"/>
      <c r="P169" s="126"/>
      <c r="Q169" s="126"/>
      <c r="R169" s="127">
        <f>'1. Standard_Cost'!$B$15*N169*P169</f>
        <v>0</v>
      </c>
      <c r="S169" s="127">
        <f>N169*O169*P169*'1. Standard_Cost'!$C$15</f>
        <v>0</v>
      </c>
      <c r="T169" s="127">
        <f>N169*P169*Q169*'1. Standard_Cost'!$D$15</f>
        <v>0</v>
      </c>
      <c r="U169" s="127">
        <f>N169*O169*'1. Standard_Cost'!$E$15</f>
        <v>0</v>
      </c>
      <c r="V169" s="126"/>
      <c r="W169" s="126"/>
      <c r="X169" s="126"/>
      <c r="Y169" s="127">
        <f>+V169*((X169*'1. Standard_Cost'!$B$19)+(W169*X169*'1. Standard_Cost'!$C$19))</f>
        <v>0</v>
      </c>
      <c r="Z169" s="126"/>
      <c r="AA169" s="126"/>
      <c r="AB169" s="127">
        <f>+Z169*'1. Standard_Cost'!$B$23+AA169*'1. Standard_Cost'!$C$23</f>
        <v>0</v>
      </c>
      <c r="AC169" s="128">
        <v>1320223000</v>
      </c>
      <c r="AD169" s="129"/>
      <c r="AE169" s="127">
        <f>0</f>
        <v>0</v>
      </c>
      <c r="AF169" s="127">
        <f t="shared" ref="AF169:AF177" si="110">SUM(AE169,AD169,AC169,AB169,Y169,U169,T169,S169,R169)</f>
        <v>1320223000</v>
      </c>
      <c r="AG169" s="126"/>
      <c r="AH169" s="126"/>
      <c r="AI169" s="126"/>
      <c r="AJ169" s="130"/>
      <c r="AK169" s="130"/>
      <c r="AL169" s="130"/>
      <c r="AM169" s="127">
        <f>AG169*'1. Standard_Cost'!$B$27+'Incremental_Cost Year 10'!AH169*'1. Standard_Cost'!$C$27+'Incremental_Cost Year 10'!AI169*'1. Standard_Cost'!$D$27+'Incremental_Cost Year 10'!AJ169+'Incremental_Cost Year 10'!AL169+AK169</f>
        <v>0</v>
      </c>
      <c r="AN169" s="127">
        <f>AM169*'1. Standard_Cost'!$C$31</f>
        <v>0</v>
      </c>
      <c r="AO169" s="130"/>
      <c r="AP169" s="256"/>
      <c r="AQ169" s="171">
        <f t="shared" ref="AQ169:AQ177" si="111">L169+M169</f>
        <v>0</v>
      </c>
      <c r="AR169" s="171">
        <f t="shared" ref="AR169:AR177" si="112">AF169</f>
        <v>1320223000</v>
      </c>
      <c r="AS169" s="171">
        <f t="shared" ref="AS169:AS177" si="113">AM169+AN169</f>
        <v>0</v>
      </c>
      <c r="AT169" s="171">
        <f t="shared" ref="AT169:AT177" si="114">SUM(AQ169,AR169,AS169)</f>
        <v>1320223000</v>
      </c>
      <c r="AU169" s="250">
        <v>1320223000</v>
      </c>
      <c r="AV169" s="250"/>
      <c r="AW169" s="250"/>
      <c r="AX169" s="250"/>
      <c r="AY169" s="250"/>
      <c r="AZ169" s="250"/>
      <c r="BA169" s="250"/>
      <c r="BB169" s="251">
        <f t="shared" ref="BB169:BB177" si="115">SUM(AU169:BA169)-AT169</f>
        <v>0</v>
      </c>
      <c r="BC169" s="169"/>
      <c r="BD169" s="169"/>
      <c r="BE169" s="169"/>
      <c r="BF169" s="169"/>
    </row>
    <row r="170" spans="1:58" ht="47.25" outlineLevel="2" x14ac:dyDescent="0.25">
      <c r="A170" s="115"/>
      <c r="B170" s="200"/>
      <c r="C170" s="201"/>
      <c r="D170" s="343"/>
      <c r="E170" s="328"/>
      <c r="F170" s="328"/>
      <c r="G170" s="328"/>
      <c r="H170" s="213" t="s">
        <v>480</v>
      </c>
      <c r="I170" s="130"/>
      <c r="J170" s="126"/>
      <c r="K170" s="126"/>
      <c r="L170" s="125" t="str">
        <f>IF(I170&lt;&gt;0,((VLOOKUP(I170,'1. Standard_Cost'!$B$4:$D$11,2)+VLOOKUP(I170,'1. Standard_Cost'!$B$4:$D$11,3))*J170*K170),"0")</f>
        <v>0</v>
      </c>
      <c r="M170" s="125">
        <f>L170*'1. Standard_Cost'!$F$4</f>
        <v>0</v>
      </c>
      <c r="N170" s="126"/>
      <c r="O170" s="126"/>
      <c r="P170" s="126"/>
      <c r="Q170" s="126"/>
      <c r="R170" s="127">
        <f>'1. Standard_Cost'!$B$15*N170*P170</f>
        <v>0</v>
      </c>
      <c r="S170" s="127">
        <f>N170*O170*P170*'1. Standard_Cost'!$C$15</f>
        <v>0</v>
      </c>
      <c r="T170" s="127">
        <f>N170*P170*Q170*'1. Standard_Cost'!$D$15</f>
        <v>0</v>
      </c>
      <c r="U170" s="127">
        <f>N170*O170*'1. Standard_Cost'!$E$15</f>
        <v>0</v>
      </c>
      <c r="V170" s="126"/>
      <c r="W170" s="126"/>
      <c r="X170" s="126"/>
      <c r="Y170" s="127">
        <f>+V170*((X170*'1. Standard_Cost'!$B$19)+(W170*X170*'1. Standard_Cost'!$C$19))</f>
        <v>0</v>
      </c>
      <c r="Z170" s="126"/>
      <c r="AA170" s="126"/>
      <c r="AB170" s="127">
        <f>+Z170*'1. Standard_Cost'!$B$23+AA170*'1. Standard_Cost'!$C$23</f>
        <v>0</v>
      </c>
      <c r="AC170" s="266">
        <v>946000000</v>
      </c>
      <c r="AD170" s="129"/>
      <c r="AE170" s="127">
        <f>0</f>
        <v>0</v>
      </c>
      <c r="AF170" s="127">
        <f t="shared" si="110"/>
        <v>946000000</v>
      </c>
      <c r="AG170" s="126"/>
      <c r="AH170" s="126"/>
      <c r="AI170" s="126"/>
      <c r="AJ170" s="130"/>
      <c r="AK170" s="130"/>
      <c r="AL170" s="130"/>
      <c r="AM170" s="127">
        <f>AG170*'1. Standard_Cost'!$B$27+'Incremental_Cost Year 10'!AH170*'1. Standard_Cost'!$C$27+'Incremental_Cost Year 10'!AI170*'1. Standard_Cost'!$D$27+'Incremental_Cost Year 10'!AJ170+'Incremental_Cost Year 10'!AL170+AK170</f>
        <v>0</v>
      </c>
      <c r="AN170" s="127">
        <f>AM170*'1. Standard_Cost'!$C$31</f>
        <v>0</v>
      </c>
      <c r="AO170" s="130"/>
      <c r="AP170" s="256"/>
      <c r="AQ170" s="171">
        <f t="shared" si="111"/>
        <v>0</v>
      </c>
      <c r="AR170" s="171">
        <f t="shared" si="112"/>
        <v>946000000</v>
      </c>
      <c r="AS170" s="171">
        <f t="shared" si="113"/>
        <v>0</v>
      </c>
      <c r="AT170" s="171">
        <f t="shared" si="114"/>
        <v>946000000</v>
      </c>
      <c r="AU170" s="250">
        <v>946000000</v>
      </c>
      <c r="AV170" s="250"/>
      <c r="AW170" s="250"/>
      <c r="AX170" s="250"/>
      <c r="AY170" s="250"/>
      <c r="AZ170" s="250"/>
      <c r="BA170" s="250"/>
      <c r="BB170" s="251">
        <f t="shared" si="115"/>
        <v>0</v>
      </c>
      <c r="BC170" s="169"/>
      <c r="BD170" s="169"/>
      <c r="BE170" s="169"/>
      <c r="BF170" s="169"/>
    </row>
    <row r="171" spans="1:58" ht="31.5" outlineLevel="2" x14ac:dyDescent="0.25">
      <c r="A171" s="115"/>
      <c r="B171" s="200"/>
      <c r="C171" s="201"/>
      <c r="D171" s="343"/>
      <c r="E171" s="328"/>
      <c r="F171" s="328"/>
      <c r="G171" s="328"/>
      <c r="H171" s="213" t="s">
        <v>481</v>
      </c>
      <c r="I171" s="130"/>
      <c r="J171" s="126"/>
      <c r="K171" s="126"/>
      <c r="L171" s="125" t="str">
        <f>IF(I171&lt;&gt;0,((VLOOKUP(I171,'1. Standard_Cost'!$B$4:$D$11,2)+VLOOKUP(I171,'1. Standard_Cost'!$B$4:$D$11,3))*J171*K171),"0")</f>
        <v>0</v>
      </c>
      <c r="M171" s="125">
        <f>L171*'1. Standard_Cost'!$F$4</f>
        <v>0</v>
      </c>
      <c r="N171" s="126"/>
      <c r="O171" s="126"/>
      <c r="P171" s="126"/>
      <c r="Q171" s="126"/>
      <c r="R171" s="127">
        <f>'1. Standard_Cost'!$B$15*N171*P171</f>
        <v>0</v>
      </c>
      <c r="S171" s="127">
        <f>N171*O171*P171*'1. Standard_Cost'!$C$15</f>
        <v>0</v>
      </c>
      <c r="T171" s="127">
        <f>N171*P171*Q171*'1. Standard_Cost'!$D$15</f>
        <v>0</v>
      </c>
      <c r="U171" s="127">
        <f>N171*O171*'1. Standard_Cost'!$E$15</f>
        <v>0</v>
      </c>
      <c r="V171" s="126"/>
      <c r="W171" s="126"/>
      <c r="X171" s="126"/>
      <c r="Y171" s="127">
        <f>+V171*((X171*'1. Standard_Cost'!$B$19)+(W171*X171*'1. Standard_Cost'!$C$19))</f>
        <v>0</v>
      </c>
      <c r="Z171" s="126"/>
      <c r="AA171" s="126"/>
      <c r="AB171" s="127">
        <f>+Z171*'1. Standard_Cost'!$B$23+AA171*'1. Standard_Cost'!$C$23</f>
        <v>0</v>
      </c>
      <c r="AC171" s="128">
        <v>1790000000</v>
      </c>
      <c r="AD171" s="129"/>
      <c r="AE171" s="127">
        <f>0</f>
        <v>0</v>
      </c>
      <c r="AF171" s="127">
        <f t="shared" si="110"/>
        <v>1790000000</v>
      </c>
      <c r="AG171" s="126"/>
      <c r="AH171" s="126"/>
      <c r="AI171" s="126"/>
      <c r="AJ171" s="130"/>
      <c r="AK171" s="130"/>
      <c r="AL171" s="130"/>
      <c r="AM171" s="127">
        <f>AG171*'1. Standard_Cost'!$B$27+'Incremental_Cost Year 10'!AH171*'1. Standard_Cost'!$C$27+'Incremental_Cost Year 10'!AI171*'1. Standard_Cost'!$D$27+'Incremental_Cost Year 10'!AJ171+'Incremental_Cost Year 10'!AL171+AK171</f>
        <v>0</v>
      </c>
      <c r="AN171" s="127">
        <f>AM171*'1. Standard_Cost'!$C$31</f>
        <v>0</v>
      </c>
      <c r="AO171" s="130"/>
      <c r="AP171" s="256"/>
      <c r="AQ171" s="171">
        <f t="shared" si="111"/>
        <v>0</v>
      </c>
      <c r="AR171" s="171">
        <f t="shared" si="112"/>
        <v>1790000000</v>
      </c>
      <c r="AS171" s="171">
        <f t="shared" si="113"/>
        <v>0</v>
      </c>
      <c r="AT171" s="171">
        <f t="shared" si="114"/>
        <v>1790000000</v>
      </c>
      <c r="AU171" s="250">
        <v>1790000000</v>
      </c>
      <c r="AV171" s="250"/>
      <c r="AW171" s="250"/>
      <c r="AX171" s="250"/>
      <c r="AY171" s="250"/>
      <c r="AZ171" s="250"/>
      <c r="BA171" s="250"/>
      <c r="BB171" s="251">
        <f t="shared" si="115"/>
        <v>0</v>
      </c>
      <c r="BC171" s="169"/>
      <c r="BD171" s="169"/>
      <c r="BE171" s="169"/>
      <c r="BF171" s="169"/>
    </row>
    <row r="172" spans="1:58" ht="47.25" outlineLevel="2" x14ac:dyDescent="0.25">
      <c r="A172" s="115"/>
      <c r="B172" s="200"/>
      <c r="C172" s="201"/>
      <c r="D172" s="343"/>
      <c r="E172" s="328"/>
      <c r="F172" s="328"/>
      <c r="G172" s="328"/>
      <c r="H172" s="213" t="s">
        <v>542</v>
      </c>
      <c r="I172" s="130"/>
      <c r="J172" s="126"/>
      <c r="K172" s="126"/>
      <c r="L172" s="125" t="str">
        <f>IF(I172&lt;&gt;0,((VLOOKUP(I172,'1. Standard_Cost'!$B$4:$D$11,2)+VLOOKUP(I172,'1. Standard_Cost'!$B$4:$D$11,3))*J172*K172),"0")</f>
        <v>0</v>
      </c>
      <c r="M172" s="125">
        <f>L172*'1. Standard_Cost'!$F$4</f>
        <v>0</v>
      </c>
      <c r="N172" s="126"/>
      <c r="O172" s="126"/>
      <c r="P172" s="126"/>
      <c r="Q172" s="126"/>
      <c r="R172" s="127">
        <f>'1. Standard_Cost'!$B$15*N172*P172</f>
        <v>0</v>
      </c>
      <c r="S172" s="127">
        <f>N172*O172*P172*'1. Standard_Cost'!$C$15</f>
        <v>0</v>
      </c>
      <c r="T172" s="127">
        <f>N172*P172*Q172*'1. Standard_Cost'!$D$15</f>
        <v>0</v>
      </c>
      <c r="U172" s="127">
        <f>N172*O172*'1. Standard_Cost'!$E$15</f>
        <v>0</v>
      </c>
      <c r="V172" s="126"/>
      <c r="W172" s="126"/>
      <c r="X172" s="126"/>
      <c r="Y172" s="127">
        <f>+V172*((X172*'1. Standard_Cost'!$B$19)+(W172*X172*'1. Standard_Cost'!$C$19))</f>
        <v>0</v>
      </c>
      <c r="Z172" s="126"/>
      <c r="AA172" s="126"/>
      <c r="AB172" s="127">
        <f>+Z172*'1. Standard_Cost'!$B$23+AA172*'1. Standard_Cost'!$C$23</f>
        <v>0</v>
      </c>
      <c r="AC172" s="128"/>
      <c r="AD172" s="129"/>
      <c r="AE172" s="127">
        <f>SUM(AD172,AC172,AB172,Y172,U172,T172,S172,R172)*'1. Standard_Cost'!$B$31</f>
        <v>0</v>
      </c>
      <c r="AF172" s="127">
        <f t="shared" si="110"/>
        <v>0</v>
      </c>
      <c r="AG172" s="126"/>
      <c r="AH172" s="126"/>
      <c r="AI172" s="126"/>
      <c r="AJ172" s="130"/>
      <c r="AK172" s="130"/>
      <c r="AL172" s="130"/>
      <c r="AM172" s="127">
        <f>AG172*'1. Standard_Cost'!$B$27+'Incremental_Cost Year 10'!AH172*'1. Standard_Cost'!$C$27+'Incremental_Cost Year 10'!AI172*'1. Standard_Cost'!$D$27+'Incremental_Cost Year 10'!AJ172+'Incremental_Cost Year 10'!AL172+AK172</f>
        <v>0</v>
      </c>
      <c r="AN172" s="127">
        <f>AM172*'1. Standard_Cost'!$C$31</f>
        <v>0</v>
      </c>
      <c r="AO172" s="130"/>
      <c r="AP172" s="256"/>
      <c r="AQ172" s="171">
        <f t="shared" si="111"/>
        <v>0</v>
      </c>
      <c r="AR172" s="171">
        <f t="shared" si="112"/>
        <v>0</v>
      </c>
      <c r="AS172" s="171">
        <f t="shared" si="113"/>
        <v>0</v>
      </c>
      <c r="AT172" s="171">
        <f t="shared" si="114"/>
        <v>0</v>
      </c>
      <c r="AU172" s="250"/>
      <c r="AV172" s="250"/>
      <c r="AW172" s="250"/>
      <c r="AX172" s="250"/>
      <c r="AY172" s="250"/>
      <c r="AZ172" s="250"/>
      <c r="BA172" s="250"/>
      <c r="BB172" s="251">
        <f t="shared" si="115"/>
        <v>0</v>
      </c>
      <c r="BC172" s="169"/>
      <c r="BD172" s="169"/>
      <c r="BE172" s="169"/>
      <c r="BF172" s="169"/>
    </row>
    <row r="173" spans="1:58" ht="31.5" outlineLevel="2" x14ac:dyDescent="0.25">
      <c r="A173" s="115"/>
      <c r="B173" s="200"/>
      <c r="C173" s="201"/>
      <c r="D173" s="343"/>
      <c r="E173" s="328"/>
      <c r="F173" s="328"/>
      <c r="G173" s="328"/>
      <c r="H173" s="213" t="s">
        <v>482</v>
      </c>
      <c r="I173" s="130" t="s">
        <v>5</v>
      </c>
      <c r="J173" s="126">
        <v>12</v>
      </c>
      <c r="K173" s="126">
        <v>59</v>
      </c>
      <c r="L173" s="125">
        <f>IF(I173&lt;&gt;0,((VLOOKUP(I173,'1. Standard_Cost'!$B$4:$D$11,2)+VLOOKUP(I173,'1. Standard_Cost'!$B$4:$D$11,3))*J173*K173),"0")</f>
        <v>50055600</v>
      </c>
      <c r="M173" s="125">
        <f>L173*'1. Standard_Cost'!$F$4</f>
        <v>8359285.2000000002</v>
      </c>
      <c r="N173" s="126"/>
      <c r="O173" s="126"/>
      <c r="P173" s="126"/>
      <c r="Q173" s="126"/>
      <c r="R173" s="127">
        <f>'1. Standard_Cost'!$B$15*N173*P173</f>
        <v>0</v>
      </c>
      <c r="S173" s="127">
        <f>N173*O173*P173*'1. Standard_Cost'!$C$15</f>
        <v>0</v>
      </c>
      <c r="T173" s="127">
        <f>N173*P173*Q173*'1. Standard_Cost'!$D$15</f>
        <v>0</v>
      </c>
      <c r="U173" s="127">
        <f>N173*O173*'1. Standard_Cost'!$E$15</f>
        <v>0</v>
      </c>
      <c r="V173" s="126"/>
      <c r="W173" s="126"/>
      <c r="X173" s="126"/>
      <c r="Y173" s="127">
        <f>+V173*((X173*'1. Standard_Cost'!$B$19)+(W173*X173*'1. Standard_Cost'!$C$19))</f>
        <v>0</v>
      </c>
      <c r="Z173" s="126"/>
      <c r="AA173" s="126"/>
      <c r="AB173" s="127">
        <f>+Z173*'1. Standard_Cost'!$B$23+AA173*'1. Standard_Cost'!$C$23</f>
        <v>0</v>
      </c>
      <c r="AC173" s="128">
        <v>557479800</v>
      </c>
      <c r="AD173" s="129"/>
      <c r="AE173" s="127">
        <f>0</f>
        <v>0</v>
      </c>
      <c r="AF173" s="127">
        <f t="shared" si="110"/>
        <v>557479800</v>
      </c>
      <c r="AG173" s="126"/>
      <c r="AH173" s="126"/>
      <c r="AI173" s="126"/>
      <c r="AJ173" s="130"/>
      <c r="AK173" s="130"/>
      <c r="AL173" s="130"/>
      <c r="AM173" s="127">
        <f>AG173*'1. Standard_Cost'!$B$27+'Incremental_Cost Year 10'!AH173*'1. Standard_Cost'!$C$27+'Incremental_Cost Year 10'!AI173*'1. Standard_Cost'!$D$27+'Incremental_Cost Year 10'!AJ173+'Incremental_Cost Year 10'!AL173+AK173</f>
        <v>0</v>
      </c>
      <c r="AN173" s="127">
        <f>AM173*'1. Standard_Cost'!$C$31</f>
        <v>0</v>
      </c>
      <c r="AO173" s="130"/>
      <c r="AP173" s="256"/>
      <c r="AQ173" s="171">
        <f t="shared" si="111"/>
        <v>58414885.200000003</v>
      </c>
      <c r="AR173" s="171">
        <f t="shared" si="112"/>
        <v>557479800</v>
      </c>
      <c r="AS173" s="171">
        <f t="shared" si="113"/>
        <v>0</v>
      </c>
      <c r="AT173" s="171">
        <f t="shared" si="114"/>
        <v>615894685.20000005</v>
      </c>
      <c r="AU173" s="250">
        <v>615894685.20000005</v>
      </c>
      <c r="AV173" s="250"/>
      <c r="AW173" s="250"/>
      <c r="AX173" s="250"/>
      <c r="AY173" s="250"/>
      <c r="AZ173" s="250"/>
      <c r="BA173" s="250"/>
      <c r="BB173" s="251">
        <f t="shared" si="115"/>
        <v>0</v>
      </c>
      <c r="BC173" s="169"/>
      <c r="BD173" s="169"/>
      <c r="BE173" s="169"/>
      <c r="BF173" s="169"/>
    </row>
    <row r="174" spans="1:58" ht="15.75" outlineLevel="2" x14ac:dyDescent="0.25">
      <c r="A174" s="115"/>
      <c r="B174" s="200"/>
      <c r="C174" s="201"/>
      <c r="D174" s="343"/>
      <c r="E174" s="328"/>
      <c r="F174" s="328"/>
      <c r="G174" s="328"/>
      <c r="H174" s="199"/>
      <c r="I174" s="130"/>
      <c r="J174" s="126"/>
      <c r="K174" s="126"/>
      <c r="L174" s="125" t="str">
        <f>IF(I174&lt;&gt;0,((VLOOKUP(I174,'1. Standard_Cost'!$B$4:$D$11,2)+VLOOKUP(I174,'1. Standard_Cost'!$B$4:$D$11,3))*J174*K174),"0")</f>
        <v>0</v>
      </c>
      <c r="M174" s="125">
        <f>L174*'1. Standard_Cost'!$F$4</f>
        <v>0</v>
      </c>
      <c r="N174" s="126"/>
      <c r="O174" s="126"/>
      <c r="P174" s="126"/>
      <c r="Q174" s="126"/>
      <c r="R174" s="127">
        <f>'1. Standard_Cost'!$B$15*N174*P174</f>
        <v>0</v>
      </c>
      <c r="S174" s="127">
        <f>N174*O174*P174*'1. Standard_Cost'!$C$15</f>
        <v>0</v>
      </c>
      <c r="T174" s="127">
        <f>N174*P174*Q174*'1. Standard_Cost'!$D$15</f>
        <v>0</v>
      </c>
      <c r="U174" s="127">
        <f>N174*O174*'1. Standard_Cost'!$E$15</f>
        <v>0</v>
      </c>
      <c r="V174" s="126"/>
      <c r="W174" s="126"/>
      <c r="X174" s="126"/>
      <c r="Y174" s="127">
        <f>+V174*((X174*'1. Standard_Cost'!$B$19)+(W174*X174*'1. Standard_Cost'!$C$19))</f>
        <v>0</v>
      </c>
      <c r="Z174" s="126"/>
      <c r="AA174" s="126"/>
      <c r="AB174" s="127">
        <f>+Z174*'1. Standard_Cost'!$B$23+AA174*'1. Standard_Cost'!$C$23</f>
        <v>0</v>
      </c>
      <c r="AC174" s="128"/>
      <c r="AD174" s="129"/>
      <c r="AE174" s="127">
        <f>SUM(AD174,AC174,AB174,Y174,U174,T174,S174,R174)*'1. Standard_Cost'!$B$31</f>
        <v>0</v>
      </c>
      <c r="AF174" s="127">
        <f t="shared" si="110"/>
        <v>0</v>
      </c>
      <c r="AG174" s="126"/>
      <c r="AH174" s="126"/>
      <c r="AI174" s="126"/>
      <c r="AJ174" s="130"/>
      <c r="AK174" s="130"/>
      <c r="AL174" s="130"/>
      <c r="AM174" s="127">
        <f>AG174*'1. Standard_Cost'!$B$27+'Incremental_Cost Year 10'!AH174*'1. Standard_Cost'!$C$27+'Incremental_Cost Year 10'!AI174*'1. Standard_Cost'!$D$27+'Incremental_Cost Year 10'!AJ174+'Incremental_Cost Year 10'!AL174+AK174</f>
        <v>0</v>
      </c>
      <c r="AN174" s="127">
        <f>AM174*'1. Standard_Cost'!$C$31</f>
        <v>0</v>
      </c>
      <c r="AO174" s="130"/>
      <c r="AP174" s="256"/>
      <c r="AQ174" s="171">
        <f t="shared" si="111"/>
        <v>0</v>
      </c>
      <c r="AR174" s="171">
        <f t="shared" si="112"/>
        <v>0</v>
      </c>
      <c r="AS174" s="171">
        <f t="shared" si="113"/>
        <v>0</v>
      </c>
      <c r="AT174" s="171">
        <f t="shared" si="114"/>
        <v>0</v>
      </c>
      <c r="AU174" s="250"/>
      <c r="AV174" s="250"/>
      <c r="AW174" s="250"/>
      <c r="AX174" s="250"/>
      <c r="AY174" s="250"/>
      <c r="AZ174" s="250"/>
      <c r="BA174" s="250"/>
      <c r="BB174" s="251">
        <f t="shared" si="115"/>
        <v>0</v>
      </c>
      <c r="BC174" s="169"/>
      <c r="BD174" s="169"/>
      <c r="BE174" s="169"/>
      <c r="BF174" s="169"/>
    </row>
    <row r="175" spans="1:58" ht="63" outlineLevel="2" x14ac:dyDescent="0.25">
      <c r="A175" s="115"/>
      <c r="B175" s="200"/>
      <c r="C175" s="201"/>
      <c r="D175" s="343"/>
      <c r="E175" s="328"/>
      <c r="F175" s="328"/>
      <c r="G175" s="328"/>
      <c r="H175" s="213" t="s">
        <v>483</v>
      </c>
      <c r="I175" s="130"/>
      <c r="J175" s="126"/>
      <c r="K175" s="126"/>
      <c r="L175" s="125" t="str">
        <f>IF(I175&lt;&gt;0,((VLOOKUP(I175,'1. Standard_Cost'!$B$4:$D$11,2)+VLOOKUP(I175,'1. Standard_Cost'!$B$4:$D$11,3))*J175*K175),"0")</f>
        <v>0</v>
      </c>
      <c r="M175" s="125">
        <f>L175*'1. Standard_Cost'!$F$4</f>
        <v>0</v>
      </c>
      <c r="N175" s="126"/>
      <c r="O175" s="126"/>
      <c r="P175" s="126"/>
      <c r="Q175" s="126"/>
      <c r="R175" s="127">
        <f>'1. Standard_Cost'!$B$15*N175*P175</f>
        <v>0</v>
      </c>
      <c r="S175" s="127">
        <f>N175*O175*P175*'1. Standard_Cost'!$C$15</f>
        <v>0</v>
      </c>
      <c r="T175" s="127">
        <f>N175*P175*Q175*'1. Standard_Cost'!$D$15</f>
        <v>0</v>
      </c>
      <c r="U175" s="127">
        <f>N175*O175*'1. Standard_Cost'!$E$15</f>
        <v>0</v>
      </c>
      <c r="V175" s="126"/>
      <c r="W175" s="126"/>
      <c r="X175" s="126"/>
      <c r="Y175" s="127">
        <f>+V175*((X175*'1. Standard_Cost'!$B$19)+(W175*X175*'1. Standard_Cost'!$C$19))</f>
        <v>0</v>
      </c>
      <c r="Z175" s="126"/>
      <c r="AA175" s="126"/>
      <c r="AB175" s="127">
        <f>+Z175*'1. Standard_Cost'!$B$23+AA175*'1. Standard_Cost'!$C$23</f>
        <v>0</v>
      </c>
      <c r="AC175" s="128"/>
      <c r="AD175" s="129"/>
      <c r="AE175" s="127">
        <f>SUM(AD175,AC175,AB175,Y175,U175,T175,S175,R175)*'1. Standard_Cost'!$B$31</f>
        <v>0</v>
      </c>
      <c r="AF175" s="127">
        <f t="shared" si="110"/>
        <v>0</v>
      </c>
      <c r="AG175" s="126"/>
      <c r="AH175" s="126"/>
      <c r="AI175" s="126"/>
      <c r="AJ175" s="130"/>
      <c r="AK175" s="130"/>
      <c r="AL175" s="130"/>
      <c r="AM175" s="127">
        <f>AG175*'1. Standard_Cost'!$B$27+'Incremental_Cost Year 10'!AH175*'1. Standard_Cost'!$C$27+'Incremental_Cost Year 10'!AI175*'1. Standard_Cost'!$D$27+'Incremental_Cost Year 10'!AJ175+'Incremental_Cost Year 10'!AL175+AK175</f>
        <v>0</v>
      </c>
      <c r="AN175" s="127">
        <f>AM175*'1. Standard_Cost'!$C$31</f>
        <v>0</v>
      </c>
      <c r="AO175" s="130"/>
      <c r="AP175" s="256"/>
      <c r="AQ175" s="171">
        <f t="shared" si="111"/>
        <v>0</v>
      </c>
      <c r="AR175" s="171">
        <f t="shared" si="112"/>
        <v>0</v>
      </c>
      <c r="AS175" s="171">
        <f t="shared" si="113"/>
        <v>0</v>
      </c>
      <c r="AT175" s="171">
        <f t="shared" si="114"/>
        <v>0</v>
      </c>
      <c r="AU175" s="250"/>
      <c r="AV175" s="250"/>
      <c r="AW175" s="250"/>
      <c r="AX175" s="250"/>
      <c r="AY175" s="250"/>
      <c r="AZ175" s="250"/>
      <c r="BA175" s="250"/>
      <c r="BB175" s="251">
        <f t="shared" si="115"/>
        <v>0</v>
      </c>
      <c r="BC175" s="169"/>
      <c r="BD175" s="169"/>
      <c r="BE175" s="169"/>
      <c r="BF175" s="169"/>
    </row>
    <row r="176" spans="1:58" ht="63" outlineLevel="2" x14ac:dyDescent="0.25">
      <c r="A176" s="115"/>
      <c r="B176" s="200"/>
      <c r="C176" s="201"/>
      <c r="D176" s="343"/>
      <c r="E176" s="328"/>
      <c r="F176" s="328"/>
      <c r="G176" s="328"/>
      <c r="H176" s="199" t="s">
        <v>484</v>
      </c>
      <c r="I176" s="130" t="s">
        <v>1</v>
      </c>
      <c r="J176" s="126">
        <v>2</v>
      </c>
      <c r="K176" s="126">
        <v>7</v>
      </c>
      <c r="L176" s="125">
        <f>IF(I176&lt;&gt;0,((VLOOKUP(I176,'1. Standard_Cost'!$B$4:$D$11,2)+VLOOKUP(I176,'1. Standard_Cost'!$B$4:$D$11,3))*J176*K176),"0")</f>
        <v>1005100</v>
      </c>
      <c r="M176" s="125">
        <f>L176*'1. Standard_Cost'!$F$4</f>
        <v>167851.7</v>
      </c>
      <c r="N176" s="126"/>
      <c r="O176" s="126"/>
      <c r="P176" s="126"/>
      <c r="Q176" s="126"/>
      <c r="R176" s="127">
        <f>'1. Standard_Cost'!$B$15*N176*P176</f>
        <v>0</v>
      </c>
      <c r="S176" s="127">
        <f>N176*O176*P176*'1. Standard_Cost'!$C$15</f>
        <v>0</v>
      </c>
      <c r="T176" s="127">
        <f>N176*P176*Q176*'1. Standard_Cost'!$D$15</f>
        <v>0</v>
      </c>
      <c r="U176" s="127">
        <f>N176*O176*'1. Standard_Cost'!$E$15</f>
        <v>0</v>
      </c>
      <c r="V176" s="126"/>
      <c r="W176" s="126"/>
      <c r="X176" s="126"/>
      <c r="Y176" s="127">
        <f>+V176*((X176*'1. Standard_Cost'!$B$19)+(W176*X176*'1. Standard_Cost'!$C$19))</f>
        <v>0</v>
      </c>
      <c r="Z176" s="126"/>
      <c r="AA176" s="126"/>
      <c r="AB176" s="127">
        <f>+Z176*'1. Standard_Cost'!$B$23+AA176*'1. Standard_Cost'!$C$23</f>
        <v>0</v>
      </c>
      <c r="AC176" s="128">
        <v>140755</v>
      </c>
      <c r="AD176" s="129"/>
      <c r="AE176" s="127">
        <f>SUM(AD176,AC176,AB176,Y176,U176,T176,S176,R176)*'1. Standard_Cost'!$B$31</f>
        <v>28151</v>
      </c>
      <c r="AF176" s="127">
        <f t="shared" si="110"/>
        <v>168906</v>
      </c>
      <c r="AG176" s="126"/>
      <c r="AH176" s="126"/>
      <c r="AI176" s="126"/>
      <c r="AJ176" s="130"/>
      <c r="AK176" s="130"/>
      <c r="AL176" s="130"/>
      <c r="AM176" s="127">
        <f>AG176*'1. Standard_Cost'!$B$27+'Incremental_Cost Year 10'!AH176*'1. Standard_Cost'!$C$27+'Incremental_Cost Year 10'!AI176*'1. Standard_Cost'!$D$27+'Incremental_Cost Year 10'!AJ176+'Incremental_Cost Year 10'!AL176+AK176</f>
        <v>0</v>
      </c>
      <c r="AN176" s="127">
        <f>AM176*'1. Standard_Cost'!$C$31</f>
        <v>0</v>
      </c>
      <c r="AO176" s="130"/>
      <c r="AP176" s="256"/>
      <c r="AQ176" s="171">
        <f t="shared" si="111"/>
        <v>1172951.7</v>
      </c>
      <c r="AR176" s="171">
        <f t="shared" si="112"/>
        <v>168906</v>
      </c>
      <c r="AS176" s="171">
        <f t="shared" si="113"/>
        <v>0</v>
      </c>
      <c r="AT176" s="171">
        <f t="shared" si="114"/>
        <v>1341857.7</v>
      </c>
      <c r="AU176" s="250">
        <v>1341858</v>
      </c>
      <c r="AV176" s="250"/>
      <c r="AW176" s="250"/>
      <c r="AX176" s="250"/>
      <c r="AY176" s="250"/>
      <c r="AZ176" s="250"/>
      <c r="BA176" s="250"/>
      <c r="BB176" s="251">
        <f t="shared" si="115"/>
        <v>0.30000000004656613</v>
      </c>
      <c r="BC176" s="169"/>
      <c r="BD176" s="169"/>
      <c r="BE176" s="169"/>
      <c r="BF176" s="169"/>
    </row>
    <row r="177" spans="1:58" ht="31.5" outlineLevel="2" x14ac:dyDescent="0.25">
      <c r="A177" s="115"/>
      <c r="B177" s="200"/>
      <c r="C177" s="201"/>
      <c r="D177" s="344"/>
      <c r="E177" s="328"/>
      <c r="F177" s="328"/>
      <c r="G177" s="328"/>
      <c r="H177" s="231" t="s">
        <v>235</v>
      </c>
      <c r="I177" s="130"/>
      <c r="J177" s="126"/>
      <c r="K177" s="126"/>
      <c r="L177" s="125" t="str">
        <f>IF(I177&lt;&gt;0,((VLOOKUP(I177,'1. Standard_Cost'!$B$4:$D$11,2)+VLOOKUP(I177,'1. Standard_Cost'!$B$4:$D$11,3))*J177*K177),"0")</f>
        <v>0</v>
      </c>
      <c r="M177" s="125">
        <f>L177*'1. Standard_Cost'!$F$4</f>
        <v>0</v>
      </c>
      <c r="N177" s="126"/>
      <c r="O177" s="126"/>
      <c r="P177" s="126"/>
      <c r="Q177" s="126"/>
      <c r="R177" s="127">
        <f>'1. Standard_Cost'!$B$15*N177*P177</f>
        <v>0</v>
      </c>
      <c r="S177" s="127">
        <f>N177*O177*P177*'1. Standard_Cost'!$C$15</f>
        <v>0</v>
      </c>
      <c r="T177" s="127">
        <f>N177*P177*Q177*'1. Standard_Cost'!$D$15</f>
        <v>0</v>
      </c>
      <c r="U177" s="127">
        <f>N177*O177*'1. Standard_Cost'!$E$15</f>
        <v>0</v>
      </c>
      <c r="V177" s="126"/>
      <c r="W177" s="126"/>
      <c r="X177" s="126"/>
      <c r="Y177" s="127">
        <f>+V177*((X177*'1. Standard_Cost'!$B$19)+(W177*X177*'1. Standard_Cost'!$C$19))</f>
        <v>0</v>
      </c>
      <c r="Z177" s="126"/>
      <c r="AA177" s="126"/>
      <c r="AB177" s="127">
        <f>+Z177*'1. Standard_Cost'!$B$23+AA177*'1. Standard_Cost'!$C$23</f>
        <v>0</v>
      </c>
      <c r="AC177" s="128">
        <v>20000000</v>
      </c>
      <c r="AD177" s="129"/>
      <c r="AE177" s="127">
        <f>0</f>
        <v>0</v>
      </c>
      <c r="AF177" s="127">
        <f t="shared" si="110"/>
        <v>20000000</v>
      </c>
      <c r="AG177" s="126"/>
      <c r="AH177" s="126"/>
      <c r="AI177" s="126"/>
      <c r="AJ177" s="130"/>
      <c r="AK177" s="130"/>
      <c r="AL177" s="130"/>
      <c r="AM177" s="127">
        <f>AG177*'1. Standard_Cost'!$B$27+'Incremental_Cost Year 10'!AH177*'1. Standard_Cost'!$C$27+'Incremental_Cost Year 10'!AI177*'1. Standard_Cost'!$D$27+'Incremental_Cost Year 10'!AJ177+'Incremental_Cost Year 10'!AL177+AK177</f>
        <v>0</v>
      </c>
      <c r="AN177" s="127">
        <f>AM177*'1. Standard_Cost'!$C$31</f>
        <v>0</v>
      </c>
      <c r="AO177" s="130"/>
      <c r="AP177" s="256"/>
      <c r="AQ177" s="171">
        <f t="shared" si="111"/>
        <v>0</v>
      </c>
      <c r="AR177" s="171">
        <f t="shared" si="112"/>
        <v>20000000</v>
      </c>
      <c r="AS177" s="171">
        <f t="shared" si="113"/>
        <v>0</v>
      </c>
      <c r="AT177" s="171">
        <f t="shared" si="114"/>
        <v>20000000</v>
      </c>
      <c r="AU177" s="250">
        <v>20000000</v>
      </c>
      <c r="AV177" s="250"/>
      <c r="AW177" s="250"/>
      <c r="AX177" s="250"/>
      <c r="AY177" s="250"/>
      <c r="AZ177" s="250"/>
      <c r="BA177" s="250"/>
      <c r="BB177" s="251">
        <f t="shared" si="115"/>
        <v>0</v>
      </c>
      <c r="BC177" s="169"/>
      <c r="BD177" s="169"/>
      <c r="BE177" s="169"/>
      <c r="BF177" s="169"/>
    </row>
    <row r="178" spans="1:58" ht="78.75" outlineLevel="2" x14ac:dyDescent="0.25">
      <c r="A178" s="115"/>
      <c r="B178" s="165"/>
      <c r="C178" s="166"/>
      <c r="D178" s="150" t="s">
        <v>485</v>
      </c>
      <c r="E178" s="212" t="s">
        <v>486</v>
      </c>
      <c r="F178" s="106">
        <v>2021</v>
      </c>
      <c r="G178" s="104">
        <v>2030</v>
      </c>
      <c r="H178" s="110" t="s">
        <v>181</v>
      </c>
      <c r="I178" s="252"/>
      <c r="J178" s="252"/>
      <c r="K178" s="252"/>
      <c r="L178" s="127">
        <f>SUM(L169:L177)</f>
        <v>51060700</v>
      </c>
      <c r="M178" s="127">
        <f>SUM(M169:M177)</f>
        <v>8527136.9000000004</v>
      </c>
      <c r="N178" s="252"/>
      <c r="O178" s="252"/>
      <c r="P178" s="252"/>
      <c r="Q178" s="252"/>
      <c r="R178" s="127">
        <f>SUM(R169:R177)</f>
        <v>0</v>
      </c>
      <c r="S178" s="127">
        <f>SUM(S169:S177)</f>
        <v>0</v>
      </c>
      <c r="T178" s="127">
        <f>SUM(T169:T177)</f>
        <v>0</v>
      </c>
      <c r="U178" s="127">
        <f>SUM(U169:U177)</f>
        <v>0</v>
      </c>
      <c r="V178" s="252"/>
      <c r="W178" s="252"/>
      <c r="X178" s="252"/>
      <c r="Y178" s="127">
        <f>SUM(Y169:Y177)</f>
        <v>0</v>
      </c>
      <c r="Z178" s="127"/>
      <c r="AA178" s="252"/>
      <c r="AB178" s="127">
        <f>SUM(AB169:AB177)</f>
        <v>0</v>
      </c>
      <c r="AC178" s="127">
        <f>SUM(AC169:AC177)</f>
        <v>4633843555</v>
      </c>
      <c r="AD178" s="127">
        <f>SUM(AD169:AD177)</f>
        <v>0</v>
      </c>
      <c r="AE178" s="127">
        <f>SUM(AE169:AE177)</f>
        <v>28151</v>
      </c>
      <c r="AF178" s="127">
        <f>SUM(AF169:AF177)</f>
        <v>4633871706</v>
      </c>
      <c r="AG178" s="252"/>
      <c r="AH178" s="252"/>
      <c r="AI178" s="252"/>
      <c r="AJ178" s="127">
        <f>SUM(AJ169:AJ177)</f>
        <v>0</v>
      </c>
      <c r="AK178" s="127">
        <f>SUM(AK169:AK177)</f>
        <v>0</v>
      </c>
      <c r="AL178" s="127">
        <f>SUM(AL169:AL177)</f>
        <v>0</v>
      </c>
      <c r="AM178" s="127">
        <f>SUM(AM169:AM177)</f>
        <v>0</v>
      </c>
      <c r="AN178" s="127">
        <f>SUM(AN169:AN177)</f>
        <v>0</v>
      </c>
      <c r="AO178" s="253"/>
      <c r="AP178" s="254"/>
      <c r="AQ178" s="175">
        <f>SUM(AQ169:AQ177)</f>
        <v>59587836.900000006</v>
      </c>
      <c r="AR178" s="175">
        <f>SUM(AR169:AR177)</f>
        <v>4633871706</v>
      </c>
      <c r="AS178" s="175">
        <f>SUM(AS169:AS177)</f>
        <v>0</v>
      </c>
      <c r="AT178" s="175">
        <f>SUM(AT169:AT177)</f>
        <v>4693459542.8999996</v>
      </c>
      <c r="AU178" s="175">
        <f t="shared" ref="AU178:BA178" si="116">SUM(AU169:AU177)</f>
        <v>4693459543.1999998</v>
      </c>
      <c r="AV178" s="175">
        <f t="shared" si="116"/>
        <v>0</v>
      </c>
      <c r="AW178" s="175">
        <f t="shared" si="116"/>
        <v>0</v>
      </c>
      <c r="AX178" s="175">
        <f t="shared" si="116"/>
        <v>0</v>
      </c>
      <c r="AY178" s="175">
        <f t="shared" si="116"/>
        <v>0</v>
      </c>
      <c r="AZ178" s="175">
        <f t="shared" si="116"/>
        <v>0</v>
      </c>
      <c r="BA178" s="175">
        <f t="shared" si="116"/>
        <v>0</v>
      </c>
      <c r="BB178" s="175">
        <f>SUM(BB169:BB177)</f>
        <v>0.30000000004656613</v>
      </c>
      <c r="BC178" s="169"/>
      <c r="BD178" s="169"/>
      <c r="BE178" s="169"/>
      <c r="BF178" s="169"/>
    </row>
    <row r="179" spans="1:58" ht="31.5" outlineLevel="2" x14ac:dyDescent="0.25">
      <c r="A179" s="115"/>
      <c r="B179" s="200"/>
      <c r="C179" s="201"/>
      <c r="D179" s="210"/>
      <c r="E179" s="328"/>
      <c r="F179" s="328"/>
      <c r="G179" s="328"/>
      <c r="H179" s="199" t="s">
        <v>487</v>
      </c>
      <c r="I179" s="130"/>
      <c r="J179" s="126"/>
      <c r="K179" s="126"/>
      <c r="L179" s="125" t="str">
        <f>IF(I179&lt;&gt;0,((VLOOKUP(I179,'1. Standard_Cost'!$B$4:$D$11,2)+VLOOKUP(I179,'1. Standard_Cost'!$B$4:$D$11,3))*J179*K179),"0")</f>
        <v>0</v>
      </c>
      <c r="M179" s="125">
        <f>L179*'1. Standard_Cost'!$F$4</f>
        <v>0</v>
      </c>
      <c r="N179" s="126"/>
      <c r="O179" s="126"/>
      <c r="P179" s="126"/>
      <c r="Q179" s="126"/>
      <c r="R179" s="127">
        <f>'1. Standard_Cost'!$B$15*N179*P179</f>
        <v>0</v>
      </c>
      <c r="S179" s="127">
        <f>N179*O179*P179*'1. Standard_Cost'!$C$15</f>
        <v>0</v>
      </c>
      <c r="T179" s="127">
        <f>N179*P179*Q179*'1. Standard_Cost'!$D$15</f>
        <v>0</v>
      </c>
      <c r="U179" s="127">
        <f>N179*O179*'1. Standard_Cost'!$E$15</f>
        <v>0</v>
      </c>
      <c r="V179" s="126"/>
      <c r="W179" s="126"/>
      <c r="X179" s="126"/>
      <c r="Y179" s="127">
        <f>+V179*((X179*'1. Standard_Cost'!$B$19)+(W179*X179*'1. Standard_Cost'!$C$19))</f>
        <v>0</v>
      </c>
      <c r="Z179" s="126"/>
      <c r="AA179" s="126"/>
      <c r="AB179" s="127">
        <f>+Z179*'1. Standard_Cost'!$B$23+AA179*'1. Standard_Cost'!$C$23</f>
        <v>0</v>
      </c>
      <c r="AC179" s="128"/>
      <c r="AD179" s="129"/>
      <c r="AE179" s="127">
        <f>SUM(AD179,AC179,AB179,Y179,U179,T179,S179,R179)*'1. Standard_Cost'!$B$31</f>
        <v>0</v>
      </c>
      <c r="AF179" s="127">
        <f>SUM(AE179,AD179,AC179,AB179,Y179,U179,T179,S179,R179)</f>
        <v>0</v>
      </c>
      <c r="AG179" s="126"/>
      <c r="AH179" s="126"/>
      <c r="AI179" s="126"/>
      <c r="AJ179" s="130"/>
      <c r="AK179" s="130"/>
      <c r="AL179" s="130"/>
      <c r="AM179" s="127">
        <f>AG179*'1. Standard_Cost'!$B$27+'Incremental_Cost Year 10'!AH179*'1. Standard_Cost'!$C$27+'Incremental_Cost Year 10'!AI179*'1. Standard_Cost'!$D$27+'Incremental_Cost Year 10'!AJ179+'Incremental_Cost Year 10'!AL179+AK179</f>
        <v>0</v>
      </c>
      <c r="AN179" s="127">
        <f>AM179*'1. Standard_Cost'!$C$31</f>
        <v>0</v>
      </c>
      <c r="AO179" s="130"/>
      <c r="AP179" s="256"/>
      <c r="AQ179" s="171">
        <f>L179+M179</f>
        <v>0</v>
      </c>
      <c r="AR179" s="171">
        <f>AF179</f>
        <v>0</v>
      </c>
      <c r="AS179" s="171">
        <f>AM179+AN179</f>
        <v>0</v>
      </c>
      <c r="AT179" s="171">
        <f>SUM(AQ179,AR179,AS179)</f>
        <v>0</v>
      </c>
      <c r="AU179" s="250"/>
      <c r="AV179" s="250"/>
      <c r="AW179" s="250"/>
      <c r="AX179" s="250"/>
      <c r="AY179" s="250"/>
      <c r="AZ179" s="250"/>
      <c r="BA179" s="250"/>
      <c r="BB179" s="251">
        <f t="shared" ref="BB179:BB180" si="117">SUM(AU179:BA179)-AT179</f>
        <v>0</v>
      </c>
      <c r="BC179" s="169"/>
      <c r="BD179" s="169"/>
      <c r="BE179" s="169"/>
      <c r="BF179" s="169"/>
    </row>
    <row r="180" spans="1:58" ht="110.25" outlineLevel="2" x14ac:dyDescent="0.25">
      <c r="A180" s="115"/>
      <c r="B180" s="200"/>
      <c r="C180" s="201"/>
      <c r="D180" s="211"/>
      <c r="E180" s="328"/>
      <c r="F180" s="328"/>
      <c r="G180" s="328"/>
      <c r="H180" s="213" t="s">
        <v>488</v>
      </c>
      <c r="I180" s="130"/>
      <c r="J180" s="126"/>
      <c r="K180" s="126"/>
      <c r="L180" s="125" t="str">
        <f>IF(I180&lt;&gt;0,((VLOOKUP(I180,'1. Standard_Cost'!$B$4:$D$11,2)+VLOOKUP(I180,'1. Standard_Cost'!$B$4:$D$11,3))*J180*K180),"0")</f>
        <v>0</v>
      </c>
      <c r="M180" s="125">
        <f>L180*'1. Standard_Cost'!$F$4</f>
        <v>0</v>
      </c>
      <c r="N180" s="126"/>
      <c r="O180" s="126"/>
      <c r="P180" s="126"/>
      <c r="Q180" s="126"/>
      <c r="R180" s="127">
        <f>'1. Standard_Cost'!$B$15*N180*P180</f>
        <v>0</v>
      </c>
      <c r="S180" s="127">
        <f>N180*O180*P180*'1. Standard_Cost'!$C$15</f>
        <v>0</v>
      </c>
      <c r="T180" s="127">
        <f>N180*P180*Q180*'1. Standard_Cost'!$D$15</f>
        <v>0</v>
      </c>
      <c r="U180" s="127">
        <f>N180*O180*'1. Standard_Cost'!$E$15</f>
        <v>0</v>
      </c>
      <c r="V180" s="126"/>
      <c r="W180" s="126"/>
      <c r="X180" s="126"/>
      <c r="Y180" s="127">
        <f>+V180*((X180*'1. Standard_Cost'!$B$19)+(W180*X180*'1. Standard_Cost'!$C$19))</f>
        <v>0</v>
      </c>
      <c r="Z180" s="126"/>
      <c r="AA180" s="126"/>
      <c r="AB180" s="127">
        <f>+Z180*'1. Standard_Cost'!$B$23+AA180*'1. Standard_Cost'!$C$23</f>
        <v>0</v>
      </c>
      <c r="AC180" s="128"/>
      <c r="AD180" s="129"/>
      <c r="AE180" s="127">
        <f>SUM(AD180,AC180,AB180,Y180,U180,T180,S180,R180)*'1. Standard_Cost'!$B$31</f>
        <v>0</v>
      </c>
      <c r="AF180" s="127">
        <f>SUM(AE180,AD180,AC180,AB180,Y180,U180,T180,S180,R180)</f>
        <v>0</v>
      </c>
      <c r="AG180" s="126"/>
      <c r="AH180" s="126"/>
      <c r="AI180" s="126"/>
      <c r="AJ180" s="130"/>
      <c r="AK180" s="130"/>
      <c r="AL180" s="130"/>
      <c r="AM180" s="127">
        <f>AG180*'1. Standard_Cost'!$B$27+'Incremental_Cost Year 10'!AH180*'1. Standard_Cost'!$C$27+'Incremental_Cost Year 10'!AI180*'1. Standard_Cost'!$D$27+'Incremental_Cost Year 10'!AJ180+'Incremental_Cost Year 10'!AL180+AK180</f>
        <v>0</v>
      </c>
      <c r="AN180" s="127">
        <f>AM180*'1. Standard_Cost'!$C$31</f>
        <v>0</v>
      </c>
      <c r="AO180" s="130"/>
      <c r="AP180" s="256"/>
      <c r="AQ180" s="171">
        <f>L180+M180</f>
        <v>0</v>
      </c>
      <c r="AR180" s="171">
        <f>AF180</f>
        <v>0</v>
      </c>
      <c r="AS180" s="171">
        <f>AM180+AN180</f>
        <v>0</v>
      </c>
      <c r="AT180" s="171">
        <f>SUM(AQ180,AR180,AS180)</f>
        <v>0</v>
      </c>
      <c r="AU180" s="250"/>
      <c r="AV180" s="250"/>
      <c r="AW180" s="250"/>
      <c r="AX180" s="250"/>
      <c r="AY180" s="250"/>
      <c r="AZ180" s="250"/>
      <c r="BA180" s="250"/>
      <c r="BB180" s="251">
        <f t="shared" si="117"/>
        <v>0</v>
      </c>
      <c r="BC180" s="169"/>
      <c r="BD180" s="169"/>
      <c r="BE180" s="169"/>
      <c r="BF180" s="169"/>
    </row>
    <row r="181" spans="1:58" ht="63" outlineLevel="2" x14ac:dyDescent="0.25">
      <c r="A181" s="115"/>
      <c r="B181" s="165"/>
      <c r="C181" s="166"/>
      <c r="D181" s="110" t="s">
        <v>489</v>
      </c>
      <c r="E181" s="139" t="s">
        <v>490</v>
      </c>
      <c r="F181" s="104">
        <v>2022</v>
      </c>
      <c r="G181" s="104">
        <v>2025</v>
      </c>
      <c r="H181" s="150" t="s">
        <v>236</v>
      </c>
      <c r="I181" s="252"/>
      <c r="J181" s="252"/>
      <c r="K181" s="252"/>
      <c r="L181" s="127">
        <f>SUM(L179:L180)</f>
        <v>0</v>
      </c>
      <c r="M181" s="127">
        <f>SUM(M179:M180)</f>
        <v>0</v>
      </c>
      <c r="N181" s="252"/>
      <c r="O181" s="252"/>
      <c r="P181" s="252"/>
      <c r="Q181" s="252"/>
      <c r="R181" s="127">
        <f>SUM(R179:R180)</f>
        <v>0</v>
      </c>
      <c r="S181" s="127">
        <f>SUM(S179:S180)</f>
        <v>0</v>
      </c>
      <c r="T181" s="127">
        <f>SUM(T179:T180)</f>
        <v>0</v>
      </c>
      <c r="U181" s="127">
        <f>SUM(U179:U180)</f>
        <v>0</v>
      </c>
      <c r="V181" s="252"/>
      <c r="W181" s="252"/>
      <c r="X181" s="252"/>
      <c r="Y181" s="127">
        <f>SUM(Y179:Y180)</f>
        <v>0</v>
      </c>
      <c r="Z181" s="127"/>
      <c r="AA181" s="252"/>
      <c r="AB181" s="127">
        <f>SUM(AB179:AB180)</f>
        <v>0</v>
      </c>
      <c r="AC181" s="127">
        <f>SUM(AC179:AC180)</f>
        <v>0</v>
      </c>
      <c r="AD181" s="127">
        <f>SUM(AD179:AD180)</f>
        <v>0</v>
      </c>
      <c r="AE181" s="127">
        <f>SUM(AE179:AE180)</f>
        <v>0</v>
      </c>
      <c r="AF181" s="127">
        <f>SUM(AF179:AF180)</f>
        <v>0</v>
      </c>
      <c r="AG181" s="252"/>
      <c r="AH181" s="252"/>
      <c r="AI181" s="252"/>
      <c r="AJ181" s="127">
        <f>SUM(AJ179:AJ180)</f>
        <v>0</v>
      </c>
      <c r="AK181" s="127">
        <f>SUM(AK179:AK180)</f>
        <v>0</v>
      </c>
      <c r="AL181" s="127">
        <f>SUM(AL179:AL180)</f>
        <v>0</v>
      </c>
      <c r="AM181" s="127">
        <f>SUM(AM179:AM180)</f>
        <v>0</v>
      </c>
      <c r="AN181" s="127">
        <f>SUM(AN179:AN180)</f>
        <v>0</v>
      </c>
      <c r="AO181" s="253"/>
      <c r="AP181" s="254"/>
      <c r="AQ181" s="175">
        <f>SUM(AQ179:AQ180)</f>
        <v>0</v>
      </c>
      <c r="AR181" s="175">
        <f>SUM(AR179:AR180)</f>
        <v>0</v>
      </c>
      <c r="AS181" s="175">
        <f>SUM(AS179:AS180)</f>
        <v>0</v>
      </c>
      <c r="AT181" s="175">
        <f>SUM(AT179:AT180)</f>
        <v>0</v>
      </c>
      <c r="AU181" s="175">
        <f t="shared" ref="AU181:BB181" si="118">SUM(AU179:AU180)</f>
        <v>0</v>
      </c>
      <c r="AV181" s="175">
        <f t="shared" si="118"/>
        <v>0</v>
      </c>
      <c r="AW181" s="175">
        <f t="shared" si="118"/>
        <v>0</v>
      </c>
      <c r="AX181" s="175">
        <f t="shared" si="118"/>
        <v>0</v>
      </c>
      <c r="AY181" s="175">
        <f t="shared" si="118"/>
        <v>0</v>
      </c>
      <c r="AZ181" s="175">
        <f t="shared" si="118"/>
        <v>0</v>
      </c>
      <c r="BA181" s="175">
        <f t="shared" si="118"/>
        <v>0</v>
      </c>
      <c r="BB181" s="175">
        <f t="shared" si="118"/>
        <v>0</v>
      </c>
      <c r="BC181" s="169"/>
      <c r="BD181" s="169"/>
      <c r="BE181" s="169"/>
      <c r="BF181" s="169"/>
    </row>
    <row r="182" spans="1:58" ht="15.75" customHeight="1" outlineLevel="2" x14ac:dyDescent="0.25">
      <c r="A182" s="143"/>
      <c r="B182" s="290"/>
      <c r="C182" s="391" t="s">
        <v>237</v>
      </c>
      <c r="D182" s="391"/>
      <c r="E182" s="392"/>
      <c r="F182" s="287"/>
      <c r="G182" s="289"/>
      <c r="H182" s="144" t="s">
        <v>182</v>
      </c>
      <c r="I182" s="257"/>
      <c r="J182" s="257"/>
      <c r="K182" s="257"/>
      <c r="L182" s="258">
        <f>L190+L193+L196</f>
        <v>10563474300</v>
      </c>
      <c r="M182" s="258">
        <f>M190+M193+M196</f>
        <v>1764100208.0999999</v>
      </c>
      <c r="N182" s="257"/>
      <c r="O182" s="257"/>
      <c r="P182" s="257"/>
      <c r="Q182" s="257"/>
      <c r="R182" s="258">
        <f>R190+R193+R196</f>
        <v>0</v>
      </c>
      <c r="S182" s="258">
        <f>S190+S193+S196</f>
        <v>0</v>
      </c>
      <c r="T182" s="258">
        <f>T190+T193+T196</f>
        <v>0</v>
      </c>
      <c r="U182" s="258">
        <f>U190+U193+U196</f>
        <v>0</v>
      </c>
      <c r="V182" s="257"/>
      <c r="W182" s="257"/>
      <c r="X182" s="257"/>
      <c r="Y182" s="258">
        <f>Y190+Y193+Y196</f>
        <v>0</v>
      </c>
      <c r="Z182" s="258"/>
      <c r="AA182" s="258"/>
      <c r="AB182" s="258">
        <f>AB190+AB193+AB196</f>
        <v>0</v>
      </c>
      <c r="AC182" s="258">
        <f>AC190+AC193+AC196</f>
        <v>10008990000</v>
      </c>
      <c r="AD182" s="258">
        <f>AD190+AD193+AD196</f>
        <v>0</v>
      </c>
      <c r="AE182" s="258">
        <f>AE190+AE193+AE196</f>
        <v>2000025000</v>
      </c>
      <c r="AF182" s="258">
        <f>AF190+AF193+AF196</f>
        <v>12009015000</v>
      </c>
      <c r="AG182" s="257"/>
      <c r="AH182" s="257"/>
      <c r="AI182" s="257"/>
      <c r="AJ182" s="258">
        <f>AJ190+AJ193+AJ196</f>
        <v>0</v>
      </c>
      <c r="AK182" s="258">
        <f>AK190+AK193+AK196</f>
        <v>0</v>
      </c>
      <c r="AL182" s="258">
        <f>AL190+AL193+AL196</f>
        <v>0</v>
      </c>
      <c r="AM182" s="258">
        <f>AM190+AM193+AM196</f>
        <v>0</v>
      </c>
      <c r="AN182" s="258">
        <f>AN190+AN193+AN196</f>
        <v>0</v>
      </c>
      <c r="AO182" s="259"/>
      <c r="AP182" s="260"/>
      <c r="AQ182" s="261">
        <f>AQ190+AQ193+AQ196</f>
        <v>12327574508.1</v>
      </c>
      <c r="AR182" s="261">
        <f>AR190+AR193+AR196</f>
        <v>12009015000</v>
      </c>
      <c r="AS182" s="261">
        <f>AS190+AS193+AS196</f>
        <v>0</v>
      </c>
      <c r="AT182" s="261">
        <f>AT190+AT193+AT196</f>
        <v>24336589508.099998</v>
      </c>
      <c r="AU182" s="261">
        <f t="shared" ref="AU182:BA182" si="119">AU190+AU193+AU196</f>
        <v>22536589508</v>
      </c>
      <c r="AV182" s="261">
        <f t="shared" si="119"/>
        <v>0</v>
      </c>
      <c r="AW182" s="261">
        <f t="shared" si="119"/>
        <v>0</v>
      </c>
      <c r="AX182" s="261">
        <f t="shared" si="119"/>
        <v>0</v>
      </c>
      <c r="AY182" s="261">
        <f t="shared" si="119"/>
        <v>0</v>
      </c>
      <c r="AZ182" s="261">
        <f t="shared" si="119"/>
        <v>0</v>
      </c>
      <c r="BA182" s="261">
        <f t="shared" si="119"/>
        <v>0</v>
      </c>
      <c r="BB182" s="261">
        <f>BB190+BB193+BB196</f>
        <v>-1800000000.0999999</v>
      </c>
      <c r="BC182" s="184"/>
      <c r="BD182" s="184"/>
      <c r="BE182" s="184"/>
      <c r="BF182" s="184"/>
    </row>
    <row r="183" spans="1:58" ht="94.5" outlineLevel="2" x14ac:dyDescent="0.25">
      <c r="A183" s="115"/>
      <c r="B183" s="303"/>
      <c r="C183" s="329"/>
      <c r="D183" s="342"/>
      <c r="E183" s="328"/>
      <c r="F183" s="328"/>
      <c r="G183" s="328"/>
      <c r="H183" s="199" t="s">
        <v>544</v>
      </c>
      <c r="I183" s="130" t="s">
        <v>4</v>
      </c>
      <c r="J183" s="126">
        <v>12</v>
      </c>
      <c r="K183" s="126">
        <v>10882</v>
      </c>
      <c r="L183" s="125">
        <f>IF(I183&lt;&gt;0,((VLOOKUP(I183,'1. Standard_Cost'!$B$4:$D$11,2)+VLOOKUP(I183,'1. Standard_Cost'!$B$4:$D$11,3))*J183*K183),"0")</f>
        <v>10544658000</v>
      </c>
      <c r="M183" s="125">
        <f>L183*'1. Standard_Cost'!$F$4</f>
        <v>1760957886</v>
      </c>
      <c r="N183" s="126"/>
      <c r="O183" s="126"/>
      <c r="P183" s="126"/>
      <c r="Q183" s="126"/>
      <c r="R183" s="127">
        <f>'1. Standard_Cost'!$B$15*N183*P183</f>
        <v>0</v>
      </c>
      <c r="S183" s="127">
        <f>N183*O183*P183*'1. Standard_Cost'!$C$15</f>
        <v>0</v>
      </c>
      <c r="T183" s="127">
        <f>N183*P183*Q183*'1. Standard_Cost'!$D$15</f>
        <v>0</v>
      </c>
      <c r="U183" s="127">
        <f>N183*O183*'1. Standard_Cost'!$E$15</f>
        <v>0</v>
      </c>
      <c r="V183" s="126"/>
      <c r="W183" s="126"/>
      <c r="X183" s="126"/>
      <c r="Y183" s="127">
        <f>+V183*((X183*'1. Standard_Cost'!$B$19)+(W183*X183*'1. Standard_Cost'!$C$19))</f>
        <v>0</v>
      </c>
      <c r="Z183" s="126"/>
      <c r="AA183" s="126"/>
      <c r="AB183" s="127">
        <f>+Z183*'1. Standard_Cost'!$B$23+AA183*'1. Standard_Cost'!$C$23</f>
        <v>0</v>
      </c>
      <c r="AC183" s="128">
        <v>10000000000</v>
      </c>
      <c r="AD183" s="129"/>
      <c r="AE183" s="127">
        <f>SUM(AD183,AC183,AB183,Y183,U183,T183,S183,R183)*'1. Standard_Cost'!$B$31</f>
        <v>2000000000</v>
      </c>
      <c r="AF183" s="127">
        <f t="shared" ref="AF183:AF189" si="120">SUM(AE183,AD183,AC183,AB183,Y183,U183,T183,S183,R183)</f>
        <v>12000000000</v>
      </c>
      <c r="AG183" s="126"/>
      <c r="AH183" s="126"/>
      <c r="AI183" s="126"/>
      <c r="AJ183" s="130"/>
      <c r="AK183" s="130"/>
      <c r="AL183" s="130"/>
      <c r="AM183" s="127">
        <f>AG183*'1. Standard_Cost'!$B$27+'Incremental_Cost Year 10'!AH183*'1. Standard_Cost'!$C$27+'Incremental_Cost Year 10'!AI183*'1. Standard_Cost'!$D$27+'Incremental_Cost Year 10'!AJ183+'Incremental_Cost Year 10'!AL183+AK183</f>
        <v>0</v>
      </c>
      <c r="AN183" s="127">
        <f>AM183*'1. Standard_Cost'!$C$31</f>
        <v>0</v>
      </c>
      <c r="AO183" s="130"/>
      <c r="AP183" s="256"/>
      <c r="AQ183" s="171">
        <f t="shared" ref="AQ183:AQ189" si="121">L183+M183</f>
        <v>12305615886</v>
      </c>
      <c r="AR183" s="171">
        <f t="shared" ref="AR183:AR189" si="122">AF183</f>
        <v>12000000000</v>
      </c>
      <c r="AS183" s="171">
        <f t="shared" ref="AS183:AS189" si="123">AM183+AN183</f>
        <v>0</v>
      </c>
      <c r="AT183" s="171">
        <f t="shared" ref="AT183:AT189" si="124">SUM(AQ183,AR183,AS183)</f>
        <v>24305615886</v>
      </c>
      <c r="AU183" s="250">
        <v>22505615886</v>
      </c>
      <c r="AV183" s="250"/>
      <c r="AW183" s="250"/>
      <c r="AX183" s="250"/>
      <c r="AY183" s="250"/>
      <c r="AZ183" s="250"/>
      <c r="BA183" s="250"/>
      <c r="BB183" s="251">
        <f t="shared" ref="BB183:BB189" si="125">SUM(AU183:BA183)-AT183</f>
        <v>-1800000000</v>
      </c>
      <c r="BC183" s="169"/>
      <c r="BD183" s="169"/>
      <c r="BE183" s="169"/>
      <c r="BF183" s="169"/>
    </row>
    <row r="184" spans="1:58" ht="78.75" outlineLevel="2" x14ac:dyDescent="0.25">
      <c r="A184" s="115"/>
      <c r="B184" s="200"/>
      <c r="C184" s="330"/>
      <c r="D184" s="343"/>
      <c r="E184" s="328"/>
      <c r="F184" s="328"/>
      <c r="G184" s="328"/>
      <c r="H184" s="213" t="s">
        <v>543</v>
      </c>
      <c r="I184" s="267"/>
      <c r="J184" s="268"/>
      <c r="K184" s="268"/>
      <c r="L184" s="125" t="str">
        <f>IF(I184&lt;&gt;0,((VLOOKUP(I184,'1. Standard_Cost'!$B$4:$D$11,2)+VLOOKUP(I184,'1. Standard_Cost'!$B$4:$D$11,3))*J184*K184),"0")</f>
        <v>0</v>
      </c>
      <c r="M184" s="125">
        <f>L184*'1. Standard_Cost'!$F$4</f>
        <v>0</v>
      </c>
      <c r="N184" s="126"/>
      <c r="O184" s="126"/>
      <c r="P184" s="126"/>
      <c r="Q184" s="126"/>
      <c r="R184" s="127">
        <f>'1. Standard_Cost'!$B$15*N184*P184</f>
        <v>0</v>
      </c>
      <c r="S184" s="127">
        <f>N184*O184*P184*'1. Standard_Cost'!$C$15</f>
        <v>0</v>
      </c>
      <c r="T184" s="127">
        <f>N184*P184*Q184*'1. Standard_Cost'!$D$15</f>
        <v>0</v>
      </c>
      <c r="U184" s="127">
        <f>N184*O184*'1. Standard_Cost'!$E$15</f>
        <v>0</v>
      </c>
      <c r="V184" s="126"/>
      <c r="W184" s="126"/>
      <c r="X184" s="126"/>
      <c r="Y184" s="127">
        <f>+V184*((X184*'1. Standard_Cost'!$B$19)+(W184*X184*'1. Standard_Cost'!$C$19))</f>
        <v>0</v>
      </c>
      <c r="Z184" s="126"/>
      <c r="AA184" s="126"/>
      <c r="AB184" s="127">
        <f>+Z184*'1. Standard_Cost'!$B$23+AA184*'1. Standard_Cost'!$C$23</f>
        <v>0</v>
      </c>
      <c r="AC184" s="128"/>
      <c r="AD184" s="129"/>
      <c r="AE184" s="127"/>
      <c r="AF184" s="127">
        <f t="shared" si="120"/>
        <v>0</v>
      </c>
      <c r="AG184" s="126"/>
      <c r="AH184" s="126"/>
      <c r="AI184" s="126"/>
      <c r="AJ184" s="130"/>
      <c r="AK184" s="130"/>
      <c r="AL184" s="130"/>
      <c r="AM184" s="127">
        <f>AG184*'1. Standard_Cost'!$B$27+'Incremental_Cost Year 10'!AH184*'1. Standard_Cost'!$C$27+'Incremental_Cost Year 10'!AI184*'1. Standard_Cost'!$D$27+'Incremental_Cost Year 10'!AJ184+'Incremental_Cost Year 10'!AL184+AK184</f>
        <v>0</v>
      </c>
      <c r="AN184" s="127">
        <f>AM184*'1. Standard_Cost'!$C$31</f>
        <v>0</v>
      </c>
      <c r="AO184" s="130"/>
      <c r="AP184" s="256"/>
      <c r="AQ184" s="171">
        <f t="shared" si="121"/>
        <v>0</v>
      </c>
      <c r="AR184" s="171">
        <f t="shared" si="122"/>
        <v>0</v>
      </c>
      <c r="AS184" s="171">
        <f t="shared" si="123"/>
        <v>0</v>
      </c>
      <c r="AT184" s="171">
        <f t="shared" si="124"/>
        <v>0</v>
      </c>
      <c r="AU184" s="250"/>
      <c r="AV184" s="250"/>
      <c r="AW184" s="250"/>
      <c r="AX184" s="250"/>
      <c r="AY184" s="250"/>
      <c r="AZ184" s="250"/>
      <c r="BA184" s="250"/>
      <c r="BB184" s="251">
        <f t="shared" si="125"/>
        <v>0</v>
      </c>
      <c r="BC184" s="169"/>
      <c r="BD184" s="169"/>
      <c r="BE184" s="169"/>
      <c r="BF184" s="169"/>
    </row>
    <row r="185" spans="1:58" ht="63" outlineLevel="2" x14ac:dyDescent="0.25">
      <c r="A185" s="115"/>
      <c r="B185" s="200"/>
      <c r="C185" s="330"/>
      <c r="D185" s="343"/>
      <c r="E185" s="328"/>
      <c r="F185" s="328"/>
      <c r="G185" s="328"/>
      <c r="H185" s="199" t="s">
        <v>491</v>
      </c>
      <c r="I185" s="130"/>
      <c r="J185" s="126"/>
      <c r="K185" s="126"/>
      <c r="L185" s="125" t="str">
        <f>IF(I185&lt;&gt;0,((VLOOKUP(I185,'1. Standard_Cost'!$B$4:$D$11,2)+VLOOKUP(I185,'1. Standard_Cost'!$B$4:$D$11,3))*J185*K185),"0")</f>
        <v>0</v>
      </c>
      <c r="M185" s="125">
        <f>L185*'1. Standard_Cost'!$F$4</f>
        <v>0</v>
      </c>
      <c r="N185" s="126"/>
      <c r="O185" s="126"/>
      <c r="P185" s="126"/>
      <c r="Q185" s="126"/>
      <c r="R185" s="127">
        <f>'1. Standard_Cost'!$B$15*N185*P185</f>
        <v>0</v>
      </c>
      <c r="S185" s="127">
        <f>N185*O185*P185*'1. Standard_Cost'!$C$15</f>
        <v>0</v>
      </c>
      <c r="T185" s="127">
        <f>N185*P185*Q185*'1. Standard_Cost'!$D$15</f>
        <v>0</v>
      </c>
      <c r="U185" s="127">
        <f>N185*O185*'1. Standard_Cost'!$E$15</f>
        <v>0</v>
      </c>
      <c r="V185" s="126"/>
      <c r="W185" s="126"/>
      <c r="X185" s="126"/>
      <c r="Y185" s="127">
        <f>+V185*((X185*'1. Standard_Cost'!$B$19)+(W185*X185*'1. Standard_Cost'!$C$19))</f>
        <v>0</v>
      </c>
      <c r="Z185" s="126"/>
      <c r="AA185" s="126"/>
      <c r="AB185" s="127">
        <f>+Z185*'1. Standard_Cost'!$B$23+AA185*'1. Standard_Cost'!$C$23</f>
        <v>0</v>
      </c>
      <c r="AC185" s="128"/>
      <c r="AD185" s="129"/>
      <c r="AE185" s="127">
        <f>SUM(AD185,AC185,AB185,Y185,U185,T185,S185,R185)*'1. Standard_Cost'!$B$31</f>
        <v>0</v>
      </c>
      <c r="AF185" s="127">
        <f t="shared" si="120"/>
        <v>0</v>
      </c>
      <c r="AG185" s="126"/>
      <c r="AH185" s="126"/>
      <c r="AI185" s="126"/>
      <c r="AJ185" s="130"/>
      <c r="AK185" s="130"/>
      <c r="AL185" s="130"/>
      <c r="AM185" s="127">
        <f>AG185*'1. Standard_Cost'!$B$27+'Incremental_Cost Year 10'!AH185*'1. Standard_Cost'!$C$27+'Incremental_Cost Year 10'!AI185*'1. Standard_Cost'!$D$27+'Incremental_Cost Year 10'!AJ185+'Incremental_Cost Year 10'!AL185+AK185</f>
        <v>0</v>
      </c>
      <c r="AN185" s="127">
        <f>AM185*'1. Standard_Cost'!$C$31</f>
        <v>0</v>
      </c>
      <c r="AO185" s="130"/>
      <c r="AP185" s="256"/>
      <c r="AQ185" s="171">
        <f t="shared" si="121"/>
        <v>0</v>
      </c>
      <c r="AR185" s="171">
        <f t="shared" si="122"/>
        <v>0</v>
      </c>
      <c r="AS185" s="171">
        <f t="shared" si="123"/>
        <v>0</v>
      </c>
      <c r="AT185" s="171">
        <f t="shared" si="124"/>
        <v>0</v>
      </c>
      <c r="AU185" s="250"/>
      <c r="AV185" s="250"/>
      <c r="AW185" s="250"/>
      <c r="AX185" s="250"/>
      <c r="AY185" s="250"/>
      <c r="AZ185" s="250"/>
      <c r="BA185" s="250"/>
      <c r="BB185" s="251">
        <f t="shared" si="125"/>
        <v>0</v>
      </c>
      <c r="BC185" s="169"/>
      <c r="BD185" s="169"/>
      <c r="BE185" s="169"/>
      <c r="BF185" s="169"/>
    </row>
    <row r="186" spans="1:58" ht="94.5" outlineLevel="2" x14ac:dyDescent="0.25">
      <c r="A186" s="115"/>
      <c r="B186" s="200"/>
      <c r="C186" s="330"/>
      <c r="D186" s="343"/>
      <c r="E186" s="328"/>
      <c r="F186" s="328"/>
      <c r="G186" s="328"/>
      <c r="H186" s="199" t="s">
        <v>492</v>
      </c>
      <c r="I186" s="130"/>
      <c r="J186" s="126"/>
      <c r="K186" s="126"/>
      <c r="L186" s="125" t="str">
        <f>IF(I186&lt;&gt;0,((VLOOKUP(I186,'1. Standard_Cost'!$B$4:$D$11,2)+VLOOKUP(I186,'1. Standard_Cost'!$B$4:$D$11,3))*J186*K186),"0")</f>
        <v>0</v>
      </c>
      <c r="M186" s="125">
        <f>L186*'1. Standard_Cost'!$F$4</f>
        <v>0</v>
      </c>
      <c r="N186" s="126"/>
      <c r="O186" s="126"/>
      <c r="P186" s="126"/>
      <c r="Q186" s="126"/>
      <c r="R186" s="127">
        <f>'1. Standard_Cost'!$B$15*N186*P186</f>
        <v>0</v>
      </c>
      <c r="S186" s="127">
        <f>N186*O186*P186*'1. Standard_Cost'!$C$15</f>
        <v>0</v>
      </c>
      <c r="T186" s="127">
        <f>N186*P186*Q186*'1. Standard_Cost'!$D$15</f>
        <v>0</v>
      </c>
      <c r="U186" s="127">
        <f>N186*O186*'1. Standard_Cost'!$E$15</f>
        <v>0</v>
      </c>
      <c r="V186" s="126"/>
      <c r="W186" s="126"/>
      <c r="X186" s="126"/>
      <c r="Y186" s="127">
        <f>+V186*((X186*'1. Standard_Cost'!$B$19)+(W186*X186*'1. Standard_Cost'!$C$19))</f>
        <v>0</v>
      </c>
      <c r="Z186" s="126"/>
      <c r="AA186" s="126"/>
      <c r="AB186" s="127">
        <f>+Z186*'1. Standard_Cost'!$B$23+AA186*'1. Standard_Cost'!$C$23</f>
        <v>0</v>
      </c>
      <c r="AC186" s="128"/>
      <c r="AD186" s="129"/>
      <c r="AE186" s="127">
        <f>SUM(AD186,AC186,AB186,Y186,U186,T186,S186,R186)*'1. Standard_Cost'!$B$31</f>
        <v>0</v>
      </c>
      <c r="AF186" s="127">
        <f t="shared" si="120"/>
        <v>0</v>
      </c>
      <c r="AG186" s="126"/>
      <c r="AH186" s="126"/>
      <c r="AI186" s="126"/>
      <c r="AJ186" s="130"/>
      <c r="AK186" s="130"/>
      <c r="AL186" s="130"/>
      <c r="AM186" s="127">
        <f>AG186*'1. Standard_Cost'!$B$27+'Incremental_Cost Year 10'!AH186*'1. Standard_Cost'!$C$27+'Incremental_Cost Year 10'!AI186*'1. Standard_Cost'!$D$27+'Incremental_Cost Year 10'!AJ186+'Incremental_Cost Year 10'!AL186+AK186</f>
        <v>0</v>
      </c>
      <c r="AN186" s="127">
        <f>AM186*'1. Standard_Cost'!$C$31</f>
        <v>0</v>
      </c>
      <c r="AO186" s="130"/>
      <c r="AP186" s="256"/>
      <c r="AQ186" s="171">
        <f t="shared" si="121"/>
        <v>0</v>
      </c>
      <c r="AR186" s="171">
        <f t="shared" si="122"/>
        <v>0</v>
      </c>
      <c r="AS186" s="171">
        <f t="shared" si="123"/>
        <v>0</v>
      </c>
      <c r="AT186" s="171">
        <f t="shared" si="124"/>
        <v>0</v>
      </c>
      <c r="AU186" s="250"/>
      <c r="AV186" s="250"/>
      <c r="AW186" s="250"/>
      <c r="AX186" s="250"/>
      <c r="AY186" s="250"/>
      <c r="AZ186" s="250"/>
      <c r="BA186" s="250"/>
      <c r="BB186" s="251">
        <f t="shared" si="125"/>
        <v>0</v>
      </c>
      <c r="BC186" s="169"/>
      <c r="BD186" s="169"/>
      <c r="BE186" s="169"/>
      <c r="BF186" s="169"/>
    </row>
    <row r="187" spans="1:58" ht="78.75" outlineLevel="2" x14ac:dyDescent="0.25">
      <c r="A187" s="115"/>
      <c r="B187" s="200"/>
      <c r="C187" s="330"/>
      <c r="D187" s="343"/>
      <c r="E187" s="328"/>
      <c r="F187" s="328"/>
      <c r="G187" s="328"/>
      <c r="H187" s="199" t="s">
        <v>493</v>
      </c>
      <c r="I187" s="130"/>
      <c r="J187" s="126"/>
      <c r="K187" s="126"/>
      <c r="L187" s="125" t="str">
        <f>IF(I187&lt;&gt;0,((VLOOKUP(I187,'1. Standard_Cost'!$B$4:$D$11,2)+VLOOKUP(I187,'1. Standard_Cost'!$B$4:$D$11,3))*J187*K187),"0")</f>
        <v>0</v>
      </c>
      <c r="M187" s="125">
        <f>L187*'1. Standard_Cost'!$F$4</f>
        <v>0</v>
      </c>
      <c r="N187" s="126"/>
      <c r="O187" s="126"/>
      <c r="P187" s="126"/>
      <c r="Q187" s="126"/>
      <c r="R187" s="127">
        <f>'1. Standard_Cost'!$B$15*N187*P187</f>
        <v>0</v>
      </c>
      <c r="S187" s="127">
        <f>N187*O187*P187*'1. Standard_Cost'!$C$15</f>
        <v>0</v>
      </c>
      <c r="T187" s="127">
        <f>N187*P187*Q187*'1. Standard_Cost'!$D$15</f>
        <v>0</v>
      </c>
      <c r="U187" s="127">
        <f>N187*O187*'1. Standard_Cost'!$E$15</f>
        <v>0</v>
      </c>
      <c r="V187" s="126"/>
      <c r="W187" s="126"/>
      <c r="X187" s="126"/>
      <c r="Y187" s="127">
        <f>+V187*((X187*'1. Standard_Cost'!$B$19)+(W187*X187*'1. Standard_Cost'!$C$19))</f>
        <v>0</v>
      </c>
      <c r="Z187" s="126"/>
      <c r="AA187" s="126"/>
      <c r="AB187" s="127">
        <f>+Z187*'1. Standard_Cost'!$B$23+AA187*'1. Standard_Cost'!$C$23</f>
        <v>0</v>
      </c>
      <c r="AC187" s="128"/>
      <c r="AD187" s="129"/>
      <c r="AE187" s="127">
        <f>SUM(AD187,AC187,AB187,Y187,U187,T187,S187,R187)*'1. Standard_Cost'!$B$31</f>
        <v>0</v>
      </c>
      <c r="AF187" s="127">
        <f t="shared" si="120"/>
        <v>0</v>
      </c>
      <c r="AG187" s="126"/>
      <c r="AH187" s="126"/>
      <c r="AI187" s="126"/>
      <c r="AJ187" s="130"/>
      <c r="AK187" s="130"/>
      <c r="AL187" s="130"/>
      <c r="AM187" s="127">
        <f>AG187*'1. Standard_Cost'!$B$27+'Incremental_Cost Year 10'!AH187*'1. Standard_Cost'!$C$27+'Incremental_Cost Year 10'!AI187*'1. Standard_Cost'!$D$27+'Incremental_Cost Year 10'!AJ187+'Incremental_Cost Year 10'!AL187+AK187</f>
        <v>0</v>
      </c>
      <c r="AN187" s="127">
        <f>AM187*'1. Standard_Cost'!$C$31</f>
        <v>0</v>
      </c>
      <c r="AO187" s="130"/>
      <c r="AP187" s="256"/>
      <c r="AQ187" s="171">
        <f t="shared" si="121"/>
        <v>0</v>
      </c>
      <c r="AR187" s="171">
        <f t="shared" si="122"/>
        <v>0</v>
      </c>
      <c r="AS187" s="171">
        <f t="shared" si="123"/>
        <v>0</v>
      </c>
      <c r="AT187" s="171">
        <f t="shared" si="124"/>
        <v>0</v>
      </c>
      <c r="AU187" s="250"/>
      <c r="AV187" s="250"/>
      <c r="AW187" s="250"/>
      <c r="AX187" s="250"/>
      <c r="AY187" s="250"/>
      <c r="AZ187" s="250"/>
      <c r="BA187" s="250"/>
      <c r="BB187" s="251">
        <f t="shared" si="125"/>
        <v>0</v>
      </c>
      <c r="BC187" s="169"/>
      <c r="BD187" s="169"/>
      <c r="BE187" s="169"/>
      <c r="BF187" s="169"/>
    </row>
    <row r="188" spans="1:58" ht="78.75" outlineLevel="2" x14ac:dyDescent="0.25">
      <c r="A188" s="115"/>
      <c r="B188" s="200"/>
      <c r="C188" s="330"/>
      <c r="D188" s="343"/>
      <c r="E188" s="328"/>
      <c r="F188" s="328"/>
      <c r="G188" s="328"/>
      <c r="H188" s="199" t="s">
        <v>494</v>
      </c>
      <c r="I188" s="130"/>
      <c r="J188" s="126"/>
      <c r="K188" s="126"/>
      <c r="L188" s="125" t="str">
        <f>IF(I188&lt;&gt;0,((VLOOKUP(I188,'1. Standard_Cost'!$B$4:$D$11,2)+VLOOKUP(I188,'1. Standard_Cost'!$B$4:$D$11,3))*J188*K188),"0")</f>
        <v>0</v>
      </c>
      <c r="M188" s="125">
        <f>L188*'1. Standard_Cost'!$F$4</f>
        <v>0</v>
      </c>
      <c r="N188" s="126"/>
      <c r="O188" s="126"/>
      <c r="P188" s="126"/>
      <c r="Q188" s="126"/>
      <c r="R188" s="127">
        <f>'1. Standard_Cost'!$B$15*N188*P188</f>
        <v>0</v>
      </c>
      <c r="S188" s="127">
        <f>N188*O188*P188*'1. Standard_Cost'!$C$15</f>
        <v>0</v>
      </c>
      <c r="T188" s="127">
        <f>N188*P188*Q188*'1. Standard_Cost'!$D$15</f>
        <v>0</v>
      </c>
      <c r="U188" s="127">
        <f>N188*O188*'1. Standard_Cost'!$E$15</f>
        <v>0</v>
      </c>
      <c r="V188" s="126"/>
      <c r="W188" s="126"/>
      <c r="X188" s="126"/>
      <c r="Y188" s="127">
        <f>+V188*((X188*'1. Standard_Cost'!$B$19)+(W188*X188*'1. Standard_Cost'!$C$19))</f>
        <v>0</v>
      </c>
      <c r="Z188" s="126"/>
      <c r="AA188" s="126"/>
      <c r="AB188" s="127">
        <f>+Z188*'1. Standard_Cost'!$B$23+AA188*'1. Standard_Cost'!$C$23</f>
        <v>0</v>
      </c>
      <c r="AC188" s="128"/>
      <c r="AD188" s="129"/>
      <c r="AE188" s="127">
        <f>SUM(AD188,AC188,AB188,Y188,U188,T188,S188,R188)*'1. Standard_Cost'!$B$31</f>
        <v>0</v>
      </c>
      <c r="AF188" s="127">
        <f t="shared" si="120"/>
        <v>0</v>
      </c>
      <c r="AG188" s="126"/>
      <c r="AH188" s="126"/>
      <c r="AI188" s="126"/>
      <c r="AJ188" s="130"/>
      <c r="AK188" s="130"/>
      <c r="AL188" s="130"/>
      <c r="AM188" s="127">
        <f>AG188*'1. Standard_Cost'!$B$27+'Incremental_Cost Year 10'!AH188*'1. Standard_Cost'!$C$27+'Incremental_Cost Year 10'!AI188*'1. Standard_Cost'!$D$27+'Incremental_Cost Year 10'!AJ188+'Incremental_Cost Year 10'!AL188+AK188</f>
        <v>0</v>
      </c>
      <c r="AN188" s="127">
        <f>AM188*'1. Standard_Cost'!$C$31</f>
        <v>0</v>
      </c>
      <c r="AO188" s="130"/>
      <c r="AP188" s="256"/>
      <c r="AQ188" s="171">
        <f t="shared" si="121"/>
        <v>0</v>
      </c>
      <c r="AR188" s="171">
        <f t="shared" si="122"/>
        <v>0</v>
      </c>
      <c r="AS188" s="171">
        <f t="shared" si="123"/>
        <v>0</v>
      </c>
      <c r="AT188" s="171">
        <f t="shared" si="124"/>
        <v>0</v>
      </c>
      <c r="AU188" s="250"/>
      <c r="AV188" s="250"/>
      <c r="AW188" s="250"/>
      <c r="AX188" s="250"/>
      <c r="AY188" s="250"/>
      <c r="AZ188" s="250"/>
      <c r="BA188" s="250"/>
      <c r="BB188" s="251">
        <f t="shared" si="125"/>
        <v>0</v>
      </c>
      <c r="BC188" s="169"/>
      <c r="BD188" s="169"/>
      <c r="BE188" s="169"/>
      <c r="BF188" s="169"/>
    </row>
    <row r="189" spans="1:58" ht="63" outlineLevel="2" x14ac:dyDescent="0.25">
      <c r="A189" s="115"/>
      <c r="B189" s="200"/>
      <c r="C189" s="330"/>
      <c r="D189" s="343"/>
      <c r="E189" s="328"/>
      <c r="F189" s="328"/>
      <c r="G189" s="328"/>
      <c r="H189" s="199" t="s">
        <v>495</v>
      </c>
      <c r="I189" s="130"/>
      <c r="J189" s="126"/>
      <c r="K189" s="126"/>
      <c r="L189" s="125" t="str">
        <f>IF(I189&lt;&gt;0,((VLOOKUP(I189,'1. Standard_Cost'!$B$4:$D$11,2)+VLOOKUP(I189,'1. Standard_Cost'!$B$4:$D$11,3))*J189*K189),"0")</f>
        <v>0</v>
      </c>
      <c r="M189" s="125">
        <f>L189*'1. Standard_Cost'!$F$4</f>
        <v>0</v>
      </c>
      <c r="N189" s="126"/>
      <c r="O189" s="126"/>
      <c r="P189" s="126"/>
      <c r="Q189" s="126"/>
      <c r="R189" s="127">
        <f>'1. Standard_Cost'!$B$15*N189*P189</f>
        <v>0</v>
      </c>
      <c r="S189" s="127">
        <f>N189*O189*P189*'1. Standard_Cost'!$C$15</f>
        <v>0</v>
      </c>
      <c r="T189" s="127">
        <f>N189*P189*Q189*'1. Standard_Cost'!$D$15</f>
        <v>0</v>
      </c>
      <c r="U189" s="127">
        <f>N189*O189*'1. Standard_Cost'!$E$15</f>
        <v>0</v>
      </c>
      <c r="V189" s="126"/>
      <c r="W189" s="126"/>
      <c r="X189" s="126"/>
      <c r="Y189" s="127">
        <f>+V189*((X189*'1. Standard_Cost'!$B$19)+(W189*X189*'1. Standard_Cost'!$C$19))</f>
        <v>0</v>
      </c>
      <c r="Z189" s="126"/>
      <c r="AA189" s="126"/>
      <c r="AB189" s="127">
        <f>+Z189*'1. Standard_Cost'!$B$23+AA189*'1. Standard_Cost'!$C$23</f>
        <v>0</v>
      </c>
      <c r="AC189" s="128"/>
      <c r="AD189" s="129"/>
      <c r="AE189" s="127">
        <f>SUM(AD189,AC189,AB189,Y189,U189,T189,S189,R189)*'1. Standard_Cost'!$B$31</f>
        <v>0</v>
      </c>
      <c r="AF189" s="127">
        <f t="shared" si="120"/>
        <v>0</v>
      </c>
      <c r="AG189" s="126"/>
      <c r="AH189" s="126"/>
      <c r="AI189" s="126"/>
      <c r="AJ189" s="130"/>
      <c r="AK189" s="130"/>
      <c r="AL189" s="130"/>
      <c r="AM189" s="127">
        <f>AG189*'1. Standard_Cost'!$B$27+'Incremental_Cost Year 10'!AH189*'1. Standard_Cost'!$C$27+'Incremental_Cost Year 10'!AI189*'1. Standard_Cost'!$D$27+'Incremental_Cost Year 10'!AJ189+'Incremental_Cost Year 10'!AL189+AK189</f>
        <v>0</v>
      </c>
      <c r="AN189" s="127">
        <f>AM189*'1. Standard_Cost'!$C$31</f>
        <v>0</v>
      </c>
      <c r="AO189" s="130"/>
      <c r="AP189" s="256"/>
      <c r="AQ189" s="171">
        <f t="shared" si="121"/>
        <v>0</v>
      </c>
      <c r="AR189" s="171">
        <f t="shared" si="122"/>
        <v>0</v>
      </c>
      <c r="AS189" s="171">
        <f t="shared" si="123"/>
        <v>0</v>
      </c>
      <c r="AT189" s="171">
        <f t="shared" si="124"/>
        <v>0</v>
      </c>
      <c r="AU189" s="250"/>
      <c r="AV189" s="250"/>
      <c r="AW189" s="250"/>
      <c r="AX189" s="250"/>
      <c r="AY189" s="250"/>
      <c r="AZ189" s="250"/>
      <c r="BA189" s="250"/>
      <c r="BB189" s="251">
        <f t="shared" si="125"/>
        <v>0</v>
      </c>
      <c r="BC189" s="169"/>
      <c r="BD189" s="169"/>
      <c r="BE189" s="169"/>
      <c r="BF189" s="169"/>
    </row>
    <row r="190" spans="1:58" ht="15.75" outlineLevel="2" x14ac:dyDescent="0.25">
      <c r="A190" s="115"/>
      <c r="B190" s="200"/>
      <c r="C190" s="330"/>
      <c r="D190" s="343"/>
      <c r="E190" s="328"/>
      <c r="F190" s="328"/>
      <c r="G190" s="328"/>
      <c r="H190" s="110" t="s">
        <v>183</v>
      </c>
      <c r="I190" s="252"/>
      <c r="J190" s="252"/>
      <c r="K190" s="252"/>
      <c r="L190" s="127">
        <f>SUM(L183:L189)</f>
        <v>10544658000</v>
      </c>
      <c r="M190" s="127">
        <f>SUM(M183:M189)</f>
        <v>1760957886</v>
      </c>
      <c r="N190" s="252"/>
      <c r="O190" s="252"/>
      <c r="P190" s="252"/>
      <c r="Q190" s="252"/>
      <c r="R190" s="127">
        <f>SUM(R183:R189)</f>
        <v>0</v>
      </c>
      <c r="S190" s="127">
        <f>SUM(S183:S189)</f>
        <v>0</v>
      </c>
      <c r="T190" s="127">
        <f>SUM(T183:T189)</f>
        <v>0</v>
      </c>
      <c r="U190" s="127">
        <f>SUM(U183:U189)</f>
        <v>0</v>
      </c>
      <c r="V190" s="252"/>
      <c r="W190" s="252"/>
      <c r="X190" s="252"/>
      <c r="Y190" s="127">
        <f>SUM(Y183:Y189)</f>
        <v>0</v>
      </c>
      <c r="Z190" s="127"/>
      <c r="AA190" s="252"/>
      <c r="AB190" s="127">
        <f>SUM(AB183:AB189)</f>
        <v>0</v>
      </c>
      <c r="AC190" s="127">
        <f>SUM(AC183:AC188)</f>
        <v>10000000000</v>
      </c>
      <c r="AD190" s="127">
        <f>SUM(AD183:AD188)</f>
        <v>0</v>
      </c>
      <c r="AE190" s="127">
        <f>SUM(AE183:AE189)</f>
        <v>2000000000</v>
      </c>
      <c r="AF190" s="127">
        <f>SUM(AF183:AF189)</f>
        <v>12000000000</v>
      </c>
      <c r="AG190" s="252"/>
      <c r="AH190" s="252"/>
      <c r="AI190" s="252"/>
      <c r="AJ190" s="127">
        <f>SUM(AJ183:AJ188)</f>
        <v>0</v>
      </c>
      <c r="AK190" s="127">
        <f>SUM(AK183:AK188)</f>
        <v>0</v>
      </c>
      <c r="AL190" s="127">
        <f>SUM(AL183:AL188)</f>
        <v>0</v>
      </c>
      <c r="AM190" s="127">
        <f>SUM(AM183:AM189)</f>
        <v>0</v>
      </c>
      <c r="AN190" s="127">
        <f>SUM(AN183:AN189)</f>
        <v>0</v>
      </c>
      <c r="AO190" s="253"/>
      <c r="AP190" s="254"/>
      <c r="AQ190" s="175">
        <f>SUM(AQ183:AQ189)</f>
        <v>12305615886</v>
      </c>
      <c r="AR190" s="175">
        <f>SUM(AR183:AR189)</f>
        <v>12000000000</v>
      </c>
      <c r="AS190" s="175">
        <f>SUM(AS183:AS189)</f>
        <v>0</v>
      </c>
      <c r="AT190" s="175">
        <f>SUM(AT183:AT189)</f>
        <v>24305615886</v>
      </c>
      <c r="AU190" s="175">
        <f t="shared" ref="AU190:BA190" si="126">SUM(AU183:AU188)</f>
        <v>22505615886</v>
      </c>
      <c r="AV190" s="175">
        <f t="shared" si="126"/>
        <v>0</v>
      </c>
      <c r="AW190" s="175">
        <f t="shared" si="126"/>
        <v>0</v>
      </c>
      <c r="AX190" s="175">
        <f t="shared" si="126"/>
        <v>0</v>
      </c>
      <c r="AY190" s="175">
        <f t="shared" si="126"/>
        <v>0</v>
      </c>
      <c r="AZ190" s="175">
        <f t="shared" si="126"/>
        <v>0</v>
      </c>
      <c r="BA190" s="175">
        <f t="shared" si="126"/>
        <v>0</v>
      </c>
      <c r="BB190" s="175">
        <f>SUM(BB183:BB189)</f>
        <v>-1800000000</v>
      </c>
      <c r="BC190" s="169"/>
      <c r="BD190" s="169"/>
      <c r="BE190" s="169"/>
      <c r="BF190" s="169"/>
    </row>
    <row r="191" spans="1:58" ht="47.25" outlineLevel="2" x14ac:dyDescent="0.25">
      <c r="A191" s="115"/>
      <c r="B191" s="200"/>
      <c r="C191" s="330"/>
      <c r="D191" s="343"/>
      <c r="E191" s="328"/>
      <c r="F191" s="328"/>
      <c r="G191" s="328"/>
      <c r="H191" s="213" t="s">
        <v>496</v>
      </c>
      <c r="I191" s="130" t="s">
        <v>314</v>
      </c>
      <c r="J191" s="126">
        <v>12</v>
      </c>
      <c r="K191" s="126">
        <v>20</v>
      </c>
      <c r="L191" s="125">
        <f>IF(I191&lt;&gt;0,((VLOOKUP(I191,'1. Standard_Cost'!$B$4:$D$11,2)+VLOOKUP(I191,'1. Standard_Cost'!$B$4:$D$11,3))*J191*K191),"0")</f>
        <v>16968000</v>
      </c>
      <c r="M191" s="125">
        <f>L191*'1. Standard_Cost'!$F$4</f>
        <v>2833656</v>
      </c>
      <c r="N191" s="126"/>
      <c r="O191" s="126"/>
      <c r="P191" s="126"/>
      <c r="Q191" s="126"/>
      <c r="R191" s="127">
        <f>'1. Standard_Cost'!$B$15*N191*P191</f>
        <v>0</v>
      </c>
      <c r="S191" s="127">
        <f>N191*O191*P191*'1. Standard_Cost'!$C$15</f>
        <v>0</v>
      </c>
      <c r="T191" s="127">
        <f>N191*P191*Q191*'1. Standard_Cost'!$D$15</f>
        <v>0</v>
      </c>
      <c r="U191" s="127">
        <f>N191*O191*'1. Standard_Cost'!$E$15</f>
        <v>0</v>
      </c>
      <c r="V191" s="126"/>
      <c r="W191" s="126"/>
      <c r="X191" s="126"/>
      <c r="Y191" s="127">
        <f>+V191*((X191*'1. Standard_Cost'!$B$19)+(W191*X191*'1. Standard_Cost'!$C$19))</f>
        <v>0</v>
      </c>
      <c r="Z191" s="126"/>
      <c r="AA191" s="126"/>
      <c r="AB191" s="127">
        <f>+Z191*'1. Standard_Cost'!$B$23+AA191*'1. Standard_Cost'!$C$23</f>
        <v>0</v>
      </c>
      <c r="AC191" s="128">
        <v>8865000</v>
      </c>
      <c r="AD191" s="129"/>
      <c r="AE191" s="127">
        <f>0</f>
        <v>0</v>
      </c>
      <c r="AF191" s="127">
        <f>SUM(AE191,AD191,AC191,AB191,Y191,U191,T191,S191,R191)</f>
        <v>8865000</v>
      </c>
      <c r="AG191" s="126"/>
      <c r="AH191" s="126"/>
      <c r="AI191" s="126"/>
      <c r="AJ191" s="130"/>
      <c r="AK191" s="130"/>
      <c r="AL191" s="130"/>
      <c r="AM191" s="127">
        <f>AG191*'1. Standard_Cost'!$B$27+'Incremental_Cost Year 10'!AH191*'1. Standard_Cost'!$C$27+'Incremental_Cost Year 10'!AI191*'1. Standard_Cost'!$D$27+'Incremental_Cost Year 10'!AJ191+'Incremental_Cost Year 10'!AL191+AK191</f>
        <v>0</v>
      </c>
      <c r="AN191" s="127">
        <f>AM191*'1. Standard_Cost'!$C$31</f>
        <v>0</v>
      </c>
      <c r="AO191" s="130"/>
      <c r="AP191" s="256"/>
      <c r="AQ191" s="171">
        <f>L191+M191</f>
        <v>19801656</v>
      </c>
      <c r="AR191" s="171">
        <f>AF191</f>
        <v>8865000</v>
      </c>
      <c r="AS191" s="171">
        <f>AM191+AN191</f>
        <v>0</v>
      </c>
      <c r="AT191" s="171">
        <f>SUM(AQ191,AR191,AS191)</f>
        <v>28666656</v>
      </c>
      <c r="AU191" s="250">
        <v>28666656</v>
      </c>
      <c r="AV191" s="250"/>
      <c r="AW191" s="250"/>
      <c r="AX191" s="250"/>
      <c r="AY191" s="250"/>
      <c r="AZ191" s="250"/>
      <c r="BA191" s="250"/>
      <c r="BB191" s="251">
        <f t="shared" ref="BB191:BB192" si="127">SUM(AU191:BA191)-AT191</f>
        <v>0</v>
      </c>
      <c r="BC191" s="169"/>
      <c r="BD191" s="169"/>
      <c r="BE191" s="169"/>
      <c r="BF191" s="169"/>
    </row>
    <row r="192" spans="1:58" ht="47.25" outlineLevel="2" x14ac:dyDescent="0.25">
      <c r="A192" s="115"/>
      <c r="B192" s="200"/>
      <c r="C192" s="330"/>
      <c r="D192" s="343"/>
      <c r="E192" s="328"/>
      <c r="F192" s="328"/>
      <c r="G192" s="328"/>
      <c r="H192" s="199" t="s">
        <v>238</v>
      </c>
      <c r="I192" s="130" t="s">
        <v>172</v>
      </c>
      <c r="J192" s="126">
        <v>12</v>
      </c>
      <c r="K192" s="126">
        <v>2</v>
      </c>
      <c r="L192" s="125">
        <f>IF(I192&lt;&gt;0,((VLOOKUP(I192,'1. Standard_Cost'!$B$4:$D$11,2)+VLOOKUP(I192,'1. Standard_Cost'!$B$4:$D$11,3))*J192*K192),"0")</f>
        <v>1212000</v>
      </c>
      <c r="M192" s="125">
        <f>L192*'1. Standard_Cost'!$F$4</f>
        <v>202404</v>
      </c>
      <c r="N192" s="126"/>
      <c r="O192" s="126"/>
      <c r="P192" s="126"/>
      <c r="Q192" s="126"/>
      <c r="R192" s="127">
        <f>'1. Standard_Cost'!$B$15*N192*P192</f>
        <v>0</v>
      </c>
      <c r="S192" s="127">
        <f>N192*O192*P192*'1. Standard_Cost'!$C$15</f>
        <v>0</v>
      </c>
      <c r="T192" s="127">
        <f>N192*P192*Q192*'1. Standard_Cost'!$D$15</f>
        <v>0</v>
      </c>
      <c r="U192" s="127">
        <f>N192*O192*'1. Standard_Cost'!$E$15</f>
        <v>0</v>
      </c>
      <c r="V192" s="126"/>
      <c r="W192" s="126"/>
      <c r="X192" s="126"/>
      <c r="Y192" s="127">
        <f>+V192*((X192*'1. Standard_Cost'!$B$19)+(W192*X192*'1. Standard_Cost'!$C$19))</f>
        <v>0</v>
      </c>
      <c r="Z192" s="126"/>
      <c r="AA192" s="126"/>
      <c r="AB192" s="127">
        <f>+Z192*'1. Standard_Cost'!$B$23+AA192*'1. Standard_Cost'!$C$23</f>
        <v>0</v>
      </c>
      <c r="AC192" s="128">
        <v>50000</v>
      </c>
      <c r="AD192" s="129"/>
      <c r="AE192" s="127">
        <f>SUM(AD192,AC192,AB192,Y192,U192,T192,S192,R192)*'1. Standard_Cost'!$B$31</f>
        <v>10000</v>
      </c>
      <c r="AF192" s="127">
        <f>SUM(AE192,AD192,AC192,AB192,Y192,U192,T192,S192,R192)</f>
        <v>60000</v>
      </c>
      <c r="AG192" s="126"/>
      <c r="AH192" s="126"/>
      <c r="AI192" s="126"/>
      <c r="AJ192" s="130"/>
      <c r="AK192" s="130"/>
      <c r="AL192" s="130"/>
      <c r="AM192" s="127">
        <f>AG192*'1. Standard_Cost'!$B$27+'Incremental_Cost Year 10'!AH192*'1. Standard_Cost'!$C$27+'Incremental_Cost Year 10'!AI192*'1. Standard_Cost'!$D$27+'Incremental_Cost Year 10'!AJ192+'Incremental_Cost Year 10'!AL192+AK192</f>
        <v>0</v>
      </c>
      <c r="AN192" s="127">
        <f>AM192*'1. Standard_Cost'!$C$31</f>
        <v>0</v>
      </c>
      <c r="AO192" s="130"/>
      <c r="AP192" s="256"/>
      <c r="AQ192" s="171">
        <f>L192+M192</f>
        <v>1414404</v>
      </c>
      <c r="AR192" s="171">
        <f>AF192</f>
        <v>60000</v>
      </c>
      <c r="AS192" s="171">
        <f>AM192+AN192</f>
        <v>0</v>
      </c>
      <c r="AT192" s="171">
        <f>SUM(AQ192,AR192,AS192)</f>
        <v>1474404</v>
      </c>
      <c r="AU192" s="250">
        <f>AT192</f>
        <v>1474404</v>
      </c>
      <c r="AV192" s="250"/>
      <c r="AW192" s="250"/>
      <c r="AX192" s="250"/>
      <c r="AY192" s="250"/>
      <c r="AZ192" s="250"/>
      <c r="BA192" s="250"/>
      <c r="BB192" s="251">
        <f t="shared" si="127"/>
        <v>0</v>
      </c>
      <c r="BC192" s="169"/>
      <c r="BD192" s="169"/>
      <c r="BE192" s="169"/>
      <c r="BF192" s="169"/>
    </row>
    <row r="193" spans="1:58" ht="15.75" outlineLevel="1" x14ac:dyDescent="0.25">
      <c r="A193" s="115"/>
      <c r="B193" s="200"/>
      <c r="C193" s="330"/>
      <c r="D193" s="343"/>
      <c r="E193" s="328"/>
      <c r="F193" s="328"/>
      <c r="G193" s="328"/>
      <c r="H193" s="150" t="s">
        <v>239</v>
      </c>
      <c r="I193" s="252"/>
      <c r="J193" s="252"/>
      <c r="K193" s="252"/>
      <c r="L193" s="127">
        <f>SUM(L191:L192)</f>
        <v>18180000</v>
      </c>
      <c r="M193" s="127">
        <f>SUM(M191:M192)</f>
        <v>3036060</v>
      </c>
      <c r="N193" s="252"/>
      <c r="O193" s="252"/>
      <c r="P193" s="252"/>
      <c r="Q193" s="252"/>
      <c r="R193" s="127">
        <f>SUM(R191:R192)</f>
        <v>0</v>
      </c>
      <c r="S193" s="127">
        <f>SUM(S191:S192)</f>
        <v>0</v>
      </c>
      <c r="T193" s="127">
        <f>SUM(T191:T192)</f>
        <v>0</v>
      </c>
      <c r="U193" s="127">
        <f>SUM(U191:U192)</f>
        <v>0</v>
      </c>
      <c r="V193" s="252"/>
      <c r="W193" s="252"/>
      <c r="X193" s="252"/>
      <c r="Y193" s="127">
        <f>SUM(Y191:Y192)</f>
        <v>0</v>
      </c>
      <c r="Z193" s="127"/>
      <c r="AA193" s="252"/>
      <c r="AB193" s="127">
        <f>SUM(AB191:AB192)</f>
        <v>0</v>
      </c>
      <c r="AC193" s="127">
        <f>SUM(AC191:AC192)</f>
        <v>8915000</v>
      </c>
      <c r="AD193" s="127">
        <f>SUM(AD191:AD192)</f>
        <v>0</v>
      </c>
      <c r="AE193" s="127">
        <f>SUM(AE191:AE192)</f>
        <v>10000</v>
      </c>
      <c r="AF193" s="127">
        <f>SUM(AF191:AF192)</f>
        <v>8925000</v>
      </c>
      <c r="AG193" s="252"/>
      <c r="AH193" s="252"/>
      <c r="AI193" s="252"/>
      <c r="AJ193" s="127">
        <f>SUM(AJ191:AJ192)</f>
        <v>0</v>
      </c>
      <c r="AK193" s="127">
        <f>SUM(AK191:AK192)</f>
        <v>0</v>
      </c>
      <c r="AL193" s="127">
        <f>SUM(AL191:AL192)</f>
        <v>0</v>
      </c>
      <c r="AM193" s="127">
        <f>SUM(AM191:AM192)</f>
        <v>0</v>
      </c>
      <c r="AN193" s="127">
        <f>SUM(AN191:AN192)</f>
        <v>0</v>
      </c>
      <c r="AO193" s="253"/>
      <c r="AP193" s="254"/>
      <c r="AQ193" s="175">
        <f>SUM(AQ191:AQ192)</f>
        <v>21216060</v>
      </c>
      <c r="AR193" s="175">
        <f>SUM(AR191:AR192)</f>
        <v>8925000</v>
      </c>
      <c r="AS193" s="175">
        <f>SUM(AS191:AS192)</f>
        <v>0</v>
      </c>
      <c r="AT193" s="175">
        <f>SUM(AT191:AT192)</f>
        <v>30141060</v>
      </c>
      <c r="AU193" s="175">
        <f t="shared" ref="AU193:BA193" si="128">SUM(AU191:AU192)</f>
        <v>30141060</v>
      </c>
      <c r="AV193" s="175">
        <f t="shared" si="128"/>
        <v>0</v>
      </c>
      <c r="AW193" s="175">
        <f t="shared" si="128"/>
        <v>0</v>
      </c>
      <c r="AX193" s="175">
        <f t="shared" si="128"/>
        <v>0</v>
      </c>
      <c r="AY193" s="175">
        <f t="shared" si="128"/>
        <v>0</v>
      </c>
      <c r="AZ193" s="175">
        <f t="shared" si="128"/>
        <v>0</v>
      </c>
      <c r="BA193" s="175">
        <f t="shared" si="128"/>
        <v>0</v>
      </c>
      <c r="BB193" s="175">
        <f>SUM(BB191:BB192)</f>
        <v>0</v>
      </c>
      <c r="BC193" s="169"/>
      <c r="BD193" s="169"/>
      <c r="BE193" s="169"/>
      <c r="BF193" s="169"/>
    </row>
    <row r="194" spans="1:58" ht="63" outlineLevel="2" x14ac:dyDescent="0.25">
      <c r="A194" s="115"/>
      <c r="B194" s="200"/>
      <c r="C194" s="330"/>
      <c r="D194" s="343"/>
      <c r="E194" s="328"/>
      <c r="F194" s="328"/>
      <c r="G194" s="328"/>
      <c r="H194" s="199" t="s">
        <v>497</v>
      </c>
      <c r="I194" s="130" t="s">
        <v>5</v>
      </c>
      <c r="J194" s="126">
        <v>3</v>
      </c>
      <c r="K194" s="126">
        <v>3</v>
      </c>
      <c r="L194" s="125">
        <f>IF(I194&lt;&gt;0,((VLOOKUP(I194,'1. Standard_Cost'!$B$4:$D$11,2)+VLOOKUP(I194,'1. Standard_Cost'!$B$4:$D$11,3))*J194*K194),"0")</f>
        <v>636300</v>
      </c>
      <c r="M194" s="125">
        <f>L194*'1. Standard_Cost'!$F$4</f>
        <v>106262.1</v>
      </c>
      <c r="N194" s="126"/>
      <c r="O194" s="126"/>
      <c r="P194" s="126"/>
      <c r="Q194" s="126"/>
      <c r="R194" s="127">
        <f>'1. Standard_Cost'!$B$15*N194*P194</f>
        <v>0</v>
      </c>
      <c r="S194" s="127">
        <f>N194*O194*P194*'1. Standard_Cost'!$C$15</f>
        <v>0</v>
      </c>
      <c r="T194" s="127">
        <f>N194*P194*Q194*'1. Standard_Cost'!$D$15</f>
        <v>0</v>
      </c>
      <c r="U194" s="127">
        <f>N194*O194*'1. Standard_Cost'!$E$15</f>
        <v>0</v>
      </c>
      <c r="V194" s="126"/>
      <c r="W194" s="126"/>
      <c r="X194" s="126"/>
      <c r="Y194" s="127">
        <f>+V194*((X194*'1. Standard_Cost'!$B$19)+(W194*X194*'1. Standard_Cost'!$C$19))</f>
        <v>0</v>
      </c>
      <c r="Z194" s="126"/>
      <c r="AA194" s="126"/>
      <c r="AB194" s="127">
        <f>+Z194*'1. Standard_Cost'!$B$23+AA194*'1. Standard_Cost'!$C$23</f>
        <v>0</v>
      </c>
      <c r="AC194" s="128">
        <v>75000</v>
      </c>
      <c r="AD194" s="129"/>
      <c r="AE194" s="127">
        <f>SUM(AD194,AC194,AB194,Y194,U194,T194,S194,R194)*'1. Standard_Cost'!$B$31</f>
        <v>15000</v>
      </c>
      <c r="AF194" s="127">
        <f>SUM(AE194,AD194,AC194,AB194,Y194,U194,T194,S194,R194)</f>
        <v>90000</v>
      </c>
      <c r="AG194" s="126"/>
      <c r="AH194" s="126"/>
      <c r="AI194" s="126"/>
      <c r="AJ194" s="130"/>
      <c r="AK194" s="130"/>
      <c r="AL194" s="130"/>
      <c r="AM194" s="127">
        <f>AG194*'1. Standard_Cost'!$B$27+'Incremental_Cost Year 10'!AH194*'1. Standard_Cost'!$C$27+'Incremental_Cost Year 10'!AI194*'1. Standard_Cost'!$D$27+'Incremental_Cost Year 10'!AJ194+'Incremental_Cost Year 10'!AL194+AK194</f>
        <v>0</v>
      </c>
      <c r="AN194" s="127">
        <f>AM194*'1. Standard_Cost'!$C$31</f>
        <v>0</v>
      </c>
      <c r="AO194" s="130"/>
      <c r="AP194" s="256"/>
      <c r="AQ194" s="171">
        <f>L194+M194</f>
        <v>742562.1</v>
      </c>
      <c r="AR194" s="171">
        <f>AF194</f>
        <v>90000</v>
      </c>
      <c r="AS194" s="171">
        <f>AM194+AN194</f>
        <v>0</v>
      </c>
      <c r="AT194" s="171">
        <f>SUM(AQ194,AR194,AS194)</f>
        <v>832562.1</v>
      </c>
      <c r="AU194" s="250">
        <v>832562</v>
      </c>
      <c r="AV194" s="250"/>
      <c r="AW194" s="250"/>
      <c r="AX194" s="250"/>
      <c r="AY194" s="250"/>
      <c r="AZ194" s="250"/>
      <c r="BA194" s="250"/>
      <c r="BB194" s="251">
        <f t="shared" ref="BB194:BB195" si="129">SUM(AU194:BA194)-AT194</f>
        <v>-9.9999999976716936E-2</v>
      </c>
      <c r="BC194" s="169"/>
      <c r="BD194" s="169"/>
      <c r="BE194" s="169"/>
      <c r="BF194" s="169"/>
    </row>
    <row r="195" spans="1:58" ht="47.25" outlineLevel="2" x14ac:dyDescent="0.25">
      <c r="A195" s="115"/>
      <c r="B195" s="147"/>
      <c r="C195" s="341"/>
      <c r="D195" s="344"/>
      <c r="E195" s="328"/>
      <c r="F195" s="328"/>
      <c r="G195" s="328"/>
      <c r="H195" s="199" t="s">
        <v>498</v>
      </c>
      <c r="I195" s="130"/>
      <c r="J195" s="126"/>
      <c r="K195" s="126"/>
      <c r="L195" s="125" t="str">
        <f>IF(I195&lt;&gt;0,((VLOOKUP(I195,'1. Standard_Cost'!$B$4:$D$11,2)+VLOOKUP(I195,'1. Standard_Cost'!$B$4:$D$11,3))*J195*K195),"0")</f>
        <v>0</v>
      </c>
      <c r="M195" s="125">
        <f>L195*'1. Standard_Cost'!$F$4</f>
        <v>0</v>
      </c>
      <c r="N195" s="126"/>
      <c r="O195" s="126"/>
      <c r="P195" s="126"/>
      <c r="Q195" s="126"/>
      <c r="R195" s="127">
        <f>'1. Standard_Cost'!$B$15*N195*P195</f>
        <v>0</v>
      </c>
      <c r="S195" s="127">
        <f>N195*O195*P195*'1. Standard_Cost'!$C$15</f>
        <v>0</v>
      </c>
      <c r="T195" s="127">
        <f>N195*P195*Q195*'1. Standard_Cost'!$D$15</f>
        <v>0</v>
      </c>
      <c r="U195" s="127">
        <f>N195*O195*'1. Standard_Cost'!$E$15</f>
        <v>0</v>
      </c>
      <c r="V195" s="126"/>
      <c r="W195" s="126"/>
      <c r="X195" s="126"/>
      <c r="Y195" s="127">
        <f>+V195*((X195*'1. Standard_Cost'!$B$19)+(W195*X195*'1. Standard_Cost'!$C$19))</f>
        <v>0</v>
      </c>
      <c r="Z195" s="126"/>
      <c r="AA195" s="126"/>
      <c r="AB195" s="127">
        <f>+Z195*'1. Standard_Cost'!$B$23+AA195*'1. Standard_Cost'!$C$23</f>
        <v>0</v>
      </c>
      <c r="AC195" s="128"/>
      <c r="AD195" s="129"/>
      <c r="AE195" s="127">
        <f>SUM(AD195,AC195,AB195,Y195,U195,T195,S195,R195)*'1. Standard_Cost'!$B$31</f>
        <v>0</v>
      </c>
      <c r="AF195" s="127">
        <f>SUM(AE195,AD195,AC195,AB195,Y195,U195,T195,S195,R195)</f>
        <v>0</v>
      </c>
      <c r="AG195" s="126"/>
      <c r="AH195" s="126"/>
      <c r="AI195" s="126"/>
      <c r="AJ195" s="130"/>
      <c r="AK195" s="130"/>
      <c r="AL195" s="130"/>
      <c r="AM195" s="127">
        <f>AG195*'1. Standard_Cost'!$B$27+'Incremental_Cost Year 10'!AH195*'1. Standard_Cost'!$C$27+'Incremental_Cost Year 10'!AI195*'1. Standard_Cost'!$D$27+'Incremental_Cost Year 10'!AJ195+'Incremental_Cost Year 10'!AL195+AK195</f>
        <v>0</v>
      </c>
      <c r="AN195" s="127">
        <f>AM195*'1. Standard_Cost'!$C$31</f>
        <v>0</v>
      </c>
      <c r="AO195" s="130"/>
      <c r="AP195" s="256"/>
      <c r="AQ195" s="171">
        <f>L195+M195</f>
        <v>0</v>
      </c>
      <c r="AR195" s="171">
        <f>AF195</f>
        <v>0</v>
      </c>
      <c r="AS195" s="171">
        <f>AM195+AN195</f>
        <v>0</v>
      </c>
      <c r="AT195" s="171">
        <f>SUM(AQ195,AR195,AS195)</f>
        <v>0</v>
      </c>
      <c r="AU195" s="250"/>
      <c r="AV195" s="250"/>
      <c r="AW195" s="250"/>
      <c r="AX195" s="250"/>
      <c r="AY195" s="250"/>
      <c r="AZ195" s="250"/>
      <c r="BA195" s="250"/>
      <c r="BB195" s="251">
        <f t="shared" si="129"/>
        <v>0</v>
      </c>
      <c r="BC195" s="169"/>
      <c r="BD195" s="169"/>
      <c r="BE195" s="169"/>
      <c r="BF195" s="169"/>
    </row>
    <row r="196" spans="1:58" ht="63" outlineLevel="1" x14ac:dyDescent="0.25">
      <c r="A196" s="115"/>
      <c r="B196" s="200"/>
      <c r="C196" s="201"/>
      <c r="D196" s="107" t="s">
        <v>240</v>
      </c>
      <c r="E196" s="212" t="s">
        <v>499</v>
      </c>
      <c r="F196" s="104">
        <v>2021</v>
      </c>
      <c r="G196" s="104">
        <v>2030</v>
      </c>
      <c r="H196" s="150" t="s">
        <v>241</v>
      </c>
      <c r="I196" s="252"/>
      <c r="J196" s="252"/>
      <c r="K196" s="252"/>
      <c r="L196" s="127">
        <f>SUM(L194:L195)</f>
        <v>636300</v>
      </c>
      <c r="M196" s="127">
        <f>SUM(M194:M195)</f>
        <v>106262.1</v>
      </c>
      <c r="N196" s="252"/>
      <c r="O196" s="252"/>
      <c r="P196" s="252"/>
      <c r="Q196" s="252"/>
      <c r="R196" s="127">
        <f>SUM(R194:R195)</f>
        <v>0</v>
      </c>
      <c r="S196" s="127">
        <f>SUM(S194:S195)</f>
        <v>0</v>
      </c>
      <c r="T196" s="127">
        <f>SUM(T194:T195)</f>
        <v>0</v>
      </c>
      <c r="U196" s="127">
        <f>SUM(U194:U195)</f>
        <v>0</v>
      </c>
      <c r="V196" s="252"/>
      <c r="W196" s="252"/>
      <c r="X196" s="252"/>
      <c r="Y196" s="127">
        <f>SUM(Y194:Y195)</f>
        <v>0</v>
      </c>
      <c r="Z196" s="127"/>
      <c r="AA196" s="252"/>
      <c r="AB196" s="127">
        <f>SUM(AB194:AB195)</f>
        <v>0</v>
      </c>
      <c r="AC196" s="127">
        <f>SUM(AC194:AC195)</f>
        <v>75000</v>
      </c>
      <c r="AD196" s="127">
        <f>SUM(AD194:AD195)</f>
        <v>0</v>
      </c>
      <c r="AE196" s="127">
        <f>SUM(AE194:AE195)</f>
        <v>15000</v>
      </c>
      <c r="AF196" s="127">
        <f>SUM(AF194:AF195)</f>
        <v>90000</v>
      </c>
      <c r="AG196" s="252"/>
      <c r="AH196" s="252"/>
      <c r="AI196" s="252"/>
      <c r="AJ196" s="127">
        <f>SUM(AJ194:AJ195)</f>
        <v>0</v>
      </c>
      <c r="AK196" s="127">
        <f>SUM(AK194:AK195)</f>
        <v>0</v>
      </c>
      <c r="AL196" s="127">
        <f>SUM(AL194:AL195)</f>
        <v>0</v>
      </c>
      <c r="AM196" s="127">
        <f>SUM(AM194:AM195)</f>
        <v>0</v>
      </c>
      <c r="AN196" s="127">
        <f>SUM(AN194:AN195)</f>
        <v>0</v>
      </c>
      <c r="AO196" s="253"/>
      <c r="AP196" s="254"/>
      <c r="AQ196" s="175">
        <f>SUM(AQ194:AQ195)</f>
        <v>742562.1</v>
      </c>
      <c r="AR196" s="175">
        <f>SUM(AR194:AR195)</f>
        <v>90000</v>
      </c>
      <c r="AS196" s="175">
        <f>SUM(AS194:AS195)</f>
        <v>0</v>
      </c>
      <c r="AT196" s="175">
        <f>SUM(AT194:AT195)</f>
        <v>832562.1</v>
      </c>
      <c r="AU196" s="175">
        <f t="shared" ref="AU196:BA196" si="130">SUM(AU194:AU195)</f>
        <v>832562</v>
      </c>
      <c r="AV196" s="175">
        <f t="shared" si="130"/>
        <v>0</v>
      </c>
      <c r="AW196" s="175">
        <f t="shared" si="130"/>
        <v>0</v>
      </c>
      <c r="AX196" s="175">
        <f t="shared" si="130"/>
        <v>0</v>
      </c>
      <c r="AY196" s="175">
        <f t="shared" si="130"/>
        <v>0</v>
      </c>
      <c r="AZ196" s="175">
        <f t="shared" si="130"/>
        <v>0</v>
      </c>
      <c r="BA196" s="175">
        <f t="shared" si="130"/>
        <v>0</v>
      </c>
      <c r="BB196" s="175">
        <f>SUM(BB194:BB195)</f>
        <v>-9.9999999976716936E-2</v>
      </c>
      <c r="BC196" s="169"/>
      <c r="BD196" s="169"/>
      <c r="BE196" s="169"/>
      <c r="BF196" s="169"/>
    </row>
    <row r="197" spans="1:58" s="170" customFormat="1" ht="15.75" customHeight="1" x14ac:dyDescent="0.25">
      <c r="A197" s="120"/>
      <c r="B197" s="396" t="s">
        <v>243</v>
      </c>
      <c r="C197" s="389"/>
      <c r="D197" s="389"/>
      <c r="E197" s="390"/>
      <c r="F197" s="286"/>
      <c r="G197" s="286"/>
      <c r="H197" s="148" t="s">
        <v>184</v>
      </c>
      <c r="I197" s="243"/>
      <c r="J197" s="243"/>
      <c r="K197" s="243"/>
      <c r="L197" s="243">
        <f>SUM(L198,L213,L221,L226,L232,L238)</f>
        <v>913109400</v>
      </c>
      <c r="M197" s="243">
        <f>SUM(M198,M213,M221,M226,M232,M238)</f>
        <v>152489269.79999998</v>
      </c>
      <c r="N197" s="243"/>
      <c r="O197" s="243"/>
      <c r="P197" s="243"/>
      <c r="Q197" s="243"/>
      <c r="R197" s="243">
        <f>SUM(R198,R213,R221,R226,R232,R238)</f>
        <v>0</v>
      </c>
      <c r="S197" s="243">
        <f>SUM(S198,S213,S221,S226,S232,S238)</f>
        <v>0</v>
      </c>
      <c r="T197" s="243">
        <f>SUM(T198,T213,T221,T226,T232,T238)</f>
        <v>0</v>
      </c>
      <c r="U197" s="243">
        <f>SUM(U198,U213,U221,U226,U232,U238)</f>
        <v>0</v>
      </c>
      <c r="V197" s="243"/>
      <c r="W197" s="243"/>
      <c r="X197" s="243"/>
      <c r="Y197" s="243">
        <f>SUM(Y198,Y213,Y221,Y226,Y232,Y238)</f>
        <v>0</v>
      </c>
      <c r="Z197" s="243">
        <f>SUM(Z198,Z213,Z221,Z226,Z232,Z238)</f>
        <v>0</v>
      </c>
      <c r="AA197" s="243"/>
      <c r="AB197" s="243">
        <f>SUM(AB198,AB213,AB221,AB226,AB232,AB238)</f>
        <v>1710000</v>
      </c>
      <c r="AC197" s="243">
        <f>SUM(AC198,AC213,AC221,AC226,AC232,AC238)</f>
        <v>1442487000</v>
      </c>
      <c r="AD197" s="243">
        <f>SUM(AD198,AD213,AD221,AD226,AD232,AD238)</f>
        <v>0</v>
      </c>
      <c r="AE197" s="243">
        <f>SUM(AE198,AE213,AE221,AE226,AE232,AE238)</f>
        <v>406800</v>
      </c>
      <c r="AF197" s="243">
        <f>SUM(AF198,AF213,AF221,AF226,AF232,AF238)</f>
        <v>1444603800</v>
      </c>
      <c r="AG197" s="243"/>
      <c r="AH197" s="243"/>
      <c r="AI197" s="243"/>
      <c r="AJ197" s="243">
        <f>SUM(AJ198,AJ213,AJ221,AJ226,AJ232,AJ238)</f>
        <v>0</v>
      </c>
      <c r="AK197" s="243">
        <f>SUM(AK198,AK213,AK221,AK226,AK232,AK238)</f>
        <v>0</v>
      </c>
      <c r="AL197" s="243">
        <f>SUM(AL198,AL213,AL221,AL226,AL232,AL238)</f>
        <v>0</v>
      </c>
      <c r="AM197" s="243">
        <f>SUM(AM198,AM213,AM221,AM226,AM232,AM238)</f>
        <v>0</v>
      </c>
      <c r="AN197" s="243">
        <f>SUM(AN198,AN213,AN221,AN226,AN232,AN238)</f>
        <v>0</v>
      </c>
      <c r="AO197" s="243"/>
      <c r="AP197" s="244"/>
      <c r="AQ197" s="245">
        <f>SUM(AQ198,AQ213,AQ221,AQ226,AQ232,AQ238)</f>
        <v>1065598669.8</v>
      </c>
      <c r="AR197" s="245">
        <f>SUM(AR198,AR213,AR221,AR226,AR232,AR238)</f>
        <v>1444603800</v>
      </c>
      <c r="AS197" s="245">
        <f>SUM(AS198,AS213,AS221,AS226,AS232,AS238)</f>
        <v>0</v>
      </c>
      <c r="AT197" s="245">
        <f>SUM(AT198,AT213,AT221,AT226,AT232,AT238)</f>
        <v>2510202469.8000002</v>
      </c>
      <c r="AU197" s="245">
        <f t="shared" ref="AU197:BB197" si="131">SUM(AU198,AU213,AU221,AU226,AU232,AU238)</f>
        <v>2508121669.8000002</v>
      </c>
      <c r="AV197" s="245">
        <f t="shared" si="131"/>
        <v>0</v>
      </c>
      <c r="AW197" s="245">
        <f t="shared" si="131"/>
        <v>0</v>
      </c>
      <c r="AX197" s="245">
        <f t="shared" si="131"/>
        <v>0</v>
      </c>
      <c r="AY197" s="245">
        <f t="shared" si="131"/>
        <v>0</v>
      </c>
      <c r="AZ197" s="245">
        <f t="shared" si="131"/>
        <v>0</v>
      </c>
      <c r="BA197" s="245">
        <f t="shared" si="131"/>
        <v>0</v>
      </c>
      <c r="BB197" s="245">
        <f t="shared" si="131"/>
        <v>-2080800</v>
      </c>
    </row>
    <row r="198" spans="1:58" s="184" customFormat="1" ht="15.75" customHeight="1" x14ac:dyDescent="0.25">
      <c r="A198" s="143"/>
      <c r="B198" s="332"/>
      <c r="C198" s="397" t="s">
        <v>244</v>
      </c>
      <c r="D198" s="397"/>
      <c r="E198" s="398"/>
      <c r="F198" s="291"/>
      <c r="G198" s="340"/>
      <c r="H198" s="149" t="s">
        <v>185</v>
      </c>
      <c r="I198" s="269"/>
      <c r="J198" s="257"/>
      <c r="K198" s="257"/>
      <c r="L198" s="258">
        <f>SUM(L203,L209,L212)</f>
        <v>0</v>
      </c>
      <c r="M198" s="258">
        <f>SUM(M203,M209,M212)</f>
        <v>0</v>
      </c>
      <c r="N198" s="257"/>
      <c r="O198" s="257"/>
      <c r="P198" s="257"/>
      <c r="Q198" s="257"/>
      <c r="R198" s="258">
        <f>SUM(R203,R209,R212)</f>
        <v>0</v>
      </c>
      <c r="S198" s="258">
        <f>SUM(S203,S209,S212)</f>
        <v>0</v>
      </c>
      <c r="T198" s="258">
        <f>SUM(T203,T209,T212)</f>
        <v>0</v>
      </c>
      <c r="U198" s="258">
        <f>SUM(U203,U209,U212)</f>
        <v>0</v>
      </c>
      <c r="V198" s="257"/>
      <c r="W198" s="257"/>
      <c r="X198" s="257"/>
      <c r="Y198" s="258">
        <f>SUM(Y203,Y209,Y212)</f>
        <v>0</v>
      </c>
      <c r="Z198" s="258">
        <f>SUM(Z203,Z209,Z212)</f>
        <v>0</v>
      </c>
      <c r="AA198" s="257"/>
      <c r="AB198" s="258">
        <f>SUM(AB203,AB209,AB212)</f>
        <v>1710000</v>
      </c>
      <c r="AC198" s="258">
        <f>SUM(AC203,AC209,AC212)</f>
        <v>24000</v>
      </c>
      <c r="AD198" s="258">
        <f>SUM(AD203,AD209,AD212)</f>
        <v>0</v>
      </c>
      <c r="AE198" s="258">
        <f>SUM(AE203,AE209,AE212)</f>
        <v>346800</v>
      </c>
      <c r="AF198" s="258">
        <f>SUM(AF203,AF209,AF212)</f>
        <v>2080800</v>
      </c>
      <c r="AG198" s="257"/>
      <c r="AH198" s="257"/>
      <c r="AI198" s="257"/>
      <c r="AJ198" s="258">
        <f>SUM(AJ203,AJ209,AJ212)</f>
        <v>0</v>
      </c>
      <c r="AK198" s="258">
        <f>SUM(AK203,AK209,AK212)</f>
        <v>0</v>
      </c>
      <c r="AL198" s="258">
        <f>SUM(AL203,AL209,AL212)</f>
        <v>0</v>
      </c>
      <c r="AM198" s="258">
        <f>SUM(AM203,AM209,AM212)</f>
        <v>0</v>
      </c>
      <c r="AN198" s="258">
        <f>SUM(AN203,AN209,AN212)</f>
        <v>0</v>
      </c>
      <c r="AO198" s="259"/>
      <c r="AP198" s="260"/>
      <c r="AQ198" s="261">
        <f>SUM(AQ203,AQ209,AQ212)</f>
        <v>0</v>
      </c>
      <c r="AR198" s="261">
        <f>SUM(AR203,AR209,AR212)</f>
        <v>2080800</v>
      </c>
      <c r="AS198" s="261">
        <f>SUM(AS203,AS209,AS212)</f>
        <v>0</v>
      </c>
      <c r="AT198" s="261">
        <f>SUM(AT203,AT209,AT212)</f>
        <v>2080800</v>
      </c>
      <c r="AU198" s="261">
        <f t="shared" ref="AU198:BB198" si="132">SUM(AU203,AU209,AU212)</f>
        <v>0</v>
      </c>
      <c r="AV198" s="261">
        <f t="shared" si="132"/>
        <v>0</v>
      </c>
      <c r="AW198" s="261">
        <f t="shared" si="132"/>
        <v>0</v>
      </c>
      <c r="AX198" s="261">
        <f t="shared" si="132"/>
        <v>0</v>
      </c>
      <c r="AY198" s="261">
        <f t="shared" si="132"/>
        <v>0</v>
      </c>
      <c r="AZ198" s="261">
        <f t="shared" si="132"/>
        <v>0</v>
      </c>
      <c r="BA198" s="261">
        <f t="shared" si="132"/>
        <v>0</v>
      </c>
      <c r="BB198" s="261">
        <f t="shared" si="132"/>
        <v>-2080800</v>
      </c>
    </row>
    <row r="199" spans="1:58" ht="63" outlineLevel="2" x14ac:dyDescent="0.25">
      <c r="A199" s="115"/>
      <c r="B199" s="200"/>
      <c r="C199" s="201"/>
      <c r="D199" s="202"/>
      <c r="E199" s="226"/>
      <c r="F199" s="295"/>
      <c r="G199" s="296"/>
      <c r="H199" s="199" t="s">
        <v>500</v>
      </c>
      <c r="I199" s="130"/>
      <c r="J199" s="126"/>
      <c r="K199" s="126"/>
      <c r="L199" s="125" t="str">
        <f>IF(I199&lt;&gt;0,((VLOOKUP(I199,'1. Standard_Cost'!$B$4:$D$11,2)+VLOOKUP(I199,'1. Standard_Cost'!$B$4:$D$11,3))*J199*K199),"0")</f>
        <v>0</v>
      </c>
      <c r="M199" s="125">
        <f>L199*'1. Standard_Cost'!$F$4</f>
        <v>0</v>
      </c>
      <c r="N199" s="126"/>
      <c r="O199" s="126"/>
      <c r="P199" s="126"/>
      <c r="Q199" s="126"/>
      <c r="R199" s="127">
        <f>'1. Standard_Cost'!$B$15*N199*P199</f>
        <v>0</v>
      </c>
      <c r="S199" s="127">
        <f>N199*O199*P199*'1. Standard_Cost'!$C$15</f>
        <v>0</v>
      </c>
      <c r="T199" s="127">
        <f>N199*P199*Q199*'1. Standard_Cost'!$D$15</f>
        <v>0</v>
      </c>
      <c r="U199" s="127">
        <f>N199*O199*'1. Standard_Cost'!$E$15</f>
        <v>0</v>
      </c>
      <c r="V199" s="126"/>
      <c r="W199" s="126"/>
      <c r="X199" s="126"/>
      <c r="Y199" s="127">
        <f>+V199*((X199*'1. Standard_Cost'!$B$19)+(W199*X199*'1. Standard_Cost'!$C$19))</f>
        <v>0</v>
      </c>
      <c r="Z199" s="126"/>
      <c r="AA199" s="126"/>
      <c r="AB199" s="127">
        <f>+Z199*'1. Standard_Cost'!$B$23+AA199*'1. Standard_Cost'!$C$23</f>
        <v>0</v>
      </c>
      <c r="AC199" s="128"/>
      <c r="AD199" s="129"/>
      <c r="AE199" s="127">
        <f>SUM(AD199,AC199,AB199,Y199,U199,T199,S199,R199)*'1. Standard_Cost'!$B$31</f>
        <v>0</v>
      </c>
      <c r="AF199" s="127">
        <f>SUM(AE199,AD199,AC199,AB199,Y199,U199,T199,S199,R199)</f>
        <v>0</v>
      </c>
      <c r="AG199" s="126"/>
      <c r="AH199" s="126"/>
      <c r="AI199" s="126"/>
      <c r="AJ199" s="130"/>
      <c r="AK199" s="130"/>
      <c r="AL199" s="130"/>
      <c r="AM199" s="127">
        <f>AG199*'1. Standard_Cost'!$B$27+'Incremental_Cost Year 10'!AH199*'1. Standard_Cost'!$C$27+'Incremental_Cost Year 10'!AI199*'1. Standard_Cost'!$D$27+'Incremental_Cost Year 10'!AJ199+'Incremental_Cost Year 10'!AL199+AK199</f>
        <v>0</v>
      </c>
      <c r="AN199" s="127">
        <f>AM199*'1. Standard_Cost'!$C$31</f>
        <v>0</v>
      </c>
      <c r="AO199" s="130"/>
      <c r="AQ199" s="171">
        <f>L199+M199</f>
        <v>0</v>
      </c>
      <c r="AR199" s="171">
        <f>AF199</f>
        <v>0</v>
      </c>
      <c r="AS199" s="171">
        <f>AM199+AN199</f>
        <v>0</v>
      </c>
      <c r="AT199" s="171">
        <f>SUM(AQ199,AR199,AS199)</f>
        <v>0</v>
      </c>
      <c r="AU199" s="250">
        <f>AT199</f>
        <v>0</v>
      </c>
      <c r="AV199" s="250"/>
      <c r="AW199" s="250"/>
      <c r="AX199" s="250"/>
      <c r="AY199" s="250"/>
      <c r="AZ199" s="250"/>
      <c r="BA199" s="250"/>
      <c r="BB199" s="251">
        <f t="shared" ref="BB199:BB202" si="133">SUM(AU199:BA199)-AT199</f>
        <v>0</v>
      </c>
      <c r="BC199" s="169"/>
      <c r="BD199" s="169"/>
      <c r="BE199" s="169"/>
      <c r="BF199" s="169"/>
    </row>
    <row r="200" spans="1:58" ht="110.25" outlineLevel="2" x14ac:dyDescent="0.25">
      <c r="A200" s="115"/>
      <c r="B200" s="200"/>
      <c r="C200" s="201"/>
      <c r="D200" s="202"/>
      <c r="E200" s="202"/>
      <c r="F200" s="219"/>
      <c r="G200" s="313"/>
      <c r="H200" s="199" t="s">
        <v>501</v>
      </c>
      <c r="I200" s="130"/>
      <c r="J200" s="126"/>
      <c r="K200" s="126"/>
      <c r="L200" s="125" t="str">
        <f>IF(I200&lt;&gt;0,((VLOOKUP(I200,'1. Standard_Cost'!$B$4:$D$11,2)+VLOOKUP(I200,'1. Standard_Cost'!$B$4:$D$11,3))*J200*K200),"0")</f>
        <v>0</v>
      </c>
      <c r="M200" s="125">
        <f>L200*'1. Standard_Cost'!$F$4</f>
        <v>0</v>
      </c>
      <c r="N200" s="126"/>
      <c r="O200" s="126"/>
      <c r="P200" s="126"/>
      <c r="Q200" s="126"/>
      <c r="R200" s="127">
        <f>'1. Standard_Cost'!$B$15*N200*P200</f>
        <v>0</v>
      </c>
      <c r="S200" s="127">
        <f>N200*O200*P200*'1. Standard_Cost'!$C$15</f>
        <v>0</v>
      </c>
      <c r="T200" s="127">
        <f>N200*P200*Q200*'1. Standard_Cost'!$D$15</f>
        <v>0</v>
      </c>
      <c r="U200" s="127">
        <f>N200*O200*'1. Standard_Cost'!$E$15</f>
        <v>0</v>
      </c>
      <c r="V200" s="126"/>
      <c r="W200" s="126"/>
      <c r="X200" s="126"/>
      <c r="Y200" s="127">
        <f>+V200*((X200*'1. Standard_Cost'!$B$19)+(W200*X200*'1. Standard_Cost'!$C$19))</f>
        <v>0</v>
      </c>
      <c r="Z200" s="126"/>
      <c r="AA200" s="126">
        <v>90</v>
      </c>
      <c r="AB200" s="127">
        <f>+Z200*'1. Standard_Cost'!$B$23+AA200*'1. Standard_Cost'!$C$23</f>
        <v>1710000</v>
      </c>
      <c r="AC200" s="128">
        <f>4*20*300</f>
        <v>24000</v>
      </c>
      <c r="AD200" s="129"/>
      <c r="AE200" s="127">
        <f>SUM(AD200,AC200,AB200,Y200,U200,T200,S200,R200)*'1. Standard_Cost'!$B$31</f>
        <v>346800</v>
      </c>
      <c r="AF200" s="127">
        <f>SUM(AE200,AD200,AC200,AB200,Y200,U200,T200,S200,R200)</f>
        <v>2080800</v>
      </c>
      <c r="AG200" s="126"/>
      <c r="AH200" s="126"/>
      <c r="AI200" s="126"/>
      <c r="AJ200" s="130"/>
      <c r="AK200" s="130"/>
      <c r="AL200" s="130"/>
      <c r="AM200" s="127">
        <f>AG200*'1. Standard_Cost'!$B$27+'Incremental_Cost Year 10'!AH200*'1. Standard_Cost'!$C$27+'Incremental_Cost Year 10'!AI200*'1. Standard_Cost'!$D$27+'Incremental_Cost Year 10'!AJ200+'Incremental_Cost Year 10'!AL200+AK200</f>
        <v>0</v>
      </c>
      <c r="AN200" s="127">
        <f>AM200*'1. Standard_Cost'!$C$31</f>
        <v>0</v>
      </c>
      <c r="AO200" s="130"/>
      <c r="AQ200" s="171">
        <f>L200+M200</f>
        <v>0</v>
      </c>
      <c r="AR200" s="171">
        <f>AF200</f>
        <v>2080800</v>
      </c>
      <c r="AS200" s="171">
        <f>AM200+AN200</f>
        <v>0</v>
      </c>
      <c r="AT200" s="171">
        <f>SUM(AQ200,AR200,AS200)</f>
        <v>2080800</v>
      </c>
      <c r="AU200" s="250">
        <f>AQ200</f>
        <v>0</v>
      </c>
      <c r="AV200" s="250"/>
      <c r="AW200" s="250"/>
      <c r="AX200" s="250"/>
      <c r="AY200" s="250"/>
      <c r="AZ200" s="250"/>
      <c r="BA200" s="250"/>
      <c r="BB200" s="251">
        <f t="shared" si="133"/>
        <v>-2080800</v>
      </c>
      <c r="BC200" s="169"/>
      <c r="BD200" s="169"/>
      <c r="BE200" s="169"/>
      <c r="BF200" s="169"/>
    </row>
    <row r="201" spans="1:58" ht="31.5" outlineLevel="2" x14ac:dyDescent="0.25">
      <c r="A201" s="115"/>
      <c r="B201" s="200"/>
      <c r="C201" s="201"/>
      <c r="D201" s="202"/>
      <c r="E201" s="202"/>
      <c r="F201" s="219"/>
      <c r="G201" s="313"/>
      <c r="H201" s="213" t="s">
        <v>502</v>
      </c>
      <c r="I201" s="130"/>
      <c r="J201" s="126"/>
      <c r="K201" s="126"/>
      <c r="L201" s="125" t="str">
        <f>IF(I201&lt;&gt;0,((VLOOKUP(I201,'1. Standard_Cost'!$B$4:$D$11,2)+VLOOKUP(I201,'1. Standard_Cost'!$B$4:$D$11,3))*J201*K201),"0")</f>
        <v>0</v>
      </c>
      <c r="M201" s="125">
        <f>L201*'1. Standard_Cost'!$F$4</f>
        <v>0</v>
      </c>
      <c r="N201" s="126"/>
      <c r="O201" s="126"/>
      <c r="P201" s="126"/>
      <c r="Q201" s="126"/>
      <c r="R201" s="127">
        <f>'1. Standard_Cost'!$B$15*N201*P201</f>
        <v>0</v>
      </c>
      <c r="S201" s="127">
        <f>N201*O201*P201*'1. Standard_Cost'!$C$15</f>
        <v>0</v>
      </c>
      <c r="T201" s="127">
        <f>N201*P201*Q201*'1. Standard_Cost'!$D$15</f>
        <v>0</v>
      </c>
      <c r="U201" s="127">
        <f>N201*O201*'1. Standard_Cost'!$E$15</f>
        <v>0</v>
      </c>
      <c r="V201" s="126"/>
      <c r="W201" s="126"/>
      <c r="X201" s="126"/>
      <c r="Y201" s="127">
        <f>+V201*((X201*'1. Standard_Cost'!$B$19)+(W201*X201*'1. Standard_Cost'!$C$19))</f>
        <v>0</v>
      </c>
      <c r="Z201" s="126"/>
      <c r="AA201" s="126"/>
      <c r="AB201" s="127">
        <f>+Z201*'1. Standard_Cost'!$B$23+AA201*'1. Standard_Cost'!$C$23</f>
        <v>0</v>
      </c>
      <c r="AC201" s="128"/>
      <c r="AD201" s="129"/>
      <c r="AE201" s="127">
        <f>SUM(AD201,AC201,AB201,Y201,U201,T201,S201,R201)*'1. Standard_Cost'!$B$31</f>
        <v>0</v>
      </c>
      <c r="AF201" s="127">
        <f>SUM(AE201,AD201,AC201,AB201,Y201,U201,T201,S201,R201)</f>
        <v>0</v>
      </c>
      <c r="AG201" s="126"/>
      <c r="AH201" s="126"/>
      <c r="AI201" s="126"/>
      <c r="AJ201" s="130"/>
      <c r="AK201" s="130"/>
      <c r="AL201" s="130"/>
      <c r="AM201" s="127">
        <f>AG201*'1. Standard_Cost'!$B$27+'Incremental_Cost Year 10'!AH201*'1. Standard_Cost'!$C$27+'Incremental_Cost Year 10'!AI201*'1. Standard_Cost'!$D$27+'Incremental_Cost Year 10'!AJ201+'Incremental_Cost Year 10'!AL201+AK201</f>
        <v>0</v>
      </c>
      <c r="AN201" s="127">
        <f>AM201*'1. Standard_Cost'!$C$31</f>
        <v>0</v>
      </c>
      <c r="AO201" s="130"/>
      <c r="AQ201" s="171">
        <f>L201+M201</f>
        <v>0</v>
      </c>
      <c r="AR201" s="171">
        <f>AF201</f>
        <v>0</v>
      </c>
      <c r="AS201" s="171">
        <f>AM201+AN201</f>
        <v>0</v>
      </c>
      <c r="AT201" s="171">
        <f>SUM(AQ201,AR201,AS201)</f>
        <v>0</v>
      </c>
      <c r="AU201" s="250"/>
      <c r="AV201" s="250"/>
      <c r="AW201" s="250"/>
      <c r="AX201" s="250"/>
      <c r="AY201" s="250"/>
      <c r="AZ201" s="250"/>
      <c r="BA201" s="250"/>
      <c r="BB201" s="251">
        <f t="shared" si="133"/>
        <v>0</v>
      </c>
      <c r="BC201" s="169"/>
      <c r="BD201" s="169"/>
      <c r="BE201" s="169"/>
      <c r="BF201" s="169"/>
    </row>
    <row r="202" spans="1:58" ht="47.25" outlineLevel="2" x14ac:dyDescent="0.25">
      <c r="A202" s="115"/>
      <c r="B202" s="200"/>
      <c r="C202" s="201"/>
      <c r="D202" s="202"/>
      <c r="E202" s="310"/>
      <c r="F202" s="122"/>
      <c r="G202" s="123"/>
      <c r="H202" s="213" t="s">
        <v>545</v>
      </c>
      <c r="I202" s="130"/>
      <c r="J202" s="126"/>
      <c r="K202" s="126"/>
      <c r="L202" s="125" t="str">
        <f>IF(I202&lt;&gt;0,((VLOOKUP(I202,'1. Standard_Cost'!$B$4:$D$11,2)+VLOOKUP(I202,'1. Standard_Cost'!$B$4:$D$11,3))*J202*K202),"0")</f>
        <v>0</v>
      </c>
      <c r="M202" s="125">
        <f>L202*'1. Standard_Cost'!$F$4</f>
        <v>0</v>
      </c>
      <c r="N202" s="126"/>
      <c r="O202" s="126"/>
      <c r="P202" s="126"/>
      <c r="Q202" s="126"/>
      <c r="R202" s="127">
        <f>'1. Standard_Cost'!$B$15*N202*P202</f>
        <v>0</v>
      </c>
      <c r="S202" s="127">
        <f>N202*O202*P202*'1. Standard_Cost'!$C$15</f>
        <v>0</v>
      </c>
      <c r="T202" s="127">
        <f>N202*P202*Q202*'1. Standard_Cost'!$D$15</f>
        <v>0</v>
      </c>
      <c r="U202" s="127">
        <f>N202*O202*'1. Standard_Cost'!$E$15</f>
        <v>0</v>
      </c>
      <c r="V202" s="126"/>
      <c r="W202" s="126"/>
      <c r="X202" s="126"/>
      <c r="Y202" s="127">
        <f>+V202*((X202*'1. Standard_Cost'!$B$19)+(W202*X202*'1. Standard_Cost'!$C$19))</f>
        <v>0</v>
      </c>
      <c r="Z202" s="126"/>
      <c r="AA202" s="126"/>
      <c r="AB202" s="127">
        <f>+Z202*'1. Standard_Cost'!$B$23+AA202*'1. Standard_Cost'!$C$23</f>
        <v>0</v>
      </c>
      <c r="AC202" s="128"/>
      <c r="AD202" s="129"/>
      <c r="AE202" s="127">
        <f>SUM(AD202,AC202,AB202,Y202,U202,T202,S202,R202)*'1. Standard_Cost'!$B$31</f>
        <v>0</v>
      </c>
      <c r="AF202" s="127">
        <f>SUM(AE202,AD202,AC202,AB202,Y202,U202,T202,S202,R202)</f>
        <v>0</v>
      </c>
      <c r="AG202" s="126"/>
      <c r="AH202" s="126"/>
      <c r="AI202" s="126"/>
      <c r="AJ202" s="130"/>
      <c r="AK202" s="130"/>
      <c r="AL202" s="130"/>
      <c r="AM202" s="127">
        <f>AG202*'1. Standard_Cost'!$B$27+'Incremental_Cost Year 10'!AH202*'1. Standard_Cost'!$C$27+'Incremental_Cost Year 10'!AI202*'1. Standard_Cost'!$D$27+'Incremental_Cost Year 10'!AJ202+'Incremental_Cost Year 10'!AL202+AK202</f>
        <v>0</v>
      </c>
      <c r="AN202" s="127">
        <f>AM202*'1. Standard_Cost'!$C$31</f>
        <v>0</v>
      </c>
      <c r="AO202" s="130"/>
      <c r="AQ202" s="171">
        <f>L202+M202</f>
        <v>0</v>
      </c>
      <c r="AR202" s="171">
        <f>AF202</f>
        <v>0</v>
      </c>
      <c r="AS202" s="171">
        <f>AM202+AN202</f>
        <v>0</v>
      </c>
      <c r="AT202" s="171">
        <f>SUM(AQ202,AR202,AS202)</f>
        <v>0</v>
      </c>
      <c r="AU202" s="250"/>
      <c r="AV202" s="250"/>
      <c r="AW202" s="250"/>
      <c r="AX202" s="250"/>
      <c r="AY202" s="250"/>
      <c r="AZ202" s="250"/>
      <c r="BA202" s="250"/>
      <c r="BB202" s="251">
        <f t="shared" si="133"/>
        <v>0</v>
      </c>
      <c r="BC202" s="169"/>
      <c r="BD202" s="169"/>
      <c r="BE202" s="169"/>
      <c r="BF202" s="169"/>
    </row>
    <row r="203" spans="1:58" ht="47.25" outlineLevel="1" x14ac:dyDescent="0.25">
      <c r="A203" s="115"/>
      <c r="B203" s="165"/>
      <c r="C203" s="166"/>
      <c r="D203" s="212" t="s">
        <v>240</v>
      </c>
      <c r="E203" s="212" t="s">
        <v>245</v>
      </c>
      <c r="F203" s="117">
        <v>2021</v>
      </c>
      <c r="G203" s="117">
        <v>2025</v>
      </c>
      <c r="H203" s="110" t="s">
        <v>186</v>
      </c>
      <c r="I203" s="252"/>
      <c r="J203" s="252"/>
      <c r="K203" s="252"/>
      <c r="L203" s="127">
        <f>SUM(L199:L202)</f>
        <v>0</v>
      </c>
      <c r="M203" s="127">
        <f>SUM(M199:M202)</f>
        <v>0</v>
      </c>
      <c r="N203" s="252"/>
      <c r="O203" s="252"/>
      <c r="P203" s="252"/>
      <c r="Q203" s="252"/>
      <c r="R203" s="127">
        <f>SUM(R199:R202)</f>
        <v>0</v>
      </c>
      <c r="S203" s="127">
        <f>SUM(S199:S202)</f>
        <v>0</v>
      </c>
      <c r="T203" s="127">
        <f>SUM(T199:T202)</f>
        <v>0</v>
      </c>
      <c r="U203" s="127">
        <f>SUM(U199:U202)</f>
        <v>0</v>
      </c>
      <c r="V203" s="252"/>
      <c r="W203" s="252"/>
      <c r="X203" s="252"/>
      <c r="Y203" s="127">
        <f>SUM(Y199:Y202)</f>
        <v>0</v>
      </c>
      <c r="Z203" s="252"/>
      <c r="AA203" s="252"/>
      <c r="AB203" s="127">
        <f>SUM(AB199:AB202)</f>
        <v>1710000</v>
      </c>
      <c r="AC203" s="127">
        <f>SUM(AC199:AC202)</f>
        <v>24000</v>
      </c>
      <c r="AD203" s="127">
        <f>SUM(AD199:AD202)</f>
        <v>0</v>
      </c>
      <c r="AE203" s="127">
        <f>SUM(AE199:AE202)</f>
        <v>346800</v>
      </c>
      <c r="AF203" s="127">
        <f>SUM(AF199:AF202)</f>
        <v>2080800</v>
      </c>
      <c r="AG203" s="252"/>
      <c r="AH203" s="252"/>
      <c r="AI203" s="252"/>
      <c r="AJ203" s="127">
        <f>SUM(AJ199:AJ202)</f>
        <v>0</v>
      </c>
      <c r="AK203" s="127">
        <f>SUM(AK199:AK202)</f>
        <v>0</v>
      </c>
      <c r="AL203" s="127">
        <f>SUM(AL199:AL202)</f>
        <v>0</v>
      </c>
      <c r="AM203" s="127">
        <f>SUM(AM199:AM202)</f>
        <v>0</v>
      </c>
      <c r="AN203" s="127">
        <f>SUM(AN199:AN202)</f>
        <v>0</v>
      </c>
      <c r="AO203" s="253"/>
      <c r="AP203" s="254"/>
      <c r="AQ203" s="175">
        <f>SUM(AQ199:AQ202)</f>
        <v>0</v>
      </c>
      <c r="AR203" s="175">
        <f>SUM(AR199:AR202)</f>
        <v>2080800</v>
      </c>
      <c r="AS203" s="175">
        <f>SUM(AS199:AS202)</f>
        <v>0</v>
      </c>
      <c r="AT203" s="175">
        <f>SUM(AT199:AT202)</f>
        <v>2080800</v>
      </c>
      <c r="AU203" s="175">
        <f t="shared" ref="AU203:BB203" si="134">SUM(AU199:AU202)</f>
        <v>0</v>
      </c>
      <c r="AV203" s="175">
        <f t="shared" si="134"/>
        <v>0</v>
      </c>
      <c r="AW203" s="175">
        <f t="shared" si="134"/>
        <v>0</v>
      </c>
      <c r="AX203" s="175">
        <f t="shared" si="134"/>
        <v>0</v>
      </c>
      <c r="AY203" s="175">
        <f t="shared" si="134"/>
        <v>0</v>
      </c>
      <c r="AZ203" s="175">
        <f t="shared" si="134"/>
        <v>0</v>
      </c>
      <c r="BA203" s="175">
        <f t="shared" si="134"/>
        <v>0</v>
      </c>
      <c r="BB203" s="175">
        <f t="shared" si="134"/>
        <v>-2080800</v>
      </c>
      <c r="BC203" s="169"/>
      <c r="BD203" s="169"/>
      <c r="BE203" s="169"/>
      <c r="BF203" s="169"/>
    </row>
    <row r="204" spans="1:58" ht="78.75" outlineLevel="2" x14ac:dyDescent="0.25">
      <c r="A204" s="115"/>
      <c r="B204" s="200"/>
      <c r="C204" s="201"/>
      <c r="D204" s="202"/>
      <c r="E204" s="226"/>
      <c r="F204" s="295"/>
      <c r="G204" s="296"/>
      <c r="H204" s="199" t="s">
        <v>503</v>
      </c>
      <c r="I204" s="130"/>
      <c r="J204" s="126"/>
      <c r="K204" s="126"/>
      <c r="L204" s="125" t="str">
        <f>IF(I204&lt;&gt;0,((VLOOKUP(I204,'1. Standard_Cost'!$B$4:$D$11,2)+VLOOKUP(I204,'1. Standard_Cost'!$B$4:$D$11,3))*J204*K204),"0")</f>
        <v>0</v>
      </c>
      <c r="M204" s="125">
        <f>L204*'1. Standard_Cost'!$F$4</f>
        <v>0</v>
      </c>
      <c r="N204" s="126"/>
      <c r="O204" s="126"/>
      <c r="P204" s="126"/>
      <c r="Q204" s="126"/>
      <c r="R204" s="127">
        <f>'1. Standard_Cost'!$B$15*N204*P204</f>
        <v>0</v>
      </c>
      <c r="S204" s="127">
        <f>N204*O204*P204*'1. Standard_Cost'!$C$15</f>
        <v>0</v>
      </c>
      <c r="T204" s="127">
        <f>N204*P204*Q204*'1. Standard_Cost'!$D$15</f>
        <v>0</v>
      </c>
      <c r="U204" s="127">
        <f>N204*O204*'1. Standard_Cost'!$E$15</f>
        <v>0</v>
      </c>
      <c r="V204" s="126"/>
      <c r="W204" s="126"/>
      <c r="X204" s="126"/>
      <c r="Y204" s="127">
        <f>+V204*((X204*'1. Standard_Cost'!$B$19)+(W204*X204*'1. Standard_Cost'!$C$19))</f>
        <v>0</v>
      </c>
      <c r="Z204" s="126"/>
      <c r="AA204" s="126"/>
      <c r="AB204" s="127">
        <f>+Z204*'1. Standard_Cost'!$B$23+AA204*'1. Standard_Cost'!$C$23</f>
        <v>0</v>
      </c>
      <c r="AC204" s="128"/>
      <c r="AD204" s="129"/>
      <c r="AE204" s="127">
        <f>SUM(AD204,AC204,AB204,Y204,U204,T204,S204,R204)*'1. Standard_Cost'!$B$31</f>
        <v>0</v>
      </c>
      <c r="AF204" s="127">
        <f>SUM(AE204,AD204,AC204,AB204,Y204,U204,T204,S204,R204)</f>
        <v>0</v>
      </c>
      <c r="AG204" s="126"/>
      <c r="AH204" s="126"/>
      <c r="AI204" s="126"/>
      <c r="AJ204" s="130"/>
      <c r="AK204" s="130"/>
      <c r="AL204" s="130"/>
      <c r="AM204" s="127">
        <f>AG204*'1. Standard_Cost'!$B$27+'Incremental_Cost Year 10'!AH204*'1. Standard_Cost'!$C$27+'Incremental_Cost Year 10'!AI204*'1. Standard_Cost'!$D$27+'Incremental_Cost Year 10'!AJ204+'Incremental_Cost Year 10'!AL204+AK204</f>
        <v>0</v>
      </c>
      <c r="AN204" s="127">
        <f>AM204*'1. Standard_Cost'!$C$31</f>
        <v>0</v>
      </c>
      <c r="AO204" s="130"/>
      <c r="AQ204" s="171">
        <f>L204+M204</f>
        <v>0</v>
      </c>
      <c r="AR204" s="171">
        <f>AF204</f>
        <v>0</v>
      </c>
      <c r="AS204" s="171">
        <f>AM204+AN204</f>
        <v>0</v>
      </c>
      <c r="AT204" s="171">
        <f>SUM(AQ204,AR204,AS204)</f>
        <v>0</v>
      </c>
      <c r="AU204" s="250">
        <f>AM204</f>
        <v>0</v>
      </c>
      <c r="AV204" s="250"/>
      <c r="AW204" s="250">
        <f>AT204</f>
        <v>0</v>
      </c>
      <c r="AX204" s="250"/>
      <c r="AY204" s="250"/>
      <c r="AZ204" s="250"/>
      <c r="BA204" s="250"/>
      <c r="BB204" s="251">
        <f t="shared" ref="BB204:BB208" si="135">SUM(AU204:BA204)-AT204</f>
        <v>0</v>
      </c>
      <c r="BC204" s="169"/>
      <c r="BD204" s="169"/>
      <c r="BE204" s="169"/>
      <c r="BF204" s="169"/>
    </row>
    <row r="205" spans="1:58" ht="47.25" outlineLevel="2" x14ac:dyDescent="0.25">
      <c r="A205" s="115"/>
      <c r="B205" s="200"/>
      <c r="C205" s="201"/>
      <c r="D205" s="202"/>
      <c r="E205" s="202"/>
      <c r="F205" s="219"/>
      <c r="G205" s="313"/>
      <c r="H205" s="199" t="s">
        <v>504</v>
      </c>
      <c r="I205" s="130"/>
      <c r="J205" s="126"/>
      <c r="K205" s="126"/>
      <c r="L205" s="125" t="str">
        <f>IF(I205&lt;&gt;0,((VLOOKUP(I205,'1. Standard_Cost'!$B$4:$D$11,2)+VLOOKUP(I205,'1. Standard_Cost'!$B$4:$D$11,3))*J205*K205),"0")</f>
        <v>0</v>
      </c>
      <c r="M205" s="125">
        <f>L205*'1. Standard_Cost'!$F$4</f>
        <v>0</v>
      </c>
      <c r="N205" s="126"/>
      <c r="O205" s="126"/>
      <c r="P205" s="126"/>
      <c r="Q205" s="126"/>
      <c r="R205" s="127">
        <f>'1. Standard_Cost'!$B$15*N205*P205</f>
        <v>0</v>
      </c>
      <c r="S205" s="127">
        <f>N205*O205*P205*'1. Standard_Cost'!$C$15</f>
        <v>0</v>
      </c>
      <c r="T205" s="127">
        <f>N205*P205*Q205*'1. Standard_Cost'!$D$15</f>
        <v>0</v>
      </c>
      <c r="U205" s="127">
        <f>N205*O205*'1. Standard_Cost'!$E$15</f>
        <v>0</v>
      </c>
      <c r="V205" s="126"/>
      <c r="W205" s="126"/>
      <c r="X205" s="126"/>
      <c r="Y205" s="127">
        <f>+V205*((X205*'1. Standard_Cost'!$B$19)+(W205*X205*'1. Standard_Cost'!$C$19))</f>
        <v>0</v>
      </c>
      <c r="Z205" s="126"/>
      <c r="AA205" s="126"/>
      <c r="AB205" s="127">
        <f>+Z205*'1. Standard_Cost'!$B$23+AA205*'1. Standard_Cost'!$C$23</f>
        <v>0</v>
      </c>
      <c r="AC205" s="128"/>
      <c r="AD205" s="129"/>
      <c r="AE205" s="127">
        <f>SUM(AD205,AC205,AB205,Y205,U205,T205,S205,R205)*'1. Standard_Cost'!$B$31</f>
        <v>0</v>
      </c>
      <c r="AF205" s="127">
        <f>SUM(AE205,AD205,AC205,AB205,Y205,U205,T205,S205,R205)</f>
        <v>0</v>
      </c>
      <c r="AG205" s="126"/>
      <c r="AH205" s="126"/>
      <c r="AI205" s="126"/>
      <c r="AJ205" s="130"/>
      <c r="AK205" s="130"/>
      <c r="AL205" s="130"/>
      <c r="AM205" s="127">
        <f>AG205*'1. Standard_Cost'!$B$27+'Incremental_Cost Year 10'!AH205*'1. Standard_Cost'!$C$27+'Incremental_Cost Year 10'!AI205*'1. Standard_Cost'!$D$27+'Incremental_Cost Year 10'!AJ205+'Incremental_Cost Year 10'!AL205+AK205</f>
        <v>0</v>
      </c>
      <c r="AN205" s="127">
        <f>AM205*'1. Standard_Cost'!$C$31</f>
        <v>0</v>
      </c>
      <c r="AO205" s="130"/>
      <c r="AQ205" s="171">
        <f>L205+M205</f>
        <v>0</v>
      </c>
      <c r="AR205" s="171">
        <f>AF205</f>
        <v>0</v>
      </c>
      <c r="AS205" s="171">
        <f>AM205+AN205</f>
        <v>0</v>
      </c>
      <c r="AT205" s="171">
        <f>SUM(AQ205,AR205,AS205)</f>
        <v>0</v>
      </c>
      <c r="AU205" s="250">
        <f>AT205</f>
        <v>0</v>
      </c>
      <c r="AV205" s="250"/>
      <c r="AW205" s="250"/>
      <c r="AX205" s="250"/>
      <c r="AY205" s="250"/>
      <c r="AZ205" s="250"/>
      <c r="BA205" s="250"/>
      <c r="BB205" s="251">
        <f t="shared" si="135"/>
        <v>0</v>
      </c>
      <c r="BC205" s="169"/>
      <c r="BD205" s="169"/>
      <c r="BE205" s="169"/>
      <c r="BF205" s="169"/>
    </row>
    <row r="206" spans="1:58" ht="63" outlineLevel="2" x14ac:dyDescent="0.25">
      <c r="A206" s="115"/>
      <c r="B206" s="200"/>
      <c r="C206" s="201"/>
      <c r="D206" s="202"/>
      <c r="E206" s="202"/>
      <c r="F206" s="308"/>
      <c r="G206" s="309"/>
      <c r="H206" s="199" t="s">
        <v>246</v>
      </c>
      <c r="I206" s="130"/>
      <c r="J206" s="126"/>
      <c r="K206" s="126"/>
      <c r="L206" s="125" t="str">
        <f>IF(I206&lt;&gt;0,((VLOOKUP(I206,'1. Standard_Cost'!$B$4:$D$11,2)+VLOOKUP(I206,'1. Standard_Cost'!$B$4:$D$11,3))*J206*K206),"0")</f>
        <v>0</v>
      </c>
      <c r="M206" s="125">
        <f>L206*'1. Standard_Cost'!$F$4</f>
        <v>0</v>
      </c>
      <c r="N206" s="126"/>
      <c r="O206" s="126"/>
      <c r="P206" s="126"/>
      <c r="Q206" s="126"/>
      <c r="R206" s="127">
        <f>'1. Standard_Cost'!$B$15*N206*P206</f>
        <v>0</v>
      </c>
      <c r="S206" s="127">
        <f>N206*O206*P206*'1. Standard_Cost'!$C$15</f>
        <v>0</v>
      </c>
      <c r="T206" s="127">
        <f>N206*P206*Q206*'1. Standard_Cost'!$D$15</f>
        <v>0</v>
      </c>
      <c r="U206" s="127">
        <f>N206*O206*'1. Standard_Cost'!$E$15</f>
        <v>0</v>
      </c>
      <c r="V206" s="126"/>
      <c r="W206" s="126"/>
      <c r="X206" s="126"/>
      <c r="Y206" s="127">
        <f>+V206*((X206*'1. Standard_Cost'!$B$19)+(W206*X206*'1. Standard_Cost'!$C$19))</f>
        <v>0</v>
      </c>
      <c r="Z206" s="126"/>
      <c r="AA206" s="126"/>
      <c r="AB206" s="127">
        <f>+Z206*'1. Standard_Cost'!$B$23+AA206*'1. Standard_Cost'!$C$23</f>
        <v>0</v>
      </c>
      <c r="AC206" s="128"/>
      <c r="AD206" s="129"/>
      <c r="AE206" s="127">
        <f>SUM(AD206,AC206,AB206,Y206,U206,T206,S206,R206)*'1. Standard_Cost'!$B$31</f>
        <v>0</v>
      </c>
      <c r="AF206" s="127">
        <f>SUM(AE206,AD206,AC206,AB206,Y206,U206,T206,S206,R206)</f>
        <v>0</v>
      </c>
      <c r="AG206" s="126"/>
      <c r="AH206" s="126"/>
      <c r="AI206" s="126"/>
      <c r="AJ206" s="130"/>
      <c r="AK206" s="130"/>
      <c r="AL206" s="130"/>
      <c r="AM206" s="127">
        <f>AG206*'1. Standard_Cost'!$B$27+'Incremental_Cost Year 10'!AH206*'1. Standard_Cost'!$C$27+'Incremental_Cost Year 10'!AI206*'1. Standard_Cost'!$D$27+'Incremental_Cost Year 10'!AJ206+'Incremental_Cost Year 10'!AL206+AK206</f>
        <v>0</v>
      </c>
      <c r="AN206" s="127">
        <f>AM206*'1. Standard_Cost'!$C$31</f>
        <v>0</v>
      </c>
      <c r="AO206" s="130"/>
      <c r="AQ206" s="171">
        <f>L206+M206</f>
        <v>0</v>
      </c>
      <c r="AR206" s="171">
        <f>AF206</f>
        <v>0</v>
      </c>
      <c r="AS206" s="171">
        <f>AM206+AN206</f>
        <v>0</v>
      </c>
      <c r="AT206" s="171">
        <f>SUM(AQ206,AR206,AS206)</f>
        <v>0</v>
      </c>
      <c r="AU206" s="250">
        <f>AT206</f>
        <v>0</v>
      </c>
      <c r="AV206" s="250"/>
      <c r="AW206" s="250"/>
      <c r="AX206" s="250"/>
      <c r="AY206" s="250"/>
      <c r="AZ206" s="250"/>
      <c r="BA206" s="250"/>
      <c r="BB206" s="251">
        <f t="shared" si="135"/>
        <v>0</v>
      </c>
      <c r="BC206" s="169"/>
      <c r="BD206" s="169"/>
      <c r="BE206" s="169"/>
      <c r="BF206" s="169"/>
    </row>
    <row r="207" spans="1:58" ht="63" outlineLevel="2" x14ac:dyDescent="0.25">
      <c r="A207" s="115"/>
      <c r="B207" s="200"/>
      <c r="C207" s="201"/>
      <c r="D207" s="202"/>
      <c r="E207" s="202"/>
      <c r="F207" s="308"/>
      <c r="G207" s="309"/>
      <c r="H207" s="199" t="s">
        <v>505</v>
      </c>
      <c r="I207" s="130"/>
      <c r="J207" s="126"/>
      <c r="K207" s="126"/>
      <c r="L207" s="125" t="str">
        <f>IF(I207&lt;&gt;0,((VLOOKUP(I207,'1. Standard_Cost'!$B$4:$D$11,2)+VLOOKUP(I207,'1. Standard_Cost'!$B$4:$D$11,3))*J207*K207),"0")</f>
        <v>0</v>
      </c>
      <c r="M207" s="125">
        <f>L207*'1. Standard_Cost'!$F$4</f>
        <v>0</v>
      </c>
      <c r="N207" s="126"/>
      <c r="O207" s="126"/>
      <c r="P207" s="126"/>
      <c r="Q207" s="126"/>
      <c r="R207" s="127">
        <f>'1. Standard_Cost'!$B$15*N207*P207</f>
        <v>0</v>
      </c>
      <c r="S207" s="127">
        <f>N207*O207*P207*'1. Standard_Cost'!$C$15</f>
        <v>0</v>
      </c>
      <c r="T207" s="127">
        <f>N207*P207*Q207*'1. Standard_Cost'!$D$15</f>
        <v>0</v>
      </c>
      <c r="U207" s="127">
        <f>N207*O207*'1. Standard_Cost'!$E$15</f>
        <v>0</v>
      </c>
      <c r="V207" s="126"/>
      <c r="W207" s="126"/>
      <c r="X207" s="126"/>
      <c r="Y207" s="127">
        <f>+V207*((X207*'1. Standard_Cost'!$B$19)+(W207*X207*'1. Standard_Cost'!$C$19))</f>
        <v>0</v>
      </c>
      <c r="Z207" s="126"/>
      <c r="AA207" s="126"/>
      <c r="AB207" s="127">
        <f>+Z207*'1. Standard_Cost'!$B$23+AA207*'1. Standard_Cost'!$C$23</f>
        <v>0</v>
      </c>
      <c r="AC207" s="128"/>
      <c r="AD207" s="129"/>
      <c r="AE207" s="127">
        <f>SUM(AD207,AC207,AB207,Y207,U207,T207,S207,R207)*'1. Standard_Cost'!$B$31</f>
        <v>0</v>
      </c>
      <c r="AF207" s="127">
        <f>SUM(AE207,AD207,AC207,AB207,Y207,U207,T207,S207,R207)</f>
        <v>0</v>
      </c>
      <c r="AG207" s="126"/>
      <c r="AH207" s="126"/>
      <c r="AI207" s="126"/>
      <c r="AJ207" s="130"/>
      <c r="AK207" s="130"/>
      <c r="AL207" s="130"/>
      <c r="AM207" s="127">
        <f>AG207*'1. Standard_Cost'!$B$27+'Incremental_Cost Year 10'!AH207*'1. Standard_Cost'!$C$27+'Incremental_Cost Year 10'!AI207*'1. Standard_Cost'!$D$27+'Incremental_Cost Year 10'!AJ207+'Incremental_Cost Year 10'!AL207+AK207</f>
        <v>0</v>
      </c>
      <c r="AN207" s="127">
        <f>AM207*'1. Standard_Cost'!$C$31</f>
        <v>0</v>
      </c>
      <c r="AO207" s="130"/>
      <c r="AQ207" s="171">
        <f>L207+M207</f>
        <v>0</v>
      </c>
      <c r="AR207" s="171">
        <f>AF207</f>
        <v>0</v>
      </c>
      <c r="AS207" s="171">
        <f>AM207+AN207</f>
        <v>0</v>
      </c>
      <c r="AT207" s="171">
        <f>SUM(AQ207,AR207,AS207)</f>
        <v>0</v>
      </c>
      <c r="AU207" s="250">
        <f>AT207</f>
        <v>0</v>
      </c>
      <c r="AV207" s="250"/>
      <c r="AW207" s="250"/>
      <c r="AX207" s="250"/>
      <c r="AY207" s="250"/>
      <c r="AZ207" s="250"/>
      <c r="BA207" s="250"/>
      <c r="BB207" s="251">
        <f t="shared" si="135"/>
        <v>0</v>
      </c>
      <c r="BC207" s="169"/>
      <c r="BD207" s="169"/>
      <c r="BE207" s="169"/>
      <c r="BF207" s="169"/>
    </row>
    <row r="208" spans="1:58" ht="63" outlineLevel="2" x14ac:dyDescent="0.25">
      <c r="A208" s="115"/>
      <c r="B208" s="200"/>
      <c r="C208" s="201"/>
      <c r="D208" s="202"/>
      <c r="E208" s="310"/>
      <c r="F208" s="311"/>
      <c r="G208" s="312"/>
      <c r="H208" s="199" t="s">
        <v>506</v>
      </c>
      <c r="I208" s="130"/>
      <c r="J208" s="126"/>
      <c r="K208" s="126"/>
      <c r="L208" s="125" t="str">
        <f>IF(I208&lt;&gt;0,((VLOOKUP(I208,'1. Standard_Cost'!$B$4:$D$11,2)+VLOOKUP(I208,'1. Standard_Cost'!$B$4:$D$11,3))*J208*K208),"0")</f>
        <v>0</v>
      </c>
      <c r="M208" s="125">
        <f>L208*'1. Standard_Cost'!$F$4</f>
        <v>0</v>
      </c>
      <c r="N208" s="126"/>
      <c r="O208" s="126"/>
      <c r="P208" s="126"/>
      <c r="Q208" s="126"/>
      <c r="R208" s="127">
        <f>'1. Standard_Cost'!$B$15*N208*P208</f>
        <v>0</v>
      </c>
      <c r="S208" s="127">
        <f>N208*O208*P208*'1. Standard_Cost'!$C$15</f>
        <v>0</v>
      </c>
      <c r="T208" s="127">
        <f>N208*P208*Q208*'1. Standard_Cost'!$D$15</f>
        <v>0</v>
      </c>
      <c r="U208" s="127">
        <f>N208*O208*'1. Standard_Cost'!$E$15</f>
        <v>0</v>
      </c>
      <c r="V208" s="126"/>
      <c r="W208" s="126"/>
      <c r="X208" s="126"/>
      <c r="Y208" s="127">
        <f>+V208*((X208*'1. Standard_Cost'!$B$19)+(W208*X208*'1. Standard_Cost'!$C$19))</f>
        <v>0</v>
      </c>
      <c r="Z208" s="126"/>
      <c r="AA208" s="126"/>
      <c r="AB208" s="127">
        <f>+Z208*'1. Standard_Cost'!$B$23+AA208*'1. Standard_Cost'!$C$23</f>
        <v>0</v>
      </c>
      <c r="AC208" s="128"/>
      <c r="AD208" s="129"/>
      <c r="AE208" s="127">
        <f>SUM(AD208,AC208,AB208,Y208,U208,T208,S208,R208)*'1. Standard_Cost'!$B$31</f>
        <v>0</v>
      </c>
      <c r="AF208" s="127">
        <f>SUM(AE208,AD208,AC208,AB208,Y208,U208,T208,S208,R208)</f>
        <v>0</v>
      </c>
      <c r="AG208" s="126"/>
      <c r="AH208" s="126"/>
      <c r="AI208" s="126"/>
      <c r="AJ208" s="130"/>
      <c r="AK208" s="130"/>
      <c r="AL208" s="130"/>
      <c r="AM208" s="127">
        <f>AG208*'1. Standard_Cost'!$B$27+'Incremental_Cost Year 10'!AH208*'1. Standard_Cost'!$C$27+'Incremental_Cost Year 10'!AI208*'1. Standard_Cost'!$D$27+'Incremental_Cost Year 10'!AJ208+'Incremental_Cost Year 10'!AL208+AK208</f>
        <v>0</v>
      </c>
      <c r="AN208" s="127">
        <f>AM208*'1. Standard_Cost'!$C$31</f>
        <v>0</v>
      </c>
      <c r="AO208" s="130"/>
      <c r="AQ208" s="171">
        <f>L208+M208</f>
        <v>0</v>
      </c>
      <c r="AR208" s="171">
        <f>AF208</f>
        <v>0</v>
      </c>
      <c r="AS208" s="171">
        <f>AM208+AN208</f>
        <v>0</v>
      </c>
      <c r="AT208" s="171">
        <f>SUM(AQ208,AR208,AS208)</f>
        <v>0</v>
      </c>
      <c r="AU208" s="250">
        <f>AT208</f>
        <v>0</v>
      </c>
      <c r="AV208" s="250"/>
      <c r="AW208" s="250"/>
      <c r="AX208" s="250"/>
      <c r="AY208" s="250"/>
      <c r="AZ208" s="250"/>
      <c r="BA208" s="250"/>
      <c r="BB208" s="251">
        <f t="shared" si="135"/>
        <v>0</v>
      </c>
      <c r="BC208" s="169"/>
      <c r="BD208" s="169"/>
      <c r="BE208" s="169"/>
      <c r="BF208" s="169"/>
    </row>
    <row r="209" spans="1:58" ht="63" outlineLevel="1" x14ac:dyDescent="0.25">
      <c r="A209" s="115"/>
      <c r="B209" s="165"/>
      <c r="C209" s="166"/>
      <c r="D209" s="150" t="s">
        <v>507</v>
      </c>
      <c r="E209" s="212" t="s">
        <v>247</v>
      </c>
      <c r="F209" s="311">
        <v>2021</v>
      </c>
      <c r="G209" s="312">
        <v>2025</v>
      </c>
      <c r="H209" s="110" t="s">
        <v>187</v>
      </c>
      <c r="I209" s="252"/>
      <c r="J209" s="252"/>
      <c r="K209" s="252"/>
      <c r="L209" s="127">
        <f>SUM(L204:L208)</f>
        <v>0</v>
      </c>
      <c r="M209" s="127">
        <f>SUM(M204:M208)</f>
        <v>0</v>
      </c>
      <c r="N209" s="252"/>
      <c r="O209" s="252"/>
      <c r="P209" s="252"/>
      <c r="Q209" s="252"/>
      <c r="R209" s="127">
        <f t="shared" ref="R209:U209" si="136">SUM(R204:R208)</f>
        <v>0</v>
      </c>
      <c r="S209" s="127">
        <f t="shared" si="136"/>
        <v>0</v>
      </c>
      <c r="T209" s="127">
        <f t="shared" si="136"/>
        <v>0</v>
      </c>
      <c r="U209" s="127">
        <f t="shared" si="136"/>
        <v>0</v>
      </c>
      <c r="V209" s="252"/>
      <c r="W209" s="252"/>
      <c r="X209" s="252"/>
      <c r="Y209" s="127">
        <f>SUM(Y204:Y208)</f>
        <v>0</v>
      </c>
      <c r="Z209" s="252"/>
      <c r="AA209" s="252"/>
      <c r="AB209" s="127">
        <f t="shared" ref="AB209:AF209" si="137">SUM(AB204:AB208)</f>
        <v>0</v>
      </c>
      <c r="AC209" s="127">
        <f t="shared" si="137"/>
        <v>0</v>
      </c>
      <c r="AD209" s="127">
        <f t="shared" si="137"/>
        <v>0</v>
      </c>
      <c r="AE209" s="127">
        <f t="shared" si="137"/>
        <v>0</v>
      </c>
      <c r="AF209" s="127">
        <f t="shared" si="137"/>
        <v>0</v>
      </c>
      <c r="AG209" s="252"/>
      <c r="AH209" s="252"/>
      <c r="AI209" s="252"/>
      <c r="AJ209" s="127">
        <f t="shared" ref="AJ209:AN209" si="138">SUM(AJ204:AJ208)</f>
        <v>0</v>
      </c>
      <c r="AK209" s="127">
        <f t="shared" si="138"/>
        <v>0</v>
      </c>
      <c r="AL209" s="127">
        <f t="shared" si="138"/>
        <v>0</v>
      </c>
      <c r="AM209" s="127">
        <f t="shared" si="138"/>
        <v>0</v>
      </c>
      <c r="AN209" s="127">
        <f t="shared" si="138"/>
        <v>0</v>
      </c>
      <c r="AO209" s="253"/>
      <c r="AP209" s="254"/>
      <c r="AQ209" s="127">
        <f t="shared" ref="AQ209:BB209" si="139">SUM(AQ204:AQ208)</f>
        <v>0</v>
      </c>
      <c r="AR209" s="127">
        <f t="shared" si="139"/>
        <v>0</v>
      </c>
      <c r="AS209" s="127">
        <f t="shared" si="139"/>
        <v>0</v>
      </c>
      <c r="AT209" s="127">
        <f t="shared" si="139"/>
        <v>0</v>
      </c>
      <c r="AU209" s="127">
        <f t="shared" si="139"/>
        <v>0</v>
      </c>
      <c r="AV209" s="127">
        <f t="shared" si="139"/>
        <v>0</v>
      </c>
      <c r="AW209" s="127">
        <f t="shared" si="139"/>
        <v>0</v>
      </c>
      <c r="AX209" s="127">
        <f t="shared" si="139"/>
        <v>0</v>
      </c>
      <c r="AY209" s="127">
        <f t="shared" si="139"/>
        <v>0</v>
      </c>
      <c r="AZ209" s="127">
        <f t="shared" si="139"/>
        <v>0</v>
      </c>
      <c r="BA209" s="127">
        <f t="shared" si="139"/>
        <v>0</v>
      </c>
      <c r="BB209" s="127">
        <f t="shared" si="139"/>
        <v>0</v>
      </c>
      <c r="BC209" s="169"/>
      <c r="BD209" s="169"/>
      <c r="BE209" s="169"/>
      <c r="BF209" s="169"/>
    </row>
    <row r="210" spans="1:58" ht="126" outlineLevel="2" x14ac:dyDescent="0.25">
      <c r="A210" s="115"/>
      <c r="B210" s="200"/>
      <c r="C210" s="201"/>
      <c r="D210" s="202"/>
      <c r="E210" s="226"/>
      <c r="F210" s="295"/>
      <c r="G210" s="296"/>
      <c r="H210" s="199" t="s">
        <v>508</v>
      </c>
      <c r="I210" s="130"/>
      <c r="J210" s="126"/>
      <c r="K210" s="126"/>
      <c r="L210" s="125" t="str">
        <f>IF(I210&lt;&gt;0,((VLOOKUP(I210,'1. Standard_Cost'!$B$4:$D$11,2)+VLOOKUP(I210,'1. Standard_Cost'!$B$4:$D$11,3))*J210*K210),"0")</f>
        <v>0</v>
      </c>
      <c r="M210" s="125">
        <f>L210*'1. Standard_Cost'!$F$4</f>
        <v>0</v>
      </c>
      <c r="N210" s="126"/>
      <c r="O210" s="126"/>
      <c r="P210" s="126"/>
      <c r="Q210" s="126"/>
      <c r="R210" s="127">
        <f>'1. Standard_Cost'!$B$15*N210*P210</f>
        <v>0</v>
      </c>
      <c r="S210" s="127">
        <f>N210*O210*P210*'1. Standard_Cost'!$C$15</f>
        <v>0</v>
      </c>
      <c r="T210" s="127">
        <f>N210*P210*Q210*'1. Standard_Cost'!$D$15</f>
        <v>0</v>
      </c>
      <c r="U210" s="127">
        <f>N210*O210*'1. Standard_Cost'!$E$15</f>
        <v>0</v>
      </c>
      <c r="V210" s="126"/>
      <c r="W210" s="126"/>
      <c r="X210" s="126"/>
      <c r="Y210" s="127">
        <f>+V210*((X210*'1. Standard_Cost'!$B$19)+(W210*X210*'1. Standard_Cost'!$C$19))</f>
        <v>0</v>
      </c>
      <c r="Z210" s="126"/>
      <c r="AA210" s="126"/>
      <c r="AB210" s="127">
        <f>+Z210*'1. Standard_Cost'!$B$23+AA210*'1. Standard_Cost'!$C$23</f>
        <v>0</v>
      </c>
      <c r="AC210" s="128"/>
      <c r="AD210" s="129"/>
      <c r="AE210" s="127">
        <f>SUM(AD210,AC210,AB210,Y210,U210,T210,S210,R210)*'1. Standard_Cost'!$B$31</f>
        <v>0</v>
      </c>
      <c r="AF210" s="127">
        <f>SUM(AE210,AD210,AC210,AB210,Y210,U210,T210,S210,R210)</f>
        <v>0</v>
      </c>
      <c r="AG210" s="126"/>
      <c r="AH210" s="126"/>
      <c r="AI210" s="126"/>
      <c r="AJ210" s="130"/>
      <c r="AK210" s="130"/>
      <c r="AL210" s="130"/>
      <c r="AM210" s="127">
        <f>AG210*'1. Standard_Cost'!$B$27+'Incremental_Cost Year 10'!AH210*'1. Standard_Cost'!$C$27+'Incremental_Cost Year 10'!AI210*'1. Standard_Cost'!$D$27+'Incremental_Cost Year 10'!AJ210+'Incremental_Cost Year 10'!AL210+AK210</f>
        <v>0</v>
      </c>
      <c r="AN210" s="127">
        <f>AM210*'1. Standard_Cost'!$C$31</f>
        <v>0</v>
      </c>
      <c r="AO210" s="130"/>
      <c r="AQ210" s="171">
        <f>L210+M210</f>
        <v>0</v>
      </c>
      <c r="AR210" s="171">
        <f>AF210</f>
        <v>0</v>
      </c>
      <c r="AS210" s="171">
        <f>AM210+AN210</f>
        <v>0</v>
      </c>
      <c r="AT210" s="171">
        <f>SUM(AQ210,AR210,AS210)</f>
        <v>0</v>
      </c>
      <c r="AU210" s="250">
        <f>AQ210</f>
        <v>0</v>
      </c>
      <c r="AV210" s="250"/>
      <c r="AW210" s="250"/>
      <c r="AX210" s="250"/>
      <c r="AY210" s="250"/>
      <c r="AZ210" s="250"/>
      <c r="BA210" s="250"/>
      <c r="BB210" s="251">
        <f t="shared" ref="BB210:BB211" si="140">SUM(AU210:BA210)-AT210</f>
        <v>0</v>
      </c>
      <c r="BC210" s="169"/>
      <c r="BD210" s="169"/>
      <c r="BE210" s="169"/>
      <c r="BF210" s="169"/>
    </row>
    <row r="211" spans="1:58" ht="126" outlineLevel="2" x14ac:dyDescent="0.25">
      <c r="A211" s="115"/>
      <c r="B211" s="200"/>
      <c r="C211" s="201"/>
      <c r="D211" s="202"/>
      <c r="E211" s="310"/>
      <c r="F211" s="122"/>
      <c r="G211" s="123"/>
      <c r="H211" s="199" t="s">
        <v>509</v>
      </c>
      <c r="I211" s="130"/>
      <c r="J211" s="126"/>
      <c r="K211" s="126"/>
      <c r="L211" s="125" t="str">
        <f>IF(I211&lt;&gt;0,((VLOOKUP(I211,'1. Standard_Cost'!$B$4:$D$11,2)+VLOOKUP(I211,'1. Standard_Cost'!$B$4:$D$11,3))*J211*K211),"0")</f>
        <v>0</v>
      </c>
      <c r="M211" s="125">
        <f>L211*'1. Standard_Cost'!$F$4</f>
        <v>0</v>
      </c>
      <c r="N211" s="126"/>
      <c r="O211" s="126"/>
      <c r="P211" s="126"/>
      <c r="Q211" s="126"/>
      <c r="R211" s="127">
        <f>'1. Standard_Cost'!$B$15*N211*P211</f>
        <v>0</v>
      </c>
      <c r="S211" s="127">
        <f>N211*O211*P211*'1. Standard_Cost'!$C$15</f>
        <v>0</v>
      </c>
      <c r="T211" s="127">
        <f>N211*P211*Q211*'1. Standard_Cost'!$D$15</f>
        <v>0</v>
      </c>
      <c r="U211" s="127">
        <f>N211*O211*'1. Standard_Cost'!$E$15</f>
        <v>0</v>
      </c>
      <c r="V211" s="126"/>
      <c r="W211" s="126"/>
      <c r="X211" s="126"/>
      <c r="Y211" s="127">
        <f>+V211*((X211*'1. Standard_Cost'!$B$19)+(W211*X211*'1. Standard_Cost'!$C$19))</f>
        <v>0</v>
      </c>
      <c r="Z211" s="126"/>
      <c r="AA211" s="126"/>
      <c r="AB211" s="127">
        <f>+Z211*'1. Standard_Cost'!$B$23+AA211*'1. Standard_Cost'!$C$23</f>
        <v>0</v>
      </c>
      <c r="AC211" s="128"/>
      <c r="AD211" s="129"/>
      <c r="AE211" s="127">
        <f>SUM(AD211,AC211,AB211,Y211,U211,T211,S211,R211)*'1. Standard_Cost'!$B$31</f>
        <v>0</v>
      </c>
      <c r="AF211" s="127">
        <f>SUM(AE211,AD211,AC211,AB211,Y211,U211,T211,S211,R211)</f>
        <v>0</v>
      </c>
      <c r="AG211" s="126"/>
      <c r="AH211" s="126"/>
      <c r="AI211" s="126"/>
      <c r="AJ211" s="130"/>
      <c r="AK211" s="130"/>
      <c r="AL211" s="130"/>
      <c r="AM211" s="127">
        <f>AG211*'1. Standard_Cost'!$B$27+'Incremental_Cost Year 10'!AH211*'1. Standard_Cost'!$C$27+'Incremental_Cost Year 10'!AI211*'1. Standard_Cost'!$D$27+'Incremental_Cost Year 10'!AJ211+'Incremental_Cost Year 10'!AL211+AK211</f>
        <v>0</v>
      </c>
      <c r="AN211" s="127">
        <f>AM211*'1. Standard_Cost'!$C$31</f>
        <v>0</v>
      </c>
      <c r="AO211" s="130"/>
      <c r="AQ211" s="171">
        <f>L211+M211</f>
        <v>0</v>
      </c>
      <c r="AR211" s="171">
        <f>AF211</f>
        <v>0</v>
      </c>
      <c r="AS211" s="171">
        <f>AM211+AN211</f>
        <v>0</v>
      </c>
      <c r="AT211" s="171">
        <f>SUM(AQ211,AR211,AS211)</f>
        <v>0</v>
      </c>
      <c r="AU211" s="250">
        <f>AQ211</f>
        <v>0</v>
      </c>
      <c r="AV211" s="250"/>
      <c r="AW211" s="250"/>
      <c r="AX211" s="250"/>
      <c r="AY211" s="250"/>
      <c r="AZ211" s="250"/>
      <c r="BA211" s="250"/>
      <c r="BB211" s="251">
        <f t="shared" si="140"/>
        <v>0</v>
      </c>
      <c r="BC211" s="169"/>
      <c r="BD211" s="169"/>
      <c r="BE211" s="169"/>
      <c r="BF211" s="169"/>
    </row>
    <row r="212" spans="1:58" ht="47.25" outlineLevel="1" x14ac:dyDescent="0.25">
      <c r="A212" s="115"/>
      <c r="B212" s="165"/>
      <c r="C212" s="166"/>
      <c r="D212" s="107" t="s">
        <v>233</v>
      </c>
      <c r="E212" s="212" t="s">
        <v>248</v>
      </c>
      <c r="F212" s="136">
        <v>2022</v>
      </c>
      <c r="G212" s="117">
        <v>2025</v>
      </c>
      <c r="H212" s="110" t="s">
        <v>188</v>
      </c>
      <c r="I212" s="252"/>
      <c r="J212" s="252"/>
      <c r="K212" s="252"/>
      <c r="L212" s="127">
        <f>SUM(L210:L211)</f>
        <v>0</v>
      </c>
      <c r="M212" s="127">
        <f>SUM(M210:M211)</f>
        <v>0</v>
      </c>
      <c r="N212" s="252"/>
      <c r="O212" s="252"/>
      <c r="P212" s="252"/>
      <c r="Q212" s="252"/>
      <c r="R212" s="127">
        <f>SUM(R210:R211)</f>
        <v>0</v>
      </c>
      <c r="S212" s="127">
        <f>SUM(S210:S211)</f>
        <v>0</v>
      </c>
      <c r="T212" s="127">
        <f>SUM(T210:T211)</f>
        <v>0</v>
      </c>
      <c r="U212" s="127">
        <f>SUM(U210:U211)</f>
        <v>0</v>
      </c>
      <c r="V212" s="252"/>
      <c r="W212" s="252"/>
      <c r="X212" s="252"/>
      <c r="Y212" s="127">
        <f>SUM(Y210:Y211)</f>
        <v>0</v>
      </c>
      <c r="Z212" s="252"/>
      <c r="AA212" s="252"/>
      <c r="AB212" s="127">
        <f>SUM(AB210:AB211)</f>
        <v>0</v>
      </c>
      <c r="AC212" s="127">
        <f>SUM(AC210:AC211)</f>
        <v>0</v>
      </c>
      <c r="AD212" s="127">
        <f>SUM(AD210:AD211)</f>
        <v>0</v>
      </c>
      <c r="AE212" s="127">
        <f>SUM(AE210:AE211)</f>
        <v>0</v>
      </c>
      <c r="AF212" s="127">
        <f>SUM(AF210:AF211)</f>
        <v>0</v>
      </c>
      <c r="AG212" s="252"/>
      <c r="AH212" s="252"/>
      <c r="AI212" s="252"/>
      <c r="AJ212" s="127">
        <f>SUM(AJ210:AJ211)</f>
        <v>0</v>
      </c>
      <c r="AK212" s="127">
        <f>SUM(AK210:AK211)</f>
        <v>0</v>
      </c>
      <c r="AL212" s="127">
        <f>SUM(AL210:AL211)</f>
        <v>0</v>
      </c>
      <c r="AM212" s="127">
        <f>SUM(AM210:AM211)</f>
        <v>0</v>
      </c>
      <c r="AN212" s="127">
        <f>SUM(AN210:AN211)</f>
        <v>0</v>
      </c>
      <c r="AO212" s="253"/>
      <c r="AP212" s="254"/>
      <c r="AQ212" s="175">
        <f>SUM(AQ210:AQ211)</f>
        <v>0</v>
      </c>
      <c r="AR212" s="175">
        <f>SUM(AR210:AR211)</f>
        <v>0</v>
      </c>
      <c r="AS212" s="175">
        <f>SUM(AS210:AS211)</f>
        <v>0</v>
      </c>
      <c r="AT212" s="175">
        <f>SUM(AT210:AT211)</f>
        <v>0</v>
      </c>
      <c r="AU212" s="175">
        <f t="shared" ref="AU212:BB212" si="141">SUM(AU210:AU211)</f>
        <v>0</v>
      </c>
      <c r="AV212" s="175">
        <f t="shared" si="141"/>
        <v>0</v>
      </c>
      <c r="AW212" s="175">
        <f t="shared" si="141"/>
        <v>0</v>
      </c>
      <c r="AX212" s="175">
        <f t="shared" si="141"/>
        <v>0</v>
      </c>
      <c r="AY212" s="175">
        <f t="shared" si="141"/>
        <v>0</v>
      </c>
      <c r="AZ212" s="175">
        <f t="shared" si="141"/>
        <v>0</v>
      </c>
      <c r="BA212" s="175">
        <f t="shared" si="141"/>
        <v>0</v>
      </c>
      <c r="BB212" s="175">
        <f t="shared" si="141"/>
        <v>0</v>
      </c>
      <c r="BC212" s="169"/>
      <c r="BD212" s="169"/>
      <c r="BE212" s="169"/>
      <c r="BF212" s="169"/>
    </row>
    <row r="213" spans="1:58" s="184" customFormat="1" ht="15.75" customHeight="1" x14ac:dyDescent="0.25">
      <c r="A213" s="143"/>
      <c r="B213" s="332"/>
      <c r="C213" s="397" t="s">
        <v>249</v>
      </c>
      <c r="D213" s="397"/>
      <c r="E213" s="398"/>
      <c r="F213" s="291"/>
      <c r="G213" s="340"/>
      <c r="H213" s="144" t="s">
        <v>299</v>
      </c>
      <c r="I213" s="257"/>
      <c r="J213" s="257"/>
      <c r="K213" s="257"/>
      <c r="L213" s="258">
        <f>SUM(L220)</f>
        <v>842465228.57142854</v>
      </c>
      <c r="M213" s="258">
        <f>SUM(M220)</f>
        <v>140691693.17142856</v>
      </c>
      <c r="N213" s="257"/>
      <c r="O213" s="257"/>
      <c r="P213" s="257"/>
      <c r="Q213" s="257"/>
      <c r="R213" s="258">
        <f>SUM(R220)</f>
        <v>0</v>
      </c>
      <c r="S213" s="258">
        <f>SUM(S220)</f>
        <v>0</v>
      </c>
      <c r="T213" s="258">
        <f>SUM(T220)</f>
        <v>0</v>
      </c>
      <c r="U213" s="258">
        <f>SUM(U220)</f>
        <v>0</v>
      </c>
      <c r="V213" s="257"/>
      <c r="W213" s="257"/>
      <c r="X213" s="257"/>
      <c r="Y213" s="258">
        <f>SUM(Y220)</f>
        <v>0</v>
      </c>
      <c r="Z213" s="258"/>
      <c r="AA213" s="258"/>
      <c r="AB213" s="258">
        <f>SUM(AB220)</f>
        <v>0</v>
      </c>
      <c r="AC213" s="258">
        <f>SUM(AC220)</f>
        <v>1442163000</v>
      </c>
      <c r="AD213" s="258">
        <f>SUM(AD220)</f>
        <v>0</v>
      </c>
      <c r="AE213" s="258">
        <f>SUM(AE220)</f>
        <v>0</v>
      </c>
      <c r="AF213" s="258">
        <f>SUM(AF220)</f>
        <v>1442163000</v>
      </c>
      <c r="AG213" s="257"/>
      <c r="AH213" s="257"/>
      <c r="AI213" s="257"/>
      <c r="AJ213" s="258">
        <f>SUM(AJ220)</f>
        <v>0</v>
      </c>
      <c r="AK213" s="258">
        <f>SUM(AK220)</f>
        <v>0</v>
      </c>
      <c r="AL213" s="258">
        <f>SUM(AL220)</f>
        <v>0</v>
      </c>
      <c r="AM213" s="258">
        <f>SUM(AM220)</f>
        <v>0</v>
      </c>
      <c r="AN213" s="258">
        <f>SUM(AN220)</f>
        <v>0</v>
      </c>
      <c r="AO213" s="259"/>
      <c r="AP213" s="260"/>
      <c r="AQ213" s="261">
        <f>SUM(AQ220)</f>
        <v>983156921.7428571</v>
      </c>
      <c r="AR213" s="261">
        <f>SUM(AR220)</f>
        <v>1442163000</v>
      </c>
      <c r="AS213" s="261">
        <f>SUM(AS220)</f>
        <v>0</v>
      </c>
      <c r="AT213" s="261">
        <f>SUM(AT220)</f>
        <v>2425319921.7428575</v>
      </c>
      <c r="AU213" s="261">
        <f t="shared" ref="AU213:BB213" si="142">SUM(AU220)</f>
        <v>2425319921.7428575</v>
      </c>
      <c r="AV213" s="261">
        <f t="shared" si="142"/>
        <v>0</v>
      </c>
      <c r="AW213" s="261">
        <f t="shared" si="142"/>
        <v>0</v>
      </c>
      <c r="AX213" s="261">
        <f t="shared" si="142"/>
        <v>0</v>
      </c>
      <c r="AY213" s="261">
        <f t="shared" si="142"/>
        <v>0</v>
      </c>
      <c r="AZ213" s="261">
        <f t="shared" si="142"/>
        <v>0</v>
      </c>
      <c r="BA213" s="261">
        <f t="shared" si="142"/>
        <v>0</v>
      </c>
      <c r="BB213" s="261">
        <f t="shared" si="142"/>
        <v>0</v>
      </c>
    </row>
    <row r="214" spans="1:58" ht="47.25" outlineLevel="2" x14ac:dyDescent="0.25">
      <c r="A214" s="115"/>
      <c r="B214" s="200"/>
      <c r="C214" s="201"/>
      <c r="D214" s="210"/>
      <c r="E214" s="328"/>
      <c r="F214" s="328"/>
      <c r="G214" s="328"/>
      <c r="H214" s="199" t="s">
        <v>510</v>
      </c>
      <c r="I214" s="130"/>
      <c r="J214" s="126"/>
      <c r="K214" s="126"/>
      <c r="L214" s="125" t="str">
        <f>IF(I214&lt;&gt;0,((VLOOKUP(I214,'1. Standard_Cost'!$B$4:$D$11,2)+VLOOKUP(I214,'1. Standard_Cost'!$B$4:$D$11,3))*J214*K214),"0")</f>
        <v>0</v>
      </c>
      <c r="M214" s="125">
        <f>L214*'1. Standard_Cost'!$F$4</f>
        <v>0</v>
      </c>
      <c r="N214" s="126"/>
      <c r="O214" s="126"/>
      <c r="P214" s="126"/>
      <c r="Q214" s="126"/>
      <c r="R214" s="127">
        <f>'1. Standard_Cost'!$B$15*N214*P214</f>
        <v>0</v>
      </c>
      <c r="S214" s="127">
        <f>N214*O214*P214*'1. Standard_Cost'!$C$15</f>
        <v>0</v>
      </c>
      <c r="T214" s="127">
        <f>N214*P214*Q214*'1. Standard_Cost'!$D$15</f>
        <v>0</v>
      </c>
      <c r="U214" s="127">
        <f>N214*O214*'1. Standard_Cost'!$E$15</f>
        <v>0</v>
      </c>
      <c r="V214" s="126"/>
      <c r="W214" s="126"/>
      <c r="X214" s="126"/>
      <c r="Y214" s="127">
        <f>+V214*((X214*'1. Standard_Cost'!$B$19)+(W214*X214*'1. Standard_Cost'!$C$19))</f>
        <v>0</v>
      </c>
      <c r="Z214" s="126"/>
      <c r="AA214" s="126"/>
      <c r="AB214" s="127">
        <f>+Z214*'1. Standard_Cost'!$B$23+AA214*'1. Standard_Cost'!$C$23</f>
        <v>0</v>
      </c>
      <c r="AC214" s="128"/>
      <c r="AD214" s="129"/>
      <c r="AE214" s="127">
        <f>SUM(AD214,AC214,AB214,Y214,U214,T214,S214,R214)*'1. Standard_Cost'!$B$31</f>
        <v>0</v>
      </c>
      <c r="AF214" s="127">
        <f t="shared" ref="AF214:AF219" si="143">SUM(AE214,AD214,AC214,AB214,Y214,U214,T214,S214,R214)</f>
        <v>0</v>
      </c>
      <c r="AG214" s="126"/>
      <c r="AH214" s="126"/>
      <c r="AI214" s="126"/>
      <c r="AJ214" s="130"/>
      <c r="AK214" s="130"/>
      <c r="AL214" s="130"/>
      <c r="AM214" s="127">
        <f>AG214*'1. Standard_Cost'!$B$27+'Incremental_Cost Year 10'!AH214*'1. Standard_Cost'!$C$27+'Incremental_Cost Year 10'!AI214*'1. Standard_Cost'!$D$27+'Incremental_Cost Year 10'!AJ214+'Incremental_Cost Year 10'!AL214+AK214</f>
        <v>0</v>
      </c>
      <c r="AN214" s="127">
        <f>AM214*'1. Standard_Cost'!$C$31</f>
        <v>0</v>
      </c>
      <c r="AO214" s="130"/>
      <c r="AQ214" s="171">
        <f t="shared" ref="AQ214:AQ219" si="144">L214+M214</f>
        <v>0</v>
      </c>
      <c r="AR214" s="171">
        <f t="shared" ref="AR214:AR219" si="145">AF214</f>
        <v>0</v>
      </c>
      <c r="AS214" s="171">
        <f t="shared" ref="AS214:AS219" si="146">AM214+AN214</f>
        <v>0</v>
      </c>
      <c r="AT214" s="171">
        <f t="shared" ref="AT214:AT219" si="147">SUM(AQ214,AR214,AS214)</f>
        <v>0</v>
      </c>
      <c r="AU214" s="250"/>
      <c r="AV214" s="250"/>
      <c r="AW214" s="250"/>
      <c r="AX214" s="250"/>
      <c r="AY214" s="250"/>
      <c r="AZ214" s="250"/>
      <c r="BA214" s="250"/>
      <c r="BB214" s="251">
        <f t="shared" ref="BB214:BB219" si="148">SUM(AU214:BA214)-AT214</f>
        <v>0</v>
      </c>
      <c r="BC214" s="169"/>
      <c r="BD214" s="169"/>
      <c r="BE214" s="169"/>
      <c r="BF214" s="169"/>
    </row>
    <row r="215" spans="1:58" ht="63" outlineLevel="2" x14ac:dyDescent="0.25">
      <c r="A215" s="115"/>
      <c r="B215" s="200"/>
      <c r="C215" s="201"/>
      <c r="D215" s="203"/>
      <c r="E215" s="328"/>
      <c r="F215" s="328"/>
      <c r="G215" s="328"/>
      <c r="H215" s="199" t="s">
        <v>511</v>
      </c>
      <c r="I215" s="130"/>
      <c r="J215" s="126"/>
      <c r="K215" s="126"/>
      <c r="L215" s="125" t="str">
        <f>IF(I215&lt;&gt;0,((VLOOKUP(I215,'1. Standard_Cost'!$B$4:$D$11,2)+VLOOKUP(I215,'1. Standard_Cost'!$B$4:$D$11,3))*J215*K215),"0")</f>
        <v>0</v>
      </c>
      <c r="M215" s="125">
        <f>L215*'1. Standard_Cost'!$F$4</f>
        <v>0</v>
      </c>
      <c r="N215" s="126"/>
      <c r="O215" s="126"/>
      <c r="P215" s="126"/>
      <c r="Q215" s="126"/>
      <c r="R215" s="127">
        <f>'1. Standard_Cost'!$B$15*N215*P215</f>
        <v>0</v>
      </c>
      <c r="S215" s="127">
        <f>N215*O215*P215*'1. Standard_Cost'!$C$15</f>
        <v>0</v>
      </c>
      <c r="T215" s="127">
        <f>N215*P215*Q215*'1. Standard_Cost'!$D$15</f>
        <v>0</v>
      </c>
      <c r="U215" s="127">
        <f>N215*O215*'1. Standard_Cost'!$E$15</f>
        <v>0</v>
      </c>
      <c r="V215" s="126"/>
      <c r="W215" s="126"/>
      <c r="X215" s="126"/>
      <c r="Y215" s="127">
        <f>+V215*((X215*'1. Standard_Cost'!$B$19)+(W215*X215*'1. Standard_Cost'!$C$19))</f>
        <v>0</v>
      </c>
      <c r="Z215" s="126"/>
      <c r="AA215" s="126"/>
      <c r="AB215" s="127">
        <f>+Z215*'1. Standard_Cost'!$B$23+AA215*'1. Standard_Cost'!$C$23</f>
        <v>0</v>
      </c>
      <c r="AC215" s="128"/>
      <c r="AD215" s="129"/>
      <c r="AE215" s="127">
        <f>SUM(AD215,AC215,AB215,Y215,U215,T215,S215,R215)*'1. Standard_Cost'!$B$31</f>
        <v>0</v>
      </c>
      <c r="AF215" s="127">
        <f t="shared" si="143"/>
        <v>0</v>
      </c>
      <c r="AG215" s="126"/>
      <c r="AH215" s="126"/>
      <c r="AI215" s="126"/>
      <c r="AJ215" s="130"/>
      <c r="AK215" s="130"/>
      <c r="AL215" s="130"/>
      <c r="AM215" s="127">
        <f>AG215*'1. Standard_Cost'!$B$27+'Incremental_Cost Year 10'!AH215*'1. Standard_Cost'!$C$27+'Incremental_Cost Year 10'!AI215*'1. Standard_Cost'!$D$27+'Incremental_Cost Year 10'!AJ215+'Incremental_Cost Year 10'!AL215+AK215</f>
        <v>0</v>
      </c>
      <c r="AN215" s="127">
        <f>AM215*'1. Standard_Cost'!$C$31</f>
        <v>0</v>
      </c>
      <c r="AO215" s="130"/>
      <c r="AQ215" s="171">
        <f t="shared" si="144"/>
        <v>0</v>
      </c>
      <c r="AR215" s="171">
        <f t="shared" si="145"/>
        <v>0</v>
      </c>
      <c r="AS215" s="171">
        <f t="shared" si="146"/>
        <v>0</v>
      </c>
      <c r="AT215" s="171">
        <f t="shared" si="147"/>
        <v>0</v>
      </c>
      <c r="AU215" s="250">
        <f>AT215</f>
        <v>0</v>
      </c>
      <c r="AV215" s="250"/>
      <c r="AW215" s="250"/>
      <c r="AX215" s="250"/>
      <c r="AY215" s="250"/>
      <c r="AZ215" s="250"/>
      <c r="BA215" s="250"/>
      <c r="BB215" s="251">
        <f t="shared" si="148"/>
        <v>0</v>
      </c>
      <c r="BC215" s="169"/>
      <c r="BD215" s="169"/>
      <c r="BE215" s="169"/>
      <c r="BF215" s="169"/>
    </row>
    <row r="216" spans="1:58" ht="78.75" outlineLevel="2" x14ac:dyDescent="0.25">
      <c r="A216" s="115"/>
      <c r="B216" s="200"/>
      <c r="C216" s="201"/>
      <c r="D216" s="203"/>
      <c r="E216" s="328"/>
      <c r="F216" s="328"/>
      <c r="G216" s="328"/>
      <c r="H216" s="199" t="s">
        <v>512</v>
      </c>
      <c r="I216" s="130"/>
      <c r="J216" s="126"/>
      <c r="K216" s="126"/>
      <c r="L216" s="125" t="str">
        <f>IF(I216&lt;&gt;0,((VLOOKUP(I216,'1. Standard_Cost'!$B$4:$D$11,2)+VLOOKUP(I216,'1. Standard_Cost'!$B$4:$D$11,3))*J216*K216),"0")</f>
        <v>0</v>
      </c>
      <c r="M216" s="125">
        <f>L216*'1. Standard_Cost'!$F$4</f>
        <v>0</v>
      </c>
      <c r="N216" s="126"/>
      <c r="O216" s="126"/>
      <c r="P216" s="126"/>
      <c r="Q216" s="126"/>
      <c r="R216" s="127">
        <f>'1. Standard_Cost'!$B$15*N216*P216</f>
        <v>0</v>
      </c>
      <c r="S216" s="127">
        <f>N216*O216*P216*'1. Standard_Cost'!$C$15</f>
        <v>0</v>
      </c>
      <c r="T216" s="127">
        <f>N216*P216*Q216*'1. Standard_Cost'!$D$15</f>
        <v>0</v>
      </c>
      <c r="U216" s="127">
        <f>N216*O216*'1. Standard_Cost'!$E$15</f>
        <v>0</v>
      </c>
      <c r="V216" s="126"/>
      <c r="W216" s="126"/>
      <c r="X216" s="126"/>
      <c r="Y216" s="127">
        <f>+V216*((X216*'1. Standard_Cost'!$B$19)+(W216*X216*'1. Standard_Cost'!$C$19))</f>
        <v>0</v>
      </c>
      <c r="Z216" s="126"/>
      <c r="AA216" s="126"/>
      <c r="AB216" s="127">
        <f>+Z216*'1. Standard_Cost'!$B$23+AA216*'1. Standard_Cost'!$C$23</f>
        <v>0</v>
      </c>
      <c r="AC216" s="128"/>
      <c r="AD216" s="129"/>
      <c r="AE216" s="127">
        <f>SUM(AD216,AC216,AB216,Y216,U216,T216,S216,R216)*'1. Standard_Cost'!$B$31</f>
        <v>0</v>
      </c>
      <c r="AF216" s="127">
        <f t="shared" si="143"/>
        <v>0</v>
      </c>
      <c r="AG216" s="126"/>
      <c r="AH216" s="126"/>
      <c r="AI216" s="126"/>
      <c r="AJ216" s="130"/>
      <c r="AK216" s="130"/>
      <c r="AL216" s="130"/>
      <c r="AM216" s="127">
        <f>AG216*'1. Standard_Cost'!$B$27+'Incremental_Cost Year 10'!AH216*'1. Standard_Cost'!$C$27+'Incremental_Cost Year 10'!AI216*'1. Standard_Cost'!$D$27+'Incremental_Cost Year 10'!AJ216+'Incremental_Cost Year 10'!AL216+AK216</f>
        <v>0</v>
      </c>
      <c r="AN216" s="127">
        <f>AM216*'1. Standard_Cost'!$C$31</f>
        <v>0</v>
      </c>
      <c r="AO216" s="130"/>
      <c r="AQ216" s="171">
        <f t="shared" si="144"/>
        <v>0</v>
      </c>
      <c r="AR216" s="171">
        <f t="shared" si="145"/>
        <v>0</v>
      </c>
      <c r="AS216" s="171">
        <f t="shared" si="146"/>
        <v>0</v>
      </c>
      <c r="AT216" s="171">
        <f t="shared" si="147"/>
        <v>0</v>
      </c>
      <c r="AU216" s="250"/>
      <c r="AV216" s="250"/>
      <c r="AW216" s="250"/>
      <c r="AX216" s="250"/>
      <c r="AY216" s="250"/>
      <c r="AZ216" s="250"/>
      <c r="BA216" s="250"/>
      <c r="BB216" s="251">
        <f t="shared" si="148"/>
        <v>0</v>
      </c>
      <c r="BC216" s="169"/>
      <c r="BD216" s="169"/>
      <c r="BE216" s="169"/>
      <c r="BF216" s="169"/>
    </row>
    <row r="217" spans="1:58" ht="47.25" outlineLevel="2" x14ac:dyDescent="0.25">
      <c r="A217" s="115"/>
      <c r="B217" s="200"/>
      <c r="C217" s="201"/>
      <c r="D217" s="203"/>
      <c r="E217" s="328"/>
      <c r="F217" s="328"/>
      <c r="G217" s="328"/>
      <c r="H217" s="213" t="s">
        <v>250</v>
      </c>
      <c r="I217" s="130" t="s">
        <v>1</v>
      </c>
      <c r="J217" s="126">
        <v>12</v>
      </c>
      <c r="K217" s="126">
        <v>824</v>
      </c>
      <c r="L217" s="125">
        <f>IF(I217&lt;&gt;0,((VLOOKUP(I217,'1. Standard_Cost'!$B$4:$D$11,2)+VLOOKUP(I217,'1. Standard_Cost'!$B$4:$D$11,3))*J217*K217),"0")</f>
        <v>709887771.42857134</v>
      </c>
      <c r="M217" s="125">
        <f>L217*'1. Standard_Cost'!$F$4</f>
        <v>118551257.82857142</v>
      </c>
      <c r="N217" s="126"/>
      <c r="O217" s="126"/>
      <c r="P217" s="126"/>
      <c r="Q217" s="126"/>
      <c r="R217" s="127">
        <f>'1. Standard_Cost'!$B$15*N217*P217</f>
        <v>0</v>
      </c>
      <c r="S217" s="127">
        <f>N217*O217*P217*'1. Standard_Cost'!$C$15</f>
        <v>0</v>
      </c>
      <c r="T217" s="127">
        <f>N217*P217*Q217*'1. Standard_Cost'!$D$15</f>
        <v>0</v>
      </c>
      <c r="U217" s="127">
        <f>N217*O217*'1. Standard_Cost'!$E$15</f>
        <v>0</v>
      </c>
      <c r="V217" s="126"/>
      <c r="W217" s="126"/>
      <c r="X217" s="126"/>
      <c r="Y217" s="127">
        <f>+V217*((X217*'1. Standard_Cost'!$B$19)+(W217*X217*'1. Standard_Cost'!$C$19))</f>
        <v>0</v>
      </c>
      <c r="Z217" s="126"/>
      <c r="AA217" s="126"/>
      <c r="AB217" s="127">
        <f>+Z217*'1. Standard_Cost'!$B$23+AA217*'1. Standard_Cost'!$C$23</f>
        <v>0</v>
      </c>
      <c r="AC217" s="128">
        <f>230000000+250000000*2</f>
        <v>730000000</v>
      </c>
      <c r="AD217" s="129"/>
      <c r="AE217" s="127"/>
      <c r="AF217" s="127">
        <f t="shared" si="143"/>
        <v>730000000</v>
      </c>
      <c r="AG217" s="126"/>
      <c r="AH217" s="126"/>
      <c r="AI217" s="126"/>
      <c r="AJ217" s="130"/>
      <c r="AK217" s="130"/>
      <c r="AL217" s="130"/>
      <c r="AM217" s="127">
        <f>AG217*'1. Standard_Cost'!$B$27+'Incremental_Cost Year 10'!AH217*'1. Standard_Cost'!$C$27+'Incremental_Cost Year 10'!AI217*'1. Standard_Cost'!$D$27+'Incremental_Cost Year 10'!AJ217+'Incremental_Cost Year 10'!AL217+AK217</f>
        <v>0</v>
      </c>
      <c r="AN217" s="127">
        <f>AM217*'1. Standard_Cost'!$C$31</f>
        <v>0</v>
      </c>
      <c r="AO217" s="130"/>
      <c r="AQ217" s="171">
        <f t="shared" si="144"/>
        <v>828439029.25714278</v>
      </c>
      <c r="AR217" s="171">
        <f t="shared" si="145"/>
        <v>730000000</v>
      </c>
      <c r="AS217" s="171">
        <f t="shared" si="146"/>
        <v>0</v>
      </c>
      <c r="AT217" s="171">
        <f t="shared" si="147"/>
        <v>1558439029.2571428</v>
      </c>
      <c r="AU217" s="250">
        <f>AT217</f>
        <v>1558439029.2571428</v>
      </c>
      <c r="AV217" s="250"/>
      <c r="AW217" s="250"/>
      <c r="AX217" s="250"/>
      <c r="AY217" s="250"/>
      <c r="AZ217" s="250"/>
      <c r="BA217" s="250"/>
      <c r="BB217" s="251">
        <f t="shared" si="148"/>
        <v>0</v>
      </c>
      <c r="BC217" s="169"/>
      <c r="BD217" s="169"/>
      <c r="BE217" s="169"/>
      <c r="BF217" s="169"/>
    </row>
    <row r="218" spans="1:58" ht="47.25" outlineLevel="2" x14ac:dyDescent="0.25">
      <c r="A218" s="115"/>
      <c r="B218" s="200"/>
      <c r="C218" s="201"/>
      <c r="D218" s="203"/>
      <c r="E218" s="328"/>
      <c r="F218" s="328"/>
      <c r="G218" s="328"/>
      <c r="H218" s="213" t="s">
        <v>513</v>
      </c>
      <c r="I218" s="130" t="s">
        <v>1</v>
      </c>
      <c r="J218" s="126">
        <v>12</v>
      </c>
      <c r="K218" s="126">
        <v>123</v>
      </c>
      <c r="L218" s="125">
        <f>IF(I218&lt;&gt;0,((VLOOKUP(I218,'1. Standard_Cost'!$B$4:$D$11,2)+VLOOKUP(I218,'1. Standard_Cost'!$B$4:$D$11,3))*J218*K218),"0")</f>
        <v>105966257.14285713</v>
      </c>
      <c r="M218" s="125">
        <f>L218*'1. Standard_Cost'!$F$4</f>
        <v>17696364.942857143</v>
      </c>
      <c r="N218" s="126"/>
      <c r="O218" s="126"/>
      <c r="P218" s="126"/>
      <c r="Q218" s="126"/>
      <c r="R218" s="127">
        <f>'1. Standard_Cost'!$B$15*N218*P218</f>
        <v>0</v>
      </c>
      <c r="S218" s="127">
        <f>N218*O218*P218*'1. Standard_Cost'!$C$15</f>
        <v>0</v>
      </c>
      <c r="T218" s="127">
        <f>N218*P218*Q218*'1. Standard_Cost'!$D$15</f>
        <v>0</v>
      </c>
      <c r="U218" s="127">
        <f>N218*O218*'1. Standard_Cost'!$E$15</f>
        <v>0</v>
      </c>
      <c r="V218" s="126"/>
      <c r="W218" s="126"/>
      <c r="X218" s="126"/>
      <c r="Y218" s="127">
        <f>+V218*((X218*'1. Standard_Cost'!$B$19)+(W218*X218*'1. Standard_Cost'!$C$19))</f>
        <v>0</v>
      </c>
      <c r="Z218" s="126"/>
      <c r="AA218" s="126"/>
      <c r="AB218" s="127">
        <f>+Z218*'1. Standard_Cost'!$B$23+AA218*'1. Standard_Cost'!$C$23</f>
        <v>0</v>
      </c>
      <c r="AC218" s="128">
        <f>220000000*3</f>
        <v>660000000</v>
      </c>
      <c r="AD218" s="129"/>
      <c r="AE218" s="127"/>
      <c r="AF218" s="127">
        <f t="shared" si="143"/>
        <v>660000000</v>
      </c>
      <c r="AG218" s="126"/>
      <c r="AH218" s="126"/>
      <c r="AI218" s="126"/>
      <c r="AJ218" s="130"/>
      <c r="AK218" s="130"/>
      <c r="AL218" s="130"/>
      <c r="AM218" s="127">
        <f>AG218*'1. Standard_Cost'!$B$27+'Incremental_Cost Year 10'!AH218*'1. Standard_Cost'!$C$27+'Incremental_Cost Year 10'!AI218*'1. Standard_Cost'!$D$27+'Incremental_Cost Year 10'!AJ218+'Incremental_Cost Year 10'!AL218+AK218</f>
        <v>0</v>
      </c>
      <c r="AN218" s="127">
        <f>AM218*'1. Standard_Cost'!$C$31</f>
        <v>0</v>
      </c>
      <c r="AO218" s="130"/>
      <c r="AQ218" s="171">
        <f t="shared" si="144"/>
        <v>123662622.08571428</v>
      </c>
      <c r="AR218" s="171">
        <f t="shared" si="145"/>
        <v>660000000</v>
      </c>
      <c r="AS218" s="171">
        <f t="shared" si="146"/>
        <v>0</v>
      </c>
      <c r="AT218" s="171">
        <f t="shared" si="147"/>
        <v>783662622.08571434</v>
      </c>
      <c r="AU218" s="250">
        <f>AT218</f>
        <v>783662622.08571434</v>
      </c>
      <c r="AV218" s="250"/>
      <c r="AW218" s="250"/>
      <c r="AX218" s="250"/>
      <c r="AY218" s="250"/>
      <c r="AZ218" s="250"/>
      <c r="BA218" s="250"/>
      <c r="BB218" s="251">
        <f t="shared" si="148"/>
        <v>0</v>
      </c>
      <c r="BC218" s="169"/>
      <c r="BD218" s="169"/>
      <c r="BE218" s="169"/>
      <c r="BF218" s="169"/>
    </row>
    <row r="219" spans="1:58" ht="63" outlineLevel="2" x14ac:dyDescent="0.25">
      <c r="A219" s="115"/>
      <c r="B219" s="200"/>
      <c r="C219" s="201"/>
      <c r="D219" s="203"/>
      <c r="E219" s="328"/>
      <c r="F219" s="328"/>
      <c r="G219" s="328"/>
      <c r="H219" s="199" t="s">
        <v>514</v>
      </c>
      <c r="I219" s="130" t="s">
        <v>3</v>
      </c>
      <c r="J219" s="126">
        <v>3</v>
      </c>
      <c r="K219" s="126">
        <v>88</v>
      </c>
      <c r="L219" s="125">
        <f>IF(I219&lt;&gt;0,((VLOOKUP(I219,'1. Standard_Cost'!$B$4:$D$11,2)+VLOOKUP(I219,'1. Standard_Cost'!$B$4:$D$11,3))*J219*K219),"0")</f>
        <v>26611200</v>
      </c>
      <c r="M219" s="125">
        <f>L219*'1. Standard_Cost'!$F$4</f>
        <v>4444070.4000000004</v>
      </c>
      <c r="N219" s="126"/>
      <c r="O219" s="126"/>
      <c r="P219" s="126"/>
      <c r="Q219" s="126"/>
      <c r="R219" s="127">
        <f>'1. Standard_Cost'!$B$15*N219*P219</f>
        <v>0</v>
      </c>
      <c r="S219" s="127">
        <f>N219*O219*P219*'1. Standard_Cost'!$C$15</f>
        <v>0</v>
      </c>
      <c r="T219" s="127">
        <f>N219*P219*Q219*'1. Standard_Cost'!$D$15</f>
        <v>0</v>
      </c>
      <c r="U219" s="127">
        <f>N219*O219*'1. Standard_Cost'!$E$15</f>
        <v>0</v>
      </c>
      <c r="V219" s="126"/>
      <c r="W219" s="126"/>
      <c r="X219" s="126"/>
      <c r="Y219" s="127">
        <f>+V219*((X219*'1. Standard_Cost'!$B$19)+(W219*X219*'1. Standard_Cost'!$C$19))</f>
        <v>0</v>
      </c>
      <c r="Z219" s="126"/>
      <c r="AA219" s="126"/>
      <c r="AB219" s="127">
        <f>+Z219*'1. Standard_Cost'!$B$23+AA219*'1. Standard_Cost'!$C$23</f>
        <v>0</v>
      </c>
      <c r="AC219" s="128">
        <v>52163000</v>
      </c>
      <c r="AD219" s="129"/>
      <c r="AE219" s="127"/>
      <c r="AF219" s="127">
        <f t="shared" si="143"/>
        <v>52163000</v>
      </c>
      <c r="AG219" s="126"/>
      <c r="AH219" s="126"/>
      <c r="AI219" s="126"/>
      <c r="AJ219" s="130"/>
      <c r="AK219" s="130"/>
      <c r="AL219" s="130"/>
      <c r="AM219" s="127">
        <f>AG219*'1. Standard_Cost'!$B$27+'Incremental_Cost Year 10'!AH219*'1. Standard_Cost'!$C$27+'Incremental_Cost Year 10'!AI219*'1. Standard_Cost'!$D$27+'Incremental_Cost Year 10'!AJ219+'Incremental_Cost Year 10'!AL219+AK219</f>
        <v>0</v>
      </c>
      <c r="AN219" s="127">
        <f>AM219*'1. Standard_Cost'!$C$31</f>
        <v>0</v>
      </c>
      <c r="AO219" s="130"/>
      <c r="AQ219" s="171">
        <f t="shared" si="144"/>
        <v>31055270.399999999</v>
      </c>
      <c r="AR219" s="171">
        <f t="shared" si="145"/>
        <v>52163000</v>
      </c>
      <c r="AS219" s="171">
        <f t="shared" si="146"/>
        <v>0</v>
      </c>
      <c r="AT219" s="171">
        <f t="shared" si="147"/>
        <v>83218270.400000006</v>
      </c>
      <c r="AU219" s="250">
        <f>AT219</f>
        <v>83218270.400000006</v>
      </c>
      <c r="AV219" s="250"/>
      <c r="AW219" s="250"/>
      <c r="AX219" s="250"/>
      <c r="AY219" s="250"/>
      <c r="AZ219" s="250"/>
      <c r="BA219" s="250"/>
      <c r="BB219" s="251">
        <f t="shared" si="148"/>
        <v>0</v>
      </c>
      <c r="BC219" s="169"/>
      <c r="BD219" s="169"/>
      <c r="BE219" s="169"/>
      <c r="BF219" s="169"/>
    </row>
    <row r="220" spans="1:58" ht="78.75" outlineLevel="1" x14ac:dyDescent="0.25">
      <c r="A220" s="115"/>
      <c r="B220" s="165"/>
      <c r="C220" s="166"/>
      <c r="D220" s="139" t="s">
        <v>557</v>
      </c>
      <c r="E220" s="212" t="s">
        <v>251</v>
      </c>
      <c r="F220" s="352">
        <v>2021</v>
      </c>
      <c r="G220" s="353">
        <v>2030</v>
      </c>
      <c r="H220" s="150" t="s">
        <v>252</v>
      </c>
      <c r="I220" s="252"/>
      <c r="J220" s="252"/>
      <c r="K220" s="252"/>
      <c r="L220" s="127">
        <f>SUM(L214:L219)</f>
        <v>842465228.57142854</v>
      </c>
      <c r="M220" s="127">
        <f>SUM(M214:M219)</f>
        <v>140691693.17142856</v>
      </c>
      <c r="N220" s="252"/>
      <c r="O220" s="252"/>
      <c r="P220" s="252"/>
      <c r="Q220" s="252"/>
      <c r="R220" s="127">
        <f>SUM(R214:R219)</f>
        <v>0</v>
      </c>
      <c r="S220" s="127">
        <f>SUM(S214:S219)</f>
        <v>0</v>
      </c>
      <c r="T220" s="127">
        <f>SUM(T214:T219)</f>
        <v>0</v>
      </c>
      <c r="U220" s="127">
        <f>SUM(U214:U219)</f>
        <v>0</v>
      </c>
      <c r="V220" s="252"/>
      <c r="W220" s="252"/>
      <c r="X220" s="252"/>
      <c r="Y220" s="127">
        <f>SUM(Y214:Y219)</f>
        <v>0</v>
      </c>
      <c r="Z220" s="127"/>
      <c r="AA220" s="252"/>
      <c r="AB220" s="127">
        <f>SUM(AB214:AB219)</f>
        <v>0</v>
      </c>
      <c r="AC220" s="127">
        <f>SUM(AC214:AC219)</f>
        <v>1442163000</v>
      </c>
      <c r="AD220" s="127">
        <f>SUM(AD214:AD219)</f>
        <v>0</v>
      </c>
      <c r="AE220" s="127">
        <f>SUM(AE214:AE219)</f>
        <v>0</v>
      </c>
      <c r="AF220" s="127">
        <f>SUM(AF214:AF219)</f>
        <v>1442163000</v>
      </c>
      <c r="AG220" s="252"/>
      <c r="AH220" s="252"/>
      <c r="AI220" s="252"/>
      <c r="AJ220" s="127">
        <f>SUM(AJ214:AJ219)</f>
        <v>0</v>
      </c>
      <c r="AK220" s="127">
        <f>SUM(AK214:AK219)</f>
        <v>0</v>
      </c>
      <c r="AL220" s="127">
        <f>SUM(AL214:AL219)</f>
        <v>0</v>
      </c>
      <c r="AM220" s="127">
        <f>SUM(AM214:AM219)</f>
        <v>0</v>
      </c>
      <c r="AN220" s="127">
        <f>SUM(AN214:AN219)</f>
        <v>0</v>
      </c>
      <c r="AO220" s="253"/>
      <c r="AP220" s="254"/>
      <c r="AQ220" s="175">
        <f>SUM(AQ214:AQ219)</f>
        <v>983156921.7428571</v>
      </c>
      <c r="AR220" s="175">
        <f>SUM(AR214:AR219)</f>
        <v>1442163000</v>
      </c>
      <c r="AS220" s="175">
        <f>SUM(AS214:AS219)</f>
        <v>0</v>
      </c>
      <c r="AT220" s="175">
        <f>SUM(AT214:AT219)</f>
        <v>2425319921.7428575</v>
      </c>
      <c r="AU220" s="175">
        <f t="shared" ref="AU220:BB220" si="149">SUM(AU214:AU219)</f>
        <v>2425319921.7428575</v>
      </c>
      <c r="AV220" s="175">
        <f t="shared" si="149"/>
        <v>0</v>
      </c>
      <c r="AW220" s="175">
        <f t="shared" si="149"/>
        <v>0</v>
      </c>
      <c r="AX220" s="175">
        <f t="shared" si="149"/>
        <v>0</v>
      </c>
      <c r="AY220" s="175">
        <f t="shared" si="149"/>
        <v>0</v>
      </c>
      <c r="AZ220" s="175">
        <f t="shared" si="149"/>
        <v>0</v>
      </c>
      <c r="BA220" s="175">
        <f t="shared" si="149"/>
        <v>0</v>
      </c>
      <c r="BB220" s="175">
        <f t="shared" si="149"/>
        <v>0</v>
      </c>
      <c r="BC220" s="169"/>
      <c r="BD220" s="169"/>
      <c r="BE220" s="169"/>
      <c r="BF220" s="169"/>
    </row>
    <row r="221" spans="1:58" s="184" customFormat="1" ht="15.75" customHeight="1" x14ac:dyDescent="0.25">
      <c r="A221" s="143"/>
      <c r="B221" s="332"/>
      <c r="C221" s="397" t="s">
        <v>253</v>
      </c>
      <c r="D221" s="397"/>
      <c r="E221" s="398"/>
      <c r="F221" s="291"/>
      <c r="G221" s="340"/>
      <c r="H221" s="144" t="s">
        <v>300</v>
      </c>
      <c r="I221" s="257"/>
      <c r="J221" s="257"/>
      <c r="K221" s="257"/>
      <c r="L221" s="258">
        <f>SUM(L225)</f>
        <v>0</v>
      </c>
      <c r="M221" s="258">
        <f>SUM(M225)</f>
        <v>0</v>
      </c>
      <c r="N221" s="257"/>
      <c r="O221" s="257"/>
      <c r="P221" s="257"/>
      <c r="Q221" s="257"/>
      <c r="R221" s="258">
        <f>SUM(R225)</f>
        <v>0</v>
      </c>
      <c r="S221" s="258">
        <f>SUM(S225)</f>
        <v>0</v>
      </c>
      <c r="T221" s="258">
        <f>SUM(T225)</f>
        <v>0</v>
      </c>
      <c r="U221" s="258">
        <f>SUM(U225)</f>
        <v>0</v>
      </c>
      <c r="V221" s="257"/>
      <c r="W221" s="257"/>
      <c r="X221" s="257"/>
      <c r="Y221" s="258">
        <f>SUM(Y225)</f>
        <v>0</v>
      </c>
      <c r="Z221" s="258"/>
      <c r="AA221" s="258"/>
      <c r="AB221" s="258">
        <f>SUM(AB225)</f>
        <v>0</v>
      </c>
      <c r="AC221" s="258">
        <f>SUM(AC225)</f>
        <v>0</v>
      </c>
      <c r="AD221" s="258">
        <f>SUM(AD225)</f>
        <v>0</v>
      </c>
      <c r="AE221" s="258">
        <f>SUM(AE225)</f>
        <v>0</v>
      </c>
      <c r="AF221" s="258">
        <f>SUM(AF225)</f>
        <v>0</v>
      </c>
      <c r="AG221" s="257"/>
      <c r="AH221" s="257"/>
      <c r="AI221" s="257"/>
      <c r="AJ221" s="258">
        <f>SUM(AJ225)</f>
        <v>0</v>
      </c>
      <c r="AK221" s="258">
        <f>SUM(AK225)</f>
        <v>0</v>
      </c>
      <c r="AL221" s="258">
        <f>SUM(AL225)</f>
        <v>0</v>
      </c>
      <c r="AM221" s="258">
        <f>SUM(AM225)</f>
        <v>0</v>
      </c>
      <c r="AN221" s="258">
        <f>SUM(AN225)</f>
        <v>0</v>
      </c>
      <c r="AO221" s="259"/>
      <c r="AP221" s="260"/>
      <c r="AQ221" s="261">
        <f>SUM(AQ225)</f>
        <v>0</v>
      </c>
      <c r="AR221" s="261">
        <f>SUM(AR225)</f>
        <v>0</v>
      </c>
      <c r="AS221" s="261">
        <f>SUM(AS225)</f>
        <v>0</v>
      </c>
      <c r="AT221" s="261">
        <f>SUM(AT225)</f>
        <v>0</v>
      </c>
      <c r="AU221" s="261">
        <f t="shared" ref="AU221:BB221" si="150">SUM(AU225)</f>
        <v>0</v>
      </c>
      <c r="AV221" s="261">
        <f t="shared" si="150"/>
        <v>0</v>
      </c>
      <c r="AW221" s="261">
        <f t="shared" si="150"/>
        <v>0</v>
      </c>
      <c r="AX221" s="261">
        <f t="shared" si="150"/>
        <v>0</v>
      </c>
      <c r="AY221" s="261">
        <f t="shared" si="150"/>
        <v>0</v>
      </c>
      <c r="AZ221" s="261">
        <f t="shared" si="150"/>
        <v>0</v>
      </c>
      <c r="BA221" s="261">
        <f t="shared" si="150"/>
        <v>0</v>
      </c>
      <c r="BB221" s="261">
        <f t="shared" si="150"/>
        <v>0</v>
      </c>
    </row>
    <row r="222" spans="1:58" ht="63" outlineLevel="2" x14ac:dyDescent="0.25">
      <c r="A222" s="115"/>
      <c r="B222" s="200"/>
      <c r="C222" s="201"/>
      <c r="D222" s="342"/>
      <c r="E222" s="328"/>
      <c r="F222" s="328"/>
      <c r="G222" s="328"/>
      <c r="H222" s="199" t="s">
        <v>515</v>
      </c>
      <c r="I222" s="130"/>
      <c r="J222" s="126"/>
      <c r="K222" s="126"/>
      <c r="L222" s="125" t="str">
        <f>IF(I222&lt;&gt;0,((VLOOKUP(I222,'1. Standard_Cost'!$B$4:$D$11,2)+VLOOKUP(I222,'1. Standard_Cost'!$B$4:$D$11,3))*J222*K222),"0")</f>
        <v>0</v>
      </c>
      <c r="M222" s="125">
        <f>L222*'1. Standard_Cost'!$F$4</f>
        <v>0</v>
      </c>
      <c r="N222" s="126"/>
      <c r="O222" s="126"/>
      <c r="P222" s="126"/>
      <c r="Q222" s="126"/>
      <c r="R222" s="127">
        <f>'1. Standard_Cost'!$B$15*N222*P222</f>
        <v>0</v>
      </c>
      <c r="S222" s="127">
        <f>N222*O222*P222*'1. Standard_Cost'!$C$15</f>
        <v>0</v>
      </c>
      <c r="T222" s="127">
        <f>N222*P222*Q222*'1. Standard_Cost'!$D$15</f>
        <v>0</v>
      </c>
      <c r="U222" s="127">
        <f>N222*O222*'1. Standard_Cost'!$E$15</f>
        <v>0</v>
      </c>
      <c r="V222" s="126"/>
      <c r="W222" s="126"/>
      <c r="X222" s="126"/>
      <c r="Y222" s="127">
        <f>+V222*((X222*'1. Standard_Cost'!$B$19)+(W222*X222*'1. Standard_Cost'!$C$19))</f>
        <v>0</v>
      </c>
      <c r="Z222" s="126"/>
      <c r="AA222" s="126"/>
      <c r="AB222" s="127">
        <f>+Z222*'1. Standard_Cost'!$B$23+AA222*'1. Standard_Cost'!$C$23</f>
        <v>0</v>
      </c>
      <c r="AC222" s="128"/>
      <c r="AD222" s="129"/>
      <c r="AE222" s="127">
        <f>SUM(AD222,AC222,AB222,Y222,U222,T222,S222,R222)*'1. Standard_Cost'!$B$31</f>
        <v>0</v>
      </c>
      <c r="AF222" s="127">
        <f>SUM(AE222,AD222,AC222,AB222,Y222,U222,T222,S222,R222)</f>
        <v>0</v>
      </c>
      <c r="AG222" s="126"/>
      <c r="AH222" s="126"/>
      <c r="AI222" s="126"/>
      <c r="AJ222" s="130"/>
      <c r="AK222" s="130"/>
      <c r="AL222" s="130"/>
      <c r="AM222" s="127">
        <f>AG222*'1. Standard_Cost'!$B$27+'Incremental_Cost Year 10'!AH222*'1. Standard_Cost'!$C$27+'Incremental_Cost Year 10'!AI222*'1. Standard_Cost'!$D$27+'Incremental_Cost Year 10'!AJ222+'Incremental_Cost Year 10'!AL222+AK222</f>
        <v>0</v>
      </c>
      <c r="AN222" s="127">
        <f>AM222*'1. Standard_Cost'!$C$31</f>
        <v>0</v>
      </c>
      <c r="AO222" s="130"/>
      <c r="AQ222" s="171">
        <f>L222+M222</f>
        <v>0</v>
      </c>
      <c r="AR222" s="171">
        <f>AF222</f>
        <v>0</v>
      </c>
      <c r="AS222" s="171">
        <f>AM222+AN222</f>
        <v>0</v>
      </c>
      <c r="AT222" s="171">
        <f>SUM(AQ222,AR222,AS222)</f>
        <v>0</v>
      </c>
      <c r="AU222" s="250">
        <f>AT222</f>
        <v>0</v>
      </c>
      <c r="AV222" s="250"/>
      <c r="AW222" s="250"/>
      <c r="AX222" s="250"/>
      <c r="AY222" s="250"/>
      <c r="AZ222" s="250"/>
      <c r="BA222" s="250"/>
      <c r="BB222" s="251">
        <f t="shared" ref="BB222:BB224" si="151">SUM(AU222:BA222)-AT222</f>
        <v>0</v>
      </c>
      <c r="BC222" s="169"/>
      <c r="BD222" s="169"/>
      <c r="BE222" s="169"/>
      <c r="BF222" s="169"/>
    </row>
    <row r="223" spans="1:58" ht="63" outlineLevel="2" x14ac:dyDescent="0.25">
      <c r="A223" s="115"/>
      <c r="B223" s="200"/>
      <c r="C223" s="201"/>
      <c r="D223" s="343"/>
      <c r="E223" s="328"/>
      <c r="F223" s="328"/>
      <c r="G223" s="328"/>
      <c r="H223" s="199" t="s">
        <v>516</v>
      </c>
      <c r="I223" s="130"/>
      <c r="J223" s="126"/>
      <c r="K223" s="126"/>
      <c r="L223" s="125" t="str">
        <f>IF(I223&lt;&gt;0,((VLOOKUP(I223,'1. Standard_Cost'!$B$4:$D$11,2)+VLOOKUP(I223,'1. Standard_Cost'!$B$4:$D$11,3))*J223*K223),"0")</f>
        <v>0</v>
      </c>
      <c r="M223" s="125">
        <f>L223*'1. Standard_Cost'!$F$4</f>
        <v>0</v>
      </c>
      <c r="N223" s="126"/>
      <c r="O223" s="126"/>
      <c r="P223" s="126"/>
      <c r="Q223" s="126"/>
      <c r="R223" s="127">
        <f>'1. Standard_Cost'!$B$15*N223*P223</f>
        <v>0</v>
      </c>
      <c r="S223" s="127">
        <f>N223*O223*P223*'1. Standard_Cost'!$C$15</f>
        <v>0</v>
      </c>
      <c r="T223" s="127">
        <f>N223*P223*Q223*'1. Standard_Cost'!$D$15</f>
        <v>0</v>
      </c>
      <c r="U223" s="127">
        <f>N223*O223*'1. Standard_Cost'!$E$15</f>
        <v>0</v>
      </c>
      <c r="V223" s="126"/>
      <c r="W223" s="126"/>
      <c r="X223" s="126"/>
      <c r="Y223" s="127">
        <f>+V223*((X223*'1. Standard_Cost'!$B$19)+(W223*X223*'1. Standard_Cost'!$C$19))</f>
        <v>0</v>
      </c>
      <c r="Z223" s="126"/>
      <c r="AA223" s="126"/>
      <c r="AB223" s="127">
        <f>+Z223*'1. Standard_Cost'!$B$23+AA223*'1. Standard_Cost'!$C$23</f>
        <v>0</v>
      </c>
      <c r="AC223" s="128"/>
      <c r="AD223" s="129"/>
      <c r="AE223" s="127">
        <f>SUM(AD223,AC223,AB223,Y223,U223,T223,S223,R223)*'1. Standard_Cost'!$B$31</f>
        <v>0</v>
      </c>
      <c r="AF223" s="127">
        <f>SUM(AE223,AD223,AC223,AB223,Y223,U223,T223,S223,R223)</f>
        <v>0</v>
      </c>
      <c r="AG223" s="126"/>
      <c r="AH223" s="126"/>
      <c r="AI223" s="126"/>
      <c r="AJ223" s="130"/>
      <c r="AK223" s="130"/>
      <c r="AL223" s="130"/>
      <c r="AM223" s="127">
        <f>AG223*'1. Standard_Cost'!$B$27+'Incremental_Cost Year 10'!AH223*'1. Standard_Cost'!$C$27+'Incremental_Cost Year 10'!AI223*'1. Standard_Cost'!$D$27+'Incremental_Cost Year 10'!AJ223+'Incremental_Cost Year 10'!AL223+AK223</f>
        <v>0</v>
      </c>
      <c r="AN223" s="127">
        <f>AM223*'1. Standard_Cost'!$C$31</f>
        <v>0</v>
      </c>
      <c r="AO223" s="130"/>
      <c r="AQ223" s="171">
        <f>L223+M223</f>
        <v>0</v>
      </c>
      <c r="AR223" s="171">
        <f>AF223</f>
        <v>0</v>
      </c>
      <c r="AS223" s="171">
        <f>AM223+AN223</f>
        <v>0</v>
      </c>
      <c r="AT223" s="171">
        <f>SUM(AQ223,AR223,AS223)</f>
        <v>0</v>
      </c>
      <c r="AU223" s="250">
        <f>AT223</f>
        <v>0</v>
      </c>
      <c r="AV223" s="250"/>
      <c r="AW223" s="250"/>
      <c r="AX223" s="250"/>
      <c r="AY223" s="250"/>
      <c r="AZ223" s="250"/>
      <c r="BA223" s="250"/>
      <c r="BB223" s="251">
        <f t="shared" si="151"/>
        <v>0</v>
      </c>
      <c r="BC223" s="169"/>
      <c r="BD223" s="169"/>
      <c r="BE223" s="169"/>
      <c r="BF223" s="169"/>
    </row>
    <row r="224" spans="1:58" ht="31.5" outlineLevel="2" x14ac:dyDescent="0.25">
      <c r="A224" s="115"/>
      <c r="B224" s="200"/>
      <c r="C224" s="201"/>
      <c r="D224" s="344"/>
      <c r="E224" s="328"/>
      <c r="F224" s="328"/>
      <c r="G224" s="328"/>
      <c r="H224" s="199" t="s">
        <v>254</v>
      </c>
      <c r="I224" s="130"/>
      <c r="J224" s="126"/>
      <c r="K224" s="126"/>
      <c r="L224" s="125" t="str">
        <f>IF(I224&lt;&gt;0,((VLOOKUP(I224,'1. Standard_Cost'!$B$4:$D$11,2)+VLOOKUP(I224,'1. Standard_Cost'!$B$4:$D$11,3))*J224*K224),"0")</f>
        <v>0</v>
      </c>
      <c r="M224" s="125">
        <f>L224*'1. Standard_Cost'!$F$4</f>
        <v>0</v>
      </c>
      <c r="N224" s="126"/>
      <c r="O224" s="126"/>
      <c r="P224" s="126"/>
      <c r="Q224" s="126"/>
      <c r="R224" s="127">
        <f>'1. Standard_Cost'!$B$15*N224*P224</f>
        <v>0</v>
      </c>
      <c r="S224" s="127">
        <f>N224*O224*P224*'1. Standard_Cost'!$C$15</f>
        <v>0</v>
      </c>
      <c r="T224" s="127">
        <f>N224*P224*Q224*'1. Standard_Cost'!$D$15</f>
        <v>0</v>
      </c>
      <c r="U224" s="127">
        <f>N224*O224*'1. Standard_Cost'!$E$15</f>
        <v>0</v>
      </c>
      <c r="V224" s="126"/>
      <c r="W224" s="126"/>
      <c r="X224" s="126"/>
      <c r="Y224" s="127">
        <f>+V224*((X224*'1. Standard_Cost'!$B$19)+(W224*X224*'1. Standard_Cost'!$C$19))</f>
        <v>0</v>
      </c>
      <c r="Z224" s="126"/>
      <c r="AA224" s="126"/>
      <c r="AB224" s="127">
        <f>+Z224*'1. Standard_Cost'!$B$23+AA224*'1. Standard_Cost'!$C$23</f>
        <v>0</v>
      </c>
      <c r="AC224" s="128"/>
      <c r="AD224" s="129"/>
      <c r="AE224" s="127">
        <f>SUM(AD224,AC224,AB224,Y224,U224,T224,S224,R224)*'1. Standard_Cost'!$B$31</f>
        <v>0</v>
      </c>
      <c r="AF224" s="127">
        <f>SUM(AE224,AD224,AC224,AB224,Y224,U224,T224,S224,R224)</f>
        <v>0</v>
      </c>
      <c r="AG224" s="126"/>
      <c r="AH224" s="126"/>
      <c r="AI224" s="126"/>
      <c r="AJ224" s="130"/>
      <c r="AK224" s="130"/>
      <c r="AL224" s="130"/>
      <c r="AM224" s="127">
        <f>AG224*'1. Standard_Cost'!$B$27+'Incremental_Cost Year 10'!AH224*'1. Standard_Cost'!$C$27+'Incremental_Cost Year 10'!AI224*'1. Standard_Cost'!$D$27+'Incremental_Cost Year 10'!AJ224+'Incremental_Cost Year 10'!AL224+AK224</f>
        <v>0</v>
      </c>
      <c r="AN224" s="127">
        <f>AM224*'1. Standard_Cost'!$C$31</f>
        <v>0</v>
      </c>
      <c r="AO224" s="130"/>
      <c r="AQ224" s="171">
        <f>L224+M224</f>
        <v>0</v>
      </c>
      <c r="AR224" s="171">
        <f>AF224</f>
        <v>0</v>
      </c>
      <c r="AS224" s="171">
        <f>AM224+AN224</f>
        <v>0</v>
      </c>
      <c r="AT224" s="171">
        <f>SUM(AQ224,AR224,AS224)</f>
        <v>0</v>
      </c>
      <c r="AU224" s="250"/>
      <c r="AV224" s="250"/>
      <c r="AW224" s="250"/>
      <c r="AX224" s="250"/>
      <c r="AY224" s="250"/>
      <c r="AZ224" s="250"/>
      <c r="BA224" s="250"/>
      <c r="BB224" s="251">
        <f t="shared" si="151"/>
        <v>0</v>
      </c>
      <c r="BC224" s="169"/>
      <c r="BD224" s="169"/>
      <c r="BE224" s="169"/>
      <c r="BF224" s="169"/>
    </row>
    <row r="225" spans="1:58" ht="47.25" outlineLevel="1" x14ac:dyDescent="0.25">
      <c r="A225" s="115"/>
      <c r="B225" s="165"/>
      <c r="C225" s="166"/>
      <c r="D225" s="150" t="s">
        <v>240</v>
      </c>
      <c r="E225" s="212" t="s">
        <v>255</v>
      </c>
      <c r="F225" s="142">
        <v>2021</v>
      </c>
      <c r="G225" s="209">
        <v>2022</v>
      </c>
      <c r="H225" s="150" t="s">
        <v>256</v>
      </c>
      <c r="I225" s="252"/>
      <c r="J225" s="252"/>
      <c r="K225" s="252"/>
      <c r="L225" s="127">
        <f>SUM(L222:L224)</f>
        <v>0</v>
      </c>
      <c r="M225" s="127">
        <f>SUM(M222:M224)</f>
        <v>0</v>
      </c>
      <c r="N225" s="252"/>
      <c r="O225" s="252"/>
      <c r="P225" s="252"/>
      <c r="Q225" s="252"/>
      <c r="R225" s="127">
        <f>SUM(R222:R224)</f>
        <v>0</v>
      </c>
      <c r="S225" s="127">
        <f>SUM(S222:S224)</f>
        <v>0</v>
      </c>
      <c r="T225" s="127">
        <f>SUM(T222:T224)</f>
        <v>0</v>
      </c>
      <c r="U225" s="127">
        <f>SUM(U222:U224)</f>
        <v>0</v>
      </c>
      <c r="V225" s="252"/>
      <c r="W225" s="252"/>
      <c r="X225" s="252"/>
      <c r="Y225" s="127">
        <f>SUM(Y222:Y224)</f>
        <v>0</v>
      </c>
      <c r="Z225" s="127"/>
      <c r="AA225" s="252"/>
      <c r="AB225" s="127">
        <f>SUM(AB222:AB224)</f>
        <v>0</v>
      </c>
      <c r="AC225" s="127">
        <f>SUM(AC222:AC224)</f>
        <v>0</v>
      </c>
      <c r="AD225" s="127">
        <f>SUM(AD222:AD224)</f>
        <v>0</v>
      </c>
      <c r="AE225" s="127">
        <f>SUM(AE222:AE224)</f>
        <v>0</v>
      </c>
      <c r="AF225" s="127">
        <f>SUM(AF222:AF224)</f>
        <v>0</v>
      </c>
      <c r="AG225" s="252"/>
      <c r="AH225" s="252"/>
      <c r="AI225" s="252"/>
      <c r="AJ225" s="127">
        <f>SUM(AJ222:AJ224)</f>
        <v>0</v>
      </c>
      <c r="AK225" s="127">
        <f>SUM(AK222:AK224)</f>
        <v>0</v>
      </c>
      <c r="AL225" s="127">
        <f>SUM(AL222:AL224)</f>
        <v>0</v>
      </c>
      <c r="AM225" s="127">
        <f>SUM(AM222:AM224)</f>
        <v>0</v>
      </c>
      <c r="AN225" s="127">
        <f>SUM(AN222:AN224)</f>
        <v>0</v>
      </c>
      <c r="AO225" s="253"/>
      <c r="AP225" s="254"/>
      <c r="AQ225" s="175">
        <f>SUM(AQ222:AQ224)</f>
        <v>0</v>
      </c>
      <c r="AR225" s="175">
        <f>SUM(AR222:AR224)</f>
        <v>0</v>
      </c>
      <c r="AS225" s="175">
        <f>SUM(AS222:AS224)</f>
        <v>0</v>
      </c>
      <c r="AT225" s="175">
        <f>SUM(AT222:AT224)</f>
        <v>0</v>
      </c>
      <c r="AU225" s="175">
        <f t="shared" ref="AU225:BB225" si="152">SUM(AU222:AU224)</f>
        <v>0</v>
      </c>
      <c r="AV225" s="175">
        <f t="shared" si="152"/>
        <v>0</v>
      </c>
      <c r="AW225" s="175">
        <f t="shared" si="152"/>
        <v>0</v>
      </c>
      <c r="AX225" s="175">
        <f t="shared" si="152"/>
        <v>0</v>
      </c>
      <c r="AY225" s="175">
        <f t="shared" si="152"/>
        <v>0</v>
      </c>
      <c r="AZ225" s="175">
        <f t="shared" si="152"/>
        <v>0</v>
      </c>
      <c r="BA225" s="175">
        <f t="shared" si="152"/>
        <v>0</v>
      </c>
      <c r="BB225" s="175">
        <f t="shared" si="152"/>
        <v>0</v>
      </c>
      <c r="BC225" s="169"/>
      <c r="BD225" s="169"/>
      <c r="BE225" s="169"/>
      <c r="BF225" s="169"/>
    </row>
    <row r="226" spans="1:58" s="184" customFormat="1" ht="15.75" customHeight="1" x14ac:dyDescent="0.25">
      <c r="A226" s="143"/>
      <c r="B226" s="332"/>
      <c r="C226" s="397" t="s">
        <v>257</v>
      </c>
      <c r="D226" s="397"/>
      <c r="E226" s="398"/>
      <c r="F226" s="291"/>
      <c r="G226" s="340"/>
      <c r="H226" s="144" t="s">
        <v>301</v>
      </c>
      <c r="I226" s="257"/>
      <c r="J226" s="257"/>
      <c r="K226" s="257"/>
      <c r="L226" s="258">
        <f>SUM(L231)</f>
        <v>70644171.428571418</v>
      </c>
      <c r="M226" s="258">
        <f>SUM(M231)</f>
        <v>11797576.628571428</v>
      </c>
      <c r="N226" s="257"/>
      <c r="O226" s="257"/>
      <c r="P226" s="257"/>
      <c r="Q226" s="257"/>
      <c r="R226" s="258">
        <f>SUM(R231)</f>
        <v>0</v>
      </c>
      <c r="S226" s="258">
        <f>SUM(S231)</f>
        <v>0</v>
      </c>
      <c r="T226" s="258">
        <f>SUM(T231)</f>
        <v>0</v>
      </c>
      <c r="U226" s="258">
        <f>SUM(U231)</f>
        <v>0</v>
      </c>
      <c r="V226" s="257"/>
      <c r="W226" s="257"/>
      <c r="X226" s="257"/>
      <c r="Y226" s="258">
        <f>SUM(Y231)</f>
        <v>0</v>
      </c>
      <c r="Z226" s="258"/>
      <c r="AA226" s="258"/>
      <c r="AB226" s="258">
        <f>SUM(AB231)</f>
        <v>0</v>
      </c>
      <c r="AC226" s="258">
        <f>SUM(AC231)</f>
        <v>300000</v>
      </c>
      <c r="AD226" s="258">
        <f>SUM(AD231)</f>
        <v>0</v>
      </c>
      <c r="AE226" s="258">
        <f>SUM(AE231)</f>
        <v>60000</v>
      </c>
      <c r="AF226" s="258">
        <f>SUM(AF231)</f>
        <v>360000</v>
      </c>
      <c r="AG226" s="257"/>
      <c r="AH226" s="257"/>
      <c r="AI226" s="257"/>
      <c r="AJ226" s="258">
        <f>SUM(AJ231)</f>
        <v>0</v>
      </c>
      <c r="AK226" s="258">
        <f>SUM(AK231)</f>
        <v>0</v>
      </c>
      <c r="AL226" s="258">
        <f>SUM(AL231)</f>
        <v>0</v>
      </c>
      <c r="AM226" s="258">
        <f>SUM(AM231)</f>
        <v>0</v>
      </c>
      <c r="AN226" s="258">
        <f>SUM(AN231)</f>
        <v>0</v>
      </c>
      <c r="AO226" s="259"/>
      <c r="AP226" s="260"/>
      <c r="AQ226" s="261">
        <f>SUM(AQ231)</f>
        <v>82441748.057142854</v>
      </c>
      <c r="AR226" s="261">
        <f>SUM(AR231)</f>
        <v>360000</v>
      </c>
      <c r="AS226" s="261">
        <f>SUM(AS231)</f>
        <v>0</v>
      </c>
      <c r="AT226" s="261">
        <f>SUM(AT231)</f>
        <v>82801748.057142854</v>
      </c>
      <c r="AU226" s="261">
        <f t="shared" ref="AU226:BB226" si="153">SUM(AU231)</f>
        <v>82801748.057142854</v>
      </c>
      <c r="AV226" s="261">
        <f t="shared" si="153"/>
        <v>0</v>
      </c>
      <c r="AW226" s="261">
        <f t="shared" si="153"/>
        <v>0</v>
      </c>
      <c r="AX226" s="261">
        <f t="shared" si="153"/>
        <v>0</v>
      </c>
      <c r="AY226" s="261">
        <f t="shared" si="153"/>
        <v>0</v>
      </c>
      <c r="AZ226" s="261">
        <f t="shared" si="153"/>
        <v>0</v>
      </c>
      <c r="BA226" s="261">
        <f t="shared" si="153"/>
        <v>0</v>
      </c>
      <c r="BB226" s="261">
        <f t="shared" si="153"/>
        <v>0</v>
      </c>
    </row>
    <row r="227" spans="1:58" ht="63" outlineLevel="2" x14ac:dyDescent="0.25">
      <c r="A227" s="115"/>
      <c r="B227" s="200"/>
      <c r="C227" s="201"/>
      <c r="D227" s="210"/>
      <c r="E227" s="328"/>
      <c r="F227" s="328"/>
      <c r="G227" s="328"/>
      <c r="H227" s="199" t="s">
        <v>517</v>
      </c>
      <c r="I227" s="130" t="s">
        <v>1</v>
      </c>
      <c r="J227" s="126">
        <v>12</v>
      </c>
      <c r="K227" s="126">
        <v>72</v>
      </c>
      <c r="L227" s="125">
        <f>IF(I227&lt;&gt;0,((VLOOKUP(I227,'1. Standard_Cost'!$B$4:$D$11,2)+VLOOKUP(I227,'1. Standard_Cost'!$B$4:$D$11,3))*J227*K227),"0")</f>
        <v>62029028.571428567</v>
      </c>
      <c r="M227" s="125">
        <f>L227*'1. Standard_Cost'!$F$4</f>
        <v>10358847.771428572</v>
      </c>
      <c r="N227" s="126"/>
      <c r="O227" s="126"/>
      <c r="P227" s="126"/>
      <c r="Q227" s="126"/>
      <c r="R227" s="127">
        <f>'1. Standard_Cost'!$B$15*N227*P227</f>
        <v>0</v>
      </c>
      <c r="S227" s="127">
        <f>N227*O227*P227*'1. Standard_Cost'!$C$15</f>
        <v>0</v>
      </c>
      <c r="T227" s="127">
        <f>N227*P227*Q227*'1. Standard_Cost'!$D$15</f>
        <v>0</v>
      </c>
      <c r="U227" s="127">
        <f>N227*O227*'1. Standard_Cost'!$E$15</f>
        <v>0</v>
      </c>
      <c r="V227" s="126"/>
      <c r="W227" s="126"/>
      <c r="X227" s="126"/>
      <c r="Y227" s="127">
        <f>+V227*((X227*'1. Standard_Cost'!$B$19)+(W227*X227*'1. Standard_Cost'!$C$19))</f>
        <v>0</v>
      </c>
      <c r="Z227" s="126"/>
      <c r="AA227" s="126"/>
      <c r="AB227" s="127">
        <f>+Z227*'1. Standard_Cost'!$B$23+AA227*'1. Standard_Cost'!$C$23</f>
        <v>0</v>
      </c>
      <c r="AC227" s="128"/>
      <c r="AD227" s="129"/>
      <c r="AE227" s="127">
        <f>SUM(AD227,AC227,AB227,Y227,U227,T227,S227,R227)*'1. Standard_Cost'!$B$31</f>
        <v>0</v>
      </c>
      <c r="AF227" s="127">
        <f>SUM(AE227,AD227,AC227,AB227,Y227,U227,T227,S227,R227)</f>
        <v>0</v>
      </c>
      <c r="AG227" s="126"/>
      <c r="AH227" s="126"/>
      <c r="AI227" s="126"/>
      <c r="AJ227" s="130"/>
      <c r="AK227" s="130"/>
      <c r="AL227" s="130"/>
      <c r="AM227" s="127">
        <f>AG227*'1. Standard_Cost'!$B$27+'Incremental_Cost Year 10'!AH227*'1. Standard_Cost'!$C$27+'Incremental_Cost Year 10'!AI227*'1. Standard_Cost'!$D$27+'Incremental_Cost Year 10'!AJ227+'Incremental_Cost Year 10'!AL227+AK227</f>
        <v>0</v>
      </c>
      <c r="AN227" s="127">
        <f>AM227*'1. Standard_Cost'!$C$31</f>
        <v>0</v>
      </c>
      <c r="AO227" s="130"/>
      <c r="AQ227" s="171">
        <f>L227+M227</f>
        <v>72387876.342857137</v>
      </c>
      <c r="AR227" s="171">
        <f>AF227</f>
        <v>0</v>
      </c>
      <c r="AS227" s="171">
        <f>AM227+AN227</f>
        <v>0</v>
      </c>
      <c r="AT227" s="171">
        <f>SUM(AQ227,AR227,AS227)</f>
        <v>72387876.342857137</v>
      </c>
      <c r="AU227" s="250">
        <f>AT227</f>
        <v>72387876.342857137</v>
      </c>
      <c r="AV227" s="250"/>
      <c r="AW227" s="250"/>
      <c r="AX227" s="250"/>
      <c r="AY227" s="250"/>
      <c r="AZ227" s="250"/>
      <c r="BA227" s="250"/>
      <c r="BB227" s="251">
        <f t="shared" ref="BB227:BB230" si="154">SUM(AU227:BA227)-AT227</f>
        <v>0</v>
      </c>
      <c r="BC227" s="169"/>
      <c r="BD227" s="169"/>
      <c r="BE227" s="169"/>
      <c r="BF227" s="169"/>
    </row>
    <row r="228" spans="1:58" ht="94.5" outlineLevel="2" x14ac:dyDescent="0.25">
      <c r="A228" s="115"/>
      <c r="B228" s="200"/>
      <c r="C228" s="201"/>
      <c r="D228" s="203"/>
      <c r="E228" s="328"/>
      <c r="F228" s="328"/>
      <c r="G228" s="328"/>
      <c r="H228" s="199" t="s">
        <v>518</v>
      </c>
      <c r="I228" s="130" t="s">
        <v>1</v>
      </c>
      <c r="J228" s="126">
        <v>12</v>
      </c>
      <c r="K228" s="126">
        <v>10</v>
      </c>
      <c r="L228" s="125">
        <f>IF(I228&lt;&gt;0,((VLOOKUP(I228,'1. Standard_Cost'!$B$4:$D$11,2)+VLOOKUP(I228,'1. Standard_Cost'!$B$4:$D$11,3))*J228*K228),"0")</f>
        <v>8615142.8571428563</v>
      </c>
      <c r="M228" s="125">
        <f>L228*'1. Standard_Cost'!$F$4</f>
        <v>1438728.857142857</v>
      </c>
      <c r="N228" s="126"/>
      <c r="O228" s="126"/>
      <c r="P228" s="126"/>
      <c r="Q228" s="126"/>
      <c r="R228" s="127">
        <f>'1. Standard_Cost'!$B$15*N228*P228</f>
        <v>0</v>
      </c>
      <c r="S228" s="127">
        <f>N228*O228*P228*'1. Standard_Cost'!$C$15</f>
        <v>0</v>
      </c>
      <c r="T228" s="127">
        <f>N228*P228*Q228*'1. Standard_Cost'!$D$15</f>
        <v>0</v>
      </c>
      <c r="U228" s="127">
        <f>N228*O228*'1. Standard_Cost'!$E$15</f>
        <v>0</v>
      </c>
      <c r="V228" s="126"/>
      <c r="W228" s="126"/>
      <c r="X228" s="126"/>
      <c r="Y228" s="127">
        <f>+V228*((X228*'1. Standard_Cost'!$B$19)+(W228*X228*'1. Standard_Cost'!$C$19))</f>
        <v>0</v>
      </c>
      <c r="Z228" s="126"/>
      <c r="AA228" s="126"/>
      <c r="AB228" s="127">
        <f>+Z228*'1. Standard_Cost'!$B$23+AA228*'1. Standard_Cost'!$C$23</f>
        <v>0</v>
      </c>
      <c r="AC228" s="128">
        <f>300000</f>
        <v>300000</v>
      </c>
      <c r="AD228" s="129"/>
      <c r="AE228" s="127">
        <f>SUM(AD228,AC228,AB228,Y228,U228,T228,S228,R228)*'1. Standard_Cost'!$B$31</f>
        <v>60000</v>
      </c>
      <c r="AF228" s="127">
        <f>SUM(AE228,AD228,AC228,AB228,Y228,U228,T228,S228,R228)</f>
        <v>360000</v>
      </c>
      <c r="AG228" s="126"/>
      <c r="AH228" s="126"/>
      <c r="AI228" s="126"/>
      <c r="AJ228" s="130"/>
      <c r="AK228" s="130"/>
      <c r="AL228" s="130"/>
      <c r="AM228" s="127">
        <f>AG228*'1. Standard_Cost'!$B$27+'Incremental_Cost Year 10'!AH228*'1. Standard_Cost'!$C$27+'Incremental_Cost Year 10'!AI228*'1. Standard_Cost'!$D$27+'Incremental_Cost Year 10'!AJ228+'Incremental_Cost Year 10'!AL228+AK228</f>
        <v>0</v>
      </c>
      <c r="AN228" s="127">
        <f>AM228*'1. Standard_Cost'!$C$31</f>
        <v>0</v>
      </c>
      <c r="AO228" s="130"/>
      <c r="AQ228" s="171">
        <f>L228+M228</f>
        <v>10053871.714285713</v>
      </c>
      <c r="AR228" s="171">
        <f>AF228</f>
        <v>360000</v>
      </c>
      <c r="AS228" s="171">
        <f>AM228+AN228</f>
        <v>0</v>
      </c>
      <c r="AT228" s="171">
        <f>SUM(AQ228,AR228,AS228)</f>
        <v>10413871.714285713</v>
      </c>
      <c r="AU228" s="250">
        <f>AT228</f>
        <v>10413871.714285713</v>
      </c>
      <c r="AV228" s="250"/>
      <c r="AW228" s="250"/>
      <c r="AX228" s="250"/>
      <c r="AY228" s="250"/>
      <c r="AZ228" s="250"/>
      <c r="BA228" s="250"/>
      <c r="BB228" s="251">
        <f t="shared" si="154"/>
        <v>0</v>
      </c>
      <c r="BC228" s="169"/>
      <c r="BD228" s="169"/>
      <c r="BE228" s="169"/>
      <c r="BF228" s="169"/>
    </row>
    <row r="229" spans="1:58" ht="110.25" outlineLevel="2" x14ac:dyDescent="0.25">
      <c r="A229" s="115"/>
      <c r="B229" s="200"/>
      <c r="C229" s="201"/>
      <c r="D229" s="203"/>
      <c r="E229" s="328"/>
      <c r="F229" s="328"/>
      <c r="G229" s="328"/>
      <c r="H229" s="199" t="s">
        <v>519</v>
      </c>
      <c r="I229" s="130"/>
      <c r="J229" s="126"/>
      <c r="K229" s="126"/>
      <c r="L229" s="125" t="str">
        <f>IF(I229&lt;&gt;0,((VLOOKUP(I229,'1. Standard_Cost'!$B$4:$D$11,2)+VLOOKUP(I229,'1. Standard_Cost'!$B$4:$D$11,3))*J229*K229),"0")</f>
        <v>0</v>
      </c>
      <c r="M229" s="125">
        <f>L229*'1. Standard_Cost'!$F$4</f>
        <v>0</v>
      </c>
      <c r="N229" s="126"/>
      <c r="O229" s="126"/>
      <c r="P229" s="126"/>
      <c r="Q229" s="126"/>
      <c r="R229" s="127">
        <f>'1. Standard_Cost'!$B$15*N229*P229</f>
        <v>0</v>
      </c>
      <c r="S229" s="127">
        <f>N229*O229*P229*'1. Standard_Cost'!$C$15</f>
        <v>0</v>
      </c>
      <c r="T229" s="127">
        <f>N229*P229*Q229*'1. Standard_Cost'!$D$15</f>
        <v>0</v>
      </c>
      <c r="U229" s="127">
        <f>N229*O229*'1. Standard_Cost'!$E$15</f>
        <v>0</v>
      </c>
      <c r="V229" s="126"/>
      <c r="W229" s="126"/>
      <c r="X229" s="126"/>
      <c r="Y229" s="127">
        <f>+V229*((X229*'1. Standard_Cost'!$B$19)+(W229*X229*'1. Standard_Cost'!$C$19))</f>
        <v>0</v>
      </c>
      <c r="Z229" s="126"/>
      <c r="AA229" s="126"/>
      <c r="AB229" s="127">
        <f>+Z229*'1. Standard_Cost'!$B$23+AA229*'1. Standard_Cost'!$C$23</f>
        <v>0</v>
      </c>
      <c r="AC229" s="128"/>
      <c r="AD229" s="129"/>
      <c r="AE229" s="127">
        <f>SUM(AD229,AC229,AB229,Y229,U229,T229,S229,R229)*'1. Standard_Cost'!$B$31</f>
        <v>0</v>
      </c>
      <c r="AF229" s="127">
        <f>SUM(AE229,AD229,AC229,AB229,Y229,U229,T229,S229,R229)</f>
        <v>0</v>
      </c>
      <c r="AG229" s="126"/>
      <c r="AH229" s="126"/>
      <c r="AI229" s="126"/>
      <c r="AJ229" s="130"/>
      <c r="AK229" s="130"/>
      <c r="AL229" s="130"/>
      <c r="AM229" s="127">
        <f>AG229*'1. Standard_Cost'!$B$27+'Incremental_Cost Year 10'!AH229*'1. Standard_Cost'!$C$27+'Incremental_Cost Year 10'!AI229*'1. Standard_Cost'!$D$27+'Incremental_Cost Year 10'!AJ229+'Incremental_Cost Year 10'!AL229+AK229</f>
        <v>0</v>
      </c>
      <c r="AN229" s="127">
        <f>AM229*'1. Standard_Cost'!$C$31</f>
        <v>0</v>
      </c>
      <c r="AO229" s="130"/>
      <c r="AQ229" s="171">
        <f>L229+M229</f>
        <v>0</v>
      </c>
      <c r="AR229" s="171">
        <f>AF229</f>
        <v>0</v>
      </c>
      <c r="AS229" s="171">
        <f>AM229+AN229</f>
        <v>0</v>
      </c>
      <c r="AT229" s="171">
        <f>SUM(AQ229,AR229,AS229)</f>
        <v>0</v>
      </c>
      <c r="AU229" s="250">
        <f>AQ229</f>
        <v>0</v>
      </c>
      <c r="AV229" s="250"/>
      <c r="AW229" s="250"/>
      <c r="AX229" s="250"/>
      <c r="AY229" s="250"/>
      <c r="AZ229" s="250"/>
      <c r="BA229" s="250"/>
      <c r="BB229" s="251">
        <f t="shared" si="154"/>
        <v>0</v>
      </c>
      <c r="BC229" s="169"/>
      <c r="BD229" s="169"/>
      <c r="BE229" s="169"/>
      <c r="BF229" s="169"/>
    </row>
    <row r="230" spans="1:58" ht="110.25" outlineLevel="2" x14ac:dyDescent="0.25">
      <c r="A230" s="115"/>
      <c r="B230" s="200"/>
      <c r="C230" s="201"/>
      <c r="D230" s="133"/>
      <c r="E230" s="328"/>
      <c r="F230" s="328"/>
      <c r="G230" s="328"/>
      <c r="H230" s="199" t="s">
        <v>520</v>
      </c>
      <c r="I230" s="130"/>
      <c r="J230" s="126"/>
      <c r="K230" s="126"/>
      <c r="L230" s="125" t="str">
        <f>IF(I230&lt;&gt;0,((VLOOKUP(I230,'1. Standard_Cost'!$B$4:$D$11,2)+VLOOKUP(I230,'1. Standard_Cost'!$B$4:$D$11,3))*J230*K230),"0")</f>
        <v>0</v>
      </c>
      <c r="M230" s="125">
        <f>L230*'1. Standard_Cost'!$F$4</f>
        <v>0</v>
      </c>
      <c r="N230" s="126"/>
      <c r="O230" s="126"/>
      <c r="P230" s="126"/>
      <c r="Q230" s="126"/>
      <c r="R230" s="127">
        <f>'1. Standard_Cost'!$B$15*N230*P230</f>
        <v>0</v>
      </c>
      <c r="S230" s="127">
        <f>N230*O230*P230*'1. Standard_Cost'!$C$15</f>
        <v>0</v>
      </c>
      <c r="T230" s="127">
        <f>N230*P230*Q230*'1. Standard_Cost'!$D$15</f>
        <v>0</v>
      </c>
      <c r="U230" s="127">
        <f>N230*O230*'1. Standard_Cost'!$E$15</f>
        <v>0</v>
      </c>
      <c r="V230" s="126"/>
      <c r="W230" s="126"/>
      <c r="X230" s="126"/>
      <c r="Y230" s="127">
        <f>+V230*((X230*'1. Standard_Cost'!$B$19)+(W230*X230*'1. Standard_Cost'!$C$19))</f>
        <v>0</v>
      </c>
      <c r="Z230" s="126"/>
      <c r="AA230" s="126"/>
      <c r="AB230" s="127">
        <f>+Z230*'1. Standard_Cost'!$B$23+AA230*'1. Standard_Cost'!$C$23</f>
        <v>0</v>
      </c>
      <c r="AC230" s="128"/>
      <c r="AD230" s="129"/>
      <c r="AE230" s="127">
        <f>SUM(AD230,AC230,AB230,Y230,U230,T230,S230,R230)*'1. Standard_Cost'!$B$31</f>
        <v>0</v>
      </c>
      <c r="AF230" s="127">
        <f>SUM(AE230,AD230,AC230,AB230,Y230,U230,T230,S230,R230)</f>
        <v>0</v>
      </c>
      <c r="AG230" s="126"/>
      <c r="AH230" s="126"/>
      <c r="AI230" s="126"/>
      <c r="AJ230" s="130"/>
      <c r="AK230" s="130"/>
      <c r="AL230" s="130"/>
      <c r="AM230" s="127">
        <f>AG230*'1. Standard_Cost'!$B$27+'Incremental_Cost Year 10'!AH230*'1. Standard_Cost'!$C$27+'Incremental_Cost Year 10'!AI230*'1. Standard_Cost'!$D$27+'Incremental_Cost Year 10'!AJ230+'Incremental_Cost Year 10'!AL230+AK230</f>
        <v>0</v>
      </c>
      <c r="AN230" s="127">
        <f>AM230*'1. Standard_Cost'!$C$31</f>
        <v>0</v>
      </c>
      <c r="AO230" s="130"/>
      <c r="AQ230" s="171">
        <f>L230+M230</f>
        <v>0</v>
      </c>
      <c r="AR230" s="171">
        <f>AF230</f>
        <v>0</v>
      </c>
      <c r="AS230" s="171">
        <f>AM230+AN230</f>
        <v>0</v>
      </c>
      <c r="AT230" s="171">
        <f>SUM(AQ230,AR230,AS230)</f>
        <v>0</v>
      </c>
      <c r="AU230" s="250">
        <f>AQ230</f>
        <v>0</v>
      </c>
      <c r="AV230" s="250"/>
      <c r="AW230" s="250"/>
      <c r="AX230" s="250"/>
      <c r="AY230" s="250"/>
      <c r="AZ230" s="250"/>
      <c r="BA230" s="250"/>
      <c r="BB230" s="251">
        <f t="shared" si="154"/>
        <v>0</v>
      </c>
      <c r="BC230" s="169"/>
      <c r="BD230" s="169"/>
      <c r="BE230" s="169"/>
      <c r="BF230" s="169"/>
    </row>
    <row r="231" spans="1:58" ht="63" outlineLevel="1" x14ac:dyDescent="0.25">
      <c r="A231" s="115"/>
      <c r="B231" s="165"/>
      <c r="C231" s="166"/>
      <c r="D231" s="107" t="s">
        <v>507</v>
      </c>
      <c r="E231" s="212" t="s">
        <v>259</v>
      </c>
      <c r="F231" s="142">
        <v>2021</v>
      </c>
      <c r="G231" s="209">
        <v>2025</v>
      </c>
      <c r="H231" s="150" t="s">
        <v>260</v>
      </c>
      <c r="I231" s="252"/>
      <c r="J231" s="252"/>
      <c r="K231" s="252"/>
      <c r="L231" s="127">
        <f>SUM(L227:L230)</f>
        <v>70644171.428571418</v>
      </c>
      <c r="M231" s="127">
        <f>SUM(M227:M230)</f>
        <v>11797576.628571428</v>
      </c>
      <c r="N231" s="252"/>
      <c r="O231" s="252"/>
      <c r="P231" s="252"/>
      <c r="Q231" s="252"/>
      <c r="R231" s="127">
        <f>SUM(R227:R230)</f>
        <v>0</v>
      </c>
      <c r="S231" s="127">
        <f>SUM(S227:S230)</f>
        <v>0</v>
      </c>
      <c r="T231" s="127">
        <f>SUM(T227:T230)</f>
        <v>0</v>
      </c>
      <c r="U231" s="127">
        <f>SUM(U227:U230)</f>
        <v>0</v>
      </c>
      <c r="V231" s="252"/>
      <c r="W231" s="252"/>
      <c r="X231" s="252"/>
      <c r="Y231" s="127">
        <f>SUM(Y227:Y230)</f>
        <v>0</v>
      </c>
      <c r="Z231" s="127"/>
      <c r="AA231" s="252"/>
      <c r="AB231" s="127">
        <f>SUM(AB227:AB230)</f>
        <v>0</v>
      </c>
      <c r="AC231" s="127">
        <f>SUM(AC227:AC230)</f>
        <v>300000</v>
      </c>
      <c r="AD231" s="127">
        <f>SUM(AD227:AD230)</f>
        <v>0</v>
      </c>
      <c r="AE231" s="127">
        <f>SUM(AE227:AE230)</f>
        <v>60000</v>
      </c>
      <c r="AF231" s="127">
        <f>SUM(AF227:AF230)</f>
        <v>360000</v>
      </c>
      <c r="AG231" s="252"/>
      <c r="AH231" s="252"/>
      <c r="AI231" s="252"/>
      <c r="AJ231" s="127">
        <f>SUM(AJ227:AJ230)</f>
        <v>0</v>
      </c>
      <c r="AK231" s="127">
        <f>SUM(AK227:AK230)</f>
        <v>0</v>
      </c>
      <c r="AL231" s="127">
        <f>SUM(AL227:AL230)</f>
        <v>0</v>
      </c>
      <c r="AM231" s="127">
        <f>SUM(AM227:AM230)</f>
        <v>0</v>
      </c>
      <c r="AN231" s="127">
        <f>SUM(AN227:AN230)</f>
        <v>0</v>
      </c>
      <c r="AO231" s="253"/>
      <c r="AP231" s="254"/>
      <c r="AQ231" s="175">
        <f>SUM(AQ227:AQ230)</f>
        <v>82441748.057142854</v>
      </c>
      <c r="AR231" s="175">
        <f>SUM(AR227:AR230)</f>
        <v>360000</v>
      </c>
      <c r="AS231" s="175">
        <f>SUM(AS227:AS230)</f>
        <v>0</v>
      </c>
      <c r="AT231" s="175">
        <f>SUM(AT227:AT230)</f>
        <v>82801748.057142854</v>
      </c>
      <c r="AU231" s="175">
        <f t="shared" ref="AU231:BB231" si="155">SUM(AU227:AU230)</f>
        <v>82801748.057142854</v>
      </c>
      <c r="AV231" s="175">
        <f t="shared" si="155"/>
        <v>0</v>
      </c>
      <c r="AW231" s="175">
        <f t="shared" si="155"/>
        <v>0</v>
      </c>
      <c r="AX231" s="175">
        <f t="shared" si="155"/>
        <v>0</v>
      </c>
      <c r="AY231" s="175">
        <f t="shared" si="155"/>
        <v>0</v>
      </c>
      <c r="AZ231" s="175">
        <f t="shared" si="155"/>
        <v>0</v>
      </c>
      <c r="BA231" s="175">
        <f t="shared" si="155"/>
        <v>0</v>
      </c>
      <c r="BB231" s="175">
        <f t="shared" si="155"/>
        <v>0</v>
      </c>
      <c r="BC231" s="169"/>
      <c r="BD231" s="169"/>
      <c r="BE231" s="169"/>
      <c r="BF231" s="169"/>
    </row>
    <row r="232" spans="1:58" s="184" customFormat="1" ht="15.75" customHeight="1" x14ac:dyDescent="0.25">
      <c r="A232" s="143"/>
      <c r="B232" s="332"/>
      <c r="C232" s="397" t="s">
        <v>261</v>
      </c>
      <c r="D232" s="397"/>
      <c r="E232" s="398"/>
      <c r="F232" s="291"/>
      <c r="G232" s="340"/>
      <c r="H232" s="144" t="s">
        <v>302</v>
      </c>
      <c r="I232" s="257"/>
      <c r="J232" s="257"/>
      <c r="K232" s="257"/>
      <c r="L232" s="258">
        <f>SUM(L237)</f>
        <v>0</v>
      </c>
      <c r="M232" s="258">
        <f>SUM(M237)</f>
        <v>0</v>
      </c>
      <c r="N232" s="257"/>
      <c r="O232" s="257"/>
      <c r="P232" s="257"/>
      <c r="Q232" s="257"/>
      <c r="R232" s="258">
        <f>SUM(R237)</f>
        <v>0</v>
      </c>
      <c r="S232" s="258">
        <f>SUM(S237)</f>
        <v>0</v>
      </c>
      <c r="T232" s="258">
        <f>SUM(T237)</f>
        <v>0</v>
      </c>
      <c r="U232" s="258">
        <f>SUM(U237)</f>
        <v>0</v>
      </c>
      <c r="V232" s="257"/>
      <c r="W232" s="257"/>
      <c r="X232" s="257"/>
      <c r="Y232" s="258">
        <f>SUM(Y237)</f>
        <v>0</v>
      </c>
      <c r="Z232" s="258"/>
      <c r="AA232" s="258"/>
      <c r="AB232" s="258">
        <f>SUM(AB237)</f>
        <v>0</v>
      </c>
      <c r="AC232" s="258">
        <f>SUM(AC237)</f>
        <v>0</v>
      </c>
      <c r="AD232" s="258">
        <f>SUM(AD237)</f>
        <v>0</v>
      </c>
      <c r="AE232" s="258">
        <f>SUM(AE237)</f>
        <v>0</v>
      </c>
      <c r="AF232" s="258">
        <f>SUM(AF237)</f>
        <v>0</v>
      </c>
      <c r="AG232" s="257"/>
      <c r="AH232" s="257"/>
      <c r="AI232" s="257"/>
      <c r="AJ232" s="258">
        <f>SUM(AJ237)</f>
        <v>0</v>
      </c>
      <c r="AK232" s="258">
        <f>SUM(AK237)</f>
        <v>0</v>
      </c>
      <c r="AL232" s="258">
        <f>SUM(AL237)</f>
        <v>0</v>
      </c>
      <c r="AM232" s="258">
        <f>SUM(AM237)</f>
        <v>0</v>
      </c>
      <c r="AN232" s="258">
        <f>SUM(AN237)</f>
        <v>0</v>
      </c>
      <c r="AO232" s="259"/>
      <c r="AP232" s="260"/>
      <c r="AQ232" s="261">
        <f>SUM(AQ237)</f>
        <v>0</v>
      </c>
      <c r="AR232" s="261">
        <f>SUM(AR237)</f>
        <v>0</v>
      </c>
      <c r="AS232" s="261">
        <f>SUM(AS237)</f>
        <v>0</v>
      </c>
      <c r="AT232" s="261">
        <f>SUM(AT237)</f>
        <v>0</v>
      </c>
      <c r="AU232" s="261">
        <f t="shared" ref="AU232:BB232" si="156">SUM(AU237)</f>
        <v>0</v>
      </c>
      <c r="AV232" s="261">
        <f t="shared" si="156"/>
        <v>0</v>
      </c>
      <c r="AW232" s="261">
        <f t="shared" si="156"/>
        <v>0</v>
      </c>
      <c r="AX232" s="261">
        <f t="shared" si="156"/>
        <v>0</v>
      </c>
      <c r="AY232" s="261">
        <f t="shared" si="156"/>
        <v>0</v>
      </c>
      <c r="AZ232" s="261">
        <f t="shared" si="156"/>
        <v>0</v>
      </c>
      <c r="BA232" s="261">
        <f t="shared" si="156"/>
        <v>0</v>
      </c>
      <c r="BB232" s="261">
        <f t="shared" si="156"/>
        <v>0</v>
      </c>
    </row>
    <row r="233" spans="1:58" ht="94.5" outlineLevel="2" x14ac:dyDescent="0.25">
      <c r="A233" s="115"/>
      <c r="B233" s="200"/>
      <c r="C233" s="201"/>
      <c r="D233" s="342"/>
      <c r="E233" s="328"/>
      <c r="F233" s="328"/>
      <c r="G233" s="328"/>
      <c r="H233" s="213" t="s">
        <v>521</v>
      </c>
      <c r="I233" s="130"/>
      <c r="J233" s="126"/>
      <c r="K233" s="126"/>
      <c r="L233" s="125" t="str">
        <f>IF(I233&lt;&gt;0,((VLOOKUP(I233,'1. Standard_Cost'!$B$4:$D$11,2)+VLOOKUP(I233,'1. Standard_Cost'!$B$4:$D$11,3))*J233*K233),"0")</f>
        <v>0</v>
      </c>
      <c r="M233" s="125">
        <f>L233*'1. Standard_Cost'!$F$4</f>
        <v>0</v>
      </c>
      <c r="N233" s="126"/>
      <c r="O233" s="126"/>
      <c r="P233" s="126"/>
      <c r="Q233" s="126"/>
      <c r="R233" s="127">
        <f>'1. Standard_Cost'!$B$15*N233*P233</f>
        <v>0</v>
      </c>
      <c r="S233" s="127">
        <f>N233*O233*P233*'1. Standard_Cost'!$C$15</f>
        <v>0</v>
      </c>
      <c r="T233" s="127">
        <f>N233*P233*Q233*'1. Standard_Cost'!$D$15</f>
        <v>0</v>
      </c>
      <c r="U233" s="127">
        <f>N233*O233*'1. Standard_Cost'!$E$15</f>
        <v>0</v>
      </c>
      <c r="V233" s="126"/>
      <c r="W233" s="126"/>
      <c r="X233" s="126"/>
      <c r="Y233" s="127">
        <f>+V233*((X233*'1. Standard_Cost'!$B$19)+(W233*X233*'1. Standard_Cost'!$C$19))</f>
        <v>0</v>
      </c>
      <c r="Z233" s="126"/>
      <c r="AA233" s="126"/>
      <c r="AB233" s="127">
        <f>+Z233*'1. Standard_Cost'!$B$23+AA233*'1. Standard_Cost'!$C$23</f>
        <v>0</v>
      </c>
      <c r="AC233" s="128"/>
      <c r="AD233" s="129"/>
      <c r="AE233" s="127">
        <f>SUM(AD233,AC233,AB233,Y233,U233,T233,S233,R233)*'1. Standard_Cost'!$B$31</f>
        <v>0</v>
      </c>
      <c r="AF233" s="127">
        <f>SUM(AE233,AD233,AC233,AB233,Y233,U233,T233,S233,R233)</f>
        <v>0</v>
      </c>
      <c r="AG233" s="126"/>
      <c r="AH233" s="126"/>
      <c r="AI233" s="126"/>
      <c r="AJ233" s="130"/>
      <c r="AK233" s="130"/>
      <c r="AL233" s="130"/>
      <c r="AM233" s="127">
        <f>AG233*'1. Standard_Cost'!$B$27+'Incremental_Cost Year 10'!AH233*'1. Standard_Cost'!$C$27+'Incremental_Cost Year 10'!AI233*'1. Standard_Cost'!$D$27+'Incremental_Cost Year 10'!AJ233+'Incremental_Cost Year 10'!AL233+AK233</f>
        <v>0</v>
      </c>
      <c r="AN233" s="127">
        <f>AM233*'1. Standard_Cost'!$C$31</f>
        <v>0</v>
      </c>
      <c r="AO233" s="130"/>
      <c r="AQ233" s="171">
        <f>L233+M233</f>
        <v>0</v>
      </c>
      <c r="AR233" s="171">
        <f>AF233</f>
        <v>0</v>
      </c>
      <c r="AS233" s="171">
        <f>AM233+AN233</f>
        <v>0</v>
      </c>
      <c r="AT233" s="171">
        <f>SUM(AQ233,AR233,AS233)</f>
        <v>0</v>
      </c>
      <c r="AU233" s="250">
        <f>AT233</f>
        <v>0</v>
      </c>
      <c r="AV233" s="250"/>
      <c r="AW233" s="250"/>
      <c r="AX233" s="250"/>
      <c r="AY233" s="250"/>
      <c r="AZ233" s="250"/>
      <c r="BA233" s="250"/>
      <c r="BB233" s="251">
        <f t="shared" ref="BB233:BB236" si="157">SUM(AU233:BA233)-AT233</f>
        <v>0</v>
      </c>
      <c r="BC233" s="169"/>
      <c r="BD233" s="169"/>
      <c r="BE233" s="169"/>
      <c r="BF233" s="169"/>
    </row>
    <row r="234" spans="1:58" ht="110.25" outlineLevel="2" x14ac:dyDescent="0.25">
      <c r="A234" s="115"/>
      <c r="B234" s="200"/>
      <c r="C234" s="201"/>
      <c r="D234" s="343"/>
      <c r="E234" s="328"/>
      <c r="F234" s="328"/>
      <c r="G234" s="328"/>
      <c r="H234" s="199" t="s">
        <v>522</v>
      </c>
      <c r="I234" s="130"/>
      <c r="J234" s="126"/>
      <c r="K234" s="126"/>
      <c r="L234" s="125" t="str">
        <f>IF(I234&lt;&gt;0,((VLOOKUP(I234,'1. Standard_Cost'!$B$4:$D$11,2)+VLOOKUP(I234,'1. Standard_Cost'!$B$4:$D$11,3))*J234*K234),"0")</f>
        <v>0</v>
      </c>
      <c r="M234" s="125">
        <f>L234*'1. Standard_Cost'!$F$4</f>
        <v>0</v>
      </c>
      <c r="N234" s="126"/>
      <c r="O234" s="126"/>
      <c r="P234" s="126"/>
      <c r="Q234" s="126"/>
      <c r="R234" s="127">
        <f>'1. Standard_Cost'!$B$15*N234*P234</f>
        <v>0</v>
      </c>
      <c r="S234" s="127">
        <f>N234*O234*P234*'1. Standard_Cost'!$C$15</f>
        <v>0</v>
      </c>
      <c r="T234" s="127">
        <f>N234*P234*Q234*'1. Standard_Cost'!$D$15</f>
        <v>0</v>
      </c>
      <c r="U234" s="127">
        <f>N234*O234*'1. Standard_Cost'!$E$15</f>
        <v>0</v>
      </c>
      <c r="V234" s="126"/>
      <c r="W234" s="126"/>
      <c r="X234" s="126"/>
      <c r="Y234" s="127">
        <f>+V234*((X234*'1. Standard_Cost'!$B$19)+(W234*X234*'1. Standard_Cost'!$C$19))</f>
        <v>0</v>
      </c>
      <c r="Z234" s="126"/>
      <c r="AA234" s="126"/>
      <c r="AB234" s="127">
        <f>+Z234*'1. Standard_Cost'!$B$23+AA234*'1. Standard_Cost'!$C$23</f>
        <v>0</v>
      </c>
      <c r="AC234" s="128"/>
      <c r="AD234" s="129"/>
      <c r="AE234" s="127"/>
      <c r="AF234" s="127">
        <f>SUM(AE234,AD234,AC234,AB234,Y234,U234,T234,S234,R234)</f>
        <v>0</v>
      </c>
      <c r="AG234" s="126"/>
      <c r="AH234" s="126"/>
      <c r="AI234" s="126"/>
      <c r="AJ234" s="130"/>
      <c r="AK234" s="130"/>
      <c r="AL234" s="130"/>
      <c r="AM234" s="127">
        <f>AG234*'1. Standard_Cost'!$B$27+'Incremental_Cost Year 10'!AH234*'1. Standard_Cost'!$C$27+'Incremental_Cost Year 10'!AI234*'1. Standard_Cost'!$D$27+'Incremental_Cost Year 10'!AJ234+'Incremental_Cost Year 10'!AL234+AK234</f>
        <v>0</v>
      </c>
      <c r="AN234" s="127">
        <f>AM234*'1. Standard_Cost'!$C$31</f>
        <v>0</v>
      </c>
      <c r="AO234" s="130"/>
      <c r="AQ234" s="171">
        <f>L234+M234</f>
        <v>0</v>
      </c>
      <c r="AR234" s="171">
        <f>AF234</f>
        <v>0</v>
      </c>
      <c r="AS234" s="171">
        <f>AM234+AN234</f>
        <v>0</v>
      </c>
      <c r="AT234" s="171">
        <f>SUM(AQ234,AR234,AS234)</f>
        <v>0</v>
      </c>
      <c r="AU234" s="250">
        <f>AT234</f>
        <v>0</v>
      </c>
      <c r="AV234" s="250"/>
      <c r="AW234" s="250"/>
      <c r="AX234" s="250"/>
      <c r="AY234" s="250"/>
      <c r="AZ234" s="250"/>
      <c r="BA234" s="250"/>
      <c r="BB234" s="251">
        <f t="shared" si="157"/>
        <v>0</v>
      </c>
      <c r="BC234" s="169"/>
      <c r="BD234" s="169"/>
      <c r="BE234" s="169"/>
      <c r="BF234" s="169"/>
    </row>
    <row r="235" spans="1:58" ht="110.25" outlineLevel="2" x14ac:dyDescent="0.25">
      <c r="A235" s="115"/>
      <c r="B235" s="200"/>
      <c r="C235" s="201"/>
      <c r="D235" s="343"/>
      <c r="E235" s="328"/>
      <c r="F235" s="328"/>
      <c r="G235" s="328"/>
      <c r="H235" s="199" t="s">
        <v>523</v>
      </c>
      <c r="I235" s="130"/>
      <c r="J235" s="126"/>
      <c r="K235" s="126"/>
      <c r="L235" s="125" t="str">
        <f>IF(I235&lt;&gt;0,((VLOOKUP(I235,'1. Standard_Cost'!$B$4:$D$11,2)+VLOOKUP(I235,'1. Standard_Cost'!$B$4:$D$11,3))*J235*K235),"0")</f>
        <v>0</v>
      </c>
      <c r="M235" s="125">
        <f>L235*'1. Standard_Cost'!$F$4</f>
        <v>0</v>
      </c>
      <c r="N235" s="126"/>
      <c r="O235" s="126"/>
      <c r="P235" s="126"/>
      <c r="Q235" s="126"/>
      <c r="R235" s="127">
        <f>'1. Standard_Cost'!$B$15*N235*P235</f>
        <v>0</v>
      </c>
      <c r="S235" s="127">
        <f>N235*O235*P235*'1. Standard_Cost'!$C$15</f>
        <v>0</v>
      </c>
      <c r="T235" s="127">
        <f>N235*P235*Q235*'1. Standard_Cost'!$D$15</f>
        <v>0</v>
      </c>
      <c r="U235" s="127">
        <f>N235*O235*'1. Standard_Cost'!$E$15</f>
        <v>0</v>
      </c>
      <c r="V235" s="126"/>
      <c r="W235" s="126"/>
      <c r="X235" s="126"/>
      <c r="Y235" s="127">
        <f>+V235*((X235*'1. Standard_Cost'!$B$19)+(W235*X235*'1. Standard_Cost'!$C$19))</f>
        <v>0</v>
      </c>
      <c r="Z235" s="126"/>
      <c r="AA235" s="126"/>
      <c r="AB235" s="127">
        <f>+Z235*'1. Standard_Cost'!$B$23+AA235*'1. Standard_Cost'!$C$23</f>
        <v>0</v>
      </c>
      <c r="AC235" s="128"/>
      <c r="AD235" s="129"/>
      <c r="AE235" s="127">
        <f>SUM(AD235,AC235,AB235,Y235,U235,T235,S235,R235)*'1. Standard_Cost'!$B$31</f>
        <v>0</v>
      </c>
      <c r="AF235" s="127">
        <f>SUM(AE235,AD235,AC235,AB235,Y235,U235,T235,S235,R235)</f>
        <v>0</v>
      </c>
      <c r="AG235" s="126"/>
      <c r="AH235" s="126"/>
      <c r="AI235" s="126"/>
      <c r="AJ235" s="130"/>
      <c r="AK235" s="130"/>
      <c r="AL235" s="130"/>
      <c r="AM235" s="127">
        <f>AG235*'1. Standard_Cost'!$B$27+'Incremental_Cost Year 10'!AH235*'1. Standard_Cost'!$C$27+'Incremental_Cost Year 10'!AI235*'1. Standard_Cost'!$D$27+'Incremental_Cost Year 10'!AJ235+'Incremental_Cost Year 10'!AL235+AK235</f>
        <v>0</v>
      </c>
      <c r="AN235" s="127">
        <f>AM235*'1. Standard_Cost'!$C$31</f>
        <v>0</v>
      </c>
      <c r="AO235" s="130"/>
      <c r="AQ235" s="171">
        <f>L235+M235</f>
        <v>0</v>
      </c>
      <c r="AR235" s="171">
        <f>AF235</f>
        <v>0</v>
      </c>
      <c r="AS235" s="171">
        <f>AM235+AN235</f>
        <v>0</v>
      </c>
      <c r="AT235" s="171">
        <f>SUM(AQ235,AR235,AS235)</f>
        <v>0</v>
      </c>
      <c r="AU235" s="250">
        <f>AT235</f>
        <v>0</v>
      </c>
      <c r="AV235" s="250"/>
      <c r="AW235" s="250"/>
      <c r="AX235" s="250"/>
      <c r="AY235" s="250"/>
      <c r="AZ235" s="250"/>
      <c r="BA235" s="250"/>
      <c r="BB235" s="251">
        <f t="shared" si="157"/>
        <v>0</v>
      </c>
      <c r="BC235" s="169"/>
      <c r="BD235" s="169"/>
      <c r="BE235" s="169"/>
      <c r="BF235" s="169"/>
    </row>
    <row r="236" spans="1:58" ht="78.75" outlineLevel="2" x14ac:dyDescent="0.25">
      <c r="A236" s="115"/>
      <c r="B236" s="200"/>
      <c r="C236" s="201"/>
      <c r="D236" s="344"/>
      <c r="E236" s="328"/>
      <c r="F236" s="328"/>
      <c r="G236" s="328"/>
      <c r="H236" s="199" t="s">
        <v>524</v>
      </c>
      <c r="I236" s="130"/>
      <c r="J236" s="126"/>
      <c r="K236" s="126"/>
      <c r="L236" s="125" t="str">
        <f>IF(I236&lt;&gt;0,((VLOOKUP(I236,'1. Standard_Cost'!$B$4:$D$11,2)+VLOOKUP(I236,'1. Standard_Cost'!$B$4:$D$11,3))*J236*K236),"0")</f>
        <v>0</v>
      </c>
      <c r="M236" s="125">
        <f>L236*'1. Standard_Cost'!$F$4</f>
        <v>0</v>
      </c>
      <c r="N236" s="126"/>
      <c r="O236" s="126"/>
      <c r="P236" s="126"/>
      <c r="Q236" s="126"/>
      <c r="R236" s="127">
        <f>'1. Standard_Cost'!$B$15*N236*P236</f>
        <v>0</v>
      </c>
      <c r="S236" s="127">
        <f>N236*O236*P236*'1. Standard_Cost'!$C$15</f>
        <v>0</v>
      </c>
      <c r="T236" s="127">
        <f>N236*P236*Q236*'1. Standard_Cost'!$D$15</f>
        <v>0</v>
      </c>
      <c r="U236" s="127">
        <f>N236*O236*'1. Standard_Cost'!$E$15</f>
        <v>0</v>
      </c>
      <c r="V236" s="126"/>
      <c r="W236" s="126"/>
      <c r="X236" s="126"/>
      <c r="Y236" s="127">
        <f>+V236*((X236*'1. Standard_Cost'!$B$19)+(W236*X236*'1. Standard_Cost'!$C$19))</f>
        <v>0</v>
      </c>
      <c r="Z236" s="126"/>
      <c r="AA236" s="126"/>
      <c r="AB236" s="127">
        <f>+Z236*'1. Standard_Cost'!$B$23+AA236*'1. Standard_Cost'!$C$23</f>
        <v>0</v>
      </c>
      <c r="AC236" s="128"/>
      <c r="AD236" s="129"/>
      <c r="AE236" s="127">
        <f>SUM(AD236,AC236,AB236,Y236,U236,T236,S236,R236)*'1. Standard_Cost'!$B$31</f>
        <v>0</v>
      </c>
      <c r="AF236" s="127">
        <f>SUM(AE236,AD236,AC236,AB236,Y236,U236,T236,S236,R236)</f>
        <v>0</v>
      </c>
      <c r="AG236" s="126"/>
      <c r="AH236" s="126"/>
      <c r="AI236" s="126"/>
      <c r="AJ236" s="130"/>
      <c r="AK236" s="130"/>
      <c r="AL236" s="130"/>
      <c r="AM236" s="127">
        <f>AG236*'1. Standard_Cost'!$B$27+'Incremental_Cost Year 10'!AH236*'1. Standard_Cost'!$C$27+'Incremental_Cost Year 10'!AI236*'1. Standard_Cost'!$D$27+'Incremental_Cost Year 10'!AJ236+'Incremental_Cost Year 10'!AL236+AK236</f>
        <v>0</v>
      </c>
      <c r="AN236" s="127">
        <f>AM236*'1. Standard_Cost'!$C$31</f>
        <v>0</v>
      </c>
      <c r="AO236" s="130"/>
      <c r="AQ236" s="171">
        <f>L236+M236</f>
        <v>0</v>
      </c>
      <c r="AR236" s="171">
        <f>AF236</f>
        <v>0</v>
      </c>
      <c r="AS236" s="171">
        <f>AM236+AN236</f>
        <v>0</v>
      </c>
      <c r="AT236" s="171">
        <f>SUM(AQ236,AR236,AS236)</f>
        <v>0</v>
      </c>
      <c r="AU236" s="250">
        <f>AT236</f>
        <v>0</v>
      </c>
      <c r="AV236" s="250"/>
      <c r="AW236" s="250"/>
      <c r="AX236" s="250"/>
      <c r="AY236" s="250"/>
      <c r="AZ236" s="250"/>
      <c r="BA236" s="250"/>
      <c r="BB236" s="251">
        <f t="shared" si="157"/>
        <v>0</v>
      </c>
      <c r="BC236" s="169"/>
      <c r="BD236" s="169"/>
      <c r="BE236" s="169"/>
      <c r="BF236" s="169"/>
    </row>
    <row r="237" spans="1:58" ht="63" outlineLevel="1" x14ac:dyDescent="0.25">
      <c r="A237" s="115"/>
      <c r="B237" s="165"/>
      <c r="C237" s="166"/>
      <c r="D237" s="209" t="s">
        <v>563</v>
      </c>
      <c r="E237" s="212" t="s">
        <v>263</v>
      </c>
      <c r="F237" s="136">
        <v>2023</v>
      </c>
      <c r="G237" s="117">
        <v>2025</v>
      </c>
      <c r="H237" s="150" t="s">
        <v>264</v>
      </c>
      <c r="I237" s="252"/>
      <c r="J237" s="252"/>
      <c r="K237" s="252"/>
      <c r="L237" s="127">
        <f>SUM(L233:L236)</f>
        <v>0</v>
      </c>
      <c r="M237" s="127">
        <f>SUM(M233:M236)</f>
        <v>0</v>
      </c>
      <c r="N237" s="252"/>
      <c r="O237" s="252"/>
      <c r="P237" s="252"/>
      <c r="Q237" s="252"/>
      <c r="R237" s="127">
        <f>SUM(R233:R236)</f>
        <v>0</v>
      </c>
      <c r="S237" s="127">
        <f>SUM(S233:S236)</f>
        <v>0</v>
      </c>
      <c r="T237" s="127">
        <f>SUM(T233:T236)</f>
        <v>0</v>
      </c>
      <c r="U237" s="127">
        <f>SUM(U233:U236)</f>
        <v>0</v>
      </c>
      <c r="V237" s="252"/>
      <c r="W237" s="252"/>
      <c r="X237" s="252"/>
      <c r="Y237" s="127">
        <f>SUM(Y233:Y236)</f>
        <v>0</v>
      </c>
      <c r="Z237" s="127"/>
      <c r="AA237" s="252"/>
      <c r="AB237" s="127">
        <f>SUM(AB233:AB236)</f>
        <v>0</v>
      </c>
      <c r="AC237" s="127">
        <f>SUM(AC233:AC236)</f>
        <v>0</v>
      </c>
      <c r="AD237" s="127">
        <f>SUM(AD233:AD236)</f>
        <v>0</v>
      </c>
      <c r="AE237" s="127">
        <f>SUM(AE233:AE236)</f>
        <v>0</v>
      </c>
      <c r="AF237" s="127">
        <f>SUM(AF233:AF236)</f>
        <v>0</v>
      </c>
      <c r="AG237" s="252"/>
      <c r="AH237" s="252"/>
      <c r="AI237" s="252"/>
      <c r="AJ237" s="127">
        <f>SUM(AJ233:AJ236)</f>
        <v>0</v>
      </c>
      <c r="AK237" s="127">
        <f>SUM(AK233:AK236)</f>
        <v>0</v>
      </c>
      <c r="AL237" s="127">
        <f>SUM(AL233:AL236)</f>
        <v>0</v>
      </c>
      <c r="AM237" s="127">
        <f>SUM(AM233:AM236)</f>
        <v>0</v>
      </c>
      <c r="AN237" s="127">
        <f>SUM(AN233:AN236)</f>
        <v>0</v>
      </c>
      <c r="AO237" s="253"/>
      <c r="AP237" s="254"/>
      <c r="AQ237" s="175">
        <f>SUM(AQ233:AQ236)</f>
        <v>0</v>
      </c>
      <c r="AR237" s="175">
        <f>SUM(AR233:AR236)</f>
        <v>0</v>
      </c>
      <c r="AS237" s="175">
        <f>SUM(AS233:AS236)</f>
        <v>0</v>
      </c>
      <c r="AT237" s="175">
        <f>SUM(AT233:AT236)</f>
        <v>0</v>
      </c>
      <c r="AU237" s="175">
        <f t="shared" ref="AU237:BB237" si="158">SUM(AU233:AU236)</f>
        <v>0</v>
      </c>
      <c r="AV237" s="175">
        <f t="shared" si="158"/>
        <v>0</v>
      </c>
      <c r="AW237" s="175">
        <f t="shared" si="158"/>
        <v>0</v>
      </c>
      <c r="AX237" s="175">
        <f t="shared" si="158"/>
        <v>0</v>
      </c>
      <c r="AY237" s="175">
        <f t="shared" si="158"/>
        <v>0</v>
      </c>
      <c r="AZ237" s="175">
        <f t="shared" si="158"/>
        <v>0</v>
      </c>
      <c r="BA237" s="175">
        <f t="shared" si="158"/>
        <v>0</v>
      </c>
      <c r="BB237" s="175">
        <f t="shared" si="158"/>
        <v>0</v>
      </c>
      <c r="BC237" s="169"/>
      <c r="BD237" s="169"/>
      <c r="BE237" s="169"/>
      <c r="BF237" s="169"/>
    </row>
    <row r="238" spans="1:58" s="184" customFormat="1" ht="15.75" customHeight="1" x14ac:dyDescent="0.25">
      <c r="A238" s="143"/>
      <c r="B238" s="332"/>
      <c r="C238" s="397" t="s">
        <v>265</v>
      </c>
      <c r="D238" s="397"/>
      <c r="E238" s="398"/>
      <c r="F238" s="291"/>
      <c r="G238" s="340"/>
      <c r="H238" s="144" t="s">
        <v>303</v>
      </c>
      <c r="I238" s="257"/>
      <c r="J238" s="257"/>
      <c r="K238" s="257"/>
      <c r="L238" s="258">
        <f>SUM(L243)</f>
        <v>0</v>
      </c>
      <c r="M238" s="258">
        <f>SUM(M243)</f>
        <v>0</v>
      </c>
      <c r="N238" s="257"/>
      <c r="O238" s="257"/>
      <c r="P238" s="257"/>
      <c r="Q238" s="257"/>
      <c r="R238" s="258">
        <f>SUM(R243)</f>
        <v>0</v>
      </c>
      <c r="S238" s="258">
        <f>SUM(S243)</f>
        <v>0</v>
      </c>
      <c r="T238" s="258">
        <f>SUM(T243)</f>
        <v>0</v>
      </c>
      <c r="U238" s="258">
        <f>SUM(U243)</f>
        <v>0</v>
      </c>
      <c r="V238" s="257"/>
      <c r="W238" s="257"/>
      <c r="X238" s="257"/>
      <c r="Y238" s="258">
        <f>SUM(Y243)</f>
        <v>0</v>
      </c>
      <c r="Z238" s="258"/>
      <c r="AA238" s="258"/>
      <c r="AB238" s="258">
        <f>SUM(AB243)</f>
        <v>0</v>
      </c>
      <c r="AC238" s="258">
        <f>SUM(AC243)</f>
        <v>0</v>
      </c>
      <c r="AD238" s="258">
        <f>SUM(AD243)</f>
        <v>0</v>
      </c>
      <c r="AE238" s="258">
        <f>SUM(AE243)</f>
        <v>0</v>
      </c>
      <c r="AF238" s="258">
        <f>SUM(AF243)</f>
        <v>0</v>
      </c>
      <c r="AG238" s="257"/>
      <c r="AH238" s="257"/>
      <c r="AI238" s="257"/>
      <c r="AJ238" s="258">
        <f>SUM(AJ243)</f>
        <v>0</v>
      </c>
      <c r="AK238" s="258">
        <f>SUM(AK243)</f>
        <v>0</v>
      </c>
      <c r="AL238" s="258">
        <f>SUM(AL243)</f>
        <v>0</v>
      </c>
      <c r="AM238" s="258">
        <f>SUM(AM243)</f>
        <v>0</v>
      </c>
      <c r="AN238" s="258">
        <f>SUM(AN243)</f>
        <v>0</v>
      </c>
      <c r="AO238" s="259"/>
      <c r="AP238" s="260"/>
      <c r="AQ238" s="261">
        <f>SUM(AQ243)</f>
        <v>0</v>
      </c>
      <c r="AR238" s="261">
        <f>SUM(AR243)</f>
        <v>0</v>
      </c>
      <c r="AS238" s="261">
        <f>SUM(AS243)</f>
        <v>0</v>
      </c>
      <c r="AT238" s="261">
        <f>SUM(AT243)</f>
        <v>0</v>
      </c>
      <c r="AU238" s="261">
        <f t="shared" ref="AU238:BB238" si="159">SUM(AU243)</f>
        <v>0</v>
      </c>
      <c r="AV238" s="261">
        <f t="shared" si="159"/>
        <v>0</v>
      </c>
      <c r="AW238" s="261">
        <f t="shared" si="159"/>
        <v>0</v>
      </c>
      <c r="AX238" s="261">
        <f t="shared" si="159"/>
        <v>0</v>
      </c>
      <c r="AY238" s="261">
        <f t="shared" si="159"/>
        <v>0</v>
      </c>
      <c r="AZ238" s="261">
        <f t="shared" si="159"/>
        <v>0</v>
      </c>
      <c r="BA238" s="261">
        <f t="shared" si="159"/>
        <v>0</v>
      </c>
      <c r="BB238" s="261">
        <f t="shared" si="159"/>
        <v>0</v>
      </c>
    </row>
    <row r="239" spans="1:58" ht="63" outlineLevel="2" x14ac:dyDescent="0.25">
      <c r="A239" s="115"/>
      <c r="B239" s="200"/>
      <c r="C239" s="201"/>
      <c r="D239" s="202"/>
      <c r="E239" s="354"/>
      <c r="F239" s="355"/>
      <c r="G239" s="356"/>
      <c r="H239" s="199" t="s">
        <v>525</v>
      </c>
      <c r="I239" s="130"/>
      <c r="J239" s="126"/>
      <c r="K239" s="126"/>
      <c r="L239" s="125" t="str">
        <f>IF(I239&lt;&gt;0,((VLOOKUP(I239,'1. Standard_Cost'!$B$4:$D$11,2)+VLOOKUP(I239,'1. Standard_Cost'!$B$4:$D$11,3))*J239*K239),"0")</f>
        <v>0</v>
      </c>
      <c r="M239" s="125">
        <f>L239*'1. Standard_Cost'!$F$4</f>
        <v>0</v>
      </c>
      <c r="N239" s="126"/>
      <c r="O239" s="126"/>
      <c r="P239" s="126"/>
      <c r="Q239" s="126"/>
      <c r="R239" s="127">
        <f>'1. Standard_Cost'!$B$15*N239*P239</f>
        <v>0</v>
      </c>
      <c r="S239" s="127">
        <f>N239*O239*P239*'1. Standard_Cost'!$C$15</f>
        <v>0</v>
      </c>
      <c r="T239" s="127">
        <f>N239*P239*Q239*'1. Standard_Cost'!$D$15</f>
        <v>0</v>
      </c>
      <c r="U239" s="127">
        <f>N239*O239*'1. Standard_Cost'!$E$15</f>
        <v>0</v>
      </c>
      <c r="V239" s="126"/>
      <c r="W239" s="126"/>
      <c r="X239" s="126"/>
      <c r="Y239" s="127">
        <f>+V239*((X239*'1. Standard_Cost'!$B$19)+(W239*X239*'1. Standard_Cost'!$C$19))</f>
        <v>0</v>
      </c>
      <c r="Z239" s="126"/>
      <c r="AA239" s="126"/>
      <c r="AB239" s="127">
        <f>+Z239*'1. Standard_Cost'!$B$23+AA239*'1. Standard_Cost'!$C$23</f>
        <v>0</v>
      </c>
      <c r="AC239" s="128"/>
      <c r="AD239" s="129"/>
      <c r="AE239" s="127">
        <f>SUM(AD239,AC239,AB239,Y239,U239,T239,S239,R239)*'1. Standard_Cost'!$B$31</f>
        <v>0</v>
      </c>
      <c r="AF239" s="127">
        <f>SUM(AE239,AD239,AC239,AB239,Y239,U239,T239,S239,R239)</f>
        <v>0</v>
      </c>
      <c r="AG239" s="126"/>
      <c r="AH239" s="126"/>
      <c r="AI239" s="126"/>
      <c r="AJ239" s="130"/>
      <c r="AK239" s="130"/>
      <c r="AL239" s="130"/>
      <c r="AM239" s="127">
        <f>AG239*'1. Standard_Cost'!$B$27+'Incremental_Cost Year 10'!AH239*'1. Standard_Cost'!$C$27+'Incremental_Cost Year 10'!AI239*'1. Standard_Cost'!$D$27+'Incremental_Cost Year 10'!AJ239+'Incremental_Cost Year 10'!AL239+AK239</f>
        <v>0</v>
      </c>
      <c r="AN239" s="127">
        <f>AM239*'1. Standard_Cost'!$C$31</f>
        <v>0</v>
      </c>
      <c r="AO239" s="130"/>
      <c r="AQ239" s="171">
        <f>L239+M239</f>
        <v>0</v>
      </c>
      <c r="AR239" s="171">
        <f>AF239</f>
        <v>0</v>
      </c>
      <c r="AS239" s="171">
        <f>AM239+AN239</f>
        <v>0</v>
      </c>
      <c r="AT239" s="171">
        <f>SUM(AQ239,AR239,AS239)</f>
        <v>0</v>
      </c>
      <c r="AU239" s="250">
        <f>AT239</f>
        <v>0</v>
      </c>
      <c r="AV239" s="250"/>
      <c r="AW239" s="250"/>
      <c r="AX239" s="250"/>
      <c r="AY239" s="250"/>
      <c r="AZ239" s="250"/>
      <c r="BA239" s="250"/>
      <c r="BB239" s="251">
        <f t="shared" ref="BB239:BB242" si="160">SUM(AU239:BA239)-AT239</f>
        <v>0</v>
      </c>
      <c r="BC239" s="169"/>
      <c r="BD239" s="169"/>
      <c r="BE239" s="169"/>
      <c r="BF239" s="169"/>
    </row>
    <row r="240" spans="1:58" ht="31.5" outlineLevel="2" x14ac:dyDescent="0.25">
      <c r="A240" s="115"/>
      <c r="B240" s="200"/>
      <c r="C240" s="201"/>
      <c r="D240" s="202"/>
      <c r="E240" s="357"/>
      <c r="F240" s="358"/>
      <c r="G240" s="359"/>
      <c r="H240" s="199" t="s">
        <v>526</v>
      </c>
      <c r="I240" s="130"/>
      <c r="J240" s="126"/>
      <c r="K240" s="126"/>
      <c r="L240" s="125" t="str">
        <f>IF(I240&lt;&gt;0,((VLOOKUP(I240,'1. Standard_Cost'!$B$4:$D$11,2)+VLOOKUP(I240,'1. Standard_Cost'!$B$4:$D$11,3))*J240*K240),"0")</f>
        <v>0</v>
      </c>
      <c r="M240" s="125">
        <f>L240*'1. Standard_Cost'!$F$4</f>
        <v>0</v>
      </c>
      <c r="N240" s="126"/>
      <c r="O240" s="126"/>
      <c r="P240" s="126"/>
      <c r="Q240" s="126"/>
      <c r="R240" s="127">
        <f>'1. Standard_Cost'!$B$15*N240*P240</f>
        <v>0</v>
      </c>
      <c r="S240" s="127">
        <f>N240*O240*P240*'1. Standard_Cost'!$C$15</f>
        <v>0</v>
      </c>
      <c r="T240" s="127">
        <f>N240*P240*Q240*'1. Standard_Cost'!$D$15</f>
        <v>0</v>
      </c>
      <c r="U240" s="127">
        <f>N240*O240*'1. Standard_Cost'!$E$15</f>
        <v>0</v>
      </c>
      <c r="V240" s="126"/>
      <c r="W240" s="126"/>
      <c r="X240" s="126"/>
      <c r="Y240" s="127">
        <f>+V240*((X240*'1. Standard_Cost'!$B$19)+(W240*X240*'1. Standard_Cost'!$C$19))</f>
        <v>0</v>
      </c>
      <c r="Z240" s="126"/>
      <c r="AA240" s="126"/>
      <c r="AB240" s="127">
        <f>+Z240*'1. Standard_Cost'!$B$23+AA240*'1. Standard_Cost'!$C$23</f>
        <v>0</v>
      </c>
      <c r="AC240" s="128"/>
      <c r="AD240" s="129"/>
      <c r="AE240" s="127">
        <f>SUM(AD240,AC240,AB240,Y240,U240,T240,S240,R240)*'1. Standard_Cost'!$B$31</f>
        <v>0</v>
      </c>
      <c r="AF240" s="127">
        <f>SUM(AE240,AD240,AC240,AB240,Y240,U240,T240,S240,R240)</f>
        <v>0</v>
      </c>
      <c r="AG240" s="126"/>
      <c r="AH240" s="126"/>
      <c r="AI240" s="126"/>
      <c r="AJ240" s="130"/>
      <c r="AK240" s="130"/>
      <c r="AL240" s="130"/>
      <c r="AM240" s="127">
        <f>AG240*'1. Standard_Cost'!$B$27+'Incremental_Cost Year 10'!AH240*'1. Standard_Cost'!$C$27+'Incremental_Cost Year 10'!AI240*'1. Standard_Cost'!$D$27+'Incremental_Cost Year 10'!AJ240+'Incremental_Cost Year 10'!AL240+AK240</f>
        <v>0</v>
      </c>
      <c r="AN240" s="127">
        <f>AM240*'1. Standard_Cost'!$C$31</f>
        <v>0</v>
      </c>
      <c r="AO240" s="130"/>
      <c r="AQ240" s="171">
        <f>L240+M240</f>
        <v>0</v>
      </c>
      <c r="AR240" s="171">
        <f>AF240</f>
        <v>0</v>
      </c>
      <c r="AS240" s="171">
        <f>AM240+AN240</f>
        <v>0</v>
      </c>
      <c r="AT240" s="171">
        <f>SUM(AQ240,AR240,AS240)</f>
        <v>0</v>
      </c>
      <c r="AU240" s="250">
        <f>AT240</f>
        <v>0</v>
      </c>
      <c r="AV240" s="250"/>
      <c r="AW240" s="250"/>
      <c r="AX240" s="250"/>
      <c r="AY240" s="250"/>
      <c r="AZ240" s="250"/>
      <c r="BA240" s="250"/>
      <c r="BB240" s="251">
        <f t="shared" si="160"/>
        <v>0</v>
      </c>
      <c r="BC240" s="169"/>
      <c r="BD240" s="169"/>
      <c r="BE240" s="169"/>
      <c r="BF240" s="169"/>
    </row>
    <row r="241" spans="1:58" ht="47.25" outlineLevel="2" x14ac:dyDescent="0.25">
      <c r="A241" s="115"/>
      <c r="B241" s="200"/>
      <c r="C241" s="201"/>
      <c r="D241" s="202"/>
      <c r="E241" s="357"/>
      <c r="F241" s="358"/>
      <c r="G241" s="359"/>
      <c r="H241" s="199" t="s">
        <v>527</v>
      </c>
      <c r="I241" s="130"/>
      <c r="J241" s="126"/>
      <c r="K241" s="126"/>
      <c r="L241" s="125" t="str">
        <f>IF(I241&lt;&gt;0,((VLOOKUP(I241,'1. Standard_Cost'!$B$4:$D$11,2)+VLOOKUP(I241,'1. Standard_Cost'!$B$4:$D$11,3))*J241*K241),"0")</f>
        <v>0</v>
      </c>
      <c r="M241" s="125">
        <f>L241*'1. Standard_Cost'!$F$4</f>
        <v>0</v>
      </c>
      <c r="N241" s="126"/>
      <c r="O241" s="126"/>
      <c r="P241" s="126"/>
      <c r="Q241" s="126"/>
      <c r="R241" s="127">
        <f>'1. Standard_Cost'!$B$15*N241*P241</f>
        <v>0</v>
      </c>
      <c r="S241" s="127">
        <f>N241*O241*P241*'1. Standard_Cost'!$C$15</f>
        <v>0</v>
      </c>
      <c r="T241" s="127">
        <f>N241*P241*Q241*'1. Standard_Cost'!$D$15</f>
        <v>0</v>
      </c>
      <c r="U241" s="127">
        <f>N241*O241*'1. Standard_Cost'!$E$15</f>
        <v>0</v>
      </c>
      <c r="V241" s="126"/>
      <c r="W241" s="126"/>
      <c r="X241" s="126"/>
      <c r="Y241" s="127">
        <f>+V241*((X241*'1. Standard_Cost'!$B$19)+(W241*X241*'1. Standard_Cost'!$C$19))</f>
        <v>0</v>
      </c>
      <c r="Z241" s="126"/>
      <c r="AA241" s="126"/>
      <c r="AB241" s="127">
        <f>+Z241*'1. Standard_Cost'!$B$23+AA241*'1. Standard_Cost'!$C$23</f>
        <v>0</v>
      </c>
      <c r="AC241" s="128"/>
      <c r="AD241" s="129"/>
      <c r="AE241" s="127">
        <f>SUM(AD241,AC241,AB241,Y241,U241,T241,S241,R241)*'1. Standard_Cost'!$B$31</f>
        <v>0</v>
      </c>
      <c r="AF241" s="127">
        <f>SUM(AE241,AD241,AC241,AB241,Y241,U241,T241,S241,R241)</f>
        <v>0</v>
      </c>
      <c r="AG241" s="126"/>
      <c r="AH241" s="126"/>
      <c r="AI241" s="126"/>
      <c r="AJ241" s="130"/>
      <c r="AK241" s="130"/>
      <c r="AL241" s="130"/>
      <c r="AM241" s="127">
        <f>AG241*'1. Standard_Cost'!$B$27+'Incremental_Cost Year 10'!AH241*'1. Standard_Cost'!$C$27+'Incremental_Cost Year 10'!AI241*'1. Standard_Cost'!$D$27+'Incremental_Cost Year 10'!AJ241+'Incremental_Cost Year 10'!AL241+AK241</f>
        <v>0</v>
      </c>
      <c r="AN241" s="127">
        <f>AM241*'1. Standard_Cost'!$C$31</f>
        <v>0</v>
      </c>
      <c r="AO241" s="130"/>
      <c r="AQ241" s="171">
        <f>L241+M241</f>
        <v>0</v>
      </c>
      <c r="AR241" s="171">
        <f>AF241</f>
        <v>0</v>
      </c>
      <c r="AS241" s="171">
        <f>AM241+AN241</f>
        <v>0</v>
      </c>
      <c r="AT241" s="171">
        <f>SUM(AQ241,AR241,AS241)</f>
        <v>0</v>
      </c>
      <c r="AU241" s="250">
        <f>AT241</f>
        <v>0</v>
      </c>
      <c r="AV241" s="250"/>
      <c r="AW241" s="250"/>
      <c r="AX241" s="250"/>
      <c r="AY241" s="250"/>
      <c r="AZ241" s="250"/>
      <c r="BA241" s="250"/>
      <c r="BB241" s="251">
        <f t="shared" si="160"/>
        <v>0</v>
      </c>
      <c r="BC241" s="169"/>
      <c r="BD241" s="169"/>
      <c r="BE241" s="169"/>
      <c r="BF241" s="169"/>
    </row>
    <row r="242" spans="1:58" ht="110.25" outlineLevel="2" x14ac:dyDescent="0.25">
      <c r="A242" s="115"/>
      <c r="B242" s="200"/>
      <c r="C242" s="201"/>
      <c r="D242" s="202"/>
      <c r="E242" s="360"/>
      <c r="F242" s="361"/>
      <c r="G242" s="362"/>
      <c r="H242" s="213" t="s">
        <v>528</v>
      </c>
      <c r="I242" s="130"/>
      <c r="J242" s="126"/>
      <c r="K242" s="126"/>
      <c r="L242" s="125" t="str">
        <f>IF(I242&lt;&gt;0,((VLOOKUP(I242,'1. Standard_Cost'!$B$4:$D$11,2)+VLOOKUP(I242,'1. Standard_Cost'!$B$4:$D$11,3))*J242*K242),"0")</f>
        <v>0</v>
      </c>
      <c r="M242" s="125">
        <f>L242*'1. Standard_Cost'!$F$4</f>
        <v>0</v>
      </c>
      <c r="N242" s="126"/>
      <c r="O242" s="126"/>
      <c r="P242" s="126"/>
      <c r="Q242" s="126"/>
      <c r="R242" s="127">
        <f>'1. Standard_Cost'!$B$15*N242*P242</f>
        <v>0</v>
      </c>
      <c r="S242" s="127">
        <f>N242*O242*P242*'1. Standard_Cost'!$C$15</f>
        <v>0</v>
      </c>
      <c r="T242" s="127">
        <f>N242*P242*Q242*'1. Standard_Cost'!$D$15</f>
        <v>0</v>
      </c>
      <c r="U242" s="127">
        <f>N242*O242*'1. Standard_Cost'!$E$15</f>
        <v>0</v>
      </c>
      <c r="V242" s="126"/>
      <c r="W242" s="126"/>
      <c r="X242" s="126"/>
      <c r="Y242" s="127">
        <f>+V242*((X242*'1. Standard_Cost'!$B$19)+(W242*X242*'1. Standard_Cost'!$C$19))</f>
        <v>0</v>
      </c>
      <c r="Z242" s="126"/>
      <c r="AA242" s="126"/>
      <c r="AB242" s="127">
        <f>+Z242*'1. Standard_Cost'!$B$23+AA242*'1. Standard_Cost'!$C$23</f>
        <v>0</v>
      </c>
      <c r="AC242" s="128"/>
      <c r="AD242" s="129"/>
      <c r="AE242" s="127">
        <f>SUM(AD242,AC242,AB242,Y242,U242,T242,S242,R242)*'1. Standard_Cost'!$B$31</f>
        <v>0</v>
      </c>
      <c r="AF242" s="127">
        <f>SUM(AE242,AD242,AC242,AB242,Y242,U242,T242,S242,R242)</f>
        <v>0</v>
      </c>
      <c r="AG242" s="126"/>
      <c r="AH242" s="126"/>
      <c r="AI242" s="126"/>
      <c r="AJ242" s="130"/>
      <c r="AK242" s="130"/>
      <c r="AL242" s="130"/>
      <c r="AM242" s="127">
        <f>AG242*'1. Standard_Cost'!$B$27+'Incremental_Cost Year 10'!AH242*'1. Standard_Cost'!$C$27+'Incremental_Cost Year 10'!AI242*'1. Standard_Cost'!$D$27+'Incremental_Cost Year 10'!AJ242+'Incremental_Cost Year 10'!AL242+AK242</f>
        <v>0</v>
      </c>
      <c r="AN242" s="127">
        <f>AM242*'1. Standard_Cost'!$C$31</f>
        <v>0</v>
      </c>
      <c r="AO242" s="130"/>
      <c r="AQ242" s="171">
        <f>L242+M242</f>
        <v>0</v>
      </c>
      <c r="AR242" s="171">
        <f>AF242</f>
        <v>0</v>
      </c>
      <c r="AS242" s="171">
        <f>AM242+AN242</f>
        <v>0</v>
      </c>
      <c r="AT242" s="171">
        <f>SUM(AQ242,AR242,AS242)</f>
        <v>0</v>
      </c>
      <c r="AU242" s="250">
        <f>AT242</f>
        <v>0</v>
      </c>
      <c r="AV242" s="250"/>
      <c r="AW242" s="250"/>
      <c r="AX242" s="250"/>
      <c r="AY242" s="250"/>
      <c r="AZ242" s="250"/>
      <c r="BA242" s="250"/>
      <c r="BB242" s="251">
        <f t="shared" si="160"/>
        <v>0</v>
      </c>
      <c r="BC242" s="169"/>
      <c r="BD242" s="169"/>
      <c r="BE242" s="169"/>
      <c r="BF242" s="169"/>
    </row>
    <row r="243" spans="1:58" ht="94.5" outlineLevel="1" x14ac:dyDescent="0.25">
      <c r="A243" s="115"/>
      <c r="B243" s="165"/>
      <c r="C243" s="166"/>
      <c r="D243" s="150" t="s">
        <v>564</v>
      </c>
      <c r="E243" s="212" t="s">
        <v>267</v>
      </c>
      <c r="F243" s="136">
        <v>2021</v>
      </c>
      <c r="G243" s="117">
        <v>2024</v>
      </c>
      <c r="H243" s="150" t="s">
        <v>304</v>
      </c>
      <c r="I243" s="252"/>
      <c r="J243" s="252"/>
      <c r="K243" s="252"/>
      <c r="L243" s="127">
        <f>SUM(L239:L242)</f>
        <v>0</v>
      </c>
      <c r="M243" s="127">
        <f>SUM(M239:M242)</f>
        <v>0</v>
      </c>
      <c r="N243" s="252"/>
      <c r="O243" s="252"/>
      <c r="P243" s="252"/>
      <c r="Q243" s="252"/>
      <c r="R243" s="127">
        <f>SUM(R239:R242)</f>
        <v>0</v>
      </c>
      <c r="S243" s="127">
        <f>SUM(S239:S242)</f>
        <v>0</v>
      </c>
      <c r="T243" s="127">
        <f>SUM(T239:T242)</f>
        <v>0</v>
      </c>
      <c r="U243" s="127">
        <f>SUM(U239:U242)</f>
        <v>0</v>
      </c>
      <c r="V243" s="252"/>
      <c r="W243" s="252"/>
      <c r="X243" s="252"/>
      <c r="Y243" s="127">
        <f>SUM(Y239:Y242)</f>
        <v>0</v>
      </c>
      <c r="Z243" s="127"/>
      <c r="AA243" s="252"/>
      <c r="AB243" s="127">
        <f>SUM(AB239:AB242)</f>
        <v>0</v>
      </c>
      <c r="AC243" s="127">
        <f>SUM(AC239:AC242)</f>
        <v>0</v>
      </c>
      <c r="AD243" s="127">
        <f>SUM(AD239:AD242)</f>
        <v>0</v>
      </c>
      <c r="AE243" s="127">
        <f>SUM(AE239:AE242)</f>
        <v>0</v>
      </c>
      <c r="AF243" s="127">
        <f>SUM(AF239:AF242)</f>
        <v>0</v>
      </c>
      <c r="AG243" s="252"/>
      <c r="AH243" s="252"/>
      <c r="AI243" s="252"/>
      <c r="AJ243" s="127">
        <f>SUM(AJ239:AJ242)</f>
        <v>0</v>
      </c>
      <c r="AK243" s="127">
        <f>SUM(AK239:AK242)</f>
        <v>0</v>
      </c>
      <c r="AL243" s="127">
        <f>SUM(AL239:AL242)</f>
        <v>0</v>
      </c>
      <c r="AM243" s="127">
        <f>SUM(AM239:AM242)</f>
        <v>0</v>
      </c>
      <c r="AN243" s="127">
        <f>SUM(AN239:AN242)</f>
        <v>0</v>
      </c>
      <c r="AO243" s="253"/>
      <c r="AP243" s="254"/>
      <c r="AQ243" s="175">
        <f>SUM(AQ239:AQ242)</f>
        <v>0</v>
      </c>
      <c r="AR243" s="175">
        <f>SUM(AR239:AR242)</f>
        <v>0</v>
      </c>
      <c r="AS243" s="175">
        <f>SUM(AS239:AS242)</f>
        <v>0</v>
      </c>
      <c r="AT243" s="175">
        <f>SUM(AT239:AT242)</f>
        <v>0</v>
      </c>
      <c r="AU243" s="175">
        <f t="shared" ref="AU243:BB243" si="161">SUM(AU239:AU242)</f>
        <v>0</v>
      </c>
      <c r="AV243" s="175">
        <f t="shared" si="161"/>
        <v>0</v>
      </c>
      <c r="AW243" s="175">
        <f t="shared" si="161"/>
        <v>0</v>
      </c>
      <c r="AX243" s="175">
        <f t="shared" si="161"/>
        <v>0</v>
      </c>
      <c r="AY243" s="175">
        <f t="shared" si="161"/>
        <v>0</v>
      </c>
      <c r="AZ243" s="175">
        <f t="shared" si="161"/>
        <v>0</v>
      </c>
      <c r="BA243" s="175">
        <f t="shared" si="161"/>
        <v>0</v>
      </c>
      <c r="BB243" s="175">
        <f t="shared" si="161"/>
        <v>0</v>
      </c>
      <c r="BC243" s="169"/>
      <c r="BD243" s="169"/>
      <c r="BE243" s="169"/>
      <c r="BF243" s="169"/>
    </row>
    <row r="244" spans="1:58" ht="12.75" customHeight="1" x14ac:dyDescent="0.2">
      <c r="A244" s="173"/>
      <c r="B244" s="399" t="s">
        <v>316</v>
      </c>
      <c r="C244" s="400"/>
      <c r="D244" s="400"/>
      <c r="E244" s="401"/>
      <c r="F244" s="367"/>
      <c r="G244" s="367"/>
      <c r="H244" s="367" t="s">
        <v>317</v>
      </c>
      <c r="I244" s="245"/>
      <c r="J244" s="245"/>
      <c r="K244" s="245"/>
      <c r="L244" s="245">
        <f>L245+L259+L269+L277+L284</f>
        <v>35918400</v>
      </c>
      <c r="M244" s="245">
        <f>M245+M259+M269+M277+M284</f>
        <v>5998372.8000000007</v>
      </c>
      <c r="N244" s="245"/>
      <c r="O244" s="245"/>
      <c r="P244" s="245"/>
      <c r="Q244" s="245"/>
      <c r="R244" s="245">
        <f>R245+R259+R269+R277+R284</f>
        <v>3200000</v>
      </c>
      <c r="S244" s="245">
        <f>S245+S259+S269+S277+S284</f>
        <v>2400000</v>
      </c>
      <c r="T244" s="245">
        <f>T245+T259+T269+T277+T284</f>
        <v>0</v>
      </c>
      <c r="U244" s="245">
        <f>U245+U259+U269+U277+U284</f>
        <v>3200000</v>
      </c>
      <c r="V244" s="245"/>
      <c r="W244" s="245"/>
      <c r="X244" s="245"/>
      <c r="Y244" s="245">
        <f t="shared" ref="Y244" si="162">Y245+Y259+Y269+Y277+Y284</f>
        <v>0</v>
      </c>
      <c r="Z244" s="245">
        <f t="shared" ref="Z244:AF244" si="163">Z245+Z259+Z269+Z277+Z284</f>
        <v>0</v>
      </c>
      <c r="AA244" s="245">
        <f t="shared" si="163"/>
        <v>0</v>
      </c>
      <c r="AB244" s="245">
        <f t="shared" si="163"/>
        <v>1634000</v>
      </c>
      <c r="AC244" s="245">
        <f t="shared" si="163"/>
        <v>77635000</v>
      </c>
      <c r="AD244" s="245">
        <f t="shared" si="163"/>
        <v>529894000</v>
      </c>
      <c r="AE244" s="245">
        <f t="shared" si="163"/>
        <v>19811400</v>
      </c>
      <c r="AF244" s="245">
        <f t="shared" si="163"/>
        <v>637774400</v>
      </c>
      <c r="AG244" s="245"/>
      <c r="AH244" s="245"/>
      <c r="AI244" s="245"/>
      <c r="AJ244" s="245">
        <f>AJ245+AJ259+AJ269+AJ277+AJ284</f>
        <v>0</v>
      </c>
      <c r="AK244" s="245">
        <f>AK245+AK259+AK269+AK277+AK284</f>
        <v>0</v>
      </c>
      <c r="AL244" s="245">
        <f>AL245+AL259+AL269+AL277+AL284</f>
        <v>0</v>
      </c>
      <c r="AM244" s="245">
        <f>AM245+AM259+AM269+AM277+AM284</f>
        <v>0</v>
      </c>
      <c r="AN244" s="245">
        <f>AN245+AN259+AN269+AN277+AN284</f>
        <v>0</v>
      </c>
      <c r="AO244" s="245"/>
      <c r="AP244" s="244"/>
      <c r="AQ244" s="245">
        <f t="shared" ref="AQ244:BB244" si="164">AQ245+AQ259+AQ269+AQ277+AQ284</f>
        <v>41916772.800000004</v>
      </c>
      <c r="AR244" s="245">
        <f t="shared" si="164"/>
        <v>637774400</v>
      </c>
      <c r="AS244" s="245">
        <f t="shared" si="164"/>
        <v>0</v>
      </c>
      <c r="AT244" s="245">
        <f t="shared" si="164"/>
        <v>679691172.79999995</v>
      </c>
      <c r="AU244" s="245">
        <f t="shared" si="164"/>
        <v>67571772.399999991</v>
      </c>
      <c r="AV244" s="245">
        <f t="shared" si="164"/>
        <v>0</v>
      </c>
      <c r="AW244" s="245">
        <f t="shared" si="164"/>
        <v>0</v>
      </c>
      <c r="AX244" s="245">
        <f t="shared" si="164"/>
        <v>0</v>
      </c>
      <c r="AY244" s="245">
        <f t="shared" si="164"/>
        <v>0</v>
      </c>
      <c r="AZ244" s="245">
        <f t="shared" si="164"/>
        <v>0</v>
      </c>
      <c r="BA244" s="245">
        <f t="shared" si="164"/>
        <v>0</v>
      </c>
      <c r="BB244" s="245">
        <f t="shared" si="164"/>
        <v>-612119400.39999998</v>
      </c>
      <c r="BC244" s="170"/>
      <c r="BD244" s="170"/>
      <c r="BE244" s="170"/>
      <c r="BF244" s="170"/>
    </row>
    <row r="245" spans="1:58" ht="12.75" customHeight="1" x14ac:dyDescent="0.2">
      <c r="A245" s="179"/>
      <c r="B245" s="290"/>
      <c r="C245" s="391" t="s">
        <v>318</v>
      </c>
      <c r="D245" s="391"/>
      <c r="E245" s="392"/>
      <c r="F245" s="287"/>
      <c r="G245" s="289"/>
      <c r="H245" s="181" t="s">
        <v>319</v>
      </c>
      <c r="I245" s="270"/>
      <c r="J245" s="271"/>
      <c r="K245" s="271"/>
      <c r="L245" s="261">
        <f>L250+L254+L258</f>
        <v>5191200</v>
      </c>
      <c r="M245" s="261">
        <f>M250+M254+M258</f>
        <v>866930.4</v>
      </c>
      <c r="N245" s="271"/>
      <c r="O245" s="271"/>
      <c r="P245" s="271"/>
      <c r="Q245" s="271"/>
      <c r="R245" s="261">
        <f>R250+R254+R258</f>
        <v>3200000</v>
      </c>
      <c r="S245" s="261">
        <f>S250+S254+S258</f>
        <v>2400000</v>
      </c>
      <c r="T245" s="261">
        <f>T250+T254+T258</f>
        <v>0</v>
      </c>
      <c r="U245" s="261">
        <f>U250+U254+U258</f>
        <v>3200000</v>
      </c>
      <c r="V245" s="271"/>
      <c r="W245" s="271"/>
      <c r="X245" s="271"/>
      <c r="Y245" s="261">
        <f>Y250+Y254+Y258</f>
        <v>0</v>
      </c>
      <c r="Z245" s="261">
        <f>Z250+Z254+Z258</f>
        <v>0</v>
      </c>
      <c r="AA245" s="271"/>
      <c r="AB245" s="261">
        <f>AB250+AB254+AB258</f>
        <v>1634000</v>
      </c>
      <c r="AC245" s="261">
        <f>AC250+AC254+AC258</f>
        <v>51980000</v>
      </c>
      <c r="AD245" s="261">
        <f>AD250+AD254+AD258</f>
        <v>184500000</v>
      </c>
      <c r="AE245" s="261">
        <f>AE250+AE254+AE258</f>
        <v>1361400</v>
      </c>
      <c r="AF245" s="261">
        <f>AF250+AF254+AF258</f>
        <v>248275400</v>
      </c>
      <c r="AG245" s="271"/>
      <c r="AH245" s="271"/>
      <c r="AI245" s="271"/>
      <c r="AJ245" s="261">
        <f>AJ250+AJ254+AJ258</f>
        <v>0</v>
      </c>
      <c r="AK245" s="261">
        <f>AK250+AK254+AK258</f>
        <v>0</v>
      </c>
      <c r="AL245" s="261">
        <f>AL250+AL254+AL258</f>
        <v>0</v>
      </c>
      <c r="AM245" s="261">
        <f>AM250+AM254+AM258</f>
        <v>0</v>
      </c>
      <c r="AN245" s="261">
        <f>AN250+AN254+AN258</f>
        <v>0</v>
      </c>
      <c r="AO245" s="272"/>
      <c r="AP245" s="260"/>
      <c r="AQ245" s="261">
        <f t="shared" ref="AQ245:BB245" si="165">AQ250+AQ254+AQ258</f>
        <v>6058130.4000000004</v>
      </c>
      <c r="AR245" s="261">
        <f t="shared" si="165"/>
        <v>248275400</v>
      </c>
      <c r="AS245" s="261">
        <f t="shared" si="165"/>
        <v>0</v>
      </c>
      <c r="AT245" s="261">
        <f t="shared" si="165"/>
        <v>254333530.39999998</v>
      </c>
      <c r="AU245" s="261">
        <f t="shared" si="165"/>
        <v>6058130.4000000004</v>
      </c>
      <c r="AV245" s="261">
        <f t="shared" si="165"/>
        <v>0</v>
      </c>
      <c r="AW245" s="261">
        <f t="shared" si="165"/>
        <v>0</v>
      </c>
      <c r="AX245" s="261">
        <f t="shared" si="165"/>
        <v>0</v>
      </c>
      <c r="AY245" s="261">
        <f t="shared" si="165"/>
        <v>0</v>
      </c>
      <c r="AZ245" s="261">
        <f t="shared" si="165"/>
        <v>0</v>
      </c>
      <c r="BA245" s="261">
        <f t="shared" si="165"/>
        <v>0</v>
      </c>
      <c r="BB245" s="261">
        <f t="shared" si="165"/>
        <v>-248275400</v>
      </c>
      <c r="BC245" s="184"/>
      <c r="BD245" s="184"/>
      <c r="BE245" s="184"/>
      <c r="BF245" s="184"/>
    </row>
    <row r="246" spans="1:58" ht="94.5" x14ac:dyDescent="0.25">
      <c r="A246" s="172"/>
      <c r="B246" s="200"/>
      <c r="C246" s="201"/>
      <c r="D246" s="346"/>
      <c r="E246" s="355"/>
      <c r="F246" s="355"/>
      <c r="G246" s="356"/>
      <c r="H246" s="199" t="s">
        <v>320</v>
      </c>
      <c r="I246" s="178" t="s">
        <v>3</v>
      </c>
      <c r="J246" s="174">
        <v>3</v>
      </c>
      <c r="K246" s="174">
        <v>6</v>
      </c>
      <c r="L246" s="125">
        <f>IF(I246&lt;&gt;0,((VLOOKUP(I246,'1. Standard_Cost'!$B$4:$D$11,2)+VLOOKUP(I246,'1. Standard_Cost'!$B$4:$D$11,3))*J246*K246),"0")</f>
        <v>1814400</v>
      </c>
      <c r="M246" s="125">
        <f>L246*'1. Standard_Cost'!$F$4</f>
        <v>303004.79999999999</v>
      </c>
      <c r="N246" s="174"/>
      <c r="O246" s="174"/>
      <c r="P246" s="174"/>
      <c r="Q246" s="174"/>
      <c r="R246" s="127">
        <f>'1. Standard_Cost'!$B$15*N246*P246</f>
        <v>0</v>
      </c>
      <c r="S246" s="127">
        <f>N246*O246*P246*'1. Standard_Cost'!$C$15</f>
        <v>0</v>
      </c>
      <c r="T246" s="127">
        <f>N246*P246*Q246*'1. Standard_Cost'!$D$15</f>
        <v>0</v>
      </c>
      <c r="U246" s="127">
        <f>N246*O246*'1. Standard_Cost'!$E$15</f>
        <v>0</v>
      </c>
      <c r="V246" s="174"/>
      <c r="W246" s="174"/>
      <c r="X246" s="174"/>
      <c r="Y246" s="127">
        <f>+V246*((X246*'1. Standard_Cost'!$B$19)+(W246*X246*'1. Standard_Cost'!$C$19))</f>
        <v>0</v>
      </c>
      <c r="Z246" s="174"/>
      <c r="AA246" s="174"/>
      <c r="AB246" s="127">
        <v>0</v>
      </c>
      <c r="AC246" s="176"/>
      <c r="AD246" s="177">
        <f>246000000*25%</f>
        <v>61500000</v>
      </c>
      <c r="AE246" s="127"/>
      <c r="AF246" s="127">
        <f>SUM(AE246,AD246,AC246,AB246,Y246,U246,T246,S246,R246)</f>
        <v>61500000</v>
      </c>
      <c r="AG246" s="174"/>
      <c r="AH246" s="174"/>
      <c r="AI246" s="174"/>
      <c r="AJ246" s="178"/>
      <c r="AK246" s="178"/>
      <c r="AL246" s="178"/>
      <c r="AM246" s="127">
        <f>AG246*'1. Standard_Cost'!$B$27+'Incremental_Cost Year 10'!AH246*'1. Standard_Cost'!$C$27+'Incremental_Cost Year 10'!AI246*'1. Standard_Cost'!$D$27+'Incremental_Cost Year 10'!AJ246+'Incremental_Cost Year 10'!AL246+AK246</f>
        <v>0</v>
      </c>
      <c r="AN246" s="127">
        <f>AM246*'1. Standard_Cost'!$C$31</f>
        <v>0</v>
      </c>
      <c r="AO246" s="178"/>
      <c r="AP246" s="256"/>
      <c r="AQ246" s="171">
        <f>L246+M246</f>
        <v>2117404.7999999998</v>
      </c>
      <c r="AR246" s="171">
        <f>AF246</f>
        <v>61500000</v>
      </c>
      <c r="AS246" s="171">
        <f>AM246+AN246</f>
        <v>0</v>
      </c>
      <c r="AT246" s="171">
        <f>SUM(AQ246,AR246,AS246)</f>
        <v>63617404.799999997</v>
      </c>
      <c r="AU246" s="250">
        <f>AQ246</f>
        <v>2117404.7999999998</v>
      </c>
      <c r="AV246" s="250"/>
      <c r="AW246" s="250"/>
      <c r="AX246" s="250"/>
      <c r="AY246" s="250"/>
      <c r="AZ246" s="250"/>
      <c r="BA246" s="250"/>
      <c r="BB246" s="251">
        <f t="shared" ref="BB246:BB249" si="166">SUM(AU246:BA246)-AT246</f>
        <v>-61500000</v>
      </c>
      <c r="BC246" s="169"/>
      <c r="BD246" s="169"/>
      <c r="BE246" s="169"/>
      <c r="BF246" s="169"/>
    </row>
    <row r="247" spans="1:58" ht="63" x14ac:dyDescent="0.25">
      <c r="A247" s="172"/>
      <c r="B247" s="200"/>
      <c r="C247" s="201"/>
      <c r="D247" s="203"/>
      <c r="E247" s="358"/>
      <c r="F247" s="358"/>
      <c r="G247" s="359"/>
      <c r="H247" s="199" t="s">
        <v>321</v>
      </c>
      <c r="I247" s="178" t="s">
        <v>3</v>
      </c>
      <c r="J247" s="174">
        <v>0.5</v>
      </c>
      <c r="K247" s="174">
        <v>1</v>
      </c>
      <c r="L247" s="125">
        <f>IF(I247&lt;&gt;0,((VLOOKUP(I247,'1. Standard_Cost'!$B$4:$D$11,2)+VLOOKUP(I247,'1. Standard_Cost'!$B$4:$D$11,3))*J247*K247),"0")</f>
        <v>50400</v>
      </c>
      <c r="M247" s="125">
        <f>L247*'1. Standard_Cost'!$F$4</f>
        <v>8416.8000000000011</v>
      </c>
      <c r="N247" s="174"/>
      <c r="O247" s="174"/>
      <c r="P247" s="174"/>
      <c r="Q247" s="174"/>
      <c r="R247" s="127">
        <f>'1. Standard_Cost'!$B$15*N247*P247</f>
        <v>0</v>
      </c>
      <c r="S247" s="127">
        <f>N247*O247*P247*'1. Standard_Cost'!$C$15</f>
        <v>0</v>
      </c>
      <c r="T247" s="127">
        <f>N247*P247*Q247*'1. Standard_Cost'!$D$15</f>
        <v>0</v>
      </c>
      <c r="U247" s="127">
        <f>N247*O247*'1. Standard_Cost'!$E$15</f>
        <v>0</v>
      </c>
      <c r="V247" s="174"/>
      <c r="W247" s="174"/>
      <c r="X247" s="174"/>
      <c r="Y247" s="127">
        <f>+V247*((X247*'1. Standard_Cost'!$B$19)+(W247*X247*'1. Standard_Cost'!$C$19))</f>
        <v>0</v>
      </c>
      <c r="Z247" s="174"/>
      <c r="AA247" s="174"/>
      <c r="AB247" s="127">
        <v>0</v>
      </c>
      <c r="AC247" s="176">
        <v>1500000</v>
      </c>
      <c r="AD247" s="177"/>
      <c r="AE247" s="127"/>
      <c r="AF247" s="127">
        <f>SUM(AE247,AD247,AC247,AB247,Y247,U247,T247,S247,R247)</f>
        <v>1500000</v>
      </c>
      <c r="AG247" s="174"/>
      <c r="AH247" s="174"/>
      <c r="AI247" s="174"/>
      <c r="AJ247" s="178"/>
      <c r="AK247" s="178"/>
      <c r="AL247" s="178"/>
      <c r="AM247" s="127">
        <f>AG247*'1. Standard_Cost'!$B$27+'Incremental_Cost Year 10'!AH247*'1. Standard_Cost'!$C$27+'Incremental_Cost Year 10'!AI247*'1. Standard_Cost'!$D$27+'Incremental_Cost Year 10'!AJ247+'Incremental_Cost Year 10'!AL247+AK247</f>
        <v>0</v>
      </c>
      <c r="AN247" s="127">
        <f>AM247*'1. Standard_Cost'!$C$31</f>
        <v>0</v>
      </c>
      <c r="AO247" s="178"/>
      <c r="AP247" s="256"/>
      <c r="AQ247" s="171">
        <f>L247+M247</f>
        <v>58816.800000000003</v>
      </c>
      <c r="AR247" s="171">
        <f>AF247</f>
        <v>1500000</v>
      </c>
      <c r="AS247" s="171">
        <f>AM247+AN247</f>
        <v>0</v>
      </c>
      <c r="AT247" s="171">
        <f>SUM(AQ247,AR247,AS247)</f>
        <v>1558816.8</v>
      </c>
      <c r="AU247" s="250">
        <f>AQ247</f>
        <v>58816.800000000003</v>
      </c>
      <c r="AV247" s="250"/>
      <c r="AW247" s="250"/>
      <c r="AX247" s="250"/>
      <c r="AY247" s="250"/>
      <c r="AZ247" s="250"/>
      <c r="BA247" s="250"/>
      <c r="BB247" s="251">
        <f t="shared" si="166"/>
        <v>-1500000</v>
      </c>
      <c r="BC247" s="169"/>
      <c r="BD247" s="169"/>
      <c r="BE247" s="169"/>
      <c r="BF247" s="169"/>
    </row>
    <row r="248" spans="1:58" ht="110.25" x14ac:dyDescent="0.25">
      <c r="A248" s="172"/>
      <c r="B248" s="200"/>
      <c r="C248" s="201"/>
      <c r="D248" s="203"/>
      <c r="E248" s="358"/>
      <c r="F248" s="358"/>
      <c r="G248" s="359"/>
      <c r="H248" s="213" t="s">
        <v>322</v>
      </c>
      <c r="I248" s="178" t="s">
        <v>3</v>
      </c>
      <c r="J248" s="174">
        <v>0.5</v>
      </c>
      <c r="K248" s="174">
        <v>2</v>
      </c>
      <c r="L248" s="125">
        <f>IF(I248&lt;&gt;0,((VLOOKUP(I248,'1. Standard_Cost'!$B$4:$D$11,2)+VLOOKUP(I248,'1. Standard_Cost'!$B$4:$D$11,3))*J248*K248),"0")</f>
        <v>100800</v>
      </c>
      <c r="M248" s="125">
        <f>L248*'1. Standard_Cost'!$F$4</f>
        <v>16833.600000000002</v>
      </c>
      <c r="N248" s="174"/>
      <c r="O248" s="174"/>
      <c r="P248" s="174"/>
      <c r="Q248" s="174"/>
      <c r="R248" s="127">
        <f>'1. Standard_Cost'!$B$15*N248*P248</f>
        <v>0</v>
      </c>
      <c r="S248" s="127">
        <f>N248*O248*P248*'1. Standard_Cost'!$C$15</f>
        <v>0</v>
      </c>
      <c r="T248" s="127">
        <f>N248*P248*Q248*'1. Standard_Cost'!$D$15</f>
        <v>0</v>
      </c>
      <c r="U248" s="127">
        <f>N248*O248*'1. Standard_Cost'!$E$15</f>
        <v>0</v>
      </c>
      <c r="V248" s="174"/>
      <c r="W248" s="174"/>
      <c r="X248" s="174"/>
      <c r="Y248" s="127">
        <f>+V248*((X248*'1. Standard_Cost'!$B$19)+(W248*X248*'1. Standard_Cost'!$C$19))</f>
        <v>0</v>
      </c>
      <c r="Z248" s="174"/>
      <c r="AA248" s="174"/>
      <c r="AB248" s="127">
        <v>0</v>
      </c>
      <c r="AC248" s="176">
        <f>1000000*50</f>
        <v>50000000</v>
      </c>
      <c r="AD248" s="177"/>
      <c r="AE248" s="127"/>
      <c r="AF248" s="127">
        <f>SUM(AE248,AD248,AC248,AB248,Y248,U248,T248,S248,R248)</f>
        <v>50000000</v>
      </c>
      <c r="AG248" s="174"/>
      <c r="AH248" s="174"/>
      <c r="AI248" s="174"/>
      <c r="AJ248" s="178"/>
      <c r="AK248" s="178"/>
      <c r="AL248" s="178"/>
      <c r="AM248" s="127">
        <f>AG248*'1. Standard_Cost'!$B$27+'Incremental_Cost Year 10'!AH248*'1. Standard_Cost'!$C$27+'Incremental_Cost Year 10'!AI248*'1. Standard_Cost'!$D$27+'Incremental_Cost Year 10'!AJ248+'Incremental_Cost Year 10'!AL248+AK248</f>
        <v>0</v>
      </c>
      <c r="AN248" s="127">
        <f>AM248*'1. Standard_Cost'!$C$31</f>
        <v>0</v>
      </c>
      <c r="AO248" s="178"/>
      <c r="AP248" s="256"/>
      <c r="AQ248" s="171">
        <f>L248+M248</f>
        <v>117633.60000000001</v>
      </c>
      <c r="AR248" s="171">
        <f>AF248</f>
        <v>50000000</v>
      </c>
      <c r="AS248" s="171">
        <f>AM248+AN248</f>
        <v>0</v>
      </c>
      <c r="AT248" s="171">
        <f>SUM(AQ248,AR248,AS248)</f>
        <v>50117633.600000001</v>
      </c>
      <c r="AU248" s="250">
        <f>AQ248</f>
        <v>117633.60000000001</v>
      </c>
      <c r="AV248" s="250"/>
      <c r="AW248" s="250"/>
      <c r="AX248" s="250"/>
      <c r="AY248" s="250"/>
      <c r="AZ248" s="250"/>
      <c r="BA248" s="250"/>
      <c r="BB248" s="251">
        <f t="shared" si="166"/>
        <v>-50000000</v>
      </c>
      <c r="BC248" s="169"/>
      <c r="BD248" s="169"/>
      <c r="BE248" s="169"/>
      <c r="BF248" s="169"/>
    </row>
    <row r="249" spans="1:58" ht="47.25" x14ac:dyDescent="0.25">
      <c r="A249" s="172"/>
      <c r="B249" s="200"/>
      <c r="C249" s="201"/>
      <c r="D249" s="133"/>
      <c r="E249" s="361"/>
      <c r="F249" s="361"/>
      <c r="G249" s="362"/>
      <c r="H249" s="199" t="s">
        <v>323</v>
      </c>
      <c r="I249" s="178"/>
      <c r="J249" s="174"/>
      <c r="K249" s="174"/>
      <c r="L249" s="125" t="str">
        <f>IF(I249&lt;&gt;0,((VLOOKUP(I249,'1. Standard_Cost'!$B$4:$D$11,2)+VLOOKUP(I249,'1. Standard_Cost'!$B$4:$D$11,3))*J249*K249),"0")</f>
        <v>0</v>
      </c>
      <c r="M249" s="125">
        <f>L249*'1. Standard_Cost'!$F$4</f>
        <v>0</v>
      </c>
      <c r="N249" s="174"/>
      <c r="O249" s="174"/>
      <c r="P249" s="174"/>
      <c r="Q249" s="174"/>
      <c r="R249" s="127">
        <f>'1. Standard_Cost'!$B$15*N249*P249</f>
        <v>0</v>
      </c>
      <c r="S249" s="127">
        <f>N249*O249*P249*'1. Standard_Cost'!$C$15</f>
        <v>0</v>
      </c>
      <c r="T249" s="127">
        <f>N249*P249*Q249*'1. Standard_Cost'!$D$15</f>
        <v>0</v>
      </c>
      <c r="U249" s="127">
        <f>N249*O249*'1. Standard_Cost'!$E$15</f>
        <v>0</v>
      </c>
      <c r="V249" s="174"/>
      <c r="W249" s="174"/>
      <c r="X249" s="174"/>
      <c r="Y249" s="127">
        <f>+V249*((X249*'1. Standard_Cost'!$B$19)+(W249*X249*'1. Standard_Cost'!$C$19))</f>
        <v>0</v>
      </c>
      <c r="Z249" s="174"/>
      <c r="AA249" s="174"/>
      <c r="AB249" s="127">
        <v>0</v>
      </c>
      <c r="AC249" s="176"/>
      <c r="AD249" s="177"/>
      <c r="AE249" s="127">
        <f>SUM(AD249,AC249,AB249,Y249,U249,T249,S249,R249)*'1. Standard_Cost'!$B$31</f>
        <v>0</v>
      </c>
      <c r="AF249" s="127">
        <f>SUM(AE249,AD249,AC249,AB249,Y249,U249,T249,S249,R249)</f>
        <v>0</v>
      </c>
      <c r="AG249" s="174"/>
      <c r="AH249" s="174"/>
      <c r="AI249" s="174"/>
      <c r="AJ249" s="178"/>
      <c r="AK249" s="178"/>
      <c r="AL249" s="178"/>
      <c r="AM249" s="127">
        <f>AG249*'1. Standard_Cost'!$B$27+'Incremental_Cost Year 10'!AH249*'1. Standard_Cost'!$C$27+'Incremental_Cost Year 10'!AI249*'1. Standard_Cost'!$D$27+'Incremental_Cost Year 10'!AJ249+'Incremental_Cost Year 10'!AL249+AK249</f>
        <v>0</v>
      </c>
      <c r="AN249" s="127">
        <f>AM249*'1. Standard_Cost'!$C$31</f>
        <v>0</v>
      </c>
      <c r="AO249" s="178"/>
      <c r="AP249" s="256"/>
      <c r="AQ249" s="171">
        <f>L249+M249</f>
        <v>0</v>
      </c>
      <c r="AR249" s="171">
        <f>AF249</f>
        <v>0</v>
      </c>
      <c r="AS249" s="171">
        <f>AM249+AN249</f>
        <v>0</v>
      </c>
      <c r="AT249" s="171">
        <f>SUM(AQ249,AR249,AS249)</f>
        <v>0</v>
      </c>
      <c r="AU249" s="250"/>
      <c r="AV249" s="250"/>
      <c r="AW249" s="250"/>
      <c r="AX249" s="250"/>
      <c r="AY249" s="250"/>
      <c r="AZ249" s="250"/>
      <c r="BA249" s="250"/>
      <c r="BB249" s="251">
        <f t="shared" si="166"/>
        <v>0</v>
      </c>
      <c r="BC249" s="169"/>
      <c r="BD249" s="169"/>
      <c r="BE249" s="169"/>
      <c r="BF249" s="169"/>
    </row>
    <row r="250" spans="1:58" ht="30" x14ac:dyDescent="0.25">
      <c r="A250" s="172"/>
      <c r="B250" s="363"/>
      <c r="C250" s="364"/>
      <c r="D250" s="365" t="s">
        <v>559</v>
      </c>
      <c r="E250" s="365" t="s">
        <v>324</v>
      </c>
      <c r="F250" s="366">
        <v>2025</v>
      </c>
      <c r="G250" s="209">
        <v>2030</v>
      </c>
      <c r="H250" s="180" t="s">
        <v>325</v>
      </c>
      <c r="I250" s="273"/>
      <c r="J250" s="273"/>
      <c r="K250" s="273"/>
      <c r="L250" s="175">
        <f>SUM(L246:L249)</f>
        <v>1965600</v>
      </c>
      <c r="M250" s="175">
        <f>SUM(M246:M249)</f>
        <v>328255.19999999995</v>
      </c>
      <c r="N250" s="273"/>
      <c r="O250" s="273"/>
      <c r="P250" s="273"/>
      <c r="Q250" s="273"/>
      <c r="R250" s="175">
        <f>SUM(R246:R249)</f>
        <v>0</v>
      </c>
      <c r="S250" s="175">
        <f>SUM(S246:S249)</f>
        <v>0</v>
      </c>
      <c r="T250" s="175">
        <f>SUM(T246:T249)</f>
        <v>0</v>
      </c>
      <c r="U250" s="175">
        <f>SUM(U246:U249)</f>
        <v>0</v>
      </c>
      <c r="V250" s="273"/>
      <c r="W250" s="273"/>
      <c r="X250" s="273"/>
      <c r="Y250" s="175">
        <f>SUM(Y246:Y249)</f>
        <v>0</v>
      </c>
      <c r="Z250" s="273"/>
      <c r="AA250" s="273"/>
      <c r="AB250" s="175">
        <f>SUM(AB246:AB249)</f>
        <v>0</v>
      </c>
      <c r="AC250" s="175">
        <f>SUM(AC246:AC249)</f>
        <v>51500000</v>
      </c>
      <c r="AD250" s="175">
        <f>SUM(AD246:AD249)</f>
        <v>61500000</v>
      </c>
      <c r="AE250" s="175">
        <f>SUM(AE246:AE249)</f>
        <v>0</v>
      </c>
      <c r="AF250" s="175">
        <f>SUM(AF246:AF249)</f>
        <v>113000000</v>
      </c>
      <c r="AG250" s="273"/>
      <c r="AH250" s="273"/>
      <c r="AI250" s="273"/>
      <c r="AJ250" s="175">
        <f>SUM(AJ246:AJ249)</f>
        <v>0</v>
      </c>
      <c r="AK250" s="175">
        <f>SUM(AK246:AK249)</f>
        <v>0</v>
      </c>
      <c r="AL250" s="175">
        <f>SUM(AL246:AL249)</f>
        <v>0</v>
      </c>
      <c r="AM250" s="175">
        <f>SUM(AM246:AM249)</f>
        <v>0</v>
      </c>
      <c r="AN250" s="175">
        <f>SUM(AN246:AN249)</f>
        <v>0</v>
      </c>
      <c r="AO250" s="274"/>
      <c r="AP250" s="254"/>
      <c r="AQ250" s="175">
        <f t="shared" ref="AQ250:AT250" si="167">SUM(AQ246:AQ249)</f>
        <v>2293855.1999999997</v>
      </c>
      <c r="AR250" s="175">
        <f t="shared" si="167"/>
        <v>113000000</v>
      </c>
      <c r="AS250" s="175">
        <f t="shared" si="167"/>
        <v>0</v>
      </c>
      <c r="AT250" s="175">
        <f t="shared" si="167"/>
        <v>115293855.19999999</v>
      </c>
      <c r="AU250" s="175">
        <f t="shared" ref="AU250:BB250" si="168">SUM(AU246:AU249)</f>
        <v>2293855.1999999997</v>
      </c>
      <c r="AV250" s="175">
        <f t="shared" si="168"/>
        <v>0</v>
      </c>
      <c r="AW250" s="175">
        <f t="shared" si="168"/>
        <v>0</v>
      </c>
      <c r="AX250" s="175">
        <f t="shared" si="168"/>
        <v>0</v>
      </c>
      <c r="AY250" s="175">
        <f t="shared" si="168"/>
        <v>0</v>
      </c>
      <c r="AZ250" s="175">
        <f t="shared" si="168"/>
        <v>0</v>
      </c>
      <c r="BA250" s="175">
        <f t="shared" si="168"/>
        <v>0</v>
      </c>
      <c r="BB250" s="175">
        <f t="shared" si="168"/>
        <v>-113000000</v>
      </c>
      <c r="BC250" s="169"/>
      <c r="BD250" s="169"/>
      <c r="BE250" s="169"/>
      <c r="BF250" s="169"/>
    </row>
    <row r="251" spans="1:58" ht="110.25" x14ac:dyDescent="0.25">
      <c r="A251" s="172"/>
      <c r="B251" s="200"/>
      <c r="C251" s="201"/>
      <c r="D251" s="202"/>
      <c r="E251" s="354"/>
      <c r="F251" s="355"/>
      <c r="G251" s="356"/>
      <c r="H251" s="213" t="s">
        <v>361</v>
      </c>
      <c r="I251" s="178"/>
      <c r="J251" s="174"/>
      <c r="K251" s="174"/>
      <c r="L251" s="125" t="str">
        <f>IF(I251&lt;&gt;0,((VLOOKUP(I251,'1. Standard_Cost'!$B$4:$D$11,2)+VLOOKUP(I251,'1. Standard_Cost'!$B$4:$D$11,3))*J251*K251),"0")</f>
        <v>0</v>
      </c>
      <c r="M251" s="125">
        <f>L251*'1. Standard_Cost'!$F$4</f>
        <v>0</v>
      </c>
      <c r="N251" s="174"/>
      <c r="O251" s="174"/>
      <c r="P251" s="174"/>
      <c r="Q251" s="174"/>
      <c r="R251" s="127">
        <f>'1. Standard_Cost'!$B$15*N251*P251</f>
        <v>0</v>
      </c>
      <c r="S251" s="127">
        <f>N251*O251*P251*'1. Standard_Cost'!$C$15</f>
        <v>0</v>
      </c>
      <c r="T251" s="127">
        <f>N251*P251*Q251*'1. Standard_Cost'!$D$15</f>
        <v>0</v>
      </c>
      <c r="U251" s="127">
        <f>N251*O251*'1. Standard_Cost'!$E$15</f>
        <v>0</v>
      </c>
      <c r="V251" s="174"/>
      <c r="W251" s="174"/>
      <c r="X251" s="174"/>
      <c r="Y251" s="127">
        <f>+V251*((X251*'1. Standard_Cost'!$B$19)+(W251*X251*'1. Standard_Cost'!$C$19))</f>
        <v>0</v>
      </c>
      <c r="Z251" s="174"/>
      <c r="AA251" s="174"/>
      <c r="AB251" s="127">
        <v>0</v>
      </c>
      <c r="AC251" s="176"/>
      <c r="AD251" s="177"/>
      <c r="AE251" s="127">
        <f>SUM(AD251,AC251,AB251,Y251,U251,T251,S251,R251)*'1. Standard_Cost'!$B$31</f>
        <v>0</v>
      </c>
      <c r="AF251" s="127">
        <f>SUM(AE251,AD251,AC251,AB251,Y251,U251,T251,S251,R251)</f>
        <v>0</v>
      </c>
      <c r="AG251" s="174"/>
      <c r="AH251" s="174"/>
      <c r="AI251" s="174"/>
      <c r="AJ251" s="178"/>
      <c r="AK251" s="178"/>
      <c r="AL251" s="178"/>
      <c r="AM251" s="127">
        <f>AG251*'1. Standard_Cost'!$B$27+'Incremental_Cost Year 10'!AH251*'1. Standard_Cost'!$C$27+'Incremental_Cost Year 10'!AI251*'1. Standard_Cost'!$D$27+'Incremental_Cost Year 10'!AJ251+'Incremental_Cost Year 10'!AL251+AK251</f>
        <v>0</v>
      </c>
      <c r="AN251" s="127">
        <f>AM251*'1. Standard_Cost'!$C$31</f>
        <v>0</v>
      </c>
      <c r="AO251" s="178"/>
      <c r="AP251" s="256"/>
      <c r="AQ251" s="171">
        <f>L251+M251</f>
        <v>0</v>
      </c>
      <c r="AR251" s="171">
        <f>AF251</f>
        <v>0</v>
      </c>
      <c r="AS251" s="171">
        <f>AM251+AN251</f>
        <v>0</v>
      </c>
      <c r="AT251" s="171">
        <f>SUM(AQ251,AR251,AS251)</f>
        <v>0</v>
      </c>
      <c r="AU251" s="250"/>
      <c r="AV251" s="250"/>
      <c r="AW251" s="250">
        <f>AT251</f>
        <v>0</v>
      </c>
      <c r="AX251" s="250"/>
      <c r="AY251" s="250"/>
      <c r="AZ251" s="250"/>
      <c r="BA251" s="250"/>
      <c r="BB251" s="251">
        <f t="shared" ref="BB251:BB253" si="169">SUM(AU251:BA251)-AT251</f>
        <v>0</v>
      </c>
      <c r="BC251" s="169"/>
      <c r="BD251" s="169"/>
      <c r="BE251" s="169"/>
      <c r="BF251" s="169"/>
    </row>
    <row r="252" spans="1:58" ht="189" x14ac:dyDescent="0.25">
      <c r="A252" s="172"/>
      <c r="B252" s="200"/>
      <c r="C252" s="201"/>
      <c r="D252" s="202"/>
      <c r="E252" s="357"/>
      <c r="F252" s="358"/>
      <c r="G252" s="359"/>
      <c r="H252" s="199" t="s">
        <v>326</v>
      </c>
      <c r="I252" s="178" t="s">
        <v>3</v>
      </c>
      <c r="J252" s="174">
        <v>3</v>
      </c>
      <c r="K252" s="174">
        <v>3</v>
      </c>
      <c r="L252" s="125">
        <f>IF(I252&lt;&gt;0,((VLOOKUP(I252,'1. Standard_Cost'!$B$4:$D$11,2)+VLOOKUP(I252,'1. Standard_Cost'!$B$4:$D$11,3))*J252*K252),"0")</f>
        <v>907200</v>
      </c>
      <c r="M252" s="125">
        <f>L252*'1. Standard_Cost'!$F$4</f>
        <v>151502.39999999999</v>
      </c>
      <c r="N252" s="174">
        <v>30</v>
      </c>
      <c r="O252" s="174">
        <v>1</v>
      </c>
      <c r="P252" s="174">
        <v>20</v>
      </c>
      <c r="Q252" s="174"/>
      <c r="R252" s="127">
        <f>'1. Standard_Cost'!$B$15*N252*P252</f>
        <v>1200000</v>
      </c>
      <c r="S252" s="127">
        <f>N252*O252*P252*'1. Standard_Cost'!$C$15</f>
        <v>900000</v>
      </c>
      <c r="T252" s="127">
        <f>N252*P252*Q252*'1. Standard_Cost'!$D$15</f>
        <v>0</v>
      </c>
      <c r="U252" s="127">
        <f>N252*O252*'1. Standard_Cost'!$E$15</f>
        <v>1200000</v>
      </c>
      <c r="V252" s="174"/>
      <c r="W252" s="174"/>
      <c r="X252" s="174"/>
      <c r="Y252" s="127">
        <f>+V252*((X252*'1. Standard_Cost'!$B$19)+(W252*X252*'1. Standard_Cost'!$C$19))</f>
        <v>0</v>
      </c>
      <c r="Z252" s="174"/>
      <c r="AA252" s="174">
        <v>33</v>
      </c>
      <c r="AB252" s="127">
        <v>627000</v>
      </c>
      <c r="AC252" s="176">
        <f>600*300</f>
        <v>180000</v>
      </c>
      <c r="AD252" s="177"/>
      <c r="AE252" s="127"/>
      <c r="AF252" s="127">
        <f>SUM(AE252,AD252,AC252,AB252,Y252,U252,T252,S252,R252)</f>
        <v>4107000</v>
      </c>
      <c r="AG252" s="174"/>
      <c r="AH252" s="174"/>
      <c r="AI252" s="174"/>
      <c r="AJ252" s="178"/>
      <c r="AK252" s="178"/>
      <c r="AL252" s="178"/>
      <c r="AM252" s="127">
        <f>AG252*'1. Standard_Cost'!$B$27+'Incremental_Cost Year 10'!AH252*'1. Standard_Cost'!$C$27+'Incremental_Cost Year 10'!AI252*'1. Standard_Cost'!$D$27+'Incremental_Cost Year 10'!AJ252+'Incremental_Cost Year 10'!AL252+AK252</f>
        <v>0</v>
      </c>
      <c r="AN252" s="127">
        <f>AM252*'1. Standard_Cost'!$C$31</f>
        <v>0</v>
      </c>
      <c r="AO252" s="178"/>
      <c r="AP252" s="256"/>
      <c r="AQ252" s="171">
        <f>L252+M252</f>
        <v>1058702.3999999999</v>
      </c>
      <c r="AR252" s="171">
        <f>AF252</f>
        <v>4107000</v>
      </c>
      <c r="AS252" s="171">
        <f>AM252+AN252</f>
        <v>0</v>
      </c>
      <c r="AT252" s="171">
        <f>SUM(AQ252,AR252,AS252)</f>
        <v>5165702.4000000004</v>
      </c>
      <c r="AU252" s="250">
        <f>AQ252</f>
        <v>1058702.3999999999</v>
      </c>
      <c r="AV252" s="250"/>
      <c r="AW252" s="250"/>
      <c r="AX252" s="250"/>
      <c r="AY252" s="250"/>
      <c r="AZ252" s="250"/>
      <c r="BA252" s="250"/>
      <c r="BB252" s="251">
        <f t="shared" si="169"/>
        <v>-4107000.0000000005</v>
      </c>
      <c r="BC252" s="169"/>
      <c r="BD252" s="169"/>
      <c r="BE252" s="169"/>
      <c r="BF252" s="169"/>
    </row>
    <row r="253" spans="1:58" ht="141.75" x14ac:dyDescent="0.25">
      <c r="A253" s="172"/>
      <c r="B253" s="200"/>
      <c r="C253" s="201"/>
      <c r="D253" s="202"/>
      <c r="E253" s="360"/>
      <c r="F253" s="361"/>
      <c r="G253" s="362"/>
      <c r="H253" s="199" t="s">
        <v>327</v>
      </c>
      <c r="I253" s="178" t="s">
        <v>3</v>
      </c>
      <c r="J253" s="174">
        <v>3</v>
      </c>
      <c r="K253" s="174">
        <v>3</v>
      </c>
      <c r="L253" s="125">
        <f>IF(I253&lt;&gt;0,((VLOOKUP(I253,'1. Standard_Cost'!$B$4:$D$11,2)+VLOOKUP(I253,'1. Standard_Cost'!$B$4:$D$11,3))*J253*K253),"0")</f>
        <v>907200</v>
      </c>
      <c r="M253" s="125">
        <f>L253*'1. Standard_Cost'!$F$4</f>
        <v>151502.39999999999</v>
      </c>
      <c r="N253" s="174">
        <v>50</v>
      </c>
      <c r="O253" s="174">
        <v>1</v>
      </c>
      <c r="P253" s="174">
        <v>20</v>
      </c>
      <c r="Q253" s="174"/>
      <c r="R253" s="127">
        <f>'1. Standard_Cost'!$B$15*N253*P253</f>
        <v>2000000</v>
      </c>
      <c r="S253" s="127">
        <f>N253*O253*P253*'1. Standard_Cost'!$C$15</f>
        <v>1500000</v>
      </c>
      <c r="T253" s="127">
        <f>N253*P253*Q253*'1. Standard_Cost'!$D$15</f>
        <v>0</v>
      </c>
      <c r="U253" s="127">
        <f>N253*O253*'1. Standard_Cost'!$E$15</f>
        <v>2000000</v>
      </c>
      <c r="V253" s="174"/>
      <c r="W253" s="174"/>
      <c r="X253" s="174"/>
      <c r="Y253" s="127">
        <f>+V253*((X253*'1. Standard_Cost'!$B$19)+(W253*X253*'1. Standard_Cost'!$C$19))</f>
        <v>0</v>
      </c>
      <c r="Z253" s="174"/>
      <c r="AA253" s="174">
        <v>53</v>
      </c>
      <c r="AB253" s="127">
        <v>1007000</v>
      </c>
      <c r="AC253" s="176">
        <f>1000*300</f>
        <v>300000</v>
      </c>
      <c r="AD253" s="177"/>
      <c r="AE253" s="127">
        <f>SUM(AD253,AC253,AB253,Y253,U253,T253,S253,R253)*'1. Standard_Cost'!$B$31</f>
        <v>1361400</v>
      </c>
      <c r="AF253" s="127">
        <f>SUM(AE253,AD253,AC253,AB253,Y253,U253,T253,S253,R253)</f>
        <v>8168400</v>
      </c>
      <c r="AG253" s="174"/>
      <c r="AH253" s="174"/>
      <c r="AI253" s="174"/>
      <c r="AJ253" s="178"/>
      <c r="AK253" s="178"/>
      <c r="AL253" s="178"/>
      <c r="AM253" s="127">
        <f>AG253*'1. Standard_Cost'!$B$27+'Incremental_Cost Year 10'!AH253*'1. Standard_Cost'!$C$27+'Incremental_Cost Year 10'!AI253*'1. Standard_Cost'!$D$27+'Incremental_Cost Year 10'!AJ253+'Incremental_Cost Year 10'!AL253+AK253</f>
        <v>0</v>
      </c>
      <c r="AN253" s="127">
        <f>AM253*'1. Standard_Cost'!$C$31</f>
        <v>0</v>
      </c>
      <c r="AO253" s="178"/>
      <c r="AP253" s="256"/>
      <c r="AQ253" s="171">
        <f>L253+M253</f>
        <v>1058702.3999999999</v>
      </c>
      <c r="AR253" s="171">
        <f>AF253</f>
        <v>8168400</v>
      </c>
      <c r="AS253" s="171">
        <f>AM253+AN253</f>
        <v>0</v>
      </c>
      <c r="AT253" s="171">
        <f>SUM(AQ253,AR253,AS253)</f>
        <v>9227102.4000000004</v>
      </c>
      <c r="AU253" s="250">
        <f>AQ253</f>
        <v>1058702.3999999999</v>
      </c>
      <c r="AV253" s="250"/>
      <c r="AW253" s="250"/>
      <c r="AX253" s="250"/>
      <c r="AY253" s="250"/>
      <c r="AZ253" s="250"/>
      <c r="BA253" s="250"/>
      <c r="BB253" s="251">
        <f t="shared" si="169"/>
        <v>-8168400</v>
      </c>
      <c r="BC253" s="169"/>
      <c r="BD253" s="169"/>
      <c r="BE253" s="169"/>
      <c r="BF253" s="169"/>
    </row>
    <row r="254" spans="1:58" ht="51" x14ac:dyDescent="0.2">
      <c r="A254" s="172"/>
      <c r="B254" s="168"/>
      <c r="C254" s="204"/>
      <c r="D254" s="195" t="s">
        <v>558</v>
      </c>
      <c r="E254" s="205" t="s">
        <v>328</v>
      </c>
      <c r="F254" s="206">
        <v>2021</v>
      </c>
      <c r="G254" s="209">
        <v>2030</v>
      </c>
      <c r="H254" s="180" t="s">
        <v>329</v>
      </c>
      <c r="I254" s="273"/>
      <c r="J254" s="273"/>
      <c r="K254" s="273"/>
      <c r="L254" s="175">
        <f>SUM(L251:L253)</f>
        <v>1814400</v>
      </c>
      <c r="M254" s="175">
        <f>SUM(M251:M253)</f>
        <v>303004.79999999999</v>
      </c>
      <c r="N254" s="273"/>
      <c r="O254" s="273"/>
      <c r="P254" s="273"/>
      <c r="Q254" s="273"/>
      <c r="R254" s="175">
        <f>SUM(R251:R253)</f>
        <v>3200000</v>
      </c>
      <c r="S254" s="175">
        <f>SUM(S251:S253)</f>
        <v>2400000</v>
      </c>
      <c r="T254" s="175">
        <f>SUM(T251:T253)</f>
        <v>0</v>
      </c>
      <c r="U254" s="175">
        <f>SUM(U251:U253)</f>
        <v>3200000</v>
      </c>
      <c r="V254" s="273"/>
      <c r="W254" s="273"/>
      <c r="X254" s="273"/>
      <c r="Y254" s="175">
        <f>SUM(Y251:Y253)</f>
        <v>0</v>
      </c>
      <c r="Z254" s="273"/>
      <c r="AA254" s="273"/>
      <c r="AB254" s="175">
        <f>SUM(AB251:AB253)</f>
        <v>1634000</v>
      </c>
      <c r="AC254" s="175">
        <f>SUM(AC251:AC253)</f>
        <v>480000</v>
      </c>
      <c r="AD254" s="175">
        <f>SUM(AD251:AD253)</f>
        <v>0</v>
      </c>
      <c r="AE254" s="175">
        <f>SUM(AE251:AE253)</f>
        <v>1361400</v>
      </c>
      <c r="AF254" s="175">
        <f>SUM(AF251:AF253)</f>
        <v>12275400</v>
      </c>
      <c r="AG254" s="273"/>
      <c r="AH254" s="273"/>
      <c r="AI254" s="273"/>
      <c r="AJ254" s="175">
        <f>SUM(AJ251:AJ253)</f>
        <v>0</v>
      </c>
      <c r="AK254" s="175">
        <f>SUM(AK251:AK253)</f>
        <v>0</v>
      </c>
      <c r="AL254" s="175">
        <f>SUM(AL251:AL253)</f>
        <v>0</v>
      </c>
      <c r="AM254" s="175">
        <f>SUM(AM251:AM253)</f>
        <v>0</v>
      </c>
      <c r="AN254" s="175">
        <f>SUM(AN251:AN253)</f>
        <v>0</v>
      </c>
      <c r="AO254" s="274"/>
      <c r="AP254" s="254"/>
      <c r="AQ254" s="175">
        <f t="shared" ref="AQ254:AT254" si="170">SUM(AQ251:AQ253)</f>
        <v>2117404.7999999998</v>
      </c>
      <c r="AR254" s="175">
        <f t="shared" si="170"/>
        <v>12275400</v>
      </c>
      <c r="AS254" s="175">
        <f t="shared" si="170"/>
        <v>0</v>
      </c>
      <c r="AT254" s="175">
        <f t="shared" si="170"/>
        <v>14392804.800000001</v>
      </c>
      <c r="AU254" s="175">
        <f t="shared" ref="AU254:BB254" si="171">SUM(AU251:AU253)</f>
        <v>2117404.7999999998</v>
      </c>
      <c r="AV254" s="175">
        <f t="shared" si="171"/>
        <v>0</v>
      </c>
      <c r="AW254" s="175">
        <f t="shared" si="171"/>
        <v>0</v>
      </c>
      <c r="AX254" s="175">
        <f t="shared" si="171"/>
        <v>0</v>
      </c>
      <c r="AY254" s="175">
        <f t="shared" si="171"/>
        <v>0</v>
      </c>
      <c r="AZ254" s="175">
        <f t="shared" si="171"/>
        <v>0</v>
      </c>
      <c r="BA254" s="175">
        <f t="shared" si="171"/>
        <v>0</v>
      </c>
      <c r="BB254" s="175">
        <f t="shared" si="171"/>
        <v>-12275400</v>
      </c>
      <c r="BC254" s="169"/>
      <c r="BD254" s="169"/>
      <c r="BE254" s="169"/>
      <c r="BF254" s="169"/>
    </row>
    <row r="255" spans="1:58" ht="78.75" x14ac:dyDescent="0.25">
      <c r="A255" s="172"/>
      <c r="B255" s="200"/>
      <c r="C255" s="201"/>
      <c r="D255" s="202"/>
      <c r="E255" s="354"/>
      <c r="F255" s="355"/>
      <c r="G255" s="356"/>
      <c r="H255" s="213" t="s">
        <v>330</v>
      </c>
      <c r="I255" s="178" t="s">
        <v>3</v>
      </c>
      <c r="J255" s="174">
        <v>1</v>
      </c>
      <c r="K255" s="174">
        <v>2</v>
      </c>
      <c r="L255" s="125">
        <f>IF(I255&lt;&gt;0,((VLOOKUP(I255,'1. Standard_Cost'!$B$4:$D$11,2)+VLOOKUP(I255,'1. Standard_Cost'!$B$4:$D$11,3))*J255*K255),"0")</f>
        <v>201600</v>
      </c>
      <c r="M255" s="125">
        <f>L255*'1. Standard_Cost'!$F$4</f>
        <v>33667.200000000004</v>
      </c>
      <c r="N255" s="174"/>
      <c r="O255" s="174"/>
      <c r="P255" s="174"/>
      <c r="Q255" s="174"/>
      <c r="R255" s="127">
        <f>'1. Standard_Cost'!$B$15*N255*P255</f>
        <v>0</v>
      </c>
      <c r="S255" s="127">
        <f>N255*O255*P255*'1. Standard_Cost'!$C$15</f>
        <v>0</v>
      </c>
      <c r="T255" s="127">
        <f>N255*P255*Q255*'1. Standard_Cost'!$D$15</f>
        <v>0</v>
      </c>
      <c r="U255" s="127">
        <f>N255*O255*'1. Standard_Cost'!$E$15</f>
        <v>0</v>
      </c>
      <c r="V255" s="174"/>
      <c r="W255" s="174"/>
      <c r="X255" s="174"/>
      <c r="Y255" s="127">
        <f>+V255*((X255*'1. Standard_Cost'!$B$19)+(W255*X255*'1. Standard_Cost'!$C$19))</f>
        <v>0</v>
      </c>
      <c r="Z255" s="174"/>
      <c r="AA255" s="174"/>
      <c r="AB255" s="127">
        <v>0</v>
      </c>
      <c r="AC255" s="176"/>
      <c r="AD255" s="177">
        <f>123000000*25%</f>
        <v>30750000</v>
      </c>
      <c r="AE255" s="127"/>
      <c r="AF255" s="127">
        <f>SUM(AE255,AD255,AC255,AB255,Y255,U255,T255,S255,R255)</f>
        <v>30750000</v>
      </c>
      <c r="AG255" s="174"/>
      <c r="AH255" s="174"/>
      <c r="AI255" s="174"/>
      <c r="AJ255" s="178"/>
      <c r="AK255" s="178"/>
      <c r="AL255" s="178"/>
      <c r="AM255" s="127">
        <f>AG255*'1. Standard_Cost'!$B$27+'Incremental_Cost Year 10'!AH255*'1. Standard_Cost'!$C$27+'Incremental_Cost Year 10'!AI255*'1. Standard_Cost'!$D$27+'Incremental_Cost Year 10'!AJ255+'Incremental_Cost Year 10'!AL255+AK255</f>
        <v>0</v>
      </c>
      <c r="AN255" s="127">
        <f>AM255*'1. Standard_Cost'!$C$31</f>
        <v>0</v>
      </c>
      <c r="AO255" s="178"/>
      <c r="AP255" s="256"/>
      <c r="AQ255" s="171">
        <f>L255+M255</f>
        <v>235267.20000000001</v>
      </c>
      <c r="AR255" s="171">
        <f>AF255</f>
        <v>30750000</v>
      </c>
      <c r="AS255" s="171">
        <f>AM255+AN255</f>
        <v>0</v>
      </c>
      <c r="AT255" s="171">
        <f>SUM(AQ255,AR255,AS255)</f>
        <v>30985267.199999999</v>
      </c>
      <c r="AU255" s="250">
        <f>AQ255</f>
        <v>235267.20000000001</v>
      </c>
      <c r="AV255" s="250"/>
      <c r="AW255" s="250"/>
      <c r="AX255" s="250"/>
      <c r="AY255" s="250"/>
      <c r="AZ255" s="250"/>
      <c r="BA255" s="250"/>
      <c r="BB255" s="251">
        <f t="shared" ref="BB255:BB257" si="172">SUM(AU255:BA255)-AT255</f>
        <v>-30750000</v>
      </c>
      <c r="BC255" s="169"/>
      <c r="BD255" s="169"/>
      <c r="BE255" s="169"/>
      <c r="BF255" s="169"/>
    </row>
    <row r="256" spans="1:58" ht="78.75" x14ac:dyDescent="0.25">
      <c r="A256" s="172"/>
      <c r="B256" s="200"/>
      <c r="C256" s="201"/>
      <c r="D256" s="202"/>
      <c r="E256" s="357"/>
      <c r="F256" s="358"/>
      <c r="G256" s="359"/>
      <c r="H256" s="199" t="s">
        <v>331</v>
      </c>
      <c r="I256" s="178" t="s">
        <v>3</v>
      </c>
      <c r="J256" s="174">
        <v>2</v>
      </c>
      <c r="K256" s="174">
        <v>6</v>
      </c>
      <c r="L256" s="125">
        <f>IF(I256&lt;&gt;0,((VLOOKUP(I256,'1. Standard_Cost'!$B$4:$D$11,2)+VLOOKUP(I256,'1. Standard_Cost'!$B$4:$D$11,3))*J256*K256),"0")</f>
        <v>1209600</v>
      </c>
      <c r="M256" s="125">
        <f>L256*'1. Standard_Cost'!$F$4</f>
        <v>202003.20000000001</v>
      </c>
      <c r="N256" s="174"/>
      <c r="O256" s="174"/>
      <c r="P256" s="174"/>
      <c r="Q256" s="174"/>
      <c r="R256" s="127">
        <f>'1. Standard_Cost'!$B$15*N256*P256</f>
        <v>0</v>
      </c>
      <c r="S256" s="127">
        <f>N256*O256*P256*'1. Standard_Cost'!$C$15</f>
        <v>0</v>
      </c>
      <c r="T256" s="127">
        <f>N256*P256*Q256*'1. Standard_Cost'!$D$15</f>
        <v>0</v>
      </c>
      <c r="U256" s="127">
        <f>N256*O256*'1. Standard_Cost'!$E$15</f>
        <v>0</v>
      </c>
      <c r="V256" s="174"/>
      <c r="W256" s="174"/>
      <c r="X256" s="174"/>
      <c r="Y256" s="127">
        <f>+V256*((X256*'1. Standard_Cost'!$B$19)+(W256*X256*'1. Standard_Cost'!$C$19))</f>
        <v>0</v>
      </c>
      <c r="Z256" s="174"/>
      <c r="AA256" s="174"/>
      <c r="AB256" s="127">
        <v>0</v>
      </c>
      <c r="AC256" s="176"/>
      <c r="AD256" s="177"/>
      <c r="AE256" s="127">
        <f>SUM(AD256,AC256,AB256,Y256,U256,T256,S256,R256)*'1. Standard_Cost'!$B$31</f>
        <v>0</v>
      </c>
      <c r="AF256" s="127">
        <f>SUM(AE256,AD256,AC256,AB256,Y256,U256,T256,S256,R256)</f>
        <v>0</v>
      </c>
      <c r="AG256" s="174"/>
      <c r="AH256" s="174"/>
      <c r="AI256" s="174"/>
      <c r="AJ256" s="178"/>
      <c r="AK256" s="178"/>
      <c r="AL256" s="178"/>
      <c r="AM256" s="127">
        <f>AG256*'1. Standard_Cost'!$B$27+'Incremental_Cost Year 10'!AH256*'1. Standard_Cost'!$C$27+'Incremental_Cost Year 10'!AI256*'1. Standard_Cost'!$D$27+'Incremental_Cost Year 10'!AJ256+'Incremental_Cost Year 10'!AL256+AK256</f>
        <v>0</v>
      </c>
      <c r="AN256" s="127">
        <f>AM256*'1. Standard_Cost'!$C$31</f>
        <v>0</v>
      </c>
      <c r="AO256" s="178"/>
      <c r="AP256" s="256"/>
      <c r="AQ256" s="171">
        <f>L256+M256</f>
        <v>1411603.2</v>
      </c>
      <c r="AR256" s="171">
        <f>AF256</f>
        <v>0</v>
      </c>
      <c r="AS256" s="171">
        <f>AM256+AN256</f>
        <v>0</v>
      </c>
      <c r="AT256" s="171">
        <f>SUM(AQ256,AR256,AS256)</f>
        <v>1411603.2</v>
      </c>
      <c r="AU256" s="250">
        <f>AT256</f>
        <v>1411603.2</v>
      </c>
      <c r="AV256" s="250"/>
      <c r="AW256" s="250"/>
      <c r="AX256" s="250"/>
      <c r="AY256" s="250"/>
      <c r="AZ256" s="250"/>
      <c r="BA256" s="250"/>
      <c r="BB256" s="251">
        <f t="shared" si="172"/>
        <v>0</v>
      </c>
      <c r="BC256" s="169"/>
      <c r="BD256" s="169"/>
      <c r="BE256" s="169"/>
      <c r="BF256" s="169"/>
    </row>
    <row r="257" spans="1:58" ht="110.25" x14ac:dyDescent="0.25">
      <c r="A257" s="172"/>
      <c r="B257" s="200"/>
      <c r="C257" s="201"/>
      <c r="D257" s="202"/>
      <c r="E257" s="360"/>
      <c r="F257" s="361"/>
      <c r="G257" s="362"/>
      <c r="H257" s="199" t="s">
        <v>332</v>
      </c>
      <c r="I257" s="178"/>
      <c r="J257" s="174"/>
      <c r="K257" s="174"/>
      <c r="L257" s="125" t="str">
        <f>IF(I257&lt;&gt;0,((VLOOKUP(I257,'1. Standard_Cost'!$B$4:$D$11,2)+VLOOKUP(I257,'1. Standard_Cost'!$B$4:$D$11,3))*J257*K257),"0")</f>
        <v>0</v>
      </c>
      <c r="M257" s="125">
        <f>L257*'1. Standard_Cost'!$F$4</f>
        <v>0</v>
      </c>
      <c r="N257" s="174"/>
      <c r="O257" s="174"/>
      <c r="P257" s="174"/>
      <c r="Q257" s="174"/>
      <c r="R257" s="127">
        <f>'1. Standard_Cost'!$B$15*N257*P257</f>
        <v>0</v>
      </c>
      <c r="S257" s="127">
        <f>N257*O257*P257*'1. Standard_Cost'!$C$15</f>
        <v>0</v>
      </c>
      <c r="T257" s="127">
        <f>N257*P257*Q257*'1. Standard_Cost'!$D$15</f>
        <v>0</v>
      </c>
      <c r="U257" s="127">
        <f>N257*O257*'1. Standard_Cost'!$E$15</f>
        <v>0</v>
      </c>
      <c r="V257" s="174"/>
      <c r="W257" s="174"/>
      <c r="X257" s="174"/>
      <c r="Y257" s="127">
        <f>+V257*((X257*'1. Standard_Cost'!$B$19)+(W257*X257*'1. Standard_Cost'!$C$19))</f>
        <v>0</v>
      </c>
      <c r="Z257" s="174"/>
      <c r="AA257" s="174"/>
      <c r="AB257" s="127">
        <v>0</v>
      </c>
      <c r="AC257" s="176"/>
      <c r="AD257" s="177">
        <f>369000000*25%</f>
        <v>92250000</v>
      </c>
      <c r="AE257" s="127"/>
      <c r="AF257" s="127">
        <f>SUM(AE257,AD257,AC257,AB257,Y257,U257,T257,S257,R257)</f>
        <v>92250000</v>
      </c>
      <c r="AG257" s="174"/>
      <c r="AH257" s="174"/>
      <c r="AI257" s="174"/>
      <c r="AJ257" s="178"/>
      <c r="AK257" s="178"/>
      <c r="AL257" s="178"/>
      <c r="AM257" s="127">
        <f>AG257*'1. Standard_Cost'!$B$27+'Incremental_Cost Year 10'!AH257*'1. Standard_Cost'!$C$27+'Incremental_Cost Year 10'!AI257*'1. Standard_Cost'!$D$27+'Incremental_Cost Year 10'!AJ257+'Incremental_Cost Year 10'!AL257+AK257</f>
        <v>0</v>
      </c>
      <c r="AN257" s="127">
        <f>AM257*'1. Standard_Cost'!$C$31</f>
        <v>0</v>
      </c>
      <c r="AO257" s="178"/>
      <c r="AP257" s="256"/>
      <c r="AQ257" s="171">
        <f>L257+M257</f>
        <v>0</v>
      </c>
      <c r="AR257" s="171">
        <f>AF257</f>
        <v>92250000</v>
      </c>
      <c r="AS257" s="171">
        <f>AM257+AN257</f>
        <v>0</v>
      </c>
      <c r="AT257" s="171">
        <f>SUM(AQ257,AR257,AS257)</f>
        <v>92250000</v>
      </c>
      <c r="AU257" s="250"/>
      <c r="AV257" s="250"/>
      <c r="AW257" s="250"/>
      <c r="AX257" s="250"/>
      <c r="AY257" s="250"/>
      <c r="AZ257" s="250"/>
      <c r="BA257" s="250"/>
      <c r="BB257" s="251">
        <f t="shared" si="172"/>
        <v>-92250000</v>
      </c>
      <c r="BC257" s="169"/>
      <c r="BD257" s="169"/>
      <c r="BE257" s="169"/>
      <c r="BF257" s="169"/>
    </row>
    <row r="258" spans="1:58" ht="38.25" x14ac:dyDescent="0.2">
      <c r="A258" s="172"/>
      <c r="B258" s="168"/>
      <c r="C258" s="204"/>
      <c r="D258" s="195" t="s">
        <v>559</v>
      </c>
      <c r="E258" s="205" t="s">
        <v>333</v>
      </c>
      <c r="F258" s="206">
        <v>2025</v>
      </c>
      <c r="G258" s="207">
        <v>2030</v>
      </c>
      <c r="H258" s="180" t="s">
        <v>334</v>
      </c>
      <c r="I258" s="273"/>
      <c r="J258" s="273"/>
      <c r="K258" s="273"/>
      <c r="L258" s="175">
        <f>SUM(L255:L257)</f>
        <v>1411200</v>
      </c>
      <c r="M258" s="175">
        <f>SUM(M255:M257)</f>
        <v>235670.40000000002</v>
      </c>
      <c r="N258" s="273"/>
      <c r="O258" s="273"/>
      <c r="P258" s="273"/>
      <c r="Q258" s="273"/>
      <c r="R258" s="175">
        <f>SUM(R255:R257)</f>
        <v>0</v>
      </c>
      <c r="S258" s="175">
        <f>SUM(S255:S257)</f>
        <v>0</v>
      </c>
      <c r="T258" s="175">
        <f>SUM(T255:T257)</f>
        <v>0</v>
      </c>
      <c r="U258" s="175">
        <f>SUM(U255:U257)</f>
        <v>0</v>
      </c>
      <c r="V258" s="273"/>
      <c r="W258" s="273"/>
      <c r="X258" s="273"/>
      <c r="Y258" s="175">
        <f>SUM(Y255:Y257)</f>
        <v>0</v>
      </c>
      <c r="Z258" s="273"/>
      <c r="AA258" s="273"/>
      <c r="AB258" s="175">
        <f>SUM(AB255:AB257)</f>
        <v>0</v>
      </c>
      <c r="AC258" s="175">
        <f>SUM(AC255:AC257)</f>
        <v>0</v>
      </c>
      <c r="AD258" s="175">
        <f>SUM(AD255:AD257)</f>
        <v>123000000</v>
      </c>
      <c r="AE258" s="175">
        <f>SUM(AE255:AE257)</f>
        <v>0</v>
      </c>
      <c r="AF258" s="175">
        <f>SUM(AF255:AF257)</f>
        <v>123000000</v>
      </c>
      <c r="AG258" s="273"/>
      <c r="AH258" s="273"/>
      <c r="AI258" s="273"/>
      <c r="AJ258" s="175">
        <f>SUM(AJ255:AJ257)</f>
        <v>0</v>
      </c>
      <c r="AK258" s="175">
        <f>SUM(AK255:AK257)</f>
        <v>0</v>
      </c>
      <c r="AL258" s="175">
        <f>SUM(AL255:AL257)</f>
        <v>0</v>
      </c>
      <c r="AM258" s="175">
        <f>SUM(AM255:AM257)</f>
        <v>0</v>
      </c>
      <c r="AN258" s="175">
        <f>SUM(AN255:AN257)</f>
        <v>0</v>
      </c>
      <c r="AO258" s="274"/>
      <c r="AP258" s="254"/>
      <c r="AQ258" s="175">
        <f t="shared" ref="AQ258:AT258" si="173">SUM(AQ255:AQ257)</f>
        <v>1646870.4</v>
      </c>
      <c r="AR258" s="175">
        <f t="shared" si="173"/>
        <v>123000000</v>
      </c>
      <c r="AS258" s="175">
        <f t="shared" si="173"/>
        <v>0</v>
      </c>
      <c r="AT258" s="175">
        <f t="shared" si="173"/>
        <v>124646870.40000001</v>
      </c>
      <c r="AU258" s="175">
        <f t="shared" ref="AU258:BB258" si="174">SUM(AU255:AU257)</f>
        <v>1646870.4</v>
      </c>
      <c r="AV258" s="175">
        <f t="shared" si="174"/>
        <v>0</v>
      </c>
      <c r="AW258" s="175">
        <f t="shared" si="174"/>
        <v>0</v>
      </c>
      <c r="AX258" s="175">
        <f t="shared" si="174"/>
        <v>0</v>
      </c>
      <c r="AY258" s="175">
        <f t="shared" si="174"/>
        <v>0</v>
      </c>
      <c r="AZ258" s="175">
        <f t="shared" si="174"/>
        <v>0</v>
      </c>
      <c r="BA258" s="175">
        <f t="shared" si="174"/>
        <v>0</v>
      </c>
      <c r="BB258" s="175">
        <f t="shared" si="174"/>
        <v>-123000000</v>
      </c>
      <c r="BC258" s="169"/>
      <c r="BD258" s="169"/>
      <c r="BE258" s="169"/>
      <c r="BF258" s="169"/>
    </row>
    <row r="259" spans="1:58" ht="15.6" customHeight="1" x14ac:dyDescent="0.2">
      <c r="A259" s="179"/>
      <c r="B259" s="290"/>
      <c r="C259" s="391" t="s">
        <v>335</v>
      </c>
      <c r="D259" s="391"/>
      <c r="E259" s="392"/>
      <c r="F259" s="287"/>
      <c r="G259" s="289"/>
      <c r="H259" s="181" t="s">
        <v>336</v>
      </c>
      <c r="I259" s="271"/>
      <c r="J259" s="271"/>
      <c r="K259" s="271"/>
      <c r="L259" s="261">
        <f>L263+L268</f>
        <v>23066400</v>
      </c>
      <c r="M259" s="261">
        <f>M263+M268</f>
        <v>3852088.8000000003</v>
      </c>
      <c r="N259" s="271"/>
      <c r="O259" s="271"/>
      <c r="P259" s="271"/>
      <c r="Q259" s="271"/>
      <c r="R259" s="261">
        <f>R263+R268</f>
        <v>0</v>
      </c>
      <c r="S259" s="261">
        <f>S263+S268</f>
        <v>0</v>
      </c>
      <c r="T259" s="261">
        <f>T263+T268</f>
        <v>0</v>
      </c>
      <c r="U259" s="261">
        <f>U263+U268</f>
        <v>0</v>
      </c>
      <c r="V259" s="261"/>
      <c r="W259" s="271"/>
      <c r="X259" s="271"/>
      <c r="Y259" s="261">
        <f>Y263+Y268</f>
        <v>0</v>
      </c>
      <c r="Z259" s="261"/>
      <c r="AA259" s="261"/>
      <c r="AB259" s="261">
        <f>AB263+AB268</f>
        <v>0</v>
      </c>
      <c r="AC259" s="261">
        <f>AC263+AC268</f>
        <v>25655000</v>
      </c>
      <c r="AD259" s="261">
        <f>AD263+AD268</f>
        <v>345394000</v>
      </c>
      <c r="AE259" s="261">
        <f>AE263+AE268</f>
        <v>18450000</v>
      </c>
      <c r="AF259" s="261">
        <f>AF263+AF268</f>
        <v>389499000</v>
      </c>
      <c r="AG259" s="271"/>
      <c r="AH259" s="271"/>
      <c r="AI259" s="271"/>
      <c r="AJ259" s="261">
        <f>AJ263+AJ268</f>
        <v>0</v>
      </c>
      <c r="AK259" s="261">
        <f>AK263+AK268</f>
        <v>0</v>
      </c>
      <c r="AL259" s="261">
        <f>AL263+AL268</f>
        <v>0</v>
      </c>
      <c r="AM259" s="261">
        <f>AM263+AM268</f>
        <v>0</v>
      </c>
      <c r="AN259" s="261">
        <f>AN263+AN268</f>
        <v>0</v>
      </c>
      <c r="AO259" s="272"/>
      <c r="AP259" s="260"/>
      <c r="AQ259" s="261">
        <f t="shared" ref="AQ259:BB259" si="175">AQ263+AQ268</f>
        <v>26918488.800000001</v>
      </c>
      <c r="AR259" s="261">
        <f t="shared" si="175"/>
        <v>389499000</v>
      </c>
      <c r="AS259" s="261">
        <f t="shared" si="175"/>
        <v>0</v>
      </c>
      <c r="AT259" s="261">
        <f t="shared" si="175"/>
        <v>416417488.79999995</v>
      </c>
      <c r="AU259" s="261">
        <f t="shared" si="175"/>
        <v>52573488.399999999</v>
      </c>
      <c r="AV259" s="261">
        <f t="shared" si="175"/>
        <v>0</v>
      </c>
      <c r="AW259" s="261">
        <f t="shared" si="175"/>
        <v>0</v>
      </c>
      <c r="AX259" s="261">
        <f t="shared" si="175"/>
        <v>0</v>
      </c>
      <c r="AY259" s="261">
        <f t="shared" si="175"/>
        <v>0</v>
      </c>
      <c r="AZ259" s="261">
        <f t="shared" si="175"/>
        <v>0</v>
      </c>
      <c r="BA259" s="261">
        <f t="shared" si="175"/>
        <v>0</v>
      </c>
      <c r="BB259" s="261">
        <f t="shared" si="175"/>
        <v>-363844000.39999998</v>
      </c>
      <c r="BC259" s="184"/>
      <c r="BD259" s="184"/>
      <c r="BE259" s="184"/>
      <c r="BF259" s="184"/>
    </row>
    <row r="260" spans="1:58" ht="78.75" x14ac:dyDescent="0.25">
      <c r="A260" s="172"/>
      <c r="B260" s="354"/>
      <c r="C260" s="356"/>
      <c r="D260" s="342"/>
      <c r="E260" s="328"/>
      <c r="F260" s="328"/>
      <c r="G260" s="328"/>
      <c r="H260" s="199" t="s">
        <v>551</v>
      </c>
      <c r="I260" s="178" t="s">
        <v>3</v>
      </c>
      <c r="J260" s="174">
        <v>1</v>
      </c>
      <c r="K260" s="174">
        <v>2</v>
      </c>
      <c r="L260" s="125">
        <f>IF(I260&lt;&gt;0,((VLOOKUP(I260,'1. Standard_Cost'!$B$4:$D$11,2)+VLOOKUP(I260,'1. Standard_Cost'!$B$4:$D$11,3))*J260*K260),"0")</f>
        <v>201600</v>
      </c>
      <c r="M260" s="125">
        <f>L260*'1. Standard_Cost'!$F$4</f>
        <v>33667.200000000004</v>
      </c>
      <c r="N260" s="174"/>
      <c r="O260" s="174"/>
      <c r="P260" s="174"/>
      <c r="Q260" s="174"/>
      <c r="R260" s="127">
        <f>'1. Standard_Cost'!$B$15*N260*P260</f>
        <v>0</v>
      </c>
      <c r="S260" s="127">
        <f>N260*O260*P260*'1. Standard_Cost'!$C$15</f>
        <v>0</v>
      </c>
      <c r="T260" s="127">
        <f>N260*P260*Q260*'1. Standard_Cost'!$D$15</f>
        <v>0</v>
      </c>
      <c r="U260" s="127">
        <f>N260*O260*'1. Standard_Cost'!$E$15</f>
        <v>0</v>
      </c>
      <c r="V260" s="174"/>
      <c r="W260" s="174"/>
      <c r="X260" s="174"/>
      <c r="Y260" s="127">
        <f>+V260*((X260*'1. Standard_Cost'!$B$19)+(W260*X260*'1. Standard_Cost'!$C$19))</f>
        <v>0</v>
      </c>
      <c r="Z260" s="174"/>
      <c r="AA260" s="174"/>
      <c r="AB260" s="127">
        <v>0</v>
      </c>
      <c r="AC260" s="176"/>
      <c r="AD260" s="177">
        <f>538740000*25%</f>
        <v>134685000</v>
      </c>
      <c r="AE260" s="127"/>
      <c r="AF260" s="127">
        <f>SUM(AE260,AD260,AC260,AB260,Y260,U260,T260,S260,R260)</f>
        <v>134685000</v>
      </c>
      <c r="AG260" s="174"/>
      <c r="AH260" s="174"/>
      <c r="AI260" s="174"/>
      <c r="AJ260" s="178"/>
      <c r="AK260" s="178"/>
      <c r="AL260" s="178"/>
      <c r="AM260" s="127">
        <f>AG260*'1. Standard_Cost'!$B$27+'Incremental_Cost Year 10'!AH260*'1. Standard_Cost'!$C$27+'Incremental_Cost Year 10'!AI260*'1. Standard_Cost'!$D$27+'Incremental_Cost Year 10'!AJ260+'Incremental_Cost Year 10'!AL260+AK260</f>
        <v>0</v>
      </c>
      <c r="AN260" s="127">
        <f>AM260*'1. Standard_Cost'!$C$31</f>
        <v>0</v>
      </c>
      <c r="AO260" s="178"/>
      <c r="AP260" s="256"/>
      <c r="AQ260" s="171">
        <f>L260+M260</f>
        <v>235267.20000000001</v>
      </c>
      <c r="AR260" s="171">
        <f>AF260</f>
        <v>134685000</v>
      </c>
      <c r="AS260" s="171">
        <f>AM260+AN260</f>
        <v>0</v>
      </c>
      <c r="AT260" s="171">
        <f>SUM(AQ260,AR260,AS260)</f>
        <v>134920267.19999999</v>
      </c>
      <c r="AU260" s="250">
        <f>AQ260</f>
        <v>235267.20000000001</v>
      </c>
      <c r="AV260" s="250"/>
      <c r="AW260" s="250"/>
      <c r="AX260" s="250"/>
      <c r="AY260" s="250"/>
      <c r="AZ260" s="250"/>
      <c r="BA260" s="250"/>
      <c r="BB260" s="251">
        <f t="shared" ref="BB260:BB262" si="176">SUM(AU260:BA260)-AT260</f>
        <v>-134685000</v>
      </c>
      <c r="BC260" s="169"/>
      <c r="BD260" s="169"/>
      <c r="BE260" s="169"/>
      <c r="BF260" s="169"/>
    </row>
    <row r="261" spans="1:58" ht="63" x14ac:dyDescent="0.25">
      <c r="A261" s="172"/>
      <c r="B261" s="357"/>
      <c r="C261" s="359"/>
      <c r="D261" s="343"/>
      <c r="E261" s="328"/>
      <c r="F261" s="328"/>
      <c r="G261" s="328"/>
      <c r="H261" s="199" t="s">
        <v>337</v>
      </c>
      <c r="I261" s="178" t="s">
        <v>3</v>
      </c>
      <c r="J261" s="174">
        <v>1</v>
      </c>
      <c r="K261" s="174">
        <v>2</v>
      </c>
      <c r="L261" s="125">
        <f>IF(I261&lt;&gt;0,((VLOOKUP(I261,'1. Standard_Cost'!$B$4:$D$11,2)+VLOOKUP(I261,'1. Standard_Cost'!$B$4:$D$11,3))*J261*K261),"0")</f>
        <v>201600</v>
      </c>
      <c r="M261" s="125">
        <f>L261*'1. Standard_Cost'!$F$4</f>
        <v>33667.200000000004</v>
      </c>
      <c r="N261" s="174"/>
      <c r="O261" s="174"/>
      <c r="P261" s="174"/>
      <c r="Q261" s="174"/>
      <c r="R261" s="127">
        <f>'1. Standard_Cost'!$B$15*N261*P261</f>
        <v>0</v>
      </c>
      <c r="S261" s="127">
        <f>N261*O261*P261*'1. Standard_Cost'!$C$15</f>
        <v>0</v>
      </c>
      <c r="T261" s="127">
        <f>N261*P261*Q261*'1. Standard_Cost'!$D$15</f>
        <v>0</v>
      </c>
      <c r="U261" s="127">
        <f>N261*O261*'1. Standard_Cost'!$E$15</f>
        <v>0</v>
      </c>
      <c r="V261" s="174"/>
      <c r="W261" s="174"/>
      <c r="X261" s="174"/>
      <c r="Y261" s="127">
        <f>+V261*((X261*'1. Standard_Cost'!$B$19)+(W261*X261*'1. Standard_Cost'!$C$19))</f>
        <v>0</v>
      </c>
      <c r="Z261" s="174"/>
      <c r="AA261" s="174"/>
      <c r="AB261" s="127">
        <v>0</v>
      </c>
      <c r="AC261" s="176"/>
      <c r="AD261" s="177">
        <f>51700000*25%</f>
        <v>12925000</v>
      </c>
      <c r="AE261" s="127"/>
      <c r="AF261" s="127">
        <f>SUM(AE261,AD261,AC261,AB261,Y261,U261,T261,S261,R261)</f>
        <v>12925000</v>
      </c>
      <c r="AG261" s="174"/>
      <c r="AH261" s="174"/>
      <c r="AI261" s="174"/>
      <c r="AJ261" s="178"/>
      <c r="AK261" s="178"/>
      <c r="AL261" s="178"/>
      <c r="AM261" s="127">
        <f>AG261*'1. Standard_Cost'!$B$27+'Incremental_Cost Year 10'!AH261*'1. Standard_Cost'!$C$27+'Incremental_Cost Year 10'!AI261*'1. Standard_Cost'!$D$27+'Incremental_Cost Year 10'!AJ261+'Incremental_Cost Year 10'!AL261+AK261</f>
        <v>0</v>
      </c>
      <c r="AN261" s="127">
        <f>AM261*'1. Standard_Cost'!$C$31</f>
        <v>0</v>
      </c>
      <c r="AO261" s="178"/>
      <c r="AP261" s="256"/>
      <c r="AQ261" s="171">
        <f>L261+M261</f>
        <v>235267.20000000001</v>
      </c>
      <c r="AR261" s="171">
        <f>AF261</f>
        <v>12925000</v>
      </c>
      <c r="AS261" s="171">
        <f>AM261+AN261</f>
        <v>0</v>
      </c>
      <c r="AT261" s="171">
        <f>SUM(AQ261,AR261,AS261)</f>
        <v>13160267.199999999</v>
      </c>
      <c r="AU261" s="250">
        <f>AQ261</f>
        <v>235267.20000000001</v>
      </c>
      <c r="AV261" s="250"/>
      <c r="AW261" s="250"/>
      <c r="AX261" s="250"/>
      <c r="AY261" s="250"/>
      <c r="AZ261" s="250"/>
      <c r="BA261" s="250"/>
      <c r="BB261" s="251">
        <f t="shared" si="176"/>
        <v>-12925000</v>
      </c>
      <c r="BC261" s="169"/>
      <c r="BD261" s="169"/>
      <c r="BE261" s="169"/>
      <c r="BF261" s="169"/>
    </row>
    <row r="262" spans="1:58" ht="63" x14ac:dyDescent="0.25">
      <c r="A262" s="172"/>
      <c r="B262" s="357"/>
      <c r="C262" s="359"/>
      <c r="D262" s="343"/>
      <c r="E262" s="328"/>
      <c r="F262" s="328"/>
      <c r="G262" s="328"/>
      <c r="H262" s="199" t="s">
        <v>552</v>
      </c>
      <c r="I262" s="178" t="s">
        <v>3</v>
      </c>
      <c r="J262" s="174">
        <v>1</v>
      </c>
      <c r="K262" s="174">
        <v>2</v>
      </c>
      <c r="L262" s="125">
        <f>IF(I262&lt;&gt;0,((VLOOKUP(I262,'1. Standard_Cost'!$B$4:$D$11,2)+VLOOKUP(I262,'1. Standard_Cost'!$B$4:$D$11,3))*J262*K262),"0")</f>
        <v>201600</v>
      </c>
      <c r="M262" s="125">
        <f>L262*'1. Standard_Cost'!$F$4</f>
        <v>33667.200000000004</v>
      </c>
      <c r="N262" s="174"/>
      <c r="O262" s="174"/>
      <c r="P262" s="174"/>
      <c r="Q262" s="174"/>
      <c r="R262" s="127">
        <f>'1. Standard_Cost'!$B$15*N262*P262</f>
        <v>0</v>
      </c>
      <c r="S262" s="127">
        <f>N262*O262*P262*'1. Standard_Cost'!$C$15</f>
        <v>0</v>
      </c>
      <c r="T262" s="127">
        <f>N262*P262*Q262*'1. Standard_Cost'!$D$15</f>
        <v>0</v>
      </c>
      <c r="U262" s="127">
        <f>N262*O262*'1. Standard_Cost'!$E$15</f>
        <v>0</v>
      </c>
      <c r="V262" s="174"/>
      <c r="W262" s="174"/>
      <c r="X262" s="174"/>
      <c r="Y262" s="127">
        <f>+V262*((X262*'1. Standard_Cost'!$B$19)+(W262*X262*'1. Standard_Cost'!$C$19))</f>
        <v>0</v>
      </c>
      <c r="Z262" s="174"/>
      <c r="AA262" s="174"/>
      <c r="AB262" s="127">
        <v>0</v>
      </c>
      <c r="AC262" s="176"/>
      <c r="AD262" s="177">
        <f>53136000*25%</f>
        <v>13284000</v>
      </c>
      <c r="AE262" s="127"/>
      <c r="AF262" s="127">
        <f>SUM(AE262,AD262,AC262,AB262,Y262,U262,T262,S262,R262)</f>
        <v>13284000</v>
      </c>
      <c r="AG262" s="174"/>
      <c r="AH262" s="174"/>
      <c r="AI262" s="174"/>
      <c r="AJ262" s="178"/>
      <c r="AK262" s="178"/>
      <c r="AL262" s="178"/>
      <c r="AM262" s="127">
        <f>AG262*'1. Standard_Cost'!$B$27+'Incremental_Cost Year 10'!AH262*'1. Standard_Cost'!$C$27+'Incremental_Cost Year 10'!AI262*'1. Standard_Cost'!$D$27+'Incremental_Cost Year 10'!AJ262+'Incremental_Cost Year 10'!AL262+AK262</f>
        <v>0</v>
      </c>
      <c r="AN262" s="127">
        <f>AM262*'1. Standard_Cost'!$C$31</f>
        <v>0</v>
      </c>
      <c r="AO262" s="178"/>
      <c r="AP262" s="256"/>
      <c r="AQ262" s="171">
        <f>L262+M262</f>
        <v>235267.20000000001</v>
      </c>
      <c r="AR262" s="171">
        <f>AF262</f>
        <v>13284000</v>
      </c>
      <c r="AS262" s="171">
        <f>AM262+AN262</f>
        <v>0</v>
      </c>
      <c r="AT262" s="171">
        <f>SUM(AQ262,AR262,AS262)</f>
        <v>13519267.199999999</v>
      </c>
      <c r="AU262" s="250">
        <f>AQ262</f>
        <v>235267.20000000001</v>
      </c>
      <c r="AV262" s="250"/>
      <c r="AW262" s="250"/>
      <c r="AX262" s="250"/>
      <c r="AY262" s="250"/>
      <c r="AZ262" s="250"/>
      <c r="BA262" s="250"/>
      <c r="BB262" s="251">
        <f t="shared" si="176"/>
        <v>-13284000</v>
      </c>
      <c r="BC262" s="169"/>
      <c r="BD262" s="169"/>
      <c r="BE262" s="169"/>
      <c r="BF262" s="169"/>
    </row>
    <row r="263" spans="1:58" x14ac:dyDescent="0.25">
      <c r="A263" s="172"/>
      <c r="B263" s="357"/>
      <c r="C263" s="359"/>
      <c r="D263" s="343"/>
      <c r="E263" s="328"/>
      <c r="F263" s="328"/>
      <c r="G263" s="328"/>
      <c r="H263" s="182" t="s">
        <v>338</v>
      </c>
      <c r="I263" s="273"/>
      <c r="J263" s="273"/>
      <c r="K263" s="273"/>
      <c r="L263" s="175">
        <f>SUM(L260:L262)</f>
        <v>604800</v>
      </c>
      <c r="M263" s="175">
        <f>SUM(M260:M262)</f>
        <v>101001.60000000001</v>
      </c>
      <c r="N263" s="273"/>
      <c r="O263" s="273"/>
      <c r="P263" s="273"/>
      <c r="Q263" s="273"/>
      <c r="R263" s="175">
        <f>SUM(R260:R262)</f>
        <v>0</v>
      </c>
      <c r="S263" s="175">
        <f>SUM(S260:S262)</f>
        <v>0</v>
      </c>
      <c r="T263" s="175">
        <f>SUM(T260:T262)</f>
        <v>0</v>
      </c>
      <c r="U263" s="175">
        <f>SUM(U260:U262)</f>
        <v>0</v>
      </c>
      <c r="V263" s="273"/>
      <c r="W263" s="273"/>
      <c r="X263" s="273"/>
      <c r="Y263" s="175">
        <f>SUM(Y260:Y262)</f>
        <v>0</v>
      </c>
      <c r="Z263" s="175"/>
      <c r="AA263" s="273"/>
      <c r="AB263" s="175">
        <f>SUM(AB260:AB262)</f>
        <v>0</v>
      </c>
      <c r="AC263" s="175">
        <f>SUM(AC260:AC262)</f>
        <v>0</v>
      </c>
      <c r="AD263" s="175">
        <f>SUM(AD260:AD262)</f>
        <v>160894000</v>
      </c>
      <c r="AE263" s="175">
        <f>SUM(AE260:AE262)</f>
        <v>0</v>
      </c>
      <c r="AF263" s="175">
        <f>SUM(AF260:AF262)</f>
        <v>160894000</v>
      </c>
      <c r="AG263" s="273"/>
      <c r="AH263" s="273"/>
      <c r="AI263" s="273"/>
      <c r="AJ263" s="175">
        <f>SUM(AJ260:AJ262)</f>
        <v>0</v>
      </c>
      <c r="AK263" s="175">
        <f>SUM(AK260:AK262)</f>
        <v>0</v>
      </c>
      <c r="AL263" s="175">
        <f>SUM(AL260:AL262)</f>
        <v>0</v>
      </c>
      <c r="AM263" s="175">
        <f>SUM(AM260:AM262)</f>
        <v>0</v>
      </c>
      <c r="AN263" s="175">
        <f>SUM(AN260:AN262)</f>
        <v>0</v>
      </c>
      <c r="AO263" s="274"/>
      <c r="AP263" s="254"/>
      <c r="AQ263" s="175">
        <f t="shared" ref="AQ263:AT263" si="177">SUM(AQ260:AQ262)</f>
        <v>705801.60000000009</v>
      </c>
      <c r="AR263" s="175">
        <f t="shared" si="177"/>
        <v>160894000</v>
      </c>
      <c r="AS263" s="175">
        <f t="shared" si="177"/>
        <v>0</v>
      </c>
      <c r="AT263" s="175">
        <f t="shared" si="177"/>
        <v>161599801.59999996</v>
      </c>
      <c r="AU263" s="175">
        <f t="shared" ref="AU263:BB263" si="178">SUM(AU260:AU262)</f>
        <v>705801.60000000009</v>
      </c>
      <c r="AV263" s="175">
        <f t="shared" si="178"/>
        <v>0</v>
      </c>
      <c r="AW263" s="175">
        <f t="shared" si="178"/>
        <v>0</v>
      </c>
      <c r="AX263" s="175">
        <f t="shared" si="178"/>
        <v>0</v>
      </c>
      <c r="AY263" s="175">
        <f t="shared" si="178"/>
        <v>0</v>
      </c>
      <c r="AZ263" s="175">
        <f t="shared" si="178"/>
        <v>0</v>
      </c>
      <c r="BA263" s="175">
        <f t="shared" si="178"/>
        <v>0</v>
      </c>
      <c r="BB263" s="175">
        <f t="shared" si="178"/>
        <v>-160894000</v>
      </c>
      <c r="BC263" s="169"/>
      <c r="BD263" s="169"/>
      <c r="BE263" s="169"/>
      <c r="BF263" s="169"/>
    </row>
    <row r="264" spans="1:58" ht="94.5" x14ac:dyDescent="0.25">
      <c r="A264" s="172"/>
      <c r="B264" s="357"/>
      <c r="C264" s="359"/>
      <c r="D264" s="343"/>
      <c r="E264" s="328"/>
      <c r="F264" s="328"/>
      <c r="G264" s="328"/>
      <c r="H264" s="199" t="s">
        <v>553</v>
      </c>
      <c r="I264" s="178" t="s">
        <v>3</v>
      </c>
      <c r="J264" s="174">
        <v>2</v>
      </c>
      <c r="K264" s="174">
        <v>2</v>
      </c>
      <c r="L264" s="125">
        <f>IF(I264&lt;&gt;0,((VLOOKUP(I264,'1. Standard_Cost'!$B$4:$D$11,2)+VLOOKUP(I264,'1. Standard_Cost'!$B$4:$D$11,3))*J264*K264),"0")</f>
        <v>403200</v>
      </c>
      <c r="M264" s="125">
        <f>L264*'1. Standard_Cost'!$F$4</f>
        <v>67334.400000000009</v>
      </c>
      <c r="N264" s="174"/>
      <c r="O264" s="174"/>
      <c r="P264" s="174"/>
      <c r="Q264" s="174"/>
      <c r="R264" s="127">
        <f>'1. Standard_Cost'!$B$15*N264*P264</f>
        <v>0</v>
      </c>
      <c r="S264" s="127">
        <f>N264*O264*P264*'1. Standard_Cost'!$C$15</f>
        <v>0</v>
      </c>
      <c r="T264" s="127">
        <f>N264*P264*Q264*'1. Standard_Cost'!$D$15</f>
        <v>0</v>
      </c>
      <c r="U264" s="127">
        <f>N264*O264*'1. Standard_Cost'!$E$15</f>
        <v>0</v>
      </c>
      <c r="V264" s="174"/>
      <c r="W264" s="174"/>
      <c r="X264" s="174"/>
      <c r="Y264" s="127">
        <f>+V264*((X264*'1. Standard_Cost'!$B$19)+(W264*X264*'1. Standard_Cost'!$C$19))</f>
        <v>0</v>
      </c>
      <c r="Z264" s="174"/>
      <c r="AA264" s="174"/>
      <c r="AB264" s="127">
        <v>0</v>
      </c>
      <c r="AC264" s="176"/>
      <c r="AD264" s="177">
        <f>369000000*0.25</f>
        <v>92250000</v>
      </c>
      <c r="AE264" s="127">
        <f>SUM(AD264,AC264,AB264,Y264,U264,T264,S264,R264)*'1. Standard_Cost'!$B$31</f>
        <v>18450000</v>
      </c>
      <c r="AF264" s="127">
        <f>SUM(AE264,AD264,AC264,AB264,Y264,U264,T264,S264,R264)</f>
        <v>110700000</v>
      </c>
      <c r="AG264" s="174"/>
      <c r="AH264" s="174"/>
      <c r="AI264" s="174"/>
      <c r="AJ264" s="178"/>
      <c r="AK264" s="178"/>
      <c r="AL264" s="178"/>
      <c r="AM264" s="127">
        <f>AG264*'1. Standard_Cost'!$B$27+'Incremental_Cost Year 10'!AH264*'1. Standard_Cost'!$C$27+'Incremental_Cost Year 10'!AI264*'1. Standard_Cost'!$D$27+'Incremental_Cost Year 10'!AJ264+'Incremental_Cost Year 10'!AL264+AK264</f>
        <v>0</v>
      </c>
      <c r="AN264" s="127">
        <f>AM264*'1. Standard_Cost'!$C$31</f>
        <v>0</v>
      </c>
      <c r="AO264" s="178"/>
      <c r="AP264" s="256"/>
      <c r="AQ264" s="171">
        <f>L264+M264</f>
        <v>470534.40000000002</v>
      </c>
      <c r="AR264" s="171">
        <f>AF264</f>
        <v>110700000</v>
      </c>
      <c r="AS264" s="171">
        <f>AM264+AN264</f>
        <v>0</v>
      </c>
      <c r="AT264" s="171">
        <f>SUM(AQ264,AR264,AS264)</f>
        <v>111170534.40000001</v>
      </c>
      <c r="AU264" s="250">
        <v>470534</v>
      </c>
      <c r="AV264" s="250"/>
      <c r="AW264" s="250"/>
      <c r="AX264" s="250"/>
      <c r="AY264" s="250"/>
      <c r="AZ264" s="250"/>
      <c r="BA264" s="250"/>
      <c r="BB264" s="251">
        <f t="shared" ref="BB264:BB267" si="179">SUM(AU264:BA264)-AT264</f>
        <v>-110700000.40000001</v>
      </c>
      <c r="BC264" s="169"/>
      <c r="BD264" s="169"/>
      <c r="BE264" s="169"/>
      <c r="BF264" s="169"/>
    </row>
    <row r="265" spans="1:58" ht="63" x14ac:dyDescent="0.25">
      <c r="A265" s="172"/>
      <c r="B265" s="357"/>
      <c r="C265" s="359"/>
      <c r="D265" s="343"/>
      <c r="E265" s="328"/>
      <c r="F265" s="328"/>
      <c r="G265" s="328"/>
      <c r="H265" s="199" t="s">
        <v>339</v>
      </c>
      <c r="I265" s="178"/>
      <c r="J265" s="174"/>
      <c r="K265" s="174"/>
      <c r="L265" s="125" t="str">
        <f>IF(I265&lt;&gt;0,((VLOOKUP(I265,'1. Standard_Cost'!$B$4:$D$11,2)+VLOOKUP(I265,'1. Standard_Cost'!$B$4:$D$11,3))*J265*K265),"0")</f>
        <v>0</v>
      </c>
      <c r="M265" s="125">
        <f>L265*'1. Standard_Cost'!$F$4</f>
        <v>0</v>
      </c>
      <c r="N265" s="174"/>
      <c r="O265" s="174"/>
      <c r="P265" s="174"/>
      <c r="Q265" s="174"/>
      <c r="R265" s="127">
        <f>'1. Standard_Cost'!$B$15*N265*P265</f>
        <v>0</v>
      </c>
      <c r="S265" s="127">
        <f>N265*O265*P265*'1. Standard_Cost'!$C$15</f>
        <v>0</v>
      </c>
      <c r="T265" s="127">
        <f>N265*P265*Q265*'1. Standard_Cost'!$D$15</f>
        <v>0</v>
      </c>
      <c r="U265" s="127">
        <f>N265*O265*'1. Standard_Cost'!$E$15</f>
        <v>0</v>
      </c>
      <c r="V265" s="174"/>
      <c r="W265" s="174"/>
      <c r="X265" s="174"/>
      <c r="Y265" s="127">
        <f>+V265*((X265*'1. Standard_Cost'!$B$19)+(W265*X265*'1. Standard_Cost'!$C$19))</f>
        <v>0</v>
      </c>
      <c r="Z265" s="174"/>
      <c r="AA265" s="174"/>
      <c r="AB265" s="127">
        <v>0</v>
      </c>
      <c r="AC265" s="176"/>
      <c r="AD265" s="177"/>
      <c r="AE265" s="127">
        <f>SUM(AD265,AC265,AB265,Y265,U265,T265,S265,R265)*'1. Standard_Cost'!$B$31</f>
        <v>0</v>
      </c>
      <c r="AF265" s="127">
        <f>SUM(AE265,AD265,AC265,AB265,Y265,U265,T265,S265,R265)</f>
        <v>0</v>
      </c>
      <c r="AG265" s="174"/>
      <c r="AH265" s="174"/>
      <c r="AI265" s="174"/>
      <c r="AJ265" s="178"/>
      <c r="AK265" s="178"/>
      <c r="AL265" s="178"/>
      <c r="AM265" s="127">
        <f>AG265*'1. Standard_Cost'!$B$27+'Incremental_Cost Year 10'!AH265*'1. Standard_Cost'!$C$27+'Incremental_Cost Year 10'!AI265*'1. Standard_Cost'!$D$27+'Incremental_Cost Year 10'!AJ265+'Incremental_Cost Year 10'!AL265+AK265</f>
        <v>0</v>
      </c>
      <c r="AN265" s="127">
        <f>AM265*'1. Standard_Cost'!$C$31</f>
        <v>0</v>
      </c>
      <c r="AO265" s="178"/>
      <c r="AP265" s="256"/>
      <c r="AQ265" s="171">
        <f>L265+M265</f>
        <v>0</v>
      </c>
      <c r="AR265" s="171">
        <f>AF265</f>
        <v>0</v>
      </c>
      <c r="AS265" s="171">
        <f>AM265+AN265</f>
        <v>0</v>
      </c>
      <c r="AT265" s="171">
        <f>SUM(AQ265,AR265,AS265)</f>
        <v>0</v>
      </c>
      <c r="AU265" s="250"/>
      <c r="AV265" s="250"/>
      <c r="AW265" s="250"/>
      <c r="AX265" s="250"/>
      <c r="AY265" s="250"/>
      <c r="AZ265" s="250"/>
      <c r="BA265" s="250"/>
      <c r="BB265" s="251">
        <f t="shared" si="179"/>
        <v>0</v>
      </c>
      <c r="BC265" s="169"/>
      <c r="BD265" s="169"/>
      <c r="BE265" s="169"/>
      <c r="BF265" s="169"/>
    </row>
    <row r="266" spans="1:58" ht="94.5" x14ac:dyDescent="0.25">
      <c r="A266" s="172"/>
      <c r="B266" s="357"/>
      <c r="C266" s="359"/>
      <c r="D266" s="343"/>
      <c r="E266" s="328"/>
      <c r="F266" s="328"/>
      <c r="G266" s="328"/>
      <c r="H266" s="199" t="s">
        <v>362</v>
      </c>
      <c r="I266" s="178" t="s">
        <v>5</v>
      </c>
      <c r="J266" s="174">
        <v>12</v>
      </c>
      <c r="K266" s="174">
        <v>26</v>
      </c>
      <c r="L266" s="125">
        <f>IF(I266&lt;&gt;0,((VLOOKUP(I266,'1. Standard_Cost'!$B$4:$D$11,2)+VLOOKUP(I266,'1. Standard_Cost'!$B$4:$D$11,3))*J266*K266),"0")</f>
        <v>22058400</v>
      </c>
      <c r="M266" s="125">
        <f>L266*'1. Standard_Cost'!$F$4</f>
        <v>3683752.8000000003</v>
      </c>
      <c r="N266" s="174"/>
      <c r="O266" s="174"/>
      <c r="P266" s="174"/>
      <c r="Q266" s="174"/>
      <c r="R266" s="127">
        <f>'1. Standard_Cost'!$B$15*N266*P266</f>
        <v>0</v>
      </c>
      <c r="S266" s="127">
        <f>N266*O266*P266*'1. Standard_Cost'!$C$15</f>
        <v>0</v>
      </c>
      <c r="T266" s="127">
        <f>N266*P266*Q266*'1. Standard_Cost'!$D$15</f>
        <v>0</v>
      </c>
      <c r="U266" s="127">
        <f>N266*O266*'1. Standard_Cost'!$E$15</f>
        <v>0</v>
      </c>
      <c r="V266" s="174"/>
      <c r="W266" s="174"/>
      <c r="X266" s="174"/>
      <c r="Y266" s="127">
        <f>+V266*((X266*'1. Standard_Cost'!$B$19)+(W266*X266*'1. Standard_Cost'!$C$19))</f>
        <v>0</v>
      </c>
      <c r="Z266" s="174"/>
      <c r="AA266" s="174"/>
      <c r="AB266" s="127">
        <v>0</v>
      </c>
      <c r="AC266" s="176">
        <v>25655000</v>
      </c>
      <c r="AD266" s="177"/>
      <c r="AE266" s="127"/>
      <c r="AF266" s="127">
        <f>SUM(AE266,AD266,AC266,AB266,Y266,U266,T266,S266,R266)</f>
        <v>25655000</v>
      </c>
      <c r="AG266" s="174"/>
      <c r="AH266" s="174"/>
      <c r="AI266" s="174"/>
      <c r="AJ266" s="178"/>
      <c r="AK266" s="178"/>
      <c r="AL266" s="178"/>
      <c r="AM266" s="127">
        <f>AG266*'1. Standard_Cost'!$B$27+'Incremental_Cost Year 10'!AH266*'1. Standard_Cost'!$C$27+'Incremental_Cost Year 10'!AI266*'1. Standard_Cost'!$D$27+'Incremental_Cost Year 10'!AJ266+'Incremental_Cost Year 10'!AL266+AK266</f>
        <v>0</v>
      </c>
      <c r="AN266" s="127">
        <f>AM266*'1. Standard_Cost'!$C$31</f>
        <v>0</v>
      </c>
      <c r="AO266" s="178"/>
      <c r="AP266" s="256"/>
      <c r="AQ266" s="171">
        <f>L266+M266</f>
        <v>25742152.800000001</v>
      </c>
      <c r="AR266" s="171">
        <f>AF266</f>
        <v>25655000</v>
      </c>
      <c r="AS266" s="171">
        <f>AM266+AN266</f>
        <v>0</v>
      </c>
      <c r="AT266" s="171">
        <f>SUM(AQ266,AR266,AS266)</f>
        <v>51397152.799999997</v>
      </c>
      <c r="AU266" s="250">
        <f>AT266</f>
        <v>51397152.799999997</v>
      </c>
      <c r="AV266" s="250"/>
      <c r="AW266" s="250"/>
      <c r="AX266" s="250"/>
      <c r="AY266" s="250"/>
      <c r="AZ266" s="250"/>
      <c r="BA266" s="250"/>
      <c r="BB266" s="251">
        <f t="shared" si="179"/>
        <v>0</v>
      </c>
      <c r="BC266" s="169"/>
      <c r="BD266" s="169"/>
      <c r="BE266" s="169"/>
      <c r="BF266" s="169"/>
    </row>
    <row r="267" spans="1:58" ht="47.25" x14ac:dyDescent="0.25">
      <c r="A267" s="172"/>
      <c r="B267" s="360"/>
      <c r="C267" s="362"/>
      <c r="D267" s="344"/>
      <c r="E267" s="328"/>
      <c r="F267" s="328"/>
      <c r="G267" s="328"/>
      <c r="H267" s="199" t="s">
        <v>554</v>
      </c>
      <c r="I267" s="178"/>
      <c r="J267" s="174"/>
      <c r="K267" s="174"/>
      <c r="L267" s="125" t="str">
        <f>IF(I267&lt;&gt;0,((VLOOKUP(I267,'1. Standard_Cost'!$B$4:$D$11,2)+VLOOKUP(I267,'1. Standard_Cost'!$B$4:$D$11,3))*J267*K267),"0")</f>
        <v>0</v>
      </c>
      <c r="M267" s="125">
        <f>L267*'1. Standard_Cost'!$F$4</f>
        <v>0</v>
      </c>
      <c r="N267" s="174"/>
      <c r="O267" s="174"/>
      <c r="P267" s="174"/>
      <c r="Q267" s="174"/>
      <c r="R267" s="127">
        <f>'1. Standard_Cost'!$B$15*N267*P267</f>
        <v>0</v>
      </c>
      <c r="S267" s="127">
        <f>N267*O267*P267*'1. Standard_Cost'!$C$15</f>
        <v>0</v>
      </c>
      <c r="T267" s="127">
        <f>N267*P267*Q267*'1. Standard_Cost'!$D$15</f>
        <v>0</v>
      </c>
      <c r="U267" s="127">
        <f>N267*O267*'1. Standard_Cost'!$E$15</f>
        <v>0</v>
      </c>
      <c r="V267" s="174"/>
      <c r="W267" s="174"/>
      <c r="X267" s="174"/>
      <c r="Y267" s="127">
        <f>+V267*((X267*'1. Standard_Cost'!$B$19)+(W267*X267*'1. Standard_Cost'!$C$19))</f>
        <v>0</v>
      </c>
      <c r="Z267" s="174"/>
      <c r="AA267" s="174"/>
      <c r="AB267" s="127">
        <v>0</v>
      </c>
      <c r="AC267" s="176"/>
      <c r="AD267" s="177">
        <f>25%*369000000</f>
        <v>92250000</v>
      </c>
      <c r="AE267" s="127"/>
      <c r="AF267" s="127">
        <f>SUM(AE267,AD267,AC267,AB267,Y267,U267,T267,S267,R267)</f>
        <v>92250000</v>
      </c>
      <c r="AG267" s="174"/>
      <c r="AH267" s="174"/>
      <c r="AI267" s="174"/>
      <c r="AJ267" s="178"/>
      <c r="AK267" s="178"/>
      <c r="AL267" s="178"/>
      <c r="AM267" s="127">
        <f>AG267*'1. Standard_Cost'!$B$27+'Incremental_Cost Year 10'!AH267*'1. Standard_Cost'!$C$27+'Incremental_Cost Year 10'!AI267*'1. Standard_Cost'!$D$27+'Incremental_Cost Year 10'!AJ267+'Incremental_Cost Year 10'!AL267+AK267</f>
        <v>0</v>
      </c>
      <c r="AN267" s="127">
        <f>AM267*'1. Standard_Cost'!$C$31</f>
        <v>0</v>
      </c>
      <c r="AO267" s="178"/>
      <c r="AP267" s="256"/>
      <c r="AQ267" s="171">
        <f>L267+M267</f>
        <v>0</v>
      </c>
      <c r="AR267" s="171">
        <f>AF267</f>
        <v>92250000</v>
      </c>
      <c r="AS267" s="171">
        <f>AM267+AN267</f>
        <v>0</v>
      </c>
      <c r="AT267" s="171">
        <f>SUM(AQ267,AR267,AS267)</f>
        <v>92250000</v>
      </c>
      <c r="AU267" s="250"/>
      <c r="AV267" s="250"/>
      <c r="AW267" s="250"/>
      <c r="AX267" s="250"/>
      <c r="AY267" s="250"/>
      <c r="AZ267" s="250"/>
      <c r="BA267" s="250"/>
      <c r="BB267" s="251">
        <f t="shared" si="179"/>
        <v>-92250000</v>
      </c>
      <c r="BC267" s="169"/>
      <c r="BD267" s="169"/>
      <c r="BE267" s="169"/>
      <c r="BF267" s="169"/>
    </row>
    <row r="268" spans="1:58" ht="38.25" x14ac:dyDescent="0.25">
      <c r="A268" s="172"/>
      <c r="B268" s="168"/>
      <c r="C268" s="204"/>
      <c r="D268" s="344" t="s">
        <v>560</v>
      </c>
      <c r="E268" s="205" t="s">
        <v>340</v>
      </c>
      <c r="F268" s="205">
        <v>2021</v>
      </c>
      <c r="G268" s="205">
        <v>2030</v>
      </c>
      <c r="H268" s="182" t="s">
        <v>341</v>
      </c>
      <c r="I268" s="273"/>
      <c r="J268" s="273"/>
      <c r="K268" s="273"/>
      <c r="L268" s="175">
        <f>SUM(L264:L267)</f>
        <v>22461600</v>
      </c>
      <c r="M268" s="175">
        <f>SUM(M264:M267)</f>
        <v>3751087.2</v>
      </c>
      <c r="N268" s="273"/>
      <c r="O268" s="273"/>
      <c r="P268" s="273"/>
      <c r="Q268" s="273"/>
      <c r="R268" s="175">
        <f>SUM(R264:R267)</f>
        <v>0</v>
      </c>
      <c r="S268" s="175">
        <f>SUM(S264:S267)</f>
        <v>0</v>
      </c>
      <c r="T268" s="175">
        <f>SUM(T264:T267)</f>
        <v>0</v>
      </c>
      <c r="U268" s="175">
        <f>SUM(U264:U267)</f>
        <v>0</v>
      </c>
      <c r="V268" s="273"/>
      <c r="W268" s="273"/>
      <c r="X268" s="273"/>
      <c r="Y268" s="175">
        <f>SUM(Y264:Y267)</f>
        <v>0</v>
      </c>
      <c r="Z268" s="175"/>
      <c r="AA268" s="273"/>
      <c r="AB268" s="175">
        <f>SUM(AB264:AB267)</f>
        <v>0</v>
      </c>
      <c r="AC268" s="175">
        <f>SUM(AC264:AC267)</f>
        <v>25655000</v>
      </c>
      <c r="AD268" s="175">
        <f>SUM(AD264:AD267)</f>
        <v>184500000</v>
      </c>
      <c r="AE268" s="175">
        <f>SUM(AE264:AE267)</f>
        <v>18450000</v>
      </c>
      <c r="AF268" s="175">
        <f>SUM(AF264:AF267)</f>
        <v>228605000</v>
      </c>
      <c r="AG268" s="273"/>
      <c r="AH268" s="273"/>
      <c r="AI268" s="273"/>
      <c r="AJ268" s="175">
        <f>SUM(AJ264:AJ267)</f>
        <v>0</v>
      </c>
      <c r="AK268" s="175">
        <f>SUM(AK264:AK267)</f>
        <v>0</v>
      </c>
      <c r="AL268" s="175">
        <f>SUM(AL264:AL267)</f>
        <v>0</v>
      </c>
      <c r="AM268" s="175">
        <f>SUM(AM264:AM267)</f>
        <v>0</v>
      </c>
      <c r="AN268" s="175">
        <f>SUM(AN264:AN267)</f>
        <v>0</v>
      </c>
      <c r="AO268" s="274"/>
      <c r="AP268" s="254"/>
      <c r="AQ268" s="175">
        <f t="shared" ref="AQ268:AT268" si="180">SUM(AQ264:AQ267)</f>
        <v>26212687.199999999</v>
      </c>
      <c r="AR268" s="175">
        <f t="shared" si="180"/>
        <v>228605000</v>
      </c>
      <c r="AS268" s="175">
        <f t="shared" si="180"/>
        <v>0</v>
      </c>
      <c r="AT268" s="175">
        <f t="shared" si="180"/>
        <v>254817687.19999999</v>
      </c>
      <c r="AU268" s="175">
        <f t="shared" ref="AU268:BB268" si="181">SUM(AU264:AU267)</f>
        <v>51867686.799999997</v>
      </c>
      <c r="AV268" s="175">
        <f t="shared" si="181"/>
        <v>0</v>
      </c>
      <c r="AW268" s="175">
        <f t="shared" si="181"/>
        <v>0</v>
      </c>
      <c r="AX268" s="175">
        <f t="shared" si="181"/>
        <v>0</v>
      </c>
      <c r="AY268" s="175">
        <f t="shared" si="181"/>
        <v>0</v>
      </c>
      <c r="AZ268" s="175">
        <f t="shared" si="181"/>
        <v>0</v>
      </c>
      <c r="BA268" s="175">
        <f t="shared" si="181"/>
        <v>0</v>
      </c>
      <c r="BB268" s="175">
        <f t="shared" si="181"/>
        <v>-202950000.40000001</v>
      </c>
      <c r="BC268" s="169"/>
      <c r="BD268" s="169"/>
      <c r="BE268" s="169"/>
      <c r="BF268" s="169"/>
    </row>
    <row r="269" spans="1:58" ht="15.6" customHeight="1" x14ac:dyDescent="0.2">
      <c r="A269" s="179"/>
      <c r="B269" s="290"/>
      <c r="C269" s="391" t="s">
        <v>342</v>
      </c>
      <c r="D269" s="391"/>
      <c r="E269" s="392"/>
      <c r="F269" s="287"/>
      <c r="G269" s="289"/>
      <c r="H269" s="181" t="s">
        <v>343</v>
      </c>
      <c r="I269" s="271"/>
      <c r="J269" s="271"/>
      <c r="K269" s="271"/>
      <c r="L269" s="261">
        <f>L273+L276</f>
        <v>0</v>
      </c>
      <c r="M269" s="261">
        <f>M273+M276</f>
        <v>0</v>
      </c>
      <c r="N269" s="271"/>
      <c r="O269" s="271"/>
      <c r="P269" s="271"/>
      <c r="Q269" s="271"/>
      <c r="R269" s="261">
        <f>R273+R276</f>
        <v>0</v>
      </c>
      <c r="S269" s="261">
        <f>S273+S276</f>
        <v>0</v>
      </c>
      <c r="T269" s="261">
        <f>T273+T276</f>
        <v>0</v>
      </c>
      <c r="U269" s="261">
        <f>U273+U276</f>
        <v>0</v>
      </c>
      <c r="V269" s="271"/>
      <c r="W269" s="271"/>
      <c r="X269" s="271"/>
      <c r="Y269" s="261">
        <f>Y273+Y276</f>
        <v>0</v>
      </c>
      <c r="Z269" s="261"/>
      <c r="AA269" s="261"/>
      <c r="AB269" s="261">
        <f>AB273+AB276</f>
        <v>0</v>
      </c>
      <c r="AC269" s="261">
        <f>AC273+AC276</f>
        <v>0</v>
      </c>
      <c r="AD269" s="261">
        <f>AD273+AD276</f>
        <v>0</v>
      </c>
      <c r="AE269" s="261">
        <f>AE273+AE276</f>
        <v>0</v>
      </c>
      <c r="AF269" s="261">
        <f>AF273+AF276</f>
        <v>0</v>
      </c>
      <c r="AG269" s="271"/>
      <c r="AH269" s="271"/>
      <c r="AI269" s="271"/>
      <c r="AJ269" s="261">
        <f>AJ273+AJ276</f>
        <v>0</v>
      </c>
      <c r="AK269" s="261">
        <f>AK273+AK276</f>
        <v>0</v>
      </c>
      <c r="AL269" s="261">
        <f>AL273+AL276</f>
        <v>0</v>
      </c>
      <c r="AM269" s="261">
        <f>AM273+AM276</f>
        <v>0</v>
      </c>
      <c r="AN269" s="261">
        <f>AN273+AN276</f>
        <v>0</v>
      </c>
      <c r="AO269" s="272"/>
      <c r="AP269" s="260"/>
      <c r="AQ269" s="261">
        <f t="shared" ref="AQ269:BB269" si="182">AQ273+AQ276</f>
        <v>0</v>
      </c>
      <c r="AR269" s="261">
        <f t="shared" si="182"/>
        <v>0</v>
      </c>
      <c r="AS269" s="261">
        <f t="shared" si="182"/>
        <v>0</v>
      </c>
      <c r="AT269" s="261">
        <f t="shared" si="182"/>
        <v>0</v>
      </c>
      <c r="AU269" s="261">
        <f t="shared" si="182"/>
        <v>0</v>
      </c>
      <c r="AV269" s="261">
        <f t="shared" si="182"/>
        <v>0</v>
      </c>
      <c r="AW269" s="261">
        <f t="shared" si="182"/>
        <v>0</v>
      </c>
      <c r="AX269" s="261">
        <f t="shared" si="182"/>
        <v>0</v>
      </c>
      <c r="AY269" s="261">
        <f t="shared" si="182"/>
        <v>0</v>
      </c>
      <c r="AZ269" s="261">
        <f t="shared" si="182"/>
        <v>0</v>
      </c>
      <c r="BA269" s="261">
        <f t="shared" si="182"/>
        <v>0</v>
      </c>
      <c r="BB269" s="261">
        <f t="shared" si="182"/>
        <v>0</v>
      </c>
      <c r="BC269" s="184"/>
      <c r="BD269" s="184"/>
      <c r="BE269" s="184"/>
      <c r="BF269" s="184"/>
    </row>
    <row r="270" spans="1:58" ht="78.75" x14ac:dyDescent="0.25">
      <c r="A270" s="172"/>
      <c r="B270" s="200"/>
      <c r="C270" s="201"/>
      <c r="D270" s="202"/>
      <c r="E270" s="354"/>
      <c r="F270" s="355"/>
      <c r="G270" s="356"/>
      <c r="H270" s="199" t="s">
        <v>344</v>
      </c>
      <c r="I270" s="178"/>
      <c r="J270" s="174"/>
      <c r="K270" s="174"/>
      <c r="L270" s="125" t="str">
        <f>IF(I270&lt;&gt;0,((VLOOKUP(I270,'1. Standard_Cost'!$B$4:$D$11,2)+VLOOKUP(I270,'1. Standard_Cost'!$B$4:$D$11,3))*J270*K270),"0")</f>
        <v>0</v>
      </c>
      <c r="M270" s="125">
        <f>L270*'1. Standard_Cost'!$F$4</f>
        <v>0</v>
      </c>
      <c r="N270" s="174"/>
      <c r="O270" s="174"/>
      <c r="P270" s="174"/>
      <c r="Q270" s="174"/>
      <c r="R270" s="127">
        <f>'1. Standard_Cost'!$B$15*N270*P270</f>
        <v>0</v>
      </c>
      <c r="S270" s="127">
        <f>N270*O270*P270*'1. Standard_Cost'!$C$15</f>
        <v>0</v>
      </c>
      <c r="T270" s="127">
        <f>N270*P270*Q270*'1. Standard_Cost'!$D$15</f>
        <v>0</v>
      </c>
      <c r="U270" s="127">
        <f>N270*O270*'1. Standard_Cost'!$E$15</f>
        <v>0</v>
      </c>
      <c r="V270" s="174"/>
      <c r="W270" s="174"/>
      <c r="X270" s="174"/>
      <c r="Y270" s="127">
        <f>+V270*((X270*'1. Standard_Cost'!$B$19)+(W270*X270*'1. Standard_Cost'!$C$19))</f>
        <v>0</v>
      </c>
      <c r="Z270" s="174"/>
      <c r="AA270" s="174"/>
      <c r="AB270" s="127">
        <v>0</v>
      </c>
      <c r="AC270" s="176"/>
      <c r="AD270" s="177"/>
      <c r="AE270" s="127">
        <f>SUM(AD270,AC270,AB270,Y270,U270,T270,S270,R270)*'1. Standard_Cost'!$B$31</f>
        <v>0</v>
      </c>
      <c r="AF270" s="127">
        <f>SUM(AE270,AD270,AC270,AB270,Y270,U270,T270,S270,R270)</f>
        <v>0</v>
      </c>
      <c r="AG270" s="174"/>
      <c r="AH270" s="174"/>
      <c r="AI270" s="174"/>
      <c r="AJ270" s="178"/>
      <c r="AK270" s="178"/>
      <c r="AL270" s="178"/>
      <c r="AM270" s="127">
        <f>AG270*'1. Standard_Cost'!$B$27+'Incremental_Cost Year 10'!AH270*'1. Standard_Cost'!$C$27+'Incremental_Cost Year 10'!AI270*'1. Standard_Cost'!$D$27+'Incremental_Cost Year 10'!AJ270+'Incremental_Cost Year 10'!AL270+AK270</f>
        <v>0</v>
      </c>
      <c r="AN270" s="127">
        <f>AM270*'1. Standard_Cost'!$C$31</f>
        <v>0</v>
      </c>
      <c r="AO270" s="178"/>
      <c r="AP270" s="256"/>
      <c r="AQ270" s="171">
        <f>L270+M270</f>
        <v>0</v>
      </c>
      <c r="AR270" s="171">
        <f>AF270</f>
        <v>0</v>
      </c>
      <c r="AS270" s="171">
        <f>AM270+AN270</f>
        <v>0</v>
      </c>
      <c r="AT270" s="171">
        <f>SUM(AQ270,AR270,AS270)</f>
        <v>0</v>
      </c>
      <c r="AU270" s="250">
        <f>AQ270</f>
        <v>0</v>
      </c>
      <c r="AV270" s="250"/>
      <c r="AW270" s="250"/>
      <c r="AX270" s="250"/>
      <c r="AY270" s="250"/>
      <c r="AZ270" s="250"/>
      <c r="BA270" s="250"/>
      <c r="BB270" s="251">
        <f t="shared" ref="BB270:BB272" si="183">SUM(AU270:BA270)-AT270</f>
        <v>0</v>
      </c>
      <c r="BC270" s="169"/>
      <c r="BD270" s="169"/>
      <c r="BE270" s="169"/>
      <c r="BF270" s="169"/>
    </row>
    <row r="271" spans="1:58" ht="63" x14ac:dyDescent="0.25">
      <c r="A271" s="172"/>
      <c r="B271" s="200"/>
      <c r="C271" s="201"/>
      <c r="D271" s="202"/>
      <c r="E271" s="357"/>
      <c r="F271" s="358"/>
      <c r="G271" s="359"/>
      <c r="H271" s="199" t="s">
        <v>345</v>
      </c>
      <c r="I271" s="178"/>
      <c r="J271" s="174"/>
      <c r="K271" s="174"/>
      <c r="L271" s="125" t="str">
        <f>IF(I271&lt;&gt;0,((VLOOKUP(I271,'1. Standard_Cost'!$B$4:$D$11,2)+VLOOKUP(I271,'1. Standard_Cost'!$B$4:$D$11,3))*J271*K271),"0")</f>
        <v>0</v>
      </c>
      <c r="M271" s="125">
        <f>L271*'1. Standard_Cost'!$F$4</f>
        <v>0</v>
      </c>
      <c r="N271" s="174"/>
      <c r="O271" s="174"/>
      <c r="P271" s="174"/>
      <c r="Q271" s="174"/>
      <c r="R271" s="127">
        <f>'1. Standard_Cost'!$B$15*N271*P271</f>
        <v>0</v>
      </c>
      <c r="S271" s="127">
        <f>N271*O271*P271*'1. Standard_Cost'!$C$15</f>
        <v>0</v>
      </c>
      <c r="T271" s="127">
        <f>N271*P271*Q271*'1. Standard_Cost'!$D$15</f>
        <v>0</v>
      </c>
      <c r="U271" s="127">
        <f>N271*O271*'1. Standard_Cost'!$E$15</f>
        <v>0</v>
      </c>
      <c r="V271" s="174"/>
      <c r="W271" s="174"/>
      <c r="X271" s="174"/>
      <c r="Y271" s="127">
        <f>+V271*((X271*'1. Standard_Cost'!$B$19)+(W271*X271*'1. Standard_Cost'!$C$19))</f>
        <v>0</v>
      </c>
      <c r="Z271" s="174"/>
      <c r="AA271" s="174"/>
      <c r="AB271" s="127">
        <v>0</v>
      </c>
      <c r="AC271" s="176"/>
      <c r="AD271" s="177"/>
      <c r="AE271" s="127">
        <f>SUM(AD271,AC271,AB271,Y271,U271,T271,S271,R271)*'1. Standard_Cost'!$B$31</f>
        <v>0</v>
      </c>
      <c r="AF271" s="127">
        <f>SUM(AE271,AD271,AC271,AB271,Y271,U271,T271,S271,R271)</f>
        <v>0</v>
      </c>
      <c r="AG271" s="174"/>
      <c r="AH271" s="174"/>
      <c r="AI271" s="174"/>
      <c r="AJ271" s="178"/>
      <c r="AK271" s="178"/>
      <c r="AL271" s="178"/>
      <c r="AM271" s="127">
        <f>AG271*'1. Standard_Cost'!$B$27+'Incremental_Cost Year 10'!AH271*'1. Standard_Cost'!$C$27+'Incremental_Cost Year 10'!AI271*'1. Standard_Cost'!$D$27+'Incremental_Cost Year 10'!AJ271+'Incremental_Cost Year 10'!AL271+AK271</f>
        <v>0</v>
      </c>
      <c r="AN271" s="127">
        <f>AM271*'1. Standard_Cost'!$C$31</f>
        <v>0</v>
      </c>
      <c r="AO271" s="178"/>
      <c r="AP271" s="256"/>
      <c r="AQ271" s="171">
        <f>L271+M271</f>
        <v>0</v>
      </c>
      <c r="AR271" s="171">
        <f>AF271</f>
        <v>0</v>
      </c>
      <c r="AS271" s="171">
        <f>AM271+AN271</f>
        <v>0</v>
      </c>
      <c r="AT271" s="171">
        <f>SUM(AQ271,AR271,AS271)</f>
        <v>0</v>
      </c>
      <c r="AU271" s="250">
        <f>AQ271</f>
        <v>0</v>
      </c>
      <c r="AV271" s="250"/>
      <c r="AW271" s="250"/>
      <c r="AX271" s="250"/>
      <c r="AY271" s="250"/>
      <c r="AZ271" s="250"/>
      <c r="BA271" s="250"/>
      <c r="BB271" s="251">
        <f t="shared" si="183"/>
        <v>0</v>
      </c>
      <c r="BC271" s="169"/>
      <c r="BD271" s="169"/>
      <c r="BE271" s="169"/>
      <c r="BF271" s="169"/>
    </row>
    <row r="272" spans="1:58" ht="63" x14ac:dyDescent="0.25">
      <c r="A272" s="172"/>
      <c r="B272" s="200"/>
      <c r="C272" s="201"/>
      <c r="D272" s="202"/>
      <c r="E272" s="360"/>
      <c r="F272" s="361"/>
      <c r="G272" s="362"/>
      <c r="H272" s="199" t="s">
        <v>346</v>
      </c>
      <c r="I272" s="178"/>
      <c r="J272" s="174"/>
      <c r="K272" s="174"/>
      <c r="L272" s="125" t="str">
        <f>IF(I272&lt;&gt;0,((VLOOKUP(I272,'1. Standard_Cost'!$B$4:$D$11,2)+VLOOKUP(I272,'1. Standard_Cost'!$B$4:$D$11,3))*J272*K272),"0")</f>
        <v>0</v>
      </c>
      <c r="M272" s="125">
        <f>L272*'1. Standard_Cost'!$F$4</f>
        <v>0</v>
      </c>
      <c r="N272" s="174"/>
      <c r="O272" s="174"/>
      <c r="P272" s="174"/>
      <c r="Q272" s="174"/>
      <c r="R272" s="127">
        <f>'1. Standard_Cost'!$B$15*N272*P272</f>
        <v>0</v>
      </c>
      <c r="S272" s="127">
        <f>N272*O272*P272*'1. Standard_Cost'!$C$15</f>
        <v>0</v>
      </c>
      <c r="T272" s="127">
        <f>N272*P272*Q272*'1. Standard_Cost'!$D$15</f>
        <v>0</v>
      </c>
      <c r="U272" s="127">
        <f>N272*O272*'1. Standard_Cost'!$E$15</f>
        <v>0</v>
      </c>
      <c r="V272" s="174"/>
      <c r="W272" s="174"/>
      <c r="X272" s="174"/>
      <c r="Y272" s="127">
        <f>+V272*((X272*'1. Standard_Cost'!$B$19)+(W272*X272*'1. Standard_Cost'!$C$19))</f>
        <v>0</v>
      </c>
      <c r="Z272" s="174"/>
      <c r="AA272" s="174"/>
      <c r="AB272" s="127">
        <v>0</v>
      </c>
      <c r="AC272" s="176"/>
      <c r="AD272" s="177"/>
      <c r="AE272" s="127">
        <f>SUM(AD272,AC272,AB272,Y272,U272,T272,S272,R272)*'1. Standard_Cost'!$B$31</f>
        <v>0</v>
      </c>
      <c r="AF272" s="127">
        <f>SUM(AE272,AD272,AC272,AB272,Y272,U272,T272,S272,R272)</f>
        <v>0</v>
      </c>
      <c r="AG272" s="174"/>
      <c r="AH272" s="174"/>
      <c r="AI272" s="174"/>
      <c r="AJ272" s="178"/>
      <c r="AK272" s="178"/>
      <c r="AL272" s="178"/>
      <c r="AM272" s="127">
        <f>AG272*'1. Standard_Cost'!$B$27+'Incremental_Cost Year 10'!AH272*'1. Standard_Cost'!$C$27+'Incremental_Cost Year 10'!AI272*'1. Standard_Cost'!$D$27+'Incremental_Cost Year 10'!AJ272+'Incremental_Cost Year 10'!AL272+AK272</f>
        <v>0</v>
      </c>
      <c r="AN272" s="127">
        <f>AM272*'1. Standard_Cost'!$C$31</f>
        <v>0</v>
      </c>
      <c r="AO272" s="178"/>
      <c r="AP272" s="256"/>
      <c r="AQ272" s="171">
        <f>L272+M272</f>
        <v>0</v>
      </c>
      <c r="AR272" s="171">
        <f>AF272</f>
        <v>0</v>
      </c>
      <c r="AS272" s="171">
        <f>AM272+AN272</f>
        <v>0</v>
      </c>
      <c r="AT272" s="171">
        <f>SUM(AQ272,AR272,AS272)</f>
        <v>0</v>
      </c>
      <c r="AU272" s="250">
        <f>AQ272</f>
        <v>0</v>
      </c>
      <c r="AV272" s="250"/>
      <c r="AW272" s="250"/>
      <c r="AX272" s="250"/>
      <c r="AY272" s="250"/>
      <c r="AZ272" s="250"/>
      <c r="BA272" s="250"/>
      <c r="BB272" s="251">
        <f t="shared" si="183"/>
        <v>0</v>
      </c>
      <c r="BC272" s="169"/>
      <c r="BD272" s="169"/>
      <c r="BE272" s="169"/>
      <c r="BF272" s="169"/>
    </row>
    <row r="273" spans="1:58" ht="63" x14ac:dyDescent="0.2">
      <c r="A273" s="172"/>
      <c r="B273" s="168"/>
      <c r="C273" s="204"/>
      <c r="D273" s="212" t="s">
        <v>559</v>
      </c>
      <c r="E273" s="212" t="s">
        <v>347</v>
      </c>
      <c r="F273" s="206">
        <v>2026</v>
      </c>
      <c r="G273" s="207">
        <v>2028</v>
      </c>
      <c r="H273" s="182" t="s">
        <v>348</v>
      </c>
      <c r="I273" s="273"/>
      <c r="J273" s="273"/>
      <c r="K273" s="273"/>
      <c r="L273" s="175">
        <f>SUM(L270:L272)</f>
        <v>0</v>
      </c>
      <c r="M273" s="175">
        <f>SUM(M270:M272)</f>
        <v>0</v>
      </c>
      <c r="N273" s="273"/>
      <c r="O273" s="273"/>
      <c r="P273" s="273"/>
      <c r="Q273" s="273"/>
      <c r="R273" s="175">
        <f>SUM(R270:R272)</f>
        <v>0</v>
      </c>
      <c r="S273" s="175">
        <f>SUM(S270:S272)</f>
        <v>0</v>
      </c>
      <c r="T273" s="175">
        <f>SUM(T270:T272)</f>
        <v>0</v>
      </c>
      <c r="U273" s="175">
        <f>SUM(U270:U272)</f>
        <v>0</v>
      </c>
      <c r="V273" s="273"/>
      <c r="W273" s="273"/>
      <c r="X273" s="273"/>
      <c r="Y273" s="175">
        <f>SUM(Y270:Y272)</f>
        <v>0</v>
      </c>
      <c r="Z273" s="175"/>
      <c r="AA273" s="273"/>
      <c r="AB273" s="175">
        <f>SUM(AB270:AB272)</f>
        <v>0</v>
      </c>
      <c r="AC273" s="175">
        <f>SUM(AC270:AC272)</f>
        <v>0</v>
      </c>
      <c r="AD273" s="175">
        <f>SUM(AD270:AD272)</f>
        <v>0</v>
      </c>
      <c r="AE273" s="175">
        <f>SUM(AE270:AE272)</f>
        <v>0</v>
      </c>
      <c r="AF273" s="175">
        <f>SUM(AF270:AF272)</f>
        <v>0</v>
      </c>
      <c r="AG273" s="273"/>
      <c r="AH273" s="273"/>
      <c r="AI273" s="273"/>
      <c r="AJ273" s="175">
        <f>SUM(AJ270:AJ272)</f>
        <v>0</v>
      </c>
      <c r="AK273" s="175">
        <f>SUM(AK270:AK272)</f>
        <v>0</v>
      </c>
      <c r="AL273" s="175">
        <f>SUM(AL270:AL272)</f>
        <v>0</v>
      </c>
      <c r="AM273" s="175">
        <f>SUM(AM270:AM272)</f>
        <v>0</v>
      </c>
      <c r="AN273" s="175">
        <f>SUM(AN270:AN272)</f>
        <v>0</v>
      </c>
      <c r="AO273" s="274"/>
      <c r="AP273" s="254"/>
      <c r="AQ273" s="175">
        <f t="shared" ref="AQ273:AT273" si="184">SUM(AQ270:AQ272)</f>
        <v>0</v>
      </c>
      <c r="AR273" s="175">
        <f t="shared" si="184"/>
        <v>0</v>
      </c>
      <c r="AS273" s="175">
        <f t="shared" si="184"/>
        <v>0</v>
      </c>
      <c r="AT273" s="175">
        <f t="shared" si="184"/>
        <v>0</v>
      </c>
      <c r="AU273" s="175">
        <f t="shared" ref="AU273:BB273" si="185">SUM(AU270:AU272)</f>
        <v>0</v>
      </c>
      <c r="AV273" s="175">
        <f t="shared" si="185"/>
        <v>0</v>
      </c>
      <c r="AW273" s="175">
        <f t="shared" si="185"/>
        <v>0</v>
      </c>
      <c r="AX273" s="175">
        <f t="shared" si="185"/>
        <v>0</v>
      </c>
      <c r="AY273" s="175">
        <f t="shared" si="185"/>
        <v>0</v>
      </c>
      <c r="AZ273" s="175">
        <f t="shared" si="185"/>
        <v>0</v>
      </c>
      <c r="BA273" s="175">
        <f t="shared" si="185"/>
        <v>0</v>
      </c>
      <c r="BB273" s="175">
        <f t="shared" si="185"/>
        <v>0</v>
      </c>
      <c r="BC273" s="169"/>
      <c r="BD273" s="169"/>
      <c r="BE273" s="169"/>
      <c r="BF273" s="169"/>
    </row>
    <row r="274" spans="1:58" ht="94.5" x14ac:dyDescent="0.25">
      <c r="A274" s="172"/>
      <c r="B274" s="200"/>
      <c r="C274" s="201"/>
      <c r="D274" s="202"/>
      <c r="E274" s="354"/>
      <c r="F274" s="355"/>
      <c r="G274" s="356"/>
      <c r="H274" s="199" t="s">
        <v>349</v>
      </c>
      <c r="I274" s="178"/>
      <c r="J274" s="174"/>
      <c r="K274" s="174"/>
      <c r="L274" s="125" t="str">
        <f>IF(I274&lt;&gt;0,((VLOOKUP(I274,'1. Standard_Cost'!$B$4:$D$11,2)+VLOOKUP(I274,'1. Standard_Cost'!$B$4:$D$11,3))*J274*K274),"0")</f>
        <v>0</v>
      </c>
      <c r="M274" s="125">
        <f>L274*'1. Standard_Cost'!$F$4</f>
        <v>0</v>
      </c>
      <c r="N274" s="174"/>
      <c r="O274" s="174"/>
      <c r="P274" s="174"/>
      <c r="Q274" s="174"/>
      <c r="R274" s="127">
        <f>'1. Standard_Cost'!$B$15*N274*P274</f>
        <v>0</v>
      </c>
      <c r="S274" s="127">
        <f>N274*O274*P274*'1. Standard_Cost'!$C$15</f>
        <v>0</v>
      </c>
      <c r="T274" s="127">
        <f>N274*P274*Q274*'1. Standard_Cost'!$D$15</f>
        <v>0</v>
      </c>
      <c r="U274" s="127">
        <f>N274*O274*'1. Standard_Cost'!$E$15</f>
        <v>0</v>
      </c>
      <c r="V274" s="174"/>
      <c r="W274" s="174"/>
      <c r="X274" s="174"/>
      <c r="Y274" s="127">
        <f>+V274*((X274*'1. Standard_Cost'!$B$19)+(W274*X274*'1. Standard_Cost'!$C$19))</f>
        <v>0</v>
      </c>
      <c r="Z274" s="174"/>
      <c r="AA274" s="174"/>
      <c r="AB274" s="127">
        <v>0</v>
      </c>
      <c r="AC274" s="176"/>
      <c r="AD274" s="177"/>
      <c r="AE274" s="127">
        <f>SUM(AD274,AC274,AB274,Y274,U274,T274,S274,R274)*'1. Standard_Cost'!$B$31</f>
        <v>0</v>
      </c>
      <c r="AF274" s="127">
        <f>SUM(AE274,AD274,AC274,AB274,Y274,U274,T274,S274,R274)</f>
        <v>0</v>
      </c>
      <c r="AG274" s="174"/>
      <c r="AH274" s="174"/>
      <c r="AI274" s="174"/>
      <c r="AJ274" s="178"/>
      <c r="AK274" s="178"/>
      <c r="AL274" s="178"/>
      <c r="AM274" s="127">
        <f>AG274*'1. Standard_Cost'!$B$27+'Incremental_Cost Year 10'!AH274*'1. Standard_Cost'!$C$27+'Incremental_Cost Year 10'!AI274*'1. Standard_Cost'!$D$27+'Incremental_Cost Year 10'!AJ274+'Incremental_Cost Year 10'!AL274+AK274</f>
        <v>0</v>
      </c>
      <c r="AN274" s="127">
        <f>AM274*'1. Standard_Cost'!$C$31</f>
        <v>0</v>
      </c>
      <c r="AO274" s="178"/>
      <c r="AP274" s="256"/>
      <c r="AQ274" s="171">
        <f>L274+M274</f>
        <v>0</v>
      </c>
      <c r="AR274" s="171">
        <f>AF274</f>
        <v>0</v>
      </c>
      <c r="AS274" s="171">
        <f>AM274+AN274</f>
        <v>0</v>
      </c>
      <c r="AT274" s="171">
        <f>SUM(AQ274,AR274,AS274)</f>
        <v>0</v>
      </c>
      <c r="AU274" s="250">
        <f>AT274</f>
        <v>0</v>
      </c>
      <c r="AV274" s="250"/>
      <c r="AW274" s="250"/>
      <c r="AX274" s="250"/>
      <c r="AY274" s="250"/>
      <c r="AZ274" s="250"/>
      <c r="BA274" s="250"/>
      <c r="BB274" s="251">
        <f t="shared" ref="BB274:BB275" si="186">SUM(AU274:BA274)-AT274</f>
        <v>0</v>
      </c>
      <c r="BC274" s="169"/>
      <c r="BD274" s="169"/>
      <c r="BE274" s="169"/>
      <c r="BF274" s="169"/>
    </row>
    <row r="275" spans="1:58" ht="126" x14ac:dyDescent="0.25">
      <c r="A275" s="172"/>
      <c r="B275" s="200"/>
      <c r="C275" s="201"/>
      <c r="D275" s="202"/>
      <c r="E275" s="360"/>
      <c r="F275" s="361"/>
      <c r="G275" s="362"/>
      <c r="H275" s="199" t="s">
        <v>350</v>
      </c>
      <c r="I275" s="178"/>
      <c r="J275" s="174"/>
      <c r="K275" s="174"/>
      <c r="L275" s="125" t="str">
        <f>IF(I275&lt;&gt;0,((VLOOKUP(I275,'1. Standard_Cost'!$B$4:$D$11,2)+VLOOKUP(I275,'1. Standard_Cost'!$B$4:$D$11,3))*J275*K275),"0")</f>
        <v>0</v>
      </c>
      <c r="M275" s="125">
        <f>L275*'1. Standard_Cost'!$F$4</f>
        <v>0</v>
      </c>
      <c r="N275" s="174"/>
      <c r="O275" s="174"/>
      <c r="P275" s="174"/>
      <c r="Q275" s="174"/>
      <c r="R275" s="127">
        <f>'1. Standard_Cost'!$B$15*N275*P275</f>
        <v>0</v>
      </c>
      <c r="S275" s="127">
        <f>N275*O275*P275*'1. Standard_Cost'!$C$15</f>
        <v>0</v>
      </c>
      <c r="T275" s="127">
        <f>N275*P275*Q275*'1. Standard_Cost'!$D$15</f>
        <v>0</v>
      </c>
      <c r="U275" s="127">
        <f>N275*O275*'1. Standard_Cost'!$E$15</f>
        <v>0</v>
      </c>
      <c r="V275" s="174"/>
      <c r="W275" s="174"/>
      <c r="X275" s="174"/>
      <c r="Y275" s="127">
        <f>+V275*((X275*'1. Standard_Cost'!$B$19)+(W275*X275*'1. Standard_Cost'!$C$19))</f>
        <v>0</v>
      </c>
      <c r="Z275" s="174"/>
      <c r="AA275" s="174"/>
      <c r="AB275" s="127">
        <v>0</v>
      </c>
      <c r="AC275" s="176"/>
      <c r="AD275" s="177"/>
      <c r="AE275" s="127">
        <f>SUM(AD275,AC275,AB275,Y275,U275,T275,S275,R275)*'1. Standard_Cost'!$B$31</f>
        <v>0</v>
      </c>
      <c r="AF275" s="127">
        <f>SUM(AE275,AD275,AC275,AB275,Y275,U275,T275,S275,R275)</f>
        <v>0</v>
      </c>
      <c r="AG275" s="174"/>
      <c r="AH275" s="174"/>
      <c r="AI275" s="174"/>
      <c r="AJ275" s="178"/>
      <c r="AK275" s="178"/>
      <c r="AL275" s="178"/>
      <c r="AM275" s="127">
        <f>AG275*'1. Standard_Cost'!$B$27+'Incremental_Cost Year 10'!AH275*'1. Standard_Cost'!$C$27+'Incremental_Cost Year 10'!AI275*'1. Standard_Cost'!$D$27+'Incremental_Cost Year 10'!AJ275+'Incremental_Cost Year 10'!AL275+AK275</f>
        <v>0</v>
      </c>
      <c r="AN275" s="127">
        <f>AM275*'1. Standard_Cost'!$C$31</f>
        <v>0</v>
      </c>
      <c r="AO275" s="178"/>
      <c r="AP275" s="256"/>
      <c r="AQ275" s="171">
        <f>L275+M275</f>
        <v>0</v>
      </c>
      <c r="AR275" s="171">
        <f>AF275</f>
        <v>0</v>
      </c>
      <c r="AS275" s="171">
        <f>AM275+AN275</f>
        <v>0</v>
      </c>
      <c r="AT275" s="171">
        <f>SUM(AQ275,AR275,AS275)</f>
        <v>0</v>
      </c>
      <c r="AU275" s="250">
        <f>AQ275</f>
        <v>0</v>
      </c>
      <c r="AV275" s="250"/>
      <c r="AW275" s="250"/>
      <c r="AX275" s="250"/>
      <c r="AY275" s="250"/>
      <c r="AZ275" s="250"/>
      <c r="BA275" s="250"/>
      <c r="BB275" s="251">
        <f t="shared" si="186"/>
        <v>0</v>
      </c>
      <c r="BC275" s="169"/>
      <c r="BD275" s="169"/>
      <c r="BE275" s="169"/>
      <c r="BF275" s="169"/>
    </row>
    <row r="276" spans="1:58" ht="78.75" x14ac:dyDescent="0.2">
      <c r="A276" s="172"/>
      <c r="B276" s="168"/>
      <c r="C276" s="204"/>
      <c r="D276" s="212" t="s">
        <v>485</v>
      </c>
      <c r="E276" s="212" t="s">
        <v>351</v>
      </c>
      <c r="F276" s="206">
        <v>2022</v>
      </c>
      <c r="G276" s="207">
        <v>2025</v>
      </c>
      <c r="H276" s="182" t="s">
        <v>352</v>
      </c>
      <c r="I276" s="273"/>
      <c r="J276" s="273"/>
      <c r="K276" s="273"/>
      <c r="L276" s="175">
        <f>SUM(L274:L275)</f>
        <v>0</v>
      </c>
      <c r="M276" s="175">
        <f>SUM(M274:M275)</f>
        <v>0</v>
      </c>
      <c r="N276" s="273"/>
      <c r="O276" s="273"/>
      <c r="P276" s="273"/>
      <c r="Q276" s="273"/>
      <c r="R276" s="175">
        <f>SUM(R274:R275)</f>
        <v>0</v>
      </c>
      <c r="S276" s="175">
        <f>SUM(S274:S275)</f>
        <v>0</v>
      </c>
      <c r="T276" s="175">
        <f>SUM(T274:T275)</f>
        <v>0</v>
      </c>
      <c r="U276" s="175">
        <f>SUM(U274:U275)</f>
        <v>0</v>
      </c>
      <c r="V276" s="273"/>
      <c r="W276" s="273"/>
      <c r="X276" s="273"/>
      <c r="Y276" s="175">
        <f>SUM(Y274:Y275)</f>
        <v>0</v>
      </c>
      <c r="Z276" s="175"/>
      <c r="AA276" s="273"/>
      <c r="AB276" s="175">
        <f>SUM(AB274:AB275)</f>
        <v>0</v>
      </c>
      <c r="AC276" s="175">
        <f>SUM(AC274:AC275)</f>
        <v>0</v>
      </c>
      <c r="AD276" s="175">
        <f>SUM(AD274:AD275)</f>
        <v>0</v>
      </c>
      <c r="AE276" s="175">
        <f>SUM(AE274:AE275)</f>
        <v>0</v>
      </c>
      <c r="AF276" s="175">
        <f>SUM(AF274:AF275)</f>
        <v>0</v>
      </c>
      <c r="AG276" s="273"/>
      <c r="AH276" s="273"/>
      <c r="AI276" s="273"/>
      <c r="AJ276" s="175">
        <f>SUM(AJ274:AJ275)</f>
        <v>0</v>
      </c>
      <c r="AK276" s="175">
        <f>SUM(AK274:AK275)</f>
        <v>0</v>
      </c>
      <c r="AL276" s="175">
        <f>SUM(AL274:AL275)</f>
        <v>0</v>
      </c>
      <c r="AM276" s="175">
        <f>SUM(AM274:AM275)</f>
        <v>0</v>
      </c>
      <c r="AN276" s="175">
        <f>SUM(AN274:AN275)</f>
        <v>0</v>
      </c>
      <c r="AO276" s="274"/>
      <c r="AP276" s="254"/>
      <c r="AQ276" s="175">
        <f t="shared" ref="AQ276:AT276" si="187">SUM(AQ274:AQ275)</f>
        <v>0</v>
      </c>
      <c r="AR276" s="175">
        <f t="shared" si="187"/>
        <v>0</v>
      </c>
      <c r="AS276" s="175">
        <f t="shared" si="187"/>
        <v>0</v>
      </c>
      <c r="AT276" s="175">
        <f t="shared" si="187"/>
        <v>0</v>
      </c>
      <c r="AU276" s="175">
        <f t="shared" ref="AU276:BB276" si="188">SUM(AU274:AU275)</f>
        <v>0</v>
      </c>
      <c r="AV276" s="175">
        <f t="shared" si="188"/>
        <v>0</v>
      </c>
      <c r="AW276" s="175">
        <f t="shared" si="188"/>
        <v>0</v>
      </c>
      <c r="AX276" s="175">
        <f t="shared" si="188"/>
        <v>0</v>
      </c>
      <c r="AY276" s="175">
        <f t="shared" si="188"/>
        <v>0</v>
      </c>
      <c r="AZ276" s="175">
        <f t="shared" si="188"/>
        <v>0</v>
      </c>
      <c r="BA276" s="175">
        <f t="shared" si="188"/>
        <v>0</v>
      </c>
      <c r="BB276" s="175">
        <f t="shared" si="188"/>
        <v>0</v>
      </c>
      <c r="BC276" s="169"/>
      <c r="BD276" s="169"/>
      <c r="BE276" s="169"/>
      <c r="BF276" s="169"/>
    </row>
    <row r="277" spans="1:58" ht="15.6" customHeight="1" x14ac:dyDescent="0.2">
      <c r="A277" s="179"/>
      <c r="B277" s="290"/>
      <c r="C277" s="391" t="s">
        <v>353</v>
      </c>
      <c r="D277" s="391"/>
      <c r="E277" s="392"/>
      <c r="F277" s="287"/>
      <c r="G277" s="289"/>
      <c r="H277" s="181" t="s">
        <v>354</v>
      </c>
      <c r="I277" s="271"/>
      <c r="J277" s="271"/>
      <c r="K277" s="271"/>
      <c r="L277" s="261">
        <f>L283</f>
        <v>7660800</v>
      </c>
      <c r="M277" s="261">
        <f>M283</f>
        <v>1279353.6000000001</v>
      </c>
      <c r="N277" s="271"/>
      <c r="O277" s="271"/>
      <c r="P277" s="271"/>
      <c r="Q277" s="271"/>
      <c r="R277" s="261">
        <f>R283</f>
        <v>0</v>
      </c>
      <c r="S277" s="261">
        <f>S283</f>
        <v>0</v>
      </c>
      <c r="T277" s="261">
        <f>T283</f>
        <v>0</v>
      </c>
      <c r="U277" s="261">
        <f>U283</f>
        <v>0</v>
      </c>
      <c r="V277" s="271"/>
      <c r="W277" s="271"/>
      <c r="X277" s="271"/>
      <c r="Y277" s="261">
        <f>Y283</f>
        <v>0</v>
      </c>
      <c r="Z277" s="261"/>
      <c r="AA277" s="261"/>
      <c r="AB277" s="261">
        <f>AB283</f>
        <v>0</v>
      </c>
      <c r="AC277" s="261">
        <f>AC283</f>
        <v>0</v>
      </c>
      <c r="AD277" s="261">
        <f>AD283</f>
        <v>0</v>
      </c>
      <c r="AE277" s="261">
        <f>AE283</f>
        <v>0</v>
      </c>
      <c r="AF277" s="261">
        <f>AF283</f>
        <v>0</v>
      </c>
      <c r="AG277" s="271"/>
      <c r="AH277" s="271"/>
      <c r="AI277" s="271"/>
      <c r="AJ277" s="261">
        <f>AJ283</f>
        <v>0</v>
      </c>
      <c r="AK277" s="261">
        <f>AK283</f>
        <v>0</v>
      </c>
      <c r="AL277" s="261">
        <f>AL283</f>
        <v>0</v>
      </c>
      <c r="AM277" s="261">
        <f>AM283</f>
        <v>0</v>
      </c>
      <c r="AN277" s="261">
        <f>AN283</f>
        <v>0</v>
      </c>
      <c r="AO277" s="272"/>
      <c r="AP277" s="260"/>
      <c r="AQ277" s="261">
        <f t="shared" ref="AQ277:BB277" si="189">AQ283</f>
        <v>8940153.5999999996</v>
      </c>
      <c r="AR277" s="261">
        <f t="shared" si="189"/>
        <v>0</v>
      </c>
      <c r="AS277" s="261">
        <f t="shared" si="189"/>
        <v>0</v>
      </c>
      <c r="AT277" s="261">
        <f t="shared" si="189"/>
        <v>8940153.5999999996</v>
      </c>
      <c r="AU277" s="261">
        <f t="shared" si="189"/>
        <v>8940153.5999999996</v>
      </c>
      <c r="AV277" s="261">
        <f t="shared" si="189"/>
        <v>0</v>
      </c>
      <c r="AW277" s="261">
        <f t="shared" si="189"/>
        <v>0</v>
      </c>
      <c r="AX277" s="261">
        <f t="shared" si="189"/>
        <v>0</v>
      </c>
      <c r="AY277" s="261">
        <f t="shared" si="189"/>
        <v>0</v>
      </c>
      <c r="AZ277" s="261">
        <f t="shared" si="189"/>
        <v>0</v>
      </c>
      <c r="BA277" s="261">
        <f t="shared" si="189"/>
        <v>0</v>
      </c>
      <c r="BB277" s="261">
        <f t="shared" si="189"/>
        <v>0</v>
      </c>
      <c r="BC277" s="184"/>
      <c r="BD277" s="184"/>
      <c r="BE277" s="184"/>
      <c r="BF277" s="184"/>
    </row>
    <row r="278" spans="1:58" ht="47.25" x14ac:dyDescent="0.25">
      <c r="A278" s="172"/>
      <c r="B278" s="200"/>
      <c r="C278" s="201"/>
      <c r="D278" s="202"/>
      <c r="E278" s="354"/>
      <c r="F278" s="355"/>
      <c r="G278" s="356"/>
      <c r="H278" s="213" t="s">
        <v>363</v>
      </c>
      <c r="I278" s="178"/>
      <c r="J278" s="174"/>
      <c r="K278" s="174"/>
      <c r="L278" s="125" t="str">
        <f>IF(I278&lt;&gt;0,((VLOOKUP(I278,'1. Standard_Cost'!$B$4:$D$11,2)+VLOOKUP(I278,'1. Standard_Cost'!$B$4:$D$11,3))*J278*K278),"0")</f>
        <v>0</v>
      </c>
      <c r="M278" s="125">
        <f>L278*'1. Standard_Cost'!$F$4</f>
        <v>0</v>
      </c>
      <c r="N278" s="174"/>
      <c r="O278" s="174"/>
      <c r="P278" s="174"/>
      <c r="Q278" s="174"/>
      <c r="R278" s="127">
        <f>'1. Standard_Cost'!$B$15*N278*P278</f>
        <v>0</v>
      </c>
      <c r="S278" s="127">
        <f>N278*O278*P278*'1. Standard_Cost'!$C$15</f>
        <v>0</v>
      </c>
      <c r="T278" s="127">
        <f>N278*P278*Q278*'1. Standard_Cost'!$D$15</f>
        <v>0</v>
      </c>
      <c r="U278" s="127">
        <f>N278*O278*'1. Standard_Cost'!$E$15</f>
        <v>0</v>
      </c>
      <c r="V278" s="174"/>
      <c r="W278" s="174"/>
      <c r="X278" s="174"/>
      <c r="Y278" s="127">
        <f>+V278*((X278*'1. Standard_Cost'!$B$19)+(W278*X278*'1. Standard_Cost'!$C$19))</f>
        <v>0</v>
      </c>
      <c r="Z278" s="174"/>
      <c r="AA278" s="174"/>
      <c r="AB278" s="127">
        <v>0</v>
      </c>
      <c r="AC278" s="176"/>
      <c r="AD278" s="177"/>
      <c r="AE278" s="127">
        <f>SUM(AD278,AC278,AB278,Y278,U278,T278,S278,R278)*'1. Standard_Cost'!$B$31</f>
        <v>0</v>
      </c>
      <c r="AF278" s="127">
        <f>SUM(AE278,AD278,AC278,AB278,Y278,U278,T278,S278,R278)</f>
        <v>0</v>
      </c>
      <c r="AG278" s="174"/>
      <c r="AH278" s="174"/>
      <c r="AI278" s="174"/>
      <c r="AJ278" s="178"/>
      <c r="AK278" s="178"/>
      <c r="AL278" s="178"/>
      <c r="AM278" s="127">
        <f>AG278*'1. Standard_Cost'!$B$27+'Incremental_Cost Year 10'!AH278*'1. Standard_Cost'!$C$27+'Incremental_Cost Year 10'!AI278*'1. Standard_Cost'!$D$27+'Incremental_Cost Year 10'!AJ278+'Incremental_Cost Year 10'!AL278+AK278</f>
        <v>0</v>
      </c>
      <c r="AN278" s="127">
        <f>AM278*'1. Standard_Cost'!$C$31</f>
        <v>0</v>
      </c>
      <c r="AO278" s="178"/>
      <c r="AP278" s="256"/>
      <c r="AQ278" s="171">
        <f>L278+M278</f>
        <v>0</v>
      </c>
      <c r="AR278" s="171">
        <f>AF278</f>
        <v>0</v>
      </c>
      <c r="AS278" s="171">
        <f>AM278+AN278</f>
        <v>0</v>
      </c>
      <c r="AT278" s="171">
        <f>SUM(AQ278,AR278,AS278)</f>
        <v>0</v>
      </c>
      <c r="AU278" s="250">
        <f>AT278</f>
        <v>0</v>
      </c>
      <c r="AV278" s="250"/>
      <c r="AW278" s="250"/>
      <c r="AX278" s="250"/>
      <c r="AY278" s="250"/>
      <c r="AZ278" s="250"/>
      <c r="BA278" s="250"/>
      <c r="BB278" s="251">
        <f t="shared" ref="BB278:BB282" si="190">SUM(AU278:BA278)-AT278</f>
        <v>0</v>
      </c>
      <c r="BC278" s="169"/>
      <c r="BD278" s="169"/>
      <c r="BE278" s="169"/>
      <c r="BF278" s="169"/>
    </row>
    <row r="279" spans="1:58" ht="63" x14ac:dyDescent="0.25">
      <c r="A279" s="172"/>
      <c r="B279" s="200"/>
      <c r="C279" s="201"/>
      <c r="D279" s="202"/>
      <c r="E279" s="357"/>
      <c r="F279" s="358"/>
      <c r="G279" s="359"/>
      <c r="H279" s="213" t="s">
        <v>364</v>
      </c>
      <c r="I279" s="178"/>
      <c r="J279" s="174"/>
      <c r="K279" s="174"/>
      <c r="L279" s="125" t="str">
        <f>IF(I279&lt;&gt;0,((VLOOKUP(I279,'1. Standard_Cost'!$B$4:$D$11,2)+VLOOKUP(I279,'1. Standard_Cost'!$B$4:$D$11,3))*J279*K279),"0")</f>
        <v>0</v>
      </c>
      <c r="M279" s="125">
        <f>L279*'1. Standard_Cost'!$F$4</f>
        <v>0</v>
      </c>
      <c r="N279" s="174"/>
      <c r="O279" s="174"/>
      <c r="P279" s="174"/>
      <c r="Q279" s="174"/>
      <c r="R279" s="127">
        <f>'1. Standard_Cost'!$B$15*N279*P279</f>
        <v>0</v>
      </c>
      <c r="S279" s="127">
        <f>N279*O279*P279*'1. Standard_Cost'!$C$15</f>
        <v>0</v>
      </c>
      <c r="T279" s="127">
        <f>N279*P279*Q279*'1. Standard_Cost'!$D$15</f>
        <v>0</v>
      </c>
      <c r="U279" s="127">
        <f>N279*O279*'1. Standard_Cost'!$E$15</f>
        <v>0</v>
      </c>
      <c r="V279" s="174"/>
      <c r="W279" s="174"/>
      <c r="X279" s="174"/>
      <c r="Y279" s="127">
        <f>+V279*((X279*'1. Standard_Cost'!$B$19)+(W279*X279*'1. Standard_Cost'!$C$19))</f>
        <v>0</v>
      </c>
      <c r="Z279" s="174"/>
      <c r="AA279" s="174"/>
      <c r="AB279" s="127">
        <v>0</v>
      </c>
      <c r="AC279" s="176"/>
      <c r="AD279" s="177"/>
      <c r="AE279" s="127">
        <f>SUM(AD279,AC279,AB279,Y279,U279,T279,S279,R279)*'1. Standard_Cost'!$B$31</f>
        <v>0</v>
      </c>
      <c r="AF279" s="127">
        <f>SUM(AE279,AD279,AC279,AB279,Y279,U279,T279,S279,R279)</f>
        <v>0</v>
      </c>
      <c r="AG279" s="174"/>
      <c r="AH279" s="174"/>
      <c r="AI279" s="174"/>
      <c r="AJ279" s="178"/>
      <c r="AK279" s="178"/>
      <c r="AL279" s="178"/>
      <c r="AM279" s="127">
        <f>AG279*'1. Standard_Cost'!$B$27+'Incremental_Cost Year 10'!AH279*'1. Standard_Cost'!$C$27+'Incremental_Cost Year 10'!AI279*'1. Standard_Cost'!$D$27+'Incremental_Cost Year 10'!AJ279+'Incremental_Cost Year 10'!AL279+AK279</f>
        <v>0</v>
      </c>
      <c r="AN279" s="127">
        <f>AM279*'1. Standard_Cost'!$C$31</f>
        <v>0</v>
      </c>
      <c r="AO279" s="178"/>
      <c r="AP279" s="256"/>
      <c r="AQ279" s="171">
        <f>L279+M279</f>
        <v>0</v>
      </c>
      <c r="AR279" s="171">
        <f>AF279</f>
        <v>0</v>
      </c>
      <c r="AS279" s="171">
        <f>AM279+AN279</f>
        <v>0</v>
      </c>
      <c r="AT279" s="171">
        <f>SUM(AQ279,AR279,AS279)</f>
        <v>0</v>
      </c>
      <c r="AU279" s="250">
        <f>AT279</f>
        <v>0</v>
      </c>
      <c r="AV279" s="250"/>
      <c r="AW279" s="250"/>
      <c r="AX279" s="250"/>
      <c r="AY279" s="250"/>
      <c r="AZ279" s="250"/>
      <c r="BA279" s="250"/>
      <c r="BB279" s="251">
        <f t="shared" si="190"/>
        <v>0</v>
      </c>
      <c r="BC279" s="169"/>
      <c r="BD279" s="169"/>
      <c r="BE279" s="169"/>
      <c r="BF279" s="169"/>
    </row>
    <row r="280" spans="1:58" ht="31.5" x14ac:dyDescent="0.25">
      <c r="A280" s="172"/>
      <c r="B280" s="200"/>
      <c r="C280" s="201"/>
      <c r="D280" s="202"/>
      <c r="E280" s="357"/>
      <c r="F280" s="358"/>
      <c r="G280" s="359"/>
      <c r="H280" s="213" t="s">
        <v>365</v>
      </c>
      <c r="I280" s="178" t="s">
        <v>3</v>
      </c>
      <c r="J280" s="174">
        <v>2</v>
      </c>
      <c r="K280" s="174">
        <v>20</v>
      </c>
      <c r="L280" s="125">
        <f>IF(I280&lt;&gt;0,((VLOOKUP(I280,'1. Standard_Cost'!$B$4:$D$11,2)+VLOOKUP(I280,'1. Standard_Cost'!$B$4:$D$11,3))*J280*K280),"0")</f>
        <v>4032000</v>
      </c>
      <c r="M280" s="125">
        <f>L280*'1. Standard_Cost'!$F$4</f>
        <v>673344</v>
      </c>
      <c r="N280" s="174"/>
      <c r="O280" s="174"/>
      <c r="P280" s="174"/>
      <c r="Q280" s="174"/>
      <c r="R280" s="127">
        <f>'1. Standard_Cost'!$B$15*N280*P280</f>
        <v>0</v>
      </c>
      <c r="S280" s="127">
        <f>N280*O280*P280*'1. Standard_Cost'!$C$15</f>
        <v>0</v>
      </c>
      <c r="T280" s="127">
        <f>N280*P280*Q280*'1. Standard_Cost'!$D$15</f>
        <v>0</v>
      </c>
      <c r="U280" s="127">
        <f>N280*O280*'1. Standard_Cost'!$E$15</f>
        <v>0</v>
      </c>
      <c r="V280" s="174"/>
      <c r="W280" s="174"/>
      <c r="X280" s="174"/>
      <c r="Y280" s="127">
        <f>+V280*((X280*'1. Standard_Cost'!$B$19)+(W280*X280*'1. Standard_Cost'!$C$19))</f>
        <v>0</v>
      </c>
      <c r="Z280" s="174"/>
      <c r="AA280" s="174"/>
      <c r="AB280" s="127">
        <v>0</v>
      </c>
      <c r="AC280" s="176"/>
      <c r="AD280" s="177"/>
      <c r="AE280" s="127">
        <f>SUM(AD280,AC280,AB280,Y280,U280,T280,S280,R280)*'1. Standard_Cost'!$B$31</f>
        <v>0</v>
      </c>
      <c r="AF280" s="127">
        <f>SUM(AE280,AD280,AC280,AB280,Y280,U280,T280,S280,R280)</f>
        <v>0</v>
      </c>
      <c r="AG280" s="174"/>
      <c r="AH280" s="174"/>
      <c r="AI280" s="174"/>
      <c r="AJ280" s="178"/>
      <c r="AK280" s="178"/>
      <c r="AL280" s="178"/>
      <c r="AM280" s="127">
        <f>AG280*'1. Standard_Cost'!$B$27+'Incremental_Cost Year 10'!AH280*'1. Standard_Cost'!$C$27+'Incremental_Cost Year 10'!AI280*'1. Standard_Cost'!$D$27+'Incremental_Cost Year 10'!AJ280+'Incremental_Cost Year 10'!AL280+AK280</f>
        <v>0</v>
      </c>
      <c r="AN280" s="127">
        <f>AM280*'1. Standard_Cost'!$C$31</f>
        <v>0</v>
      </c>
      <c r="AO280" s="178"/>
      <c r="AP280" s="256"/>
      <c r="AQ280" s="171">
        <f>L280+M280</f>
        <v>4705344</v>
      </c>
      <c r="AR280" s="171">
        <f>AF280</f>
        <v>0</v>
      </c>
      <c r="AS280" s="171">
        <f>AM280+AN280</f>
        <v>0</v>
      </c>
      <c r="AT280" s="171">
        <f>SUM(AQ280,AR280,AS280)</f>
        <v>4705344</v>
      </c>
      <c r="AU280" s="250">
        <f>AQ280</f>
        <v>4705344</v>
      </c>
      <c r="AV280" s="250"/>
      <c r="AW280" s="250"/>
      <c r="AX280" s="250"/>
      <c r="AY280" s="250"/>
      <c r="AZ280" s="250"/>
      <c r="BA280" s="250"/>
      <c r="BB280" s="251">
        <f t="shared" si="190"/>
        <v>0</v>
      </c>
      <c r="BC280" s="169"/>
      <c r="BD280" s="169"/>
      <c r="BE280" s="169"/>
      <c r="BF280" s="169"/>
    </row>
    <row r="281" spans="1:58" ht="15.75" x14ac:dyDescent="0.25">
      <c r="A281" s="172"/>
      <c r="B281" s="200"/>
      <c r="C281" s="201"/>
      <c r="D281" s="202"/>
      <c r="E281" s="357"/>
      <c r="F281" s="358"/>
      <c r="G281" s="359"/>
      <c r="H281" s="369"/>
      <c r="I281" s="178"/>
      <c r="J281" s="174"/>
      <c r="K281" s="174"/>
      <c r="L281" s="125" t="str">
        <f>IF(I281&lt;&gt;0,((VLOOKUP(I281,'1. Standard_Cost'!$B$4:$D$11,2)+VLOOKUP(I281,'1. Standard_Cost'!$B$4:$D$11,3))*J281*K281),"0")</f>
        <v>0</v>
      </c>
      <c r="M281" s="125">
        <f>L281*'1. Standard_Cost'!$F$4</f>
        <v>0</v>
      </c>
      <c r="N281" s="174"/>
      <c r="O281" s="174"/>
      <c r="P281" s="174"/>
      <c r="Q281" s="174"/>
      <c r="R281" s="127">
        <f>'1. Standard_Cost'!$B$15*N281*P281</f>
        <v>0</v>
      </c>
      <c r="S281" s="127">
        <f>N281*O281*P281*'1. Standard_Cost'!$C$15</f>
        <v>0</v>
      </c>
      <c r="T281" s="127">
        <f>N281*P281*Q281*'1. Standard_Cost'!$D$15</f>
        <v>0</v>
      </c>
      <c r="U281" s="127">
        <f>N281*O281*'1. Standard_Cost'!$E$15</f>
        <v>0</v>
      </c>
      <c r="V281" s="174"/>
      <c r="W281" s="174"/>
      <c r="X281" s="174"/>
      <c r="Y281" s="127">
        <f>+V281*((X281*'1. Standard_Cost'!$B$19)+(W281*X281*'1. Standard_Cost'!$C$19))</f>
        <v>0</v>
      </c>
      <c r="Z281" s="174"/>
      <c r="AA281" s="174"/>
      <c r="AB281" s="127">
        <v>0</v>
      </c>
      <c r="AC281" s="176"/>
      <c r="AD281" s="177"/>
      <c r="AE281" s="127">
        <f>SUM(AD281,AC281,AB281,Y281,U281,T281,S281,R281)*'1. Standard_Cost'!$B$31</f>
        <v>0</v>
      </c>
      <c r="AF281" s="127">
        <f>SUM(AE281,AD281,AC281,AB281,Y281,U281,T281,S281,R281)</f>
        <v>0</v>
      </c>
      <c r="AG281" s="174"/>
      <c r="AH281" s="174"/>
      <c r="AI281" s="174"/>
      <c r="AJ281" s="178"/>
      <c r="AK281" s="178"/>
      <c r="AL281" s="178"/>
      <c r="AM281" s="127">
        <f>AG281*'1. Standard_Cost'!$B$27+'Incremental_Cost Year 10'!AH281*'1. Standard_Cost'!$C$27+'Incremental_Cost Year 10'!AI281*'1. Standard_Cost'!$D$27+'Incremental_Cost Year 10'!AJ281+'Incremental_Cost Year 10'!AL281+AK281</f>
        <v>0</v>
      </c>
      <c r="AN281" s="127">
        <f>AM281*'1. Standard_Cost'!$C$31</f>
        <v>0</v>
      </c>
      <c r="AO281" s="178"/>
      <c r="AP281" s="256"/>
      <c r="AQ281" s="171">
        <f>L281+M281</f>
        <v>0</v>
      </c>
      <c r="AR281" s="171">
        <f>AF281</f>
        <v>0</v>
      </c>
      <c r="AS281" s="171">
        <f>AM281+AN281</f>
        <v>0</v>
      </c>
      <c r="AT281" s="171">
        <f>SUM(AQ281,AR281,AS281)</f>
        <v>0</v>
      </c>
      <c r="AU281" s="250">
        <f>AQ281</f>
        <v>0</v>
      </c>
      <c r="AV281" s="250"/>
      <c r="AW281" s="250"/>
      <c r="AX281" s="250"/>
      <c r="AY281" s="250"/>
      <c r="AZ281" s="250"/>
      <c r="BA281" s="250"/>
      <c r="BB281" s="251">
        <f t="shared" si="190"/>
        <v>0</v>
      </c>
      <c r="BC281" s="169"/>
      <c r="BD281" s="169"/>
      <c r="BE281" s="169"/>
      <c r="BF281" s="169"/>
    </row>
    <row r="282" spans="1:58" ht="31.5" x14ac:dyDescent="0.25">
      <c r="A282" s="172"/>
      <c r="B282" s="200"/>
      <c r="C282" s="201"/>
      <c r="D282" s="202"/>
      <c r="E282" s="360"/>
      <c r="F282" s="361"/>
      <c r="G282" s="362"/>
      <c r="H282" s="213" t="s">
        <v>366</v>
      </c>
      <c r="I282" s="178" t="s">
        <v>3</v>
      </c>
      <c r="J282" s="174">
        <v>12</v>
      </c>
      <c r="K282" s="174">
        <v>3</v>
      </c>
      <c r="L282" s="125">
        <f>IF(I282&lt;&gt;0,((VLOOKUP(I282,'1. Standard_Cost'!$B$4:$D$11,2)+VLOOKUP(I282,'1. Standard_Cost'!$B$4:$D$11,3))*J282*K282),"0")</f>
        <v>3628800</v>
      </c>
      <c r="M282" s="125">
        <f>L282*'1. Standard_Cost'!$F$4</f>
        <v>606009.59999999998</v>
      </c>
      <c r="N282" s="174"/>
      <c r="O282" s="174"/>
      <c r="P282" s="174"/>
      <c r="Q282" s="174"/>
      <c r="R282" s="127">
        <f>'1. Standard_Cost'!$B$15*N282*P282</f>
        <v>0</v>
      </c>
      <c r="S282" s="127">
        <f>N282*O282*P282*'1. Standard_Cost'!$C$15</f>
        <v>0</v>
      </c>
      <c r="T282" s="127">
        <f>N282*P282*Q282*'1. Standard_Cost'!$D$15</f>
        <v>0</v>
      </c>
      <c r="U282" s="127">
        <f>N282*O282*'1. Standard_Cost'!$E$15</f>
        <v>0</v>
      </c>
      <c r="V282" s="174"/>
      <c r="W282" s="174"/>
      <c r="X282" s="174"/>
      <c r="Y282" s="127">
        <f>+V282*((X282*'1. Standard_Cost'!$B$19)+(W282*X282*'1. Standard_Cost'!$C$19))</f>
        <v>0</v>
      </c>
      <c r="Z282" s="174"/>
      <c r="AA282" s="174"/>
      <c r="AB282" s="127">
        <v>0</v>
      </c>
      <c r="AC282" s="176"/>
      <c r="AD282" s="177"/>
      <c r="AE282" s="127">
        <f>SUM(AD282,AC282,AB282,Y282,U282,T282,S282,R282)*'1. Standard_Cost'!$B$31</f>
        <v>0</v>
      </c>
      <c r="AF282" s="127">
        <f>SUM(AE282,AD282,AC282,AB282,Y282,U282,T282,S282,R282)</f>
        <v>0</v>
      </c>
      <c r="AG282" s="174"/>
      <c r="AH282" s="174"/>
      <c r="AI282" s="174"/>
      <c r="AJ282" s="178"/>
      <c r="AK282" s="178"/>
      <c r="AL282" s="178"/>
      <c r="AM282" s="127">
        <f>AG282*'1. Standard_Cost'!$B$27+'Incremental_Cost Year 10'!AH282*'1. Standard_Cost'!$C$27+'Incremental_Cost Year 10'!AI282*'1. Standard_Cost'!$D$27+'Incremental_Cost Year 10'!AJ282+'Incremental_Cost Year 10'!AL282+AK282</f>
        <v>0</v>
      </c>
      <c r="AN282" s="127">
        <f>AM282*'1. Standard_Cost'!$C$31</f>
        <v>0</v>
      </c>
      <c r="AO282" s="178"/>
      <c r="AP282" s="256"/>
      <c r="AQ282" s="171">
        <f>L282+M282</f>
        <v>4234809.5999999996</v>
      </c>
      <c r="AR282" s="171">
        <f>AF282</f>
        <v>0</v>
      </c>
      <c r="AS282" s="171">
        <f>AM282+AN282</f>
        <v>0</v>
      </c>
      <c r="AT282" s="171">
        <f>SUM(AQ282,AR282,AS282)</f>
        <v>4234809.5999999996</v>
      </c>
      <c r="AU282" s="250">
        <f>AQ282</f>
        <v>4234809.5999999996</v>
      </c>
      <c r="AV282" s="250"/>
      <c r="AW282" s="250"/>
      <c r="AX282" s="250"/>
      <c r="AY282" s="250"/>
      <c r="AZ282" s="250"/>
      <c r="BA282" s="250"/>
      <c r="BB282" s="251">
        <f t="shared" si="190"/>
        <v>0</v>
      </c>
      <c r="BC282" s="169"/>
      <c r="BD282" s="169"/>
      <c r="BE282" s="169"/>
      <c r="BF282" s="169"/>
    </row>
    <row r="283" spans="1:58" ht="31.5" x14ac:dyDescent="0.2">
      <c r="A283" s="172"/>
      <c r="B283" s="168"/>
      <c r="C283" s="204"/>
      <c r="D283" s="212" t="s">
        <v>559</v>
      </c>
      <c r="E283" s="212" t="s">
        <v>355</v>
      </c>
      <c r="F283" s="212">
        <v>2021</v>
      </c>
      <c r="G283" s="212">
        <v>2030</v>
      </c>
      <c r="H283" s="182" t="s">
        <v>356</v>
      </c>
      <c r="I283" s="273"/>
      <c r="J283" s="273"/>
      <c r="K283" s="273"/>
      <c r="L283" s="175">
        <f>SUM(L278:L282)</f>
        <v>7660800</v>
      </c>
      <c r="M283" s="175">
        <f>SUM(M278:M282)</f>
        <v>1279353.6000000001</v>
      </c>
      <c r="N283" s="273"/>
      <c r="O283" s="273"/>
      <c r="P283" s="273"/>
      <c r="Q283" s="273"/>
      <c r="R283" s="175">
        <f>SUM(R278:R282)</f>
        <v>0</v>
      </c>
      <c r="S283" s="175">
        <f>SUM(S278:S282)</f>
        <v>0</v>
      </c>
      <c r="T283" s="175">
        <f>SUM(T278:T282)</f>
        <v>0</v>
      </c>
      <c r="U283" s="175">
        <f>SUM(U278:U282)</f>
        <v>0</v>
      </c>
      <c r="V283" s="273"/>
      <c r="W283" s="273"/>
      <c r="X283" s="273"/>
      <c r="Y283" s="175">
        <f>SUM(Y278:Y282)</f>
        <v>0</v>
      </c>
      <c r="Z283" s="175"/>
      <c r="AA283" s="273"/>
      <c r="AB283" s="175">
        <f>SUM(AB278:AB282)</f>
        <v>0</v>
      </c>
      <c r="AC283" s="175">
        <f>SUM(AC278:AC282)</f>
        <v>0</v>
      </c>
      <c r="AD283" s="175">
        <f>SUM(AD278:AD282)</f>
        <v>0</v>
      </c>
      <c r="AE283" s="175">
        <f>SUM(AE278:AE282)</f>
        <v>0</v>
      </c>
      <c r="AF283" s="175">
        <f>SUM(AF278:AF282)</f>
        <v>0</v>
      </c>
      <c r="AG283" s="273"/>
      <c r="AH283" s="273"/>
      <c r="AI283" s="273"/>
      <c r="AJ283" s="175">
        <f>SUM(AJ278:AJ282)</f>
        <v>0</v>
      </c>
      <c r="AK283" s="175">
        <f>SUM(AK278:AK282)</f>
        <v>0</v>
      </c>
      <c r="AL283" s="175">
        <f>SUM(AL278:AL282)</f>
        <v>0</v>
      </c>
      <c r="AM283" s="175">
        <f>SUM(AM278:AM282)</f>
        <v>0</v>
      </c>
      <c r="AN283" s="175">
        <f>SUM(AN278:AN282)</f>
        <v>0</v>
      </c>
      <c r="AO283" s="274"/>
      <c r="AP283" s="254"/>
      <c r="AQ283" s="175">
        <f t="shared" ref="AQ283:AT283" si="191">SUM(AQ278:AQ282)</f>
        <v>8940153.5999999996</v>
      </c>
      <c r="AR283" s="175">
        <f t="shared" si="191"/>
        <v>0</v>
      </c>
      <c r="AS283" s="175">
        <f t="shared" si="191"/>
        <v>0</v>
      </c>
      <c r="AT283" s="175">
        <f t="shared" si="191"/>
        <v>8940153.5999999996</v>
      </c>
      <c r="AU283" s="175">
        <f t="shared" ref="AU283:BB283" si="192">SUM(AU278:AU282)</f>
        <v>8940153.5999999996</v>
      </c>
      <c r="AV283" s="175">
        <f t="shared" si="192"/>
        <v>0</v>
      </c>
      <c r="AW283" s="175">
        <f t="shared" si="192"/>
        <v>0</v>
      </c>
      <c r="AX283" s="175">
        <f t="shared" si="192"/>
        <v>0</v>
      </c>
      <c r="AY283" s="175">
        <f t="shared" si="192"/>
        <v>0</v>
      </c>
      <c r="AZ283" s="175">
        <f t="shared" si="192"/>
        <v>0</v>
      </c>
      <c r="BA283" s="175">
        <f t="shared" si="192"/>
        <v>0</v>
      </c>
      <c r="BB283" s="175">
        <f t="shared" si="192"/>
        <v>0</v>
      </c>
      <c r="BC283" s="169"/>
      <c r="BD283" s="169"/>
      <c r="BE283" s="169"/>
      <c r="BF283" s="169"/>
    </row>
    <row r="284" spans="1:58" ht="15.6" customHeight="1" x14ac:dyDescent="0.2">
      <c r="A284" s="179"/>
      <c r="B284" s="290"/>
      <c r="C284" s="391" t="s">
        <v>357</v>
      </c>
      <c r="D284" s="391"/>
      <c r="E284" s="392"/>
      <c r="F284" s="287"/>
      <c r="G284" s="289"/>
      <c r="H284" s="181" t="s">
        <v>358</v>
      </c>
      <c r="I284" s="271"/>
      <c r="J284" s="271"/>
      <c r="K284" s="271"/>
      <c r="L284" s="261">
        <f>L289</f>
        <v>0</v>
      </c>
      <c r="M284" s="261">
        <f>M289</f>
        <v>0</v>
      </c>
      <c r="N284" s="271"/>
      <c r="O284" s="271"/>
      <c r="P284" s="271"/>
      <c r="Q284" s="271"/>
      <c r="R284" s="261">
        <f>R289</f>
        <v>0</v>
      </c>
      <c r="S284" s="261">
        <f>S289</f>
        <v>0</v>
      </c>
      <c r="T284" s="261">
        <f>T289</f>
        <v>0</v>
      </c>
      <c r="U284" s="261">
        <f>U289</f>
        <v>0</v>
      </c>
      <c r="V284" s="271"/>
      <c r="W284" s="271"/>
      <c r="X284" s="271"/>
      <c r="Y284" s="261">
        <f>Y289</f>
        <v>0</v>
      </c>
      <c r="Z284" s="261"/>
      <c r="AA284" s="261"/>
      <c r="AB284" s="261">
        <f>AB289</f>
        <v>0</v>
      </c>
      <c r="AC284" s="261">
        <f>AC289</f>
        <v>0</v>
      </c>
      <c r="AD284" s="261">
        <f>AD289</f>
        <v>0</v>
      </c>
      <c r="AE284" s="261">
        <f>AE289</f>
        <v>0</v>
      </c>
      <c r="AF284" s="261">
        <f>AF289</f>
        <v>0</v>
      </c>
      <c r="AG284" s="271"/>
      <c r="AH284" s="271"/>
      <c r="AI284" s="271"/>
      <c r="AJ284" s="261">
        <f>AJ289</f>
        <v>0</v>
      </c>
      <c r="AK284" s="261">
        <f>AK289</f>
        <v>0</v>
      </c>
      <c r="AL284" s="261">
        <f>AL289</f>
        <v>0</v>
      </c>
      <c r="AM284" s="261">
        <f>AM289</f>
        <v>0</v>
      </c>
      <c r="AN284" s="261">
        <f>AN289</f>
        <v>0</v>
      </c>
      <c r="AO284" s="272"/>
      <c r="AP284" s="260"/>
      <c r="AQ284" s="261">
        <f t="shared" ref="AQ284:BB284" si="193">AQ289</f>
        <v>0</v>
      </c>
      <c r="AR284" s="261">
        <f t="shared" si="193"/>
        <v>0</v>
      </c>
      <c r="AS284" s="261">
        <f t="shared" si="193"/>
        <v>0</v>
      </c>
      <c r="AT284" s="261">
        <f t="shared" si="193"/>
        <v>0</v>
      </c>
      <c r="AU284" s="261">
        <f t="shared" si="193"/>
        <v>0</v>
      </c>
      <c r="AV284" s="261">
        <f t="shared" si="193"/>
        <v>0</v>
      </c>
      <c r="AW284" s="261">
        <f t="shared" si="193"/>
        <v>0</v>
      </c>
      <c r="AX284" s="261">
        <f t="shared" si="193"/>
        <v>0</v>
      </c>
      <c r="AY284" s="261">
        <f t="shared" si="193"/>
        <v>0</v>
      </c>
      <c r="AZ284" s="261">
        <f t="shared" si="193"/>
        <v>0</v>
      </c>
      <c r="BA284" s="261">
        <f t="shared" si="193"/>
        <v>0</v>
      </c>
      <c r="BB284" s="261">
        <f t="shared" si="193"/>
        <v>0</v>
      </c>
      <c r="BC284" s="184"/>
      <c r="BD284" s="184"/>
      <c r="BE284" s="184"/>
      <c r="BF284" s="184"/>
    </row>
    <row r="285" spans="1:58" ht="173.25" x14ac:dyDescent="0.25">
      <c r="A285" s="172"/>
      <c r="B285" s="354"/>
      <c r="C285" s="356"/>
      <c r="D285" s="342"/>
      <c r="E285" s="328"/>
      <c r="F285" s="328"/>
      <c r="G285" s="328"/>
      <c r="H285" s="213" t="s">
        <v>550</v>
      </c>
      <c r="I285" s="178"/>
      <c r="J285" s="174"/>
      <c r="K285" s="174"/>
      <c r="L285" s="125" t="str">
        <f>IF(I285&lt;&gt;0,((VLOOKUP(I285,'1. Standard_Cost'!$B$4:$D$11,2)+VLOOKUP(I285,'1. Standard_Cost'!$B$4:$D$11,3))*J285*K285),"0")</f>
        <v>0</v>
      </c>
      <c r="M285" s="125">
        <f>L285*'1. Standard_Cost'!$F$4</f>
        <v>0</v>
      </c>
      <c r="N285" s="174"/>
      <c r="O285" s="174"/>
      <c r="P285" s="174"/>
      <c r="Q285" s="174"/>
      <c r="R285" s="127">
        <f>'1. Standard_Cost'!$B$15*N285*P285</f>
        <v>0</v>
      </c>
      <c r="S285" s="127">
        <f>N285*O285*P285*'1. Standard_Cost'!$C$15</f>
        <v>0</v>
      </c>
      <c r="T285" s="127">
        <f>N285*P285*Q285*'1. Standard_Cost'!$D$15</f>
        <v>0</v>
      </c>
      <c r="U285" s="127">
        <f>N285*O285*'1. Standard_Cost'!$E$15</f>
        <v>0</v>
      </c>
      <c r="V285" s="174"/>
      <c r="W285" s="174"/>
      <c r="X285" s="174"/>
      <c r="Y285" s="127">
        <f>+V285*((X285*'1. Standard_Cost'!$B$19)+(W285*X285*'1. Standard_Cost'!$C$19))</f>
        <v>0</v>
      </c>
      <c r="Z285" s="174"/>
      <c r="AA285" s="174"/>
      <c r="AB285" s="127">
        <v>0</v>
      </c>
      <c r="AC285" s="176"/>
      <c r="AD285" s="177"/>
      <c r="AE285" s="127">
        <f>SUM(AD285,AC285,AB285,Y285,U285,T285,S285,R285)*'1. Standard_Cost'!$B$31</f>
        <v>0</v>
      </c>
      <c r="AF285" s="127">
        <f>SUM(AE285,AD285,AC285,AB285,Y285,U285,T285,S285,R285)</f>
        <v>0</v>
      </c>
      <c r="AG285" s="174"/>
      <c r="AH285" s="174"/>
      <c r="AI285" s="174"/>
      <c r="AJ285" s="178"/>
      <c r="AK285" s="178"/>
      <c r="AL285" s="178"/>
      <c r="AM285" s="127">
        <f>AG285*'1. Standard_Cost'!$B$27+'Incremental_Cost Year 10'!AH285*'1. Standard_Cost'!$C$27+'Incremental_Cost Year 10'!AI285*'1. Standard_Cost'!$D$27+'Incremental_Cost Year 10'!AJ285+'Incremental_Cost Year 10'!AL285+AK285</f>
        <v>0</v>
      </c>
      <c r="AN285" s="127">
        <f>AM285*'1. Standard_Cost'!$C$31</f>
        <v>0</v>
      </c>
      <c r="AO285" s="178"/>
      <c r="AP285" s="256"/>
      <c r="AQ285" s="171">
        <f>L285+M285</f>
        <v>0</v>
      </c>
      <c r="AR285" s="171">
        <f>AF285</f>
        <v>0</v>
      </c>
      <c r="AS285" s="171">
        <f>AM285+AN285</f>
        <v>0</v>
      </c>
      <c r="AT285" s="171">
        <f>SUM(AQ285,AR285,AS285)</f>
        <v>0</v>
      </c>
      <c r="AU285" s="250"/>
      <c r="AV285" s="250"/>
      <c r="AW285" s="250"/>
      <c r="AX285" s="250"/>
      <c r="AY285" s="250"/>
      <c r="AZ285" s="250"/>
      <c r="BA285" s="250"/>
      <c r="BB285" s="251">
        <f t="shared" ref="BB285:BB288" si="194">SUM(AU285:BA285)-AT285</f>
        <v>0</v>
      </c>
      <c r="BC285" s="169"/>
      <c r="BD285" s="169"/>
      <c r="BE285" s="169"/>
      <c r="BF285" s="169"/>
    </row>
    <row r="286" spans="1:58" ht="78.75" customHeight="1" x14ac:dyDescent="0.25">
      <c r="A286" s="172"/>
      <c r="B286" s="357"/>
      <c r="C286" s="359"/>
      <c r="D286" s="343"/>
      <c r="E286" s="328"/>
      <c r="F286" s="328"/>
      <c r="G286" s="328"/>
      <c r="H286" s="213" t="s">
        <v>555</v>
      </c>
      <c r="I286" s="178"/>
      <c r="J286" s="174"/>
      <c r="K286" s="174"/>
      <c r="L286" s="125" t="str">
        <f>IF(I286&lt;&gt;0,((VLOOKUP(I286,'1. Standard_Cost'!$B$4:$D$11,2)+VLOOKUP(I286,'1. Standard_Cost'!$B$4:$D$11,3))*J286*K286),"0")</f>
        <v>0</v>
      </c>
      <c r="M286" s="125">
        <f>L286*'1. Standard_Cost'!$F$4</f>
        <v>0</v>
      </c>
      <c r="N286" s="174"/>
      <c r="O286" s="174"/>
      <c r="P286" s="174"/>
      <c r="Q286" s="174"/>
      <c r="R286" s="127">
        <f>'1. Standard_Cost'!$B$15*N286*P286</f>
        <v>0</v>
      </c>
      <c r="S286" s="127">
        <f>N286*O286*P286*'1. Standard_Cost'!$C$15</f>
        <v>0</v>
      </c>
      <c r="T286" s="127">
        <f>N286*P286*Q286*'1. Standard_Cost'!$D$15</f>
        <v>0</v>
      </c>
      <c r="U286" s="127">
        <f>N286*O286*'1. Standard_Cost'!$E$15</f>
        <v>0</v>
      </c>
      <c r="V286" s="174"/>
      <c r="W286" s="174"/>
      <c r="X286" s="174"/>
      <c r="Y286" s="127">
        <f>+V286*((X286*'1. Standard_Cost'!$B$19)+(W286*X286*'1. Standard_Cost'!$C$19))</f>
        <v>0</v>
      </c>
      <c r="Z286" s="174"/>
      <c r="AA286" s="174"/>
      <c r="AB286" s="127">
        <v>0</v>
      </c>
      <c r="AC286" s="176"/>
      <c r="AD286" s="177"/>
      <c r="AE286" s="127">
        <f>SUM(AD286,AC286,AB286,Y286,U286,T286,S286,R286)*'1. Standard_Cost'!$B$31</f>
        <v>0</v>
      </c>
      <c r="AF286" s="127">
        <f>SUM(AE286,AD286,AC286,AB286,Y286,U286,T286,S286,R286)</f>
        <v>0</v>
      </c>
      <c r="AG286" s="174"/>
      <c r="AH286" s="174"/>
      <c r="AI286" s="174"/>
      <c r="AJ286" s="178"/>
      <c r="AK286" s="178"/>
      <c r="AL286" s="178"/>
      <c r="AM286" s="127">
        <f>AG286*'1. Standard_Cost'!$B$27+'Incremental_Cost Year 10'!AH286*'1. Standard_Cost'!$C$27+'Incremental_Cost Year 10'!AI286*'1. Standard_Cost'!$D$27+'Incremental_Cost Year 10'!AJ286+'Incremental_Cost Year 10'!AL286+AK286</f>
        <v>0</v>
      </c>
      <c r="AN286" s="127">
        <f>AM286*'1. Standard_Cost'!$C$31</f>
        <v>0</v>
      </c>
      <c r="AO286" s="178"/>
      <c r="AP286" s="256"/>
      <c r="AQ286" s="171">
        <f>L286+M286</f>
        <v>0</v>
      </c>
      <c r="AR286" s="171">
        <f>AF286</f>
        <v>0</v>
      </c>
      <c r="AS286" s="171">
        <f>AM286+AN286</f>
        <v>0</v>
      </c>
      <c r="AT286" s="171">
        <f>SUM(AQ286,AR286,AS286)</f>
        <v>0</v>
      </c>
      <c r="AU286" s="250"/>
      <c r="AV286" s="250"/>
      <c r="AW286" s="250"/>
      <c r="AX286" s="250"/>
      <c r="AY286" s="250"/>
      <c r="AZ286" s="250"/>
      <c r="BA286" s="250"/>
      <c r="BB286" s="251">
        <f t="shared" si="194"/>
        <v>0</v>
      </c>
      <c r="BC286" s="169"/>
      <c r="BD286" s="169"/>
      <c r="BE286" s="169"/>
      <c r="BF286" s="169"/>
    </row>
    <row r="287" spans="1:58" ht="126" x14ac:dyDescent="0.25">
      <c r="A287" s="172"/>
      <c r="B287" s="357"/>
      <c r="C287" s="359"/>
      <c r="D287" s="343"/>
      <c r="E287" s="328"/>
      <c r="F287" s="328"/>
      <c r="G287" s="328"/>
      <c r="H287" s="213" t="s">
        <v>367</v>
      </c>
      <c r="I287" s="178"/>
      <c r="J287" s="174"/>
      <c r="K287" s="174"/>
      <c r="L287" s="125" t="str">
        <f>IF(I287&lt;&gt;0,((VLOOKUP(I287,'1. Standard_Cost'!$B$4:$D$11,2)+VLOOKUP(I287,'1. Standard_Cost'!$B$4:$D$11,3))*J287*K287),"0")</f>
        <v>0</v>
      </c>
      <c r="M287" s="125">
        <f>L287*'1. Standard_Cost'!$F$4</f>
        <v>0</v>
      </c>
      <c r="N287" s="174"/>
      <c r="O287" s="174"/>
      <c r="P287" s="174"/>
      <c r="Q287" s="174"/>
      <c r="R287" s="127">
        <f>'1. Standard_Cost'!$B$15*N287*P287</f>
        <v>0</v>
      </c>
      <c r="S287" s="127">
        <f>N287*O287*P287*'1. Standard_Cost'!$C$15</f>
        <v>0</v>
      </c>
      <c r="T287" s="127">
        <f>N287*P287*Q287*'1. Standard_Cost'!$D$15</f>
        <v>0</v>
      </c>
      <c r="U287" s="127">
        <f>N287*O287*'1. Standard_Cost'!$E$15</f>
        <v>0</v>
      </c>
      <c r="V287" s="174"/>
      <c r="W287" s="174"/>
      <c r="X287" s="174"/>
      <c r="Y287" s="127">
        <f>+V287*((X287*'1. Standard_Cost'!$B$19)+(W287*X287*'1. Standard_Cost'!$C$19))</f>
        <v>0</v>
      </c>
      <c r="Z287" s="174"/>
      <c r="AA287" s="174"/>
      <c r="AB287" s="127">
        <v>0</v>
      </c>
      <c r="AC287" s="176"/>
      <c r="AD287" s="177"/>
      <c r="AE287" s="127">
        <f>SUM(AD287,AC287,AB287,Y287,U287,T287,S287,R287)*'1. Standard_Cost'!$B$31</f>
        <v>0</v>
      </c>
      <c r="AF287" s="127">
        <f>SUM(AE287,AD287,AC287,AB287,Y287,U287,T287,S287,R287)</f>
        <v>0</v>
      </c>
      <c r="AG287" s="174"/>
      <c r="AH287" s="174"/>
      <c r="AI287" s="174"/>
      <c r="AJ287" s="178"/>
      <c r="AK287" s="178"/>
      <c r="AL287" s="178"/>
      <c r="AM287" s="127">
        <f>AG287*'1. Standard_Cost'!$B$27+'Incremental_Cost Year 10'!AH287*'1. Standard_Cost'!$C$27+'Incremental_Cost Year 10'!AI287*'1. Standard_Cost'!$D$27+'Incremental_Cost Year 10'!AJ287+'Incremental_Cost Year 10'!AL287+AK287</f>
        <v>0</v>
      </c>
      <c r="AN287" s="127">
        <f>AM287*'1. Standard_Cost'!$C$31</f>
        <v>0</v>
      </c>
      <c r="AO287" s="178"/>
      <c r="AP287" s="256"/>
      <c r="AQ287" s="171">
        <f>L287+M287</f>
        <v>0</v>
      </c>
      <c r="AR287" s="171">
        <f>AF287</f>
        <v>0</v>
      </c>
      <c r="AS287" s="171">
        <f>AM287+AN287</f>
        <v>0</v>
      </c>
      <c r="AT287" s="171">
        <f>SUM(AQ287,AR287,AS287)</f>
        <v>0</v>
      </c>
      <c r="AU287" s="250">
        <f>AT287</f>
        <v>0</v>
      </c>
      <c r="AV287" s="250"/>
      <c r="AW287" s="250"/>
      <c r="AX287" s="250"/>
      <c r="AY287" s="250"/>
      <c r="AZ287" s="250"/>
      <c r="BA287" s="250"/>
      <c r="BB287" s="251">
        <f t="shared" si="194"/>
        <v>0</v>
      </c>
      <c r="BC287" s="169"/>
      <c r="BD287" s="169"/>
      <c r="BE287" s="169"/>
      <c r="BF287" s="169"/>
    </row>
    <row r="288" spans="1:58" ht="126" x14ac:dyDescent="0.25">
      <c r="A288" s="172"/>
      <c r="B288" s="360"/>
      <c r="C288" s="362"/>
      <c r="D288" s="344"/>
      <c r="E288" s="328"/>
      <c r="F288" s="328"/>
      <c r="G288" s="328"/>
      <c r="H288" s="213" t="s">
        <v>368</v>
      </c>
      <c r="I288" s="178"/>
      <c r="J288" s="174"/>
      <c r="K288" s="174"/>
      <c r="L288" s="125" t="str">
        <f>IF(I288&lt;&gt;0,((VLOOKUP(I288,'1. Standard_Cost'!$B$4:$D$11,2)+VLOOKUP(I288,'1. Standard_Cost'!$B$4:$D$11,3))*J288*K288),"0")</f>
        <v>0</v>
      </c>
      <c r="M288" s="125">
        <f>L288*'1. Standard_Cost'!$F$4</f>
        <v>0</v>
      </c>
      <c r="N288" s="174"/>
      <c r="O288" s="174"/>
      <c r="P288" s="174"/>
      <c r="Q288" s="174"/>
      <c r="R288" s="127">
        <f>'1. Standard_Cost'!$B$15*N288*P288</f>
        <v>0</v>
      </c>
      <c r="S288" s="127">
        <f>N288*O288*P288*'1. Standard_Cost'!$C$15</f>
        <v>0</v>
      </c>
      <c r="T288" s="127">
        <f>N288*P288*Q288*'1. Standard_Cost'!$D$15</f>
        <v>0</v>
      </c>
      <c r="U288" s="127">
        <f>N288*O288*'1. Standard_Cost'!$E$15</f>
        <v>0</v>
      </c>
      <c r="V288" s="174"/>
      <c r="W288" s="174"/>
      <c r="X288" s="174"/>
      <c r="Y288" s="127">
        <f>+V288*((X288*'1. Standard_Cost'!$B$19)+(W288*X288*'1. Standard_Cost'!$C$19))</f>
        <v>0</v>
      </c>
      <c r="Z288" s="174"/>
      <c r="AA288" s="174"/>
      <c r="AB288" s="127">
        <v>0</v>
      </c>
      <c r="AC288" s="176"/>
      <c r="AD288" s="177"/>
      <c r="AE288" s="127">
        <f>SUM(AD288,AC288,AB288,Y288,U288,T288,S288,R288)*'1. Standard_Cost'!$B$31</f>
        <v>0</v>
      </c>
      <c r="AF288" s="127">
        <f>SUM(AE288,AD288,AC288,AB288,Y288,U288,T288,S288,R288)</f>
        <v>0</v>
      </c>
      <c r="AG288" s="174"/>
      <c r="AH288" s="174"/>
      <c r="AI288" s="174"/>
      <c r="AJ288" s="178"/>
      <c r="AK288" s="178"/>
      <c r="AL288" s="178"/>
      <c r="AM288" s="127">
        <f>AG288*'1. Standard_Cost'!$B$27+'Incremental_Cost Year 10'!AH288*'1. Standard_Cost'!$C$27+'Incremental_Cost Year 10'!AI288*'1. Standard_Cost'!$D$27+'Incremental_Cost Year 10'!AJ288+'Incremental_Cost Year 10'!AL288+AK288</f>
        <v>0</v>
      </c>
      <c r="AN288" s="127">
        <f>AM288*'1. Standard_Cost'!$C$31</f>
        <v>0</v>
      </c>
      <c r="AO288" s="178"/>
      <c r="AP288" s="256"/>
      <c r="AQ288" s="171">
        <f>L288+M288</f>
        <v>0</v>
      </c>
      <c r="AR288" s="171">
        <f>AF288</f>
        <v>0</v>
      </c>
      <c r="AS288" s="171">
        <f>AM288+AN288</f>
        <v>0</v>
      </c>
      <c r="AT288" s="171">
        <f>SUM(AQ288,AR288,AS288)</f>
        <v>0</v>
      </c>
      <c r="AU288" s="250">
        <f>AT288</f>
        <v>0</v>
      </c>
      <c r="AV288" s="250"/>
      <c r="AW288" s="250"/>
      <c r="AX288" s="250"/>
      <c r="AY288" s="250"/>
      <c r="AZ288" s="250"/>
      <c r="BA288" s="250"/>
      <c r="BB288" s="251">
        <f t="shared" si="194"/>
        <v>0</v>
      </c>
      <c r="BC288" s="169"/>
      <c r="BD288" s="169"/>
      <c r="BE288" s="169"/>
      <c r="BF288" s="169"/>
    </row>
    <row r="289" spans="1:54" ht="31.5" x14ac:dyDescent="0.25">
      <c r="A289" s="167"/>
      <c r="B289" s="168"/>
      <c r="C289" s="204"/>
      <c r="D289" s="212" t="s">
        <v>388</v>
      </c>
      <c r="E289" s="212" t="s">
        <v>359</v>
      </c>
      <c r="F289" s="212">
        <v>2021</v>
      </c>
      <c r="G289" s="212">
        <v>2023</v>
      </c>
      <c r="H289" s="182" t="s">
        <v>360</v>
      </c>
      <c r="I289" s="273"/>
      <c r="J289" s="273"/>
      <c r="K289" s="273"/>
      <c r="L289" s="175">
        <f>SUM(L285:L288)</f>
        <v>0</v>
      </c>
      <c r="M289" s="175">
        <f>SUM(M285:M288)</f>
        <v>0</v>
      </c>
      <c r="N289" s="273"/>
      <c r="O289" s="273"/>
      <c r="P289" s="273"/>
      <c r="Q289" s="273"/>
      <c r="R289" s="175">
        <f>SUM(R285:R288)</f>
        <v>0</v>
      </c>
      <c r="S289" s="175">
        <f>SUM(S285:S288)</f>
        <v>0</v>
      </c>
      <c r="T289" s="175">
        <f>SUM(T285:T288)</f>
        <v>0</v>
      </c>
      <c r="U289" s="175">
        <f>SUM(U285:U288)</f>
        <v>0</v>
      </c>
      <c r="V289" s="273"/>
      <c r="W289" s="273"/>
      <c r="X289" s="273"/>
      <c r="Y289" s="175">
        <f>SUM(Y285:Y288)</f>
        <v>0</v>
      </c>
      <c r="Z289" s="175"/>
      <c r="AA289" s="273"/>
      <c r="AB289" s="175">
        <f>SUM(AB285:AB288)</f>
        <v>0</v>
      </c>
      <c r="AC289" s="175">
        <f>SUM(AC285:AC287)</f>
        <v>0</v>
      </c>
      <c r="AD289" s="175">
        <f>SUM(AD285:AD287)</f>
        <v>0</v>
      </c>
      <c r="AE289" s="175">
        <f>SUM(AE285:AE288)</f>
        <v>0</v>
      </c>
      <c r="AF289" s="175">
        <f>SUM(AF285:AF288)</f>
        <v>0</v>
      </c>
      <c r="AG289" s="273"/>
      <c r="AH289" s="273"/>
      <c r="AI289" s="273"/>
      <c r="AJ289" s="175">
        <f>SUM(AJ285:AJ288)</f>
        <v>0</v>
      </c>
      <c r="AK289" s="175">
        <f>SUM(AK285:AK288)</f>
        <v>0</v>
      </c>
      <c r="AL289" s="175">
        <f>SUM(AL285:AL288)</f>
        <v>0</v>
      </c>
      <c r="AM289" s="175">
        <f>SUM(AM285:AM288)</f>
        <v>0</v>
      </c>
      <c r="AN289" s="175">
        <f>SUM(AN285:AN288)</f>
        <v>0</v>
      </c>
      <c r="AO289" s="274"/>
      <c r="AP289" s="254"/>
      <c r="AQ289" s="175">
        <f t="shared" ref="AQ289:AT289" si="195">SUM(AQ285:AQ288)</f>
        <v>0</v>
      </c>
      <c r="AR289" s="175">
        <f t="shared" si="195"/>
        <v>0</v>
      </c>
      <c r="AS289" s="175">
        <f t="shared" si="195"/>
        <v>0</v>
      </c>
      <c r="AT289" s="175">
        <f t="shared" si="195"/>
        <v>0</v>
      </c>
      <c r="AU289" s="175">
        <f t="shared" ref="AU289:BB289" si="196">SUM(AU285:AU288)</f>
        <v>0</v>
      </c>
      <c r="AV289" s="175">
        <f t="shared" si="196"/>
        <v>0</v>
      </c>
      <c r="AW289" s="175">
        <f t="shared" si="196"/>
        <v>0</v>
      </c>
      <c r="AX289" s="175">
        <f t="shared" si="196"/>
        <v>0</v>
      </c>
      <c r="AY289" s="175">
        <f t="shared" si="196"/>
        <v>0</v>
      </c>
      <c r="AZ289" s="175">
        <f t="shared" si="196"/>
        <v>0</v>
      </c>
      <c r="BA289" s="175">
        <f t="shared" si="196"/>
        <v>0</v>
      </c>
      <c r="BB289" s="175">
        <f t="shared" si="196"/>
        <v>0</v>
      </c>
    </row>
    <row r="292" spans="1:54" x14ac:dyDescent="0.25">
      <c r="AQ292" s="239">
        <f>AQ5+AQ78+AQ150+AQ197+AQ244</f>
        <v>16405353756.767139</v>
      </c>
      <c r="AR292" s="239">
        <f t="shared" ref="AR292:BB292" si="197">AR5+AR78+AR150+AR197+AR244</f>
        <v>36505781410.199997</v>
      </c>
      <c r="AS292" s="239">
        <f t="shared" si="197"/>
        <v>0</v>
      </c>
      <c r="AT292" s="239">
        <f t="shared" si="197"/>
        <v>52911135166.967148</v>
      </c>
      <c r="AU292" s="239">
        <f t="shared" si="197"/>
        <v>50169477766.922859</v>
      </c>
      <c r="AV292" s="239">
        <f t="shared" si="197"/>
        <v>0</v>
      </c>
      <c r="AW292" s="239">
        <f t="shared" si="197"/>
        <v>0</v>
      </c>
      <c r="AX292" s="239">
        <f t="shared" si="197"/>
        <v>0</v>
      </c>
      <c r="AY292" s="239">
        <f t="shared" si="197"/>
        <v>2346000</v>
      </c>
      <c r="AZ292" s="239">
        <f t="shared" si="197"/>
        <v>0</v>
      </c>
      <c r="BA292" s="239">
        <f t="shared" si="197"/>
        <v>0</v>
      </c>
      <c r="BB292" s="239">
        <f t="shared" si="197"/>
        <v>-2739311400.0442858</v>
      </c>
    </row>
  </sheetData>
  <mergeCells count="38">
    <mergeCell ref="C277:E277"/>
    <mergeCell ref="C284:E284"/>
    <mergeCell ref="B244:E244"/>
    <mergeCell ref="C245:E245"/>
    <mergeCell ref="C259:E259"/>
    <mergeCell ref="C269:E269"/>
    <mergeCell ref="C238:E238"/>
    <mergeCell ref="AQ2:BB2"/>
    <mergeCell ref="B3:E3"/>
    <mergeCell ref="B5:E5"/>
    <mergeCell ref="C6:E6"/>
    <mergeCell ref="C40:E40"/>
    <mergeCell ref="C134:E134"/>
    <mergeCell ref="C140:E140"/>
    <mergeCell ref="C213:E213"/>
    <mergeCell ref="C221:E221"/>
    <mergeCell ref="C226:E226"/>
    <mergeCell ref="C232:E232"/>
    <mergeCell ref="C45:E45"/>
    <mergeCell ref="C182:E182"/>
    <mergeCell ref="B197:E197"/>
    <mergeCell ref="C198:E198"/>
    <mergeCell ref="B1:L1"/>
    <mergeCell ref="B2:E2"/>
    <mergeCell ref="C16:E16"/>
    <mergeCell ref="C20:E20"/>
    <mergeCell ref="C163:E163"/>
    <mergeCell ref="C106:E106"/>
    <mergeCell ref="C111:E111"/>
    <mergeCell ref="C61:E61"/>
    <mergeCell ref="B78:E78"/>
    <mergeCell ref="C79:E79"/>
    <mergeCell ref="C93:E93"/>
    <mergeCell ref="C100:E100"/>
    <mergeCell ref="B150:E150"/>
    <mergeCell ref="C151:E151"/>
    <mergeCell ref="C118:E118"/>
    <mergeCell ref="C123:E123"/>
  </mergeCells>
  <conditionalFormatting sqref="BB203 BB220:BB221 BB235:BB243 BB231:BB233 BB212:BB213 BB225:BB226">
    <cfRule type="cellIs" dxfId="4695" priority="4691" operator="lessThan">
      <formula>0</formula>
    </cfRule>
    <cfRule type="cellIs" dxfId="4694" priority="4692" operator="lessThan">
      <formula>-105575</formula>
    </cfRule>
  </conditionalFormatting>
  <conditionalFormatting sqref="BB220 BB212:BB213 BB235:BB238 BB240:BB243 BB225:BB226 BB231:BB233">
    <cfRule type="cellIs" dxfId="4693" priority="4689" operator="lessThan">
      <formula>0</formula>
    </cfRule>
    <cfRule type="cellIs" dxfId="4692" priority="4690" operator="lessThan">
      <formula>-105575</formula>
    </cfRule>
  </conditionalFormatting>
  <conditionalFormatting sqref="BB220:BB221 BB243 BB226 BB231:BB236 BB238:BB241 BB203 BB213">
    <cfRule type="cellIs" dxfId="4691" priority="4687" operator="lessThan">
      <formula>0</formula>
    </cfRule>
    <cfRule type="cellIs" dxfId="4690" priority="4688" operator="lessThan">
      <formula>-105575</formula>
    </cfRule>
  </conditionalFormatting>
  <conditionalFormatting sqref="BB235:BB243 BB231:BB233 BB220 BB212:BB213 BB225:BB226">
    <cfRule type="cellIs" dxfId="4689" priority="4685" operator="lessThan">
      <formula>0</formula>
    </cfRule>
    <cfRule type="cellIs" dxfId="4688" priority="4686" operator="lessThan">
      <formula>-105575</formula>
    </cfRule>
  </conditionalFormatting>
  <conditionalFormatting sqref="BB220:BB221 BB237:BB243 BB203 BB231:BB235 BB212:BB213 BB225:BB226">
    <cfRule type="cellIs" dxfId="4687" priority="4683" operator="lessThan">
      <formula>0</formula>
    </cfRule>
    <cfRule type="cellIs" dxfId="4686" priority="4684" operator="lessThan">
      <formula>-105575</formula>
    </cfRule>
  </conditionalFormatting>
  <conditionalFormatting sqref="BB220:BB221 BB237:BB240 BB242:BB243 BB225:BB226 BB231:BB235">
    <cfRule type="cellIs" dxfId="4685" priority="4681" operator="lessThan">
      <formula>0</formula>
    </cfRule>
    <cfRule type="cellIs" dxfId="4684" priority="4682" operator="lessThan">
      <formula>-105575</formula>
    </cfRule>
  </conditionalFormatting>
  <conditionalFormatting sqref="BB212 BB231 BB233:BB238 BB240:BB243 BB225">
    <cfRule type="cellIs" dxfId="4683" priority="4679" operator="lessThan">
      <formula>0</formula>
    </cfRule>
    <cfRule type="cellIs" dxfId="4682" priority="4680" operator="lessThan">
      <formula>-105575</formula>
    </cfRule>
  </conditionalFormatting>
  <conditionalFormatting sqref="BB237:BB243 BB231:BB235 BB220:BB221 BB225:BB226">
    <cfRule type="cellIs" dxfId="4681" priority="4677" operator="lessThan">
      <formula>0</formula>
    </cfRule>
    <cfRule type="cellIs" dxfId="4680" priority="4678" operator="lessThan">
      <formula>-105575</formula>
    </cfRule>
  </conditionalFormatting>
  <conditionalFormatting sqref="BB233:BB237 BB231 BB239:BB243">
    <cfRule type="cellIs" dxfId="4679" priority="4675" operator="lessThan">
      <formula>0</formula>
    </cfRule>
    <cfRule type="cellIs" dxfId="4678" priority="4676" operator="lessThan">
      <formula>-105575</formula>
    </cfRule>
  </conditionalFormatting>
  <conditionalFormatting sqref="BB233:BB237 BB231 BB239:BB243">
    <cfRule type="cellIs" dxfId="4677" priority="4673" operator="lessThan">
      <formula>0</formula>
    </cfRule>
    <cfRule type="cellIs" dxfId="4676" priority="4674" operator="lessThan">
      <formula>-105575</formula>
    </cfRule>
  </conditionalFormatting>
  <conditionalFormatting sqref="BB119:BB128 BB106:BB117 BB101:BB104 BB80:BB98">
    <cfRule type="cellIs" dxfId="4675" priority="4671" operator="lessThan">
      <formula>0</formula>
    </cfRule>
    <cfRule type="cellIs" dxfId="4674" priority="4672" operator="lessThan">
      <formula>-105575</formula>
    </cfRule>
  </conditionalFormatting>
  <conditionalFormatting sqref="BB130 BB132 BB134">
    <cfRule type="cellIs" dxfId="4673" priority="4669" operator="lessThan">
      <formula>0</formula>
    </cfRule>
    <cfRule type="cellIs" dxfId="4672" priority="4670" operator="lessThan">
      <formula>-105575</formula>
    </cfRule>
  </conditionalFormatting>
  <conditionalFormatting sqref="BB130 BB132 BB134">
    <cfRule type="cellIs" dxfId="4671" priority="4667" operator="lessThan">
      <formula>0</formula>
    </cfRule>
    <cfRule type="cellIs" dxfId="4670" priority="4668" operator="lessThan">
      <formula>-105575</formula>
    </cfRule>
  </conditionalFormatting>
  <conditionalFormatting sqref="BB129 BB131 BB133 BB135">
    <cfRule type="cellIs" dxfId="4669" priority="4665" operator="lessThan">
      <formula>0</formula>
    </cfRule>
    <cfRule type="cellIs" dxfId="4668" priority="4666" operator="lessThan">
      <formula>-105575</formula>
    </cfRule>
  </conditionalFormatting>
  <conditionalFormatting sqref="BB140 BB145 BB142:BB143 BB137:BB138">
    <cfRule type="cellIs" dxfId="4667" priority="4655" operator="lessThan">
      <formula>0</formula>
    </cfRule>
    <cfRule type="cellIs" dxfId="4666" priority="4656" operator="lessThan">
      <formula>-105575</formula>
    </cfRule>
  </conditionalFormatting>
  <conditionalFormatting sqref="BB149">
    <cfRule type="cellIs" dxfId="4665" priority="4651" operator="lessThan">
      <formula>0</formula>
    </cfRule>
    <cfRule type="cellIs" dxfId="4664" priority="4652" operator="lessThan">
      <formula>-105575</formula>
    </cfRule>
  </conditionalFormatting>
  <conditionalFormatting sqref="BB129:BB138 BB140:BB149">
    <cfRule type="cellIs" dxfId="4663" priority="4649" operator="lessThan">
      <formula>0</formula>
    </cfRule>
    <cfRule type="cellIs" dxfId="4662" priority="4650" operator="lessThan">
      <formula>-105575</formula>
    </cfRule>
  </conditionalFormatting>
  <conditionalFormatting sqref="BB94:BB98 BB86:BB87 BB89:BB91 BB141:BB149 BB124:BB133 BB107:BB110 BB112:BB117 BB119:BB122 BB135:BB138 BB101:BB104 BB80:BB84">
    <cfRule type="cellIs" dxfId="4661" priority="4645" operator="lessThan">
      <formula>0</formula>
    </cfRule>
    <cfRule type="cellIs" dxfId="4660" priority="4646" operator="lessThan">
      <formula>-105575</formula>
    </cfRule>
  </conditionalFormatting>
  <conditionalFormatting sqref="BB129 BB131 BB133 BB135">
    <cfRule type="cellIs" dxfId="4659" priority="4663" operator="lessThan">
      <formula>0</formula>
    </cfRule>
    <cfRule type="cellIs" dxfId="4658" priority="4664" operator="lessThan">
      <formula>-105575</formula>
    </cfRule>
  </conditionalFormatting>
  <conditionalFormatting sqref="BB146 BB144 BB141">
    <cfRule type="cellIs" dxfId="4657" priority="4661" operator="lessThan">
      <formula>0</formula>
    </cfRule>
    <cfRule type="cellIs" dxfId="4656" priority="4662" operator="lessThan">
      <formula>-105575</formula>
    </cfRule>
  </conditionalFormatting>
  <conditionalFormatting sqref="BB146 BB144 BB141">
    <cfRule type="cellIs" dxfId="4655" priority="4659" operator="lessThan">
      <formula>0</formula>
    </cfRule>
    <cfRule type="cellIs" dxfId="4654" priority="4660" operator="lessThan">
      <formula>-105575</formula>
    </cfRule>
  </conditionalFormatting>
  <conditionalFormatting sqref="BB140 BB145 BB142:BB143 BB137:BB138">
    <cfRule type="cellIs" dxfId="4653" priority="4657" operator="lessThan">
      <formula>0</formula>
    </cfRule>
    <cfRule type="cellIs" dxfId="4652" priority="4658" operator="lessThan">
      <formula>-105575</formula>
    </cfRule>
  </conditionalFormatting>
  <conditionalFormatting sqref="BB149">
    <cfRule type="cellIs" dxfId="4651" priority="4653" operator="lessThan">
      <formula>0</formula>
    </cfRule>
    <cfRule type="cellIs" dxfId="4650" priority="4654" operator="lessThan">
      <formula>-105575</formula>
    </cfRule>
  </conditionalFormatting>
  <conditionalFormatting sqref="BB94:BB98 BB86:BB87 BB89:BB91 BB141:BB149 BB124:BB133 BB107:BB110 BB112:BB117 BB119:BB122 BB135:BB138 BB101:BB104 BB80:BB84">
    <cfRule type="cellIs" dxfId="4649" priority="4647" operator="lessThan">
      <formula>0</formula>
    </cfRule>
    <cfRule type="cellIs" dxfId="4648" priority="4648" operator="lessThan">
      <formula>-105575</formula>
    </cfRule>
  </conditionalFormatting>
  <conditionalFormatting sqref="BB246:BB249 BB262 BB267 BB279:BB282 BB285:BB288 BB274:BB275 BB306:BB309 BB311:BB325 BB327:BB330 BB332:BB341 BB344:BB347 BB349:BB353 BB355:BB358 BB360:BB384 BB386:BB389 BB392:BB395 BB397:BB411 BB413:BB416 BB418:BB432 BB434:BB437 BB439:BB453 BB455:BB458 BB460:BB469 BB7:BB10 BB12:BB14 BB17:BB18 BB21:BB24 BB26:BB28 BB30:BB36 BB38 BB41:BB43 BB46:BB49 BB51:BB55 BB57:BB59 BB62:BB76 BB251:BB253 BB255:BB257 BB293:BB304 BB264:BB265 BB260 BB290:BB291 BB270:BB272">
    <cfRule type="cellIs" dxfId="4647" priority="4695" operator="lessThan">
      <formula>0</formula>
    </cfRule>
    <cfRule type="cellIs" dxfId="4646" priority="4696" operator="lessThan">
      <formula>-105575</formula>
    </cfRule>
  </conditionalFormatting>
  <conditionalFormatting sqref="BB41">
    <cfRule type="cellIs" dxfId="4645" priority="4693" operator="lessThan">
      <formula>0</formula>
    </cfRule>
    <cfRule type="cellIs" dxfId="4644" priority="4694" operator="lessThan">
      <formula>-105575</formula>
    </cfRule>
  </conditionalFormatting>
  <conditionalFormatting sqref="BB152:BB155">
    <cfRule type="cellIs" dxfId="4643" priority="4643" operator="lessThan">
      <formula>0</formula>
    </cfRule>
    <cfRule type="cellIs" dxfId="4642" priority="4644" operator="lessThan">
      <formula>-105575</formula>
    </cfRule>
  </conditionalFormatting>
  <conditionalFormatting sqref="BB152:BB155">
    <cfRule type="cellIs" dxfId="4641" priority="4639" operator="lessThan">
      <formula>0</formula>
    </cfRule>
    <cfRule type="cellIs" dxfId="4640" priority="4640" operator="lessThan">
      <formula>-105575</formula>
    </cfRule>
  </conditionalFormatting>
  <conditionalFormatting sqref="BB152:BB155">
    <cfRule type="cellIs" dxfId="4639" priority="4641" operator="lessThan">
      <formula>0</formula>
    </cfRule>
    <cfRule type="cellIs" dxfId="4638" priority="4642" operator="lessThan">
      <formula>-105575</formula>
    </cfRule>
  </conditionalFormatting>
  <conditionalFormatting sqref="BB157:BB158">
    <cfRule type="cellIs" dxfId="4637" priority="4637" operator="lessThan">
      <formula>0</formula>
    </cfRule>
    <cfRule type="cellIs" dxfId="4636" priority="4638" operator="lessThan">
      <formula>-105575</formula>
    </cfRule>
  </conditionalFormatting>
  <conditionalFormatting sqref="BB157:BB158">
    <cfRule type="cellIs" dxfId="4635" priority="4633" operator="lessThan">
      <formula>0</formula>
    </cfRule>
    <cfRule type="cellIs" dxfId="4634" priority="4634" operator="lessThan">
      <formula>-105575</formula>
    </cfRule>
  </conditionalFormatting>
  <conditionalFormatting sqref="BB157:BB158">
    <cfRule type="cellIs" dxfId="4633" priority="4635" operator="lessThan">
      <formula>0</formula>
    </cfRule>
    <cfRule type="cellIs" dxfId="4632" priority="4636" operator="lessThan">
      <formula>-105575</formula>
    </cfRule>
  </conditionalFormatting>
  <conditionalFormatting sqref="BB160:BB161">
    <cfRule type="cellIs" dxfId="4631" priority="4631" operator="lessThan">
      <formula>0</formula>
    </cfRule>
    <cfRule type="cellIs" dxfId="4630" priority="4632" operator="lessThan">
      <formula>-105575</formula>
    </cfRule>
  </conditionalFormatting>
  <conditionalFormatting sqref="BB160:BB161">
    <cfRule type="cellIs" dxfId="4629" priority="4627" operator="lessThan">
      <formula>0</formula>
    </cfRule>
    <cfRule type="cellIs" dxfId="4628" priority="4628" operator="lessThan">
      <formula>-105575</formula>
    </cfRule>
  </conditionalFormatting>
  <conditionalFormatting sqref="BB160:BB161">
    <cfRule type="cellIs" dxfId="4627" priority="4629" operator="lessThan">
      <formula>0</formula>
    </cfRule>
    <cfRule type="cellIs" dxfId="4626" priority="4630" operator="lessThan">
      <formula>-105575</formula>
    </cfRule>
  </conditionalFormatting>
  <conditionalFormatting sqref="BB164:BB167">
    <cfRule type="cellIs" dxfId="4625" priority="4625" operator="lessThan">
      <formula>0</formula>
    </cfRule>
    <cfRule type="cellIs" dxfId="4624" priority="4626" operator="lessThan">
      <formula>-105575</formula>
    </cfRule>
  </conditionalFormatting>
  <conditionalFormatting sqref="BB164:BB167">
    <cfRule type="cellIs" dxfId="4623" priority="4621" operator="lessThan">
      <formula>0</formula>
    </cfRule>
    <cfRule type="cellIs" dxfId="4622" priority="4622" operator="lessThan">
      <formula>-105575</formula>
    </cfRule>
  </conditionalFormatting>
  <conditionalFormatting sqref="BB164:BB167">
    <cfRule type="cellIs" dxfId="4621" priority="4623" operator="lessThan">
      <formula>0</formula>
    </cfRule>
    <cfRule type="cellIs" dxfId="4620" priority="4624" operator="lessThan">
      <formula>-105575</formula>
    </cfRule>
  </conditionalFormatting>
  <conditionalFormatting sqref="BB169:BB177">
    <cfRule type="cellIs" dxfId="4619" priority="4619" operator="lessThan">
      <formula>0</formula>
    </cfRule>
    <cfRule type="cellIs" dxfId="4618" priority="4620" operator="lessThan">
      <formula>-105575</formula>
    </cfRule>
  </conditionalFormatting>
  <conditionalFormatting sqref="BB169:BB177">
    <cfRule type="cellIs" dxfId="4617" priority="4615" operator="lessThan">
      <formula>0</formula>
    </cfRule>
    <cfRule type="cellIs" dxfId="4616" priority="4616" operator="lessThan">
      <formula>-105575</formula>
    </cfRule>
  </conditionalFormatting>
  <conditionalFormatting sqref="BB169:BB177">
    <cfRule type="cellIs" dxfId="4615" priority="4617" operator="lessThan">
      <formula>0</formula>
    </cfRule>
    <cfRule type="cellIs" dxfId="4614" priority="4618" operator="lessThan">
      <formula>-105575</formula>
    </cfRule>
  </conditionalFormatting>
  <conditionalFormatting sqref="BB179:BB180">
    <cfRule type="cellIs" dxfId="4613" priority="4613" operator="lessThan">
      <formula>0</formula>
    </cfRule>
    <cfRule type="cellIs" dxfId="4612" priority="4614" operator="lessThan">
      <formula>-105575</formula>
    </cfRule>
  </conditionalFormatting>
  <conditionalFormatting sqref="BB179:BB180">
    <cfRule type="cellIs" dxfId="4611" priority="4609" operator="lessThan">
      <formula>0</formula>
    </cfRule>
    <cfRule type="cellIs" dxfId="4610" priority="4610" operator="lessThan">
      <formula>-105575</formula>
    </cfRule>
  </conditionalFormatting>
  <conditionalFormatting sqref="BB179:BB180">
    <cfRule type="cellIs" dxfId="4609" priority="4611" operator="lessThan">
      <formula>0</formula>
    </cfRule>
    <cfRule type="cellIs" dxfId="4608" priority="4612" operator="lessThan">
      <formula>-105575</formula>
    </cfRule>
  </conditionalFormatting>
  <conditionalFormatting sqref="BB183:BB189">
    <cfRule type="cellIs" dxfId="4607" priority="4607" operator="lessThan">
      <formula>0</formula>
    </cfRule>
    <cfRule type="cellIs" dxfId="4606" priority="4608" operator="lessThan">
      <formula>-105575</formula>
    </cfRule>
  </conditionalFormatting>
  <conditionalFormatting sqref="BB183:BB189">
    <cfRule type="cellIs" dxfId="4605" priority="4603" operator="lessThan">
      <formula>0</formula>
    </cfRule>
    <cfRule type="cellIs" dxfId="4604" priority="4604" operator="lessThan">
      <formula>-105575</formula>
    </cfRule>
  </conditionalFormatting>
  <conditionalFormatting sqref="BB183:BB189">
    <cfRule type="cellIs" dxfId="4603" priority="4605" operator="lessThan">
      <formula>0</formula>
    </cfRule>
    <cfRule type="cellIs" dxfId="4602" priority="4606" operator="lessThan">
      <formula>-105575</formula>
    </cfRule>
  </conditionalFormatting>
  <conditionalFormatting sqref="BB191:BB192">
    <cfRule type="cellIs" dxfId="4601" priority="4601" operator="lessThan">
      <formula>0</formula>
    </cfRule>
    <cfRule type="cellIs" dxfId="4600" priority="4602" operator="lessThan">
      <formula>-105575</formula>
    </cfRule>
  </conditionalFormatting>
  <conditionalFormatting sqref="BB191:BB192">
    <cfRule type="cellIs" dxfId="4599" priority="4597" operator="lessThan">
      <formula>0</formula>
    </cfRule>
    <cfRule type="cellIs" dxfId="4598" priority="4598" operator="lessThan">
      <formula>-105575</formula>
    </cfRule>
  </conditionalFormatting>
  <conditionalFormatting sqref="BB191:BB192">
    <cfRule type="cellIs" dxfId="4597" priority="4599" operator="lessThan">
      <formula>0</formula>
    </cfRule>
    <cfRule type="cellIs" dxfId="4596" priority="4600" operator="lessThan">
      <formula>-105575</formula>
    </cfRule>
  </conditionalFormatting>
  <conditionalFormatting sqref="BB194:BB195">
    <cfRule type="cellIs" dxfId="4595" priority="4595" operator="lessThan">
      <formula>0</formula>
    </cfRule>
    <cfRule type="cellIs" dxfId="4594" priority="4596" operator="lessThan">
      <formula>-105575</formula>
    </cfRule>
  </conditionalFormatting>
  <conditionalFormatting sqref="BB194:BB195">
    <cfRule type="cellIs" dxfId="4593" priority="4591" operator="lessThan">
      <formula>0</formula>
    </cfRule>
    <cfRule type="cellIs" dxfId="4592" priority="4592" operator="lessThan">
      <formula>-105575</formula>
    </cfRule>
  </conditionalFormatting>
  <conditionalFormatting sqref="BB194:BB195">
    <cfRule type="cellIs" dxfId="4591" priority="4593" operator="lessThan">
      <formula>0</formula>
    </cfRule>
    <cfRule type="cellIs" dxfId="4590" priority="4594" operator="lessThan">
      <formula>-105575</formula>
    </cfRule>
  </conditionalFormatting>
  <conditionalFormatting sqref="BB199:BB202">
    <cfRule type="cellIs" dxfId="4589" priority="4589" operator="lessThan">
      <formula>0</formula>
    </cfRule>
    <cfRule type="cellIs" dxfId="4588" priority="4590" operator="lessThan">
      <formula>-105575</formula>
    </cfRule>
  </conditionalFormatting>
  <conditionalFormatting sqref="BB199:BB202">
    <cfRule type="cellIs" dxfId="4587" priority="4585" operator="lessThan">
      <formula>0</formula>
    </cfRule>
    <cfRule type="cellIs" dxfId="4586" priority="4586" operator="lessThan">
      <formula>-105575</formula>
    </cfRule>
  </conditionalFormatting>
  <conditionalFormatting sqref="BB199:BB202">
    <cfRule type="cellIs" dxfId="4585" priority="4587" operator="lessThan">
      <formula>0</formula>
    </cfRule>
    <cfRule type="cellIs" dxfId="4584" priority="4588" operator="lessThan">
      <formula>-105575</formula>
    </cfRule>
  </conditionalFormatting>
  <conditionalFormatting sqref="BB204:BB208">
    <cfRule type="cellIs" dxfId="4583" priority="4583" operator="lessThan">
      <formula>0</formula>
    </cfRule>
    <cfRule type="cellIs" dxfId="4582" priority="4584" operator="lessThan">
      <formula>-105575</formula>
    </cfRule>
  </conditionalFormatting>
  <conditionalFormatting sqref="BB204:BB208">
    <cfRule type="cellIs" dxfId="4581" priority="4579" operator="lessThan">
      <formula>0</formula>
    </cfRule>
    <cfRule type="cellIs" dxfId="4580" priority="4580" operator="lessThan">
      <formula>-105575</formula>
    </cfRule>
  </conditionalFormatting>
  <conditionalFormatting sqref="BB204:BB208">
    <cfRule type="cellIs" dxfId="4579" priority="4581" operator="lessThan">
      <formula>0</formula>
    </cfRule>
    <cfRule type="cellIs" dxfId="4578" priority="4582" operator="lessThan">
      <formula>-105575</formula>
    </cfRule>
  </conditionalFormatting>
  <conditionalFormatting sqref="BB210:BB211">
    <cfRule type="cellIs" dxfId="4577" priority="4577" operator="lessThan">
      <formula>0</formula>
    </cfRule>
    <cfRule type="cellIs" dxfId="4576" priority="4578" operator="lessThan">
      <formula>-105575</formula>
    </cfRule>
  </conditionalFormatting>
  <conditionalFormatting sqref="BB210:BB211">
    <cfRule type="cellIs" dxfId="4575" priority="4573" operator="lessThan">
      <formula>0</formula>
    </cfRule>
    <cfRule type="cellIs" dxfId="4574" priority="4574" operator="lessThan">
      <formula>-105575</formula>
    </cfRule>
  </conditionalFormatting>
  <conditionalFormatting sqref="BB210:BB211">
    <cfRule type="cellIs" dxfId="4573" priority="4575" operator="lessThan">
      <formula>0</formula>
    </cfRule>
    <cfRule type="cellIs" dxfId="4572" priority="4576" operator="lessThan">
      <formula>-105575</formula>
    </cfRule>
  </conditionalFormatting>
  <conditionalFormatting sqref="BB214:BB219">
    <cfRule type="cellIs" dxfId="4571" priority="4571" operator="lessThan">
      <formula>0</formula>
    </cfRule>
    <cfRule type="cellIs" dxfId="4570" priority="4572" operator="lessThan">
      <formula>-105575</formula>
    </cfRule>
  </conditionalFormatting>
  <conditionalFormatting sqref="BB214:BB219">
    <cfRule type="cellIs" dxfId="4569" priority="4567" operator="lessThan">
      <formula>0</formula>
    </cfRule>
    <cfRule type="cellIs" dxfId="4568" priority="4568" operator="lessThan">
      <formula>-105575</formula>
    </cfRule>
  </conditionalFormatting>
  <conditionalFormatting sqref="BB214:BB219">
    <cfRule type="cellIs" dxfId="4567" priority="4569" operator="lessThan">
      <formula>0</formula>
    </cfRule>
    <cfRule type="cellIs" dxfId="4566" priority="4570" operator="lessThan">
      <formula>-105575</formula>
    </cfRule>
  </conditionalFormatting>
  <conditionalFormatting sqref="BB222:BB224">
    <cfRule type="cellIs" dxfId="4565" priority="4565" operator="lessThan">
      <formula>0</formula>
    </cfRule>
    <cfRule type="cellIs" dxfId="4564" priority="4566" operator="lessThan">
      <formula>-105575</formula>
    </cfRule>
  </conditionalFormatting>
  <conditionalFormatting sqref="BB222:BB224">
    <cfRule type="cellIs" dxfId="4563" priority="4561" operator="lessThan">
      <formula>0</formula>
    </cfRule>
    <cfRule type="cellIs" dxfId="4562" priority="4562" operator="lessThan">
      <formula>-105575</formula>
    </cfRule>
  </conditionalFormatting>
  <conditionalFormatting sqref="BB222:BB224">
    <cfRule type="cellIs" dxfId="4561" priority="4563" operator="lessThan">
      <formula>0</formula>
    </cfRule>
    <cfRule type="cellIs" dxfId="4560" priority="4564" operator="lessThan">
      <formula>-105575</formula>
    </cfRule>
  </conditionalFormatting>
  <conditionalFormatting sqref="BB227:BB230">
    <cfRule type="cellIs" dxfId="4559" priority="4559" operator="lessThan">
      <formula>0</formula>
    </cfRule>
    <cfRule type="cellIs" dxfId="4558" priority="4560" operator="lessThan">
      <formula>-105575</formula>
    </cfRule>
  </conditionalFormatting>
  <conditionalFormatting sqref="BB227:BB230">
    <cfRule type="cellIs" dxfId="4557" priority="4555" operator="lessThan">
      <formula>0</formula>
    </cfRule>
    <cfRule type="cellIs" dxfId="4556" priority="4556" operator="lessThan">
      <formula>-105575</formula>
    </cfRule>
  </conditionalFormatting>
  <conditionalFormatting sqref="BB227:BB230">
    <cfRule type="cellIs" dxfId="4555" priority="4557" operator="lessThan">
      <formula>0</formula>
    </cfRule>
    <cfRule type="cellIs" dxfId="4554" priority="4558" operator="lessThan">
      <formula>-105575</formula>
    </cfRule>
  </conditionalFormatting>
  <conditionalFormatting sqref="BB203 BB220:BB221 BB235:BB243 BB231:BB233 BB212:BB213 BB225:BB226">
    <cfRule type="cellIs" dxfId="4553" priority="4553" operator="lessThan">
      <formula>0</formula>
    </cfRule>
    <cfRule type="cellIs" dxfId="4552" priority="4554" operator="lessThan">
      <formula>-105575</formula>
    </cfRule>
  </conditionalFormatting>
  <conditionalFormatting sqref="BB220 BB212:BB213 BB235:BB238 BB240:BB243 BB225:BB226 BB231:BB233">
    <cfRule type="cellIs" dxfId="4551" priority="4551" operator="lessThan">
      <formula>0</formula>
    </cfRule>
    <cfRule type="cellIs" dxfId="4550" priority="4552" operator="lessThan">
      <formula>-105575</formula>
    </cfRule>
  </conditionalFormatting>
  <conditionalFormatting sqref="BB220:BB221 BB243 BB226 BB231:BB236 BB238:BB241 BB203 BB213">
    <cfRule type="cellIs" dxfId="4549" priority="4549" operator="lessThan">
      <formula>0</formula>
    </cfRule>
    <cfRule type="cellIs" dxfId="4548" priority="4550" operator="lessThan">
      <formula>-105575</formula>
    </cfRule>
  </conditionalFormatting>
  <conditionalFormatting sqref="BB235:BB243 BB231:BB233 BB220 BB212:BB213 BB225:BB226">
    <cfRule type="cellIs" dxfId="4547" priority="4547" operator="lessThan">
      <formula>0</formula>
    </cfRule>
    <cfRule type="cellIs" dxfId="4546" priority="4548" operator="lessThan">
      <formula>-105575</formula>
    </cfRule>
  </conditionalFormatting>
  <conditionalFormatting sqref="BB220:BB221 BB237:BB243 BB203 BB231:BB235 BB212:BB213 BB225:BB226">
    <cfRule type="cellIs" dxfId="4545" priority="4545" operator="lessThan">
      <formula>0</formula>
    </cfRule>
    <cfRule type="cellIs" dxfId="4544" priority="4546" operator="lessThan">
      <formula>-105575</formula>
    </cfRule>
  </conditionalFormatting>
  <conditionalFormatting sqref="BB220:BB221 BB237:BB240 BB242:BB243 BB225:BB226 BB231:BB235">
    <cfRule type="cellIs" dxfId="4543" priority="4543" operator="lessThan">
      <formula>0</formula>
    </cfRule>
    <cfRule type="cellIs" dxfId="4542" priority="4544" operator="lessThan">
      <formula>-105575</formula>
    </cfRule>
  </conditionalFormatting>
  <conditionalFormatting sqref="BB212 BB231 BB233:BB238 BB240:BB243 BB225">
    <cfRule type="cellIs" dxfId="4541" priority="4541" operator="lessThan">
      <formula>0</formula>
    </cfRule>
    <cfRule type="cellIs" dxfId="4540" priority="4542" operator="lessThan">
      <formula>-105575</formula>
    </cfRule>
  </conditionalFormatting>
  <conditionalFormatting sqref="BB237:BB243 BB231:BB235 BB220:BB221 BB225:BB226">
    <cfRule type="cellIs" dxfId="4539" priority="4539" operator="lessThan">
      <formula>0</formula>
    </cfRule>
    <cfRule type="cellIs" dxfId="4538" priority="4540" operator="lessThan">
      <formula>-105575</formula>
    </cfRule>
  </conditionalFormatting>
  <conditionalFormatting sqref="BB233:BB237 BB231 BB239:BB243">
    <cfRule type="cellIs" dxfId="4537" priority="4537" operator="lessThan">
      <formula>0</formula>
    </cfRule>
    <cfRule type="cellIs" dxfId="4536" priority="4538" operator="lessThan">
      <formula>-105575</formula>
    </cfRule>
  </conditionalFormatting>
  <conditionalFormatting sqref="BB233:BB237 BB231 BB239:BB243">
    <cfRule type="cellIs" dxfId="4535" priority="4535" operator="lessThan">
      <formula>0</formula>
    </cfRule>
    <cfRule type="cellIs" dxfId="4534" priority="4536" operator="lessThan">
      <formula>-105575</formula>
    </cfRule>
  </conditionalFormatting>
  <conditionalFormatting sqref="BB119:BB128 BB106:BB117 BB101:BB104 BB80:BB98">
    <cfRule type="cellIs" dxfId="4533" priority="4533" operator="lessThan">
      <formula>0</formula>
    </cfRule>
    <cfRule type="cellIs" dxfId="4532" priority="4534" operator="lessThan">
      <formula>-105575</formula>
    </cfRule>
  </conditionalFormatting>
  <conditionalFormatting sqref="BB130 BB132 BB134">
    <cfRule type="cellIs" dxfId="4531" priority="4531" operator="lessThan">
      <formula>0</formula>
    </cfRule>
    <cfRule type="cellIs" dxfId="4530" priority="4532" operator="lessThan">
      <formula>-105575</formula>
    </cfRule>
  </conditionalFormatting>
  <conditionalFormatting sqref="BB130 BB132 BB134">
    <cfRule type="cellIs" dxfId="4529" priority="4529" operator="lessThan">
      <formula>0</formula>
    </cfRule>
    <cfRule type="cellIs" dxfId="4528" priority="4530" operator="lessThan">
      <formula>-105575</formula>
    </cfRule>
  </conditionalFormatting>
  <conditionalFormatting sqref="BB129 BB131 BB133 BB135">
    <cfRule type="cellIs" dxfId="4527" priority="4527" operator="lessThan">
      <formula>0</formula>
    </cfRule>
    <cfRule type="cellIs" dxfId="4526" priority="4528" operator="lessThan">
      <formula>-105575</formula>
    </cfRule>
  </conditionalFormatting>
  <conditionalFormatting sqref="BB140 BB145 BB142:BB143 BB137:BB138">
    <cfRule type="cellIs" dxfId="4525" priority="4525" operator="lessThan">
      <formula>0</formula>
    </cfRule>
    <cfRule type="cellIs" dxfId="4524" priority="4526" operator="lessThan">
      <formula>-105575</formula>
    </cfRule>
  </conditionalFormatting>
  <conditionalFormatting sqref="BB149">
    <cfRule type="cellIs" dxfId="4523" priority="4523" operator="lessThan">
      <formula>0</formula>
    </cfRule>
    <cfRule type="cellIs" dxfId="4522" priority="4524" operator="lessThan">
      <formula>-105575</formula>
    </cfRule>
  </conditionalFormatting>
  <conditionalFormatting sqref="BB129:BB138 BB140:BB149">
    <cfRule type="cellIs" dxfId="4521" priority="4521" operator="lessThan">
      <formula>0</formula>
    </cfRule>
    <cfRule type="cellIs" dxfId="4520" priority="4522" operator="lessThan">
      <formula>-105575</formula>
    </cfRule>
  </conditionalFormatting>
  <conditionalFormatting sqref="BB94:BB98 BB86:BB87 BB89:BB91 BB141:BB149 BB124:BB133 BB107:BB110 BB112:BB117 BB119:BB122 BB135:BB138 BB101:BB104 BB80:BB84">
    <cfRule type="cellIs" dxfId="4519" priority="4519" operator="lessThan">
      <formula>0</formula>
    </cfRule>
    <cfRule type="cellIs" dxfId="4518" priority="4520" operator="lessThan">
      <formula>-105575</formula>
    </cfRule>
  </conditionalFormatting>
  <conditionalFormatting sqref="BB129 BB131 BB133 BB135">
    <cfRule type="cellIs" dxfId="4517" priority="4517" operator="lessThan">
      <formula>0</formula>
    </cfRule>
    <cfRule type="cellIs" dxfId="4516" priority="4518" operator="lessThan">
      <formula>-105575</formula>
    </cfRule>
  </conditionalFormatting>
  <conditionalFormatting sqref="BB146 BB144 BB141">
    <cfRule type="cellIs" dxfId="4515" priority="4515" operator="lessThan">
      <formula>0</formula>
    </cfRule>
    <cfRule type="cellIs" dxfId="4514" priority="4516" operator="lessThan">
      <formula>-105575</formula>
    </cfRule>
  </conditionalFormatting>
  <conditionalFormatting sqref="BB146 BB144 BB141">
    <cfRule type="cellIs" dxfId="4513" priority="4513" operator="lessThan">
      <formula>0</formula>
    </cfRule>
    <cfRule type="cellIs" dxfId="4512" priority="4514" operator="lessThan">
      <formula>-105575</formula>
    </cfRule>
  </conditionalFormatting>
  <conditionalFormatting sqref="BB140 BB145 BB142:BB143 BB137:BB138">
    <cfRule type="cellIs" dxfId="4511" priority="4511" operator="lessThan">
      <formula>0</formula>
    </cfRule>
    <cfRule type="cellIs" dxfId="4510" priority="4512" operator="lessThan">
      <formula>-105575</formula>
    </cfRule>
  </conditionalFormatting>
  <conditionalFormatting sqref="BB149">
    <cfRule type="cellIs" dxfId="4509" priority="4509" operator="lessThan">
      <formula>0</formula>
    </cfRule>
    <cfRule type="cellIs" dxfId="4508" priority="4510" operator="lessThan">
      <formula>-105575</formula>
    </cfRule>
  </conditionalFormatting>
  <conditionalFormatting sqref="BB94:BB98 BB86:BB87 BB89:BB91 BB141:BB149 BB124:BB133 BB107:BB110 BB112:BB117 BB119:BB122 BB135:BB138 BB101:BB104 BB80:BB84">
    <cfRule type="cellIs" dxfId="4507" priority="4507" operator="lessThan">
      <formula>0</formula>
    </cfRule>
    <cfRule type="cellIs" dxfId="4506" priority="4508" operator="lessThan">
      <formula>-105575</formula>
    </cfRule>
  </conditionalFormatting>
  <conditionalFormatting sqref="BB62:BB76 BB306:BB309 BB311:BB325 BB327:BB330 BB332:BB341 BB344:BB347 BB349:BB353 BB355:BB358 BB360:BB384 BB386:BB389 BB392:BB395 BB397:BB411 BB413:BB416 BB418:BB432 BB434:BB437 BB439:BB453 BB455:BB458 BB460:BB469 BB7:BB10 BB12:BB14 BB17:BB18 BB21:BB24 BB26:BB28 BB30:BB36 BB38 BB41:BB43 BB46:BB49 BB51:BB55 BB57:BB59 BB290:BB291 BB293:BB304">
    <cfRule type="cellIs" dxfId="4505" priority="4505" operator="lessThan">
      <formula>0</formula>
    </cfRule>
    <cfRule type="cellIs" dxfId="4504" priority="4506" operator="lessThan">
      <formula>-105575</formula>
    </cfRule>
  </conditionalFormatting>
  <conditionalFormatting sqref="BB41">
    <cfRule type="cellIs" dxfId="4503" priority="4503" operator="lessThan">
      <formula>0</formula>
    </cfRule>
    <cfRule type="cellIs" dxfId="4502" priority="4504" operator="lessThan">
      <formula>-105575</formula>
    </cfRule>
  </conditionalFormatting>
  <conditionalFormatting sqref="BB152:BB155">
    <cfRule type="cellIs" dxfId="4501" priority="4501" operator="lessThan">
      <formula>0</formula>
    </cfRule>
    <cfRule type="cellIs" dxfId="4500" priority="4502" operator="lessThan">
      <formula>-105575</formula>
    </cfRule>
  </conditionalFormatting>
  <conditionalFormatting sqref="BB152:BB155">
    <cfRule type="cellIs" dxfId="4499" priority="4499" operator="lessThan">
      <formula>0</formula>
    </cfRule>
    <cfRule type="cellIs" dxfId="4498" priority="4500" operator="lessThan">
      <formula>-105575</formula>
    </cfRule>
  </conditionalFormatting>
  <conditionalFormatting sqref="BB152:BB155">
    <cfRule type="cellIs" dxfId="4497" priority="4497" operator="lessThan">
      <formula>0</formula>
    </cfRule>
    <cfRule type="cellIs" dxfId="4496" priority="4498" operator="lessThan">
      <formula>-105575</formula>
    </cfRule>
  </conditionalFormatting>
  <conditionalFormatting sqref="BB157:BB158">
    <cfRule type="cellIs" dxfId="4495" priority="4495" operator="lessThan">
      <formula>0</formula>
    </cfRule>
    <cfRule type="cellIs" dxfId="4494" priority="4496" operator="lessThan">
      <formula>-105575</formula>
    </cfRule>
  </conditionalFormatting>
  <conditionalFormatting sqref="BB157:BB158">
    <cfRule type="cellIs" dxfId="4493" priority="4493" operator="lessThan">
      <formula>0</formula>
    </cfRule>
    <cfRule type="cellIs" dxfId="4492" priority="4494" operator="lessThan">
      <formula>-105575</formula>
    </cfRule>
  </conditionalFormatting>
  <conditionalFormatting sqref="BB157:BB158">
    <cfRule type="cellIs" dxfId="4491" priority="4491" operator="lessThan">
      <formula>0</formula>
    </cfRule>
    <cfRule type="cellIs" dxfId="4490" priority="4492" operator="lessThan">
      <formula>-105575</formula>
    </cfRule>
  </conditionalFormatting>
  <conditionalFormatting sqref="BB160:BB161">
    <cfRule type="cellIs" dxfId="4489" priority="4489" operator="lessThan">
      <formula>0</formula>
    </cfRule>
    <cfRule type="cellIs" dxfId="4488" priority="4490" operator="lessThan">
      <formula>-105575</formula>
    </cfRule>
  </conditionalFormatting>
  <conditionalFormatting sqref="BB160:BB161">
    <cfRule type="cellIs" dxfId="4487" priority="4487" operator="lessThan">
      <formula>0</formula>
    </cfRule>
    <cfRule type="cellIs" dxfId="4486" priority="4488" operator="lessThan">
      <formula>-105575</formula>
    </cfRule>
  </conditionalFormatting>
  <conditionalFormatting sqref="BB160:BB161">
    <cfRule type="cellIs" dxfId="4485" priority="4485" operator="lessThan">
      <formula>0</formula>
    </cfRule>
    <cfRule type="cellIs" dxfId="4484" priority="4486" operator="lessThan">
      <formula>-105575</formula>
    </cfRule>
  </conditionalFormatting>
  <conditionalFormatting sqref="BB164:BB167">
    <cfRule type="cellIs" dxfId="4483" priority="4483" operator="lessThan">
      <formula>0</formula>
    </cfRule>
    <cfRule type="cellIs" dxfId="4482" priority="4484" operator="lessThan">
      <formula>-105575</formula>
    </cfRule>
  </conditionalFormatting>
  <conditionalFormatting sqref="BB164:BB167">
    <cfRule type="cellIs" dxfId="4481" priority="4481" operator="lessThan">
      <formula>0</formula>
    </cfRule>
    <cfRule type="cellIs" dxfId="4480" priority="4482" operator="lessThan">
      <formula>-105575</formula>
    </cfRule>
  </conditionalFormatting>
  <conditionalFormatting sqref="BB164:BB167">
    <cfRule type="cellIs" dxfId="4479" priority="4479" operator="lessThan">
      <formula>0</formula>
    </cfRule>
    <cfRule type="cellIs" dxfId="4478" priority="4480" operator="lessThan">
      <formula>-105575</formula>
    </cfRule>
  </conditionalFormatting>
  <conditionalFormatting sqref="BB169:BB177">
    <cfRule type="cellIs" dxfId="4477" priority="4477" operator="lessThan">
      <formula>0</formula>
    </cfRule>
    <cfRule type="cellIs" dxfId="4476" priority="4478" operator="lessThan">
      <formula>-105575</formula>
    </cfRule>
  </conditionalFormatting>
  <conditionalFormatting sqref="BB169:BB177">
    <cfRule type="cellIs" dxfId="4475" priority="4475" operator="lessThan">
      <formula>0</formula>
    </cfRule>
    <cfRule type="cellIs" dxfId="4474" priority="4476" operator="lessThan">
      <formula>-105575</formula>
    </cfRule>
  </conditionalFormatting>
  <conditionalFormatting sqref="BB169:BB177">
    <cfRule type="cellIs" dxfId="4473" priority="4473" operator="lessThan">
      <formula>0</formula>
    </cfRule>
    <cfRule type="cellIs" dxfId="4472" priority="4474" operator="lessThan">
      <formula>-105575</formula>
    </cfRule>
  </conditionalFormatting>
  <conditionalFormatting sqref="BB179:BB180">
    <cfRule type="cellIs" dxfId="4471" priority="4471" operator="lessThan">
      <formula>0</formula>
    </cfRule>
    <cfRule type="cellIs" dxfId="4470" priority="4472" operator="lessThan">
      <formula>-105575</formula>
    </cfRule>
  </conditionalFormatting>
  <conditionalFormatting sqref="BB179:BB180">
    <cfRule type="cellIs" dxfId="4469" priority="4469" operator="lessThan">
      <formula>0</formula>
    </cfRule>
    <cfRule type="cellIs" dxfId="4468" priority="4470" operator="lessThan">
      <formula>-105575</formula>
    </cfRule>
  </conditionalFormatting>
  <conditionalFormatting sqref="BB179:BB180">
    <cfRule type="cellIs" dxfId="4467" priority="4467" operator="lessThan">
      <formula>0</formula>
    </cfRule>
    <cfRule type="cellIs" dxfId="4466" priority="4468" operator="lessThan">
      <formula>-105575</formula>
    </cfRule>
  </conditionalFormatting>
  <conditionalFormatting sqref="BB183:BB189">
    <cfRule type="cellIs" dxfId="4465" priority="4465" operator="lessThan">
      <formula>0</formula>
    </cfRule>
    <cfRule type="cellIs" dxfId="4464" priority="4466" operator="lessThan">
      <formula>-105575</formula>
    </cfRule>
  </conditionalFormatting>
  <conditionalFormatting sqref="BB183:BB189">
    <cfRule type="cellIs" dxfId="4463" priority="4463" operator="lessThan">
      <formula>0</formula>
    </cfRule>
    <cfRule type="cellIs" dxfId="4462" priority="4464" operator="lessThan">
      <formula>-105575</formula>
    </cfRule>
  </conditionalFormatting>
  <conditionalFormatting sqref="BB183:BB189">
    <cfRule type="cellIs" dxfId="4461" priority="4461" operator="lessThan">
      <formula>0</formula>
    </cfRule>
    <cfRule type="cellIs" dxfId="4460" priority="4462" operator="lessThan">
      <formula>-105575</formula>
    </cfRule>
  </conditionalFormatting>
  <conditionalFormatting sqref="BB191:BB192">
    <cfRule type="cellIs" dxfId="4459" priority="4459" operator="lessThan">
      <formula>0</formula>
    </cfRule>
    <cfRule type="cellIs" dxfId="4458" priority="4460" operator="lessThan">
      <formula>-105575</formula>
    </cfRule>
  </conditionalFormatting>
  <conditionalFormatting sqref="BB191:BB192">
    <cfRule type="cellIs" dxfId="4457" priority="4457" operator="lessThan">
      <formula>0</formula>
    </cfRule>
    <cfRule type="cellIs" dxfId="4456" priority="4458" operator="lessThan">
      <formula>-105575</formula>
    </cfRule>
  </conditionalFormatting>
  <conditionalFormatting sqref="BB191:BB192">
    <cfRule type="cellIs" dxfId="4455" priority="4455" operator="lessThan">
      <formula>0</formula>
    </cfRule>
    <cfRule type="cellIs" dxfId="4454" priority="4456" operator="lessThan">
      <formula>-105575</formula>
    </cfRule>
  </conditionalFormatting>
  <conditionalFormatting sqref="BB194:BB195">
    <cfRule type="cellIs" dxfId="4453" priority="4453" operator="lessThan">
      <formula>0</formula>
    </cfRule>
    <cfRule type="cellIs" dxfId="4452" priority="4454" operator="lessThan">
      <formula>-105575</formula>
    </cfRule>
  </conditionalFormatting>
  <conditionalFormatting sqref="BB194:BB195">
    <cfRule type="cellIs" dxfId="4451" priority="4451" operator="lessThan">
      <formula>0</formula>
    </cfRule>
    <cfRule type="cellIs" dxfId="4450" priority="4452" operator="lessThan">
      <formula>-105575</formula>
    </cfRule>
  </conditionalFormatting>
  <conditionalFormatting sqref="BB194:BB195">
    <cfRule type="cellIs" dxfId="4449" priority="4449" operator="lessThan">
      <formula>0</formula>
    </cfRule>
    <cfRule type="cellIs" dxfId="4448" priority="4450" operator="lessThan">
      <formula>-105575</formula>
    </cfRule>
  </conditionalFormatting>
  <conditionalFormatting sqref="BB199:BB202">
    <cfRule type="cellIs" dxfId="4447" priority="4447" operator="lessThan">
      <formula>0</formula>
    </cfRule>
    <cfRule type="cellIs" dxfId="4446" priority="4448" operator="lessThan">
      <formula>-105575</formula>
    </cfRule>
  </conditionalFormatting>
  <conditionalFormatting sqref="BB199:BB202">
    <cfRule type="cellIs" dxfId="4445" priority="4445" operator="lessThan">
      <formula>0</formula>
    </cfRule>
    <cfRule type="cellIs" dxfId="4444" priority="4446" operator="lessThan">
      <formula>-105575</formula>
    </cfRule>
  </conditionalFormatting>
  <conditionalFormatting sqref="BB199:BB202">
    <cfRule type="cellIs" dxfId="4443" priority="4443" operator="lessThan">
      <formula>0</formula>
    </cfRule>
    <cfRule type="cellIs" dxfId="4442" priority="4444" operator="lessThan">
      <formula>-105575</formula>
    </cfRule>
  </conditionalFormatting>
  <conditionalFormatting sqref="BB204:BB208">
    <cfRule type="cellIs" dxfId="4441" priority="4441" operator="lessThan">
      <formula>0</formula>
    </cfRule>
    <cfRule type="cellIs" dxfId="4440" priority="4442" operator="lessThan">
      <formula>-105575</formula>
    </cfRule>
  </conditionalFormatting>
  <conditionalFormatting sqref="BB204:BB208">
    <cfRule type="cellIs" dxfId="4439" priority="4439" operator="lessThan">
      <formula>0</formula>
    </cfRule>
    <cfRule type="cellIs" dxfId="4438" priority="4440" operator="lessThan">
      <formula>-105575</formula>
    </cfRule>
  </conditionalFormatting>
  <conditionalFormatting sqref="BB204:BB208">
    <cfRule type="cellIs" dxfId="4437" priority="4437" operator="lessThan">
      <formula>0</formula>
    </cfRule>
    <cfRule type="cellIs" dxfId="4436" priority="4438" operator="lessThan">
      <formula>-105575</formula>
    </cfRule>
  </conditionalFormatting>
  <conditionalFormatting sqref="BB210:BB211">
    <cfRule type="cellIs" dxfId="4435" priority="4435" operator="lessThan">
      <formula>0</formula>
    </cfRule>
    <cfRule type="cellIs" dxfId="4434" priority="4436" operator="lessThan">
      <formula>-105575</formula>
    </cfRule>
  </conditionalFormatting>
  <conditionalFormatting sqref="BB210:BB211">
    <cfRule type="cellIs" dxfId="4433" priority="4433" operator="lessThan">
      <formula>0</formula>
    </cfRule>
    <cfRule type="cellIs" dxfId="4432" priority="4434" operator="lessThan">
      <formula>-105575</formula>
    </cfRule>
  </conditionalFormatting>
  <conditionalFormatting sqref="BB210:BB211">
    <cfRule type="cellIs" dxfId="4431" priority="4431" operator="lessThan">
      <formula>0</formula>
    </cfRule>
    <cfRule type="cellIs" dxfId="4430" priority="4432" operator="lessThan">
      <formula>-105575</formula>
    </cfRule>
  </conditionalFormatting>
  <conditionalFormatting sqref="BB214:BB219">
    <cfRule type="cellIs" dxfId="4429" priority="4429" operator="lessThan">
      <formula>0</formula>
    </cfRule>
    <cfRule type="cellIs" dxfId="4428" priority="4430" operator="lessThan">
      <formula>-105575</formula>
    </cfRule>
  </conditionalFormatting>
  <conditionalFormatting sqref="BB214:BB219">
    <cfRule type="cellIs" dxfId="4427" priority="4427" operator="lessThan">
      <formula>0</formula>
    </cfRule>
    <cfRule type="cellIs" dxfId="4426" priority="4428" operator="lessThan">
      <formula>-105575</formula>
    </cfRule>
  </conditionalFormatting>
  <conditionalFormatting sqref="BB214:BB219">
    <cfRule type="cellIs" dxfId="4425" priority="4425" operator="lessThan">
      <formula>0</formula>
    </cfRule>
    <cfRule type="cellIs" dxfId="4424" priority="4426" operator="lessThan">
      <formula>-105575</formula>
    </cfRule>
  </conditionalFormatting>
  <conditionalFormatting sqref="BB222:BB224">
    <cfRule type="cellIs" dxfId="4423" priority="4423" operator="lessThan">
      <formula>0</formula>
    </cfRule>
    <cfRule type="cellIs" dxfId="4422" priority="4424" operator="lessThan">
      <formula>-105575</formula>
    </cfRule>
  </conditionalFormatting>
  <conditionalFormatting sqref="BB222:BB224">
    <cfRule type="cellIs" dxfId="4421" priority="4421" operator="lessThan">
      <formula>0</formula>
    </cfRule>
    <cfRule type="cellIs" dxfId="4420" priority="4422" operator="lessThan">
      <formula>-105575</formula>
    </cfRule>
  </conditionalFormatting>
  <conditionalFormatting sqref="BB222:BB224">
    <cfRule type="cellIs" dxfId="4419" priority="4419" operator="lessThan">
      <formula>0</formula>
    </cfRule>
    <cfRule type="cellIs" dxfId="4418" priority="4420" operator="lessThan">
      <formula>-105575</formula>
    </cfRule>
  </conditionalFormatting>
  <conditionalFormatting sqref="BB227:BB230">
    <cfRule type="cellIs" dxfId="4417" priority="4417" operator="lessThan">
      <formula>0</formula>
    </cfRule>
    <cfRule type="cellIs" dxfId="4416" priority="4418" operator="lessThan">
      <formula>-105575</formula>
    </cfRule>
  </conditionalFormatting>
  <conditionalFormatting sqref="BB227:BB230">
    <cfRule type="cellIs" dxfId="4415" priority="4415" operator="lessThan">
      <formula>0</formula>
    </cfRule>
    <cfRule type="cellIs" dxfId="4414" priority="4416" operator="lessThan">
      <formula>-105575</formula>
    </cfRule>
  </conditionalFormatting>
  <conditionalFormatting sqref="BB227:BB230">
    <cfRule type="cellIs" dxfId="4413" priority="4413" operator="lessThan">
      <formula>0</formula>
    </cfRule>
    <cfRule type="cellIs" dxfId="4412" priority="4414" operator="lessThan">
      <formula>-105575</formula>
    </cfRule>
  </conditionalFormatting>
  <conditionalFormatting sqref="BB246:BB249">
    <cfRule type="cellIs" dxfId="4411" priority="4411" operator="lessThan">
      <formula>0</formula>
    </cfRule>
    <cfRule type="cellIs" dxfId="4410" priority="4412" operator="lessThan">
      <formula>-105575</formula>
    </cfRule>
  </conditionalFormatting>
  <conditionalFormatting sqref="BB246:BB249">
    <cfRule type="cellIs" dxfId="4409" priority="4409" operator="lessThan">
      <formula>0</formula>
    </cfRule>
    <cfRule type="cellIs" dxfId="4408" priority="4410" operator="lessThan">
      <formula>-105575</formula>
    </cfRule>
  </conditionalFormatting>
  <conditionalFormatting sqref="BB246:BB249">
    <cfRule type="cellIs" dxfId="4407" priority="4407" operator="lessThan">
      <formula>0</formula>
    </cfRule>
    <cfRule type="cellIs" dxfId="4406" priority="4408" operator="lessThan">
      <formula>-105575</formula>
    </cfRule>
  </conditionalFormatting>
  <conditionalFormatting sqref="BB246:BB249">
    <cfRule type="cellIs" dxfId="4405" priority="4405" operator="lessThan">
      <formula>0</formula>
    </cfRule>
    <cfRule type="cellIs" dxfId="4404" priority="4406" operator="lessThan">
      <formula>-105575</formula>
    </cfRule>
  </conditionalFormatting>
  <conditionalFormatting sqref="BB246:BB249">
    <cfRule type="cellIs" dxfId="4403" priority="4403" operator="lessThan">
      <formula>0</formula>
    </cfRule>
    <cfRule type="cellIs" dxfId="4402" priority="4404" operator="lessThan">
      <formula>-105575</formula>
    </cfRule>
  </conditionalFormatting>
  <conditionalFormatting sqref="BB246:BB249">
    <cfRule type="cellIs" dxfId="4401" priority="4401" operator="lessThan">
      <formula>0</formula>
    </cfRule>
    <cfRule type="cellIs" dxfId="4400" priority="4402" operator="lessThan">
      <formula>-105575</formula>
    </cfRule>
  </conditionalFormatting>
  <conditionalFormatting sqref="BB246:BB249">
    <cfRule type="cellIs" dxfId="4399" priority="4399" operator="lessThan">
      <formula>0</formula>
    </cfRule>
    <cfRule type="cellIs" dxfId="4398" priority="4400" operator="lessThan">
      <formula>-105575</formula>
    </cfRule>
  </conditionalFormatting>
  <conditionalFormatting sqref="BB246:BB249">
    <cfRule type="cellIs" dxfId="4397" priority="4397" operator="lessThan">
      <formula>0</formula>
    </cfRule>
    <cfRule type="cellIs" dxfId="4396" priority="4398" operator="lessThan">
      <formula>-105575</formula>
    </cfRule>
  </conditionalFormatting>
  <conditionalFormatting sqref="BB246:BB249">
    <cfRule type="cellIs" dxfId="4395" priority="4395" operator="lessThan">
      <formula>0</formula>
    </cfRule>
    <cfRule type="cellIs" dxfId="4394" priority="4396" operator="lessThan">
      <formula>-105575</formula>
    </cfRule>
  </conditionalFormatting>
  <conditionalFormatting sqref="BB251:BB253">
    <cfRule type="cellIs" dxfId="4393" priority="4393" operator="lessThan">
      <formula>0</formula>
    </cfRule>
    <cfRule type="cellIs" dxfId="4392" priority="4394" operator="lessThan">
      <formula>-105575</formula>
    </cfRule>
  </conditionalFormatting>
  <conditionalFormatting sqref="BB251:BB253">
    <cfRule type="cellIs" dxfId="4391" priority="4391" operator="lessThan">
      <formula>0</formula>
    </cfRule>
    <cfRule type="cellIs" dxfId="4390" priority="4392" operator="lessThan">
      <formula>-105575</formula>
    </cfRule>
  </conditionalFormatting>
  <conditionalFormatting sqref="BB251:BB253">
    <cfRule type="cellIs" dxfId="4389" priority="4389" operator="lessThan">
      <formula>0</formula>
    </cfRule>
    <cfRule type="cellIs" dxfId="4388" priority="4390" operator="lessThan">
      <formula>-105575</formula>
    </cfRule>
  </conditionalFormatting>
  <conditionalFormatting sqref="BB251:BB253">
    <cfRule type="cellIs" dxfId="4387" priority="4387" operator="lessThan">
      <formula>0</formula>
    </cfRule>
    <cfRule type="cellIs" dxfId="4386" priority="4388" operator="lessThan">
      <formula>-105575</formula>
    </cfRule>
  </conditionalFormatting>
  <conditionalFormatting sqref="BB251:BB253">
    <cfRule type="cellIs" dxfId="4385" priority="4385" operator="lessThan">
      <formula>0</formula>
    </cfRule>
    <cfRule type="cellIs" dxfId="4384" priority="4386" operator="lessThan">
      <formula>-105575</formula>
    </cfRule>
  </conditionalFormatting>
  <conditionalFormatting sqref="BB251:BB253">
    <cfRule type="cellIs" dxfId="4383" priority="4383" operator="lessThan">
      <formula>0</formula>
    </cfRule>
    <cfRule type="cellIs" dxfId="4382" priority="4384" operator="lessThan">
      <formula>-105575</formula>
    </cfRule>
  </conditionalFormatting>
  <conditionalFormatting sqref="BB251:BB253">
    <cfRule type="cellIs" dxfId="4381" priority="4381" operator="lessThan">
      <formula>0</formula>
    </cfRule>
    <cfRule type="cellIs" dxfId="4380" priority="4382" operator="lessThan">
      <formula>-105575</formula>
    </cfRule>
  </conditionalFormatting>
  <conditionalFormatting sqref="BB251:BB253">
    <cfRule type="cellIs" dxfId="4379" priority="4379" operator="lessThan">
      <formula>0</formula>
    </cfRule>
    <cfRule type="cellIs" dxfId="4378" priority="4380" operator="lessThan">
      <formula>-105575</formula>
    </cfRule>
  </conditionalFormatting>
  <conditionalFormatting sqref="BB251:BB253">
    <cfRule type="cellIs" dxfId="4377" priority="4377" operator="lessThan">
      <formula>0</formula>
    </cfRule>
    <cfRule type="cellIs" dxfId="4376" priority="4378" operator="lessThan">
      <formula>-105575</formula>
    </cfRule>
  </conditionalFormatting>
  <conditionalFormatting sqref="BB255:BB257">
    <cfRule type="cellIs" dxfId="4375" priority="4375" operator="lessThan">
      <formula>0</formula>
    </cfRule>
    <cfRule type="cellIs" dxfId="4374" priority="4376" operator="lessThan">
      <formula>-105575</formula>
    </cfRule>
  </conditionalFormatting>
  <conditionalFormatting sqref="BB255:BB257">
    <cfRule type="cellIs" dxfId="4373" priority="4373" operator="lessThan">
      <formula>0</formula>
    </cfRule>
    <cfRule type="cellIs" dxfId="4372" priority="4374" operator="lessThan">
      <formula>-105575</formula>
    </cfRule>
  </conditionalFormatting>
  <conditionalFormatting sqref="BB255:BB257">
    <cfRule type="cellIs" dxfId="4371" priority="4371" operator="lessThan">
      <formula>0</formula>
    </cfRule>
    <cfRule type="cellIs" dxfId="4370" priority="4372" operator="lessThan">
      <formula>-105575</formula>
    </cfRule>
  </conditionalFormatting>
  <conditionalFormatting sqref="BB255:BB257">
    <cfRule type="cellIs" dxfId="4369" priority="4369" operator="lessThan">
      <formula>0</formula>
    </cfRule>
    <cfRule type="cellIs" dxfId="4368" priority="4370" operator="lessThan">
      <formula>-105575</formula>
    </cfRule>
  </conditionalFormatting>
  <conditionalFormatting sqref="BB255:BB257">
    <cfRule type="cellIs" dxfId="4367" priority="4367" operator="lessThan">
      <formula>0</formula>
    </cfRule>
    <cfRule type="cellIs" dxfId="4366" priority="4368" operator="lessThan">
      <formula>-105575</formula>
    </cfRule>
  </conditionalFormatting>
  <conditionalFormatting sqref="BB255:BB257">
    <cfRule type="cellIs" dxfId="4365" priority="4365" operator="lessThan">
      <formula>0</formula>
    </cfRule>
    <cfRule type="cellIs" dxfId="4364" priority="4366" operator="lessThan">
      <formula>-105575</formula>
    </cfRule>
  </conditionalFormatting>
  <conditionalFormatting sqref="BB255:BB257">
    <cfRule type="cellIs" dxfId="4363" priority="4363" operator="lessThan">
      <formula>0</formula>
    </cfRule>
    <cfRule type="cellIs" dxfId="4362" priority="4364" operator="lessThan">
      <formula>-105575</formula>
    </cfRule>
  </conditionalFormatting>
  <conditionalFormatting sqref="BB255:BB257">
    <cfRule type="cellIs" dxfId="4361" priority="4361" operator="lessThan">
      <formula>0</formula>
    </cfRule>
    <cfRule type="cellIs" dxfId="4360" priority="4362" operator="lessThan">
      <formula>-105575</formula>
    </cfRule>
  </conditionalFormatting>
  <conditionalFormatting sqref="BB255:BB257">
    <cfRule type="cellIs" dxfId="4359" priority="4359" operator="lessThan">
      <formula>0</formula>
    </cfRule>
    <cfRule type="cellIs" dxfId="4358" priority="4360" operator="lessThan">
      <formula>-105575</formula>
    </cfRule>
  </conditionalFormatting>
  <conditionalFormatting sqref="BB260:BB262">
    <cfRule type="cellIs" dxfId="4357" priority="4357" operator="lessThan">
      <formula>0</formula>
    </cfRule>
    <cfRule type="cellIs" dxfId="4356" priority="4358" operator="lessThan">
      <formula>-105575</formula>
    </cfRule>
  </conditionalFormatting>
  <conditionalFormatting sqref="BB260:BB262">
    <cfRule type="cellIs" dxfId="4355" priority="4355" operator="lessThan">
      <formula>0</formula>
    </cfRule>
    <cfRule type="cellIs" dxfId="4354" priority="4356" operator="lessThan">
      <formula>-105575</formula>
    </cfRule>
  </conditionalFormatting>
  <conditionalFormatting sqref="BB260:BB262">
    <cfRule type="cellIs" dxfId="4353" priority="4353" operator="lessThan">
      <formula>0</formula>
    </cfRule>
    <cfRule type="cellIs" dxfId="4352" priority="4354" operator="lessThan">
      <formula>-105575</formula>
    </cfRule>
  </conditionalFormatting>
  <conditionalFormatting sqref="BB260:BB262">
    <cfRule type="cellIs" dxfId="4351" priority="4351" operator="lessThan">
      <formula>0</formula>
    </cfRule>
    <cfRule type="cellIs" dxfId="4350" priority="4352" operator="lessThan">
      <formula>-105575</formula>
    </cfRule>
  </conditionalFormatting>
  <conditionalFormatting sqref="BB260:BB262">
    <cfRule type="cellIs" dxfId="4349" priority="4349" operator="lessThan">
      <formula>0</formula>
    </cfRule>
    <cfRule type="cellIs" dxfId="4348" priority="4350" operator="lessThan">
      <formula>-105575</formula>
    </cfRule>
  </conditionalFormatting>
  <conditionalFormatting sqref="BB260:BB262">
    <cfRule type="cellIs" dxfId="4347" priority="4347" operator="lessThan">
      <formula>0</formula>
    </cfRule>
    <cfRule type="cellIs" dxfId="4346" priority="4348" operator="lessThan">
      <formula>-105575</formula>
    </cfRule>
  </conditionalFormatting>
  <conditionalFormatting sqref="BB260:BB262">
    <cfRule type="cellIs" dxfId="4345" priority="4345" operator="lessThan">
      <formula>0</formula>
    </cfRule>
    <cfRule type="cellIs" dxfId="4344" priority="4346" operator="lessThan">
      <formula>-105575</formula>
    </cfRule>
  </conditionalFormatting>
  <conditionalFormatting sqref="BB260:BB262">
    <cfRule type="cellIs" dxfId="4343" priority="4343" operator="lessThan">
      <formula>0</formula>
    </cfRule>
    <cfRule type="cellIs" dxfId="4342" priority="4344" operator="lessThan">
      <formula>-105575</formula>
    </cfRule>
  </conditionalFormatting>
  <conditionalFormatting sqref="BB260:BB262">
    <cfRule type="cellIs" dxfId="4341" priority="4341" operator="lessThan">
      <formula>0</formula>
    </cfRule>
    <cfRule type="cellIs" dxfId="4340" priority="4342" operator="lessThan">
      <formula>-105575</formula>
    </cfRule>
  </conditionalFormatting>
  <conditionalFormatting sqref="BB264:BB267">
    <cfRule type="cellIs" dxfId="4339" priority="4339" operator="lessThan">
      <formula>0</formula>
    </cfRule>
    <cfRule type="cellIs" dxfId="4338" priority="4340" operator="lessThan">
      <formula>-105575</formula>
    </cfRule>
  </conditionalFormatting>
  <conditionalFormatting sqref="BB264:BB267">
    <cfRule type="cellIs" dxfId="4337" priority="4337" operator="lessThan">
      <formula>0</formula>
    </cfRule>
    <cfRule type="cellIs" dxfId="4336" priority="4338" operator="lessThan">
      <formula>-105575</formula>
    </cfRule>
  </conditionalFormatting>
  <conditionalFormatting sqref="BB264:BB267">
    <cfRule type="cellIs" dxfId="4335" priority="4335" operator="lessThan">
      <formula>0</formula>
    </cfRule>
    <cfRule type="cellIs" dxfId="4334" priority="4336" operator="lessThan">
      <formula>-105575</formula>
    </cfRule>
  </conditionalFormatting>
  <conditionalFormatting sqref="BB264:BB267">
    <cfRule type="cellIs" dxfId="4333" priority="4333" operator="lessThan">
      <formula>0</formula>
    </cfRule>
    <cfRule type="cellIs" dxfId="4332" priority="4334" operator="lessThan">
      <formula>-105575</formula>
    </cfRule>
  </conditionalFormatting>
  <conditionalFormatting sqref="BB264:BB267">
    <cfRule type="cellIs" dxfId="4331" priority="4331" operator="lessThan">
      <formula>0</formula>
    </cfRule>
    <cfRule type="cellIs" dxfId="4330" priority="4332" operator="lessThan">
      <formula>-105575</formula>
    </cfRule>
  </conditionalFormatting>
  <conditionalFormatting sqref="BB264:BB267">
    <cfRule type="cellIs" dxfId="4329" priority="4329" operator="lessThan">
      <formula>0</formula>
    </cfRule>
    <cfRule type="cellIs" dxfId="4328" priority="4330" operator="lessThan">
      <formula>-105575</formula>
    </cfRule>
  </conditionalFormatting>
  <conditionalFormatting sqref="BB264:BB267">
    <cfRule type="cellIs" dxfId="4327" priority="4327" operator="lessThan">
      <formula>0</formula>
    </cfRule>
    <cfRule type="cellIs" dxfId="4326" priority="4328" operator="lessThan">
      <formula>-105575</formula>
    </cfRule>
  </conditionalFormatting>
  <conditionalFormatting sqref="BB264:BB267">
    <cfRule type="cellIs" dxfId="4325" priority="4325" operator="lessThan">
      <formula>0</formula>
    </cfRule>
    <cfRule type="cellIs" dxfId="4324" priority="4326" operator="lessThan">
      <formula>-105575</formula>
    </cfRule>
  </conditionalFormatting>
  <conditionalFormatting sqref="BB264:BB267">
    <cfRule type="cellIs" dxfId="4323" priority="4323" operator="lessThan">
      <formula>0</formula>
    </cfRule>
    <cfRule type="cellIs" dxfId="4322" priority="4324" operator="lessThan">
      <formula>-105575</formula>
    </cfRule>
  </conditionalFormatting>
  <conditionalFormatting sqref="BB270:BB272">
    <cfRule type="cellIs" dxfId="4321" priority="4321" operator="lessThan">
      <formula>0</formula>
    </cfRule>
    <cfRule type="cellIs" dxfId="4320" priority="4322" operator="lessThan">
      <formula>-105575</formula>
    </cfRule>
  </conditionalFormatting>
  <conditionalFormatting sqref="BB270:BB272">
    <cfRule type="cellIs" dxfId="4319" priority="4319" operator="lessThan">
      <formula>0</formula>
    </cfRule>
    <cfRule type="cellIs" dxfId="4318" priority="4320" operator="lessThan">
      <formula>-105575</formula>
    </cfRule>
  </conditionalFormatting>
  <conditionalFormatting sqref="BB270:BB272">
    <cfRule type="cellIs" dxfId="4317" priority="4317" operator="lessThan">
      <formula>0</formula>
    </cfRule>
    <cfRule type="cellIs" dxfId="4316" priority="4318" operator="lessThan">
      <formula>-105575</formula>
    </cfRule>
  </conditionalFormatting>
  <conditionalFormatting sqref="BB270:BB272">
    <cfRule type="cellIs" dxfId="4315" priority="4315" operator="lessThan">
      <formula>0</formula>
    </cfRule>
    <cfRule type="cellIs" dxfId="4314" priority="4316" operator="lessThan">
      <formula>-105575</formula>
    </cfRule>
  </conditionalFormatting>
  <conditionalFormatting sqref="BB270:BB272">
    <cfRule type="cellIs" dxfId="4313" priority="4313" operator="lessThan">
      <formula>0</formula>
    </cfRule>
    <cfRule type="cellIs" dxfId="4312" priority="4314" operator="lessThan">
      <formula>-105575</formula>
    </cfRule>
  </conditionalFormatting>
  <conditionalFormatting sqref="BB270:BB272">
    <cfRule type="cellIs" dxfId="4311" priority="4311" operator="lessThan">
      <formula>0</formula>
    </cfRule>
    <cfRule type="cellIs" dxfId="4310" priority="4312" operator="lessThan">
      <formula>-105575</formula>
    </cfRule>
  </conditionalFormatting>
  <conditionalFormatting sqref="BB270:BB272">
    <cfRule type="cellIs" dxfId="4309" priority="4309" operator="lessThan">
      <formula>0</formula>
    </cfRule>
    <cfRule type="cellIs" dxfId="4308" priority="4310" operator="lessThan">
      <formula>-105575</formula>
    </cfRule>
  </conditionalFormatting>
  <conditionalFormatting sqref="BB270:BB272">
    <cfRule type="cellIs" dxfId="4307" priority="4307" operator="lessThan">
      <formula>0</formula>
    </cfRule>
    <cfRule type="cellIs" dxfId="4306" priority="4308" operator="lessThan">
      <formula>-105575</formula>
    </cfRule>
  </conditionalFormatting>
  <conditionalFormatting sqref="BB270:BB272">
    <cfRule type="cellIs" dxfId="4305" priority="4305" operator="lessThan">
      <formula>0</formula>
    </cfRule>
    <cfRule type="cellIs" dxfId="4304" priority="4306" operator="lessThan">
      <formula>-105575</formula>
    </cfRule>
  </conditionalFormatting>
  <conditionalFormatting sqref="BB274:BB275">
    <cfRule type="cellIs" dxfId="4303" priority="4303" operator="lessThan">
      <formula>0</formula>
    </cfRule>
    <cfRule type="cellIs" dxfId="4302" priority="4304" operator="lessThan">
      <formula>-105575</formula>
    </cfRule>
  </conditionalFormatting>
  <conditionalFormatting sqref="BB274:BB275">
    <cfRule type="cellIs" dxfId="4301" priority="4301" operator="lessThan">
      <formula>0</formula>
    </cfRule>
    <cfRule type="cellIs" dxfId="4300" priority="4302" operator="lessThan">
      <formula>-105575</formula>
    </cfRule>
  </conditionalFormatting>
  <conditionalFormatting sqref="BB274:BB275">
    <cfRule type="cellIs" dxfId="4299" priority="4299" operator="lessThan">
      <formula>0</formula>
    </cfRule>
    <cfRule type="cellIs" dxfId="4298" priority="4300" operator="lessThan">
      <formula>-105575</formula>
    </cfRule>
  </conditionalFormatting>
  <conditionalFormatting sqref="BB274:BB275">
    <cfRule type="cellIs" dxfId="4297" priority="4297" operator="lessThan">
      <formula>0</formula>
    </cfRule>
    <cfRule type="cellIs" dxfId="4296" priority="4298" operator="lessThan">
      <formula>-105575</formula>
    </cfRule>
  </conditionalFormatting>
  <conditionalFormatting sqref="BB274:BB275">
    <cfRule type="cellIs" dxfId="4295" priority="4295" operator="lessThan">
      <formula>0</formula>
    </cfRule>
    <cfRule type="cellIs" dxfId="4294" priority="4296" operator="lessThan">
      <formula>-105575</formula>
    </cfRule>
  </conditionalFormatting>
  <conditionalFormatting sqref="BB274:BB275">
    <cfRule type="cellIs" dxfId="4293" priority="4293" operator="lessThan">
      <formula>0</formula>
    </cfRule>
    <cfRule type="cellIs" dxfId="4292" priority="4294" operator="lessThan">
      <formula>-105575</formula>
    </cfRule>
  </conditionalFormatting>
  <conditionalFormatting sqref="BB274:BB275">
    <cfRule type="cellIs" dxfId="4291" priority="4291" operator="lessThan">
      <formula>0</formula>
    </cfRule>
    <cfRule type="cellIs" dxfId="4290" priority="4292" operator="lessThan">
      <formula>-105575</formula>
    </cfRule>
  </conditionalFormatting>
  <conditionalFormatting sqref="BB274:BB275">
    <cfRule type="cellIs" dxfId="4289" priority="4289" operator="lessThan">
      <formula>0</formula>
    </cfRule>
    <cfRule type="cellIs" dxfId="4288" priority="4290" operator="lessThan">
      <formula>-105575</formula>
    </cfRule>
  </conditionalFormatting>
  <conditionalFormatting sqref="BB274:BB275">
    <cfRule type="cellIs" dxfId="4287" priority="4287" operator="lessThan">
      <formula>0</formula>
    </cfRule>
    <cfRule type="cellIs" dxfId="4286" priority="4288" operator="lessThan">
      <formula>-105575</formula>
    </cfRule>
  </conditionalFormatting>
  <conditionalFormatting sqref="BB278:BB282">
    <cfRule type="cellIs" dxfId="4285" priority="4285" operator="lessThan">
      <formula>0</formula>
    </cfRule>
    <cfRule type="cellIs" dxfId="4284" priority="4286" operator="lessThan">
      <formula>-105575</formula>
    </cfRule>
  </conditionalFormatting>
  <conditionalFormatting sqref="BB278:BB282">
    <cfRule type="cellIs" dxfId="4283" priority="4283" operator="lessThan">
      <formula>0</formula>
    </cfRule>
    <cfRule type="cellIs" dxfId="4282" priority="4284" operator="lessThan">
      <formula>-105575</formula>
    </cfRule>
  </conditionalFormatting>
  <conditionalFormatting sqref="BB278:BB282">
    <cfRule type="cellIs" dxfId="4281" priority="4281" operator="lessThan">
      <formula>0</formula>
    </cfRule>
    <cfRule type="cellIs" dxfId="4280" priority="4282" operator="lessThan">
      <formula>-105575</formula>
    </cfRule>
  </conditionalFormatting>
  <conditionalFormatting sqref="BB278:BB282">
    <cfRule type="cellIs" dxfId="4279" priority="4279" operator="lessThan">
      <formula>0</formula>
    </cfRule>
    <cfRule type="cellIs" dxfId="4278" priority="4280" operator="lessThan">
      <formula>-105575</formula>
    </cfRule>
  </conditionalFormatting>
  <conditionalFormatting sqref="BB278:BB282">
    <cfRule type="cellIs" dxfId="4277" priority="4277" operator="lessThan">
      <formula>0</formula>
    </cfRule>
    <cfRule type="cellIs" dxfId="4276" priority="4278" operator="lessThan">
      <formula>-105575</formula>
    </cfRule>
  </conditionalFormatting>
  <conditionalFormatting sqref="BB278:BB282">
    <cfRule type="cellIs" dxfId="4275" priority="4275" operator="lessThan">
      <formula>0</formula>
    </cfRule>
    <cfRule type="cellIs" dxfId="4274" priority="4276" operator="lessThan">
      <formula>-105575</formula>
    </cfRule>
  </conditionalFormatting>
  <conditionalFormatting sqref="BB278:BB282">
    <cfRule type="cellIs" dxfId="4273" priority="4273" operator="lessThan">
      <formula>0</formula>
    </cfRule>
    <cfRule type="cellIs" dxfId="4272" priority="4274" operator="lessThan">
      <formula>-105575</formula>
    </cfRule>
  </conditionalFormatting>
  <conditionalFormatting sqref="BB278:BB282">
    <cfRule type="cellIs" dxfId="4271" priority="4271" operator="lessThan">
      <formula>0</formula>
    </cfRule>
    <cfRule type="cellIs" dxfId="4270" priority="4272" operator="lessThan">
      <formula>-105575</formula>
    </cfRule>
  </conditionalFormatting>
  <conditionalFormatting sqref="BB278:BB282">
    <cfRule type="cellIs" dxfId="4269" priority="4269" operator="lessThan">
      <formula>0</formula>
    </cfRule>
    <cfRule type="cellIs" dxfId="4268" priority="4270" operator="lessThan">
      <formula>-105575</formula>
    </cfRule>
  </conditionalFormatting>
  <conditionalFormatting sqref="BB285:BB288">
    <cfRule type="cellIs" dxfId="4267" priority="4267" operator="lessThan">
      <formula>0</formula>
    </cfRule>
    <cfRule type="cellIs" dxfId="4266" priority="4268" operator="lessThan">
      <formula>-105575</formula>
    </cfRule>
  </conditionalFormatting>
  <conditionalFormatting sqref="BB285:BB288">
    <cfRule type="cellIs" dxfId="4265" priority="4265" operator="lessThan">
      <formula>0</formula>
    </cfRule>
    <cfRule type="cellIs" dxfId="4264" priority="4266" operator="lessThan">
      <formula>-105575</formula>
    </cfRule>
  </conditionalFormatting>
  <conditionalFormatting sqref="BB285:BB288">
    <cfRule type="cellIs" dxfId="4263" priority="4263" operator="lessThan">
      <formula>0</formula>
    </cfRule>
    <cfRule type="cellIs" dxfId="4262" priority="4264" operator="lessThan">
      <formula>-105575</formula>
    </cfRule>
  </conditionalFormatting>
  <conditionalFormatting sqref="BB285:BB288">
    <cfRule type="cellIs" dxfId="4261" priority="4261" operator="lessThan">
      <formula>0</formula>
    </cfRule>
    <cfRule type="cellIs" dxfId="4260" priority="4262" operator="lessThan">
      <formula>-105575</formula>
    </cfRule>
  </conditionalFormatting>
  <conditionalFormatting sqref="BB285:BB288">
    <cfRule type="cellIs" dxfId="4259" priority="4259" operator="lessThan">
      <formula>0</formula>
    </cfRule>
    <cfRule type="cellIs" dxfId="4258" priority="4260" operator="lessThan">
      <formula>-105575</formula>
    </cfRule>
  </conditionalFormatting>
  <conditionalFormatting sqref="BB285:BB288">
    <cfRule type="cellIs" dxfId="4257" priority="4257" operator="lessThan">
      <formula>0</formula>
    </cfRule>
    <cfRule type="cellIs" dxfId="4256" priority="4258" operator="lessThan">
      <formula>-105575</formula>
    </cfRule>
  </conditionalFormatting>
  <conditionalFormatting sqref="BB285:BB288">
    <cfRule type="cellIs" dxfId="4255" priority="4255" operator="lessThan">
      <formula>0</formula>
    </cfRule>
    <cfRule type="cellIs" dxfId="4254" priority="4256" operator="lessThan">
      <formula>-105575</formula>
    </cfRule>
  </conditionalFormatting>
  <conditionalFormatting sqref="BB285:BB288">
    <cfRule type="cellIs" dxfId="4253" priority="4253" operator="lessThan">
      <formula>0</formula>
    </cfRule>
    <cfRule type="cellIs" dxfId="4252" priority="4254" operator="lessThan">
      <formula>-105575</formula>
    </cfRule>
  </conditionalFormatting>
  <conditionalFormatting sqref="BB285:BB288">
    <cfRule type="cellIs" dxfId="4251" priority="4251" operator="lessThan">
      <formula>0</formula>
    </cfRule>
    <cfRule type="cellIs" dxfId="4250" priority="4252" operator="lessThan">
      <formula>-105575</formula>
    </cfRule>
  </conditionalFormatting>
  <conditionalFormatting sqref="BB203 BB220:BB221 BB235:BB243 BB231:BB233 BB212:BB213 BB225:BB226">
    <cfRule type="cellIs" dxfId="4249" priority="4249" operator="lessThan">
      <formula>0</formula>
    </cfRule>
    <cfRule type="cellIs" dxfId="4248" priority="4250" operator="lessThan">
      <formula>-105575</formula>
    </cfRule>
  </conditionalFormatting>
  <conditionalFormatting sqref="BB220 BB212:BB213 BB235:BB238 BB240:BB243 BB225:BB226 BB231:BB233">
    <cfRule type="cellIs" dxfId="4247" priority="4247" operator="lessThan">
      <formula>0</formula>
    </cfRule>
    <cfRule type="cellIs" dxfId="4246" priority="4248" operator="lessThan">
      <formula>-105575</formula>
    </cfRule>
  </conditionalFormatting>
  <conditionalFormatting sqref="BB220:BB221 BB243 BB226 BB231:BB236 BB238:BB241 BB203 BB213">
    <cfRule type="cellIs" dxfId="4245" priority="4245" operator="lessThan">
      <formula>0</formula>
    </cfRule>
    <cfRule type="cellIs" dxfId="4244" priority="4246" operator="lessThan">
      <formula>-105575</formula>
    </cfRule>
  </conditionalFormatting>
  <conditionalFormatting sqref="BB235:BB243 BB231:BB233 BB220 BB212:BB213 BB225:BB226">
    <cfRule type="cellIs" dxfId="4243" priority="4243" operator="lessThan">
      <formula>0</formula>
    </cfRule>
    <cfRule type="cellIs" dxfId="4242" priority="4244" operator="lessThan">
      <formula>-105575</formula>
    </cfRule>
  </conditionalFormatting>
  <conditionalFormatting sqref="BB220:BB221 BB237:BB243 BB203 BB231:BB235 BB212:BB213 BB225:BB226">
    <cfRule type="cellIs" dxfId="4241" priority="4241" operator="lessThan">
      <formula>0</formula>
    </cfRule>
    <cfRule type="cellIs" dxfId="4240" priority="4242" operator="lessThan">
      <formula>-105575</formula>
    </cfRule>
  </conditionalFormatting>
  <conditionalFormatting sqref="BB220:BB221 BB237:BB240 BB242:BB243 BB225:BB226 BB231:BB235">
    <cfRule type="cellIs" dxfId="4239" priority="4239" operator="lessThan">
      <formula>0</formula>
    </cfRule>
    <cfRule type="cellIs" dxfId="4238" priority="4240" operator="lessThan">
      <formula>-105575</formula>
    </cfRule>
  </conditionalFormatting>
  <conditionalFormatting sqref="BB212 BB231 BB233:BB238 BB240:BB243 BB225">
    <cfRule type="cellIs" dxfId="4237" priority="4237" operator="lessThan">
      <formula>0</formula>
    </cfRule>
    <cfRule type="cellIs" dxfId="4236" priority="4238" operator="lessThan">
      <formula>-105575</formula>
    </cfRule>
  </conditionalFormatting>
  <conditionalFormatting sqref="BB237:BB243 BB231:BB235 BB220:BB221 BB225:BB226">
    <cfRule type="cellIs" dxfId="4235" priority="4235" operator="lessThan">
      <formula>0</formula>
    </cfRule>
    <cfRule type="cellIs" dxfId="4234" priority="4236" operator="lessThan">
      <formula>-105575</formula>
    </cfRule>
  </conditionalFormatting>
  <conditionalFormatting sqref="BB233:BB237 BB231 BB239:BB243">
    <cfRule type="cellIs" dxfId="4233" priority="4233" operator="lessThan">
      <formula>0</formula>
    </cfRule>
    <cfRule type="cellIs" dxfId="4232" priority="4234" operator="lessThan">
      <formula>-105575</formula>
    </cfRule>
  </conditionalFormatting>
  <conditionalFormatting sqref="BB233:BB237 BB231 BB239:BB243">
    <cfRule type="cellIs" dxfId="4231" priority="4231" operator="lessThan">
      <formula>0</formula>
    </cfRule>
    <cfRule type="cellIs" dxfId="4230" priority="4232" operator="lessThan">
      <formula>-105575</formula>
    </cfRule>
  </conditionalFormatting>
  <conditionalFormatting sqref="BB119:BB128 BB106:BB117 BB101:BB104 BB80:BB98">
    <cfRule type="cellIs" dxfId="4229" priority="4229" operator="lessThan">
      <formula>0</formula>
    </cfRule>
    <cfRule type="cellIs" dxfId="4228" priority="4230" operator="lessThan">
      <formula>-105575</formula>
    </cfRule>
  </conditionalFormatting>
  <conditionalFormatting sqref="BB130 BB132 BB134">
    <cfRule type="cellIs" dxfId="4227" priority="4227" operator="lessThan">
      <formula>0</formula>
    </cfRule>
    <cfRule type="cellIs" dxfId="4226" priority="4228" operator="lessThan">
      <formula>-105575</formula>
    </cfRule>
  </conditionalFormatting>
  <conditionalFormatting sqref="BB130 BB132 BB134">
    <cfRule type="cellIs" dxfId="4225" priority="4225" operator="lessThan">
      <formula>0</formula>
    </cfRule>
    <cfRule type="cellIs" dxfId="4224" priority="4226" operator="lessThan">
      <formula>-105575</formula>
    </cfRule>
  </conditionalFormatting>
  <conditionalFormatting sqref="BB129 BB131 BB133 BB135">
    <cfRule type="cellIs" dxfId="4223" priority="4223" operator="lessThan">
      <formula>0</formula>
    </cfRule>
    <cfRule type="cellIs" dxfId="4222" priority="4224" operator="lessThan">
      <formula>-105575</formula>
    </cfRule>
  </conditionalFormatting>
  <conditionalFormatting sqref="BB140 BB145 BB142:BB143 BB137:BB138">
    <cfRule type="cellIs" dxfId="4221" priority="4221" operator="lessThan">
      <formula>0</formula>
    </cfRule>
    <cfRule type="cellIs" dxfId="4220" priority="4222" operator="lessThan">
      <formula>-105575</formula>
    </cfRule>
  </conditionalFormatting>
  <conditionalFormatting sqref="BB149">
    <cfRule type="cellIs" dxfId="4219" priority="4219" operator="lessThan">
      <formula>0</formula>
    </cfRule>
    <cfRule type="cellIs" dxfId="4218" priority="4220" operator="lessThan">
      <formula>-105575</formula>
    </cfRule>
  </conditionalFormatting>
  <conditionalFormatting sqref="BB129:BB138 BB140:BB149">
    <cfRule type="cellIs" dxfId="4217" priority="4217" operator="lessThan">
      <formula>0</formula>
    </cfRule>
    <cfRule type="cellIs" dxfId="4216" priority="4218" operator="lessThan">
      <formula>-105575</formula>
    </cfRule>
  </conditionalFormatting>
  <conditionalFormatting sqref="BB94:BB98 BB86:BB87 BB89:BB91 BB141:BB149 BB124:BB133 BB107:BB110 BB112:BB117 BB119:BB122 BB135:BB138 BB101:BB104 BB80:BB84">
    <cfRule type="cellIs" dxfId="4215" priority="4215" operator="lessThan">
      <formula>0</formula>
    </cfRule>
    <cfRule type="cellIs" dxfId="4214" priority="4216" operator="lessThan">
      <formula>-105575</formula>
    </cfRule>
  </conditionalFormatting>
  <conditionalFormatting sqref="BB129 BB131 BB133 BB135">
    <cfRule type="cellIs" dxfId="4213" priority="4213" operator="lessThan">
      <formula>0</formula>
    </cfRule>
    <cfRule type="cellIs" dxfId="4212" priority="4214" operator="lessThan">
      <formula>-105575</formula>
    </cfRule>
  </conditionalFormatting>
  <conditionalFormatting sqref="BB146 BB144 BB141">
    <cfRule type="cellIs" dxfId="4211" priority="4211" operator="lessThan">
      <formula>0</formula>
    </cfRule>
    <cfRule type="cellIs" dxfId="4210" priority="4212" operator="lessThan">
      <formula>-105575</formula>
    </cfRule>
  </conditionalFormatting>
  <conditionalFormatting sqref="BB146 BB144 BB141">
    <cfRule type="cellIs" dxfId="4209" priority="4209" operator="lessThan">
      <formula>0</formula>
    </cfRule>
    <cfRule type="cellIs" dxfId="4208" priority="4210" operator="lessThan">
      <formula>-105575</formula>
    </cfRule>
  </conditionalFormatting>
  <conditionalFormatting sqref="BB140 BB145 BB142:BB143 BB137:BB138">
    <cfRule type="cellIs" dxfId="4207" priority="4207" operator="lessThan">
      <formula>0</formula>
    </cfRule>
    <cfRule type="cellIs" dxfId="4206" priority="4208" operator="lessThan">
      <formula>-105575</formula>
    </cfRule>
  </conditionalFormatting>
  <conditionalFormatting sqref="BB149">
    <cfRule type="cellIs" dxfId="4205" priority="4205" operator="lessThan">
      <formula>0</formula>
    </cfRule>
    <cfRule type="cellIs" dxfId="4204" priority="4206" operator="lessThan">
      <formula>-105575</formula>
    </cfRule>
  </conditionalFormatting>
  <conditionalFormatting sqref="BB94:BB98 BB86:BB87 BB89:BB91 BB141:BB149 BB124:BB133 BB107:BB110 BB112:BB117 BB119:BB122 BB135:BB138 BB101:BB104 BB80:BB84">
    <cfRule type="cellIs" dxfId="4203" priority="4203" operator="lessThan">
      <formula>0</formula>
    </cfRule>
    <cfRule type="cellIs" dxfId="4202" priority="4204" operator="lessThan">
      <formula>-105575</formula>
    </cfRule>
  </conditionalFormatting>
  <conditionalFormatting sqref="BB246:BB249 BB262 BB267 BB279:BB282 BB285:BB288 BB274:BB275 BB306:BB309 BB311:BB325 BB327:BB330 BB332:BB341 BB344:BB347 BB349:BB353 BB355:BB358 BB360:BB384 BB386:BB389 BB392:BB395 BB397:BB411 BB413:BB416 BB418:BB432 BB434:BB437 BB439:BB453 BB455:BB458 BB460:BB469 BB7:BB10 BB12:BB14 BB17:BB18 BB21:BB24 BB26:BB28 BB30:BB36 BB38 BB41:BB43 BB46:BB49 BB51:BB55 BB57:BB59 BB62:BB76 BB251:BB253 BB255:BB257 BB293:BB304 BB264:BB265 BB260 BB290:BB291 BB270:BB272">
    <cfRule type="cellIs" dxfId="4201" priority="4201" operator="lessThan">
      <formula>0</formula>
    </cfRule>
    <cfRule type="cellIs" dxfId="4200" priority="4202" operator="lessThan">
      <formula>-105575</formula>
    </cfRule>
  </conditionalFormatting>
  <conditionalFormatting sqref="BB41">
    <cfRule type="cellIs" dxfId="4199" priority="4199" operator="lessThan">
      <formula>0</formula>
    </cfRule>
    <cfRule type="cellIs" dxfId="4198" priority="4200" operator="lessThan">
      <formula>-105575</formula>
    </cfRule>
  </conditionalFormatting>
  <conditionalFormatting sqref="BB152:BB155">
    <cfRule type="cellIs" dxfId="4197" priority="4197" operator="lessThan">
      <formula>0</formula>
    </cfRule>
    <cfRule type="cellIs" dxfId="4196" priority="4198" operator="lessThan">
      <formula>-105575</formula>
    </cfRule>
  </conditionalFormatting>
  <conditionalFormatting sqref="BB152:BB155">
    <cfRule type="cellIs" dxfId="4195" priority="4195" operator="lessThan">
      <formula>0</formula>
    </cfRule>
    <cfRule type="cellIs" dxfId="4194" priority="4196" operator="lessThan">
      <formula>-105575</formula>
    </cfRule>
  </conditionalFormatting>
  <conditionalFormatting sqref="BB152:BB155">
    <cfRule type="cellIs" dxfId="4193" priority="4193" operator="lessThan">
      <formula>0</formula>
    </cfRule>
    <cfRule type="cellIs" dxfId="4192" priority="4194" operator="lessThan">
      <formula>-105575</formula>
    </cfRule>
  </conditionalFormatting>
  <conditionalFormatting sqref="BB157:BB158">
    <cfRule type="cellIs" dxfId="4191" priority="4191" operator="lessThan">
      <formula>0</formula>
    </cfRule>
    <cfRule type="cellIs" dxfId="4190" priority="4192" operator="lessThan">
      <formula>-105575</formula>
    </cfRule>
  </conditionalFormatting>
  <conditionalFormatting sqref="BB157:BB158">
    <cfRule type="cellIs" dxfId="4189" priority="4189" operator="lessThan">
      <formula>0</formula>
    </cfRule>
    <cfRule type="cellIs" dxfId="4188" priority="4190" operator="lessThan">
      <formula>-105575</formula>
    </cfRule>
  </conditionalFormatting>
  <conditionalFormatting sqref="BB157:BB158">
    <cfRule type="cellIs" dxfId="4187" priority="4187" operator="lessThan">
      <formula>0</formula>
    </cfRule>
    <cfRule type="cellIs" dxfId="4186" priority="4188" operator="lessThan">
      <formula>-105575</formula>
    </cfRule>
  </conditionalFormatting>
  <conditionalFormatting sqref="BB160:BB161">
    <cfRule type="cellIs" dxfId="4185" priority="4185" operator="lessThan">
      <formula>0</formula>
    </cfRule>
    <cfRule type="cellIs" dxfId="4184" priority="4186" operator="lessThan">
      <formula>-105575</formula>
    </cfRule>
  </conditionalFormatting>
  <conditionalFormatting sqref="BB160:BB161">
    <cfRule type="cellIs" dxfId="4183" priority="4183" operator="lessThan">
      <formula>0</formula>
    </cfRule>
    <cfRule type="cellIs" dxfId="4182" priority="4184" operator="lessThan">
      <formula>-105575</formula>
    </cfRule>
  </conditionalFormatting>
  <conditionalFormatting sqref="BB160:BB161">
    <cfRule type="cellIs" dxfId="4181" priority="4181" operator="lessThan">
      <formula>0</formula>
    </cfRule>
    <cfRule type="cellIs" dxfId="4180" priority="4182" operator="lessThan">
      <formula>-105575</formula>
    </cfRule>
  </conditionalFormatting>
  <conditionalFormatting sqref="BB164:BB167">
    <cfRule type="cellIs" dxfId="4179" priority="4179" operator="lessThan">
      <formula>0</formula>
    </cfRule>
    <cfRule type="cellIs" dxfId="4178" priority="4180" operator="lessThan">
      <formula>-105575</formula>
    </cfRule>
  </conditionalFormatting>
  <conditionalFormatting sqref="BB164:BB167">
    <cfRule type="cellIs" dxfId="4177" priority="4177" operator="lessThan">
      <formula>0</formula>
    </cfRule>
    <cfRule type="cellIs" dxfId="4176" priority="4178" operator="lessThan">
      <formula>-105575</formula>
    </cfRule>
  </conditionalFormatting>
  <conditionalFormatting sqref="BB164:BB167">
    <cfRule type="cellIs" dxfId="4175" priority="4175" operator="lessThan">
      <formula>0</formula>
    </cfRule>
    <cfRule type="cellIs" dxfId="4174" priority="4176" operator="lessThan">
      <formula>-105575</formula>
    </cfRule>
  </conditionalFormatting>
  <conditionalFormatting sqref="BB169:BB177">
    <cfRule type="cellIs" dxfId="4173" priority="4173" operator="lessThan">
      <formula>0</formula>
    </cfRule>
    <cfRule type="cellIs" dxfId="4172" priority="4174" operator="lessThan">
      <formula>-105575</formula>
    </cfRule>
  </conditionalFormatting>
  <conditionalFormatting sqref="BB169:BB177">
    <cfRule type="cellIs" dxfId="4171" priority="4171" operator="lessThan">
      <formula>0</formula>
    </cfRule>
    <cfRule type="cellIs" dxfId="4170" priority="4172" operator="lessThan">
      <formula>-105575</formula>
    </cfRule>
  </conditionalFormatting>
  <conditionalFormatting sqref="BB169:BB177">
    <cfRule type="cellIs" dxfId="4169" priority="4169" operator="lessThan">
      <formula>0</formula>
    </cfRule>
    <cfRule type="cellIs" dxfId="4168" priority="4170" operator="lessThan">
      <formula>-105575</formula>
    </cfRule>
  </conditionalFormatting>
  <conditionalFormatting sqref="BB179:BB180">
    <cfRule type="cellIs" dxfId="4167" priority="4167" operator="lessThan">
      <formula>0</formula>
    </cfRule>
    <cfRule type="cellIs" dxfId="4166" priority="4168" operator="lessThan">
      <formula>-105575</formula>
    </cfRule>
  </conditionalFormatting>
  <conditionalFormatting sqref="BB179:BB180">
    <cfRule type="cellIs" dxfId="4165" priority="4165" operator="lessThan">
      <formula>0</formula>
    </cfRule>
    <cfRule type="cellIs" dxfId="4164" priority="4166" operator="lessThan">
      <formula>-105575</formula>
    </cfRule>
  </conditionalFormatting>
  <conditionalFormatting sqref="BB179:BB180">
    <cfRule type="cellIs" dxfId="4163" priority="4163" operator="lessThan">
      <formula>0</formula>
    </cfRule>
    <cfRule type="cellIs" dxfId="4162" priority="4164" operator="lessThan">
      <formula>-105575</formula>
    </cfRule>
  </conditionalFormatting>
  <conditionalFormatting sqref="BB183:BB189">
    <cfRule type="cellIs" dxfId="4161" priority="4161" operator="lessThan">
      <formula>0</formula>
    </cfRule>
    <cfRule type="cellIs" dxfId="4160" priority="4162" operator="lessThan">
      <formula>-105575</formula>
    </cfRule>
  </conditionalFormatting>
  <conditionalFormatting sqref="BB183:BB189">
    <cfRule type="cellIs" dxfId="4159" priority="4159" operator="lessThan">
      <formula>0</formula>
    </cfRule>
    <cfRule type="cellIs" dxfId="4158" priority="4160" operator="lessThan">
      <formula>-105575</formula>
    </cfRule>
  </conditionalFormatting>
  <conditionalFormatting sqref="BB183:BB189">
    <cfRule type="cellIs" dxfId="4157" priority="4157" operator="lessThan">
      <formula>0</formula>
    </cfRule>
    <cfRule type="cellIs" dxfId="4156" priority="4158" operator="lessThan">
      <formula>-105575</formula>
    </cfRule>
  </conditionalFormatting>
  <conditionalFormatting sqref="BB191:BB192">
    <cfRule type="cellIs" dxfId="4155" priority="4155" operator="lessThan">
      <formula>0</formula>
    </cfRule>
    <cfRule type="cellIs" dxfId="4154" priority="4156" operator="lessThan">
      <formula>-105575</formula>
    </cfRule>
  </conditionalFormatting>
  <conditionalFormatting sqref="BB191:BB192">
    <cfRule type="cellIs" dxfId="4153" priority="4153" operator="lessThan">
      <formula>0</formula>
    </cfRule>
    <cfRule type="cellIs" dxfId="4152" priority="4154" operator="lessThan">
      <formula>-105575</formula>
    </cfRule>
  </conditionalFormatting>
  <conditionalFormatting sqref="BB191:BB192">
    <cfRule type="cellIs" dxfId="4151" priority="4151" operator="lessThan">
      <formula>0</formula>
    </cfRule>
    <cfRule type="cellIs" dxfId="4150" priority="4152" operator="lessThan">
      <formula>-105575</formula>
    </cfRule>
  </conditionalFormatting>
  <conditionalFormatting sqref="BB194:BB195">
    <cfRule type="cellIs" dxfId="4149" priority="4149" operator="lessThan">
      <formula>0</formula>
    </cfRule>
    <cfRule type="cellIs" dxfId="4148" priority="4150" operator="lessThan">
      <formula>-105575</formula>
    </cfRule>
  </conditionalFormatting>
  <conditionalFormatting sqref="BB194:BB195">
    <cfRule type="cellIs" dxfId="4147" priority="4147" operator="lessThan">
      <formula>0</formula>
    </cfRule>
    <cfRule type="cellIs" dxfId="4146" priority="4148" operator="lessThan">
      <formula>-105575</formula>
    </cfRule>
  </conditionalFormatting>
  <conditionalFormatting sqref="BB194:BB195">
    <cfRule type="cellIs" dxfId="4145" priority="4145" operator="lessThan">
      <formula>0</formula>
    </cfRule>
    <cfRule type="cellIs" dxfId="4144" priority="4146" operator="lessThan">
      <formula>-105575</formula>
    </cfRule>
  </conditionalFormatting>
  <conditionalFormatting sqref="BB199:BB202">
    <cfRule type="cellIs" dxfId="4143" priority="4143" operator="lessThan">
      <formula>0</formula>
    </cfRule>
    <cfRule type="cellIs" dxfId="4142" priority="4144" operator="lessThan">
      <formula>-105575</formula>
    </cfRule>
  </conditionalFormatting>
  <conditionalFormatting sqref="BB199:BB202">
    <cfRule type="cellIs" dxfId="4141" priority="4141" operator="lessThan">
      <formula>0</formula>
    </cfRule>
    <cfRule type="cellIs" dxfId="4140" priority="4142" operator="lessThan">
      <formula>-105575</formula>
    </cfRule>
  </conditionalFormatting>
  <conditionalFormatting sqref="BB199:BB202">
    <cfRule type="cellIs" dxfId="4139" priority="4139" operator="lessThan">
      <formula>0</formula>
    </cfRule>
    <cfRule type="cellIs" dxfId="4138" priority="4140" operator="lessThan">
      <formula>-105575</formula>
    </cfRule>
  </conditionalFormatting>
  <conditionalFormatting sqref="BB204:BB208">
    <cfRule type="cellIs" dxfId="4137" priority="4137" operator="lessThan">
      <formula>0</formula>
    </cfRule>
    <cfRule type="cellIs" dxfId="4136" priority="4138" operator="lessThan">
      <formula>-105575</formula>
    </cfRule>
  </conditionalFormatting>
  <conditionalFormatting sqref="BB204:BB208">
    <cfRule type="cellIs" dxfId="4135" priority="4135" operator="lessThan">
      <formula>0</formula>
    </cfRule>
    <cfRule type="cellIs" dxfId="4134" priority="4136" operator="lessThan">
      <formula>-105575</formula>
    </cfRule>
  </conditionalFormatting>
  <conditionalFormatting sqref="BB204:BB208">
    <cfRule type="cellIs" dxfId="4133" priority="4133" operator="lessThan">
      <formula>0</formula>
    </cfRule>
    <cfRule type="cellIs" dxfId="4132" priority="4134" operator="lessThan">
      <formula>-105575</formula>
    </cfRule>
  </conditionalFormatting>
  <conditionalFormatting sqref="BB210:BB211">
    <cfRule type="cellIs" dxfId="4131" priority="4131" operator="lessThan">
      <formula>0</formula>
    </cfRule>
    <cfRule type="cellIs" dxfId="4130" priority="4132" operator="lessThan">
      <formula>-105575</formula>
    </cfRule>
  </conditionalFormatting>
  <conditionalFormatting sqref="BB210:BB211">
    <cfRule type="cellIs" dxfId="4129" priority="4129" operator="lessThan">
      <formula>0</formula>
    </cfRule>
    <cfRule type="cellIs" dxfId="4128" priority="4130" operator="lessThan">
      <formula>-105575</formula>
    </cfRule>
  </conditionalFormatting>
  <conditionalFormatting sqref="BB210:BB211">
    <cfRule type="cellIs" dxfId="4127" priority="4127" operator="lessThan">
      <formula>0</formula>
    </cfRule>
    <cfRule type="cellIs" dxfId="4126" priority="4128" operator="lessThan">
      <formula>-105575</formula>
    </cfRule>
  </conditionalFormatting>
  <conditionalFormatting sqref="BB214:BB219">
    <cfRule type="cellIs" dxfId="4125" priority="4125" operator="lessThan">
      <formula>0</formula>
    </cfRule>
    <cfRule type="cellIs" dxfId="4124" priority="4126" operator="lessThan">
      <formula>-105575</formula>
    </cfRule>
  </conditionalFormatting>
  <conditionalFormatting sqref="BB214:BB219">
    <cfRule type="cellIs" dxfId="4123" priority="4123" operator="lessThan">
      <formula>0</formula>
    </cfRule>
    <cfRule type="cellIs" dxfId="4122" priority="4124" operator="lessThan">
      <formula>-105575</formula>
    </cfRule>
  </conditionalFormatting>
  <conditionalFormatting sqref="BB214:BB219">
    <cfRule type="cellIs" dxfId="4121" priority="4121" operator="lessThan">
      <formula>0</formula>
    </cfRule>
    <cfRule type="cellIs" dxfId="4120" priority="4122" operator="lessThan">
      <formula>-105575</formula>
    </cfRule>
  </conditionalFormatting>
  <conditionalFormatting sqref="BB222:BB224">
    <cfRule type="cellIs" dxfId="4119" priority="4119" operator="lessThan">
      <formula>0</formula>
    </cfRule>
    <cfRule type="cellIs" dxfId="4118" priority="4120" operator="lessThan">
      <formula>-105575</formula>
    </cfRule>
  </conditionalFormatting>
  <conditionalFormatting sqref="BB222:BB224">
    <cfRule type="cellIs" dxfId="4117" priority="4117" operator="lessThan">
      <formula>0</formula>
    </cfRule>
    <cfRule type="cellIs" dxfId="4116" priority="4118" operator="lessThan">
      <formula>-105575</formula>
    </cfRule>
  </conditionalFormatting>
  <conditionalFormatting sqref="BB222:BB224">
    <cfRule type="cellIs" dxfId="4115" priority="4115" operator="lessThan">
      <formula>0</formula>
    </cfRule>
    <cfRule type="cellIs" dxfId="4114" priority="4116" operator="lessThan">
      <formula>-105575</formula>
    </cfRule>
  </conditionalFormatting>
  <conditionalFormatting sqref="BB227:BB230">
    <cfRule type="cellIs" dxfId="4113" priority="4113" operator="lessThan">
      <formula>0</formula>
    </cfRule>
    <cfRule type="cellIs" dxfId="4112" priority="4114" operator="lessThan">
      <formula>-105575</formula>
    </cfRule>
  </conditionalFormatting>
  <conditionalFormatting sqref="BB227:BB230">
    <cfRule type="cellIs" dxfId="4111" priority="4111" operator="lessThan">
      <formula>0</formula>
    </cfRule>
    <cfRule type="cellIs" dxfId="4110" priority="4112" operator="lessThan">
      <formula>-105575</formula>
    </cfRule>
  </conditionalFormatting>
  <conditionalFormatting sqref="BB227:BB230">
    <cfRule type="cellIs" dxfId="4109" priority="4109" operator="lessThan">
      <formula>0</formula>
    </cfRule>
    <cfRule type="cellIs" dxfId="4108" priority="4110" operator="lessThan">
      <formula>-105575</formula>
    </cfRule>
  </conditionalFormatting>
  <conditionalFormatting sqref="BB203 BB220:BB221 BB235:BB243 BB231:BB233 BB212:BB213 BB225:BB226">
    <cfRule type="cellIs" dxfId="4107" priority="4107" operator="lessThan">
      <formula>0</formula>
    </cfRule>
    <cfRule type="cellIs" dxfId="4106" priority="4108" operator="lessThan">
      <formula>-105575</formula>
    </cfRule>
  </conditionalFormatting>
  <conditionalFormatting sqref="BB220 BB212:BB213 BB235:BB238 BB240:BB243 BB225:BB226 BB231:BB233">
    <cfRule type="cellIs" dxfId="4105" priority="4105" operator="lessThan">
      <formula>0</formula>
    </cfRule>
    <cfRule type="cellIs" dxfId="4104" priority="4106" operator="lessThan">
      <formula>-105575</formula>
    </cfRule>
  </conditionalFormatting>
  <conditionalFormatting sqref="BB220:BB221 BB243 BB226 BB231:BB236 BB238:BB241 BB203 BB213">
    <cfRule type="cellIs" dxfId="4103" priority="4103" operator="lessThan">
      <formula>0</formula>
    </cfRule>
    <cfRule type="cellIs" dxfId="4102" priority="4104" operator="lessThan">
      <formula>-105575</formula>
    </cfRule>
  </conditionalFormatting>
  <conditionalFormatting sqref="BB235:BB243 BB231:BB233 BB220 BB212:BB213 BB225:BB226">
    <cfRule type="cellIs" dxfId="4101" priority="4101" operator="lessThan">
      <formula>0</formula>
    </cfRule>
    <cfRule type="cellIs" dxfId="4100" priority="4102" operator="lessThan">
      <formula>-105575</formula>
    </cfRule>
  </conditionalFormatting>
  <conditionalFormatting sqref="BB220:BB221 BB237:BB243 BB203 BB231:BB235 BB212:BB213 BB225:BB226">
    <cfRule type="cellIs" dxfId="4099" priority="4099" operator="lessThan">
      <formula>0</formula>
    </cfRule>
    <cfRule type="cellIs" dxfId="4098" priority="4100" operator="lessThan">
      <formula>-105575</formula>
    </cfRule>
  </conditionalFormatting>
  <conditionalFormatting sqref="BB220:BB221 BB237:BB240 BB242:BB243 BB225:BB226 BB231:BB235">
    <cfRule type="cellIs" dxfId="4097" priority="4097" operator="lessThan">
      <formula>0</formula>
    </cfRule>
    <cfRule type="cellIs" dxfId="4096" priority="4098" operator="lessThan">
      <formula>-105575</formula>
    </cfRule>
  </conditionalFormatting>
  <conditionalFormatting sqref="BB212 BB231 BB233:BB238 BB240:BB243 BB225">
    <cfRule type="cellIs" dxfId="4095" priority="4095" operator="lessThan">
      <formula>0</formula>
    </cfRule>
    <cfRule type="cellIs" dxfId="4094" priority="4096" operator="lessThan">
      <formula>-105575</formula>
    </cfRule>
  </conditionalFormatting>
  <conditionalFormatting sqref="BB237:BB243 BB231:BB235 BB220:BB221 BB225:BB226">
    <cfRule type="cellIs" dxfId="4093" priority="4093" operator="lessThan">
      <formula>0</formula>
    </cfRule>
    <cfRule type="cellIs" dxfId="4092" priority="4094" operator="lessThan">
      <formula>-105575</formula>
    </cfRule>
  </conditionalFormatting>
  <conditionalFormatting sqref="BB233:BB237 BB231 BB239:BB243">
    <cfRule type="cellIs" dxfId="4091" priority="4091" operator="lessThan">
      <formula>0</formula>
    </cfRule>
    <cfRule type="cellIs" dxfId="4090" priority="4092" operator="lessThan">
      <formula>-105575</formula>
    </cfRule>
  </conditionalFormatting>
  <conditionalFormatting sqref="BB233:BB237 BB231 BB239:BB243">
    <cfRule type="cellIs" dxfId="4089" priority="4089" operator="lessThan">
      <formula>0</formula>
    </cfRule>
    <cfRule type="cellIs" dxfId="4088" priority="4090" operator="lessThan">
      <formula>-105575</formula>
    </cfRule>
  </conditionalFormatting>
  <conditionalFormatting sqref="BB119:BB128 BB106:BB117 BB101:BB104 BB80:BB98">
    <cfRule type="cellIs" dxfId="4087" priority="4087" operator="lessThan">
      <formula>0</formula>
    </cfRule>
    <cfRule type="cellIs" dxfId="4086" priority="4088" operator="lessThan">
      <formula>-105575</formula>
    </cfRule>
  </conditionalFormatting>
  <conditionalFormatting sqref="BB130 BB132 BB134">
    <cfRule type="cellIs" dxfId="4085" priority="4085" operator="lessThan">
      <formula>0</formula>
    </cfRule>
    <cfRule type="cellIs" dxfId="4084" priority="4086" operator="lessThan">
      <formula>-105575</formula>
    </cfRule>
  </conditionalFormatting>
  <conditionalFormatting sqref="BB130 BB132 BB134">
    <cfRule type="cellIs" dxfId="4083" priority="4083" operator="lessThan">
      <formula>0</formula>
    </cfRule>
    <cfRule type="cellIs" dxfId="4082" priority="4084" operator="lessThan">
      <formula>-105575</formula>
    </cfRule>
  </conditionalFormatting>
  <conditionalFormatting sqref="BB129 BB131 BB133 BB135">
    <cfRule type="cellIs" dxfId="4081" priority="4081" operator="lessThan">
      <formula>0</formula>
    </cfRule>
    <cfRule type="cellIs" dxfId="4080" priority="4082" operator="lessThan">
      <formula>-105575</formula>
    </cfRule>
  </conditionalFormatting>
  <conditionalFormatting sqref="BB140 BB145 BB142:BB143 BB137:BB138">
    <cfRule type="cellIs" dxfId="4079" priority="4079" operator="lessThan">
      <formula>0</formula>
    </cfRule>
    <cfRule type="cellIs" dxfId="4078" priority="4080" operator="lessThan">
      <formula>-105575</formula>
    </cfRule>
  </conditionalFormatting>
  <conditionalFormatting sqref="BB149">
    <cfRule type="cellIs" dxfId="4077" priority="4077" operator="lessThan">
      <formula>0</formula>
    </cfRule>
    <cfRule type="cellIs" dxfId="4076" priority="4078" operator="lessThan">
      <formula>-105575</formula>
    </cfRule>
  </conditionalFormatting>
  <conditionalFormatting sqref="BB129:BB138 BB140:BB149">
    <cfRule type="cellIs" dxfId="4075" priority="4075" operator="lessThan">
      <formula>0</formula>
    </cfRule>
    <cfRule type="cellIs" dxfId="4074" priority="4076" operator="lessThan">
      <formula>-105575</formula>
    </cfRule>
  </conditionalFormatting>
  <conditionalFormatting sqref="BB94:BB98 BB86:BB87 BB89:BB91 BB141:BB149 BB124:BB133 BB107:BB110 BB112:BB117 BB119:BB122 BB135:BB138 BB101:BB104 BB80:BB84">
    <cfRule type="cellIs" dxfId="4073" priority="4073" operator="lessThan">
      <formula>0</formula>
    </cfRule>
    <cfRule type="cellIs" dxfId="4072" priority="4074" operator="lessThan">
      <formula>-105575</formula>
    </cfRule>
  </conditionalFormatting>
  <conditionalFormatting sqref="BB129 BB131 BB133 BB135">
    <cfRule type="cellIs" dxfId="4071" priority="4071" operator="lessThan">
      <formula>0</formula>
    </cfRule>
    <cfRule type="cellIs" dxfId="4070" priority="4072" operator="lessThan">
      <formula>-105575</formula>
    </cfRule>
  </conditionalFormatting>
  <conditionalFormatting sqref="BB146 BB144 BB141">
    <cfRule type="cellIs" dxfId="4069" priority="4069" operator="lessThan">
      <formula>0</formula>
    </cfRule>
    <cfRule type="cellIs" dxfId="4068" priority="4070" operator="lessThan">
      <formula>-105575</formula>
    </cfRule>
  </conditionalFormatting>
  <conditionalFormatting sqref="BB146 BB144 BB141">
    <cfRule type="cellIs" dxfId="4067" priority="4067" operator="lessThan">
      <formula>0</formula>
    </cfRule>
    <cfRule type="cellIs" dxfId="4066" priority="4068" operator="lessThan">
      <formula>-105575</formula>
    </cfRule>
  </conditionalFormatting>
  <conditionalFormatting sqref="BB140 BB145 BB142:BB143 BB137:BB138">
    <cfRule type="cellIs" dxfId="4065" priority="4065" operator="lessThan">
      <formula>0</formula>
    </cfRule>
    <cfRule type="cellIs" dxfId="4064" priority="4066" operator="lessThan">
      <formula>-105575</formula>
    </cfRule>
  </conditionalFormatting>
  <conditionalFormatting sqref="BB149">
    <cfRule type="cellIs" dxfId="4063" priority="4063" operator="lessThan">
      <formula>0</formula>
    </cfRule>
    <cfRule type="cellIs" dxfId="4062" priority="4064" operator="lessThan">
      <formula>-105575</formula>
    </cfRule>
  </conditionalFormatting>
  <conditionalFormatting sqref="BB94:BB98 BB86:BB87 BB89:BB91 BB141:BB149 BB124:BB133 BB107:BB110 BB112:BB117 BB119:BB122 BB135:BB138 BB101:BB104 BB80:BB84">
    <cfRule type="cellIs" dxfId="4061" priority="4061" operator="lessThan">
      <formula>0</formula>
    </cfRule>
    <cfRule type="cellIs" dxfId="4060" priority="4062" operator="lessThan">
      <formula>-105575</formula>
    </cfRule>
  </conditionalFormatting>
  <conditionalFormatting sqref="BB62:BB76 BB306:BB309 BB311:BB325 BB327:BB330 BB332:BB341 BB344:BB347 BB349:BB353 BB355:BB358 BB360:BB384 BB386:BB389 BB392:BB395 BB397:BB411 BB413:BB416 BB418:BB432 BB434:BB437 BB439:BB453 BB455:BB458 BB460:BB469 BB7:BB10 BB12:BB14 BB17:BB18 BB21:BB24 BB26:BB28 BB30:BB36 BB38 BB41:BB43 BB46:BB49 BB51:BB55 BB57:BB59 BB290:BB291 BB293:BB304">
    <cfRule type="cellIs" dxfId="4059" priority="4059" operator="lessThan">
      <formula>0</formula>
    </cfRule>
    <cfRule type="cellIs" dxfId="4058" priority="4060" operator="lessThan">
      <formula>-105575</formula>
    </cfRule>
  </conditionalFormatting>
  <conditionalFormatting sqref="BB41">
    <cfRule type="cellIs" dxfId="4057" priority="4057" operator="lessThan">
      <formula>0</formula>
    </cfRule>
    <cfRule type="cellIs" dxfId="4056" priority="4058" operator="lessThan">
      <formula>-105575</formula>
    </cfRule>
  </conditionalFormatting>
  <conditionalFormatting sqref="BB152:BB155">
    <cfRule type="cellIs" dxfId="4055" priority="4055" operator="lessThan">
      <formula>0</formula>
    </cfRule>
    <cfRule type="cellIs" dxfId="4054" priority="4056" operator="lessThan">
      <formula>-105575</formula>
    </cfRule>
  </conditionalFormatting>
  <conditionalFormatting sqref="BB152:BB155">
    <cfRule type="cellIs" dxfId="4053" priority="4053" operator="lessThan">
      <formula>0</formula>
    </cfRule>
    <cfRule type="cellIs" dxfId="4052" priority="4054" operator="lessThan">
      <formula>-105575</formula>
    </cfRule>
  </conditionalFormatting>
  <conditionalFormatting sqref="BB152:BB155">
    <cfRule type="cellIs" dxfId="4051" priority="4051" operator="lessThan">
      <formula>0</formula>
    </cfRule>
    <cfRule type="cellIs" dxfId="4050" priority="4052" operator="lessThan">
      <formula>-105575</formula>
    </cfRule>
  </conditionalFormatting>
  <conditionalFormatting sqref="BB157:BB158">
    <cfRule type="cellIs" dxfId="4049" priority="4049" operator="lessThan">
      <formula>0</formula>
    </cfRule>
    <cfRule type="cellIs" dxfId="4048" priority="4050" operator="lessThan">
      <formula>-105575</formula>
    </cfRule>
  </conditionalFormatting>
  <conditionalFormatting sqref="BB157:BB158">
    <cfRule type="cellIs" dxfId="4047" priority="4047" operator="lessThan">
      <formula>0</formula>
    </cfRule>
    <cfRule type="cellIs" dxfId="4046" priority="4048" operator="lessThan">
      <formula>-105575</formula>
    </cfRule>
  </conditionalFormatting>
  <conditionalFormatting sqref="BB157:BB158">
    <cfRule type="cellIs" dxfId="4045" priority="4045" operator="lessThan">
      <formula>0</formula>
    </cfRule>
    <cfRule type="cellIs" dxfId="4044" priority="4046" operator="lessThan">
      <formula>-105575</formula>
    </cfRule>
  </conditionalFormatting>
  <conditionalFormatting sqref="BB160:BB161">
    <cfRule type="cellIs" dxfId="4043" priority="4043" operator="lessThan">
      <formula>0</formula>
    </cfRule>
    <cfRule type="cellIs" dxfId="4042" priority="4044" operator="lessThan">
      <formula>-105575</formula>
    </cfRule>
  </conditionalFormatting>
  <conditionalFormatting sqref="BB160:BB161">
    <cfRule type="cellIs" dxfId="4041" priority="4041" operator="lessThan">
      <formula>0</formula>
    </cfRule>
    <cfRule type="cellIs" dxfId="4040" priority="4042" operator="lessThan">
      <formula>-105575</formula>
    </cfRule>
  </conditionalFormatting>
  <conditionalFormatting sqref="BB160:BB161">
    <cfRule type="cellIs" dxfId="4039" priority="4039" operator="lessThan">
      <formula>0</formula>
    </cfRule>
    <cfRule type="cellIs" dxfId="4038" priority="4040" operator="lessThan">
      <formula>-105575</formula>
    </cfRule>
  </conditionalFormatting>
  <conditionalFormatting sqref="BB164:BB167">
    <cfRule type="cellIs" dxfId="4037" priority="4037" operator="lessThan">
      <formula>0</formula>
    </cfRule>
    <cfRule type="cellIs" dxfId="4036" priority="4038" operator="lessThan">
      <formula>-105575</formula>
    </cfRule>
  </conditionalFormatting>
  <conditionalFormatting sqref="BB164:BB167">
    <cfRule type="cellIs" dxfId="4035" priority="4035" operator="lessThan">
      <formula>0</formula>
    </cfRule>
    <cfRule type="cellIs" dxfId="4034" priority="4036" operator="lessThan">
      <formula>-105575</formula>
    </cfRule>
  </conditionalFormatting>
  <conditionalFormatting sqref="BB164:BB167">
    <cfRule type="cellIs" dxfId="4033" priority="4033" operator="lessThan">
      <formula>0</formula>
    </cfRule>
    <cfRule type="cellIs" dxfId="4032" priority="4034" operator="lessThan">
      <formula>-105575</formula>
    </cfRule>
  </conditionalFormatting>
  <conditionalFormatting sqref="BB169:BB177">
    <cfRule type="cellIs" dxfId="4031" priority="4031" operator="lessThan">
      <formula>0</formula>
    </cfRule>
    <cfRule type="cellIs" dxfId="4030" priority="4032" operator="lessThan">
      <formula>-105575</formula>
    </cfRule>
  </conditionalFormatting>
  <conditionalFormatting sqref="BB169:BB177">
    <cfRule type="cellIs" dxfId="4029" priority="4029" operator="lessThan">
      <formula>0</formula>
    </cfRule>
    <cfRule type="cellIs" dxfId="4028" priority="4030" operator="lessThan">
      <formula>-105575</formula>
    </cfRule>
  </conditionalFormatting>
  <conditionalFormatting sqref="BB169:BB177">
    <cfRule type="cellIs" dxfId="4027" priority="4027" operator="lessThan">
      <formula>0</formula>
    </cfRule>
    <cfRule type="cellIs" dxfId="4026" priority="4028" operator="lessThan">
      <formula>-105575</formula>
    </cfRule>
  </conditionalFormatting>
  <conditionalFormatting sqref="BB179:BB180">
    <cfRule type="cellIs" dxfId="4025" priority="4025" operator="lessThan">
      <formula>0</formula>
    </cfRule>
    <cfRule type="cellIs" dxfId="4024" priority="4026" operator="lessThan">
      <formula>-105575</formula>
    </cfRule>
  </conditionalFormatting>
  <conditionalFormatting sqref="BB179:BB180">
    <cfRule type="cellIs" dxfId="4023" priority="4023" operator="lessThan">
      <formula>0</formula>
    </cfRule>
    <cfRule type="cellIs" dxfId="4022" priority="4024" operator="lessThan">
      <formula>-105575</formula>
    </cfRule>
  </conditionalFormatting>
  <conditionalFormatting sqref="BB179:BB180">
    <cfRule type="cellIs" dxfId="4021" priority="4021" operator="lessThan">
      <formula>0</formula>
    </cfRule>
    <cfRule type="cellIs" dxfId="4020" priority="4022" operator="lessThan">
      <formula>-105575</formula>
    </cfRule>
  </conditionalFormatting>
  <conditionalFormatting sqref="BB183:BB189">
    <cfRule type="cellIs" dxfId="4019" priority="4019" operator="lessThan">
      <formula>0</formula>
    </cfRule>
    <cfRule type="cellIs" dxfId="4018" priority="4020" operator="lessThan">
      <formula>-105575</formula>
    </cfRule>
  </conditionalFormatting>
  <conditionalFormatting sqref="BB183:BB189">
    <cfRule type="cellIs" dxfId="4017" priority="4017" operator="lessThan">
      <formula>0</formula>
    </cfRule>
    <cfRule type="cellIs" dxfId="4016" priority="4018" operator="lessThan">
      <formula>-105575</formula>
    </cfRule>
  </conditionalFormatting>
  <conditionalFormatting sqref="BB183:BB189">
    <cfRule type="cellIs" dxfId="4015" priority="4015" operator="lessThan">
      <formula>0</formula>
    </cfRule>
    <cfRule type="cellIs" dxfId="4014" priority="4016" operator="lessThan">
      <formula>-105575</formula>
    </cfRule>
  </conditionalFormatting>
  <conditionalFormatting sqref="BB191:BB192">
    <cfRule type="cellIs" dxfId="4013" priority="4013" operator="lessThan">
      <formula>0</formula>
    </cfRule>
    <cfRule type="cellIs" dxfId="4012" priority="4014" operator="lessThan">
      <formula>-105575</formula>
    </cfRule>
  </conditionalFormatting>
  <conditionalFormatting sqref="BB191:BB192">
    <cfRule type="cellIs" dxfId="4011" priority="4011" operator="lessThan">
      <formula>0</formula>
    </cfRule>
    <cfRule type="cellIs" dxfId="4010" priority="4012" operator="lessThan">
      <formula>-105575</formula>
    </cfRule>
  </conditionalFormatting>
  <conditionalFormatting sqref="BB191:BB192">
    <cfRule type="cellIs" dxfId="4009" priority="4009" operator="lessThan">
      <formula>0</formula>
    </cfRule>
    <cfRule type="cellIs" dxfId="4008" priority="4010" operator="lessThan">
      <formula>-105575</formula>
    </cfRule>
  </conditionalFormatting>
  <conditionalFormatting sqref="BB194:BB195">
    <cfRule type="cellIs" dxfId="4007" priority="4007" operator="lessThan">
      <formula>0</formula>
    </cfRule>
    <cfRule type="cellIs" dxfId="4006" priority="4008" operator="lessThan">
      <formula>-105575</formula>
    </cfRule>
  </conditionalFormatting>
  <conditionalFormatting sqref="BB194:BB195">
    <cfRule type="cellIs" dxfId="4005" priority="4005" operator="lessThan">
      <formula>0</formula>
    </cfRule>
    <cfRule type="cellIs" dxfId="4004" priority="4006" operator="lessThan">
      <formula>-105575</formula>
    </cfRule>
  </conditionalFormatting>
  <conditionalFormatting sqref="BB194:BB195">
    <cfRule type="cellIs" dxfId="4003" priority="4003" operator="lessThan">
      <formula>0</formula>
    </cfRule>
    <cfRule type="cellIs" dxfId="4002" priority="4004" operator="lessThan">
      <formula>-105575</formula>
    </cfRule>
  </conditionalFormatting>
  <conditionalFormatting sqref="BB199:BB202">
    <cfRule type="cellIs" dxfId="4001" priority="4001" operator="lessThan">
      <formula>0</formula>
    </cfRule>
    <cfRule type="cellIs" dxfId="4000" priority="4002" operator="lessThan">
      <formula>-105575</formula>
    </cfRule>
  </conditionalFormatting>
  <conditionalFormatting sqref="BB199:BB202">
    <cfRule type="cellIs" dxfId="3999" priority="3999" operator="lessThan">
      <formula>0</formula>
    </cfRule>
    <cfRule type="cellIs" dxfId="3998" priority="4000" operator="lessThan">
      <formula>-105575</formula>
    </cfRule>
  </conditionalFormatting>
  <conditionalFormatting sqref="BB199:BB202">
    <cfRule type="cellIs" dxfId="3997" priority="3997" operator="lessThan">
      <formula>0</formula>
    </cfRule>
    <cfRule type="cellIs" dxfId="3996" priority="3998" operator="lessThan">
      <formula>-105575</formula>
    </cfRule>
  </conditionalFormatting>
  <conditionalFormatting sqref="BB204:BB208">
    <cfRule type="cellIs" dxfId="3995" priority="3995" operator="lessThan">
      <formula>0</formula>
    </cfRule>
    <cfRule type="cellIs" dxfId="3994" priority="3996" operator="lessThan">
      <formula>-105575</formula>
    </cfRule>
  </conditionalFormatting>
  <conditionalFormatting sqref="BB204:BB208">
    <cfRule type="cellIs" dxfId="3993" priority="3993" operator="lessThan">
      <formula>0</formula>
    </cfRule>
    <cfRule type="cellIs" dxfId="3992" priority="3994" operator="lessThan">
      <formula>-105575</formula>
    </cfRule>
  </conditionalFormatting>
  <conditionalFormatting sqref="BB204:BB208">
    <cfRule type="cellIs" dxfId="3991" priority="3991" operator="lessThan">
      <formula>0</formula>
    </cfRule>
    <cfRule type="cellIs" dxfId="3990" priority="3992" operator="lessThan">
      <formula>-105575</formula>
    </cfRule>
  </conditionalFormatting>
  <conditionalFormatting sqref="BB210:BB211">
    <cfRule type="cellIs" dxfId="3989" priority="3989" operator="lessThan">
      <formula>0</formula>
    </cfRule>
    <cfRule type="cellIs" dxfId="3988" priority="3990" operator="lessThan">
      <formula>-105575</formula>
    </cfRule>
  </conditionalFormatting>
  <conditionalFormatting sqref="BB210:BB211">
    <cfRule type="cellIs" dxfId="3987" priority="3987" operator="lessThan">
      <formula>0</formula>
    </cfRule>
    <cfRule type="cellIs" dxfId="3986" priority="3988" operator="lessThan">
      <formula>-105575</formula>
    </cfRule>
  </conditionalFormatting>
  <conditionalFormatting sqref="BB210:BB211">
    <cfRule type="cellIs" dxfId="3985" priority="3985" operator="lessThan">
      <formula>0</formula>
    </cfRule>
    <cfRule type="cellIs" dxfId="3984" priority="3986" operator="lessThan">
      <formula>-105575</formula>
    </cfRule>
  </conditionalFormatting>
  <conditionalFormatting sqref="BB214:BB219">
    <cfRule type="cellIs" dxfId="3983" priority="3983" operator="lessThan">
      <formula>0</formula>
    </cfRule>
    <cfRule type="cellIs" dxfId="3982" priority="3984" operator="lessThan">
      <formula>-105575</formula>
    </cfRule>
  </conditionalFormatting>
  <conditionalFormatting sqref="BB214:BB219">
    <cfRule type="cellIs" dxfId="3981" priority="3981" operator="lessThan">
      <formula>0</formula>
    </cfRule>
    <cfRule type="cellIs" dxfId="3980" priority="3982" operator="lessThan">
      <formula>-105575</formula>
    </cfRule>
  </conditionalFormatting>
  <conditionalFormatting sqref="BB214:BB219">
    <cfRule type="cellIs" dxfId="3979" priority="3979" operator="lessThan">
      <formula>0</formula>
    </cfRule>
    <cfRule type="cellIs" dxfId="3978" priority="3980" operator="lessThan">
      <formula>-105575</formula>
    </cfRule>
  </conditionalFormatting>
  <conditionalFormatting sqref="BB222:BB224">
    <cfRule type="cellIs" dxfId="3977" priority="3977" operator="lessThan">
      <formula>0</formula>
    </cfRule>
    <cfRule type="cellIs" dxfId="3976" priority="3978" operator="lessThan">
      <formula>-105575</formula>
    </cfRule>
  </conditionalFormatting>
  <conditionalFormatting sqref="BB222:BB224">
    <cfRule type="cellIs" dxfId="3975" priority="3975" operator="lessThan">
      <formula>0</formula>
    </cfRule>
    <cfRule type="cellIs" dxfId="3974" priority="3976" operator="lessThan">
      <formula>-105575</formula>
    </cfRule>
  </conditionalFormatting>
  <conditionalFormatting sqref="BB222:BB224">
    <cfRule type="cellIs" dxfId="3973" priority="3973" operator="lessThan">
      <formula>0</formula>
    </cfRule>
    <cfRule type="cellIs" dxfId="3972" priority="3974" operator="lessThan">
      <formula>-105575</formula>
    </cfRule>
  </conditionalFormatting>
  <conditionalFormatting sqref="BB227:BB230">
    <cfRule type="cellIs" dxfId="3971" priority="3971" operator="lessThan">
      <formula>0</formula>
    </cfRule>
    <cfRule type="cellIs" dxfId="3970" priority="3972" operator="lessThan">
      <formula>-105575</formula>
    </cfRule>
  </conditionalFormatting>
  <conditionalFormatting sqref="BB227:BB230">
    <cfRule type="cellIs" dxfId="3969" priority="3969" operator="lessThan">
      <formula>0</formula>
    </cfRule>
    <cfRule type="cellIs" dxfId="3968" priority="3970" operator="lessThan">
      <formula>-105575</formula>
    </cfRule>
  </conditionalFormatting>
  <conditionalFormatting sqref="BB227:BB230">
    <cfRule type="cellIs" dxfId="3967" priority="3967" operator="lessThan">
      <formula>0</formula>
    </cfRule>
    <cfRule type="cellIs" dxfId="3966" priority="3968" operator="lessThan">
      <formula>-105575</formula>
    </cfRule>
  </conditionalFormatting>
  <conditionalFormatting sqref="BB246:BB249">
    <cfRule type="cellIs" dxfId="3965" priority="3965" operator="lessThan">
      <formula>0</formula>
    </cfRule>
    <cfRule type="cellIs" dxfId="3964" priority="3966" operator="lessThan">
      <formula>-105575</formula>
    </cfRule>
  </conditionalFormatting>
  <conditionalFormatting sqref="BB246:BB249">
    <cfRule type="cellIs" dxfId="3963" priority="3963" operator="lessThan">
      <formula>0</formula>
    </cfRule>
    <cfRule type="cellIs" dxfId="3962" priority="3964" operator="lessThan">
      <formula>-105575</formula>
    </cfRule>
  </conditionalFormatting>
  <conditionalFormatting sqref="BB246:BB249">
    <cfRule type="cellIs" dxfId="3961" priority="3961" operator="lessThan">
      <formula>0</formula>
    </cfRule>
    <cfRule type="cellIs" dxfId="3960" priority="3962" operator="lessThan">
      <formula>-105575</formula>
    </cfRule>
  </conditionalFormatting>
  <conditionalFormatting sqref="BB246:BB249">
    <cfRule type="cellIs" dxfId="3959" priority="3959" operator="lessThan">
      <formula>0</formula>
    </cfRule>
    <cfRule type="cellIs" dxfId="3958" priority="3960" operator="lessThan">
      <formula>-105575</formula>
    </cfRule>
  </conditionalFormatting>
  <conditionalFormatting sqref="BB246:BB249">
    <cfRule type="cellIs" dxfId="3957" priority="3957" operator="lessThan">
      <formula>0</formula>
    </cfRule>
    <cfRule type="cellIs" dxfId="3956" priority="3958" operator="lessThan">
      <formula>-105575</formula>
    </cfRule>
  </conditionalFormatting>
  <conditionalFormatting sqref="BB246:BB249">
    <cfRule type="cellIs" dxfId="3955" priority="3955" operator="lessThan">
      <formula>0</formula>
    </cfRule>
    <cfRule type="cellIs" dxfId="3954" priority="3956" operator="lessThan">
      <formula>-105575</formula>
    </cfRule>
  </conditionalFormatting>
  <conditionalFormatting sqref="BB246:BB249">
    <cfRule type="cellIs" dxfId="3953" priority="3953" operator="lessThan">
      <formula>0</formula>
    </cfRule>
    <cfRule type="cellIs" dxfId="3952" priority="3954" operator="lessThan">
      <formula>-105575</formula>
    </cfRule>
  </conditionalFormatting>
  <conditionalFormatting sqref="BB246:BB249">
    <cfRule type="cellIs" dxfId="3951" priority="3951" operator="lessThan">
      <formula>0</formula>
    </cfRule>
    <cfRule type="cellIs" dxfId="3950" priority="3952" operator="lessThan">
      <formula>-105575</formula>
    </cfRule>
  </conditionalFormatting>
  <conditionalFormatting sqref="BB246:BB249">
    <cfRule type="cellIs" dxfId="3949" priority="3949" operator="lessThan">
      <formula>0</formula>
    </cfRule>
    <cfRule type="cellIs" dxfId="3948" priority="3950" operator="lessThan">
      <formula>-105575</formula>
    </cfRule>
  </conditionalFormatting>
  <conditionalFormatting sqref="BB251:BB253">
    <cfRule type="cellIs" dxfId="3947" priority="3947" operator="lessThan">
      <formula>0</formula>
    </cfRule>
    <cfRule type="cellIs" dxfId="3946" priority="3948" operator="lessThan">
      <formula>-105575</formula>
    </cfRule>
  </conditionalFormatting>
  <conditionalFormatting sqref="BB251:BB253">
    <cfRule type="cellIs" dxfId="3945" priority="3945" operator="lessThan">
      <formula>0</formula>
    </cfRule>
    <cfRule type="cellIs" dxfId="3944" priority="3946" operator="lessThan">
      <formula>-105575</formula>
    </cfRule>
  </conditionalFormatting>
  <conditionalFormatting sqref="BB251:BB253">
    <cfRule type="cellIs" dxfId="3943" priority="3943" operator="lessThan">
      <formula>0</formula>
    </cfRule>
    <cfRule type="cellIs" dxfId="3942" priority="3944" operator="lessThan">
      <formula>-105575</formula>
    </cfRule>
  </conditionalFormatting>
  <conditionalFormatting sqref="BB251:BB253">
    <cfRule type="cellIs" dxfId="3941" priority="3941" operator="lessThan">
      <formula>0</formula>
    </cfRule>
    <cfRule type="cellIs" dxfId="3940" priority="3942" operator="lessThan">
      <formula>-105575</formula>
    </cfRule>
  </conditionalFormatting>
  <conditionalFormatting sqref="BB251:BB253">
    <cfRule type="cellIs" dxfId="3939" priority="3939" operator="lessThan">
      <formula>0</formula>
    </cfRule>
    <cfRule type="cellIs" dxfId="3938" priority="3940" operator="lessThan">
      <formula>-105575</formula>
    </cfRule>
  </conditionalFormatting>
  <conditionalFormatting sqref="BB251:BB253">
    <cfRule type="cellIs" dxfId="3937" priority="3937" operator="lessThan">
      <formula>0</formula>
    </cfRule>
    <cfRule type="cellIs" dxfId="3936" priority="3938" operator="lessThan">
      <formula>-105575</formula>
    </cfRule>
  </conditionalFormatting>
  <conditionalFormatting sqref="BB251:BB253">
    <cfRule type="cellIs" dxfId="3935" priority="3935" operator="lessThan">
      <formula>0</formula>
    </cfRule>
    <cfRule type="cellIs" dxfId="3934" priority="3936" operator="lessThan">
      <formula>-105575</formula>
    </cfRule>
  </conditionalFormatting>
  <conditionalFormatting sqref="BB251:BB253">
    <cfRule type="cellIs" dxfId="3933" priority="3933" operator="lessThan">
      <formula>0</formula>
    </cfRule>
    <cfRule type="cellIs" dxfId="3932" priority="3934" operator="lessThan">
      <formula>-105575</formula>
    </cfRule>
  </conditionalFormatting>
  <conditionalFormatting sqref="BB251:BB253">
    <cfRule type="cellIs" dxfId="3931" priority="3931" operator="lessThan">
      <formula>0</formula>
    </cfRule>
    <cfRule type="cellIs" dxfId="3930" priority="3932" operator="lessThan">
      <formula>-105575</formula>
    </cfRule>
  </conditionalFormatting>
  <conditionalFormatting sqref="BB255:BB257">
    <cfRule type="cellIs" dxfId="3929" priority="3929" operator="lessThan">
      <formula>0</formula>
    </cfRule>
    <cfRule type="cellIs" dxfId="3928" priority="3930" operator="lessThan">
      <formula>-105575</formula>
    </cfRule>
  </conditionalFormatting>
  <conditionalFormatting sqref="BB255:BB257">
    <cfRule type="cellIs" dxfId="3927" priority="3927" operator="lessThan">
      <formula>0</formula>
    </cfRule>
    <cfRule type="cellIs" dxfId="3926" priority="3928" operator="lessThan">
      <formula>-105575</formula>
    </cfRule>
  </conditionalFormatting>
  <conditionalFormatting sqref="BB255:BB257">
    <cfRule type="cellIs" dxfId="3925" priority="3925" operator="lessThan">
      <formula>0</formula>
    </cfRule>
    <cfRule type="cellIs" dxfId="3924" priority="3926" operator="lessThan">
      <formula>-105575</formula>
    </cfRule>
  </conditionalFormatting>
  <conditionalFormatting sqref="BB255:BB257">
    <cfRule type="cellIs" dxfId="3923" priority="3923" operator="lessThan">
      <formula>0</formula>
    </cfRule>
    <cfRule type="cellIs" dxfId="3922" priority="3924" operator="lessThan">
      <formula>-105575</formula>
    </cfRule>
  </conditionalFormatting>
  <conditionalFormatting sqref="BB255:BB257">
    <cfRule type="cellIs" dxfId="3921" priority="3921" operator="lessThan">
      <formula>0</formula>
    </cfRule>
    <cfRule type="cellIs" dxfId="3920" priority="3922" operator="lessThan">
      <formula>-105575</formula>
    </cfRule>
  </conditionalFormatting>
  <conditionalFormatting sqref="BB255:BB257">
    <cfRule type="cellIs" dxfId="3919" priority="3919" operator="lessThan">
      <formula>0</formula>
    </cfRule>
    <cfRule type="cellIs" dxfId="3918" priority="3920" operator="lessThan">
      <formula>-105575</formula>
    </cfRule>
  </conditionalFormatting>
  <conditionalFormatting sqref="BB255:BB257">
    <cfRule type="cellIs" dxfId="3917" priority="3917" operator="lessThan">
      <formula>0</formula>
    </cfRule>
    <cfRule type="cellIs" dxfId="3916" priority="3918" operator="lessThan">
      <formula>-105575</formula>
    </cfRule>
  </conditionalFormatting>
  <conditionalFormatting sqref="BB255:BB257">
    <cfRule type="cellIs" dxfId="3915" priority="3915" operator="lessThan">
      <formula>0</formula>
    </cfRule>
    <cfRule type="cellIs" dxfId="3914" priority="3916" operator="lessThan">
      <formula>-105575</formula>
    </cfRule>
  </conditionalFormatting>
  <conditionalFormatting sqref="BB255:BB257">
    <cfRule type="cellIs" dxfId="3913" priority="3913" operator="lessThan">
      <formula>0</formula>
    </cfRule>
    <cfRule type="cellIs" dxfId="3912" priority="3914" operator="lessThan">
      <formula>-105575</formula>
    </cfRule>
  </conditionalFormatting>
  <conditionalFormatting sqref="BB260:BB262">
    <cfRule type="cellIs" dxfId="3911" priority="3911" operator="lessThan">
      <formula>0</formula>
    </cfRule>
    <cfRule type="cellIs" dxfId="3910" priority="3912" operator="lessThan">
      <formula>-105575</formula>
    </cfRule>
  </conditionalFormatting>
  <conditionalFormatting sqref="BB260:BB262">
    <cfRule type="cellIs" dxfId="3909" priority="3909" operator="lessThan">
      <formula>0</formula>
    </cfRule>
    <cfRule type="cellIs" dxfId="3908" priority="3910" operator="lessThan">
      <formula>-105575</formula>
    </cfRule>
  </conditionalFormatting>
  <conditionalFormatting sqref="BB260:BB262">
    <cfRule type="cellIs" dxfId="3907" priority="3907" operator="lessThan">
      <formula>0</formula>
    </cfRule>
    <cfRule type="cellIs" dxfId="3906" priority="3908" operator="lessThan">
      <formula>-105575</formula>
    </cfRule>
  </conditionalFormatting>
  <conditionalFormatting sqref="BB260:BB262">
    <cfRule type="cellIs" dxfId="3905" priority="3905" operator="lessThan">
      <formula>0</formula>
    </cfRule>
    <cfRule type="cellIs" dxfId="3904" priority="3906" operator="lessThan">
      <formula>-105575</formula>
    </cfRule>
  </conditionalFormatting>
  <conditionalFormatting sqref="BB260:BB262">
    <cfRule type="cellIs" dxfId="3903" priority="3903" operator="lessThan">
      <formula>0</formula>
    </cfRule>
    <cfRule type="cellIs" dxfId="3902" priority="3904" operator="lessThan">
      <formula>-105575</formula>
    </cfRule>
  </conditionalFormatting>
  <conditionalFormatting sqref="BB260:BB262">
    <cfRule type="cellIs" dxfId="3901" priority="3901" operator="lessThan">
      <formula>0</formula>
    </cfRule>
    <cfRule type="cellIs" dxfId="3900" priority="3902" operator="lessThan">
      <formula>-105575</formula>
    </cfRule>
  </conditionalFormatting>
  <conditionalFormatting sqref="BB260:BB262">
    <cfRule type="cellIs" dxfId="3899" priority="3899" operator="lessThan">
      <formula>0</formula>
    </cfRule>
    <cfRule type="cellIs" dxfId="3898" priority="3900" operator="lessThan">
      <formula>-105575</formula>
    </cfRule>
  </conditionalFormatting>
  <conditionalFormatting sqref="BB260:BB262">
    <cfRule type="cellIs" dxfId="3897" priority="3897" operator="lessThan">
      <formula>0</formula>
    </cfRule>
    <cfRule type="cellIs" dxfId="3896" priority="3898" operator="lessThan">
      <formula>-105575</formula>
    </cfRule>
  </conditionalFormatting>
  <conditionalFormatting sqref="BB260:BB262">
    <cfRule type="cellIs" dxfId="3895" priority="3895" operator="lessThan">
      <formula>0</formula>
    </cfRule>
    <cfRule type="cellIs" dxfId="3894" priority="3896" operator="lessThan">
      <formula>-105575</formula>
    </cfRule>
  </conditionalFormatting>
  <conditionalFormatting sqref="BB264:BB267">
    <cfRule type="cellIs" dxfId="3893" priority="3893" operator="lessThan">
      <formula>0</formula>
    </cfRule>
    <cfRule type="cellIs" dxfId="3892" priority="3894" operator="lessThan">
      <formula>-105575</formula>
    </cfRule>
  </conditionalFormatting>
  <conditionalFormatting sqref="BB264:BB267">
    <cfRule type="cellIs" dxfId="3891" priority="3891" operator="lessThan">
      <formula>0</formula>
    </cfRule>
    <cfRule type="cellIs" dxfId="3890" priority="3892" operator="lessThan">
      <formula>-105575</formula>
    </cfRule>
  </conditionalFormatting>
  <conditionalFormatting sqref="BB264:BB267">
    <cfRule type="cellIs" dxfId="3889" priority="3889" operator="lessThan">
      <formula>0</formula>
    </cfRule>
    <cfRule type="cellIs" dxfId="3888" priority="3890" operator="lessThan">
      <formula>-105575</formula>
    </cfRule>
  </conditionalFormatting>
  <conditionalFormatting sqref="BB264:BB267">
    <cfRule type="cellIs" dxfId="3887" priority="3887" operator="lessThan">
      <formula>0</formula>
    </cfRule>
    <cfRule type="cellIs" dxfId="3886" priority="3888" operator="lessThan">
      <formula>-105575</formula>
    </cfRule>
  </conditionalFormatting>
  <conditionalFormatting sqref="BB264:BB267">
    <cfRule type="cellIs" dxfId="3885" priority="3885" operator="lessThan">
      <formula>0</formula>
    </cfRule>
    <cfRule type="cellIs" dxfId="3884" priority="3886" operator="lessThan">
      <formula>-105575</formula>
    </cfRule>
  </conditionalFormatting>
  <conditionalFormatting sqref="BB264:BB267">
    <cfRule type="cellIs" dxfId="3883" priority="3883" operator="lessThan">
      <formula>0</formula>
    </cfRule>
    <cfRule type="cellIs" dxfId="3882" priority="3884" operator="lessThan">
      <formula>-105575</formula>
    </cfRule>
  </conditionalFormatting>
  <conditionalFormatting sqref="BB264:BB267">
    <cfRule type="cellIs" dxfId="3881" priority="3881" operator="lessThan">
      <formula>0</formula>
    </cfRule>
    <cfRule type="cellIs" dxfId="3880" priority="3882" operator="lessThan">
      <formula>-105575</formula>
    </cfRule>
  </conditionalFormatting>
  <conditionalFormatting sqref="BB264:BB267">
    <cfRule type="cellIs" dxfId="3879" priority="3879" operator="lessThan">
      <formula>0</formula>
    </cfRule>
    <cfRule type="cellIs" dxfId="3878" priority="3880" operator="lessThan">
      <formula>-105575</formula>
    </cfRule>
  </conditionalFormatting>
  <conditionalFormatting sqref="BB264:BB267">
    <cfRule type="cellIs" dxfId="3877" priority="3877" operator="lessThan">
      <formula>0</formula>
    </cfRule>
    <cfRule type="cellIs" dxfId="3876" priority="3878" operator="lessThan">
      <formula>-105575</formula>
    </cfRule>
  </conditionalFormatting>
  <conditionalFormatting sqref="BB270:BB272">
    <cfRule type="cellIs" dxfId="3875" priority="3875" operator="lessThan">
      <formula>0</formula>
    </cfRule>
    <cfRule type="cellIs" dxfId="3874" priority="3876" operator="lessThan">
      <formula>-105575</formula>
    </cfRule>
  </conditionalFormatting>
  <conditionalFormatting sqref="BB270:BB272">
    <cfRule type="cellIs" dxfId="3873" priority="3873" operator="lessThan">
      <formula>0</formula>
    </cfRule>
    <cfRule type="cellIs" dxfId="3872" priority="3874" operator="lessThan">
      <formula>-105575</formula>
    </cfRule>
  </conditionalFormatting>
  <conditionalFormatting sqref="BB270:BB272">
    <cfRule type="cellIs" dxfId="3871" priority="3871" operator="lessThan">
      <formula>0</formula>
    </cfRule>
    <cfRule type="cellIs" dxfId="3870" priority="3872" operator="lessThan">
      <formula>-105575</formula>
    </cfRule>
  </conditionalFormatting>
  <conditionalFormatting sqref="BB270:BB272">
    <cfRule type="cellIs" dxfId="3869" priority="3869" operator="lessThan">
      <formula>0</formula>
    </cfRule>
    <cfRule type="cellIs" dxfId="3868" priority="3870" operator="lessThan">
      <formula>-105575</formula>
    </cfRule>
  </conditionalFormatting>
  <conditionalFormatting sqref="BB270:BB272">
    <cfRule type="cellIs" dxfId="3867" priority="3867" operator="lessThan">
      <formula>0</formula>
    </cfRule>
    <cfRule type="cellIs" dxfId="3866" priority="3868" operator="lessThan">
      <formula>-105575</formula>
    </cfRule>
  </conditionalFormatting>
  <conditionalFormatting sqref="BB270:BB272">
    <cfRule type="cellIs" dxfId="3865" priority="3865" operator="lessThan">
      <formula>0</formula>
    </cfRule>
    <cfRule type="cellIs" dxfId="3864" priority="3866" operator="lessThan">
      <formula>-105575</formula>
    </cfRule>
  </conditionalFormatting>
  <conditionalFormatting sqref="BB270:BB272">
    <cfRule type="cellIs" dxfId="3863" priority="3863" operator="lessThan">
      <formula>0</formula>
    </cfRule>
    <cfRule type="cellIs" dxfId="3862" priority="3864" operator="lessThan">
      <formula>-105575</formula>
    </cfRule>
  </conditionalFormatting>
  <conditionalFormatting sqref="BB270:BB272">
    <cfRule type="cellIs" dxfId="3861" priority="3861" operator="lessThan">
      <formula>0</formula>
    </cfRule>
    <cfRule type="cellIs" dxfId="3860" priority="3862" operator="lessThan">
      <formula>-105575</formula>
    </cfRule>
  </conditionalFormatting>
  <conditionalFormatting sqref="BB270:BB272">
    <cfRule type="cellIs" dxfId="3859" priority="3859" operator="lessThan">
      <formula>0</formula>
    </cfRule>
    <cfRule type="cellIs" dxfId="3858" priority="3860" operator="lessThan">
      <formula>-105575</formula>
    </cfRule>
  </conditionalFormatting>
  <conditionalFormatting sqref="BB274:BB275">
    <cfRule type="cellIs" dxfId="3857" priority="3857" operator="lessThan">
      <formula>0</formula>
    </cfRule>
    <cfRule type="cellIs" dxfId="3856" priority="3858" operator="lessThan">
      <formula>-105575</formula>
    </cfRule>
  </conditionalFormatting>
  <conditionalFormatting sqref="BB274:BB275">
    <cfRule type="cellIs" dxfId="3855" priority="3855" operator="lessThan">
      <formula>0</formula>
    </cfRule>
    <cfRule type="cellIs" dxfId="3854" priority="3856" operator="lessThan">
      <formula>-105575</formula>
    </cfRule>
  </conditionalFormatting>
  <conditionalFormatting sqref="BB274:BB275">
    <cfRule type="cellIs" dxfId="3853" priority="3853" operator="lessThan">
      <formula>0</formula>
    </cfRule>
    <cfRule type="cellIs" dxfId="3852" priority="3854" operator="lessThan">
      <formula>-105575</formula>
    </cfRule>
  </conditionalFormatting>
  <conditionalFormatting sqref="BB274:BB275">
    <cfRule type="cellIs" dxfId="3851" priority="3851" operator="lessThan">
      <formula>0</formula>
    </cfRule>
    <cfRule type="cellIs" dxfId="3850" priority="3852" operator="lessThan">
      <formula>-105575</formula>
    </cfRule>
  </conditionalFormatting>
  <conditionalFormatting sqref="BB274:BB275">
    <cfRule type="cellIs" dxfId="3849" priority="3849" operator="lessThan">
      <formula>0</formula>
    </cfRule>
    <cfRule type="cellIs" dxfId="3848" priority="3850" operator="lessThan">
      <formula>-105575</formula>
    </cfRule>
  </conditionalFormatting>
  <conditionalFormatting sqref="BB274:BB275">
    <cfRule type="cellIs" dxfId="3847" priority="3847" operator="lessThan">
      <formula>0</formula>
    </cfRule>
    <cfRule type="cellIs" dxfId="3846" priority="3848" operator="lessThan">
      <formula>-105575</formula>
    </cfRule>
  </conditionalFormatting>
  <conditionalFormatting sqref="BB274:BB275">
    <cfRule type="cellIs" dxfId="3845" priority="3845" operator="lessThan">
      <formula>0</formula>
    </cfRule>
    <cfRule type="cellIs" dxfId="3844" priority="3846" operator="lessThan">
      <formula>-105575</formula>
    </cfRule>
  </conditionalFormatting>
  <conditionalFormatting sqref="BB274:BB275">
    <cfRule type="cellIs" dxfId="3843" priority="3843" operator="lessThan">
      <formula>0</formula>
    </cfRule>
    <cfRule type="cellIs" dxfId="3842" priority="3844" operator="lessThan">
      <formula>-105575</formula>
    </cfRule>
  </conditionalFormatting>
  <conditionalFormatting sqref="BB274:BB275">
    <cfRule type="cellIs" dxfId="3841" priority="3841" operator="lessThan">
      <formula>0</formula>
    </cfRule>
    <cfRule type="cellIs" dxfId="3840" priority="3842" operator="lessThan">
      <formula>-105575</formula>
    </cfRule>
  </conditionalFormatting>
  <conditionalFormatting sqref="BB278:BB282">
    <cfRule type="cellIs" dxfId="3839" priority="3839" operator="lessThan">
      <formula>0</formula>
    </cfRule>
    <cfRule type="cellIs" dxfId="3838" priority="3840" operator="lessThan">
      <formula>-105575</formula>
    </cfRule>
  </conditionalFormatting>
  <conditionalFormatting sqref="BB278:BB282">
    <cfRule type="cellIs" dxfId="3837" priority="3837" operator="lessThan">
      <formula>0</formula>
    </cfRule>
    <cfRule type="cellIs" dxfId="3836" priority="3838" operator="lessThan">
      <formula>-105575</formula>
    </cfRule>
  </conditionalFormatting>
  <conditionalFormatting sqref="BB278:BB282">
    <cfRule type="cellIs" dxfId="3835" priority="3835" operator="lessThan">
      <formula>0</formula>
    </cfRule>
    <cfRule type="cellIs" dxfId="3834" priority="3836" operator="lessThan">
      <formula>-105575</formula>
    </cfRule>
  </conditionalFormatting>
  <conditionalFormatting sqref="BB278:BB282">
    <cfRule type="cellIs" dxfId="3833" priority="3833" operator="lessThan">
      <formula>0</formula>
    </cfRule>
    <cfRule type="cellIs" dxfId="3832" priority="3834" operator="lessThan">
      <formula>-105575</formula>
    </cfRule>
  </conditionalFormatting>
  <conditionalFormatting sqref="BB278:BB282">
    <cfRule type="cellIs" dxfId="3831" priority="3831" operator="lessThan">
      <formula>0</formula>
    </cfRule>
    <cfRule type="cellIs" dxfId="3830" priority="3832" operator="lessThan">
      <formula>-105575</formula>
    </cfRule>
  </conditionalFormatting>
  <conditionalFormatting sqref="BB278:BB282">
    <cfRule type="cellIs" dxfId="3829" priority="3829" operator="lessThan">
      <formula>0</formula>
    </cfRule>
    <cfRule type="cellIs" dxfId="3828" priority="3830" operator="lessThan">
      <formula>-105575</formula>
    </cfRule>
  </conditionalFormatting>
  <conditionalFormatting sqref="BB278:BB282">
    <cfRule type="cellIs" dxfId="3827" priority="3827" operator="lessThan">
      <formula>0</formula>
    </cfRule>
    <cfRule type="cellIs" dxfId="3826" priority="3828" operator="lessThan">
      <formula>-105575</formula>
    </cfRule>
  </conditionalFormatting>
  <conditionalFormatting sqref="BB278:BB282">
    <cfRule type="cellIs" dxfId="3825" priority="3825" operator="lessThan">
      <formula>0</formula>
    </cfRule>
    <cfRule type="cellIs" dxfId="3824" priority="3826" operator="lessThan">
      <formula>-105575</formula>
    </cfRule>
  </conditionalFormatting>
  <conditionalFormatting sqref="BB278:BB282">
    <cfRule type="cellIs" dxfId="3823" priority="3823" operator="lessThan">
      <formula>0</formula>
    </cfRule>
    <cfRule type="cellIs" dxfId="3822" priority="3824" operator="lessThan">
      <formula>-105575</formula>
    </cfRule>
  </conditionalFormatting>
  <conditionalFormatting sqref="BB285:BB288">
    <cfRule type="cellIs" dxfId="3821" priority="3821" operator="lessThan">
      <formula>0</formula>
    </cfRule>
    <cfRule type="cellIs" dxfId="3820" priority="3822" operator="lessThan">
      <formula>-105575</formula>
    </cfRule>
  </conditionalFormatting>
  <conditionalFormatting sqref="BB285:BB288">
    <cfRule type="cellIs" dxfId="3819" priority="3819" operator="lessThan">
      <formula>0</formula>
    </cfRule>
    <cfRule type="cellIs" dxfId="3818" priority="3820" operator="lessThan">
      <formula>-105575</formula>
    </cfRule>
  </conditionalFormatting>
  <conditionalFormatting sqref="BB285:BB288">
    <cfRule type="cellIs" dxfId="3817" priority="3817" operator="lessThan">
      <formula>0</formula>
    </cfRule>
    <cfRule type="cellIs" dxfId="3816" priority="3818" operator="lessThan">
      <formula>-105575</formula>
    </cfRule>
  </conditionalFormatting>
  <conditionalFormatting sqref="BB285:BB288">
    <cfRule type="cellIs" dxfId="3815" priority="3815" operator="lessThan">
      <formula>0</formula>
    </cfRule>
    <cfRule type="cellIs" dxfId="3814" priority="3816" operator="lessThan">
      <formula>-105575</formula>
    </cfRule>
  </conditionalFormatting>
  <conditionalFormatting sqref="BB285:BB288">
    <cfRule type="cellIs" dxfId="3813" priority="3813" operator="lessThan">
      <formula>0</formula>
    </cfRule>
    <cfRule type="cellIs" dxfId="3812" priority="3814" operator="lessThan">
      <formula>-105575</formula>
    </cfRule>
  </conditionalFormatting>
  <conditionalFormatting sqref="BB285:BB288">
    <cfRule type="cellIs" dxfId="3811" priority="3811" operator="lessThan">
      <formula>0</formula>
    </cfRule>
    <cfRule type="cellIs" dxfId="3810" priority="3812" operator="lessThan">
      <formula>-105575</formula>
    </cfRule>
  </conditionalFormatting>
  <conditionalFormatting sqref="BB285:BB288">
    <cfRule type="cellIs" dxfId="3809" priority="3809" operator="lessThan">
      <formula>0</formula>
    </cfRule>
    <cfRule type="cellIs" dxfId="3808" priority="3810" operator="lessThan">
      <formula>-105575</formula>
    </cfRule>
  </conditionalFormatting>
  <conditionalFormatting sqref="BB285:BB288">
    <cfRule type="cellIs" dxfId="3807" priority="3807" operator="lessThan">
      <formula>0</formula>
    </cfRule>
    <cfRule type="cellIs" dxfId="3806" priority="3808" operator="lessThan">
      <formula>-105575</formula>
    </cfRule>
  </conditionalFormatting>
  <conditionalFormatting sqref="BB285:BB288">
    <cfRule type="cellIs" dxfId="3805" priority="3805" operator="lessThan">
      <formula>0</formula>
    </cfRule>
    <cfRule type="cellIs" dxfId="3804" priority="3806" operator="lessThan">
      <formula>-105575</formula>
    </cfRule>
  </conditionalFormatting>
  <conditionalFormatting sqref="BB203 BB220:BB221 BB235:BB243 BB231:BB233 BB212:BB213 BB225:BB226">
    <cfRule type="cellIs" dxfId="3803" priority="3803" operator="lessThan">
      <formula>0</formula>
    </cfRule>
    <cfRule type="cellIs" dxfId="3802" priority="3804" operator="lessThan">
      <formula>-105575</formula>
    </cfRule>
  </conditionalFormatting>
  <conditionalFormatting sqref="BB220 BB212:BB213 BB235:BB238 BB240:BB243 BB225:BB226 BB231:BB233">
    <cfRule type="cellIs" dxfId="3801" priority="3801" operator="lessThan">
      <formula>0</formula>
    </cfRule>
    <cfRule type="cellIs" dxfId="3800" priority="3802" operator="lessThan">
      <formula>-105575</formula>
    </cfRule>
  </conditionalFormatting>
  <conditionalFormatting sqref="BB220:BB221 BB243 BB226 BB231:BB236 BB238:BB241 BB203 BB213">
    <cfRule type="cellIs" dxfId="3799" priority="3799" operator="lessThan">
      <formula>0</formula>
    </cfRule>
    <cfRule type="cellIs" dxfId="3798" priority="3800" operator="lessThan">
      <formula>-105575</formula>
    </cfRule>
  </conditionalFormatting>
  <conditionalFormatting sqref="BB235:BB243 BB231:BB233 BB220 BB212:BB213 BB225:BB226">
    <cfRule type="cellIs" dxfId="3797" priority="3797" operator="lessThan">
      <formula>0</formula>
    </cfRule>
    <cfRule type="cellIs" dxfId="3796" priority="3798" operator="lessThan">
      <formula>-105575</formula>
    </cfRule>
  </conditionalFormatting>
  <conditionalFormatting sqref="BB220:BB221 BB237:BB243 BB203 BB231:BB235 BB212:BB213 BB225:BB226">
    <cfRule type="cellIs" dxfId="3795" priority="3795" operator="lessThan">
      <formula>0</formula>
    </cfRule>
    <cfRule type="cellIs" dxfId="3794" priority="3796" operator="lessThan">
      <formula>-105575</formula>
    </cfRule>
  </conditionalFormatting>
  <conditionalFormatting sqref="BB220:BB221 BB237:BB240 BB242:BB243 BB225:BB226 BB231:BB235">
    <cfRule type="cellIs" dxfId="3793" priority="3793" operator="lessThan">
      <formula>0</formula>
    </cfRule>
    <cfRule type="cellIs" dxfId="3792" priority="3794" operator="lessThan">
      <formula>-105575</formula>
    </cfRule>
  </conditionalFormatting>
  <conditionalFormatting sqref="BB212 BB231 BB233:BB238 BB240:BB243 BB225">
    <cfRule type="cellIs" dxfId="3791" priority="3791" operator="lessThan">
      <formula>0</formula>
    </cfRule>
    <cfRule type="cellIs" dxfId="3790" priority="3792" operator="lessThan">
      <formula>-105575</formula>
    </cfRule>
  </conditionalFormatting>
  <conditionalFormatting sqref="BB237:BB243 BB231:BB235 BB220:BB221 BB225:BB226">
    <cfRule type="cellIs" dxfId="3789" priority="3789" operator="lessThan">
      <formula>0</formula>
    </cfRule>
    <cfRule type="cellIs" dxfId="3788" priority="3790" operator="lessThan">
      <formula>-105575</formula>
    </cfRule>
  </conditionalFormatting>
  <conditionalFormatting sqref="BB233:BB237 BB231 BB239:BB243">
    <cfRule type="cellIs" dxfId="3787" priority="3787" operator="lessThan">
      <formula>0</formula>
    </cfRule>
    <cfRule type="cellIs" dxfId="3786" priority="3788" operator="lessThan">
      <formula>-105575</formula>
    </cfRule>
  </conditionalFormatting>
  <conditionalFormatting sqref="BB233:BB237 BB231 BB239:BB243">
    <cfRule type="cellIs" dxfId="3785" priority="3785" operator="lessThan">
      <formula>0</formula>
    </cfRule>
    <cfRule type="cellIs" dxfId="3784" priority="3786" operator="lessThan">
      <formula>-105575</formula>
    </cfRule>
  </conditionalFormatting>
  <conditionalFormatting sqref="BB119:BB128 BB106:BB117 BB101:BB104 BB80:BB98">
    <cfRule type="cellIs" dxfId="3783" priority="3783" operator="lessThan">
      <formula>0</formula>
    </cfRule>
    <cfRule type="cellIs" dxfId="3782" priority="3784" operator="lessThan">
      <formula>-105575</formula>
    </cfRule>
  </conditionalFormatting>
  <conditionalFormatting sqref="BB130 BB132 BB134">
    <cfRule type="cellIs" dxfId="3781" priority="3781" operator="lessThan">
      <formula>0</formula>
    </cfRule>
    <cfRule type="cellIs" dxfId="3780" priority="3782" operator="lessThan">
      <formula>-105575</formula>
    </cfRule>
  </conditionalFormatting>
  <conditionalFormatting sqref="BB130 BB132 BB134">
    <cfRule type="cellIs" dxfId="3779" priority="3779" operator="lessThan">
      <formula>0</formula>
    </cfRule>
    <cfRule type="cellIs" dxfId="3778" priority="3780" operator="lessThan">
      <formula>-105575</formula>
    </cfRule>
  </conditionalFormatting>
  <conditionalFormatting sqref="BB129 BB131 BB133 BB135">
    <cfRule type="cellIs" dxfId="3777" priority="3777" operator="lessThan">
      <formula>0</formula>
    </cfRule>
    <cfRule type="cellIs" dxfId="3776" priority="3778" operator="lessThan">
      <formula>-105575</formula>
    </cfRule>
  </conditionalFormatting>
  <conditionalFormatting sqref="BB140 BB145 BB142:BB143 BB137:BB138">
    <cfRule type="cellIs" dxfId="3775" priority="3775" operator="lessThan">
      <formula>0</formula>
    </cfRule>
    <cfRule type="cellIs" dxfId="3774" priority="3776" operator="lessThan">
      <formula>-105575</formula>
    </cfRule>
  </conditionalFormatting>
  <conditionalFormatting sqref="BB149">
    <cfRule type="cellIs" dxfId="3773" priority="3773" operator="lessThan">
      <formula>0</formula>
    </cfRule>
    <cfRule type="cellIs" dxfId="3772" priority="3774" operator="lessThan">
      <formula>-105575</formula>
    </cfRule>
  </conditionalFormatting>
  <conditionalFormatting sqref="BB129:BB138 BB140:BB149">
    <cfRule type="cellIs" dxfId="3771" priority="3771" operator="lessThan">
      <formula>0</formula>
    </cfRule>
    <cfRule type="cellIs" dxfId="3770" priority="3772" operator="lessThan">
      <formula>-105575</formula>
    </cfRule>
  </conditionalFormatting>
  <conditionalFormatting sqref="BB94:BB98 BB86:BB87 BB89:BB91 BB141:BB149 BB124:BB133 BB107:BB110 BB112:BB117 BB119:BB122 BB135:BB138 BB101:BB104 BB80:BB84">
    <cfRule type="cellIs" dxfId="3769" priority="3769" operator="lessThan">
      <formula>0</formula>
    </cfRule>
    <cfRule type="cellIs" dxfId="3768" priority="3770" operator="lessThan">
      <formula>-105575</formula>
    </cfRule>
  </conditionalFormatting>
  <conditionalFormatting sqref="BB129 BB131 BB133 BB135">
    <cfRule type="cellIs" dxfId="3767" priority="3767" operator="lessThan">
      <formula>0</formula>
    </cfRule>
    <cfRule type="cellIs" dxfId="3766" priority="3768" operator="lessThan">
      <formula>-105575</formula>
    </cfRule>
  </conditionalFormatting>
  <conditionalFormatting sqref="BB146 BB144 BB141">
    <cfRule type="cellIs" dxfId="3765" priority="3765" operator="lessThan">
      <formula>0</formula>
    </cfRule>
    <cfRule type="cellIs" dxfId="3764" priority="3766" operator="lessThan">
      <formula>-105575</formula>
    </cfRule>
  </conditionalFormatting>
  <conditionalFormatting sqref="BB146 BB144 BB141">
    <cfRule type="cellIs" dxfId="3763" priority="3763" operator="lessThan">
      <formula>0</formula>
    </cfRule>
    <cfRule type="cellIs" dxfId="3762" priority="3764" operator="lessThan">
      <formula>-105575</formula>
    </cfRule>
  </conditionalFormatting>
  <conditionalFormatting sqref="BB140 BB145 BB142:BB143 BB137:BB138">
    <cfRule type="cellIs" dxfId="3761" priority="3761" operator="lessThan">
      <formula>0</formula>
    </cfRule>
    <cfRule type="cellIs" dxfId="3760" priority="3762" operator="lessThan">
      <formula>-105575</formula>
    </cfRule>
  </conditionalFormatting>
  <conditionalFormatting sqref="BB149">
    <cfRule type="cellIs" dxfId="3759" priority="3759" operator="lessThan">
      <formula>0</formula>
    </cfRule>
    <cfRule type="cellIs" dxfId="3758" priority="3760" operator="lessThan">
      <formula>-105575</formula>
    </cfRule>
  </conditionalFormatting>
  <conditionalFormatting sqref="BB94:BB98 BB86:BB87 BB89:BB91 BB141:BB149 BB124:BB133 BB107:BB110 BB112:BB117 BB119:BB122 BB135:BB138 BB101:BB104 BB80:BB84">
    <cfRule type="cellIs" dxfId="3757" priority="3757" operator="lessThan">
      <formula>0</formula>
    </cfRule>
    <cfRule type="cellIs" dxfId="3756" priority="3758" operator="lessThan">
      <formula>-105575</formula>
    </cfRule>
  </conditionalFormatting>
  <conditionalFormatting sqref="BB246:BB249 BB262 BB267 BB279:BB282 BB285:BB288 BB274:BB275 BB306:BB309 BB311:BB325 BB327:BB330 BB332:BB341 BB344:BB347 BB349:BB353 BB355:BB358 BB360:BB384 BB386:BB389 BB392:BB395 BB397:BB411 BB413:BB416 BB418:BB432 BB434:BB437 BB439:BB453 BB455:BB458 BB460:BB469 BB7:BB10 BB12:BB14 BB17:BB18 BB21:BB24 BB26:BB28 BB30:BB36 BB38 BB41:BB43 BB46:BB49 BB51:BB55 BB57:BB59 BB62:BB76 BB251:BB253 BB255:BB257 BB293:BB304 BB264:BB265 BB260 BB290:BB291 BB270:BB272">
    <cfRule type="cellIs" dxfId="3755" priority="3755" operator="lessThan">
      <formula>0</formula>
    </cfRule>
    <cfRule type="cellIs" dxfId="3754" priority="3756" operator="lessThan">
      <formula>-105575</formula>
    </cfRule>
  </conditionalFormatting>
  <conditionalFormatting sqref="BB41">
    <cfRule type="cellIs" dxfId="3753" priority="3753" operator="lessThan">
      <formula>0</formula>
    </cfRule>
    <cfRule type="cellIs" dxfId="3752" priority="3754" operator="lessThan">
      <formula>-105575</formula>
    </cfRule>
  </conditionalFormatting>
  <conditionalFormatting sqref="BB152:BB155">
    <cfRule type="cellIs" dxfId="3751" priority="3751" operator="lessThan">
      <formula>0</formula>
    </cfRule>
    <cfRule type="cellIs" dxfId="3750" priority="3752" operator="lessThan">
      <formula>-105575</formula>
    </cfRule>
  </conditionalFormatting>
  <conditionalFormatting sqref="BB152:BB155">
    <cfRule type="cellIs" dxfId="3749" priority="3749" operator="lessThan">
      <formula>0</formula>
    </cfRule>
    <cfRule type="cellIs" dxfId="3748" priority="3750" operator="lessThan">
      <formula>-105575</formula>
    </cfRule>
  </conditionalFormatting>
  <conditionalFormatting sqref="BB152:BB155">
    <cfRule type="cellIs" dxfId="3747" priority="3747" operator="lessThan">
      <formula>0</formula>
    </cfRule>
    <cfRule type="cellIs" dxfId="3746" priority="3748" operator="lessThan">
      <formula>-105575</formula>
    </cfRule>
  </conditionalFormatting>
  <conditionalFormatting sqref="BB157:BB158">
    <cfRule type="cellIs" dxfId="3745" priority="3745" operator="lessThan">
      <formula>0</formula>
    </cfRule>
    <cfRule type="cellIs" dxfId="3744" priority="3746" operator="lessThan">
      <formula>-105575</formula>
    </cfRule>
  </conditionalFormatting>
  <conditionalFormatting sqref="BB157:BB158">
    <cfRule type="cellIs" dxfId="3743" priority="3743" operator="lessThan">
      <formula>0</formula>
    </cfRule>
    <cfRule type="cellIs" dxfId="3742" priority="3744" operator="lessThan">
      <formula>-105575</formula>
    </cfRule>
  </conditionalFormatting>
  <conditionalFormatting sqref="BB157:BB158">
    <cfRule type="cellIs" dxfId="3741" priority="3741" operator="lessThan">
      <formula>0</formula>
    </cfRule>
    <cfRule type="cellIs" dxfId="3740" priority="3742" operator="lessThan">
      <formula>-105575</formula>
    </cfRule>
  </conditionalFormatting>
  <conditionalFormatting sqref="BB160:BB161">
    <cfRule type="cellIs" dxfId="3739" priority="3739" operator="lessThan">
      <formula>0</formula>
    </cfRule>
    <cfRule type="cellIs" dxfId="3738" priority="3740" operator="lessThan">
      <formula>-105575</formula>
    </cfRule>
  </conditionalFormatting>
  <conditionalFormatting sqref="BB160:BB161">
    <cfRule type="cellIs" dxfId="3737" priority="3737" operator="lessThan">
      <formula>0</formula>
    </cfRule>
    <cfRule type="cellIs" dxfId="3736" priority="3738" operator="lessThan">
      <formula>-105575</formula>
    </cfRule>
  </conditionalFormatting>
  <conditionalFormatting sqref="BB160:BB161">
    <cfRule type="cellIs" dxfId="3735" priority="3735" operator="lessThan">
      <formula>0</formula>
    </cfRule>
    <cfRule type="cellIs" dxfId="3734" priority="3736" operator="lessThan">
      <formula>-105575</formula>
    </cfRule>
  </conditionalFormatting>
  <conditionalFormatting sqref="BB164:BB167">
    <cfRule type="cellIs" dxfId="3733" priority="3733" operator="lessThan">
      <formula>0</formula>
    </cfRule>
    <cfRule type="cellIs" dxfId="3732" priority="3734" operator="lessThan">
      <formula>-105575</formula>
    </cfRule>
  </conditionalFormatting>
  <conditionalFormatting sqref="BB164:BB167">
    <cfRule type="cellIs" dxfId="3731" priority="3731" operator="lessThan">
      <formula>0</formula>
    </cfRule>
    <cfRule type="cellIs" dxfId="3730" priority="3732" operator="lessThan">
      <formula>-105575</formula>
    </cfRule>
  </conditionalFormatting>
  <conditionalFormatting sqref="BB164:BB167">
    <cfRule type="cellIs" dxfId="3729" priority="3729" operator="lessThan">
      <formula>0</formula>
    </cfRule>
    <cfRule type="cellIs" dxfId="3728" priority="3730" operator="lessThan">
      <formula>-105575</formula>
    </cfRule>
  </conditionalFormatting>
  <conditionalFormatting sqref="BB169:BB177">
    <cfRule type="cellIs" dxfId="3727" priority="3727" operator="lessThan">
      <formula>0</formula>
    </cfRule>
    <cfRule type="cellIs" dxfId="3726" priority="3728" operator="lessThan">
      <formula>-105575</formula>
    </cfRule>
  </conditionalFormatting>
  <conditionalFormatting sqref="BB169:BB177">
    <cfRule type="cellIs" dxfId="3725" priority="3725" operator="lessThan">
      <formula>0</formula>
    </cfRule>
    <cfRule type="cellIs" dxfId="3724" priority="3726" operator="lessThan">
      <formula>-105575</formula>
    </cfRule>
  </conditionalFormatting>
  <conditionalFormatting sqref="BB169:BB177">
    <cfRule type="cellIs" dxfId="3723" priority="3723" operator="lessThan">
      <formula>0</formula>
    </cfRule>
    <cfRule type="cellIs" dxfId="3722" priority="3724" operator="lessThan">
      <formula>-105575</formula>
    </cfRule>
  </conditionalFormatting>
  <conditionalFormatting sqref="BB179:BB180">
    <cfRule type="cellIs" dxfId="3721" priority="3721" operator="lessThan">
      <formula>0</formula>
    </cfRule>
    <cfRule type="cellIs" dxfId="3720" priority="3722" operator="lessThan">
      <formula>-105575</formula>
    </cfRule>
  </conditionalFormatting>
  <conditionalFormatting sqref="BB179:BB180">
    <cfRule type="cellIs" dxfId="3719" priority="3719" operator="lessThan">
      <formula>0</formula>
    </cfRule>
    <cfRule type="cellIs" dxfId="3718" priority="3720" operator="lessThan">
      <formula>-105575</formula>
    </cfRule>
  </conditionalFormatting>
  <conditionalFormatting sqref="BB179:BB180">
    <cfRule type="cellIs" dxfId="3717" priority="3717" operator="lessThan">
      <formula>0</formula>
    </cfRule>
    <cfRule type="cellIs" dxfId="3716" priority="3718" operator="lessThan">
      <formula>-105575</formula>
    </cfRule>
  </conditionalFormatting>
  <conditionalFormatting sqref="BB183:BB189">
    <cfRule type="cellIs" dxfId="3715" priority="3715" operator="lessThan">
      <formula>0</formula>
    </cfRule>
    <cfRule type="cellIs" dxfId="3714" priority="3716" operator="lessThan">
      <formula>-105575</formula>
    </cfRule>
  </conditionalFormatting>
  <conditionalFormatting sqref="BB183:BB189">
    <cfRule type="cellIs" dxfId="3713" priority="3713" operator="lessThan">
      <formula>0</formula>
    </cfRule>
    <cfRule type="cellIs" dxfId="3712" priority="3714" operator="lessThan">
      <formula>-105575</formula>
    </cfRule>
  </conditionalFormatting>
  <conditionalFormatting sqref="BB183:BB189">
    <cfRule type="cellIs" dxfId="3711" priority="3711" operator="lessThan">
      <formula>0</formula>
    </cfRule>
    <cfRule type="cellIs" dxfId="3710" priority="3712" operator="lessThan">
      <formula>-105575</formula>
    </cfRule>
  </conditionalFormatting>
  <conditionalFormatting sqref="BB191:BB192">
    <cfRule type="cellIs" dxfId="3709" priority="3709" operator="lessThan">
      <formula>0</formula>
    </cfRule>
    <cfRule type="cellIs" dxfId="3708" priority="3710" operator="lessThan">
      <formula>-105575</formula>
    </cfRule>
  </conditionalFormatting>
  <conditionalFormatting sqref="BB191:BB192">
    <cfRule type="cellIs" dxfId="3707" priority="3707" operator="lessThan">
      <formula>0</formula>
    </cfRule>
    <cfRule type="cellIs" dxfId="3706" priority="3708" operator="lessThan">
      <formula>-105575</formula>
    </cfRule>
  </conditionalFormatting>
  <conditionalFormatting sqref="BB191:BB192">
    <cfRule type="cellIs" dxfId="3705" priority="3705" operator="lessThan">
      <formula>0</formula>
    </cfRule>
    <cfRule type="cellIs" dxfId="3704" priority="3706" operator="lessThan">
      <formula>-105575</formula>
    </cfRule>
  </conditionalFormatting>
  <conditionalFormatting sqref="BB194:BB195">
    <cfRule type="cellIs" dxfId="3703" priority="3703" operator="lessThan">
      <formula>0</formula>
    </cfRule>
    <cfRule type="cellIs" dxfId="3702" priority="3704" operator="lessThan">
      <formula>-105575</formula>
    </cfRule>
  </conditionalFormatting>
  <conditionalFormatting sqref="BB194:BB195">
    <cfRule type="cellIs" dxfId="3701" priority="3701" operator="lessThan">
      <formula>0</formula>
    </cfRule>
    <cfRule type="cellIs" dxfId="3700" priority="3702" operator="lessThan">
      <formula>-105575</formula>
    </cfRule>
  </conditionalFormatting>
  <conditionalFormatting sqref="BB194:BB195">
    <cfRule type="cellIs" dxfId="3699" priority="3699" operator="lessThan">
      <formula>0</formula>
    </cfRule>
    <cfRule type="cellIs" dxfId="3698" priority="3700" operator="lessThan">
      <formula>-105575</formula>
    </cfRule>
  </conditionalFormatting>
  <conditionalFormatting sqref="BB199:BB202">
    <cfRule type="cellIs" dxfId="3697" priority="3697" operator="lessThan">
      <formula>0</formula>
    </cfRule>
    <cfRule type="cellIs" dxfId="3696" priority="3698" operator="lessThan">
      <formula>-105575</formula>
    </cfRule>
  </conditionalFormatting>
  <conditionalFormatting sqref="BB199:BB202">
    <cfRule type="cellIs" dxfId="3695" priority="3695" operator="lessThan">
      <formula>0</formula>
    </cfRule>
    <cfRule type="cellIs" dxfId="3694" priority="3696" operator="lessThan">
      <formula>-105575</formula>
    </cfRule>
  </conditionalFormatting>
  <conditionalFormatting sqref="BB199:BB202">
    <cfRule type="cellIs" dxfId="3693" priority="3693" operator="lessThan">
      <formula>0</formula>
    </cfRule>
    <cfRule type="cellIs" dxfId="3692" priority="3694" operator="lessThan">
      <formula>-105575</formula>
    </cfRule>
  </conditionalFormatting>
  <conditionalFormatting sqref="BB204:BB208">
    <cfRule type="cellIs" dxfId="3691" priority="3691" operator="lessThan">
      <formula>0</formula>
    </cfRule>
    <cfRule type="cellIs" dxfId="3690" priority="3692" operator="lessThan">
      <formula>-105575</formula>
    </cfRule>
  </conditionalFormatting>
  <conditionalFormatting sqref="BB204:BB208">
    <cfRule type="cellIs" dxfId="3689" priority="3689" operator="lessThan">
      <formula>0</formula>
    </cfRule>
    <cfRule type="cellIs" dxfId="3688" priority="3690" operator="lessThan">
      <formula>-105575</formula>
    </cfRule>
  </conditionalFormatting>
  <conditionalFormatting sqref="BB204:BB208">
    <cfRule type="cellIs" dxfId="3687" priority="3687" operator="lessThan">
      <formula>0</formula>
    </cfRule>
    <cfRule type="cellIs" dxfId="3686" priority="3688" operator="lessThan">
      <formula>-105575</formula>
    </cfRule>
  </conditionalFormatting>
  <conditionalFormatting sqref="BB210:BB211">
    <cfRule type="cellIs" dxfId="3685" priority="3685" operator="lessThan">
      <formula>0</formula>
    </cfRule>
    <cfRule type="cellIs" dxfId="3684" priority="3686" operator="lessThan">
      <formula>-105575</formula>
    </cfRule>
  </conditionalFormatting>
  <conditionalFormatting sqref="BB210:BB211">
    <cfRule type="cellIs" dxfId="3683" priority="3683" operator="lessThan">
      <formula>0</formula>
    </cfRule>
    <cfRule type="cellIs" dxfId="3682" priority="3684" operator="lessThan">
      <formula>-105575</formula>
    </cfRule>
  </conditionalFormatting>
  <conditionalFormatting sqref="BB210:BB211">
    <cfRule type="cellIs" dxfId="3681" priority="3681" operator="lessThan">
      <formula>0</formula>
    </cfRule>
    <cfRule type="cellIs" dxfId="3680" priority="3682" operator="lessThan">
      <formula>-105575</formula>
    </cfRule>
  </conditionalFormatting>
  <conditionalFormatting sqref="BB214:BB219">
    <cfRule type="cellIs" dxfId="3679" priority="3679" operator="lessThan">
      <formula>0</formula>
    </cfRule>
    <cfRule type="cellIs" dxfId="3678" priority="3680" operator="lessThan">
      <formula>-105575</formula>
    </cfRule>
  </conditionalFormatting>
  <conditionalFormatting sqref="BB214:BB219">
    <cfRule type="cellIs" dxfId="3677" priority="3677" operator="lessThan">
      <formula>0</formula>
    </cfRule>
    <cfRule type="cellIs" dxfId="3676" priority="3678" operator="lessThan">
      <formula>-105575</formula>
    </cfRule>
  </conditionalFormatting>
  <conditionalFormatting sqref="BB214:BB219">
    <cfRule type="cellIs" dxfId="3675" priority="3675" operator="lessThan">
      <formula>0</formula>
    </cfRule>
    <cfRule type="cellIs" dxfId="3674" priority="3676" operator="lessThan">
      <formula>-105575</formula>
    </cfRule>
  </conditionalFormatting>
  <conditionalFormatting sqref="BB222:BB224">
    <cfRule type="cellIs" dxfId="3673" priority="3673" operator="lessThan">
      <formula>0</formula>
    </cfRule>
    <cfRule type="cellIs" dxfId="3672" priority="3674" operator="lessThan">
      <formula>-105575</formula>
    </cfRule>
  </conditionalFormatting>
  <conditionalFormatting sqref="BB222:BB224">
    <cfRule type="cellIs" dxfId="3671" priority="3671" operator="lessThan">
      <formula>0</formula>
    </cfRule>
    <cfRule type="cellIs" dxfId="3670" priority="3672" operator="lessThan">
      <formula>-105575</formula>
    </cfRule>
  </conditionalFormatting>
  <conditionalFormatting sqref="BB222:BB224">
    <cfRule type="cellIs" dxfId="3669" priority="3669" operator="lessThan">
      <formula>0</formula>
    </cfRule>
    <cfRule type="cellIs" dxfId="3668" priority="3670" operator="lessThan">
      <formula>-105575</formula>
    </cfRule>
  </conditionalFormatting>
  <conditionalFormatting sqref="BB227:BB230">
    <cfRule type="cellIs" dxfId="3667" priority="3667" operator="lessThan">
      <formula>0</formula>
    </cfRule>
    <cfRule type="cellIs" dxfId="3666" priority="3668" operator="lessThan">
      <formula>-105575</formula>
    </cfRule>
  </conditionalFormatting>
  <conditionalFormatting sqref="BB227:BB230">
    <cfRule type="cellIs" dxfId="3665" priority="3665" operator="lessThan">
      <formula>0</formula>
    </cfRule>
    <cfRule type="cellIs" dxfId="3664" priority="3666" operator="lessThan">
      <formula>-105575</formula>
    </cfRule>
  </conditionalFormatting>
  <conditionalFormatting sqref="BB227:BB230">
    <cfRule type="cellIs" dxfId="3663" priority="3663" operator="lessThan">
      <formula>0</formula>
    </cfRule>
    <cfRule type="cellIs" dxfId="3662" priority="3664" operator="lessThan">
      <formula>-105575</formula>
    </cfRule>
  </conditionalFormatting>
  <conditionalFormatting sqref="BB203 BB220:BB221 BB235:BB243 BB231:BB233 BB212:BB213 BB225:BB226">
    <cfRule type="cellIs" dxfId="3661" priority="3661" operator="lessThan">
      <formula>0</formula>
    </cfRule>
    <cfRule type="cellIs" dxfId="3660" priority="3662" operator="lessThan">
      <formula>-105575</formula>
    </cfRule>
  </conditionalFormatting>
  <conditionalFormatting sqref="BB220 BB212:BB213 BB235:BB238 BB240:BB243 BB225:BB226 BB231:BB233">
    <cfRule type="cellIs" dxfId="3659" priority="3659" operator="lessThan">
      <formula>0</formula>
    </cfRule>
    <cfRule type="cellIs" dxfId="3658" priority="3660" operator="lessThan">
      <formula>-105575</formula>
    </cfRule>
  </conditionalFormatting>
  <conditionalFormatting sqref="BB220:BB221 BB243 BB226 BB231:BB236 BB238:BB241 BB203 BB213">
    <cfRule type="cellIs" dxfId="3657" priority="3657" operator="lessThan">
      <formula>0</formula>
    </cfRule>
    <cfRule type="cellIs" dxfId="3656" priority="3658" operator="lessThan">
      <formula>-105575</formula>
    </cfRule>
  </conditionalFormatting>
  <conditionalFormatting sqref="BB235:BB243 BB231:BB233 BB220 BB212:BB213 BB225:BB226">
    <cfRule type="cellIs" dxfId="3655" priority="3655" operator="lessThan">
      <formula>0</formula>
    </cfRule>
    <cfRule type="cellIs" dxfId="3654" priority="3656" operator="lessThan">
      <formula>-105575</formula>
    </cfRule>
  </conditionalFormatting>
  <conditionalFormatting sqref="BB220:BB221 BB237:BB243 BB203 BB231:BB235 BB212:BB213 BB225:BB226">
    <cfRule type="cellIs" dxfId="3653" priority="3653" operator="lessThan">
      <formula>0</formula>
    </cfRule>
    <cfRule type="cellIs" dxfId="3652" priority="3654" operator="lessThan">
      <formula>-105575</formula>
    </cfRule>
  </conditionalFormatting>
  <conditionalFormatting sqref="BB220:BB221 BB237:BB240 BB242:BB243 BB225:BB226 BB231:BB235">
    <cfRule type="cellIs" dxfId="3651" priority="3651" operator="lessThan">
      <formula>0</formula>
    </cfRule>
    <cfRule type="cellIs" dxfId="3650" priority="3652" operator="lessThan">
      <formula>-105575</formula>
    </cfRule>
  </conditionalFormatting>
  <conditionalFormatting sqref="BB212 BB231 BB233:BB238 BB240:BB243 BB225">
    <cfRule type="cellIs" dxfId="3649" priority="3649" operator="lessThan">
      <formula>0</formula>
    </cfRule>
    <cfRule type="cellIs" dxfId="3648" priority="3650" operator="lessThan">
      <formula>-105575</formula>
    </cfRule>
  </conditionalFormatting>
  <conditionalFormatting sqref="BB237:BB243 BB231:BB235 BB220:BB221 BB225:BB226">
    <cfRule type="cellIs" dxfId="3647" priority="3647" operator="lessThan">
      <formula>0</formula>
    </cfRule>
    <cfRule type="cellIs" dxfId="3646" priority="3648" operator="lessThan">
      <formula>-105575</formula>
    </cfRule>
  </conditionalFormatting>
  <conditionalFormatting sqref="BB233:BB237 BB231 BB239:BB243">
    <cfRule type="cellIs" dxfId="3645" priority="3645" operator="lessThan">
      <formula>0</formula>
    </cfRule>
    <cfRule type="cellIs" dxfId="3644" priority="3646" operator="lessThan">
      <formula>-105575</formula>
    </cfRule>
  </conditionalFormatting>
  <conditionalFormatting sqref="BB233:BB237 BB231 BB239:BB243">
    <cfRule type="cellIs" dxfId="3643" priority="3643" operator="lessThan">
      <formula>0</formula>
    </cfRule>
    <cfRule type="cellIs" dxfId="3642" priority="3644" operator="lessThan">
      <formula>-105575</formula>
    </cfRule>
  </conditionalFormatting>
  <conditionalFormatting sqref="BB119:BB128 BB106:BB117 BB101:BB104 BB80:BB98">
    <cfRule type="cellIs" dxfId="3641" priority="3641" operator="lessThan">
      <formula>0</formula>
    </cfRule>
    <cfRule type="cellIs" dxfId="3640" priority="3642" operator="lessThan">
      <formula>-105575</formula>
    </cfRule>
  </conditionalFormatting>
  <conditionalFormatting sqref="BB130 BB132 BB134">
    <cfRule type="cellIs" dxfId="3639" priority="3639" operator="lessThan">
      <formula>0</formula>
    </cfRule>
    <cfRule type="cellIs" dxfId="3638" priority="3640" operator="lessThan">
      <formula>-105575</formula>
    </cfRule>
  </conditionalFormatting>
  <conditionalFormatting sqref="BB130 BB132 BB134">
    <cfRule type="cellIs" dxfId="3637" priority="3637" operator="lessThan">
      <formula>0</formula>
    </cfRule>
    <cfRule type="cellIs" dxfId="3636" priority="3638" operator="lessThan">
      <formula>-105575</formula>
    </cfRule>
  </conditionalFormatting>
  <conditionalFormatting sqref="BB129 BB131 BB133 BB135">
    <cfRule type="cellIs" dxfId="3635" priority="3635" operator="lessThan">
      <formula>0</formula>
    </cfRule>
    <cfRule type="cellIs" dxfId="3634" priority="3636" operator="lessThan">
      <formula>-105575</formula>
    </cfRule>
  </conditionalFormatting>
  <conditionalFormatting sqref="BB140 BB145 BB142:BB143 BB137:BB138">
    <cfRule type="cellIs" dxfId="3633" priority="3633" operator="lessThan">
      <formula>0</formula>
    </cfRule>
    <cfRule type="cellIs" dxfId="3632" priority="3634" operator="lessThan">
      <formula>-105575</formula>
    </cfRule>
  </conditionalFormatting>
  <conditionalFormatting sqref="BB149">
    <cfRule type="cellIs" dxfId="3631" priority="3631" operator="lessThan">
      <formula>0</formula>
    </cfRule>
    <cfRule type="cellIs" dxfId="3630" priority="3632" operator="lessThan">
      <formula>-105575</formula>
    </cfRule>
  </conditionalFormatting>
  <conditionalFormatting sqref="BB129:BB138 BB140:BB149">
    <cfRule type="cellIs" dxfId="3629" priority="3629" operator="lessThan">
      <formula>0</formula>
    </cfRule>
    <cfRule type="cellIs" dxfId="3628" priority="3630" operator="lessThan">
      <formula>-105575</formula>
    </cfRule>
  </conditionalFormatting>
  <conditionalFormatting sqref="BB94:BB98 BB86:BB87 BB89:BB91 BB141:BB149 BB124:BB133 BB107:BB110 BB112:BB117 BB119:BB122 BB135:BB138 BB101:BB104 BB80:BB84">
    <cfRule type="cellIs" dxfId="3627" priority="3627" operator="lessThan">
      <formula>0</formula>
    </cfRule>
    <cfRule type="cellIs" dxfId="3626" priority="3628" operator="lessThan">
      <formula>-105575</formula>
    </cfRule>
  </conditionalFormatting>
  <conditionalFormatting sqref="BB129 BB131 BB133 BB135">
    <cfRule type="cellIs" dxfId="3625" priority="3625" operator="lessThan">
      <formula>0</formula>
    </cfRule>
    <cfRule type="cellIs" dxfId="3624" priority="3626" operator="lessThan">
      <formula>-105575</formula>
    </cfRule>
  </conditionalFormatting>
  <conditionalFormatting sqref="BB146 BB144 BB141">
    <cfRule type="cellIs" dxfId="3623" priority="3623" operator="lessThan">
      <formula>0</formula>
    </cfRule>
    <cfRule type="cellIs" dxfId="3622" priority="3624" operator="lessThan">
      <formula>-105575</formula>
    </cfRule>
  </conditionalFormatting>
  <conditionalFormatting sqref="BB146 BB144 BB141">
    <cfRule type="cellIs" dxfId="3621" priority="3621" operator="lessThan">
      <formula>0</formula>
    </cfRule>
    <cfRule type="cellIs" dxfId="3620" priority="3622" operator="lessThan">
      <formula>-105575</formula>
    </cfRule>
  </conditionalFormatting>
  <conditionalFormatting sqref="BB140 BB145 BB142:BB143 BB137:BB138">
    <cfRule type="cellIs" dxfId="3619" priority="3619" operator="lessThan">
      <formula>0</formula>
    </cfRule>
    <cfRule type="cellIs" dxfId="3618" priority="3620" operator="lessThan">
      <formula>-105575</formula>
    </cfRule>
  </conditionalFormatting>
  <conditionalFormatting sqref="BB149">
    <cfRule type="cellIs" dxfId="3617" priority="3617" operator="lessThan">
      <formula>0</formula>
    </cfRule>
    <cfRule type="cellIs" dxfId="3616" priority="3618" operator="lessThan">
      <formula>-105575</formula>
    </cfRule>
  </conditionalFormatting>
  <conditionalFormatting sqref="BB94:BB98 BB86:BB87 BB89:BB91 BB141:BB149 BB124:BB133 BB107:BB110 BB112:BB117 BB119:BB122 BB135:BB138 BB101:BB104 BB80:BB84">
    <cfRule type="cellIs" dxfId="3615" priority="3615" operator="lessThan">
      <formula>0</formula>
    </cfRule>
    <cfRule type="cellIs" dxfId="3614" priority="3616" operator="lessThan">
      <formula>-105575</formula>
    </cfRule>
  </conditionalFormatting>
  <conditionalFormatting sqref="BB62:BB76 BB306:BB309 BB311:BB325 BB327:BB330 BB332:BB341 BB344:BB347 BB349:BB353 BB355:BB358 BB360:BB384 BB386:BB389 BB392:BB395 BB397:BB411 BB413:BB416 BB418:BB432 BB434:BB437 BB439:BB453 BB455:BB458 BB460:BB469 BB7:BB10 BB12:BB14 BB17:BB18 BB21:BB24 BB26:BB28 BB30:BB36 BB38 BB41:BB43 BB46:BB49 BB51:BB55 BB57:BB59 BB290:BB291 BB293:BB304">
    <cfRule type="cellIs" dxfId="3613" priority="3613" operator="lessThan">
      <formula>0</formula>
    </cfRule>
    <cfRule type="cellIs" dxfId="3612" priority="3614" operator="lessThan">
      <formula>-105575</formula>
    </cfRule>
  </conditionalFormatting>
  <conditionalFormatting sqref="BB41">
    <cfRule type="cellIs" dxfId="3611" priority="3611" operator="lessThan">
      <formula>0</formula>
    </cfRule>
    <cfRule type="cellIs" dxfId="3610" priority="3612" operator="lessThan">
      <formula>-105575</formula>
    </cfRule>
  </conditionalFormatting>
  <conditionalFormatting sqref="BB152:BB155">
    <cfRule type="cellIs" dxfId="3609" priority="3609" operator="lessThan">
      <formula>0</formula>
    </cfRule>
    <cfRule type="cellIs" dxfId="3608" priority="3610" operator="lessThan">
      <formula>-105575</formula>
    </cfRule>
  </conditionalFormatting>
  <conditionalFormatting sqref="BB152:BB155">
    <cfRule type="cellIs" dxfId="3607" priority="3607" operator="lessThan">
      <formula>0</formula>
    </cfRule>
    <cfRule type="cellIs" dxfId="3606" priority="3608" operator="lessThan">
      <formula>-105575</formula>
    </cfRule>
  </conditionalFormatting>
  <conditionalFormatting sqref="BB152:BB155">
    <cfRule type="cellIs" dxfId="3605" priority="3605" operator="lessThan">
      <formula>0</formula>
    </cfRule>
    <cfRule type="cellIs" dxfId="3604" priority="3606" operator="lessThan">
      <formula>-105575</formula>
    </cfRule>
  </conditionalFormatting>
  <conditionalFormatting sqref="BB157:BB158">
    <cfRule type="cellIs" dxfId="3603" priority="3603" operator="lessThan">
      <formula>0</formula>
    </cfRule>
    <cfRule type="cellIs" dxfId="3602" priority="3604" operator="lessThan">
      <formula>-105575</formula>
    </cfRule>
  </conditionalFormatting>
  <conditionalFormatting sqref="BB157:BB158">
    <cfRule type="cellIs" dxfId="3601" priority="3601" operator="lessThan">
      <formula>0</formula>
    </cfRule>
    <cfRule type="cellIs" dxfId="3600" priority="3602" operator="lessThan">
      <formula>-105575</formula>
    </cfRule>
  </conditionalFormatting>
  <conditionalFormatting sqref="BB157:BB158">
    <cfRule type="cellIs" dxfId="3599" priority="3599" operator="lessThan">
      <formula>0</formula>
    </cfRule>
    <cfRule type="cellIs" dxfId="3598" priority="3600" operator="lessThan">
      <formula>-105575</formula>
    </cfRule>
  </conditionalFormatting>
  <conditionalFormatting sqref="BB160:BB161">
    <cfRule type="cellIs" dxfId="3597" priority="3597" operator="lessThan">
      <formula>0</formula>
    </cfRule>
    <cfRule type="cellIs" dxfId="3596" priority="3598" operator="lessThan">
      <formula>-105575</formula>
    </cfRule>
  </conditionalFormatting>
  <conditionalFormatting sqref="BB160:BB161">
    <cfRule type="cellIs" dxfId="3595" priority="3595" operator="lessThan">
      <formula>0</formula>
    </cfRule>
    <cfRule type="cellIs" dxfId="3594" priority="3596" operator="lessThan">
      <formula>-105575</formula>
    </cfRule>
  </conditionalFormatting>
  <conditionalFormatting sqref="BB160:BB161">
    <cfRule type="cellIs" dxfId="3593" priority="3593" operator="lessThan">
      <formula>0</formula>
    </cfRule>
    <cfRule type="cellIs" dxfId="3592" priority="3594" operator="lessThan">
      <formula>-105575</formula>
    </cfRule>
  </conditionalFormatting>
  <conditionalFormatting sqref="BB164:BB167">
    <cfRule type="cellIs" dxfId="3591" priority="3591" operator="lessThan">
      <formula>0</formula>
    </cfRule>
    <cfRule type="cellIs" dxfId="3590" priority="3592" operator="lessThan">
      <formula>-105575</formula>
    </cfRule>
  </conditionalFormatting>
  <conditionalFormatting sqref="BB164:BB167">
    <cfRule type="cellIs" dxfId="3589" priority="3589" operator="lessThan">
      <formula>0</formula>
    </cfRule>
    <cfRule type="cellIs" dxfId="3588" priority="3590" operator="lessThan">
      <formula>-105575</formula>
    </cfRule>
  </conditionalFormatting>
  <conditionalFormatting sqref="BB164:BB167">
    <cfRule type="cellIs" dxfId="3587" priority="3587" operator="lessThan">
      <formula>0</formula>
    </cfRule>
    <cfRule type="cellIs" dxfId="3586" priority="3588" operator="lessThan">
      <formula>-105575</formula>
    </cfRule>
  </conditionalFormatting>
  <conditionalFormatting sqref="BB169:BB177">
    <cfRule type="cellIs" dxfId="3585" priority="3585" operator="lessThan">
      <formula>0</formula>
    </cfRule>
    <cfRule type="cellIs" dxfId="3584" priority="3586" operator="lessThan">
      <formula>-105575</formula>
    </cfRule>
  </conditionalFormatting>
  <conditionalFormatting sqref="BB169:BB177">
    <cfRule type="cellIs" dxfId="3583" priority="3583" operator="lessThan">
      <formula>0</formula>
    </cfRule>
    <cfRule type="cellIs" dxfId="3582" priority="3584" operator="lessThan">
      <formula>-105575</formula>
    </cfRule>
  </conditionalFormatting>
  <conditionalFormatting sqref="BB169:BB177">
    <cfRule type="cellIs" dxfId="3581" priority="3581" operator="lessThan">
      <formula>0</formula>
    </cfRule>
    <cfRule type="cellIs" dxfId="3580" priority="3582" operator="lessThan">
      <formula>-105575</formula>
    </cfRule>
  </conditionalFormatting>
  <conditionalFormatting sqref="BB179:BB180">
    <cfRule type="cellIs" dxfId="3579" priority="3579" operator="lessThan">
      <formula>0</formula>
    </cfRule>
    <cfRule type="cellIs" dxfId="3578" priority="3580" operator="lessThan">
      <formula>-105575</formula>
    </cfRule>
  </conditionalFormatting>
  <conditionalFormatting sqref="BB179:BB180">
    <cfRule type="cellIs" dxfId="3577" priority="3577" operator="lessThan">
      <formula>0</formula>
    </cfRule>
    <cfRule type="cellIs" dxfId="3576" priority="3578" operator="lessThan">
      <formula>-105575</formula>
    </cfRule>
  </conditionalFormatting>
  <conditionalFormatting sqref="BB179:BB180">
    <cfRule type="cellIs" dxfId="3575" priority="3575" operator="lessThan">
      <formula>0</formula>
    </cfRule>
    <cfRule type="cellIs" dxfId="3574" priority="3576" operator="lessThan">
      <formula>-105575</formula>
    </cfRule>
  </conditionalFormatting>
  <conditionalFormatting sqref="BB183:BB189">
    <cfRule type="cellIs" dxfId="3573" priority="3573" operator="lessThan">
      <formula>0</formula>
    </cfRule>
    <cfRule type="cellIs" dxfId="3572" priority="3574" operator="lessThan">
      <formula>-105575</formula>
    </cfRule>
  </conditionalFormatting>
  <conditionalFormatting sqref="BB183:BB189">
    <cfRule type="cellIs" dxfId="3571" priority="3571" operator="lessThan">
      <formula>0</formula>
    </cfRule>
    <cfRule type="cellIs" dxfId="3570" priority="3572" operator="lessThan">
      <formula>-105575</formula>
    </cfRule>
  </conditionalFormatting>
  <conditionalFormatting sqref="BB183:BB189">
    <cfRule type="cellIs" dxfId="3569" priority="3569" operator="lessThan">
      <formula>0</formula>
    </cfRule>
    <cfRule type="cellIs" dxfId="3568" priority="3570" operator="lessThan">
      <formula>-105575</formula>
    </cfRule>
  </conditionalFormatting>
  <conditionalFormatting sqref="BB191:BB192">
    <cfRule type="cellIs" dxfId="3567" priority="3567" operator="lessThan">
      <formula>0</formula>
    </cfRule>
    <cfRule type="cellIs" dxfId="3566" priority="3568" operator="lessThan">
      <formula>-105575</formula>
    </cfRule>
  </conditionalFormatting>
  <conditionalFormatting sqref="BB191:BB192">
    <cfRule type="cellIs" dxfId="3565" priority="3565" operator="lessThan">
      <formula>0</formula>
    </cfRule>
    <cfRule type="cellIs" dxfId="3564" priority="3566" operator="lessThan">
      <formula>-105575</formula>
    </cfRule>
  </conditionalFormatting>
  <conditionalFormatting sqref="BB191:BB192">
    <cfRule type="cellIs" dxfId="3563" priority="3563" operator="lessThan">
      <formula>0</formula>
    </cfRule>
    <cfRule type="cellIs" dxfId="3562" priority="3564" operator="lessThan">
      <formula>-105575</formula>
    </cfRule>
  </conditionalFormatting>
  <conditionalFormatting sqref="BB194:BB195">
    <cfRule type="cellIs" dxfId="3561" priority="3561" operator="lessThan">
      <formula>0</formula>
    </cfRule>
    <cfRule type="cellIs" dxfId="3560" priority="3562" operator="lessThan">
      <formula>-105575</formula>
    </cfRule>
  </conditionalFormatting>
  <conditionalFormatting sqref="BB194:BB195">
    <cfRule type="cellIs" dxfId="3559" priority="3559" operator="lessThan">
      <formula>0</formula>
    </cfRule>
    <cfRule type="cellIs" dxfId="3558" priority="3560" operator="lessThan">
      <formula>-105575</formula>
    </cfRule>
  </conditionalFormatting>
  <conditionalFormatting sqref="BB194:BB195">
    <cfRule type="cellIs" dxfId="3557" priority="3557" operator="lessThan">
      <formula>0</formula>
    </cfRule>
    <cfRule type="cellIs" dxfId="3556" priority="3558" operator="lessThan">
      <formula>-105575</formula>
    </cfRule>
  </conditionalFormatting>
  <conditionalFormatting sqref="BB199:BB202">
    <cfRule type="cellIs" dxfId="3555" priority="3555" operator="lessThan">
      <formula>0</formula>
    </cfRule>
    <cfRule type="cellIs" dxfId="3554" priority="3556" operator="lessThan">
      <formula>-105575</formula>
    </cfRule>
  </conditionalFormatting>
  <conditionalFormatting sqref="BB199:BB202">
    <cfRule type="cellIs" dxfId="3553" priority="3553" operator="lessThan">
      <formula>0</formula>
    </cfRule>
    <cfRule type="cellIs" dxfId="3552" priority="3554" operator="lessThan">
      <formula>-105575</formula>
    </cfRule>
  </conditionalFormatting>
  <conditionalFormatting sqref="BB199:BB202">
    <cfRule type="cellIs" dxfId="3551" priority="3551" operator="lessThan">
      <formula>0</formula>
    </cfRule>
    <cfRule type="cellIs" dxfId="3550" priority="3552" operator="lessThan">
      <formula>-105575</formula>
    </cfRule>
  </conditionalFormatting>
  <conditionalFormatting sqref="BB204:BB208">
    <cfRule type="cellIs" dxfId="3549" priority="3549" operator="lessThan">
      <formula>0</formula>
    </cfRule>
    <cfRule type="cellIs" dxfId="3548" priority="3550" operator="lessThan">
      <formula>-105575</formula>
    </cfRule>
  </conditionalFormatting>
  <conditionalFormatting sqref="BB204:BB208">
    <cfRule type="cellIs" dxfId="3547" priority="3547" operator="lessThan">
      <formula>0</formula>
    </cfRule>
    <cfRule type="cellIs" dxfId="3546" priority="3548" operator="lessThan">
      <formula>-105575</formula>
    </cfRule>
  </conditionalFormatting>
  <conditionalFormatting sqref="BB204:BB208">
    <cfRule type="cellIs" dxfId="3545" priority="3545" operator="lessThan">
      <formula>0</formula>
    </cfRule>
    <cfRule type="cellIs" dxfId="3544" priority="3546" operator="lessThan">
      <formula>-105575</formula>
    </cfRule>
  </conditionalFormatting>
  <conditionalFormatting sqref="BB210:BB211">
    <cfRule type="cellIs" dxfId="3543" priority="3543" operator="lessThan">
      <formula>0</formula>
    </cfRule>
    <cfRule type="cellIs" dxfId="3542" priority="3544" operator="lessThan">
      <formula>-105575</formula>
    </cfRule>
  </conditionalFormatting>
  <conditionalFormatting sqref="BB210:BB211">
    <cfRule type="cellIs" dxfId="3541" priority="3541" operator="lessThan">
      <formula>0</formula>
    </cfRule>
    <cfRule type="cellIs" dxfId="3540" priority="3542" operator="lessThan">
      <formula>-105575</formula>
    </cfRule>
  </conditionalFormatting>
  <conditionalFormatting sqref="BB210:BB211">
    <cfRule type="cellIs" dxfId="3539" priority="3539" operator="lessThan">
      <formula>0</formula>
    </cfRule>
    <cfRule type="cellIs" dxfId="3538" priority="3540" operator="lessThan">
      <formula>-105575</formula>
    </cfRule>
  </conditionalFormatting>
  <conditionalFormatting sqref="BB214:BB219">
    <cfRule type="cellIs" dxfId="3537" priority="3537" operator="lessThan">
      <formula>0</formula>
    </cfRule>
    <cfRule type="cellIs" dxfId="3536" priority="3538" operator="lessThan">
      <formula>-105575</formula>
    </cfRule>
  </conditionalFormatting>
  <conditionalFormatting sqref="BB214:BB219">
    <cfRule type="cellIs" dxfId="3535" priority="3535" operator="lessThan">
      <formula>0</formula>
    </cfRule>
    <cfRule type="cellIs" dxfId="3534" priority="3536" operator="lessThan">
      <formula>-105575</formula>
    </cfRule>
  </conditionalFormatting>
  <conditionalFormatting sqref="BB214:BB219">
    <cfRule type="cellIs" dxfId="3533" priority="3533" operator="lessThan">
      <formula>0</formula>
    </cfRule>
    <cfRule type="cellIs" dxfId="3532" priority="3534" operator="lessThan">
      <formula>-105575</formula>
    </cfRule>
  </conditionalFormatting>
  <conditionalFormatting sqref="BB222:BB224">
    <cfRule type="cellIs" dxfId="3531" priority="3531" operator="lessThan">
      <formula>0</formula>
    </cfRule>
    <cfRule type="cellIs" dxfId="3530" priority="3532" operator="lessThan">
      <formula>-105575</formula>
    </cfRule>
  </conditionalFormatting>
  <conditionalFormatting sqref="BB222:BB224">
    <cfRule type="cellIs" dxfId="3529" priority="3529" operator="lessThan">
      <formula>0</formula>
    </cfRule>
    <cfRule type="cellIs" dxfId="3528" priority="3530" operator="lessThan">
      <formula>-105575</formula>
    </cfRule>
  </conditionalFormatting>
  <conditionalFormatting sqref="BB222:BB224">
    <cfRule type="cellIs" dxfId="3527" priority="3527" operator="lessThan">
      <formula>0</formula>
    </cfRule>
    <cfRule type="cellIs" dxfId="3526" priority="3528" operator="lessThan">
      <formula>-105575</formula>
    </cfRule>
  </conditionalFormatting>
  <conditionalFormatting sqref="BB227:BB230">
    <cfRule type="cellIs" dxfId="3525" priority="3525" operator="lessThan">
      <formula>0</formula>
    </cfRule>
    <cfRule type="cellIs" dxfId="3524" priority="3526" operator="lessThan">
      <formula>-105575</formula>
    </cfRule>
  </conditionalFormatting>
  <conditionalFormatting sqref="BB227:BB230">
    <cfRule type="cellIs" dxfId="3523" priority="3523" operator="lessThan">
      <formula>0</formula>
    </cfRule>
    <cfRule type="cellIs" dxfId="3522" priority="3524" operator="lessThan">
      <formula>-105575</formula>
    </cfRule>
  </conditionalFormatting>
  <conditionalFormatting sqref="BB227:BB230">
    <cfRule type="cellIs" dxfId="3521" priority="3521" operator="lessThan">
      <formula>0</formula>
    </cfRule>
    <cfRule type="cellIs" dxfId="3520" priority="3522" operator="lessThan">
      <formula>-105575</formula>
    </cfRule>
  </conditionalFormatting>
  <conditionalFormatting sqref="BB246:BB249">
    <cfRule type="cellIs" dxfId="3519" priority="3519" operator="lessThan">
      <formula>0</formula>
    </cfRule>
    <cfRule type="cellIs" dxfId="3518" priority="3520" operator="lessThan">
      <formula>-105575</formula>
    </cfRule>
  </conditionalFormatting>
  <conditionalFormatting sqref="BB246:BB249">
    <cfRule type="cellIs" dxfId="3517" priority="3517" operator="lessThan">
      <formula>0</formula>
    </cfRule>
    <cfRule type="cellIs" dxfId="3516" priority="3518" operator="lessThan">
      <formula>-105575</formula>
    </cfRule>
  </conditionalFormatting>
  <conditionalFormatting sqref="BB246:BB249">
    <cfRule type="cellIs" dxfId="3515" priority="3515" operator="lessThan">
      <formula>0</formula>
    </cfRule>
    <cfRule type="cellIs" dxfId="3514" priority="3516" operator="lessThan">
      <formula>-105575</formula>
    </cfRule>
  </conditionalFormatting>
  <conditionalFormatting sqref="BB246:BB249">
    <cfRule type="cellIs" dxfId="3513" priority="3513" operator="lessThan">
      <formula>0</formula>
    </cfRule>
    <cfRule type="cellIs" dxfId="3512" priority="3514" operator="lessThan">
      <formula>-105575</formula>
    </cfRule>
  </conditionalFormatting>
  <conditionalFormatting sqref="BB246:BB249">
    <cfRule type="cellIs" dxfId="3511" priority="3511" operator="lessThan">
      <formula>0</formula>
    </cfRule>
    <cfRule type="cellIs" dxfId="3510" priority="3512" operator="lessThan">
      <formula>-105575</formula>
    </cfRule>
  </conditionalFormatting>
  <conditionalFormatting sqref="BB246:BB249">
    <cfRule type="cellIs" dxfId="3509" priority="3509" operator="lessThan">
      <formula>0</formula>
    </cfRule>
    <cfRule type="cellIs" dxfId="3508" priority="3510" operator="lessThan">
      <formula>-105575</formula>
    </cfRule>
  </conditionalFormatting>
  <conditionalFormatting sqref="BB246:BB249">
    <cfRule type="cellIs" dxfId="3507" priority="3507" operator="lessThan">
      <formula>0</formula>
    </cfRule>
    <cfRule type="cellIs" dxfId="3506" priority="3508" operator="lessThan">
      <formula>-105575</formula>
    </cfRule>
  </conditionalFormatting>
  <conditionalFormatting sqref="BB246:BB249">
    <cfRule type="cellIs" dxfId="3505" priority="3505" operator="lessThan">
      <formula>0</formula>
    </cfRule>
    <cfRule type="cellIs" dxfId="3504" priority="3506" operator="lessThan">
      <formula>-105575</formula>
    </cfRule>
  </conditionalFormatting>
  <conditionalFormatting sqref="BB246:BB249">
    <cfRule type="cellIs" dxfId="3503" priority="3503" operator="lessThan">
      <formula>0</formula>
    </cfRule>
    <cfRule type="cellIs" dxfId="3502" priority="3504" operator="lessThan">
      <formula>-105575</formula>
    </cfRule>
  </conditionalFormatting>
  <conditionalFormatting sqref="BB251:BB253">
    <cfRule type="cellIs" dxfId="3501" priority="3501" operator="lessThan">
      <formula>0</formula>
    </cfRule>
    <cfRule type="cellIs" dxfId="3500" priority="3502" operator="lessThan">
      <formula>-105575</formula>
    </cfRule>
  </conditionalFormatting>
  <conditionalFormatting sqref="BB251:BB253">
    <cfRule type="cellIs" dxfId="3499" priority="3499" operator="lessThan">
      <formula>0</formula>
    </cfRule>
    <cfRule type="cellIs" dxfId="3498" priority="3500" operator="lessThan">
      <formula>-105575</formula>
    </cfRule>
  </conditionalFormatting>
  <conditionalFormatting sqref="BB251:BB253">
    <cfRule type="cellIs" dxfId="3497" priority="3497" operator="lessThan">
      <formula>0</formula>
    </cfRule>
    <cfRule type="cellIs" dxfId="3496" priority="3498" operator="lessThan">
      <formula>-105575</formula>
    </cfRule>
  </conditionalFormatting>
  <conditionalFormatting sqref="BB251:BB253">
    <cfRule type="cellIs" dxfId="3495" priority="3495" operator="lessThan">
      <formula>0</formula>
    </cfRule>
    <cfRule type="cellIs" dxfId="3494" priority="3496" operator="lessThan">
      <formula>-105575</formula>
    </cfRule>
  </conditionalFormatting>
  <conditionalFormatting sqref="BB251:BB253">
    <cfRule type="cellIs" dxfId="3493" priority="3493" operator="lessThan">
      <formula>0</formula>
    </cfRule>
    <cfRule type="cellIs" dxfId="3492" priority="3494" operator="lessThan">
      <formula>-105575</formula>
    </cfRule>
  </conditionalFormatting>
  <conditionalFormatting sqref="BB251:BB253">
    <cfRule type="cellIs" dxfId="3491" priority="3491" operator="lessThan">
      <formula>0</formula>
    </cfRule>
    <cfRule type="cellIs" dxfId="3490" priority="3492" operator="lessThan">
      <formula>-105575</formula>
    </cfRule>
  </conditionalFormatting>
  <conditionalFormatting sqref="BB251:BB253">
    <cfRule type="cellIs" dxfId="3489" priority="3489" operator="lessThan">
      <formula>0</formula>
    </cfRule>
    <cfRule type="cellIs" dxfId="3488" priority="3490" operator="lessThan">
      <formula>-105575</formula>
    </cfRule>
  </conditionalFormatting>
  <conditionalFormatting sqref="BB251:BB253">
    <cfRule type="cellIs" dxfId="3487" priority="3487" operator="lessThan">
      <formula>0</formula>
    </cfRule>
    <cfRule type="cellIs" dxfId="3486" priority="3488" operator="lessThan">
      <formula>-105575</formula>
    </cfRule>
  </conditionalFormatting>
  <conditionalFormatting sqref="BB251:BB253">
    <cfRule type="cellIs" dxfId="3485" priority="3485" operator="lessThan">
      <formula>0</formula>
    </cfRule>
    <cfRule type="cellIs" dxfId="3484" priority="3486" operator="lessThan">
      <formula>-105575</formula>
    </cfRule>
  </conditionalFormatting>
  <conditionalFormatting sqref="BB255:BB257">
    <cfRule type="cellIs" dxfId="3483" priority="3483" operator="lessThan">
      <formula>0</formula>
    </cfRule>
    <cfRule type="cellIs" dxfId="3482" priority="3484" operator="lessThan">
      <formula>-105575</formula>
    </cfRule>
  </conditionalFormatting>
  <conditionalFormatting sqref="BB255:BB257">
    <cfRule type="cellIs" dxfId="3481" priority="3481" operator="lessThan">
      <formula>0</formula>
    </cfRule>
    <cfRule type="cellIs" dxfId="3480" priority="3482" operator="lessThan">
      <formula>-105575</formula>
    </cfRule>
  </conditionalFormatting>
  <conditionalFormatting sqref="BB255:BB257">
    <cfRule type="cellIs" dxfId="3479" priority="3479" operator="lessThan">
      <formula>0</formula>
    </cfRule>
    <cfRule type="cellIs" dxfId="3478" priority="3480" operator="lessThan">
      <formula>-105575</formula>
    </cfRule>
  </conditionalFormatting>
  <conditionalFormatting sqref="BB255:BB257">
    <cfRule type="cellIs" dxfId="3477" priority="3477" operator="lessThan">
      <formula>0</formula>
    </cfRule>
    <cfRule type="cellIs" dxfId="3476" priority="3478" operator="lessThan">
      <formula>-105575</formula>
    </cfRule>
  </conditionalFormatting>
  <conditionalFormatting sqref="BB255:BB257">
    <cfRule type="cellIs" dxfId="3475" priority="3475" operator="lessThan">
      <formula>0</formula>
    </cfRule>
    <cfRule type="cellIs" dxfId="3474" priority="3476" operator="lessThan">
      <formula>-105575</formula>
    </cfRule>
  </conditionalFormatting>
  <conditionalFormatting sqref="BB255:BB257">
    <cfRule type="cellIs" dxfId="3473" priority="3473" operator="lessThan">
      <formula>0</formula>
    </cfRule>
    <cfRule type="cellIs" dxfId="3472" priority="3474" operator="lessThan">
      <formula>-105575</formula>
    </cfRule>
  </conditionalFormatting>
  <conditionalFormatting sqref="BB255:BB257">
    <cfRule type="cellIs" dxfId="3471" priority="3471" operator="lessThan">
      <formula>0</formula>
    </cfRule>
    <cfRule type="cellIs" dxfId="3470" priority="3472" operator="lessThan">
      <formula>-105575</formula>
    </cfRule>
  </conditionalFormatting>
  <conditionalFormatting sqref="BB255:BB257">
    <cfRule type="cellIs" dxfId="3469" priority="3469" operator="lessThan">
      <formula>0</formula>
    </cfRule>
    <cfRule type="cellIs" dxfId="3468" priority="3470" operator="lessThan">
      <formula>-105575</formula>
    </cfRule>
  </conditionalFormatting>
  <conditionalFormatting sqref="BB255:BB257">
    <cfRule type="cellIs" dxfId="3467" priority="3467" operator="lessThan">
      <formula>0</formula>
    </cfRule>
    <cfRule type="cellIs" dxfId="3466" priority="3468" operator="lessThan">
      <formula>-105575</formula>
    </cfRule>
  </conditionalFormatting>
  <conditionalFormatting sqref="BB260:BB262">
    <cfRule type="cellIs" dxfId="3465" priority="3465" operator="lessThan">
      <formula>0</formula>
    </cfRule>
    <cfRule type="cellIs" dxfId="3464" priority="3466" operator="lessThan">
      <formula>-105575</formula>
    </cfRule>
  </conditionalFormatting>
  <conditionalFormatting sqref="BB260:BB262">
    <cfRule type="cellIs" dxfId="3463" priority="3463" operator="lessThan">
      <formula>0</formula>
    </cfRule>
    <cfRule type="cellIs" dxfId="3462" priority="3464" operator="lessThan">
      <formula>-105575</formula>
    </cfRule>
  </conditionalFormatting>
  <conditionalFormatting sqref="BB260:BB262">
    <cfRule type="cellIs" dxfId="3461" priority="3461" operator="lessThan">
      <formula>0</formula>
    </cfRule>
    <cfRule type="cellIs" dxfId="3460" priority="3462" operator="lessThan">
      <formula>-105575</formula>
    </cfRule>
  </conditionalFormatting>
  <conditionalFormatting sqref="BB260:BB262">
    <cfRule type="cellIs" dxfId="3459" priority="3459" operator="lessThan">
      <formula>0</formula>
    </cfRule>
    <cfRule type="cellIs" dxfId="3458" priority="3460" operator="lessThan">
      <formula>-105575</formula>
    </cfRule>
  </conditionalFormatting>
  <conditionalFormatting sqref="BB260:BB262">
    <cfRule type="cellIs" dxfId="3457" priority="3457" operator="lessThan">
      <formula>0</formula>
    </cfRule>
    <cfRule type="cellIs" dxfId="3456" priority="3458" operator="lessThan">
      <formula>-105575</formula>
    </cfRule>
  </conditionalFormatting>
  <conditionalFormatting sqref="BB260:BB262">
    <cfRule type="cellIs" dxfId="3455" priority="3455" operator="lessThan">
      <formula>0</formula>
    </cfRule>
    <cfRule type="cellIs" dxfId="3454" priority="3456" operator="lessThan">
      <formula>-105575</formula>
    </cfRule>
  </conditionalFormatting>
  <conditionalFormatting sqref="BB260:BB262">
    <cfRule type="cellIs" dxfId="3453" priority="3453" operator="lessThan">
      <formula>0</formula>
    </cfRule>
    <cfRule type="cellIs" dxfId="3452" priority="3454" operator="lessThan">
      <formula>-105575</formula>
    </cfRule>
  </conditionalFormatting>
  <conditionalFormatting sqref="BB260:BB262">
    <cfRule type="cellIs" dxfId="3451" priority="3451" operator="lessThan">
      <formula>0</formula>
    </cfRule>
    <cfRule type="cellIs" dxfId="3450" priority="3452" operator="lessThan">
      <formula>-105575</formula>
    </cfRule>
  </conditionalFormatting>
  <conditionalFormatting sqref="BB260:BB262">
    <cfRule type="cellIs" dxfId="3449" priority="3449" operator="lessThan">
      <formula>0</formula>
    </cfRule>
    <cfRule type="cellIs" dxfId="3448" priority="3450" operator="lessThan">
      <formula>-105575</formula>
    </cfRule>
  </conditionalFormatting>
  <conditionalFormatting sqref="BB264:BB267">
    <cfRule type="cellIs" dxfId="3447" priority="3447" operator="lessThan">
      <formula>0</formula>
    </cfRule>
    <cfRule type="cellIs" dxfId="3446" priority="3448" operator="lessThan">
      <formula>-105575</formula>
    </cfRule>
  </conditionalFormatting>
  <conditionalFormatting sqref="BB264:BB267">
    <cfRule type="cellIs" dxfId="3445" priority="3445" operator="lessThan">
      <formula>0</formula>
    </cfRule>
    <cfRule type="cellIs" dxfId="3444" priority="3446" operator="lessThan">
      <formula>-105575</formula>
    </cfRule>
  </conditionalFormatting>
  <conditionalFormatting sqref="BB264:BB267">
    <cfRule type="cellIs" dxfId="3443" priority="3443" operator="lessThan">
      <formula>0</formula>
    </cfRule>
    <cfRule type="cellIs" dxfId="3442" priority="3444" operator="lessThan">
      <formula>-105575</formula>
    </cfRule>
  </conditionalFormatting>
  <conditionalFormatting sqref="BB264:BB267">
    <cfRule type="cellIs" dxfId="3441" priority="3441" operator="lessThan">
      <formula>0</formula>
    </cfRule>
    <cfRule type="cellIs" dxfId="3440" priority="3442" operator="lessThan">
      <formula>-105575</formula>
    </cfRule>
  </conditionalFormatting>
  <conditionalFormatting sqref="BB264:BB267">
    <cfRule type="cellIs" dxfId="3439" priority="3439" operator="lessThan">
      <formula>0</formula>
    </cfRule>
    <cfRule type="cellIs" dxfId="3438" priority="3440" operator="lessThan">
      <formula>-105575</formula>
    </cfRule>
  </conditionalFormatting>
  <conditionalFormatting sqref="BB264:BB267">
    <cfRule type="cellIs" dxfId="3437" priority="3437" operator="lessThan">
      <formula>0</formula>
    </cfRule>
    <cfRule type="cellIs" dxfId="3436" priority="3438" operator="lessThan">
      <formula>-105575</formula>
    </cfRule>
  </conditionalFormatting>
  <conditionalFormatting sqref="BB264:BB267">
    <cfRule type="cellIs" dxfId="3435" priority="3435" operator="lessThan">
      <formula>0</formula>
    </cfRule>
    <cfRule type="cellIs" dxfId="3434" priority="3436" operator="lessThan">
      <formula>-105575</formula>
    </cfRule>
  </conditionalFormatting>
  <conditionalFormatting sqref="BB264:BB267">
    <cfRule type="cellIs" dxfId="3433" priority="3433" operator="lessThan">
      <formula>0</formula>
    </cfRule>
    <cfRule type="cellIs" dxfId="3432" priority="3434" operator="lessThan">
      <formula>-105575</formula>
    </cfRule>
  </conditionalFormatting>
  <conditionalFormatting sqref="BB264:BB267">
    <cfRule type="cellIs" dxfId="3431" priority="3431" operator="lessThan">
      <formula>0</formula>
    </cfRule>
    <cfRule type="cellIs" dxfId="3430" priority="3432" operator="lessThan">
      <formula>-105575</formula>
    </cfRule>
  </conditionalFormatting>
  <conditionalFormatting sqref="BB270:BB272">
    <cfRule type="cellIs" dxfId="3429" priority="3429" operator="lessThan">
      <formula>0</formula>
    </cfRule>
    <cfRule type="cellIs" dxfId="3428" priority="3430" operator="lessThan">
      <formula>-105575</formula>
    </cfRule>
  </conditionalFormatting>
  <conditionalFormatting sqref="BB270:BB272">
    <cfRule type="cellIs" dxfId="3427" priority="3427" operator="lessThan">
      <formula>0</formula>
    </cfRule>
    <cfRule type="cellIs" dxfId="3426" priority="3428" operator="lessThan">
      <formula>-105575</formula>
    </cfRule>
  </conditionalFormatting>
  <conditionalFormatting sqref="BB270:BB272">
    <cfRule type="cellIs" dxfId="3425" priority="3425" operator="lessThan">
      <formula>0</formula>
    </cfRule>
    <cfRule type="cellIs" dxfId="3424" priority="3426" operator="lessThan">
      <formula>-105575</formula>
    </cfRule>
  </conditionalFormatting>
  <conditionalFormatting sqref="BB270:BB272">
    <cfRule type="cellIs" dxfId="3423" priority="3423" operator="lessThan">
      <formula>0</formula>
    </cfRule>
    <cfRule type="cellIs" dxfId="3422" priority="3424" operator="lessThan">
      <formula>-105575</formula>
    </cfRule>
  </conditionalFormatting>
  <conditionalFormatting sqref="BB270:BB272">
    <cfRule type="cellIs" dxfId="3421" priority="3421" operator="lessThan">
      <formula>0</formula>
    </cfRule>
    <cfRule type="cellIs" dxfId="3420" priority="3422" operator="lessThan">
      <formula>-105575</formula>
    </cfRule>
  </conditionalFormatting>
  <conditionalFormatting sqref="BB270:BB272">
    <cfRule type="cellIs" dxfId="3419" priority="3419" operator="lessThan">
      <formula>0</formula>
    </cfRule>
    <cfRule type="cellIs" dxfId="3418" priority="3420" operator="lessThan">
      <formula>-105575</formula>
    </cfRule>
  </conditionalFormatting>
  <conditionalFormatting sqref="BB270:BB272">
    <cfRule type="cellIs" dxfId="3417" priority="3417" operator="lessThan">
      <formula>0</formula>
    </cfRule>
    <cfRule type="cellIs" dxfId="3416" priority="3418" operator="lessThan">
      <formula>-105575</formula>
    </cfRule>
  </conditionalFormatting>
  <conditionalFormatting sqref="BB270:BB272">
    <cfRule type="cellIs" dxfId="3415" priority="3415" operator="lessThan">
      <formula>0</formula>
    </cfRule>
    <cfRule type="cellIs" dxfId="3414" priority="3416" operator="lessThan">
      <formula>-105575</formula>
    </cfRule>
  </conditionalFormatting>
  <conditionalFormatting sqref="BB270:BB272">
    <cfRule type="cellIs" dxfId="3413" priority="3413" operator="lessThan">
      <formula>0</formula>
    </cfRule>
    <cfRule type="cellIs" dxfId="3412" priority="3414" operator="lessThan">
      <formula>-105575</formula>
    </cfRule>
  </conditionalFormatting>
  <conditionalFormatting sqref="BB274:BB275">
    <cfRule type="cellIs" dxfId="3411" priority="3411" operator="lessThan">
      <formula>0</formula>
    </cfRule>
    <cfRule type="cellIs" dxfId="3410" priority="3412" operator="lessThan">
      <formula>-105575</formula>
    </cfRule>
  </conditionalFormatting>
  <conditionalFormatting sqref="BB274:BB275">
    <cfRule type="cellIs" dxfId="3409" priority="3409" operator="lessThan">
      <formula>0</formula>
    </cfRule>
    <cfRule type="cellIs" dxfId="3408" priority="3410" operator="lessThan">
      <formula>-105575</formula>
    </cfRule>
  </conditionalFormatting>
  <conditionalFormatting sqref="BB274:BB275">
    <cfRule type="cellIs" dxfId="3407" priority="3407" operator="lessThan">
      <formula>0</formula>
    </cfRule>
    <cfRule type="cellIs" dxfId="3406" priority="3408" operator="lessThan">
      <formula>-105575</formula>
    </cfRule>
  </conditionalFormatting>
  <conditionalFormatting sqref="BB274:BB275">
    <cfRule type="cellIs" dxfId="3405" priority="3405" operator="lessThan">
      <formula>0</formula>
    </cfRule>
    <cfRule type="cellIs" dxfId="3404" priority="3406" operator="lessThan">
      <formula>-105575</formula>
    </cfRule>
  </conditionalFormatting>
  <conditionalFormatting sqref="BB274:BB275">
    <cfRule type="cellIs" dxfId="3403" priority="3403" operator="lessThan">
      <formula>0</formula>
    </cfRule>
    <cfRule type="cellIs" dxfId="3402" priority="3404" operator="lessThan">
      <formula>-105575</formula>
    </cfRule>
  </conditionalFormatting>
  <conditionalFormatting sqref="BB274:BB275">
    <cfRule type="cellIs" dxfId="3401" priority="3401" operator="lessThan">
      <formula>0</formula>
    </cfRule>
    <cfRule type="cellIs" dxfId="3400" priority="3402" operator="lessThan">
      <formula>-105575</formula>
    </cfRule>
  </conditionalFormatting>
  <conditionalFormatting sqref="BB274:BB275">
    <cfRule type="cellIs" dxfId="3399" priority="3399" operator="lessThan">
      <formula>0</formula>
    </cfRule>
    <cfRule type="cellIs" dxfId="3398" priority="3400" operator="lessThan">
      <formula>-105575</formula>
    </cfRule>
  </conditionalFormatting>
  <conditionalFormatting sqref="BB274:BB275">
    <cfRule type="cellIs" dxfId="3397" priority="3397" operator="lessThan">
      <formula>0</formula>
    </cfRule>
    <cfRule type="cellIs" dxfId="3396" priority="3398" operator="lessThan">
      <formula>-105575</formula>
    </cfRule>
  </conditionalFormatting>
  <conditionalFormatting sqref="BB274:BB275">
    <cfRule type="cellIs" dxfId="3395" priority="3395" operator="lessThan">
      <formula>0</formula>
    </cfRule>
    <cfRule type="cellIs" dxfId="3394" priority="3396" operator="lessThan">
      <formula>-105575</formula>
    </cfRule>
  </conditionalFormatting>
  <conditionalFormatting sqref="BB278:BB282">
    <cfRule type="cellIs" dxfId="3393" priority="3393" operator="lessThan">
      <formula>0</formula>
    </cfRule>
    <cfRule type="cellIs" dxfId="3392" priority="3394" operator="lessThan">
      <formula>-105575</formula>
    </cfRule>
  </conditionalFormatting>
  <conditionalFormatting sqref="BB278:BB282">
    <cfRule type="cellIs" dxfId="3391" priority="3391" operator="lessThan">
      <formula>0</formula>
    </cfRule>
    <cfRule type="cellIs" dxfId="3390" priority="3392" operator="lessThan">
      <formula>-105575</formula>
    </cfRule>
  </conditionalFormatting>
  <conditionalFormatting sqref="BB278:BB282">
    <cfRule type="cellIs" dxfId="3389" priority="3389" operator="lessThan">
      <formula>0</formula>
    </cfRule>
    <cfRule type="cellIs" dxfId="3388" priority="3390" operator="lessThan">
      <formula>-105575</formula>
    </cfRule>
  </conditionalFormatting>
  <conditionalFormatting sqref="BB278:BB282">
    <cfRule type="cellIs" dxfId="3387" priority="3387" operator="lessThan">
      <formula>0</formula>
    </cfRule>
    <cfRule type="cellIs" dxfId="3386" priority="3388" operator="lessThan">
      <formula>-105575</formula>
    </cfRule>
  </conditionalFormatting>
  <conditionalFormatting sqref="BB278:BB282">
    <cfRule type="cellIs" dxfId="3385" priority="3385" operator="lessThan">
      <formula>0</formula>
    </cfRule>
    <cfRule type="cellIs" dxfId="3384" priority="3386" operator="lessThan">
      <formula>-105575</formula>
    </cfRule>
  </conditionalFormatting>
  <conditionalFormatting sqref="BB278:BB282">
    <cfRule type="cellIs" dxfId="3383" priority="3383" operator="lessThan">
      <formula>0</formula>
    </cfRule>
    <cfRule type="cellIs" dxfId="3382" priority="3384" operator="lessThan">
      <formula>-105575</formula>
    </cfRule>
  </conditionalFormatting>
  <conditionalFormatting sqref="BB278:BB282">
    <cfRule type="cellIs" dxfId="3381" priority="3381" operator="lessThan">
      <formula>0</formula>
    </cfRule>
    <cfRule type="cellIs" dxfId="3380" priority="3382" operator="lessThan">
      <formula>-105575</formula>
    </cfRule>
  </conditionalFormatting>
  <conditionalFormatting sqref="BB278:BB282">
    <cfRule type="cellIs" dxfId="3379" priority="3379" operator="lessThan">
      <formula>0</formula>
    </cfRule>
    <cfRule type="cellIs" dxfId="3378" priority="3380" operator="lessThan">
      <formula>-105575</formula>
    </cfRule>
  </conditionalFormatting>
  <conditionalFormatting sqref="BB278:BB282">
    <cfRule type="cellIs" dxfId="3377" priority="3377" operator="lessThan">
      <formula>0</formula>
    </cfRule>
    <cfRule type="cellIs" dxfId="3376" priority="3378" operator="lessThan">
      <formula>-105575</formula>
    </cfRule>
  </conditionalFormatting>
  <conditionalFormatting sqref="BB285:BB288">
    <cfRule type="cellIs" dxfId="3375" priority="3375" operator="lessThan">
      <formula>0</formula>
    </cfRule>
    <cfRule type="cellIs" dxfId="3374" priority="3376" operator="lessThan">
      <formula>-105575</formula>
    </cfRule>
  </conditionalFormatting>
  <conditionalFormatting sqref="BB285:BB288">
    <cfRule type="cellIs" dxfId="3373" priority="3373" operator="lessThan">
      <formula>0</formula>
    </cfRule>
    <cfRule type="cellIs" dxfId="3372" priority="3374" operator="lessThan">
      <formula>-105575</formula>
    </cfRule>
  </conditionalFormatting>
  <conditionalFormatting sqref="BB285:BB288">
    <cfRule type="cellIs" dxfId="3371" priority="3371" operator="lessThan">
      <formula>0</formula>
    </cfRule>
    <cfRule type="cellIs" dxfId="3370" priority="3372" operator="lessThan">
      <formula>-105575</formula>
    </cfRule>
  </conditionalFormatting>
  <conditionalFormatting sqref="BB285:BB288">
    <cfRule type="cellIs" dxfId="3369" priority="3369" operator="lessThan">
      <formula>0</formula>
    </cfRule>
    <cfRule type="cellIs" dxfId="3368" priority="3370" operator="lessThan">
      <formula>-105575</formula>
    </cfRule>
  </conditionalFormatting>
  <conditionalFormatting sqref="BB285:BB288">
    <cfRule type="cellIs" dxfId="3367" priority="3367" operator="lessThan">
      <formula>0</formula>
    </cfRule>
    <cfRule type="cellIs" dxfId="3366" priority="3368" operator="lessThan">
      <formula>-105575</formula>
    </cfRule>
  </conditionalFormatting>
  <conditionalFormatting sqref="BB285:BB288">
    <cfRule type="cellIs" dxfId="3365" priority="3365" operator="lessThan">
      <formula>0</formula>
    </cfRule>
    <cfRule type="cellIs" dxfId="3364" priority="3366" operator="lessThan">
      <formula>-105575</formula>
    </cfRule>
  </conditionalFormatting>
  <conditionalFormatting sqref="BB285:BB288">
    <cfRule type="cellIs" dxfId="3363" priority="3363" operator="lessThan">
      <formula>0</formula>
    </cfRule>
    <cfRule type="cellIs" dxfId="3362" priority="3364" operator="lessThan">
      <formula>-105575</formula>
    </cfRule>
  </conditionalFormatting>
  <conditionalFormatting sqref="BB285:BB288">
    <cfRule type="cellIs" dxfId="3361" priority="3361" operator="lessThan">
      <formula>0</formula>
    </cfRule>
    <cfRule type="cellIs" dxfId="3360" priority="3362" operator="lessThan">
      <formula>-105575</formula>
    </cfRule>
  </conditionalFormatting>
  <conditionalFormatting sqref="BB285:BB288">
    <cfRule type="cellIs" dxfId="3359" priority="3359" operator="lessThan">
      <formula>0</formula>
    </cfRule>
    <cfRule type="cellIs" dxfId="3358" priority="3360" operator="lessThan">
      <formula>-105575</formula>
    </cfRule>
  </conditionalFormatting>
  <conditionalFormatting sqref="BB203 BB220:BB221 BB235:BB243 BB231:BB233 BB212:BB213 BB225:BB226">
    <cfRule type="cellIs" dxfId="3357" priority="3357" operator="lessThan">
      <formula>0</formula>
    </cfRule>
    <cfRule type="cellIs" dxfId="3356" priority="3358" operator="lessThan">
      <formula>-105575</formula>
    </cfRule>
  </conditionalFormatting>
  <conditionalFormatting sqref="BB220 BB212:BB213 BB235:BB238 BB240:BB243 BB225:BB226 BB231:BB233">
    <cfRule type="cellIs" dxfId="3355" priority="3355" operator="lessThan">
      <formula>0</formula>
    </cfRule>
    <cfRule type="cellIs" dxfId="3354" priority="3356" operator="lessThan">
      <formula>-105575</formula>
    </cfRule>
  </conditionalFormatting>
  <conditionalFormatting sqref="BB220:BB221 BB243 BB226 BB231:BB236 BB238:BB241 BB203 BB213">
    <cfRule type="cellIs" dxfId="3353" priority="3353" operator="lessThan">
      <formula>0</formula>
    </cfRule>
    <cfRule type="cellIs" dxfId="3352" priority="3354" operator="lessThan">
      <formula>-105575</formula>
    </cfRule>
  </conditionalFormatting>
  <conditionalFormatting sqref="BB235:BB243 BB231:BB233 BB220 BB212:BB213 BB225:BB226">
    <cfRule type="cellIs" dxfId="3351" priority="3351" operator="lessThan">
      <formula>0</formula>
    </cfRule>
    <cfRule type="cellIs" dxfId="3350" priority="3352" operator="lessThan">
      <formula>-105575</formula>
    </cfRule>
  </conditionalFormatting>
  <conditionalFormatting sqref="BB220:BB221 BB237:BB243 BB203 BB231:BB235 BB212:BB213 BB225:BB226">
    <cfRule type="cellIs" dxfId="3349" priority="3349" operator="lessThan">
      <formula>0</formula>
    </cfRule>
    <cfRule type="cellIs" dxfId="3348" priority="3350" operator="lessThan">
      <formula>-105575</formula>
    </cfRule>
  </conditionalFormatting>
  <conditionalFormatting sqref="BB220:BB221 BB237:BB240 BB242:BB243 BB225:BB226 BB231:BB235">
    <cfRule type="cellIs" dxfId="3347" priority="3347" operator="lessThan">
      <formula>0</formula>
    </cfRule>
    <cfRule type="cellIs" dxfId="3346" priority="3348" operator="lessThan">
      <formula>-105575</formula>
    </cfRule>
  </conditionalFormatting>
  <conditionalFormatting sqref="BB212 BB231 BB233:BB238 BB240:BB243 BB225">
    <cfRule type="cellIs" dxfId="3345" priority="3345" operator="lessThan">
      <formula>0</formula>
    </cfRule>
    <cfRule type="cellIs" dxfId="3344" priority="3346" operator="lessThan">
      <formula>-105575</formula>
    </cfRule>
  </conditionalFormatting>
  <conditionalFormatting sqref="BB237:BB243 BB231:BB235 BB220:BB221 BB225:BB226">
    <cfRule type="cellIs" dxfId="3343" priority="3343" operator="lessThan">
      <formula>0</formula>
    </cfRule>
    <cfRule type="cellIs" dxfId="3342" priority="3344" operator="lessThan">
      <formula>-105575</formula>
    </cfRule>
  </conditionalFormatting>
  <conditionalFormatting sqref="BB233:BB237 BB231 BB239:BB243">
    <cfRule type="cellIs" dxfId="3341" priority="3341" operator="lessThan">
      <formula>0</formula>
    </cfRule>
    <cfRule type="cellIs" dxfId="3340" priority="3342" operator="lessThan">
      <formula>-105575</formula>
    </cfRule>
  </conditionalFormatting>
  <conditionalFormatting sqref="BB233:BB237 BB231 BB239:BB243">
    <cfRule type="cellIs" dxfId="3339" priority="3339" operator="lessThan">
      <formula>0</formula>
    </cfRule>
    <cfRule type="cellIs" dxfId="3338" priority="3340" operator="lessThan">
      <formula>-105575</formula>
    </cfRule>
  </conditionalFormatting>
  <conditionalFormatting sqref="BB119:BB128 BB106:BB117 BB101:BB104 BB80:BB98">
    <cfRule type="cellIs" dxfId="3337" priority="3337" operator="lessThan">
      <formula>0</formula>
    </cfRule>
    <cfRule type="cellIs" dxfId="3336" priority="3338" operator="lessThan">
      <formula>-105575</formula>
    </cfRule>
  </conditionalFormatting>
  <conditionalFormatting sqref="BB130 BB132 BB134">
    <cfRule type="cellIs" dxfId="3335" priority="3335" operator="lessThan">
      <formula>0</formula>
    </cfRule>
    <cfRule type="cellIs" dxfId="3334" priority="3336" operator="lessThan">
      <formula>-105575</formula>
    </cfRule>
  </conditionalFormatting>
  <conditionalFormatting sqref="BB130 BB132 BB134">
    <cfRule type="cellIs" dxfId="3333" priority="3333" operator="lessThan">
      <formula>0</formula>
    </cfRule>
    <cfRule type="cellIs" dxfId="3332" priority="3334" operator="lessThan">
      <formula>-105575</formula>
    </cfRule>
  </conditionalFormatting>
  <conditionalFormatting sqref="BB129 BB131 BB133 BB135">
    <cfRule type="cellIs" dxfId="3331" priority="3331" operator="lessThan">
      <formula>0</formula>
    </cfRule>
    <cfRule type="cellIs" dxfId="3330" priority="3332" operator="lessThan">
      <formula>-105575</formula>
    </cfRule>
  </conditionalFormatting>
  <conditionalFormatting sqref="BB140 BB145 BB142:BB143 BB137:BB138">
    <cfRule type="cellIs" dxfId="3329" priority="3329" operator="lessThan">
      <formula>0</formula>
    </cfRule>
    <cfRule type="cellIs" dxfId="3328" priority="3330" operator="lessThan">
      <formula>-105575</formula>
    </cfRule>
  </conditionalFormatting>
  <conditionalFormatting sqref="BB149">
    <cfRule type="cellIs" dxfId="3327" priority="3327" operator="lessThan">
      <formula>0</formula>
    </cfRule>
    <cfRule type="cellIs" dxfId="3326" priority="3328" operator="lessThan">
      <formula>-105575</formula>
    </cfRule>
  </conditionalFormatting>
  <conditionalFormatting sqref="BB129:BB138 BB140:BB149">
    <cfRule type="cellIs" dxfId="3325" priority="3325" operator="lessThan">
      <formula>0</formula>
    </cfRule>
    <cfRule type="cellIs" dxfId="3324" priority="3326" operator="lessThan">
      <formula>-105575</formula>
    </cfRule>
  </conditionalFormatting>
  <conditionalFormatting sqref="BB94:BB98 BB86:BB87 BB89:BB91 BB141:BB149 BB124:BB133 BB107:BB110 BB112:BB117 BB119:BB122 BB135:BB138 BB101:BB104 BB80:BB84">
    <cfRule type="cellIs" dxfId="3323" priority="3323" operator="lessThan">
      <formula>0</formula>
    </cfRule>
    <cfRule type="cellIs" dxfId="3322" priority="3324" operator="lessThan">
      <formula>-105575</formula>
    </cfRule>
  </conditionalFormatting>
  <conditionalFormatting sqref="BB129 BB131 BB133 BB135">
    <cfRule type="cellIs" dxfId="3321" priority="3321" operator="lessThan">
      <formula>0</formula>
    </cfRule>
    <cfRule type="cellIs" dxfId="3320" priority="3322" operator="lessThan">
      <formula>-105575</formula>
    </cfRule>
  </conditionalFormatting>
  <conditionalFormatting sqref="BB146 BB144 BB141">
    <cfRule type="cellIs" dxfId="3319" priority="3319" operator="lessThan">
      <formula>0</formula>
    </cfRule>
    <cfRule type="cellIs" dxfId="3318" priority="3320" operator="lessThan">
      <formula>-105575</formula>
    </cfRule>
  </conditionalFormatting>
  <conditionalFormatting sqref="BB146 BB144 BB141">
    <cfRule type="cellIs" dxfId="3317" priority="3317" operator="lessThan">
      <formula>0</formula>
    </cfRule>
    <cfRule type="cellIs" dxfId="3316" priority="3318" operator="lessThan">
      <formula>-105575</formula>
    </cfRule>
  </conditionalFormatting>
  <conditionalFormatting sqref="BB140 BB145 BB142:BB143 BB137:BB138">
    <cfRule type="cellIs" dxfId="3315" priority="3315" operator="lessThan">
      <formula>0</formula>
    </cfRule>
    <cfRule type="cellIs" dxfId="3314" priority="3316" operator="lessThan">
      <formula>-105575</formula>
    </cfRule>
  </conditionalFormatting>
  <conditionalFormatting sqref="BB149">
    <cfRule type="cellIs" dxfId="3313" priority="3313" operator="lessThan">
      <formula>0</formula>
    </cfRule>
    <cfRule type="cellIs" dxfId="3312" priority="3314" operator="lessThan">
      <formula>-105575</formula>
    </cfRule>
  </conditionalFormatting>
  <conditionalFormatting sqref="BB94:BB98 BB86:BB87 BB89:BB91 BB141:BB149 BB124:BB133 BB107:BB110 BB112:BB117 BB119:BB122 BB135:BB138 BB101:BB104 BB80:BB84">
    <cfRule type="cellIs" dxfId="3311" priority="3311" operator="lessThan">
      <formula>0</formula>
    </cfRule>
    <cfRule type="cellIs" dxfId="3310" priority="3312" operator="lessThan">
      <formula>-105575</formula>
    </cfRule>
  </conditionalFormatting>
  <conditionalFormatting sqref="BB246:BB249 BB262 BB267 BB279:BB282 BB285:BB288 BB274:BB275 BB306:BB309 BB311:BB325 BB327:BB330 BB332:BB341 BB344:BB347 BB349:BB353 BB355:BB358 BB360:BB384 BB386:BB389 BB392:BB395 BB397:BB411 BB413:BB416 BB418:BB432 BB434:BB437 BB439:BB453 BB455:BB458 BB460:BB469 BB7:BB10 BB12:BB14 BB17:BB18 BB21:BB24 BB26:BB28 BB30:BB36 BB38 BB41:BB43 BB46:BB49 BB51:BB55 BB57:BB59 BB62:BB76 BB251:BB253 BB255:BB257 BB293:BB304 BB264:BB265 BB260 BB290:BB291 BB270:BB272">
    <cfRule type="cellIs" dxfId="3309" priority="3309" operator="lessThan">
      <formula>0</formula>
    </cfRule>
    <cfRule type="cellIs" dxfId="3308" priority="3310" operator="lessThan">
      <formula>-105575</formula>
    </cfRule>
  </conditionalFormatting>
  <conditionalFormatting sqref="BB41">
    <cfRule type="cellIs" dxfId="3307" priority="3307" operator="lessThan">
      <formula>0</formula>
    </cfRule>
    <cfRule type="cellIs" dxfId="3306" priority="3308" operator="lessThan">
      <formula>-105575</formula>
    </cfRule>
  </conditionalFormatting>
  <conditionalFormatting sqref="BB152:BB155">
    <cfRule type="cellIs" dxfId="3305" priority="3305" operator="lessThan">
      <formula>0</formula>
    </cfRule>
    <cfRule type="cellIs" dxfId="3304" priority="3306" operator="lessThan">
      <formula>-105575</formula>
    </cfRule>
  </conditionalFormatting>
  <conditionalFormatting sqref="BB152:BB155">
    <cfRule type="cellIs" dxfId="3303" priority="3303" operator="lessThan">
      <formula>0</formula>
    </cfRule>
    <cfRule type="cellIs" dxfId="3302" priority="3304" operator="lessThan">
      <formula>-105575</formula>
    </cfRule>
  </conditionalFormatting>
  <conditionalFormatting sqref="BB152:BB155">
    <cfRule type="cellIs" dxfId="3301" priority="3301" operator="lessThan">
      <formula>0</formula>
    </cfRule>
    <cfRule type="cellIs" dxfId="3300" priority="3302" operator="lessThan">
      <formula>-105575</formula>
    </cfRule>
  </conditionalFormatting>
  <conditionalFormatting sqref="BB157:BB158">
    <cfRule type="cellIs" dxfId="3299" priority="3299" operator="lessThan">
      <formula>0</formula>
    </cfRule>
    <cfRule type="cellIs" dxfId="3298" priority="3300" operator="lessThan">
      <formula>-105575</formula>
    </cfRule>
  </conditionalFormatting>
  <conditionalFormatting sqref="BB157:BB158">
    <cfRule type="cellIs" dxfId="3297" priority="3297" operator="lessThan">
      <formula>0</formula>
    </cfRule>
    <cfRule type="cellIs" dxfId="3296" priority="3298" operator="lessThan">
      <formula>-105575</formula>
    </cfRule>
  </conditionalFormatting>
  <conditionalFormatting sqref="BB157:BB158">
    <cfRule type="cellIs" dxfId="3295" priority="3295" operator="lessThan">
      <formula>0</formula>
    </cfRule>
    <cfRule type="cellIs" dxfId="3294" priority="3296" operator="lessThan">
      <formula>-105575</formula>
    </cfRule>
  </conditionalFormatting>
  <conditionalFormatting sqref="BB160:BB161">
    <cfRule type="cellIs" dxfId="3293" priority="3293" operator="lessThan">
      <formula>0</formula>
    </cfRule>
    <cfRule type="cellIs" dxfId="3292" priority="3294" operator="lessThan">
      <formula>-105575</formula>
    </cfRule>
  </conditionalFormatting>
  <conditionalFormatting sqref="BB160:BB161">
    <cfRule type="cellIs" dxfId="3291" priority="3291" operator="lessThan">
      <formula>0</formula>
    </cfRule>
    <cfRule type="cellIs" dxfId="3290" priority="3292" operator="lessThan">
      <formula>-105575</formula>
    </cfRule>
  </conditionalFormatting>
  <conditionalFormatting sqref="BB160:BB161">
    <cfRule type="cellIs" dxfId="3289" priority="3289" operator="lessThan">
      <formula>0</formula>
    </cfRule>
    <cfRule type="cellIs" dxfId="3288" priority="3290" operator="lessThan">
      <formula>-105575</formula>
    </cfRule>
  </conditionalFormatting>
  <conditionalFormatting sqref="BB164:BB167">
    <cfRule type="cellIs" dxfId="3287" priority="3287" operator="lessThan">
      <formula>0</formula>
    </cfRule>
    <cfRule type="cellIs" dxfId="3286" priority="3288" operator="lessThan">
      <formula>-105575</formula>
    </cfRule>
  </conditionalFormatting>
  <conditionalFormatting sqref="BB164:BB167">
    <cfRule type="cellIs" dxfId="3285" priority="3285" operator="lessThan">
      <formula>0</formula>
    </cfRule>
    <cfRule type="cellIs" dxfId="3284" priority="3286" operator="lessThan">
      <formula>-105575</formula>
    </cfRule>
  </conditionalFormatting>
  <conditionalFormatting sqref="BB164:BB167">
    <cfRule type="cellIs" dxfId="3283" priority="3283" operator="lessThan">
      <formula>0</formula>
    </cfRule>
    <cfRule type="cellIs" dxfId="3282" priority="3284" operator="lessThan">
      <formula>-105575</formula>
    </cfRule>
  </conditionalFormatting>
  <conditionalFormatting sqref="BB169:BB177">
    <cfRule type="cellIs" dxfId="3281" priority="3281" operator="lessThan">
      <formula>0</formula>
    </cfRule>
    <cfRule type="cellIs" dxfId="3280" priority="3282" operator="lessThan">
      <formula>-105575</formula>
    </cfRule>
  </conditionalFormatting>
  <conditionalFormatting sqref="BB169:BB177">
    <cfRule type="cellIs" dxfId="3279" priority="3279" operator="lessThan">
      <formula>0</formula>
    </cfRule>
    <cfRule type="cellIs" dxfId="3278" priority="3280" operator="lessThan">
      <formula>-105575</formula>
    </cfRule>
  </conditionalFormatting>
  <conditionalFormatting sqref="BB169:BB177">
    <cfRule type="cellIs" dxfId="3277" priority="3277" operator="lessThan">
      <formula>0</formula>
    </cfRule>
    <cfRule type="cellIs" dxfId="3276" priority="3278" operator="lessThan">
      <formula>-105575</formula>
    </cfRule>
  </conditionalFormatting>
  <conditionalFormatting sqref="BB179:BB180">
    <cfRule type="cellIs" dxfId="3275" priority="3275" operator="lessThan">
      <formula>0</formula>
    </cfRule>
    <cfRule type="cellIs" dxfId="3274" priority="3276" operator="lessThan">
      <formula>-105575</formula>
    </cfRule>
  </conditionalFormatting>
  <conditionalFormatting sqref="BB179:BB180">
    <cfRule type="cellIs" dxfId="3273" priority="3273" operator="lessThan">
      <formula>0</formula>
    </cfRule>
    <cfRule type="cellIs" dxfId="3272" priority="3274" operator="lessThan">
      <formula>-105575</formula>
    </cfRule>
  </conditionalFormatting>
  <conditionalFormatting sqref="BB179:BB180">
    <cfRule type="cellIs" dxfId="3271" priority="3271" operator="lessThan">
      <formula>0</formula>
    </cfRule>
    <cfRule type="cellIs" dxfId="3270" priority="3272" operator="lessThan">
      <formula>-105575</formula>
    </cfRule>
  </conditionalFormatting>
  <conditionalFormatting sqref="BB183:BB189">
    <cfRule type="cellIs" dxfId="3269" priority="3269" operator="lessThan">
      <formula>0</formula>
    </cfRule>
    <cfRule type="cellIs" dxfId="3268" priority="3270" operator="lessThan">
      <formula>-105575</formula>
    </cfRule>
  </conditionalFormatting>
  <conditionalFormatting sqref="BB183:BB189">
    <cfRule type="cellIs" dxfId="3267" priority="3267" operator="lessThan">
      <formula>0</formula>
    </cfRule>
    <cfRule type="cellIs" dxfId="3266" priority="3268" operator="lessThan">
      <formula>-105575</formula>
    </cfRule>
  </conditionalFormatting>
  <conditionalFormatting sqref="BB183:BB189">
    <cfRule type="cellIs" dxfId="3265" priority="3265" operator="lessThan">
      <formula>0</formula>
    </cfRule>
    <cfRule type="cellIs" dxfId="3264" priority="3266" operator="lessThan">
      <formula>-105575</formula>
    </cfRule>
  </conditionalFormatting>
  <conditionalFormatting sqref="BB191:BB192">
    <cfRule type="cellIs" dxfId="3263" priority="3263" operator="lessThan">
      <formula>0</formula>
    </cfRule>
    <cfRule type="cellIs" dxfId="3262" priority="3264" operator="lessThan">
      <formula>-105575</formula>
    </cfRule>
  </conditionalFormatting>
  <conditionalFormatting sqref="BB191:BB192">
    <cfRule type="cellIs" dxfId="3261" priority="3261" operator="lessThan">
      <formula>0</formula>
    </cfRule>
    <cfRule type="cellIs" dxfId="3260" priority="3262" operator="lessThan">
      <formula>-105575</formula>
    </cfRule>
  </conditionalFormatting>
  <conditionalFormatting sqref="BB191:BB192">
    <cfRule type="cellIs" dxfId="3259" priority="3259" operator="lessThan">
      <formula>0</formula>
    </cfRule>
    <cfRule type="cellIs" dxfId="3258" priority="3260" operator="lessThan">
      <formula>-105575</formula>
    </cfRule>
  </conditionalFormatting>
  <conditionalFormatting sqref="BB194:BB195">
    <cfRule type="cellIs" dxfId="3257" priority="3257" operator="lessThan">
      <formula>0</formula>
    </cfRule>
    <cfRule type="cellIs" dxfId="3256" priority="3258" operator="lessThan">
      <formula>-105575</formula>
    </cfRule>
  </conditionalFormatting>
  <conditionalFormatting sqref="BB194:BB195">
    <cfRule type="cellIs" dxfId="3255" priority="3255" operator="lessThan">
      <formula>0</formula>
    </cfRule>
    <cfRule type="cellIs" dxfId="3254" priority="3256" operator="lessThan">
      <formula>-105575</formula>
    </cfRule>
  </conditionalFormatting>
  <conditionalFormatting sqref="BB194:BB195">
    <cfRule type="cellIs" dxfId="3253" priority="3253" operator="lessThan">
      <formula>0</formula>
    </cfRule>
    <cfRule type="cellIs" dxfId="3252" priority="3254" operator="lessThan">
      <formula>-105575</formula>
    </cfRule>
  </conditionalFormatting>
  <conditionalFormatting sqref="BB199:BB202">
    <cfRule type="cellIs" dxfId="3251" priority="3251" operator="lessThan">
      <formula>0</formula>
    </cfRule>
    <cfRule type="cellIs" dxfId="3250" priority="3252" operator="lessThan">
      <formula>-105575</formula>
    </cfRule>
  </conditionalFormatting>
  <conditionalFormatting sqref="BB199:BB202">
    <cfRule type="cellIs" dxfId="3249" priority="3249" operator="lessThan">
      <formula>0</formula>
    </cfRule>
    <cfRule type="cellIs" dxfId="3248" priority="3250" operator="lessThan">
      <formula>-105575</formula>
    </cfRule>
  </conditionalFormatting>
  <conditionalFormatting sqref="BB199:BB202">
    <cfRule type="cellIs" dxfId="3247" priority="3247" operator="lessThan">
      <formula>0</formula>
    </cfRule>
    <cfRule type="cellIs" dxfId="3246" priority="3248" operator="lessThan">
      <formula>-105575</formula>
    </cfRule>
  </conditionalFormatting>
  <conditionalFormatting sqref="BB204:BB208">
    <cfRule type="cellIs" dxfId="3245" priority="3245" operator="lessThan">
      <formula>0</formula>
    </cfRule>
    <cfRule type="cellIs" dxfId="3244" priority="3246" operator="lessThan">
      <formula>-105575</formula>
    </cfRule>
  </conditionalFormatting>
  <conditionalFormatting sqref="BB204:BB208">
    <cfRule type="cellIs" dxfId="3243" priority="3243" operator="lessThan">
      <formula>0</formula>
    </cfRule>
    <cfRule type="cellIs" dxfId="3242" priority="3244" operator="lessThan">
      <formula>-105575</formula>
    </cfRule>
  </conditionalFormatting>
  <conditionalFormatting sqref="BB204:BB208">
    <cfRule type="cellIs" dxfId="3241" priority="3241" operator="lessThan">
      <formula>0</formula>
    </cfRule>
    <cfRule type="cellIs" dxfId="3240" priority="3242" operator="lessThan">
      <formula>-105575</formula>
    </cfRule>
  </conditionalFormatting>
  <conditionalFormatting sqref="BB210:BB211">
    <cfRule type="cellIs" dxfId="3239" priority="3239" operator="lessThan">
      <formula>0</formula>
    </cfRule>
    <cfRule type="cellIs" dxfId="3238" priority="3240" operator="lessThan">
      <formula>-105575</formula>
    </cfRule>
  </conditionalFormatting>
  <conditionalFormatting sqref="BB210:BB211">
    <cfRule type="cellIs" dxfId="3237" priority="3237" operator="lessThan">
      <formula>0</formula>
    </cfRule>
    <cfRule type="cellIs" dxfId="3236" priority="3238" operator="lessThan">
      <formula>-105575</formula>
    </cfRule>
  </conditionalFormatting>
  <conditionalFormatting sqref="BB210:BB211">
    <cfRule type="cellIs" dxfId="3235" priority="3235" operator="lessThan">
      <formula>0</formula>
    </cfRule>
    <cfRule type="cellIs" dxfId="3234" priority="3236" operator="lessThan">
      <formula>-105575</formula>
    </cfRule>
  </conditionalFormatting>
  <conditionalFormatting sqref="BB214:BB219">
    <cfRule type="cellIs" dxfId="3233" priority="3233" operator="lessThan">
      <formula>0</formula>
    </cfRule>
    <cfRule type="cellIs" dxfId="3232" priority="3234" operator="lessThan">
      <formula>-105575</formula>
    </cfRule>
  </conditionalFormatting>
  <conditionalFormatting sqref="BB214:BB219">
    <cfRule type="cellIs" dxfId="3231" priority="3231" operator="lessThan">
      <formula>0</formula>
    </cfRule>
    <cfRule type="cellIs" dxfId="3230" priority="3232" operator="lessThan">
      <formula>-105575</formula>
    </cfRule>
  </conditionalFormatting>
  <conditionalFormatting sqref="BB214:BB219">
    <cfRule type="cellIs" dxfId="3229" priority="3229" operator="lessThan">
      <formula>0</formula>
    </cfRule>
    <cfRule type="cellIs" dxfId="3228" priority="3230" operator="lessThan">
      <formula>-105575</formula>
    </cfRule>
  </conditionalFormatting>
  <conditionalFormatting sqref="BB222:BB224">
    <cfRule type="cellIs" dxfId="3227" priority="3227" operator="lessThan">
      <formula>0</formula>
    </cfRule>
    <cfRule type="cellIs" dxfId="3226" priority="3228" operator="lessThan">
      <formula>-105575</formula>
    </cfRule>
  </conditionalFormatting>
  <conditionalFormatting sqref="BB222:BB224">
    <cfRule type="cellIs" dxfId="3225" priority="3225" operator="lessThan">
      <formula>0</formula>
    </cfRule>
    <cfRule type="cellIs" dxfId="3224" priority="3226" operator="lessThan">
      <formula>-105575</formula>
    </cfRule>
  </conditionalFormatting>
  <conditionalFormatting sqref="BB222:BB224">
    <cfRule type="cellIs" dxfId="3223" priority="3223" operator="lessThan">
      <formula>0</formula>
    </cfRule>
    <cfRule type="cellIs" dxfId="3222" priority="3224" operator="lessThan">
      <formula>-105575</formula>
    </cfRule>
  </conditionalFormatting>
  <conditionalFormatting sqref="BB227:BB230">
    <cfRule type="cellIs" dxfId="3221" priority="3221" operator="lessThan">
      <formula>0</formula>
    </cfRule>
    <cfRule type="cellIs" dxfId="3220" priority="3222" operator="lessThan">
      <formula>-105575</formula>
    </cfRule>
  </conditionalFormatting>
  <conditionalFormatting sqref="BB227:BB230">
    <cfRule type="cellIs" dxfId="3219" priority="3219" operator="lessThan">
      <formula>0</formula>
    </cfRule>
    <cfRule type="cellIs" dxfId="3218" priority="3220" operator="lessThan">
      <formula>-105575</formula>
    </cfRule>
  </conditionalFormatting>
  <conditionalFormatting sqref="BB227:BB230">
    <cfRule type="cellIs" dxfId="3217" priority="3217" operator="lessThan">
      <formula>0</formula>
    </cfRule>
    <cfRule type="cellIs" dxfId="3216" priority="3218" operator="lessThan">
      <formula>-105575</formula>
    </cfRule>
  </conditionalFormatting>
  <conditionalFormatting sqref="BB203 BB220:BB221 BB235:BB243 BB231:BB233 BB212:BB213 BB225:BB226">
    <cfRule type="cellIs" dxfId="3215" priority="3215" operator="lessThan">
      <formula>0</formula>
    </cfRule>
    <cfRule type="cellIs" dxfId="3214" priority="3216" operator="lessThan">
      <formula>-105575</formula>
    </cfRule>
  </conditionalFormatting>
  <conditionalFormatting sqref="BB220 BB212:BB213 BB235:BB238 BB240:BB243 BB225:BB226 BB231:BB233">
    <cfRule type="cellIs" dxfId="3213" priority="3213" operator="lessThan">
      <formula>0</formula>
    </cfRule>
    <cfRule type="cellIs" dxfId="3212" priority="3214" operator="lessThan">
      <formula>-105575</formula>
    </cfRule>
  </conditionalFormatting>
  <conditionalFormatting sqref="BB220:BB221 BB243 BB226 BB231:BB236 BB238:BB241 BB203 BB213">
    <cfRule type="cellIs" dxfId="3211" priority="3211" operator="lessThan">
      <formula>0</formula>
    </cfRule>
    <cfRule type="cellIs" dxfId="3210" priority="3212" operator="lessThan">
      <formula>-105575</formula>
    </cfRule>
  </conditionalFormatting>
  <conditionalFormatting sqref="BB235:BB243 BB231:BB233 BB220 BB212:BB213 BB225:BB226">
    <cfRule type="cellIs" dxfId="3209" priority="3209" operator="lessThan">
      <formula>0</formula>
    </cfRule>
    <cfRule type="cellIs" dxfId="3208" priority="3210" operator="lessThan">
      <formula>-105575</formula>
    </cfRule>
  </conditionalFormatting>
  <conditionalFormatting sqref="BB220:BB221 BB237:BB243 BB203 BB231:BB235 BB212:BB213 BB225:BB226">
    <cfRule type="cellIs" dxfId="3207" priority="3207" operator="lessThan">
      <formula>0</formula>
    </cfRule>
    <cfRule type="cellIs" dxfId="3206" priority="3208" operator="lessThan">
      <formula>-105575</formula>
    </cfRule>
  </conditionalFormatting>
  <conditionalFormatting sqref="BB220:BB221 BB237:BB240 BB242:BB243 BB225:BB226 BB231:BB235">
    <cfRule type="cellIs" dxfId="3205" priority="3205" operator="lessThan">
      <formula>0</formula>
    </cfRule>
    <cfRule type="cellIs" dxfId="3204" priority="3206" operator="lessThan">
      <formula>-105575</formula>
    </cfRule>
  </conditionalFormatting>
  <conditionalFormatting sqref="BB212 BB231 BB233:BB238 BB240:BB243 BB225">
    <cfRule type="cellIs" dxfId="3203" priority="3203" operator="lessThan">
      <formula>0</formula>
    </cfRule>
    <cfRule type="cellIs" dxfId="3202" priority="3204" operator="lessThan">
      <formula>-105575</formula>
    </cfRule>
  </conditionalFormatting>
  <conditionalFormatting sqref="BB237:BB243 BB231:BB235 BB220:BB221 BB225:BB226">
    <cfRule type="cellIs" dxfId="3201" priority="3201" operator="lessThan">
      <formula>0</formula>
    </cfRule>
    <cfRule type="cellIs" dxfId="3200" priority="3202" operator="lessThan">
      <formula>-105575</formula>
    </cfRule>
  </conditionalFormatting>
  <conditionalFormatting sqref="BB233:BB237 BB231 BB239:BB243">
    <cfRule type="cellIs" dxfId="3199" priority="3199" operator="lessThan">
      <formula>0</formula>
    </cfRule>
    <cfRule type="cellIs" dxfId="3198" priority="3200" operator="lessThan">
      <formula>-105575</formula>
    </cfRule>
  </conditionalFormatting>
  <conditionalFormatting sqref="BB233:BB237 BB231 BB239:BB243">
    <cfRule type="cellIs" dxfId="3197" priority="3197" operator="lessThan">
      <formula>0</formula>
    </cfRule>
    <cfRule type="cellIs" dxfId="3196" priority="3198" operator="lessThan">
      <formula>-105575</formula>
    </cfRule>
  </conditionalFormatting>
  <conditionalFormatting sqref="BB119:BB128 BB106:BB117 BB101:BB104 BB80:BB98">
    <cfRule type="cellIs" dxfId="3195" priority="3195" operator="lessThan">
      <formula>0</formula>
    </cfRule>
    <cfRule type="cellIs" dxfId="3194" priority="3196" operator="lessThan">
      <formula>-105575</formula>
    </cfRule>
  </conditionalFormatting>
  <conditionalFormatting sqref="BB130 BB132 BB134">
    <cfRule type="cellIs" dxfId="3193" priority="3193" operator="lessThan">
      <formula>0</formula>
    </cfRule>
    <cfRule type="cellIs" dxfId="3192" priority="3194" operator="lessThan">
      <formula>-105575</formula>
    </cfRule>
  </conditionalFormatting>
  <conditionalFormatting sqref="BB130 BB132 BB134">
    <cfRule type="cellIs" dxfId="3191" priority="3191" operator="lessThan">
      <formula>0</formula>
    </cfRule>
    <cfRule type="cellIs" dxfId="3190" priority="3192" operator="lessThan">
      <formula>-105575</formula>
    </cfRule>
  </conditionalFormatting>
  <conditionalFormatting sqref="BB129 BB131 BB133 BB135">
    <cfRule type="cellIs" dxfId="3189" priority="3189" operator="lessThan">
      <formula>0</formula>
    </cfRule>
    <cfRule type="cellIs" dxfId="3188" priority="3190" operator="lessThan">
      <formula>-105575</formula>
    </cfRule>
  </conditionalFormatting>
  <conditionalFormatting sqref="BB140 BB145 BB142:BB143 BB137:BB138">
    <cfRule type="cellIs" dxfId="3187" priority="3187" operator="lessThan">
      <formula>0</formula>
    </cfRule>
    <cfRule type="cellIs" dxfId="3186" priority="3188" operator="lessThan">
      <formula>-105575</formula>
    </cfRule>
  </conditionalFormatting>
  <conditionalFormatting sqref="BB149">
    <cfRule type="cellIs" dxfId="3185" priority="3185" operator="lessThan">
      <formula>0</formula>
    </cfRule>
    <cfRule type="cellIs" dxfId="3184" priority="3186" operator="lessThan">
      <formula>-105575</formula>
    </cfRule>
  </conditionalFormatting>
  <conditionalFormatting sqref="BB129:BB138 BB140:BB149">
    <cfRule type="cellIs" dxfId="3183" priority="3183" operator="lessThan">
      <formula>0</formula>
    </cfRule>
    <cfRule type="cellIs" dxfId="3182" priority="3184" operator="lessThan">
      <formula>-105575</formula>
    </cfRule>
  </conditionalFormatting>
  <conditionalFormatting sqref="BB94:BB98 BB86:BB87 BB89:BB91 BB141:BB149 BB124:BB133 BB107:BB110 BB112:BB117 BB119:BB122 BB135:BB138 BB101:BB104 BB80:BB84">
    <cfRule type="cellIs" dxfId="3181" priority="3181" operator="lessThan">
      <formula>0</formula>
    </cfRule>
    <cfRule type="cellIs" dxfId="3180" priority="3182" operator="lessThan">
      <formula>-105575</formula>
    </cfRule>
  </conditionalFormatting>
  <conditionalFormatting sqref="BB129 BB131 BB133 BB135">
    <cfRule type="cellIs" dxfId="3179" priority="3179" operator="lessThan">
      <formula>0</formula>
    </cfRule>
    <cfRule type="cellIs" dxfId="3178" priority="3180" operator="lessThan">
      <formula>-105575</formula>
    </cfRule>
  </conditionalFormatting>
  <conditionalFormatting sqref="BB146 BB144 BB141">
    <cfRule type="cellIs" dxfId="3177" priority="3177" operator="lessThan">
      <formula>0</formula>
    </cfRule>
    <cfRule type="cellIs" dxfId="3176" priority="3178" operator="lessThan">
      <formula>-105575</formula>
    </cfRule>
  </conditionalFormatting>
  <conditionalFormatting sqref="BB146 BB144 BB141">
    <cfRule type="cellIs" dxfId="3175" priority="3175" operator="lessThan">
      <formula>0</formula>
    </cfRule>
    <cfRule type="cellIs" dxfId="3174" priority="3176" operator="lessThan">
      <formula>-105575</formula>
    </cfRule>
  </conditionalFormatting>
  <conditionalFormatting sqref="BB140 BB145 BB142:BB143 BB137:BB138">
    <cfRule type="cellIs" dxfId="3173" priority="3173" operator="lessThan">
      <formula>0</formula>
    </cfRule>
    <cfRule type="cellIs" dxfId="3172" priority="3174" operator="lessThan">
      <formula>-105575</formula>
    </cfRule>
  </conditionalFormatting>
  <conditionalFormatting sqref="BB149">
    <cfRule type="cellIs" dxfId="3171" priority="3171" operator="lessThan">
      <formula>0</formula>
    </cfRule>
    <cfRule type="cellIs" dxfId="3170" priority="3172" operator="lessThan">
      <formula>-105575</formula>
    </cfRule>
  </conditionalFormatting>
  <conditionalFormatting sqref="BB94:BB98 BB86:BB87 BB89:BB91 BB141:BB149 BB124:BB133 BB107:BB110 BB112:BB117 BB119:BB122 BB135:BB138 BB101:BB104 BB80:BB84">
    <cfRule type="cellIs" dxfId="3169" priority="3169" operator="lessThan">
      <formula>0</formula>
    </cfRule>
    <cfRule type="cellIs" dxfId="3168" priority="3170" operator="lessThan">
      <formula>-105575</formula>
    </cfRule>
  </conditionalFormatting>
  <conditionalFormatting sqref="BB62:BB76 BB306:BB309 BB311:BB325 BB327:BB330 BB332:BB341 BB344:BB347 BB349:BB353 BB355:BB358 BB360:BB384 BB386:BB389 BB392:BB395 BB397:BB411 BB413:BB416 BB418:BB432 BB434:BB437 BB439:BB453 BB455:BB458 BB460:BB469 BB7:BB10 BB12:BB14 BB17:BB18 BB21:BB24 BB26:BB28 BB30:BB36 BB38 BB41:BB43 BB46:BB49 BB51:BB55 BB57:BB59 BB290:BB291 BB293:BB304">
    <cfRule type="cellIs" dxfId="3167" priority="3167" operator="lessThan">
      <formula>0</formula>
    </cfRule>
    <cfRule type="cellIs" dxfId="3166" priority="3168" operator="lessThan">
      <formula>-105575</formula>
    </cfRule>
  </conditionalFormatting>
  <conditionalFormatting sqref="BB41">
    <cfRule type="cellIs" dxfId="3165" priority="3165" operator="lessThan">
      <formula>0</formula>
    </cfRule>
    <cfRule type="cellIs" dxfId="3164" priority="3166" operator="lessThan">
      <formula>-105575</formula>
    </cfRule>
  </conditionalFormatting>
  <conditionalFormatting sqref="BB152:BB155">
    <cfRule type="cellIs" dxfId="3163" priority="3163" operator="lessThan">
      <formula>0</formula>
    </cfRule>
    <cfRule type="cellIs" dxfId="3162" priority="3164" operator="lessThan">
      <formula>-105575</formula>
    </cfRule>
  </conditionalFormatting>
  <conditionalFormatting sqref="BB152:BB155">
    <cfRule type="cellIs" dxfId="3161" priority="3161" operator="lessThan">
      <formula>0</formula>
    </cfRule>
    <cfRule type="cellIs" dxfId="3160" priority="3162" operator="lessThan">
      <formula>-105575</formula>
    </cfRule>
  </conditionalFormatting>
  <conditionalFormatting sqref="BB152:BB155">
    <cfRule type="cellIs" dxfId="3159" priority="3159" operator="lessThan">
      <formula>0</formula>
    </cfRule>
    <cfRule type="cellIs" dxfId="3158" priority="3160" operator="lessThan">
      <formula>-105575</formula>
    </cfRule>
  </conditionalFormatting>
  <conditionalFormatting sqref="BB157:BB158">
    <cfRule type="cellIs" dxfId="3157" priority="3157" operator="lessThan">
      <formula>0</formula>
    </cfRule>
    <cfRule type="cellIs" dxfId="3156" priority="3158" operator="lessThan">
      <formula>-105575</formula>
    </cfRule>
  </conditionalFormatting>
  <conditionalFormatting sqref="BB157:BB158">
    <cfRule type="cellIs" dxfId="3155" priority="3155" operator="lessThan">
      <formula>0</formula>
    </cfRule>
    <cfRule type="cellIs" dxfId="3154" priority="3156" operator="lessThan">
      <formula>-105575</formula>
    </cfRule>
  </conditionalFormatting>
  <conditionalFormatting sqref="BB157:BB158">
    <cfRule type="cellIs" dxfId="3153" priority="3153" operator="lessThan">
      <formula>0</formula>
    </cfRule>
    <cfRule type="cellIs" dxfId="3152" priority="3154" operator="lessThan">
      <formula>-105575</formula>
    </cfRule>
  </conditionalFormatting>
  <conditionalFormatting sqref="BB160:BB161">
    <cfRule type="cellIs" dxfId="3151" priority="3151" operator="lessThan">
      <formula>0</formula>
    </cfRule>
    <cfRule type="cellIs" dxfId="3150" priority="3152" operator="lessThan">
      <formula>-105575</formula>
    </cfRule>
  </conditionalFormatting>
  <conditionalFormatting sqref="BB160:BB161">
    <cfRule type="cellIs" dxfId="3149" priority="3149" operator="lessThan">
      <formula>0</formula>
    </cfRule>
    <cfRule type="cellIs" dxfId="3148" priority="3150" operator="lessThan">
      <formula>-105575</formula>
    </cfRule>
  </conditionalFormatting>
  <conditionalFormatting sqref="BB160:BB161">
    <cfRule type="cellIs" dxfId="3147" priority="3147" operator="lessThan">
      <formula>0</formula>
    </cfRule>
    <cfRule type="cellIs" dxfId="3146" priority="3148" operator="lessThan">
      <formula>-105575</formula>
    </cfRule>
  </conditionalFormatting>
  <conditionalFormatting sqref="BB164:BB167">
    <cfRule type="cellIs" dxfId="3145" priority="3145" operator="lessThan">
      <formula>0</formula>
    </cfRule>
    <cfRule type="cellIs" dxfId="3144" priority="3146" operator="lessThan">
      <formula>-105575</formula>
    </cfRule>
  </conditionalFormatting>
  <conditionalFormatting sqref="BB164:BB167">
    <cfRule type="cellIs" dxfId="3143" priority="3143" operator="lessThan">
      <formula>0</formula>
    </cfRule>
    <cfRule type="cellIs" dxfId="3142" priority="3144" operator="lessThan">
      <formula>-105575</formula>
    </cfRule>
  </conditionalFormatting>
  <conditionalFormatting sqref="BB164:BB167">
    <cfRule type="cellIs" dxfId="3141" priority="3141" operator="lessThan">
      <formula>0</formula>
    </cfRule>
    <cfRule type="cellIs" dxfId="3140" priority="3142" operator="lessThan">
      <formula>-105575</formula>
    </cfRule>
  </conditionalFormatting>
  <conditionalFormatting sqref="BB169:BB177">
    <cfRule type="cellIs" dxfId="3139" priority="3139" operator="lessThan">
      <formula>0</formula>
    </cfRule>
    <cfRule type="cellIs" dxfId="3138" priority="3140" operator="lessThan">
      <formula>-105575</formula>
    </cfRule>
  </conditionalFormatting>
  <conditionalFormatting sqref="BB169:BB177">
    <cfRule type="cellIs" dxfId="3137" priority="3137" operator="lessThan">
      <formula>0</formula>
    </cfRule>
    <cfRule type="cellIs" dxfId="3136" priority="3138" operator="lessThan">
      <formula>-105575</formula>
    </cfRule>
  </conditionalFormatting>
  <conditionalFormatting sqref="BB169:BB177">
    <cfRule type="cellIs" dxfId="3135" priority="3135" operator="lessThan">
      <formula>0</formula>
    </cfRule>
    <cfRule type="cellIs" dxfId="3134" priority="3136" operator="lessThan">
      <formula>-105575</formula>
    </cfRule>
  </conditionalFormatting>
  <conditionalFormatting sqref="BB179:BB180">
    <cfRule type="cellIs" dxfId="3133" priority="3133" operator="lessThan">
      <formula>0</formula>
    </cfRule>
    <cfRule type="cellIs" dxfId="3132" priority="3134" operator="lessThan">
      <formula>-105575</formula>
    </cfRule>
  </conditionalFormatting>
  <conditionalFormatting sqref="BB179:BB180">
    <cfRule type="cellIs" dxfId="3131" priority="3131" operator="lessThan">
      <formula>0</formula>
    </cfRule>
    <cfRule type="cellIs" dxfId="3130" priority="3132" operator="lessThan">
      <formula>-105575</formula>
    </cfRule>
  </conditionalFormatting>
  <conditionalFormatting sqref="BB179:BB180">
    <cfRule type="cellIs" dxfId="3129" priority="3129" operator="lessThan">
      <formula>0</formula>
    </cfRule>
    <cfRule type="cellIs" dxfId="3128" priority="3130" operator="lessThan">
      <formula>-105575</formula>
    </cfRule>
  </conditionalFormatting>
  <conditionalFormatting sqref="BB183:BB189">
    <cfRule type="cellIs" dxfId="3127" priority="3127" operator="lessThan">
      <formula>0</formula>
    </cfRule>
    <cfRule type="cellIs" dxfId="3126" priority="3128" operator="lessThan">
      <formula>-105575</formula>
    </cfRule>
  </conditionalFormatting>
  <conditionalFormatting sqref="BB183:BB189">
    <cfRule type="cellIs" dxfId="3125" priority="3125" operator="lessThan">
      <formula>0</formula>
    </cfRule>
    <cfRule type="cellIs" dxfId="3124" priority="3126" operator="lessThan">
      <formula>-105575</formula>
    </cfRule>
  </conditionalFormatting>
  <conditionalFormatting sqref="BB183:BB189">
    <cfRule type="cellIs" dxfId="3123" priority="3123" operator="lessThan">
      <formula>0</formula>
    </cfRule>
    <cfRule type="cellIs" dxfId="3122" priority="3124" operator="lessThan">
      <formula>-105575</formula>
    </cfRule>
  </conditionalFormatting>
  <conditionalFormatting sqref="BB191:BB192">
    <cfRule type="cellIs" dxfId="3121" priority="3121" operator="lessThan">
      <formula>0</formula>
    </cfRule>
    <cfRule type="cellIs" dxfId="3120" priority="3122" operator="lessThan">
      <formula>-105575</formula>
    </cfRule>
  </conditionalFormatting>
  <conditionalFormatting sqref="BB191:BB192">
    <cfRule type="cellIs" dxfId="3119" priority="3119" operator="lessThan">
      <formula>0</formula>
    </cfRule>
    <cfRule type="cellIs" dxfId="3118" priority="3120" operator="lessThan">
      <formula>-105575</formula>
    </cfRule>
  </conditionalFormatting>
  <conditionalFormatting sqref="BB191:BB192">
    <cfRule type="cellIs" dxfId="3117" priority="3117" operator="lessThan">
      <formula>0</formula>
    </cfRule>
    <cfRule type="cellIs" dxfId="3116" priority="3118" operator="lessThan">
      <formula>-105575</formula>
    </cfRule>
  </conditionalFormatting>
  <conditionalFormatting sqref="BB194:BB195">
    <cfRule type="cellIs" dxfId="3115" priority="3115" operator="lessThan">
      <formula>0</formula>
    </cfRule>
    <cfRule type="cellIs" dxfId="3114" priority="3116" operator="lessThan">
      <formula>-105575</formula>
    </cfRule>
  </conditionalFormatting>
  <conditionalFormatting sqref="BB194:BB195">
    <cfRule type="cellIs" dxfId="3113" priority="3113" operator="lessThan">
      <formula>0</formula>
    </cfRule>
    <cfRule type="cellIs" dxfId="3112" priority="3114" operator="lessThan">
      <formula>-105575</formula>
    </cfRule>
  </conditionalFormatting>
  <conditionalFormatting sqref="BB194:BB195">
    <cfRule type="cellIs" dxfId="3111" priority="3111" operator="lessThan">
      <formula>0</formula>
    </cfRule>
    <cfRule type="cellIs" dxfId="3110" priority="3112" operator="lessThan">
      <formula>-105575</formula>
    </cfRule>
  </conditionalFormatting>
  <conditionalFormatting sqref="BB199:BB202">
    <cfRule type="cellIs" dxfId="3109" priority="3109" operator="lessThan">
      <formula>0</formula>
    </cfRule>
    <cfRule type="cellIs" dxfId="3108" priority="3110" operator="lessThan">
      <formula>-105575</formula>
    </cfRule>
  </conditionalFormatting>
  <conditionalFormatting sqref="BB199:BB202">
    <cfRule type="cellIs" dxfId="3107" priority="3107" operator="lessThan">
      <formula>0</formula>
    </cfRule>
    <cfRule type="cellIs" dxfId="3106" priority="3108" operator="lessThan">
      <formula>-105575</formula>
    </cfRule>
  </conditionalFormatting>
  <conditionalFormatting sqref="BB199:BB202">
    <cfRule type="cellIs" dxfId="3105" priority="3105" operator="lessThan">
      <formula>0</formula>
    </cfRule>
    <cfRule type="cellIs" dxfId="3104" priority="3106" operator="lessThan">
      <formula>-105575</formula>
    </cfRule>
  </conditionalFormatting>
  <conditionalFormatting sqref="BB204:BB208">
    <cfRule type="cellIs" dxfId="3103" priority="3103" operator="lessThan">
      <formula>0</formula>
    </cfRule>
    <cfRule type="cellIs" dxfId="3102" priority="3104" operator="lessThan">
      <formula>-105575</formula>
    </cfRule>
  </conditionalFormatting>
  <conditionalFormatting sqref="BB204:BB208">
    <cfRule type="cellIs" dxfId="3101" priority="3101" operator="lessThan">
      <formula>0</formula>
    </cfRule>
    <cfRule type="cellIs" dxfId="3100" priority="3102" operator="lessThan">
      <formula>-105575</formula>
    </cfRule>
  </conditionalFormatting>
  <conditionalFormatting sqref="BB204:BB208">
    <cfRule type="cellIs" dxfId="3099" priority="3099" operator="lessThan">
      <formula>0</formula>
    </cfRule>
    <cfRule type="cellIs" dxfId="3098" priority="3100" operator="lessThan">
      <formula>-105575</formula>
    </cfRule>
  </conditionalFormatting>
  <conditionalFormatting sqref="BB210:BB211">
    <cfRule type="cellIs" dxfId="3097" priority="3097" operator="lessThan">
      <formula>0</formula>
    </cfRule>
    <cfRule type="cellIs" dxfId="3096" priority="3098" operator="lessThan">
      <formula>-105575</formula>
    </cfRule>
  </conditionalFormatting>
  <conditionalFormatting sqref="BB210:BB211">
    <cfRule type="cellIs" dxfId="3095" priority="3095" operator="lessThan">
      <formula>0</formula>
    </cfRule>
    <cfRule type="cellIs" dxfId="3094" priority="3096" operator="lessThan">
      <formula>-105575</formula>
    </cfRule>
  </conditionalFormatting>
  <conditionalFormatting sqref="BB210:BB211">
    <cfRule type="cellIs" dxfId="3093" priority="3093" operator="lessThan">
      <formula>0</formula>
    </cfRule>
    <cfRule type="cellIs" dxfId="3092" priority="3094" operator="lessThan">
      <formula>-105575</formula>
    </cfRule>
  </conditionalFormatting>
  <conditionalFormatting sqref="BB214:BB219">
    <cfRule type="cellIs" dxfId="3091" priority="3091" operator="lessThan">
      <formula>0</formula>
    </cfRule>
    <cfRule type="cellIs" dxfId="3090" priority="3092" operator="lessThan">
      <formula>-105575</formula>
    </cfRule>
  </conditionalFormatting>
  <conditionalFormatting sqref="BB214:BB219">
    <cfRule type="cellIs" dxfId="3089" priority="3089" operator="lessThan">
      <formula>0</formula>
    </cfRule>
    <cfRule type="cellIs" dxfId="3088" priority="3090" operator="lessThan">
      <formula>-105575</formula>
    </cfRule>
  </conditionalFormatting>
  <conditionalFormatting sqref="BB214:BB219">
    <cfRule type="cellIs" dxfId="3087" priority="3087" operator="lessThan">
      <formula>0</formula>
    </cfRule>
    <cfRule type="cellIs" dxfId="3086" priority="3088" operator="lessThan">
      <formula>-105575</formula>
    </cfRule>
  </conditionalFormatting>
  <conditionalFormatting sqref="BB222:BB224">
    <cfRule type="cellIs" dxfId="3085" priority="3085" operator="lessThan">
      <formula>0</formula>
    </cfRule>
    <cfRule type="cellIs" dxfId="3084" priority="3086" operator="lessThan">
      <formula>-105575</formula>
    </cfRule>
  </conditionalFormatting>
  <conditionalFormatting sqref="BB222:BB224">
    <cfRule type="cellIs" dxfId="3083" priority="3083" operator="lessThan">
      <formula>0</formula>
    </cfRule>
    <cfRule type="cellIs" dxfId="3082" priority="3084" operator="lessThan">
      <formula>-105575</formula>
    </cfRule>
  </conditionalFormatting>
  <conditionalFormatting sqref="BB222:BB224">
    <cfRule type="cellIs" dxfId="3081" priority="3081" operator="lessThan">
      <formula>0</formula>
    </cfRule>
    <cfRule type="cellIs" dxfId="3080" priority="3082" operator="lessThan">
      <formula>-105575</formula>
    </cfRule>
  </conditionalFormatting>
  <conditionalFormatting sqref="BB227:BB230">
    <cfRule type="cellIs" dxfId="3079" priority="3079" operator="lessThan">
      <formula>0</formula>
    </cfRule>
    <cfRule type="cellIs" dxfId="3078" priority="3080" operator="lessThan">
      <formula>-105575</formula>
    </cfRule>
  </conditionalFormatting>
  <conditionalFormatting sqref="BB227:BB230">
    <cfRule type="cellIs" dxfId="3077" priority="3077" operator="lessThan">
      <formula>0</formula>
    </cfRule>
    <cfRule type="cellIs" dxfId="3076" priority="3078" operator="lessThan">
      <formula>-105575</formula>
    </cfRule>
  </conditionalFormatting>
  <conditionalFormatting sqref="BB227:BB230">
    <cfRule type="cellIs" dxfId="3075" priority="3075" operator="lessThan">
      <formula>0</formula>
    </cfRule>
    <cfRule type="cellIs" dxfId="3074" priority="3076" operator="lessThan">
      <formula>-105575</formula>
    </cfRule>
  </conditionalFormatting>
  <conditionalFormatting sqref="BB246:BB249">
    <cfRule type="cellIs" dxfId="3073" priority="3073" operator="lessThan">
      <formula>0</formula>
    </cfRule>
    <cfRule type="cellIs" dxfId="3072" priority="3074" operator="lessThan">
      <formula>-105575</formula>
    </cfRule>
  </conditionalFormatting>
  <conditionalFormatting sqref="BB246:BB249">
    <cfRule type="cellIs" dxfId="3071" priority="3071" operator="lessThan">
      <formula>0</formula>
    </cfRule>
    <cfRule type="cellIs" dxfId="3070" priority="3072" operator="lessThan">
      <formula>-105575</formula>
    </cfRule>
  </conditionalFormatting>
  <conditionalFormatting sqref="BB246:BB249">
    <cfRule type="cellIs" dxfId="3069" priority="3069" operator="lessThan">
      <formula>0</formula>
    </cfRule>
    <cfRule type="cellIs" dxfId="3068" priority="3070" operator="lessThan">
      <formula>-105575</formula>
    </cfRule>
  </conditionalFormatting>
  <conditionalFormatting sqref="BB246:BB249">
    <cfRule type="cellIs" dxfId="3067" priority="3067" operator="lessThan">
      <formula>0</formula>
    </cfRule>
    <cfRule type="cellIs" dxfId="3066" priority="3068" operator="lessThan">
      <formula>-105575</formula>
    </cfRule>
  </conditionalFormatting>
  <conditionalFormatting sqref="BB246:BB249">
    <cfRule type="cellIs" dxfId="3065" priority="3065" operator="lessThan">
      <formula>0</formula>
    </cfRule>
    <cfRule type="cellIs" dxfId="3064" priority="3066" operator="lessThan">
      <formula>-105575</formula>
    </cfRule>
  </conditionalFormatting>
  <conditionalFormatting sqref="BB246:BB249">
    <cfRule type="cellIs" dxfId="3063" priority="3063" operator="lessThan">
      <formula>0</formula>
    </cfRule>
    <cfRule type="cellIs" dxfId="3062" priority="3064" operator="lessThan">
      <formula>-105575</formula>
    </cfRule>
  </conditionalFormatting>
  <conditionalFormatting sqref="BB246:BB249">
    <cfRule type="cellIs" dxfId="3061" priority="3061" operator="lessThan">
      <formula>0</formula>
    </cfRule>
    <cfRule type="cellIs" dxfId="3060" priority="3062" operator="lessThan">
      <formula>-105575</formula>
    </cfRule>
  </conditionalFormatting>
  <conditionalFormatting sqref="BB246:BB249">
    <cfRule type="cellIs" dxfId="3059" priority="3059" operator="lessThan">
      <formula>0</formula>
    </cfRule>
    <cfRule type="cellIs" dxfId="3058" priority="3060" operator="lessThan">
      <formula>-105575</formula>
    </cfRule>
  </conditionalFormatting>
  <conditionalFormatting sqref="BB246:BB249">
    <cfRule type="cellIs" dxfId="3057" priority="3057" operator="lessThan">
      <formula>0</formula>
    </cfRule>
    <cfRule type="cellIs" dxfId="3056" priority="3058" operator="lessThan">
      <formula>-105575</formula>
    </cfRule>
  </conditionalFormatting>
  <conditionalFormatting sqref="BB251:BB253">
    <cfRule type="cellIs" dxfId="3055" priority="3055" operator="lessThan">
      <formula>0</formula>
    </cfRule>
    <cfRule type="cellIs" dxfId="3054" priority="3056" operator="lessThan">
      <formula>-105575</formula>
    </cfRule>
  </conditionalFormatting>
  <conditionalFormatting sqref="BB251:BB253">
    <cfRule type="cellIs" dxfId="3053" priority="3053" operator="lessThan">
      <formula>0</formula>
    </cfRule>
    <cfRule type="cellIs" dxfId="3052" priority="3054" operator="lessThan">
      <formula>-105575</formula>
    </cfRule>
  </conditionalFormatting>
  <conditionalFormatting sqref="BB251:BB253">
    <cfRule type="cellIs" dxfId="3051" priority="3051" operator="lessThan">
      <formula>0</formula>
    </cfRule>
    <cfRule type="cellIs" dxfId="3050" priority="3052" operator="lessThan">
      <formula>-105575</formula>
    </cfRule>
  </conditionalFormatting>
  <conditionalFormatting sqref="BB251:BB253">
    <cfRule type="cellIs" dxfId="3049" priority="3049" operator="lessThan">
      <formula>0</formula>
    </cfRule>
    <cfRule type="cellIs" dxfId="3048" priority="3050" operator="lessThan">
      <formula>-105575</formula>
    </cfRule>
  </conditionalFormatting>
  <conditionalFormatting sqref="BB251:BB253">
    <cfRule type="cellIs" dxfId="3047" priority="3047" operator="lessThan">
      <formula>0</formula>
    </cfRule>
    <cfRule type="cellIs" dxfId="3046" priority="3048" operator="lessThan">
      <formula>-105575</formula>
    </cfRule>
  </conditionalFormatting>
  <conditionalFormatting sqref="BB251:BB253">
    <cfRule type="cellIs" dxfId="3045" priority="3045" operator="lessThan">
      <formula>0</formula>
    </cfRule>
    <cfRule type="cellIs" dxfId="3044" priority="3046" operator="lessThan">
      <formula>-105575</formula>
    </cfRule>
  </conditionalFormatting>
  <conditionalFormatting sqref="BB251:BB253">
    <cfRule type="cellIs" dxfId="3043" priority="3043" operator="lessThan">
      <formula>0</formula>
    </cfRule>
    <cfRule type="cellIs" dxfId="3042" priority="3044" operator="lessThan">
      <formula>-105575</formula>
    </cfRule>
  </conditionalFormatting>
  <conditionalFormatting sqref="BB251:BB253">
    <cfRule type="cellIs" dxfId="3041" priority="3041" operator="lessThan">
      <formula>0</formula>
    </cfRule>
    <cfRule type="cellIs" dxfId="3040" priority="3042" operator="lessThan">
      <formula>-105575</formula>
    </cfRule>
  </conditionalFormatting>
  <conditionalFormatting sqref="BB251:BB253">
    <cfRule type="cellIs" dxfId="3039" priority="3039" operator="lessThan">
      <formula>0</formula>
    </cfRule>
    <cfRule type="cellIs" dxfId="3038" priority="3040" operator="lessThan">
      <formula>-105575</formula>
    </cfRule>
  </conditionalFormatting>
  <conditionalFormatting sqref="BB255:BB257">
    <cfRule type="cellIs" dxfId="3037" priority="3037" operator="lessThan">
      <formula>0</formula>
    </cfRule>
    <cfRule type="cellIs" dxfId="3036" priority="3038" operator="lessThan">
      <formula>-105575</formula>
    </cfRule>
  </conditionalFormatting>
  <conditionalFormatting sqref="BB255:BB257">
    <cfRule type="cellIs" dxfId="3035" priority="3035" operator="lessThan">
      <formula>0</formula>
    </cfRule>
    <cfRule type="cellIs" dxfId="3034" priority="3036" operator="lessThan">
      <formula>-105575</formula>
    </cfRule>
  </conditionalFormatting>
  <conditionalFormatting sqref="BB255:BB257">
    <cfRule type="cellIs" dxfId="3033" priority="3033" operator="lessThan">
      <formula>0</formula>
    </cfRule>
    <cfRule type="cellIs" dxfId="3032" priority="3034" operator="lessThan">
      <formula>-105575</formula>
    </cfRule>
  </conditionalFormatting>
  <conditionalFormatting sqref="BB255:BB257">
    <cfRule type="cellIs" dxfId="3031" priority="3031" operator="lessThan">
      <formula>0</formula>
    </cfRule>
    <cfRule type="cellIs" dxfId="3030" priority="3032" operator="lessThan">
      <formula>-105575</formula>
    </cfRule>
  </conditionalFormatting>
  <conditionalFormatting sqref="BB255:BB257">
    <cfRule type="cellIs" dxfId="3029" priority="3029" operator="lessThan">
      <formula>0</formula>
    </cfRule>
    <cfRule type="cellIs" dxfId="3028" priority="3030" operator="lessThan">
      <formula>-105575</formula>
    </cfRule>
  </conditionalFormatting>
  <conditionalFormatting sqref="BB255:BB257">
    <cfRule type="cellIs" dxfId="3027" priority="3027" operator="lessThan">
      <formula>0</formula>
    </cfRule>
    <cfRule type="cellIs" dxfId="3026" priority="3028" operator="lessThan">
      <formula>-105575</formula>
    </cfRule>
  </conditionalFormatting>
  <conditionalFormatting sqref="BB255:BB257">
    <cfRule type="cellIs" dxfId="3025" priority="3025" operator="lessThan">
      <formula>0</formula>
    </cfRule>
    <cfRule type="cellIs" dxfId="3024" priority="3026" operator="lessThan">
      <formula>-105575</formula>
    </cfRule>
  </conditionalFormatting>
  <conditionalFormatting sqref="BB255:BB257">
    <cfRule type="cellIs" dxfId="3023" priority="3023" operator="lessThan">
      <formula>0</formula>
    </cfRule>
    <cfRule type="cellIs" dxfId="3022" priority="3024" operator="lessThan">
      <formula>-105575</formula>
    </cfRule>
  </conditionalFormatting>
  <conditionalFormatting sqref="BB255:BB257">
    <cfRule type="cellIs" dxfId="3021" priority="3021" operator="lessThan">
      <formula>0</formula>
    </cfRule>
    <cfRule type="cellIs" dxfId="3020" priority="3022" operator="lessThan">
      <formula>-105575</formula>
    </cfRule>
  </conditionalFormatting>
  <conditionalFormatting sqref="BB260:BB262">
    <cfRule type="cellIs" dxfId="3019" priority="3019" operator="lessThan">
      <formula>0</formula>
    </cfRule>
    <cfRule type="cellIs" dxfId="3018" priority="3020" operator="lessThan">
      <formula>-105575</formula>
    </cfRule>
  </conditionalFormatting>
  <conditionalFormatting sqref="BB260:BB262">
    <cfRule type="cellIs" dxfId="3017" priority="3017" operator="lessThan">
      <formula>0</formula>
    </cfRule>
    <cfRule type="cellIs" dxfId="3016" priority="3018" operator="lessThan">
      <formula>-105575</formula>
    </cfRule>
  </conditionalFormatting>
  <conditionalFormatting sqref="BB260:BB262">
    <cfRule type="cellIs" dxfId="3015" priority="3015" operator="lessThan">
      <formula>0</formula>
    </cfRule>
    <cfRule type="cellIs" dxfId="3014" priority="3016" operator="lessThan">
      <formula>-105575</formula>
    </cfRule>
  </conditionalFormatting>
  <conditionalFormatting sqref="BB260:BB262">
    <cfRule type="cellIs" dxfId="3013" priority="3013" operator="lessThan">
      <formula>0</formula>
    </cfRule>
    <cfRule type="cellIs" dxfId="3012" priority="3014" operator="lessThan">
      <formula>-105575</formula>
    </cfRule>
  </conditionalFormatting>
  <conditionalFormatting sqref="BB260:BB262">
    <cfRule type="cellIs" dxfId="3011" priority="3011" operator="lessThan">
      <formula>0</formula>
    </cfRule>
    <cfRule type="cellIs" dxfId="3010" priority="3012" operator="lessThan">
      <formula>-105575</formula>
    </cfRule>
  </conditionalFormatting>
  <conditionalFormatting sqref="BB260:BB262">
    <cfRule type="cellIs" dxfId="3009" priority="3009" operator="lessThan">
      <formula>0</formula>
    </cfRule>
    <cfRule type="cellIs" dxfId="3008" priority="3010" operator="lessThan">
      <formula>-105575</formula>
    </cfRule>
  </conditionalFormatting>
  <conditionalFormatting sqref="BB260:BB262">
    <cfRule type="cellIs" dxfId="3007" priority="3007" operator="lessThan">
      <formula>0</formula>
    </cfRule>
    <cfRule type="cellIs" dxfId="3006" priority="3008" operator="lessThan">
      <formula>-105575</formula>
    </cfRule>
  </conditionalFormatting>
  <conditionalFormatting sqref="BB260:BB262">
    <cfRule type="cellIs" dxfId="3005" priority="3005" operator="lessThan">
      <formula>0</formula>
    </cfRule>
    <cfRule type="cellIs" dxfId="3004" priority="3006" operator="lessThan">
      <formula>-105575</formula>
    </cfRule>
  </conditionalFormatting>
  <conditionalFormatting sqref="BB260:BB262">
    <cfRule type="cellIs" dxfId="3003" priority="3003" operator="lessThan">
      <formula>0</formula>
    </cfRule>
    <cfRule type="cellIs" dxfId="3002" priority="3004" operator="lessThan">
      <formula>-105575</formula>
    </cfRule>
  </conditionalFormatting>
  <conditionalFormatting sqref="BB264:BB267">
    <cfRule type="cellIs" dxfId="3001" priority="3001" operator="lessThan">
      <formula>0</formula>
    </cfRule>
    <cfRule type="cellIs" dxfId="3000" priority="3002" operator="lessThan">
      <formula>-105575</formula>
    </cfRule>
  </conditionalFormatting>
  <conditionalFormatting sqref="BB264:BB267">
    <cfRule type="cellIs" dxfId="2999" priority="2999" operator="lessThan">
      <formula>0</formula>
    </cfRule>
    <cfRule type="cellIs" dxfId="2998" priority="3000" operator="lessThan">
      <formula>-105575</formula>
    </cfRule>
  </conditionalFormatting>
  <conditionalFormatting sqref="BB264:BB267">
    <cfRule type="cellIs" dxfId="2997" priority="2997" operator="lessThan">
      <formula>0</formula>
    </cfRule>
    <cfRule type="cellIs" dxfId="2996" priority="2998" operator="lessThan">
      <formula>-105575</formula>
    </cfRule>
  </conditionalFormatting>
  <conditionalFormatting sqref="BB264:BB267">
    <cfRule type="cellIs" dxfId="2995" priority="2995" operator="lessThan">
      <formula>0</formula>
    </cfRule>
    <cfRule type="cellIs" dxfId="2994" priority="2996" operator="lessThan">
      <formula>-105575</formula>
    </cfRule>
  </conditionalFormatting>
  <conditionalFormatting sqref="BB264:BB267">
    <cfRule type="cellIs" dxfId="2993" priority="2993" operator="lessThan">
      <formula>0</formula>
    </cfRule>
    <cfRule type="cellIs" dxfId="2992" priority="2994" operator="lessThan">
      <formula>-105575</formula>
    </cfRule>
  </conditionalFormatting>
  <conditionalFormatting sqref="BB264:BB267">
    <cfRule type="cellIs" dxfId="2991" priority="2991" operator="lessThan">
      <formula>0</formula>
    </cfRule>
    <cfRule type="cellIs" dxfId="2990" priority="2992" operator="lessThan">
      <formula>-105575</formula>
    </cfRule>
  </conditionalFormatting>
  <conditionalFormatting sqref="BB264:BB267">
    <cfRule type="cellIs" dxfId="2989" priority="2989" operator="lessThan">
      <formula>0</formula>
    </cfRule>
    <cfRule type="cellIs" dxfId="2988" priority="2990" operator="lessThan">
      <formula>-105575</formula>
    </cfRule>
  </conditionalFormatting>
  <conditionalFormatting sqref="BB264:BB267">
    <cfRule type="cellIs" dxfId="2987" priority="2987" operator="lessThan">
      <formula>0</formula>
    </cfRule>
    <cfRule type="cellIs" dxfId="2986" priority="2988" operator="lessThan">
      <formula>-105575</formula>
    </cfRule>
  </conditionalFormatting>
  <conditionalFormatting sqref="BB264:BB267">
    <cfRule type="cellIs" dxfId="2985" priority="2985" operator="lessThan">
      <formula>0</formula>
    </cfRule>
    <cfRule type="cellIs" dxfId="2984" priority="2986" operator="lessThan">
      <formula>-105575</formula>
    </cfRule>
  </conditionalFormatting>
  <conditionalFormatting sqref="BB270:BB272">
    <cfRule type="cellIs" dxfId="2983" priority="2983" operator="lessThan">
      <formula>0</formula>
    </cfRule>
    <cfRule type="cellIs" dxfId="2982" priority="2984" operator="lessThan">
      <formula>-105575</formula>
    </cfRule>
  </conditionalFormatting>
  <conditionalFormatting sqref="BB270:BB272">
    <cfRule type="cellIs" dxfId="2981" priority="2981" operator="lessThan">
      <formula>0</formula>
    </cfRule>
    <cfRule type="cellIs" dxfId="2980" priority="2982" operator="lessThan">
      <formula>-105575</formula>
    </cfRule>
  </conditionalFormatting>
  <conditionalFormatting sqref="BB270:BB272">
    <cfRule type="cellIs" dxfId="2979" priority="2979" operator="lessThan">
      <formula>0</formula>
    </cfRule>
    <cfRule type="cellIs" dxfId="2978" priority="2980" operator="lessThan">
      <formula>-105575</formula>
    </cfRule>
  </conditionalFormatting>
  <conditionalFormatting sqref="BB270:BB272">
    <cfRule type="cellIs" dxfId="2977" priority="2977" operator="lessThan">
      <formula>0</formula>
    </cfRule>
    <cfRule type="cellIs" dxfId="2976" priority="2978" operator="lessThan">
      <formula>-105575</formula>
    </cfRule>
  </conditionalFormatting>
  <conditionalFormatting sqref="BB270:BB272">
    <cfRule type="cellIs" dxfId="2975" priority="2975" operator="lessThan">
      <formula>0</formula>
    </cfRule>
    <cfRule type="cellIs" dxfId="2974" priority="2976" operator="lessThan">
      <formula>-105575</formula>
    </cfRule>
  </conditionalFormatting>
  <conditionalFormatting sqref="BB270:BB272">
    <cfRule type="cellIs" dxfId="2973" priority="2973" operator="lessThan">
      <formula>0</formula>
    </cfRule>
    <cfRule type="cellIs" dxfId="2972" priority="2974" operator="lessThan">
      <formula>-105575</formula>
    </cfRule>
  </conditionalFormatting>
  <conditionalFormatting sqref="BB270:BB272">
    <cfRule type="cellIs" dxfId="2971" priority="2971" operator="lessThan">
      <formula>0</formula>
    </cfRule>
    <cfRule type="cellIs" dxfId="2970" priority="2972" operator="lessThan">
      <formula>-105575</formula>
    </cfRule>
  </conditionalFormatting>
  <conditionalFormatting sqref="BB270:BB272">
    <cfRule type="cellIs" dxfId="2969" priority="2969" operator="lessThan">
      <formula>0</formula>
    </cfRule>
    <cfRule type="cellIs" dxfId="2968" priority="2970" operator="lessThan">
      <formula>-105575</formula>
    </cfRule>
  </conditionalFormatting>
  <conditionalFormatting sqref="BB270:BB272">
    <cfRule type="cellIs" dxfId="2967" priority="2967" operator="lessThan">
      <formula>0</formula>
    </cfRule>
    <cfRule type="cellIs" dxfId="2966" priority="2968" operator="lessThan">
      <formula>-105575</formula>
    </cfRule>
  </conditionalFormatting>
  <conditionalFormatting sqref="BB274:BB275">
    <cfRule type="cellIs" dxfId="2965" priority="2965" operator="lessThan">
      <formula>0</formula>
    </cfRule>
    <cfRule type="cellIs" dxfId="2964" priority="2966" operator="lessThan">
      <formula>-105575</formula>
    </cfRule>
  </conditionalFormatting>
  <conditionalFormatting sqref="BB274:BB275">
    <cfRule type="cellIs" dxfId="2963" priority="2963" operator="lessThan">
      <formula>0</formula>
    </cfRule>
    <cfRule type="cellIs" dxfId="2962" priority="2964" operator="lessThan">
      <formula>-105575</formula>
    </cfRule>
  </conditionalFormatting>
  <conditionalFormatting sqref="BB274:BB275">
    <cfRule type="cellIs" dxfId="2961" priority="2961" operator="lessThan">
      <formula>0</formula>
    </cfRule>
    <cfRule type="cellIs" dxfId="2960" priority="2962" operator="lessThan">
      <formula>-105575</formula>
    </cfRule>
  </conditionalFormatting>
  <conditionalFormatting sqref="BB274:BB275">
    <cfRule type="cellIs" dxfId="2959" priority="2959" operator="lessThan">
      <formula>0</formula>
    </cfRule>
    <cfRule type="cellIs" dxfId="2958" priority="2960" operator="lessThan">
      <formula>-105575</formula>
    </cfRule>
  </conditionalFormatting>
  <conditionalFormatting sqref="BB274:BB275">
    <cfRule type="cellIs" dxfId="2957" priority="2957" operator="lessThan">
      <formula>0</formula>
    </cfRule>
    <cfRule type="cellIs" dxfId="2956" priority="2958" operator="lessThan">
      <formula>-105575</formula>
    </cfRule>
  </conditionalFormatting>
  <conditionalFormatting sqref="BB274:BB275">
    <cfRule type="cellIs" dxfId="2955" priority="2955" operator="lessThan">
      <formula>0</formula>
    </cfRule>
    <cfRule type="cellIs" dxfId="2954" priority="2956" operator="lessThan">
      <formula>-105575</formula>
    </cfRule>
  </conditionalFormatting>
  <conditionalFormatting sqref="BB274:BB275">
    <cfRule type="cellIs" dxfId="2953" priority="2953" operator="lessThan">
      <formula>0</formula>
    </cfRule>
    <cfRule type="cellIs" dxfId="2952" priority="2954" operator="lessThan">
      <formula>-105575</formula>
    </cfRule>
  </conditionalFormatting>
  <conditionalFormatting sqref="BB274:BB275">
    <cfRule type="cellIs" dxfId="2951" priority="2951" operator="lessThan">
      <formula>0</formula>
    </cfRule>
    <cfRule type="cellIs" dxfId="2950" priority="2952" operator="lessThan">
      <formula>-105575</formula>
    </cfRule>
  </conditionalFormatting>
  <conditionalFormatting sqref="BB274:BB275">
    <cfRule type="cellIs" dxfId="2949" priority="2949" operator="lessThan">
      <formula>0</formula>
    </cfRule>
    <cfRule type="cellIs" dxfId="2948" priority="2950" operator="lessThan">
      <formula>-105575</formula>
    </cfRule>
  </conditionalFormatting>
  <conditionalFormatting sqref="BB278:BB282">
    <cfRule type="cellIs" dxfId="2947" priority="2947" operator="lessThan">
      <formula>0</formula>
    </cfRule>
    <cfRule type="cellIs" dxfId="2946" priority="2948" operator="lessThan">
      <formula>-105575</formula>
    </cfRule>
  </conditionalFormatting>
  <conditionalFormatting sqref="BB278:BB282">
    <cfRule type="cellIs" dxfId="2945" priority="2945" operator="lessThan">
      <formula>0</formula>
    </cfRule>
    <cfRule type="cellIs" dxfId="2944" priority="2946" operator="lessThan">
      <formula>-105575</formula>
    </cfRule>
  </conditionalFormatting>
  <conditionalFormatting sqref="BB278:BB282">
    <cfRule type="cellIs" dxfId="2943" priority="2943" operator="lessThan">
      <formula>0</formula>
    </cfRule>
    <cfRule type="cellIs" dxfId="2942" priority="2944" operator="lessThan">
      <formula>-105575</formula>
    </cfRule>
  </conditionalFormatting>
  <conditionalFormatting sqref="BB278:BB282">
    <cfRule type="cellIs" dxfId="2941" priority="2941" operator="lessThan">
      <formula>0</formula>
    </cfRule>
    <cfRule type="cellIs" dxfId="2940" priority="2942" operator="lessThan">
      <formula>-105575</formula>
    </cfRule>
  </conditionalFormatting>
  <conditionalFormatting sqref="BB278:BB282">
    <cfRule type="cellIs" dxfId="2939" priority="2939" operator="lessThan">
      <formula>0</formula>
    </cfRule>
    <cfRule type="cellIs" dxfId="2938" priority="2940" operator="lessThan">
      <formula>-105575</formula>
    </cfRule>
  </conditionalFormatting>
  <conditionalFormatting sqref="BB278:BB282">
    <cfRule type="cellIs" dxfId="2937" priority="2937" operator="lessThan">
      <formula>0</formula>
    </cfRule>
    <cfRule type="cellIs" dxfId="2936" priority="2938" operator="lessThan">
      <formula>-105575</formula>
    </cfRule>
  </conditionalFormatting>
  <conditionalFormatting sqref="BB278:BB282">
    <cfRule type="cellIs" dxfId="2935" priority="2935" operator="lessThan">
      <formula>0</formula>
    </cfRule>
    <cfRule type="cellIs" dxfId="2934" priority="2936" operator="lessThan">
      <formula>-105575</formula>
    </cfRule>
  </conditionalFormatting>
  <conditionalFormatting sqref="BB278:BB282">
    <cfRule type="cellIs" dxfId="2933" priority="2933" operator="lessThan">
      <formula>0</formula>
    </cfRule>
    <cfRule type="cellIs" dxfId="2932" priority="2934" operator="lessThan">
      <formula>-105575</formula>
    </cfRule>
  </conditionalFormatting>
  <conditionalFormatting sqref="BB278:BB282">
    <cfRule type="cellIs" dxfId="2931" priority="2931" operator="lessThan">
      <formula>0</formula>
    </cfRule>
    <cfRule type="cellIs" dxfId="2930" priority="2932" operator="lessThan">
      <formula>-105575</formula>
    </cfRule>
  </conditionalFormatting>
  <conditionalFormatting sqref="BB285:BB288">
    <cfRule type="cellIs" dxfId="2929" priority="2929" operator="lessThan">
      <formula>0</formula>
    </cfRule>
    <cfRule type="cellIs" dxfId="2928" priority="2930" operator="lessThan">
      <formula>-105575</formula>
    </cfRule>
  </conditionalFormatting>
  <conditionalFormatting sqref="BB285:BB288">
    <cfRule type="cellIs" dxfId="2927" priority="2927" operator="lessThan">
      <formula>0</formula>
    </cfRule>
    <cfRule type="cellIs" dxfId="2926" priority="2928" operator="lessThan">
      <formula>-105575</formula>
    </cfRule>
  </conditionalFormatting>
  <conditionalFormatting sqref="BB285:BB288">
    <cfRule type="cellIs" dxfId="2925" priority="2925" operator="lessThan">
      <formula>0</formula>
    </cfRule>
    <cfRule type="cellIs" dxfId="2924" priority="2926" operator="lessThan">
      <formula>-105575</formula>
    </cfRule>
  </conditionalFormatting>
  <conditionalFormatting sqref="BB285:BB288">
    <cfRule type="cellIs" dxfId="2923" priority="2923" operator="lessThan">
      <formula>0</formula>
    </cfRule>
    <cfRule type="cellIs" dxfId="2922" priority="2924" operator="lessThan">
      <formula>-105575</formula>
    </cfRule>
  </conditionalFormatting>
  <conditionalFormatting sqref="BB285:BB288">
    <cfRule type="cellIs" dxfId="2921" priority="2921" operator="lessThan">
      <formula>0</formula>
    </cfRule>
    <cfRule type="cellIs" dxfId="2920" priority="2922" operator="lessThan">
      <formula>-105575</formula>
    </cfRule>
  </conditionalFormatting>
  <conditionalFormatting sqref="BB285:BB288">
    <cfRule type="cellIs" dxfId="2919" priority="2919" operator="lessThan">
      <formula>0</formula>
    </cfRule>
    <cfRule type="cellIs" dxfId="2918" priority="2920" operator="lessThan">
      <formula>-105575</formula>
    </cfRule>
  </conditionalFormatting>
  <conditionalFormatting sqref="BB285:BB288">
    <cfRule type="cellIs" dxfId="2917" priority="2917" operator="lessThan">
      <formula>0</formula>
    </cfRule>
    <cfRule type="cellIs" dxfId="2916" priority="2918" operator="lessThan">
      <formula>-105575</formula>
    </cfRule>
  </conditionalFormatting>
  <conditionalFormatting sqref="BB285:BB288">
    <cfRule type="cellIs" dxfId="2915" priority="2915" operator="lessThan">
      <formula>0</formula>
    </cfRule>
    <cfRule type="cellIs" dxfId="2914" priority="2916" operator="lessThan">
      <formula>-105575</formula>
    </cfRule>
  </conditionalFormatting>
  <conditionalFormatting sqref="BB285:BB288">
    <cfRule type="cellIs" dxfId="2913" priority="2913" operator="lessThan">
      <formula>0</formula>
    </cfRule>
    <cfRule type="cellIs" dxfId="2912" priority="2914" operator="lessThan">
      <formula>-105575</formula>
    </cfRule>
  </conditionalFormatting>
  <conditionalFormatting sqref="BB203 BB220:BB221 BB235:BB243 BB231:BB233 BB212:BB213 BB225:BB226">
    <cfRule type="cellIs" dxfId="2911" priority="2911" operator="lessThan">
      <formula>0</formula>
    </cfRule>
    <cfRule type="cellIs" dxfId="2910" priority="2912" operator="lessThan">
      <formula>-105575</formula>
    </cfRule>
  </conditionalFormatting>
  <conditionalFormatting sqref="BB220 BB212:BB213 BB235:BB238 BB240:BB243 BB225:BB226 BB231:BB233">
    <cfRule type="cellIs" dxfId="2909" priority="2909" operator="lessThan">
      <formula>0</formula>
    </cfRule>
    <cfRule type="cellIs" dxfId="2908" priority="2910" operator="lessThan">
      <formula>-105575</formula>
    </cfRule>
  </conditionalFormatting>
  <conditionalFormatting sqref="BB220:BB221 BB243 BB226 BB231:BB236 BB238:BB241 BB203 BB213">
    <cfRule type="cellIs" dxfId="2907" priority="2907" operator="lessThan">
      <formula>0</formula>
    </cfRule>
    <cfRule type="cellIs" dxfId="2906" priority="2908" operator="lessThan">
      <formula>-105575</formula>
    </cfRule>
  </conditionalFormatting>
  <conditionalFormatting sqref="BB235:BB243 BB231:BB233 BB220 BB212:BB213 BB225:BB226">
    <cfRule type="cellIs" dxfId="2905" priority="2905" operator="lessThan">
      <formula>0</formula>
    </cfRule>
    <cfRule type="cellIs" dxfId="2904" priority="2906" operator="lessThan">
      <formula>-105575</formula>
    </cfRule>
  </conditionalFormatting>
  <conditionalFormatting sqref="BB220:BB221 BB237:BB243 BB203 BB231:BB235 BB212:BB213 BB225:BB226">
    <cfRule type="cellIs" dxfId="2903" priority="2903" operator="lessThan">
      <formula>0</formula>
    </cfRule>
    <cfRule type="cellIs" dxfId="2902" priority="2904" operator="lessThan">
      <formula>-105575</formula>
    </cfRule>
  </conditionalFormatting>
  <conditionalFormatting sqref="BB220:BB221 BB237:BB240 BB242:BB243 BB225:BB226 BB231:BB235">
    <cfRule type="cellIs" dxfId="2901" priority="2901" operator="lessThan">
      <formula>0</formula>
    </cfRule>
    <cfRule type="cellIs" dxfId="2900" priority="2902" operator="lessThan">
      <formula>-105575</formula>
    </cfRule>
  </conditionalFormatting>
  <conditionalFormatting sqref="BB212 BB231 BB233:BB238 BB240:BB243 BB225">
    <cfRule type="cellIs" dxfId="2899" priority="2899" operator="lessThan">
      <formula>0</formula>
    </cfRule>
    <cfRule type="cellIs" dxfId="2898" priority="2900" operator="lessThan">
      <formula>-105575</formula>
    </cfRule>
  </conditionalFormatting>
  <conditionalFormatting sqref="BB237:BB243 BB231:BB235 BB220:BB221 BB225:BB226">
    <cfRule type="cellIs" dxfId="2897" priority="2897" operator="lessThan">
      <formula>0</formula>
    </cfRule>
    <cfRule type="cellIs" dxfId="2896" priority="2898" operator="lessThan">
      <formula>-105575</formula>
    </cfRule>
  </conditionalFormatting>
  <conditionalFormatting sqref="BB233:BB237 BB231 BB239:BB243">
    <cfRule type="cellIs" dxfId="2895" priority="2895" operator="lessThan">
      <formula>0</formula>
    </cfRule>
    <cfRule type="cellIs" dxfId="2894" priority="2896" operator="lessThan">
      <formula>-105575</formula>
    </cfRule>
  </conditionalFormatting>
  <conditionalFormatting sqref="BB233:BB237 BB231 BB239:BB243">
    <cfRule type="cellIs" dxfId="2893" priority="2893" operator="lessThan">
      <formula>0</formula>
    </cfRule>
    <cfRule type="cellIs" dxfId="2892" priority="2894" operator="lessThan">
      <formula>-105575</formula>
    </cfRule>
  </conditionalFormatting>
  <conditionalFormatting sqref="BB119:BB128 BB106:BB117 BB101:BB104 BB80:BB98">
    <cfRule type="cellIs" dxfId="2891" priority="2891" operator="lessThan">
      <formula>0</formula>
    </cfRule>
    <cfRule type="cellIs" dxfId="2890" priority="2892" operator="lessThan">
      <formula>-105575</formula>
    </cfRule>
  </conditionalFormatting>
  <conditionalFormatting sqref="BB130 BB132 BB134">
    <cfRule type="cellIs" dxfId="2889" priority="2889" operator="lessThan">
      <formula>0</formula>
    </cfRule>
    <cfRule type="cellIs" dxfId="2888" priority="2890" operator="lessThan">
      <formula>-105575</formula>
    </cfRule>
  </conditionalFormatting>
  <conditionalFormatting sqref="BB130 BB132 BB134">
    <cfRule type="cellIs" dxfId="2887" priority="2887" operator="lessThan">
      <formula>0</formula>
    </cfRule>
    <cfRule type="cellIs" dxfId="2886" priority="2888" operator="lessThan">
      <formula>-105575</formula>
    </cfRule>
  </conditionalFormatting>
  <conditionalFormatting sqref="BB129 BB131 BB133 BB135">
    <cfRule type="cellIs" dxfId="2885" priority="2885" operator="lessThan">
      <formula>0</formula>
    </cfRule>
    <cfRule type="cellIs" dxfId="2884" priority="2886" operator="lessThan">
      <formula>-105575</formula>
    </cfRule>
  </conditionalFormatting>
  <conditionalFormatting sqref="BB140 BB145 BB142:BB143 BB137:BB138">
    <cfRule type="cellIs" dxfId="2883" priority="2883" operator="lessThan">
      <formula>0</formula>
    </cfRule>
    <cfRule type="cellIs" dxfId="2882" priority="2884" operator="lessThan">
      <formula>-105575</formula>
    </cfRule>
  </conditionalFormatting>
  <conditionalFormatting sqref="BB149">
    <cfRule type="cellIs" dxfId="2881" priority="2881" operator="lessThan">
      <formula>0</formula>
    </cfRule>
    <cfRule type="cellIs" dxfId="2880" priority="2882" operator="lessThan">
      <formula>-105575</formula>
    </cfRule>
  </conditionalFormatting>
  <conditionalFormatting sqref="BB129:BB138 BB140:BB149">
    <cfRule type="cellIs" dxfId="2879" priority="2879" operator="lessThan">
      <formula>0</formula>
    </cfRule>
    <cfRule type="cellIs" dxfId="2878" priority="2880" operator="lessThan">
      <formula>-105575</formula>
    </cfRule>
  </conditionalFormatting>
  <conditionalFormatting sqref="BB94:BB98 BB86:BB87 BB89:BB91 BB141:BB149 BB124:BB133 BB107:BB110 BB112:BB117 BB119:BB122 BB135:BB138 BB101:BB104 BB80:BB84">
    <cfRule type="cellIs" dxfId="2877" priority="2877" operator="lessThan">
      <formula>0</formula>
    </cfRule>
    <cfRule type="cellIs" dxfId="2876" priority="2878" operator="lessThan">
      <formula>-105575</formula>
    </cfRule>
  </conditionalFormatting>
  <conditionalFormatting sqref="BB129 BB131 BB133 BB135">
    <cfRule type="cellIs" dxfId="2875" priority="2875" operator="lessThan">
      <formula>0</formula>
    </cfRule>
    <cfRule type="cellIs" dxfId="2874" priority="2876" operator="lessThan">
      <formula>-105575</formula>
    </cfRule>
  </conditionalFormatting>
  <conditionalFormatting sqref="BB146 BB144 BB141">
    <cfRule type="cellIs" dxfId="2873" priority="2873" operator="lessThan">
      <formula>0</formula>
    </cfRule>
    <cfRule type="cellIs" dxfId="2872" priority="2874" operator="lessThan">
      <formula>-105575</formula>
    </cfRule>
  </conditionalFormatting>
  <conditionalFormatting sqref="BB146 BB144 BB141">
    <cfRule type="cellIs" dxfId="2871" priority="2871" operator="lessThan">
      <formula>0</formula>
    </cfRule>
    <cfRule type="cellIs" dxfId="2870" priority="2872" operator="lessThan">
      <formula>-105575</formula>
    </cfRule>
  </conditionalFormatting>
  <conditionalFormatting sqref="BB140 BB145 BB142:BB143 BB137:BB138">
    <cfRule type="cellIs" dxfId="2869" priority="2869" operator="lessThan">
      <formula>0</formula>
    </cfRule>
    <cfRule type="cellIs" dxfId="2868" priority="2870" operator="lessThan">
      <formula>-105575</formula>
    </cfRule>
  </conditionalFormatting>
  <conditionalFormatting sqref="BB149">
    <cfRule type="cellIs" dxfId="2867" priority="2867" operator="lessThan">
      <formula>0</formula>
    </cfRule>
    <cfRule type="cellIs" dxfId="2866" priority="2868" operator="lessThan">
      <formula>-105575</formula>
    </cfRule>
  </conditionalFormatting>
  <conditionalFormatting sqref="BB94:BB98 BB86:BB87 BB89:BB91 BB141:BB149 BB124:BB133 BB107:BB110 BB112:BB117 BB119:BB122 BB135:BB138 BB101:BB104 BB80:BB84">
    <cfRule type="cellIs" dxfId="2865" priority="2865" operator="lessThan">
      <formula>0</formula>
    </cfRule>
    <cfRule type="cellIs" dxfId="2864" priority="2866" operator="lessThan">
      <formula>-105575</formula>
    </cfRule>
  </conditionalFormatting>
  <conditionalFormatting sqref="BB246:BB249 BB262 BB267 BB279:BB282 BB285:BB288 BB274:BB275 BB306:BB309 BB311:BB325 BB327:BB330 BB332:BB341 BB344:BB347 BB349:BB353 BB355:BB358 BB360:BB384 BB386:BB389 BB392:BB395 BB397:BB411 BB413:BB416 BB418:BB432 BB434:BB437 BB439:BB453 BB455:BB458 BB460:BB469 BB7:BB10 BB12:BB14 BB17:BB18 BB21:BB24 BB26:BB28 BB30:BB36 BB38 BB41:BB43 BB46:BB49 BB51:BB55 BB57:BB59 BB62:BB76 BB251:BB253 BB255:BB257 BB293:BB304 BB264:BB265 BB260 BB290:BB291 BB270:BB272">
    <cfRule type="cellIs" dxfId="2863" priority="2863" operator="lessThan">
      <formula>0</formula>
    </cfRule>
    <cfRule type="cellIs" dxfId="2862" priority="2864" operator="lessThan">
      <formula>-105575</formula>
    </cfRule>
  </conditionalFormatting>
  <conditionalFormatting sqref="BB41">
    <cfRule type="cellIs" dxfId="2861" priority="2861" operator="lessThan">
      <formula>0</formula>
    </cfRule>
    <cfRule type="cellIs" dxfId="2860" priority="2862" operator="lessThan">
      <formula>-105575</formula>
    </cfRule>
  </conditionalFormatting>
  <conditionalFormatting sqref="BB152:BB155">
    <cfRule type="cellIs" dxfId="2859" priority="2859" operator="lessThan">
      <formula>0</formula>
    </cfRule>
    <cfRule type="cellIs" dxfId="2858" priority="2860" operator="lessThan">
      <formula>-105575</formula>
    </cfRule>
  </conditionalFormatting>
  <conditionalFormatting sqref="BB152:BB155">
    <cfRule type="cellIs" dxfId="2857" priority="2857" operator="lessThan">
      <formula>0</formula>
    </cfRule>
    <cfRule type="cellIs" dxfId="2856" priority="2858" operator="lessThan">
      <formula>-105575</formula>
    </cfRule>
  </conditionalFormatting>
  <conditionalFormatting sqref="BB152:BB155">
    <cfRule type="cellIs" dxfId="2855" priority="2855" operator="lessThan">
      <formula>0</formula>
    </cfRule>
    <cfRule type="cellIs" dxfId="2854" priority="2856" operator="lessThan">
      <formula>-105575</formula>
    </cfRule>
  </conditionalFormatting>
  <conditionalFormatting sqref="BB157:BB158">
    <cfRule type="cellIs" dxfId="2853" priority="2853" operator="lessThan">
      <formula>0</formula>
    </cfRule>
    <cfRule type="cellIs" dxfId="2852" priority="2854" operator="lessThan">
      <formula>-105575</formula>
    </cfRule>
  </conditionalFormatting>
  <conditionalFormatting sqref="BB157:BB158">
    <cfRule type="cellIs" dxfId="2851" priority="2851" operator="lessThan">
      <formula>0</formula>
    </cfRule>
    <cfRule type="cellIs" dxfId="2850" priority="2852" operator="lessThan">
      <formula>-105575</formula>
    </cfRule>
  </conditionalFormatting>
  <conditionalFormatting sqref="BB157:BB158">
    <cfRule type="cellIs" dxfId="2849" priority="2849" operator="lessThan">
      <formula>0</formula>
    </cfRule>
    <cfRule type="cellIs" dxfId="2848" priority="2850" operator="lessThan">
      <formula>-105575</formula>
    </cfRule>
  </conditionalFormatting>
  <conditionalFormatting sqref="BB160:BB161">
    <cfRule type="cellIs" dxfId="2847" priority="2847" operator="lessThan">
      <formula>0</formula>
    </cfRule>
    <cfRule type="cellIs" dxfId="2846" priority="2848" operator="lessThan">
      <formula>-105575</formula>
    </cfRule>
  </conditionalFormatting>
  <conditionalFormatting sqref="BB160:BB161">
    <cfRule type="cellIs" dxfId="2845" priority="2845" operator="lessThan">
      <formula>0</formula>
    </cfRule>
    <cfRule type="cellIs" dxfId="2844" priority="2846" operator="lessThan">
      <formula>-105575</formula>
    </cfRule>
  </conditionalFormatting>
  <conditionalFormatting sqref="BB160:BB161">
    <cfRule type="cellIs" dxfId="2843" priority="2843" operator="lessThan">
      <formula>0</formula>
    </cfRule>
    <cfRule type="cellIs" dxfId="2842" priority="2844" operator="lessThan">
      <formula>-105575</formula>
    </cfRule>
  </conditionalFormatting>
  <conditionalFormatting sqref="BB164:BB167">
    <cfRule type="cellIs" dxfId="2841" priority="2841" operator="lessThan">
      <formula>0</formula>
    </cfRule>
    <cfRule type="cellIs" dxfId="2840" priority="2842" operator="lessThan">
      <formula>-105575</formula>
    </cfRule>
  </conditionalFormatting>
  <conditionalFormatting sqref="BB164:BB167">
    <cfRule type="cellIs" dxfId="2839" priority="2839" operator="lessThan">
      <formula>0</formula>
    </cfRule>
    <cfRule type="cellIs" dxfId="2838" priority="2840" operator="lessThan">
      <formula>-105575</formula>
    </cfRule>
  </conditionalFormatting>
  <conditionalFormatting sqref="BB164:BB167">
    <cfRule type="cellIs" dxfId="2837" priority="2837" operator="lessThan">
      <formula>0</formula>
    </cfRule>
    <cfRule type="cellIs" dxfId="2836" priority="2838" operator="lessThan">
      <formula>-105575</formula>
    </cfRule>
  </conditionalFormatting>
  <conditionalFormatting sqref="BB169:BB177">
    <cfRule type="cellIs" dxfId="2835" priority="2835" operator="lessThan">
      <formula>0</formula>
    </cfRule>
    <cfRule type="cellIs" dxfId="2834" priority="2836" operator="lessThan">
      <formula>-105575</formula>
    </cfRule>
  </conditionalFormatting>
  <conditionalFormatting sqref="BB169:BB177">
    <cfRule type="cellIs" dxfId="2833" priority="2833" operator="lessThan">
      <formula>0</formula>
    </cfRule>
    <cfRule type="cellIs" dxfId="2832" priority="2834" operator="lessThan">
      <formula>-105575</formula>
    </cfRule>
  </conditionalFormatting>
  <conditionalFormatting sqref="BB169:BB177">
    <cfRule type="cellIs" dxfId="2831" priority="2831" operator="lessThan">
      <formula>0</formula>
    </cfRule>
    <cfRule type="cellIs" dxfId="2830" priority="2832" operator="lessThan">
      <formula>-105575</formula>
    </cfRule>
  </conditionalFormatting>
  <conditionalFormatting sqref="BB179:BB180">
    <cfRule type="cellIs" dxfId="2829" priority="2829" operator="lessThan">
      <formula>0</formula>
    </cfRule>
    <cfRule type="cellIs" dxfId="2828" priority="2830" operator="lessThan">
      <formula>-105575</formula>
    </cfRule>
  </conditionalFormatting>
  <conditionalFormatting sqref="BB179:BB180">
    <cfRule type="cellIs" dxfId="2827" priority="2827" operator="lessThan">
      <formula>0</formula>
    </cfRule>
    <cfRule type="cellIs" dxfId="2826" priority="2828" operator="lessThan">
      <formula>-105575</formula>
    </cfRule>
  </conditionalFormatting>
  <conditionalFormatting sqref="BB179:BB180">
    <cfRule type="cellIs" dxfId="2825" priority="2825" operator="lessThan">
      <formula>0</formula>
    </cfRule>
    <cfRule type="cellIs" dxfId="2824" priority="2826" operator="lessThan">
      <formula>-105575</formula>
    </cfRule>
  </conditionalFormatting>
  <conditionalFormatting sqref="BB183:BB189">
    <cfRule type="cellIs" dxfId="2823" priority="2823" operator="lessThan">
      <formula>0</formula>
    </cfRule>
    <cfRule type="cellIs" dxfId="2822" priority="2824" operator="lessThan">
      <formula>-105575</formula>
    </cfRule>
  </conditionalFormatting>
  <conditionalFormatting sqref="BB183:BB189">
    <cfRule type="cellIs" dxfId="2821" priority="2821" operator="lessThan">
      <formula>0</formula>
    </cfRule>
    <cfRule type="cellIs" dxfId="2820" priority="2822" operator="lessThan">
      <formula>-105575</formula>
    </cfRule>
  </conditionalFormatting>
  <conditionalFormatting sqref="BB183:BB189">
    <cfRule type="cellIs" dxfId="2819" priority="2819" operator="lessThan">
      <formula>0</formula>
    </cfRule>
    <cfRule type="cellIs" dxfId="2818" priority="2820" operator="lessThan">
      <formula>-105575</formula>
    </cfRule>
  </conditionalFormatting>
  <conditionalFormatting sqref="BB191:BB192">
    <cfRule type="cellIs" dxfId="2817" priority="2817" operator="lessThan">
      <formula>0</formula>
    </cfRule>
    <cfRule type="cellIs" dxfId="2816" priority="2818" operator="lessThan">
      <formula>-105575</formula>
    </cfRule>
  </conditionalFormatting>
  <conditionalFormatting sqref="BB191:BB192">
    <cfRule type="cellIs" dxfId="2815" priority="2815" operator="lessThan">
      <formula>0</formula>
    </cfRule>
    <cfRule type="cellIs" dxfId="2814" priority="2816" operator="lessThan">
      <formula>-105575</formula>
    </cfRule>
  </conditionalFormatting>
  <conditionalFormatting sqref="BB191:BB192">
    <cfRule type="cellIs" dxfId="2813" priority="2813" operator="lessThan">
      <formula>0</formula>
    </cfRule>
    <cfRule type="cellIs" dxfId="2812" priority="2814" operator="lessThan">
      <formula>-105575</formula>
    </cfRule>
  </conditionalFormatting>
  <conditionalFormatting sqref="BB194:BB195">
    <cfRule type="cellIs" dxfId="2811" priority="2811" operator="lessThan">
      <formula>0</formula>
    </cfRule>
    <cfRule type="cellIs" dxfId="2810" priority="2812" operator="lessThan">
      <formula>-105575</formula>
    </cfRule>
  </conditionalFormatting>
  <conditionalFormatting sqref="BB194:BB195">
    <cfRule type="cellIs" dxfId="2809" priority="2809" operator="lessThan">
      <formula>0</formula>
    </cfRule>
    <cfRule type="cellIs" dxfId="2808" priority="2810" operator="lessThan">
      <formula>-105575</formula>
    </cfRule>
  </conditionalFormatting>
  <conditionalFormatting sqref="BB194:BB195">
    <cfRule type="cellIs" dxfId="2807" priority="2807" operator="lessThan">
      <formula>0</formula>
    </cfRule>
    <cfRule type="cellIs" dxfId="2806" priority="2808" operator="lessThan">
      <formula>-105575</formula>
    </cfRule>
  </conditionalFormatting>
  <conditionalFormatting sqref="BB199:BB202">
    <cfRule type="cellIs" dxfId="2805" priority="2805" operator="lessThan">
      <formula>0</formula>
    </cfRule>
    <cfRule type="cellIs" dxfId="2804" priority="2806" operator="lessThan">
      <formula>-105575</formula>
    </cfRule>
  </conditionalFormatting>
  <conditionalFormatting sqref="BB199:BB202">
    <cfRule type="cellIs" dxfId="2803" priority="2803" operator="lessThan">
      <formula>0</formula>
    </cfRule>
    <cfRule type="cellIs" dxfId="2802" priority="2804" operator="lessThan">
      <formula>-105575</formula>
    </cfRule>
  </conditionalFormatting>
  <conditionalFormatting sqref="BB199:BB202">
    <cfRule type="cellIs" dxfId="2801" priority="2801" operator="lessThan">
      <formula>0</formula>
    </cfRule>
    <cfRule type="cellIs" dxfId="2800" priority="2802" operator="lessThan">
      <formula>-105575</formula>
    </cfRule>
  </conditionalFormatting>
  <conditionalFormatting sqref="BB204:BB208">
    <cfRule type="cellIs" dxfId="2799" priority="2799" operator="lessThan">
      <formula>0</formula>
    </cfRule>
    <cfRule type="cellIs" dxfId="2798" priority="2800" operator="lessThan">
      <formula>-105575</formula>
    </cfRule>
  </conditionalFormatting>
  <conditionalFormatting sqref="BB204:BB208">
    <cfRule type="cellIs" dxfId="2797" priority="2797" operator="lessThan">
      <formula>0</formula>
    </cfRule>
    <cfRule type="cellIs" dxfId="2796" priority="2798" operator="lessThan">
      <formula>-105575</formula>
    </cfRule>
  </conditionalFormatting>
  <conditionalFormatting sqref="BB204:BB208">
    <cfRule type="cellIs" dxfId="2795" priority="2795" operator="lessThan">
      <formula>0</formula>
    </cfRule>
    <cfRule type="cellIs" dxfId="2794" priority="2796" operator="lessThan">
      <formula>-105575</formula>
    </cfRule>
  </conditionalFormatting>
  <conditionalFormatting sqref="BB210:BB211">
    <cfRule type="cellIs" dxfId="2793" priority="2793" operator="lessThan">
      <formula>0</formula>
    </cfRule>
    <cfRule type="cellIs" dxfId="2792" priority="2794" operator="lessThan">
      <formula>-105575</formula>
    </cfRule>
  </conditionalFormatting>
  <conditionalFormatting sqref="BB210:BB211">
    <cfRule type="cellIs" dxfId="2791" priority="2791" operator="lessThan">
      <formula>0</formula>
    </cfRule>
    <cfRule type="cellIs" dxfId="2790" priority="2792" operator="lessThan">
      <formula>-105575</formula>
    </cfRule>
  </conditionalFormatting>
  <conditionalFormatting sqref="BB210:BB211">
    <cfRule type="cellIs" dxfId="2789" priority="2789" operator="lessThan">
      <formula>0</formula>
    </cfRule>
    <cfRule type="cellIs" dxfId="2788" priority="2790" operator="lessThan">
      <formula>-105575</formula>
    </cfRule>
  </conditionalFormatting>
  <conditionalFormatting sqref="BB214:BB219">
    <cfRule type="cellIs" dxfId="2787" priority="2787" operator="lessThan">
      <formula>0</formula>
    </cfRule>
    <cfRule type="cellIs" dxfId="2786" priority="2788" operator="lessThan">
      <formula>-105575</formula>
    </cfRule>
  </conditionalFormatting>
  <conditionalFormatting sqref="BB214:BB219">
    <cfRule type="cellIs" dxfId="2785" priority="2785" operator="lessThan">
      <formula>0</formula>
    </cfRule>
    <cfRule type="cellIs" dxfId="2784" priority="2786" operator="lessThan">
      <formula>-105575</formula>
    </cfRule>
  </conditionalFormatting>
  <conditionalFormatting sqref="BB214:BB219">
    <cfRule type="cellIs" dxfId="2783" priority="2783" operator="lessThan">
      <formula>0</formula>
    </cfRule>
    <cfRule type="cellIs" dxfId="2782" priority="2784" operator="lessThan">
      <formula>-105575</formula>
    </cfRule>
  </conditionalFormatting>
  <conditionalFormatting sqref="BB222:BB224">
    <cfRule type="cellIs" dxfId="2781" priority="2781" operator="lessThan">
      <formula>0</formula>
    </cfRule>
    <cfRule type="cellIs" dxfId="2780" priority="2782" operator="lessThan">
      <formula>-105575</formula>
    </cfRule>
  </conditionalFormatting>
  <conditionalFormatting sqref="BB222:BB224">
    <cfRule type="cellIs" dxfId="2779" priority="2779" operator="lessThan">
      <formula>0</formula>
    </cfRule>
    <cfRule type="cellIs" dxfId="2778" priority="2780" operator="lessThan">
      <formula>-105575</formula>
    </cfRule>
  </conditionalFormatting>
  <conditionalFormatting sqref="BB222:BB224">
    <cfRule type="cellIs" dxfId="2777" priority="2777" operator="lessThan">
      <formula>0</formula>
    </cfRule>
    <cfRule type="cellIs" dxfId="2776" priority="2778" operator="lessThan">
      <formula>-105575</formula>
    </cfRule>
  </conditionalFormatting>
  <conditionalFormatting sqref="BB227:BB230">
    <cfRule type="cellIs" dxfId="2775" priority="2775" operator="lessThan">
      <formula>0</formula>
    </cfRule>
    <cfRule type="cellIs" dxfId="2774" priority="2776" operator="lessThan">
      <formula>-105575</formula>
    </cfRule>
  </conditionalFormatting>
  <conditionalFormatting sqref="BB227:BB230">
    <cfRule type="cellIs" dxfId="2773" priority="2773" operator="lessThan">
      <formula>0</formula>
    </cfRule>
    <cfRule type="cellIs" dxfId="2772" priority="2774" operator="lessThan">
      <formula>-105575</formula>
    </cfRule>
  </conditionalFormatting>
  <conditionalFormatting sqref="BB227:BB230">
    <cfRule type="cellIs" dxfId="2771" priority="2771" operator="lessThan">
      <formula>0</formula>
    </cfRule>
    <cfRule type="cellIs" dxfId="2770" priority="2772" operator="lessThan">
      <formula>-105575</formula>
    </cfRule>
  </conditionalFormatting>
  <conditionalFormatting sqref="BB203 BB220:BB221 BB235:BB243 BB231:BB233 BB212:BB213 BB225:BB226">
    <cfRule type="cellIs" dxfId="2769" priority="2769" operator="lessThan">
      <formula>0</formula>
    </cfRule>
    <cfRule type="cellIs" dxfId="2768" priority="2770" operator="lessThan">
      <formula>-105575</formula>
    </cfRule>
  </conditionalFormatting>
  <conditionalFormatting sqref="BB220 BB212:BB213 BB235:BB238 BB240:BB243 BB225:BB226 BB231:BB233">
    <cfRule type="cellIs" dxfId="2767" priority="2767" operator="lessThan">
      <formula>0</formula>
    </cfRule>
    <cfRule type="cellIs" dxfId="2766" priority="2768" operator="lessThan">
      <formula>-105575</formula>
    </cfRule>
  </conditionalFormatting>
  <conditionalFormatting sqref="BB220:BB221 BB243 BB226 BB231:BB236 BB238:BB241 BB203 BB213">
    <cfRule type="cellIs" dxfId="2765" priority="2765" operator="lessThan">
      <formula>0</formula>
    </cfRule>
    <cfRule type="cellIs" dxfId="2764" priority="2766" operator="lessThan">
      <formula>-105575</formula>
    </cfRule>
  </conditionalFormatting>
  <conditionalFormatting sqref="BB235:BB243 BB231:BB233 BB220 BB212:BB213 BB225:BB226">
    <cfRule type="cellIs" dxfId="2763" priority="2763" operator="lessThan">
      <formula>0</formula>
    </cfRule>
    <cfRule type="cellIs" dxfId="2762" priority="2764" operator="lessThan">
      <formula>-105575</formula>
    </cfRule>
  </conditionalFormatting>
  <conditionalFormatting sqref="BB220:BB221 BB237:BB243 BB203 BB231:BB235 BB212:BB213 BB225:BB226">
    <cfRule type="cellIs" dxfId="2761" priority="2761" operator="lessThan">
      <formula>0</formula>
    </cfRule>
    <cfRule type="cellIs" dxfId="2760" priority="2762" operator="lessThan">
      <formula>-105575</formula>
    </cfRule>
  </conditionalFormatting>
  <conditionalFormatting sqref="BB220:BB221 BB237:BB240 BB242:BB243 BB225:BB226 BB231:BB235">
    <cfRule type="cellIs" dxfId="2759" priority="2759" operator="lessThan">
      <formula>0</formula>
    </cfRule>
    <cfRule type="cellIs" dxfId="2758" priority="2760" operator="lessThan">
      <formula>-105575</formula>
    </cfRule>
  </conditionalFormatting>
  <conditionalFormatting sqref="BB212 BB231 BB233:BB238 BB240:BB243 BB225">
    <cfRule type="cellIs" dxfId="2757" priority="2757" operator="lessThan">
      <formula>0</formula>
    </cfRule>
    <cfRule type="cellIs" dxfId="2756" priority="2758" operator="lessThan">
      <formula>-105575</formula>
    </cfRule>
  </conditionalFormatting>
  <conditionalFormatting sqref="BB237:BB243 BB231:BB235 BB220:BB221 BB225:BB226">
    <cfRule type="cellIs" dxfId="2755" priority="2755" operator="lessThan">
      <formula>0</formula>
    </cfRule>
    <cfRule type="cellIs" dxfId="2754" priority="2756" operator="lessThan">
      <formula>-105575</formula>
    </cfRule>
  </conditionalFormatting>
  <conditionalFormatting sqref="BB233:BB237 BB231 BB239:BB243">
    <cfRule type="cellIs" dxfId="2753" priority="2753" operator="lessThan">
      <formula>0</formula>
    </cfRule>
    <cfRule type="cellIs" dxfId="2752" priority="2754" operator="lessThan">
      <formula>-105575</formula>
    </cfRule>
  </conditionalFormatting>
  <conditionalFormatting sqref="BB233:BB237 BB231 BB239:BB243">
    <cfRule type="cellIs" dxfId="2751" priority="2751" operator="lessThan">
      <formula>0</formula>
    </cfRule>
    <cfRule type="cellIs" dxfId="2750" priority="2752" operator="lessThan">
      <formula>-105575</formula>
    </cfRule>
  </conditionalFormatting>
  <conditionalFormatting sqref="BB119:BB128 BB106:BB117 BB101:BB104 BB80:BB98">
    <cfRule type="cellIs" dxfId="2749" priority="2749" operator="lessThan">
      <formula>0</formula>
    </cfRule>
    <cfRule type="cellIs" dxfId="2748" priority="2750" operator="lessThan">
      <formula>-105575</formula>
    </cfRule>
  </conditionalFormatting>
  <conditionalFormatting sqref="BB130 BB132 BB134">
    <cfRule type="cellIs" dxfId="2747" priority="2747" operator="lessThan">
      <formula>0</formula>
    </cfRule>
    <cfRule type="cellIs" dxfId="2746" priority="2748" operator="lessThan">
      <formula>-105575</formula>
    </cfRule>
  </conditionalFormatting>
  <conditionalFormatting sqref="BB130 BB132 BB134">
    <cfRule type="cellIs" dxfId="2745" priority="2745" operator="lessThan">
      <formula>0</formula>
    </cfRule>
    <cfRule type="cellIs" dxfId="2744" priority="2746" operator="lessThan">
      <formula>-105575</formula>
    </cfRule>
  </conditionalFormatting>
  <conditionalFormatting sqref="BB129 BB131 BB133 BB135">
    <cfRule type="cellIs" dxfId="2743" priority="2743" operator="lessThan">
      <formula>0</formula>
    </cfRule>
    <cfRule type="cellIs" dxfId="2742" priority="2744" operator="lessThan">
      <formula>-105575</formula>
    </cfRule>
  </conditionalFormatting>
  <conditionalFormatting sqref="BB140 BB145 BB142:BB143 BB137:BB138">
    <cfRule type="cellIs" dxfId="2741" priority="2741" operator="lessThan">
      <formula>0</formula>
    </cfRule>
    <cfRule type="cellIs" dxfId="2740" priority="2742" operator="lessThan">
      <formula>-105575</formula>
    </cfRule>
  </conditionalFormatting>
  <conditionalFormatting sqref="BB149">
    <cfRule type="cellIs" dxfId="2739" priority="2739" operator="lessThan">
      <formula>0</formula>
    </cfRule>
    <cfRule type="cellIs" dxfId="2738" priority="2740" operator="lessThan">
      <formula>-105575</formula>
    </cfRule>
  </conditionalFormatting>
  <conditionalFormatting sqref="BB129:BB138 BB140:BB149">
    <cfRule type="cellIs" dxfId="2737" priority="2737" operator="lessThan">
      <formula>0</formula>
    </cfRule>
    <cfRule type="cellIs" dxfId="2736" priority="2738" operator="lessThan">
      <formula>-105575</formula>
    </cfRule>
  </conditionalFormatting>
  <conditionalFormatting sqref="BB94:BB98 BB86:BB87 BB89:BB91 BB141:BB149 BB124:BB133 BB107:BB110 BB112:BB117 BB119:BB122 BB135:BB138 BB101:BB104 BB80:BB84">
    <cfRule type="cellIs" dxfId="2735" priority="2735" operator="lessThan">
      <formula>0</formula>
    </cfRule>
    <cfRule type="cellIs" dxfId="2734" priority="2736" operator="lessThan">
      <formula>-105575</formula>
    </cfRule>
  </conditionalFormatting>
  <conditionalFormatting sqref="BB129 BB131 BB133 BB135">
    <cfRule type="cellIs" dxfId="2733" priority="2733" operator="lessThan">
      <formula>0</formula>
    </cfRule>
    <cfRule type="cellIs" dxfId="2732" priority="2734" operator="lessThan">
      <formula>-105575</formula>
    </cfRule>
  </conditionalFormatting>
  <conditionalFormatting sqref="BB146 BB144 BB141">
    <cfRule type="cellIs" dxfId="2731" priority="2731" operator="lessThan">
      <formula>0</formula>
    </cfRule>
    <cfRule type="cellIs" dxfId="2730" priority="2732" operator="lessThan">
      <formula>-105575</formula>
    </cfRule>
  </conditionalFormatting>
  <conditionalFormatting sqref="BB146 BB144 BB141">
    <cfRule type="cellIs" dxfId="2729" priority="2729" operator="lessThan">
      <formula>0</formula>
    </cfRule>
    <cfRule type="cellIs" dxfId="2728" priority="2730" operator="lessThan">
      <formula>-105575</formula>
    </cfRule>
  </conditionalFormatting>
  <conditionalFormatting sqref="BB140 BB145 BB142:BB143 BB137:BB138">
    <cfRule type="cellIs" dxfId="2727" priority="2727" operator="lessThan">
      <formula>0</formula>
    </cfRule>
    <cfRule type="cellIs" dxfId="2726" priority="2728" operator="lessThan">
      <formula>-105575</formula>
    </cfRule>
  </conditionalFormatting>
  <conditionalFormatting sqref="BB149">
    <cfRule type="cellIs" dxfId="2725" priority="2725" operator="lessThan">
      <formula>0</formula>
    </cfRule>
    <cfRule type="cellIs" dxfId="2724" priority="2726" operator="lessThan">
      <formula>-105575</formula>
    </cfRule>
  </conditionalFormatting>
  <conditionalFormatting sqref="BB94:BB98 BB86:BB87 BB89:BB91 BB141:BB149 BB124:BB133 BB107:BB110 BB112:BB117 BB119:BB122 BB135:BB138 BB101:BB104 BB80:BB84">
    <cfRule type="cellIs" dxfId="2723" priority="2723" operator="lessThan">
      <formula>0</formula>
    </cfRule>
    <cfRule type="cellIs" dxfId="2722" priority="2724" operator="lessThan">
      <formula>-105575</formula>
    </cfRule>
  </conditionalFormatting>
  <conditionalFormatting sqref="BB62:BB76 BB306:BB309 BB311:BB325 BB327:BB330 BB332:BB341 BB344:BB347 BB349:BB353 BB355:BB358 BB360:BB384 BB386:BB389 BB392:BB395 BB397:BB411 BB413:BB416 BB418:BB432 BB434:BB437 BB439:BB453 BB455:BB458 BB460:BB469 BB7:BB10 BB12:BB14 BB17:BB18 BB21:BB24 BB26:BB28 BB30:BB36 BB38 BB41:BB43 BB46:BB49 BB51:BB55 BB57:BB59 BB290:BB291 BB293:BB304">
    <cfRule type="cellIs" dxfId="2721" priority="2721" operator="lessThan">
      <formula>0</formula>
    </cfRule>
    <cfRule type="cellIs" dxfId="2720" priority="2722" operator="lessThan">
      <formula>-105575</formula>
    </cfRule>
  </conditionalFormatting>
  <conditionalFormatting sqref="BB41">
    <cfRule type="cellIs" dxfId="2719" priority="2719" operator="lessThan">
      <formula>0</formula>
    </cfRule>
    <cfRule type="cellIs" dxfId="2718" priority="2720" operator="lessThan">
      <formula>-105575</formula>
    </cfRule>
  </conditionalFormatting>
  <conditionalFormatting sqref="BB152:BB155">
    <cfRule type="cellIs" dxfId="2717" priority="2717" operator="lessThan">
      <formula>0</formula>
    </cfRule>
    <cfRule type="cellIs" dxfId="2716" priority="2718" operator="lessThan">
      <formula>-105575</formula>
    </cfRule>
  </conditionalFormatting>
  <conditionalFormatting sqref="BB152:BB155">
    <cfRule type="cellIs" dxfId="2715" priority="2715" operator="lessThan">
      <formula>0</formula>
    </cfRule>
    <cfRule type="cellIs" dxfId="2714" priority="2716" operator="lessThan">
      <formula>-105575</formula>
    </cfRule>
  </conditionalFormatting>
  <conditionalFormatting sqref="BB152:BB155">
    <cfRule type="cellIs" dxfId="2713" priority="2713" operator="lessThan">
      <formula>0</formula>
    </cfRule>
    <cfRule type="cellIs" dxfId="2712" priority="2714" operator="lessThan">
      <formula>-105575</formula>
    </cfRule>
  </conditionalFormatting>
  <conditionalFormatting sqref="BB157:BB158">
    <cfRule type="cellIs" dxfId="2711" priority="2711" operator="lessThan">
      <formula>0</formula>
    </cfRule>
    <cfRule type="cellIs" dxfId="2710" priority="2712" operator="lessThan">
      <formula>-105575</formula>
    </cfRule>
  </conditionalFormatting>
  <conditionalFormatting sqref="BB157:BB158">
    <cfRule type="cellIs" dxfId="2709" priority="2709" operator="lessThan">
      <formula>0</formula>
    </cfRule>
    <cfRule type="cellIs" dxfId="2708" priority="2710" operator="lessThan">
      <formula>-105575</formula>
    </cfRule>
  </conditionalFormatting>
  <conditionalFormatting sqref="BB157:BB158">
    <cfRule type="cellIs" dxfId="2707" priority="2707" operator="lessThan">
      <formula>0</formula>
    </cfRule>
    <cfRule type="cellIs" dxfId="2706" priority="2708" operator="lessThan">
      <formula>-105575</formula>
    </cfRule>
  </conditionalFormatting>
  <conditionalFormatting sqref="BB160:BB161">
    <cfRule type="cellIs" dxfId="2705" priority="2705" operator="lessThan">
      <formula>0</formula>
    </cfRule>
    <cfRule type="cellIs" dxfId="2704" priority="2706" operator="lessThan">
      <formula>-105575</formula>
    </cfRule>
  </conditionalFormatting>
  <conditionalFormatting sqref="BB160:BB161">
    <cfRule type="cellIs" dxfId="2703" priority="2703" operator="lessThan">
      <formula>0</formula>
    </cfRule>
    <cfRule type="cellIs" dxfId="2702" priority="2704" operator="lessThan">
      <formula>-105575</formula>
    </cfRule>
  </conditionalFormatting>
  <conditionalFormatting sqref="BB160:BB161">
    <cfRule type="cellIs" dxfId="2701" priority="2701" operator="lessThan">
      <formula>0</formula>
    </cfRule>
    <cfRule type="cellIs" dxfId="2700" priority="2702" operator="lessThan">
      <formula>-105575</formula>
    </cfRule>
  </conditionalFormatting>
  <conditionalFormatting sqref="BB164:BB167">
    <cfRule type="cellIs" dxfId="2699" priority="2699" operator="lessThan">
      <formula>0</formula>
    </cfRule>
    <cfRule type="cellIs" dxfId="2698" priority="2700" operator="lessThan">
      <formula>-105575</formula>
    </cfRule>
  </conditionalFormatting>
  <conditionalFormatting sqref="BB164:BB167">
    <cfRule type="cellIs" dxfId="2697" priority="2697" operator="lessThan">
      <formula>0</formula>
    </cfRule>
    <cfRule type="cellIs" dxfId="2696" priority="2698" operator="lessThan">
      <formula>-105575</formula>
    </cfRule>
  </conditionalFormatting>
  <conditionalFormatting sqref="BB164:BB167">
    <cfRule type="cellIs" dxfId="2695" priority="2695" operator="lessThan">
      <formula>0</formula>
    </cfRule>
    <cfRule type="cellIs" dxfId="2694" priority="2696" operator="lessThan">
      <formula>-105575</formula>
    </cfRule>
  </conditionalFormatting>
  <conditionalFormatting sqref="BB169:BB177">
    <cfRule type="cellIs" dxfId="2693" priority="2693" operator="lessThan">
      <formula>0</formula>
    </cfRule>
    <cfRule type="cellIs" dxfId="2692" priority="2694" operator="lessThan">
      <formula>-105575</formula>
    </cfRule>
  </conditionalFormatting>
  <conditionalFormatting sqref="BB169:BB177">
    <cfRule type="cellIs" dxfId="2691" priority="2691" operator="lessThan">
      <formula>0</formula>
    </cfRule>
    <cfRule type="cellIs" dxfId="2690" priority="2692" operator="lessThan">
      <formula>-105575</formula>
    </cfRule>
  </conditionalFormatting>
  <conditionalFormatting sqref="BB169:BB177">
    <cfRule type="cellIs" dxfId="2689" priority="2689" operator="lessThan">
      <formula>0</formula>
    </cfRule>
    <cfRule type="cellIs" dxfId="2688" priority="2690" operator="lessThan">
      <formula>-105575</formula>
    </cfRule>
  </conditionalFormatting>
  <conditionalFormatting sqref="BB179:BB180">
    <cfRule type="cellIs" dxfId="2687" priority="2687" operator="lessThan">
      <formula>0</formula>
    </cfRule>
    <cfRule type="cellIs" dxfId="2686" priority="2688" operator="lessThan">
      <formula>-105575</formula>
    </cfRule>
  </conditionalFormatting>
  <conditionalFormatting sqref="BB179:BB180">
    <cfRule type="cellIs" dxfId="2685" priority="2685" operator="lessThan">
      <formula>0</formula>
    </cfRule>
    <cfRule type="cellIs" dxfId="2684" priority="2686" operator="lessThan">
      <formula>-105575</formula>
    </cfRule>
  </conditionalFormatting>
  <conditionalFormatting sqref="BB179:BB180">
    <cfRule type="cellIs" dxfId="2683" priority="2683" operator="lessThan">
      <formula>0</formula>
    </cfRule>
    <cfRule type="cellIs" dxfId="2682" priority="2684" operator="lessThan">
      <formula>-105575</formula>
    </cfRule>
  </conditionalFormatting>
  <conditionalFormatting sqref="BB183:BB189">
    <cfRule type="cellIs" dxfId="2681" priority="2681" operator="lessThan">
      <formula>0</formula>
    </cfRule>
    <cfRule type="cellIs" dxfId="2680" priority="2682" operator="lessThan">
      <formula>-105575</formula>
    </cfRule>
  </conditionalFormatting>
  <conditionalFormatting sqref="BB183:BB189">
    <cfRule type="cellIs" dxfId="2679" priority="2679" operator="lessThan">
      <formula>0</formula>
    </cfRule>
    <cfRule type="cellIs" dxfId="2678" priority="2680" operator="lessThan">
      <formula>-105575</formula>
    </cfRule>
  </conditionalFormatting>
  <conditionalFormatting sqref="BB183:BB189">
    <cfRule type="cellIs" dxfId="2677" priority="2677" operator="lessThan">
      <formula>0</formula>
    </cfRule>
    <cfRule type="cellIs" dxfId="2676" priority="2678" operator="lessThan">
      <formula>-105575</formula>
    </cfRule>
  </conditionalFormatting>
  <conditionalFormatting sqref="BB191:BB192">
    <cfRule type="cellIs" dxfId="2675" priority="2675" operator="lessThan">
      <formula>0</formula>
    </cfRule>
    <cfRule type="cellIs" dxfId="2674" priority="2676" operator="lessThan">
      <formula>-105575</formula>
    </cfRule>
  </conditionalFormatting>
  <conditionalFormatting sqref="BB191:BB192">
    <cfRule type="cellIs" dxfId="2673" priority="2673" operator="lessThan">
      <formula>0</formula>
    </cfRule>
    <cfRule type="cellIs" dxfId="2672" priority="2674" operator="lessThan">
      <formula>-105575</formula>
    </cfRule>
  </conditionalFormatting>
  <conditionalFormatting sqref="BB191:BB192">
    <cfRule type="cellIs" dxfId="2671" priority="2671" operator="lessThan">
      <formula>0</formula>
    </cfRule>
    <cfRule type="cellIs" dxfId="2670" priority="2672" operator="lessThan">
      <formula>-105575</formula>
    </cfRule>
  </conditionalFormatting>
  <conditionalFormatting sqref="BB194:BB195">
    <cfRule type="cellIs" dxfId="2669" priority="2669" operator="lessThan">
      <formula>0</formula>
    </cfRule>
    <cfRule type="cellIs" dxfId="2668" priority="2670" operator="lessThan">
      <formula>-105575</formula>
    </cfRule>
  </conditionalFormatting>
  <conditionalFormatting sqref="BB194:BB195">
    <cfRule type="cellIs" dxfId="2667" priority="2667" operator="lessThan">
      <formula>0</formula>
    </cfRule>
    <cfRule type="cellIs" dxfId="2666" priority="2668" operator="lessThan">
      <formula>-105575</formula>
    </cfRule>
  </conditionalFormatting>
  <conditionalFormatting sqref="BB194:BB195">
    <cfRule type="cellIs" dxfId="2665" priority="2665" operator="lessThan">
      <formula>0</formula>
    </cfRule>
    <cfRule type="cellIs" dxfId="2664" priority="2666" operator="lessThan">
      <formula>-105575</formula>
    </cfRule>
  </conditionalFormatting>
  <conditionalFormatting sqref="BB199:BB202">
    <cfRule type="cellIs" dxfId="2663" priority="2663" operator="lessThan">
      <formula>0</formula>
    </cfRule>
    <cfRule type="cellIs" dxfId="2662" priority="2664" operator="lessThan">
      <formula>-105575</formula>
    </cfRule>
  </conditionalFormatting>
  <conditionalFormatting sqref="BB199:BB202">
    <cfRule type="cellIs" dxfId="2661" priority="2661" operator="lessThan">
      <formula>0</formula>
    </cfRule>
    <cfRule type="cellIs" dxfId="2660" priority="2662" operator="lessThan">
      <formula>-105575</formula>
    </cfRule>
  </conditionalFormatting>
  <conditionalFormatting sqref="BB199:BB202">
    <cfRule type="cellIs" dxfId="2659" priority="2659" operator="lessThan">
      <formula>0</formula>
    </cfRule>
    <cfRule type="cellIs" dxfId="2658" priority="2660" operator="lessThan">
      <formula>-105575</formula>
    </cfRule>
  </conditionalFormatting>
  <conditionalFormatting sqref="BB204:BB208">
    <cfRule type="cellIs" dxfId="2657" priority="2657" operator="lessThan">
      <formula>0</formula>
    </cfRule>
    <cfRule type="cellIs" dxfId="2656" priority="2658" operator="lessThan">
      <formula>-105575</formula>
    </cfRule>
  </conditionalFormatting>
  <conditionalFormatting sqref="BB204:BB208">
    <cfRule type="cellIs" dxfId="2655" priority="2655" operator="lessThan">
      <formula>0</formula>
    </cfRule>
    <cfRule type="cellIs" dxfId="2654" priority="2656" operator="lessThan">
      <formula>-105575</formula>
    </cfRule>
  </conditionalFormatting>
  <conditionalFormatting sqref="BB204:BB208">
    <cfRule type="cellIs" dxfId="2653" priority="2653" operator="lessThan">
      <formula>0</formula>
    </cfRule>
    <cfRule type="cellIs" dxfId="2652" priority="2654" operator="lessThan">
      <formula>-105575</formula>
    </cfRule>
  </conditionalFormatting>
  <conditionalFormatting sqref="BB210:BB211">
    <cfRule type="cellIs" dxfId="2651" priority="2651" operator="lessThan">
      <formula>0</formula>
    </cfRule>
    <cfRule type="cellIs" dxfId="2650" priority="2652" operator="lessThan">
      <formula>-105575</formula>
    </cfRule>
  </conditionalFormatting>
  <conditionalFormatting sqref="BB210:BB211">
    <cfRule type="cellIs" dxfId="2649" priority="2649" operator="lessThan">
      <formula>0</formula>
    </cfRule>
    <cfRule type="cellIs" dxfId="2648" priority="2650" operator="lessThan">
      <formula>-105575</formula>
    </cfRule>
  </conditionalFormatting>
  <conditionalFormatting sqref="BB210:BB211">
    <cfRule type="cellIs" dxfId="2647" priority="2647" operator="lessThan">
      <formula>0</formula>
    </cfRule>
    <cfRule type="cellIs" dxfId="2646" priority="2648" operator="lessThan">
      <formula>-105575</formula>
    </cfRule>
  </conditionalFormatting>
  <conditionalFormatting sqref="BB214:BB219">
    <cfRule type="cellIs" dxfId="2645" priority="2645" operator="lessThan">
      <formula>0</formula>
    </cfRule>
    <cfRule type="cellIs" dxfId="2644" priority="2646" operator="lessThan">
      <formula>-105575</formula>
    </cfRule>
  </conditionalFormatting>
  <conditionalFormatting sqref="BB214:BB219">
    <cfRule type="cellIs" dxfId="2643" priority="2643" operator="lessThan">
      <formula>0</formula>
    </cfRule>
    <cfRule type="cellIs" dxfId="2642" priority="2644" operator="lessThan">
      <formula>-105575</formula>
    </cfRule>
  </conditionalFormatting>
  <conditionalFormatting sqref="BB214:BB219">
    <cfRule type="cellIs" dxfId="2641" priority="2641" operator="lessThan">
      <formula>0</formula>
    </cfRule>
    <cfRule type="cellIs" dxfId="2640" priority="2642" operator="lessThan">
      <formula>-105575</formula>
    </cfRule>
  </conditionalFormatting>
  <conditionalFormatting sqref="BB222:BB224">
    <cfRule type="cellIs" dxfId="2639" priority="2639" operator="lessThan">
      <formula>0</formula>
    </cfRule>
    <cfRule type="cellIs" dxfId="2638" priority="2640" operator="lessThan">
      <formula>-105575</formula>
    </cfRule>
  </conditionalFormatting>
  <conditionalFormatting sqref="BB222:BB224">
    <cfRule type="cellIs" dxfId="2637" priority="2637" operator="lessThan">
      <formula>0</formula>
    </cfRule>
    <cfRule type="cellIs" dxfId="2636" priority="2638" operator="lessThan">
      <formula>-105575</formula>
    </cfRule>
  </conditionalFormatting>
  <conditionalFormatting sqref="BB222:BB224">
    <cfRule type="cellIs" dxfId="2635" priority="2635" operator="lessThan">
      <formula>0</formula>
    </cfRule>
    <cfRule type="cellIs" dxfId="2634" priority="2636" operator="lessThan">
      <formula>-105575</formula>
    </cfRule>
  </conditionalFormatting>
  <conditionalFormatting sqref="BB227:BB230">
    <cfRule type="cellIs" dxfId="2633" priority="2633" operator="lessThan">
      <formula>0</formula>
    </cfRule>
    <cfRule type="cellIs" dxfId="2632" priority="2634" operator="lessThan">
      <formula>-105575</formula>
    </cfRule>
  </conditionalFormatting>
  <conditionalFormatting sqref="BB227:BB230">
    <cfRule type="cellIs" dxfId="2631" priority="2631" operator="lessThan">
      <formula>0</formula>
    </cfRule>
    <cfRule type="cellIs" dxfId="2630" priority="2632" operator="lessThan">
      <formula>-105575</formula>
    </cfRule>
  </conditionalFormatting>
  <conditionalFormatting sqref="BB227:BB230">
    <cfRule type="cellIs" dxfId="2629" priority="2629" operator="lessThan">
      <formula>0</formula>
    </cfRule>
    <cfRule type="cellIs" dxfId="2628" priority="2630" operator="lessThan">
      <formula>-105575</formula>
    </cfRule>
  </conditionalFormatting>
  <conditionalFormatting sqref="BB246:BB249">
    <cfRule type="cellIs" dxfId="2627" priority="2627" operator="lessThan">
      <formula>0</formula>
    </cfRule>
    <cfRule type="cellIs" dxfId="2626" priority="2628" operator="lessThan">
      <formula>-105575</formula>
    </cfRule>
  </conditionalFormatting>
  <conditionalFormatting sqref="BB246:BB249">
    <cfRule type="cellIs" dxfId="2625" priority="2625" operator="lessThan">
      <formula>0</formula>
    </cfRule>
    <cfRule type="cellIs" dxfId="2624" priority="2626" operator="lessThan">
      <formula>-105575</formula>
    </cfRule>
  </conditionalFormatting>
  <conditionalFormatting sqref="BB246:BB249">
    <cfRule type="cellIs" dxfId="2623" priority="2623" operator="lessThan">
      <formula>0</formula>
    </cfRule>
    <cfRule type="cellIs" dxfId="2622" priority="2624" operator="lessThan">
      <formula>-105575</formula>
    </cfRule>
  </conditionalFormatting>
  <conditionalFormatting sqref="BB246:BB249">
    <cfRule type="cellIs" dxfId="2621" priority="2621" operator="lessThan">
      <formula>0</formula>
    </cfRule>
    <cfRule type="cellIs" dxfId="2620" priority="2622" operator="lessThan">
      <formula>-105575</formula>
    </cfRule>
  </conditionalFormatting>
  <conditionalFormatting sqref="BB246:BB249">
    <cfRule type="cellIs" dxfId="2619" priority="2619" operator="lessThan">
      <formula>0</formula>
    </cfRule>
    <cfRule type="cellIs" dxfId="2618" priority="2620" operator="lessThan">
      <formula>-105575</formula>
    </cfRule>
  </conditionalFormatting>
  <conditionalFormatting sqref="BB246:BB249">
    <cfRule type="cellIs" dxfId="2617" priority="2617" operator="lessThan">
      <formula>0</formula>
    </cfRule>
    <cfRule type="cellIs" dxfId="2616" priority="2618" operator="lessThan">
      <formula>-105575</formula>
    </cfRule>
  </conditionalFormatting>
  <conditionalFormatting sqref="BB246:BB249">
    <cfRule type="cellIs" dxfId="2615" priority="2615" operator="lessThan">
      <formula>0</formula>
    </cfRule>
    <cfRule type="cellIs" dxfId="2614" priority="2616" operator="lessThan">
      <formula>-105575</formula>
    </cfRule>
  </conditionalFormatting>
  <conditionalFormatting sqref="BB246:BB249">
    <cfRule type="cellIs" dxfId="2613" priority="2613" operator="lessThan">
      <formula>0</formula>
    </cfRule>
    <cfRule type="cellIs" dxfId="2612" priority="2614" operator="lessThan">
      <formula>-105575</formula>
    </cfRule>
  </conditionalFormatting>
  <conditionalFormatting sqref="BB246:BB249">
    <cfRule type="cellIs" dxfId="2611" priority="2611" operator="lessThan">
      <formula>0</formula>
    </cfRule>
    <cfRule type="cellIs" dxfId="2610" priority="2612" operator="lessThan">
      <formula>-105575</formula>
    </cfRule>
  </conditionalFormatting>
  <conditionalFormatting sqref="BB251:BB253">
    <cfRule type="cellIs" dxfId="2609" priority="2609" operator="lessThan">
      <formula>0</formula>
    </cfRule>
    <cfRule type="cellIs" dxfId="2608" priority="2610" operator="lessThan">
      <formula>-105575</formula>
    </cfRule>
  </conditionalFormatting>
  <conditionalFormatting sqref="BB251:BB253">
    <cfRule type="cellIs" dxfId="2607" priority="2607" operator="lessThan">
      <formula>0</formula>
    </cfRule>
    <cfRule type="cellIs" dxfId="2606" priority="2608" operator="lessThan">
      <formula>-105575</formula>
    </cfRule>
  </conditionalFormatting>
  <conditionalFormatting sqref="BB251:BB253">
    <cfRule type="cellIs" dxfId="2605" priority="2605" operator="lessThan">
      <formula>0</formula>
    </cfRule>
    <cfRule type="cellIs" dxfId="2604" priority="2606" operator="lessThan">
      <formula>-105575</formula>
    </cfRule>
  </conditionalFormatting>
  <conditionalFormatting sqref="BB251:BB253">
    <cfRule type="cellIs" dxfId="2603" priority="2603" operator="lessThan">
      <formula>0</formula>
    </cfRule>
    <cfRule type="cellIs" dxfId="2602" priority="2604" operator="lessThan">
      <formula>-105575</formula>
    </cfRule>
  </conditionalFormatting>
  <conditionalFormatting sqref="BB251:BB253">
    <cfRule type="cellIs" dxfId="2601" priority="2601" operator="lessThan">
      <formula>0</formula>
    </cfRule>
    <cfRule type="cellIs" dxfId="2600" priority="2602" operator="lessThan">
      <formula>-105575</formula>
    </cfRule>
  </conditionalFormatting>
  <conditionalFormatting sqref="BB251:BB253">
    <cfRule type="cellIs" dxfId="2599" priority="2599" operator="lessThan">
      <formula>0</formula>
    </cfRule>
    <cfRule type="cellIs" dxfId="2598" priority="2600" operator="lessThan">
      <formula>-105575</formula>
    </cfRule>
  </conditionalFormatting>
  <conditionalFormatting sqref="BB251:BB253">
    <cfRule type="cellIs" dxfId="2597" priority="2597" operator="lessThan">
      <formula>0</formula>
    </cfRule>
    <cfRule type="cellIs" dxfId="2596" priority="2598" operator="lessThan">
      <formula>-105575</formula>
    </cfRule>
  </conditionalFormatting>
  <conditionalFormatting sqref="BB251:BB253">
    <cfRule type="cellIs" dxfId="2595" priority="2595" operator="lessThan">
      <formula>0</formula>
    </cfRule>
    <cfRule type="cellIs" dxfId="2594" priority="2596" operator="lessThan">
      <formula>-105575</formula>
    </cfRule>
  </conditionalFormatting>
  <conditionalFormatting sqref="BB251:BB253">
    <cfRule type="cellIs" dxfId="2593" priority="2593" operator="lessThan">
      <formula>0</formula>
    </cfRule>
    <cfRule type="cellIs" dxfId="2592" priority="2594" operator="lessThan">
      <formula>-105575</formula>
    </cfRule>
  </conditionalFormatting>
  <conditionalFormatting sqref="BB255:BB257">
    <cfRule type="cellIs" dxfId="2591" priority="2591" operator="lessThan">
      <formula>0</formula>
    </cfRule>
    <cfRule type="cellIs" dxfId="2590" priority="2592" operator="lessThan">
      <formula>-105575</formula>
    </cfRule>
  </conditionalFormatting>
  <conditionalFormatting sqref="BB255:BB257">
    <cfRule type="cellIs" dxfId="2589" priority="2589" operator="lessThan">
      <formula>0</formula>
    </cfRule>
    <cfRule type="cellIs" dxfId="2588" priority="2590" operator="lessThan">
      <formula>-105575</formula>
    </cfRule>
  </conditionalFormatting>
  <conditionalFormatting sqref="BB255:BB257">
    <cfRule type="cellIs" dxfId="2587" priority="2587" operator="lessThan">
      <formula>0</formula>
    </cfRule>
    <cfRule type="cellIs" dxfId="2586" priority="2588" operator="lessThan">
      <formula>-105575</formula>
    </cfRule>
  </conditionalFormatting>
  <conditionalFormatting sqref="BB255:BB257">
    <cfRule type="cellIs" dxfId="2585" priority="2585" operator="lessThan">
      <formula>0</formula>
    </cfRule>
    <cfRule type="cellIs" dxfId="2584" priority="2586" operator="lessThan">
      <formula>-105575</formula>
    </cfRule>
  </conditionalFormatting>
  <conditionalFormatting sqref="BB255:BB257">
    <cfRule type="cellIs" dxfId="2583" priority="2583" operator="lessThan">
      <formula>0</formula>
    </cfRule>
    <cfRule type="cellIs" dxfId="2582" priority="2584" operator="lessThan">
      <formula>-105575</formula>
    </cfRule>
  </conditionalFormatting>
  <conditionalFormatting sqref="BB255:BB257">
    <cfRule type="cellIs" dxfId="2581" priority="2581" operator="lessThan">
      <formula>0</formula>
    </cfRule>
    <cfRule type="cellIs" dxfId="2580" priority="2582" operator="lessThan">
      <formula>-105575</formula>
    </cfRule>
  </conditionalFormatting>
  <conditionalFormatting sqref="BB255:BB257">
    <cfRule type="cellIs" dxfId="2579" priority="2579" operator="lessThan">
      <formula>0</formula>
    </cfRule>
    <cfRule type="cellIs" dxfId="2578" priority="2580" operator="lessThan">
      <formula>-105575</formula>
    </cfRule>
  </conditionalFormatting>
  <conditionalFormatting sqref="BB255:BB257">
    <cfRule type="cellIs" dxfId="2577" priority="2577" operator="lessThan">
      <formula>0</formula>
    </cfRule>
    <cfRule type="cellIs" dxfId="2576" priority="2578" operator="lessThan">
      <formula>-105575</formula>
    </cfRule>
  </conditionalFormatting>
  <conditionalFormatting sqref="BB255:BB257">
    <cfRule type="cellIs" dxfId="2575" priority="2575" operator="lessThan">
      <formula>0</formula>
    </cfRule>
    <cfRule type="cellIs" dxfId="2574" priority="2576" operator="lessThan">
      <formula>-105575</formula>
    </cfRule>
  </conditionalFormatting>
  <conditionalFormatting sqref="BB260:BB262">
    <cfRule type="cellIs" dxfId="2573" priority="2573" operator="lessThan">
      <formula>0</formula>
    </cfRule>
    <cfRule type="cellIs" dxfId="2572" priority="2574" operator="lessThan">
      <formula>-105575</formula>
    </cfRule>
  </conditionalFormatting>
  <conditionalFormatting sqref="BB260:BB262">
    <cfRule type="cellIs" dxfId="2571" priority="2571" operator="lessThan">
      <formula>0</formula>
    </cfRule>
    <cfRule type="cellIs" dxfId="2570" priority="2572" operator="lessThan">
      <formula>-105575</formula>
    </cfRule>
  </conditionalFormatting>
  <conditionalFormatting sqref="BB260:BB262">
    <cfRule type="cellIs" dxfId="2569" priority="2569" operator="lessThan">
      <formula>0</formula>
    </cfRule>
    <cfRule type="cellIs" dxfId="2568" priority="2570" operator="lessThan">
      <formula>-105575</formula>
    </cfRule>
  </conditionalFormatting>
  <conditionalFormatting sqref="BB260:BB262">
    <cfRule type="cellIs" dxfId="2567" priority="2567" operator="lessThan">
      <formula>0</formula>
    </cfRule>
    <cfRule type="cellIs" dxfId="2566" priority="2568" operator="lessThan">
      <formula>-105575</formula>
    </cfRule>
  </conditionalFormatting>
  <conditionalFormatting sqref="BB260:BB262">
    <cfRule type="cellIs" dxfId="2565" priority="2565" operator="lessThan">
      <formula>0</formula>
    </cfRule>
    <cfRule type="cellIs" dxfId="2564" priority="2566" operator="lessThan">
      <formula>-105575</formula>
    </cfRule>
  </conditionalFormatting>
  <conditionalFormatting sqref="BB260:BB262">
    <cfRule type="cellIs" dxfId="2563" priority="2563" operator="lessThan">
      <formula>0</formula>
    </cfRule>
    <cfRule type="cellIs" dxfId="2562" priority="2564" operator="lessThan">
      <formula>-105575</formula>
    </cfRule>
  </conditionalFormatting>
  <conditionalFormatting sqref="BB260:BB262">
    <cfRule type="cellIs" dxfId="2561" priority="2561" operator="lessThan">
      <formula>0</formula>
    </cfRule>
    <cfRule type="cellIs" dxfId="2560" priority="2562" operator="lessThan">
      <formula>-105575</formula>
    </cfRule>
  </conditionalFormatting>
  <conditionalFormatting sqref="BB260:BB262">
    <cfRule type="cellIs" dxfId="2559" priority="2559" operator="lessThan">
      <formula>0</formula>
    </cfRule>
    <cfRule type="cellIs" dxfId="2558" priority="2560" operator="lessThan">
      <formula>-105575</formula>
    </cfRule>
  </conditionalFormatting>
  <conditionalFormatting sqref="BB260:BB262">
    <cfRule type="cellIs" dxfId="2557" priority="2557" operator="lessThan">
      <formula>0</formula>
    </cfRule>
    <cfRule type="cellIs" dxfId="2556" priority="2558" operator="lessThan">
      <formula>-105575</formula>
    </cfRule>
  </conditionalFormatting>
  <conditionalFormatting sqref="BB264:BB267">
    <cfRule type="cellIs" dxfId="2555" priority="2555" operator="lessThan">
      <formula>0</formula>
    </cfRule>
    <cfRule type="cellIs" dxfId="2554" priority="2556" operator="lessThan">
      <formula>-105575</formula>
    </cfRule>
  </conditionalFormatting>
  <conditionalFormatting sqref="BB264:BB267">
    <cfRule type="cellIs" dxfId="2553" priority="2553" operator="lessThan">
      <formula>0</formula>
    </cfRule>
    <cfRule type="cellIs" dxfId="2552" priority="2554" operator="lessThan">
      <formula>-105575</formula>
    </cfRule>
  </conditionalFormatting>
  <conditionalFormatting sqref="BB264:BB267">
    <cfRule type="cellIs" dxfId="2551" priority="2551" operator="lessThan">
      <formula>0</formula>
    </cfRule>
    <cfRule type="cellIs" dxfId="2550" priority="2552" operator="lessThan">
      <formula>-105575</formula>
    </cfRule>
  </conditionalFormatting>
  <conditionalFormatting sqref="BB264:BB267">
    <cfRule type="cellIs" dxfId="2549" priority="2549" operator="lessThan">
      <formula>0</formula>
    </cfRule>
    <cfRule type="cellIs" dxfId="2548" priority="2550" operator="lessThan">
      <formula>-105575</formula>
    </cfRule>
  </conditionalFormatting>
  <conditionalFormatting sqref="BB264:BB267">
    <cfRule type="cellIs" dxfId="2547" priority="2547" operator="lessThan">
      <formula>0</formula>
    </cfRule>
    <cfRule type="cellIs" dxfId="2546" priority="2548" operator="lessThan">
      <formula>-105575</formula>
    </cfRule>
  </conditionalFormatting>
  <conditionalFormatting sqref="BB264:BB267">
    <cfRule type="cellIs" dxfId="2545" priority="2545" operator="lessThan">
      <formula>0</formula>
    </cfRule>
    <cfRule type="cellIs" dxfId="2544" priority="2546" operator="lessThan">
      <formula>-105575</formula>
    </cfRule>
  </conditionalFormatting>
  <conditionalFormatting sqref="BB264:BB267">
    <cfRule type="cellIs" dxfId="2543" priority="2543" operator="lessThan">
      <formula>0</formula>
    </cfRule>
    <cfRule type="cellIs" dxfId="2542" priority="2544" operator="lessThan">
      <formula>-105575</formula>
    </cfRule>
  </conditionalFormatting>
  <conditionalFormatting sqref="BB264:BB267">
    <cfRule type="cellIs" dxfId="2541" priority="2541" operator="lessThan">
      <formula>0</formula>
    </cfRule>
    <cfRule type="cellIs" dxfId="2540" priority="2542" operator="lessThan">
      <formula>-105575</formula>
    </cfRule>
  </conditionalFormatting>
  <conditionalFormatting sqref="BB264:BB267">
    <cfRule type="cellIs" dxfId="2539" priority="2539" operator="lessThan">
      <formula>0</formula>
    </cfRule>
    <cfRule type="cellIs" dxfId="2538" priority="2540" operator="lessThan">
      <formula>-105575</formula>
    </cfRule>
  </conditionalFormatting>
  <conditionalFormatting sqref="BB270:BB272">
    <cfRule type="cellIs" dxfId="2537" priority="2537" operator="lessThan">
      <formula>0</formula>
    </cfRule>
    <cfRule type="cellIs" dxfId="2536" priority="2538" operator="lessThan">
      <formula>-105575</formula>
    </cfRule>
  </conditionalFormatting>
  <conditionalFormatting sqref="BB270:BB272">
    <cfRule type="cellIs" dxfId="2535" priority="2535" operator="lessThan">
      <formula>0</formula>
    </cfRule>
    <cfRule type="cellIs" dxfId="2534" priority="2536" operator="lessThan">
      <formula>-105575</formula>
    </cfRule>
  </conditionalFormatting>
  <conditionalFormatting sqref="BB270:BB272">
    <cfRule type="cellIs" dxfId="2533" priority="2533" operator="lessThan">
      <formula>0</formula>
    </cfRule>
    <cfRule type="cellIs" dxfId="2532" priority="2534" operator="lessThan">
      <formula>-105575</formula>
    </cfRule>
  </conditionalFormatting>
  <conditionalFormatting sqref="BB270:BB272">
    <cfRule type="cellIs" dxfId="2531" priority="2531" operator="lessThan">
      <formula>0</formula>
    </cfRule>
    <cfRule type="cellIs" dxfId="2530" priority="2532" operator="lessThan">
      <formula>-105575</formula>
    </cfRule>
  </conditionalFormatting>
  <conditionalFormatting sqref="BB270:BB272">
    <cfRule type="cellIs" dxfId="2529" priority="2529" operator="lessThan">
      <formula>0</formula>
    </cfRule>
    <cfRule type="cellIs" dxfId="2528" priority="2530" operator="lessThan">
      <formula>-105575</formula>
    </cfRule>
  </conditionalFormatting>
  <conditionalFormatting sqref="BB270:BB272">
    <cfRule type="cellIs" dxfId="2527" priority="2527" operator="lessThan">
      <formula>0</formula>
    </cfRule>
    <cfRule type="cellIs" dxfId="2526" priority="2528" operator="lessThan">
      <formula>-105575</formula>
    </cfRule>
  </conditionalFormatting>
  <conditionalFormatting sqref="BB270:BB272">
    <cfRule type="cellIs" dxfId="2525" priority="2525" operator="lessThan">
      <formula>0</formula>
    </cfRule>
    <cfRule type="cellIs" dxfId="2524" priority="2526" operator="lessThan">
      <formula>-105575</formula>
    </cfRule>
  </conditionalFormatting>
  <conditionalFormatting sqref="BB270:BB272">
    <cfRule type="cellIs" dxfId="2523" priority="2523" operator="lessThan">
      <formula>0</formula>
    </cfRule>
    <cfRule type="cellIs" dxfId="2522" priority="2524" operator="lessThan">
      <formula>-105575</formula>
    </cfRule>
  </conditionalFormatting>
  <conditionalFormatting sqref="BB270:BB272">
    <cfRule type="cellIs" dxfId="2521" priority="2521" operator="lessThan">
      <formula>0</formula>
    </cfRule>
    <cfRule type="cellIs" dxfId="2520" priority="2522" operator="lessThan">
      <formula>-105575</formula>
    </cfRule>
  </conditionalFormatting>
  <conditionalFormatting sqref="BB274:BB275">
    <cfRule type="cellIs" dxfId="2519" priority="2519" operator="lessThan">
      <formula>0</formula>
    </cfRule>
    <cfRule type="cellIs" dxfId="2518" priority="2520" operator="lessThan">
      <formula>-105575</formula>
    </cfRule>
  </conditionalFormatting>
  <conditionalFormatting sqref="BB274:BB275">
    <cfRule type="cellIs" dxfId="2517" priority="2517" operator="lessThan">
      <formula>0</formula>
    </cfRule>
    <cfRule type="cellIs" dxfId="2516" priority="2518" operator="lessThan">
      <formula>-105575</formula>
    </cfRule>
  </conditionalFormatting>
  <conditionalFormatting sqref="BB274:BB275">
    <cfRule type="cellIs" dxfId="2515" priority="2515" operator="lessThan">
      <formula>0</formula>
    </cfRule>
    <cfRule type="cellIs" dxfId="2514" priority="2516" operator="lessThan">
      <formula>-105575</formula>
    </cfRule>
  </conditionalFormatting>
  <conditionalFormatting sqref="BB274:BB275">
    <cfRule type="cellIs" dxfId="2513" priority="2513" operator="lessThan">
      <formula>0</formula>
    </cfRule>
    <cfRule type="cellIs" dxfId="2512" priority="2514" operator="lessThan">
      <formula>-105575</formula>
    </cfRule>
  </conditionalFormatting>
  <conditionalFormatting sqref="BB274:BB275">
    <cfRule type="cellIs" dxfId="2511" priority="2511" operator="lessThan">
      <formula>0</formula>
    </cfRule>
    <cfRule type="cellIs" dxfId="2510" priority="2512" operator="lessThan">
      <formula>-105575</formula>
    </cfRule>
  </conditionalFormatting>
  <conditionalFormatting sqref="BB274:BB275">
    <cfRule type="cellIs" dxfId="2509" priority="2509" operator="lessThan">
      <formula>0</formula>
    </cfRule>
    <cfRule type="cellIs" dxfId="2508" priority="2510" operator="lessThan">
      <formula>-105575</formula>
    </cfRule>
  </conditionalFormatting>
  <conditionalFormatting sqref="BB274:BB275">
    <cfRule type="cellIs" dxfId="2507" priority="2507" operator="lessThan">
      <formula>0</formula>
    </cfRule>
    <cfRule type="cellIs" dxfId="2506" priority="2508" operator="lessThan">
      <formula>-105575</formula>
    </cfRule>
  </conditionalFormatting>
  <conditionalFormatting sqref="BB274:BB275">
    <cfRule type="cellIs" dxfId="2505" priority="2505" operator="lessThan">
      <formula>0</formula>
    </cfRule>
    <cfRule type="cellIs" dxfId="2504" priority="2506" operator="lessThan">
      <formula>-105575</formula>
    </cfRule>
  </conditionalFormatting>
  <conditionalFormatting sqref="BB274:BB275">
    <cfRule type="cellIs" dxfId="2503" priority="2503" operator="lessThan">
      <formula>0</formula>
    </cfRule>
    <cfRule type="cellIs" dxfId="2502" priority="2504" operator="lessThan">
      <formula>-105575</formula>
    </cfRule>
  </conditionalFormatting>
  <conditionalFormatting sqref="BB278:BB282">
    <cfRule type="cellIs" dxfId="2501" priority="2501" operator="lessThan">
      <formula>0</formula>
    </cfRule>
    <cfRule type="cellIs" dxfId="2500" priority="2502" operator="lessThan">
      <formula>-105575</formula>
    </cfRule>
  </conditionalFormatting>
  <conditionalFormatting sqref="BB278:BB282">
    <cfRule type="cellIs" dxfId="2499" priority="2499" operator="lessThan">
      <formula>0</formula>
    </cfRule>
    <cfRule type="cellIs" dxfId="2498" priority="2500" operator="lessThan">
      <formula>-105575</formula>
    </cfRule>
  </conditionalFormatting>
  <conditionalFormatting sqref="BB278:BB282">
    <cfRule type="cellIs" dxfId="2497" priority="2497" operator="lessThan">
      <formula>0</formula>
    </cfRule>
    <cfRule type="cellIs" dxfId="2496" priority="2498" operator="lessThan">
      <formula>-105575</formula>
    </cfRule>
  </conditionalFormatting>
  <conditionalFormatting sqref="BB278:BB282">
    <cfRule type="cellIs" dxfId="2495" priority="2495" operator="lessThan">
      <formula>0</formula>
    </cfRule>
    <cfRule type="cellIs" dxfId="2494" priority="2496" operator="lessThan">
      <formula>-105575</formula>
    </cfRule>
  </conditionalFormatting>
  <conditionalFormatting sqref="BB278:BB282">
    <cfRule type="cellIs" dxfId="2493" priority="2493" operator="lessThan">
      <formula>0</formula>
    </cfRule>
    <cfRule type="cellIs" dxfId="2492" priority="2494" operator="lessThan">
      <formula>-105575</formula>
    </cfRule>
  </conditionalFormatting>
  <conditionalFormatting sqref="BB278:BB282">
    <cfRule type="cellIs" dxfId="2491" priority="2491" operator="lessThan">
      <formula>0</formula>
    </cfRule>
    <cfRule type="cellIs" dxfId="2490" priority="2492" operator="lessThan">
      <formula>-105575</formula>
    </cfRule>
  </conditionalFormatting>
  <conditionalFormatting sqref="BB278:BB282">
    <cfRule type="cellIs" dxfId="2489" priority="2489" operator="lessThan">
      <formula>0</formula>
    </cfRule>
    <cfRule type="cellIs" dxfId="2488" priority="2490" operator="lessThan">
      <formula>-105575</formula>
    </cfRule>
  </conditionalFormatting>
  <conditionalFormatting sqref="BB278:BB282">
    <cfRule type="cellIs" dxfId="2487" priority="2487" operator="lessThan">
      <formula>0</formula>
    </cfRule>
    <cfRule type="cellIs" dxfId="2486" priority="2488" operator="lessThan">
      <formula>-105575</formula>
    </cfRule>
  </conditionalFormatting>
  <conditionalFormatting sqref="BB278:BB282">
    <cfRule type="cellIs" dxfId="2485" priority="2485" operator="lessThan">
      <formula>0</formula>
    </cfRule>
    <cfRule type="cellIs" dxfId="2484" priority="2486" operator="lessThan">
      <formula>-105575</formula>
    </cfRule>
  </conditionalFormatting>
  <conditionalFormatting sqref="BB285:BB288">
    <cfRule type="cellIs" dxfId="2483" priority="2483" operator="lessThan">
      <formula>0</formula>
    </cfRule>
    <cfRule type="cellIs" dxfId="2482" priority="2484" operator="lessThan">
      <formula>-105575</formula>
    </cfRule>
  </conditionalFormatting>
  <conditionalFormatting sqref="BB285:BB288">
    <cfRule type="cellIs" dxfId="2481" priority="2481" operator="lessThan">
      <formula>0</formula>
    </cfRule>
    <cfRule type="cellIs" dxfId="2480" priority="2482" operator="lessThan">
      <formula>-105575</formula>
    </cfRule>
  </conditionalFormatting>
  <conditionalFormatting sqref="BB285:BB288">
    <cfRule type="cellIs" dxfId="2479" priority="2479" operator="lessThan">
      <formula>0</formula>
    </cfRule>
    <cfRule type="cellIs" dxfId="2478" priority="2480" operator="lessThan">
      <formula>-105575</formula>
    </cfRule>
  </conditionalFormatting>
  <conditionalFormatting sqref="BB285:BB288">
    <cfRule type="cellIs" dxfId="2477" priority="2477" operator="lessThan">
      <formula>0</formula>
    </cfRule>
    <cfRule type="cellIs" dxfId="2476" priority="2478" operator="lessThan">
      <formula>-105575</formula>
    </cfRule>
  </conditionalFormatting>
  <conditionalFormatting sqref="BB285:BB288">
    <cfRule type="cellIs" dxfId="2475" priority="2475" operator="lessThan">
      <formula>0</formula>
    </cfRule>
    <cfRule type="cellIs" dxfId="2474" priority="2476" operator="lessThan">
      <formula>-105575</formula>
    </cfRule>
  </conditionalFormatting>
  <conditionalFormatting sqref="BB285:BB288">
    <cfRule type="cellIs" dxfId="2473" priority="2473" operator="lessThan">
      <formula>0</formula>
    </cfRule>
    <cfRule type="cellIs" dxfId="2472" priority="2474" operator="lessThan">
      <formula>-105575</formula>
    </cfRule>
  </conditionalFormatting>
  <conditionalFormatting sqref="BB285:BB288">
    <cfRule type="cellIs" dxfId="2471" priority="2471" operator="lessThan">
      <formula>0</formula>
    </cfRule>
    <cfRule type="cellIs" dxfId="2470" priority="2472" operator="lessThan">
      <formula>-105575</formula>
    </cfRule>
  </conditionalFormatting>
  <conditionalFormatting sqref="BB285:BB288">
    <cfRule type="cellIs" dxfId="2469" priority="2469" operator="lessThan">
      <formula>0</formula>
    </cfRule>
    <cfRule type="cellIs" dxfId="2468" priority="2470" operator="lessThan">
      <formula>-105575</formula>
    </cfRule>
  </conditionalFormatting>
  <conditionalFormatting sqref="BB285:BB288">
    <cfRule type="cellIs" dxfId="2467" priority="2467" operator="lessThan">
      <formula>0</formula>
    </cfRule>
    <cfRule type="cellIs" dxfId="2466" priority="2468" operator="lessThan">
      <formula>-105575</formula>
    </cfRule>
  </conditionalFormatting>
  <conditionalFormatting sqref="BB203 BB220:BB221 BB235:BB243 BB231:BB233 BB212:BB213 BB225:BB226">
    <cfRule type="cellIs" dxfId="2465" priority="2465" operator="lessThan">
      <formula>0</formula>
    </cfRule>
    <cfRule type="cellIs" dxfId="2464" priority="2466" operator="lessThan">
      <formula>-105575</formula>
    </cfRule>
  </conditionalFormatting>
  <conditionalFormatting sqref="BB220 BB212:BB213 BB235:BB238 BB240:BB243 BB225:BB226 BB231:BB233">
    <cfRule type="cellIs" dxfId="2463" priority="2463" operator="lessThan">
      <formula>0</formula>
    </cfRule>
    <cfRule type="cellIs" dxfId="2462" priority="2464" operator="lessThan">
      <formula>-105575</formula>
    </cfRule>
  </conditionalFormatting>
  <conditionalFormatting sqref="BB220:BB221 BB243 BB226 BB231:BB236 BB238:BB241 BB203 BB213">
    <cfRule type="cellIs" dxfId="2461" priority="2461" operator="lessThan">
      <formula>0</formula>
    </cfRule>
    <cfRule type="cellIs" dxfId="2460" priority="2462" operator="lessThan">
      <formula>-105575</formula>
    </cfRule>
  </conditionalFormatting>
  <conditionalFormatting sqref="BB235:BB243 BB231:BB233 BB220 BB212:BB213 BB225:BB226">
    <cfRule type="cellIs" dxfId="2459" priority="2459" operator="lessThan">
      <formula>0</formula>
    </cfRule>
    <cfRule type="cellIs" dxfId="2458" priority="2460" operator="lessThan">
      <formula>-105575</formula>
    </cfRule>
  </conditionalFormatting>
  <conditionalFormatting sqref="BB220:BB221 BB237:BB243 BB203 BB231:BB235 BB212:BB213 BB225:BB226">
    <cfRule type="cellIs" dxfId="2457" priority="2457" operator="lessThan">
      <formula>0</formula>
    </cfRule>
    <cfRule type="cellIs" dxfId="2456" priority="2458" operator="lessThan">
      <formula>-105575</formula>
    </cfRule>
  </conditionalFormatting>
  <conditionalFormatting sqref="BB220:BB221 BB237:BB240 BB242:BB243 BB225:BB226 BB231:BB235">
    <cfRule type="cellIs" dxfId="2455" priority="2455" operator="lessThan">
      <formula>0</formula>
    </cfRule>
    <cfRule type="cellIs" dxfId="2454" priority="2456" operator="lessThan">
      <formula>-105575</formula>
    </cfRule>
  </conditionalFormatting>
  <conditionalFormatting sqref="BB212 BB231 BB233:BB238 BB240:BB243 BB225">
    <cfRule type="cellIs" dxfId="2453" priority="2453" operator="lessThan">
      <formula>0</formula>
    </cfRule>
    <cfRule type="cellIs" dxfId="2452" priority="2454" operator="lessThan">
      <formula>-105575</formula>
    </cfRule>
  </conditionalFormatting>
  <conditionalFormatting sqref="BB237:BB243 BB231:BB235 BB220:BB221 BB225:BB226">
    <cfRule type="cellIs" dxfId="2451" priority="2451" operator="lessThan">
      <formula>0</formula>
    </cfRule>
    <cfRule type="cellIs" dxfId="2450" priority="2452" operator="lessThan">
      <formula>-105575</formula>
    </cfRule>
  </conditionalFormatting>
  <conditionalFormatting sqref="BB233:BB237 BB231 BB239:BB243">
    <cfRule type="cellIs" dxfId="2449" priority="2449" operator="lessThan">
      <formula>0</formula>
    </cfRule>
    <cfRule type="cellIs" dxfId="2448" priority="2450" operator="lessThan">
      <formula>-105575</formula>
    </cfRule>
  </conditionalFormatting>
  <conditionalFormatting sqref="BB233:BB237 BB231 BB239:BB243">
    <cfRule type="cellIs" dxfId="2447" priority="2447" operator="lessThan">
      <formula>0</formula>
    </cfRule>
    <cfRule type="cellIs" dxfId="2446" priority="2448" operator="lessThan">
      <formula>-105575</formula>
    </cfRule>
  </conditionalFormatting>
  <conditionalFormatting sqref="BB119:BB128 BB106:BB117 BB101:BB104 BB80:BB98">
    <cfRule type="cellIs" dxfId="2445" priority="2445" operator="lessThan">
      <formula>0</formula>
    </cfRule>
    <cfRule type="cellIs" dxfId="2444" priority="2446" operator="lessThan">
      <formula>-105575</formula>
    </cfRule>
  </conditionalFormatting>
  <conditionalFormatting sqref="BB130 BB132 BB134">
    <cfRule type="cellIs" dxfId="2443" priority="2443" operator="lessThan">
      <formula>0</formula>
    </cfRule>
    <cfRule type="cellIs" dxfId="2442" priority="2444" operator="lessThan">
      <formula>-105575</formula>
    </cfRule>
  </conditionalFormatting>
  <conditionalFormatting sqref="BB130 BB132 BB134">
    <cfRule type="cellIs" dxfId="2441" priority="2441" operator="lessThan">
      <formula>0</formula>
    </cfRule>
    <cfRule type="cellIs" dxfId="2440" priority="2442" operator="lessThan">
      <formula>-105575</formula>
    </cfRule>
  </conditionalFormatting>
  <conditionalFormatting sqref="BB129 BB131 BB133 BB135">
    <cfRule type="cellIs" dxfId="2439" priority="2439" operator="lessThan">
      <formula>0</formula>
    </cfRule>
    <cfRule type="cellIs" dxfId="2438" priority="2440" operator="lessThan">
      <formula>-105575</formula>
    </cfRule>
  </conditionalFormatting>
  <conditionalFormatting sqref="BB140 BB145 BB142:BB143 BB137:BB138">
    <cfRule type="cellIs" dxfId="2437" priority="2437" operator="lessThan">
      <formula>0</formula>
    </cfRule>
    <cfRule type="cellIs" dxfId="2436" priority="2438" operator="lessThan">
      <formula>-105575</formula>
    </cfRule>
  </conditionalFormatting>
  <conditionalFormatting sqref="BB149">
    <cfRule type="cellIs" dxfId="2435" priority="2435" operator="lessThan">
      <formula>0</formula>
    </cfRule>
    <cfRule type="cellIs" dxfId="2434" priority="2436" operator="lessThan">
      <formula>-105575</formula>
    </cfRule>
  </conditionalFormatting>
  <conditionalFormatting sqref="BB129:BB138 BB140:BB149">
    <cfRule type="cellIs" dxfId="2433" priority="2433" operator="lessThan">
      <formula>0</formula>
    </cfRule>
    <cfRule type="cellIs" dxfId="2432" priority="2434" operator="lessThan">
      <formula>-105575</formula>
    </cfRule>
  </conditionalFormatting>
  <conditionalFormatting sqref="BB94:BB98 BB86:BB87 BB89:BB91 BB141:BB149 BB124:BB133 BB107:BB110 BB112:BB117 BB119:BB122 BB135:BB138 BB101:BB104 BB80:BB84">
    <cfRule type="cellIs" dxfId="2431" priority="2431" operator="lessThan">
      <formula>0</formula>
    </cfRule>
    <cfRule type="cellIs" dxfId="2430" priority="2432" operator="lessThan">
      <formula>-105575</formula>
    </cfRule>
  </conditionalFormatting>
  <conditionalFormatting sqref="BB129 BB131 BB133 BB135">
    <cfRule type="cellIs" dxfId="2429" priority="2429" operator="lessThan">
      <formula>0</formula>
    </cfRule>
    <cfRule type="cellIs" dxfId="2428" priority="2430" operator="lessThan">
      <formula>-105575</formula>
    </cfRule>
  </conditionalFormatting>
  <conditionalFormatting sqref="BB146 BB144 BB141">
    <cfRule type="cellIs" dxfId="2427" priority="2427" operator="lessThan">
      <formula>0</formula>
    </cfRule>
    <cfRule type="cellIs" dxfId="2426" priority="2428" operator="lessThan">
      <formula>-105575</formula>
    </cfRule>
  </conditionalFormatting>
  <conditionalFormatting sqref="BB146 BB144 BB141">
    <cfRule type="cellIs" dxfId="2425" priority="2425" operator="lessThan">
      <formula>0</formula>
    </cfRule>
    <cfRule type="cellIs" dxfId="2424" priority="2426" operator="lessThan">
      <formula>-105575</formula>
    </cfRule>
  </conditionalFormatting>
  <conditionalFormatting sqref="BB140 BB145 BB142:BB143 BB137:BB138">
    <cfRule type="cellIs" dxfId="2423" priority="2423" operator="lessThan">
      <formula>0</formula>
    </cfRule>
    <cfRule type="cellIs" dxfId="2422" priority="2424" operator="lessThan">
      <formula>-105575</formula>
    </cfRule>
  </conditionalFormatting>
  <conditionalFormatting sqref="BB149">
    <cfRule type="cellIs" dxfId="2421" priority="2421" operator="lessThan">
      <formula>0</formula>
    </cfRule>
    <cfRule type="cellIs" dxfId="2420" priority="2422" operator="lessThan">
      <formula>-105575</formula>
    </cfRule>
  </conditionalFormatting>
  <conditionalFormatting sqref="BB94:BB98 BB86:BB87 BB89:BB91 BB141:BB149 BB124:BB133 BB107:BB110 BB112:BB117 BB119:BB122 BB135:BB138 BB101:BB104 BB80:BB84">
    <cfRule type="cellIs" dxfId="2419" priority="2419" operator="lessThan">
      <formula>0</formula>
    </cfRule>
    <cfRule type="cellIs" dxfId="2418" priority="2420" operator="lessThan">
      <formula>-105575</formula>
    </cfRule>
  </conditionalFormatting>
  <conditionalFormatting sqref="BB246:BB249 BB262 BB267 BB279:BB282 BB285:BB288 BB274:BB275 BB306:BB309 BB311:BB325 BB327:BB330 BB332:BB341 BB344:BB347 BB349:BB353 BB355:BB358 BB360:BB384 BB386:BB389 BB392:BB395 BB397:BB411 BB413:BB416 BB418:BB432 BB434:BB437 BB439:BB453 BB455:BB458 BB460:BB469 BB7:BB10 BB12:BB14 BB17:BB18 BB21:BB24 BB26:BB28 BB30:BB36 BB38 BB41:BB43 BB46:BB49 BB51:BB55 BB57:BB59 BB62:BB76 BB251:BB253 BB255:BB257 BB293:BB304 BB264:BB265 BB260 BB290:BB291 BB270:BB272">
    <cfRule type="cellIs" dxfId="2417" priority="2417" operator="lessThan">
      <formula>0</formula>
    </cfRule>
    <cfRule type="cellIs" dxfId="2416" priority="2418" operator="lessThan">
      <formula>-105575</formula>
    </cfRule>
  </conditionalFormatting>
  <conditionalFormatting sqref="BB41">
    <cfRule type="cellIs" dxfId="2415" priority="2415" operator="lessThan">
      <formula>0</formula>
    </cfRule>
    <cfRule type="cellIs" dxfId="2414" priority="2416" operator="lessThan">
      <formula>-105575</formula>
    </cfRule>
  </conditionalFormatting>
  <conditionalFormatting sqref="BB152:BB155">
    <cfRule type="cellIs" dxfId="2413" priority="2413" operator="lessThan">
      <formula>0</formula>
    </cfRule>
    <cfRule type="cellIs" dxfId="2412" priority="2414" operator="lessThan">
      <formula>-105575</formula>
    </cfRule>
  </conditionalFormatting>
  <conditionalFormatting sqref="BB152:BB155">
    <cfRule type="cellIs" dxfId="2411" priority="2411" operator="lessThan">
      <formula>0</formula>
    </cfRule>
    <cfRule type="cellIs" dxfId="2410" priority="2412" operator="lessThan">
      <formula>-105575</formula>
    </cfRule>
  </conditionalFormatting>
  <conditionalFormatting sqref="BB152:BB155">
    <cfRule type="cellIs" dxfId="2409" priority="2409" operator="lessThan">
      <formula>0</formula>
    </cfRule>
    <cfRule type="cellIs" dxfId="2408" priority="2410" operator="lessThan">
      <formula>-105575</formula>
    </cfRule>
  </conditionalFormatting>
  <conditionalFormatting sqref="BB157:BB158">
    <cfRule type="cellIs" dxfId="2407" priority="2407" operator="lessThan">
      <formula>0</formula>
    </cfRule>
    <cfRule type="cellIs" dxfId="2406" priority="2408" operator="lessThan">
      <formula>-105575</formula>
    </cfRule>
  </conditionalFormatting>
  <conditionalFormatting sqref="BB157:BB158">
    <cfRule type="cellIs" dxfId="2405" priority="2405" operator="lessThan">
      <formula>0</formula>
    </cfRule>
    <cfRule type="cellIs" dxfId="2404" priority="2406" operator="lessThan">
      <formula>-105575</formula>
    </cfRule>
  </conditionalFormatting>
  <conditionalFormatting sqref="BB157:BB158">
    <cfRule type="cellIs" dxfId="2403" priority="2403" operator="lessThan">
      <formula>0</formula>
    </cfRule>
    <cfRule type="cellIs" dxfId="2402" priority="2404" operator="lessThan">
      <formula>-105575</formula>
    </cfRule>
  </conditionalFormatting>
  <conditionalFormatting sqref="BB160:BB161">
    <cfRule type="cellIs" dxfId="2401" priority="2401" operator="lessThan">
      <formula>0</formula>
    </cfRule>
    <cfRule type="cellIs" dxfId="2400" priority="2402" operator="lessThan">
      <formula>-105575</formula>
    </cfRule>
  </conditionalFormatting>
  <conditionalFormatting sqref="BB160:BB161">
    <cfRule type="cellIs" dxfId="2399" priority="2399" operator="lessThan">
      <formula>0</formula>
    </cfRule>
    <cfRule type="cellIs" dxfId="2398" priority="2400" operator="lessThan">
      <formula>-105575</formula>
    </cfRule>
  </conditionalFormatting>
  <conditionalFormatting sqref="BB160:BB161">
    <cfRule type="cellIs" dxfId="2397" priority="2397" operator="lessThan">
      <formula>0</formula>
    </cfRule>
    <cfRule type="cellIs" dxfId="2396" priority="2398" operator="lessThan">
      <formula>-105575</formula>
    </cfRule>
  </conditionalFormatting>
  <conditionalFormatting sqref="BB164:BB167">
    <cfRule type="cellIs" dxfId="2395" priority="2395" operator="lessThan">
      <formula>0</formula>
    </cfRule>
    <cfRule type="cellIs" dxfId="2394" priority="2396" operator="lessThan">
      <formula>-105575</formula>
    </cfRule>
  </conditionalFormatting>
  <conditionalFormatting sqref="BB164:BB167">
    <cfRule type="cellIs" dxfId="2393" priority="2393" operator="lessThan">
      <formula>0</formula>
    </cfRule>
    <cfRule type="cellIs" dxfId="2392" priority="2394" operator="lessThan">
      <formula>-105575</formula>
    </cfRule>
  </conditionalFormatting>
  <conditionalFormatting sqref="BB164:BB167">
    <cfRule type="cellIs" dxfId="2391" priority="2391" operator="lessThan">
      <formula>0</formula>
    </cfRule>
    <cfRule type="cellIs" dxfId="2390" priority="2392" operator="lessThan">
      <formula>-105575</formula>
    </cfRule>
  </conditionalFormatting>
  <conditionalFormatting sqref="BB169:BB177">
    <cfRule type="cellIs" dxfId="2389" priority="2389" operator="lessThan">
      <formula>0</formula>
    </cfRule>
    <cfRule type="cellIs" dxfId="2388" priority="2390" operator="lessThan">
      <formula>-105575</formula>
    </cfRule>
  </conditionalFormatting>
  <conditionalFormatting sqref="BB169:BB177">
    <cfRule type="cellIs" dxfId="2387" priority="2387" operator="lessThan">
      <formula>0</formula>
    </cfRule>
    <cfRule type="cellIs" dxfId="2386" priority="2388" operator="lessThan">
      <formula>-105575</formula>
    </cfRule>
  </conditionalFormatting>
  <conditionalFormatting sqref="BB169:BB177">
    <cfRule type="cellIs" dxfId="2385" priority="2385" operator="lessThan">
      <formula>0</formula>
    </cfRule>
    <cfRule type="cellIs" dxfId="2384" priority="2386" operator="lessThan">
      <formula>-105575</formula>
    </cfRule>
  </conditionalFormatting>
  <conditionalFormatting sqref="BB179:BB180">
    <cfRule type="cellIs" dxfId="2383" priority="2383" operator="lessThan">
      <formula>0</formula>
    </cfRule>
    <cfRule type="cellIs" dxfId="2382" priority="2384" operator="lessThan">
      <formula>-105575</formula>
    </cfRule>
  </conditionalFormatting>
  <conditionalFormatting sqref="BB179:BB180">
    <cfRule type="cellIs" dxfId="2381" priority="2381" operator="lessThan">
      <formula>0</formula>
    </cfRule>
    <cfRule type="cellIs" dxfId="2380" priority="2382" operator="lessThan">
      <formula>-105575</formula>
    </cfRule>
  </conditionalFormatting>
  <conditionalFormatting sqref="BB179:BB180">
    <cfRule type="cellIs" dxfId="2379" priority="2379" operator="lessThan">
      <formula>0</formula>
    </cfRule>
    <cfRule type="cellIs" dxfId="2378" priority="2380" operator="lessThan">
      <formula>-105575</formula>
    </cfRule>
  </conditionalFormatting>
  <conditionalFormatting sqref="BB183:BB189">
    <cfRule type="cellIs" dxfId="2377" priority="2377" operator="lessThan">
      <formula>0</formula>
    </cfRule>
    <cfRule type="cellIs" dxfId="2376" priority="2378" operator="lessThan">
      <formula>-105575</formula>
    </cfRule>
  </conditionalFormatting>
  <conditionalFormatting sqref="BB183:BB189">
    <cfRule type="cellIs" dxfId="2375" priority="2375" operator="lessThan">
      <formula>0</formula>
    </cfRule>
    <cfRule type="cellIs" dxfId="2374" priority="2376" operator="lessThan">
      <formula>-105575</formula>
    </cfRule>
  </conditionalFormatting>
  <conditionalFormatting sqref="BB183:BB189">
    <cfRule type="cellIs" dxfId="2373" priority="2373" operator="lessThan">
      <formula>0</formula>
    </cfRule>
    <cfRule type="cellIs" dxfId="2372" priority="2374" operator="lessThan">
      <formula>-105575</formula>
    </cfRule>
  </conditionalFormatting>
  <conditionalFormatting sqref="BB191:BB192">
    <cfRule type="cellIs" dxfId="2371" priority="2371" operator="lessThan">
      <formula>0</formula>
    </cfRule>
    <cfRule type="cellIs" dxfId="2370" priority="2372" operator="lessThan">
      <formula>-105575</formula>
    </cfRule>
  </conditionalFormatting>
  <conditionalFormatting sqref="BB191:BB192">
    <cfRule type="cellIs" dxfId="2369" priority="2369" operator="lessThan">
      <formula>0</formula>
    </cfRule>
    <cfRule type="cellIs" dxfId="2368" priority="2370" operator="lessThan">
      <formula>-105575</formula>
    </cfRule>
  </conditionalFormatting>
  <conditionalFormatting sqref="BB191:BB192">
    <cfRule type="cellIs" dxfId="2367" priority="2367" operator="lessThan">
      <formula>0</formula>
    </cfRule>
    <cfRule type="cellIs" dxfId="2366" priority="2368" operator="lessThan">
      <formula>-105575</formula>
    </cfRule>
  </conditionalFormatting>
  <conditionalFormatting sqref="BB194:BB195">
    <cfRule type="cellIs" dxfId="2365" priority="2365" operator="lessThan">
      <formula>0</formula>
    </cfRule>
    <cfRule type="cellIs" dxfId="2364" priority="2366" operator="lessThan">
      <formula>-105575</formula>
    </cfRule>
  </conditionalFormatting>
  <conditionalFormatting sqref="BB194:BB195">
    <cfRule type="cellIs" dxfId="2363" priority="2363" operator="lessThan">
      <formula>0</formula>
    </cfRule>
    <cfRule type="cellIs" dxfId="2362" priority="2364" operator="lessThan">
      <formula>-105575</formula>
    </cfRule>
  </conditionalFormatting>
  <conditionalFormatting sqref="BB194:BB195">
    <cfRule type="cellIs" dxfId="2361" priority="2361" operator="lessThan">
      <formula>0</formula>
    </cfRule>
    <cfRule type="cellIs" dxfId="2360" priority="2362" operator="lessThan">
      <formula>-105575</formula>
    </cfRule>
  </conditionalFormatting>
  <conditionalFormatting sqref="BB199:BB202">
    <cfRule type="cellIs" dxfId="2359" priority="2359" operator="lessThan">
      <formula>0</formula>
    </cfRule>
    <cfRule type="cellIs" dxfId="2358" priority="2360" operator="lessThan">
      <formula>-105575</formula>
    </cfRule>
  </conditionalFormatting>
  <conditionalFormatting sqref="BB199:BB202">
    <cfRule type="cellIs" dxfId="2357" priority="2357" operator="lessThan">
      <formula>0</formula>
    </cfRule>
    <cfRule type="cellIs" dxfId="2356" priority="2358" operator="lessThan">
      <formula>-105575</formula>
    </cfRule>
  </conditionalFormatting>
  <conditionalFormatting sqref="BB199:BB202">
    <cfRule type="cellIs" dxfId="2355" priority="2355" operator="lessThan">
      <formula>0</formula>
    </cfRule>
    <cfRule type="cellIs" dxfId="2354" priority="2356" operator="lessThan">
      <formula>-105575</formula>
    </cfRule>
  </conditionalFormatting>
  <conditionalFormatting sqref="BB204:BB208">
    <cfRule type="cellIs" dxfId="2353" priority="2353" operator="lessThan">
      <formula>0</formula>
    </cfRule>
    <cfRule type="cellIs" dxfId="2352" priority="2354" operator="lessThan">
      <formula>-105575</formula>
    </cfRule>
  </conditionalFormatting>
  <conditionalFormatting sqref="BB204:BB208">
    <cfRule type="cellIs" dxfId="2351" priority="2351" operator="lessThan">
      <formula>0</formula>
    </cfRule>
    <cfRule type="cellIs" dxfId="2350" priority="2352" operator="lessThan">
      <formula>-105575</formula>
    </cfRule>
  </conditionalFormatting>
  <conditionalFormatting sqref="BB204:BB208">
    <cfRule type="cellIs" dxfId="2349" priority="2349" operator="lessThan">
      <formula>0</formula>
    </cfRule>
    <cfRule type="cellIs" dxfId="2348" priority="2350" operator="lessThan">
      <formula>-105575</formula>
    </cfRule>
  </conditionalFormatting>
  <conditionalFormatting sqref="BB210:BB211">
    <cfRule type="cellIs" dxfId="2347" priority="2347" operator="lessThan">
      <formula>0</formula>
    </cfRule>
    <cfRule type="cellIs" dxfId="2346" priority="2348" operator="lessThan">
      <formula>-105575</formula>
    </cfRule>
  </conditionalFormatting>
  <conditionalFormatting sqref="BB210:BB211">
    <cfRule type="cellIs" dxfId="2345" priority="2345" operator="lessThan">
      <formula>0</formula>
    </cfRule>
    <cfRule type="cellIs" dxfId="2344" priority="2346" operator="lessThan">
      <formula>-105575</formula>
    </cfRule>
  </conditionalFormatting>
  <conditionalFormatting sqref="BB210:BB211">
    <cfRule type="cellIs" dxfId="2343" priority="2343" operator="lessThan">
      <formula>0</formula>
    </cfRule>
    <cfRule type="cellIs" dxfId="2342" priority="2344" operator="lessThan">
      <formula>-105575</formula>
    </cfRule>
  </conditionalFormatting>
  <conditionalFormatting sqref="BB214:BB219">
    <cfRule type="cellIs" dxfId="2341" priority="2341" operator="lessThan">
      <formula>0</formula>
    </cfRule>
    <cfRule type="cellIs" dxfId="2340" priority="2342" operator="lessThan">
      <formula>-105575</formula>
    </cfRule>
  </conditionalFormatting>
  <conditionalFormatting sqref="BB214:BB219">
    <cfRule type="cellIs" dxfId="2339" priority="2339" operator="lessThan">
      <formula>0</formula>
    </cfRule>
    <cfRule type="cellIs" dxfId="2338" priority="2340" operator="lessThan">
      <formula>-105575</formula>
    </cfRule>
  </conditionalFormatting>
  <conditionalFormatting sqref="BB214:BB219">
    <cfRule type="cellIs" dxfId="2337" priority="2337" operator="lessThan">
      <formula>0</formula>
    </cfRule>
    <cfRule type="cellIs" dxfId="2336" priority="2338" operator="lessThan">
      <formula>-105575</formula>
    </cfRule>
  </conditionalFormatting>
  <conditionalFormatting sqref="BB222:BB224">
    <cfRule type="cellIs" dxfId="2335" priority="2335" operator="lessThan">
      <formula>0</formula>
    </cfRule>
    <cfRule type="cellIs" dxfId="2334" priority="2336" operator="lessThan">
      <formula>-105575</formula>
    </cfRule>
  </conditionalFormatting>
  <conditionalFormatting sqref="BB222:BB224">
    <cfRule type="cellIs" dxfId="2333" priority="2333" operator="lessThan">
      <formula>0</formula>
    </cfRule>
    <cfRule type="cellIs" dxfId="2332" priority="2334" operator="lessThan">
      <formula>-105575</formula>
    </cfRule>
  </conditionalFormatting>
  <conditionalFormatting sqref="BB222:BB224">
    <cfRule type="cellIs" dxfId="2331" priority="2331" operator="lessThan">
      <formula>0</formula>
    </cfRule>
    <cfRule type="cellIs" dxfId="2330" priority="2332" operator="lessThan">
      <formula>-105575</formula>
    </cfRule>
  </conditionalFormatting>
  <conditionalFormatting sqref="BB227:BB230">
    <cfRule type="cellIs" dxfId="2329" priority="2329" operator="lessThan">
      <formula>0</formula>
    </cfRule>
    <cfRule type="cellIs" dxfId="2328" priority="2330" operator="lessThan">
      <formula>-105575</formula>
    </cfRule>
  </conditionalFormatting>
  <conditionalFormatting sqref="BB227:BB230">
    <cfRule type="cellIs" dxfId="2327" priority="2327" operator="lessThan">
      <formula>0</formula>
    </cfRule>
    <cfRule type="cellIs" dxfId="2326" priority="2328" operator="lessThan">
      <formula>-105575</formula>
    </cfRule>
  </conditionalFormatting>
  <conditionalFormatting sqref="BB227:BB230">
    <cfRule type="cellIs" dxfId="2325" priority="2325" operator="lessThan">
      <formula>0</formula>
    </cfRule>
    <cfRule type="cellIs" dxfId="2324" priority="2326" operator="lessThan">
      <formula>-105575</formula>
    </cfRule>
  </conditionalFormatting>
  <conditionalFormatting sqref="BB203 BB220:BB221 BB235:BB243 BB231:BB233 BB212:BB213 BB225:BB226">
    <cfRule type="cellIs" dxfId="2323" priority="2323" operator="lessThan">
      <formula>0</formula>
    </cfRule>
    <cfRule type="cellIs" dxfId="2322" priority="2324" operator="lessThan">
      <formula>-105575</formula>
    </cfRule>
  </conditionalFormatting>
  <conditionalFormatting sqref="BB220 BB212:BB213 BB235:BB238 BB240:BB243 BB225:BB226 BB231:BB233">
    <cfRule type="cellIs" dxfId="2321" priority="2321" operator="lessThan">
      <formula>0</formula>
    </cfRule>
    <cfRule type="cellIs" dxfId="2320" priority="2322" operator="lessThan">
      <formula>-105575</formula>
    </cfRule>
  </conditionalFormatting>
  <conditionalFormatting sqref="BB220:BB221 BB243 BB226 BB231:BB236 BB238:BB241 BB203 BB213">
    <cfRule type="cellIs" dxfId="2319" priority="2319" operator="lessThan">
      <formula>0</formula>
    </cfRule>
    <cfRule type="cellIs" dxfId="2318" priority="2320" operator="lessThan">
      <formula>-105575</formula>
    </cfRule>
  </conditionalFormatting>
  <conditionalFormatting sqref="BB235:BB243 BB231:BB233 BB220 BB212:BB213 BB225:BB226">
    <cfRule type="cellIs" dxfId="2317" priority="2317" operator="lessThan">
      <formula>0</formula>
    </cfRule>
    <cfRule type="cellIs" dxfId="2316" priority="2318" operator="lessThan">
      <formula>-105575</formula>
    </cfRule>
  </conditionalFormatting>
  <conditionalFormatting sqref="BB220:BB221 BB237:BB243 BB203 BB231:BB235 BB212:BB213 BB225:BB226">
    <cfRule type="cellIs" dxfId="2315" priority="2315" operator="lessThan">
      <formula>0</formula>
    </cfRule>
    <cfRule type="cellIs" dxfId="2314" priority="2316" operator="lessThan">
      <formula>-105575</formula>
    </cfRule>
  </conditionalFormatting>
  <conditionalFormatting sqref="BB220:BB221 BB237:BB240 BB242:BB243 BB225:BB226 BB231:BB235">
    <cfRule type="cellIs" dxfId="2313" priority="2313" operator="lessThan">
      <formula>0</formula>
    </cfRule>
    <cfRule type="cellIs" dxfId="2312" priority="2314" operator="lessThan">
      <formula>-105575</formula>
    </cfRule>
  </conditionalFormatting>
  <conditionalFormatting sqref="BB212 BB231 BB233:BB238 BB240:BB243 BB225">
    <cfRule type="cellIs" dxfId="2311" priority="2311" operator="lessThan">
      <formula>0</formula>
    </cfRule>
    <cfRule type="cellIs" dxfId="2310" priority="2312" operator="lessThan">
      <formula>-105575</formula>
    </cfRule>
  </conditionalFormatting>
  <conditionalFormatting sqref="BB237:BB243 BB231:BB235 BB220:BB221 BB225:BB226">
    <cfRule type="cellIs" dxfId="2309" priority="2309" operator="lessThan">
      <formula>0</formula>
    </cfRule>
    <cfRule type="cellIs" dxfId="2308" priority="2310" operator="lessThan">
      <formula>-105575</formula>
    </cfRule>
  </conditionalFormatting>
  <conditionalFormatting sqref="BB233:BB237 BB231 BB239:BB243">
    <cfRule type="cellIs" dxfId="2307" priority="2307" operator="lessThan">
      <formula>0</formula>
    </cfRule>
    <cfRule type="cellIs" dxfId="2306" priority="2308" operator="lessThan">
      <formula>-105575</formula>
    </cfRule>
  </conditionalFormatting>
  <conditionalFormatting sqref="BB233:BB237 BB231 BB239:BB243">
    <cfRule type="cellIs" dxfId="2305" priority="2305" operator="lessThan">
      <formula>0</formula>
    </cfRule>
    <cfRule type="cellIs" dxfId="2304" priority="2306" operator="lessThan">
      <formula>-105575</formula>
    </cfRule>
  </conditionalFormatting>
  <conditionalFormatting sqref="BB119:BB128 BB106:BB117 BB101:BB104 BB80:BB98">
    <cfRule type="cellIs" dxfId="2303" priority="2303" operator="lessThan">
      <formula>0</formula>
    </cfRule>
    <cfRule type="cellIs" dxfId="2302" priority="2304" operator="lessThan">
      <formula>-105575</formula>
    </cfRule>
  </conditionalFormatting>
  <conditionalFormatting sqref="BB130 BB132 BB134">
    <cfRule type="cellIs" dxfId="2301" priority="2301" operator="lessThan">
      <formula>0</formula>
    </cfRule>
    <cfRule type="cellIs" dxfId="2300" priority="2302" operator="lessThan">
      <formula>-105575</formula>
    </cfRule>
  </conditionalFormatting>
  <conditionalFormatting sqref="BB130 BB132 BB134">
    <cfRule type="cellIs" dxfId="2299" priority="2299" operator="lessThan">
      <formula>0</formula>
    </cfRule>
    <cfRule type="cellIs" dxfId="2298" priority="2300" operator="lessThan">
      <formula>-105575</formula>
    </cfRule>
  </conditionalFormatting>
  <conditionalFormatting sqref="BB129 BB131 BB133 BB135">
    <cfRule type="cellIs" dxfId="2297" priority="2297" operator="lessThan">
      <formula>0</formula>
    </cfRule>
    <cfRule type="cellIs" dxfId="2296" priority="2298" operator="lessThan">
      <formula>-105575</formula>
    </cfRule>
  </conditionalFormatting>
  <conditionalFormatting sqref="BB140 BB145 BB142:BB143 BB137:BB138">
    <cfRule type="cellIs" dxfId="2295" priority="2295" operator="lessThan">
      <formula>0</formula>
    </cfRule>
    <cfRule type="cellIs" dxfId="2294" priority="2296" operator="lessThan">
      <formula>-105575</formula>
    </cfRule>
  </conditionalFormatting>
  <conditionalFormatting sqref="BB149">
    <cfRule type="cellIs" dxfId="2293" priority="2293" operator="lessThan">
      <formula>0</formula>
    </cfRule>
    <cfRule type="cellIs" dxfId="2292" priority="2294" operator="lessThan">
      <formula>-105575</formula>
    </cfRule>
  </conditionalFormatting>
  <conditionalFormatting sqref="BB129:BB138 BB140:BB149">
    <cfRule type="cellIs" dxfId="2291" priority="2291" operator="lessThan">
      <formula>0</formula>
    </cfRule>
    <cfRule type="cellIs" dxfId="2290" priority="2292" operator="lessThan">
      <formula>-105575</formula>
    </cfRule>
  </conditionalFormatting>
  <conditionalFormatting sqref="BB94:BB98 BB86:BB87 BB89:BB91 BB141:BB149 BB124:BB133 BB107:BB110 BB112:BB117 BB119:BB122 BB135:BB138 BB101:BB104 BB80:BB84">
    <cfRule type="cellIs" dxfId="2289" priority="2289" operator="lessThan">
      <formula>0</formula>
    </cfRule>
    <cfRule type="cellIs" dxfId="2288" priority="2290" operator="lessThan">
      <formula>-105575</formula>
    </cfRule>
  </conditionalFormatting>
  <conditionalFormatting sqref="BB129 BB131 BB133 BB135">
    <cfRule type="cellIs" dxfId="2287" priority="2287" operator="lessThan">
      <formula>0</formula>
    </cfRule>
    <cfRule type="cellIs" dxfId="2286" priority="2288" operator="lessThan">
      <formula>-105575</formula>
    </cfRule>
  </conditionalFormatting>
  <conditionalFormatting sqref="BB146 BB144 BB141">
    <cfRule type="cellIs" dxfId="2285" priority="2285" operator="lessThan">
      <formula>0</formula>
    </cfRule>
    <cfRule type="cellIs" dxfId="2284" priority="2286" operator="lessThan">
      <formula>-105575</formula>
    </cfRule>
  </conditionalFormatting>
  <conditionalFormatting sqref="BB146 BB144 BB141">
    <cfRule type="cellIs" dxfId="2283" priority="2283" operator="lessThan">
      <formula>0</formula>
    </cfRule>
    <cfRule type="cellIs" dxfId="2282" priority="2284" operator="lessThan">
      <formula>-105575</formula>
    </cfRule>
  </conditionalFormatting>
  <conditionalFormatting sqref="BB140 BB145 BB142:BB143 BB137:BB138">
    <cfRule type="cellIs" dxfId="2281" priority="2281" operator="lessThan">
      <formula>0</formula>
    </cfRule>
    <cfRule type="cellIs" dxfId="2280" priority="2282" operator="lessThan">
      <formula>-105575</formula>
    </cfRule>
  </conditionalFormatting>
  <conditionalFormatting sqref="BB149">
    <cfRule type="cellIs" dxfId="2279" priority="2279" operator="lessThan">
      <formula>0</formula>
    </cfRule>
    <cfRule type="cellIs" dxfId="2278" priority="2280" operator="lessThan">
      <formula>-105575</formula>
    </cfRule>
  </conditionalFormatting>
  <conditionalFormatting sqref="BB94:BB98 BB86:BB87 BB89:BB91 BB141:BB149 BB124:BB133 BB107:BB110 BB112:BB117 BB119:BB122 BB135:BB138 BB101:BB104 BB80:BB84">
    <cfRule type="cellIs" dxfId="2277" priority="2277" operator="lessThan">
      <formula>0</formula>
    </cfRule>
    <cfRule type="cellIs" dxfId="2276" priority="2278" operator="lessThan">
      <formula>-105575</formula>
    </cfRule>
  </conditionalFormatting>
  <conditionalFormatting sqref="BB62:BB76 BB306:BB309 BB311:BB325 BB327:BB330 BB332:BB341 BB344:BB347 BB349:BB353 BB355:BB358 BB360:BB384 BB386:BB389 BB392:BB395 BB397:BB411 BB413:BB416 BB418:BB432 BB434:BB437 BB439:BB453 BB455:BB458 BB460:BB469 BB7:BB10 BB12:BB14 BB17:BB18 BB21:BB24 BB26:BB28 BB30:BB36 BB38 BB41:BB43 BB46:BB49 BB51:BB55 BB57:BB59 BB290:BB291 BB293:BB304">
    <cfRule type="cellIs" dxfId="2275" priority="2275" operator="lessThan">
      <formula>0</formula>
    </cfRule>
    <cfRule type="cellIs" dxfId="2274" priority="2276" operator="lessThan">
      <formula>-105575</formula>
    </cfRule>
  </conditionalFormatting>
  <conditionalFormatting sqref="BB41">
    <cfRule type="cellIs" dxfId="2273" priority="2273" operator="lessThan">
      <formula>0</formula>
    </cfRule>
    <cfRule type="cellIs" dxfId="2272" priority="2274" operator="lessThan">
      <formula>-105575</formula>
    </cfRule>
  </conditionalFormatting>
  <conditionalFormatting sqref="BB152:BB155">
    <cfRule type="cellIs" dxfId="2271" priority="2271" operator="lessThan">
      <formula>0</formula>
    </cfRule>
    <cfRule type="cellIs" dxfId="2270" priority="2272" operator="lessThan">
      <formula>-105575</formula>
    </cfRule>
  </conditionalFormatting>
  <conditionalFormatting sqref="BB152:BB155">
    <cfRule type="cellIs" dxfId="2269" priority="2269" operator="lessThan">
      <formula>0</formula>
    </cfRule>
    <cfRule type="cellIs" dxfId="2268" priority="2270" operator="lessThan">
      <formula>-105575</formula>
    </cfRule>
  </conditionalFormatting>
  <conditionalFormatting sqref="BB152:BB155">
    <cfRule type="cellIs" dxfId="2267" priority="2267" operator="lessThan">
      <formula>0</formula>
    </cfRule>
    <cfRule type="cellIs" dxfId="2266" priority="2268" operator="lessThan">
      <formula>-105575</formula>
    </cfRule>
  </conditionalFormatting>
  <conditionalFormatting sqref="BB157:BB158">
    <cfRule type="cellIs" dxfId="2265" priority="2265" operator="lessThan">
      <formula>0</formula>
    </cfRule>
    <cfRule type="cellIs" dxfId="2264" priority="2266" operator="lessThan">
      <formula>-105575</formula>
    </cfRule>
  </conditionalFormatting>
  <conditionalFormatting sqref="BB157:BB158">
    <cfRule type="cellIs" dxfId="2263" priority="2263" operator="lessThan">
      <formula>0</formula>
    </cfRule>
    <cfRule type="cellIs" dxfId="2262" priority="2264" operator="lessThan">
      <formula>-105575</formula>
    </cfRule>
  </conditionalFormatting>
  <conditionalFormatting sqref="BB157:BB158">
    <cfRule type="cellIs" dxfId="2261" priority="2261" operator="lessThan">
      <formula>0</formula>
    </cfRule>
    <cfRule type="cellIs" dxfId="2260" priority="2262" operator="lessThan">
      <formula>-105575</formula>
    </cfRule>
  </conditionalFormatting>
  <conditionalFormatting sqref="BB160:BB161">
    <cfRule type="cellIs" dxfId="2259" priority="2259" operator="lessThan">
      <formula>0</formula>
    </cfRule>
    <cfRule type="cellIs" dxfId="2258" priority="2260" operator="lessThan">
      <formula>-105575</formula>
    </cfRule>
  </conditionalFormatting>
  <conditionalFormatting sqref="BB160:BB161">
    <cfRule type="cellIs" dxfId="2257" priority="2257" operator="lessThan">
      <formula>0</formula>
    </cfRule>
    <cfRule type="cellIs" dxfId="2256" priority="2258" operator="lessThan">
      <formula>-105575</formula>
    </cfRule>
  </conditionalFormatting>
  <conditionalFormatting sqref="BB160:BB161">
    <cfRule type="cellIs" dxfId="2255" priority="2255" operator="lessThan">
      <formula>0</formula>
    </cfRule>
    <cfRule type="cellIs" dxfId="2254" priority="2256" operator="lessThan">
      <formula>-105575</formula>
    </cfRule>
  </conditionalFormatting>
  <conditionalFormatting sqref="BB164:BB167">
    <cfRule type="cellIs" dxfId="2253" priority="2253" operator="lessThan">
      <formula>0</formula>
    </cfRule>
    <cfRule type="cellIs" dxfId="2252" priority="2254" operator="lessThan">
      <formula>-105575</formula>
    </cfRule>
  </conditionalFormatting>
  <conditionalFormatting sqref="BB164:BB167">
    <cfRule type="cellIs" dxfId="2251" priority="2251" operator="lessThan">
      <formula>0</formula>
    </cfRule>
    <cfRule type="cellIs" dxfId="2250" priority="2252" operator="lessThan">
      <formula>-105575</formula>
    </cfRule>
  </conditionalFormatting>
  <conditionalFormatting sqref="BB164:BB167">
    <cfRule type="cellIs" dxfId="2249" priority="2249" operator="lessThan">
      <formula>0</formula>
    </cfRule>
    <cfRule type="cellIs" dxfId="2248" priority="2250" operator="lessThan">
      <formula>-105575</formula>
    </cfRule>
  </conditionalFormatting>
  <conditionalFormatting sqref="BB169:BB177">
    <cfRule type="cellIs" dxfId="2247" priority="2247" operator="lessThan">
      <formula>0</formula>
    </cfRule>
    <cfRule type="cellIs" dxfId="2246" priority="2248" operator="lessThan">
      <formula>-105575</formula>
    </cfRule>
  </conditionalFormatting>
  <conditionalFormatting sqref="BB169:BB177">
    <cfRule type="cellIs" dxfId="2245" priority="2245" operator="lessThan">
      <formula>0</formula>
    </cfRule>
    <cfRule type="cellIs" dxfId="2244" priority="2246" operator="lessThan">
      <formula>-105575</formula>
    </cfRule>
  </conditionalFormatting>
  <conditionalFormatting sqref="BB169:BB177">
    <cfRule type="cellIs" dxfId="2243" priority="2243" operator="lessThan">
      <formula>0</formula>
    </cfRule>
    <cfRule type="cellIs" dxfId="2242" priority="2244" operator="lessThan">
      <formula>-105575</formula>
    </cfRule>
  </conditionalFormatting>
  <conditionalFormatting sqref="BB179:BB180">
    <cfRule type="cellIs" dxfId="2241" priority="2241" operator="lessThan">
      <formula>0</formula>
    </cfRule>
    <cfRule type="cellIs" dxfId="2240" priority="2242" operator="lessThan">
      <formula>-105575</formula>
    </cfRule>
  </conditionalFormatting>
  <conditionalFormatting sqref="BB179:BB180">
    <cfRule type="cellIs" dxfId="2239" priority="2239" operator="lessThan">
      <formula>0</formula>
    </cfRule>
    <cfRule type="cellIs" dxfId="2238" priority="2240" operator="lessThan">
      <formula>-105575</formula>
    </cfRule>
  </conditionalFormatting>
  <conditionalFormatting sqref="BB179:BB180">
    <cfRule type="cellIs" dxfId="2237" priority="2237" operator="lessThan">
      <formula>0</formula>
    </cfRule>
    <cfRule type="cellIs" dxfId="2236" priority="2238" operator="lessThan">
      <formula>-105575</formula>
    </cfRule>
  </conditionalFormatting>
  <conditionalFormatting sqref="BB183:BB189">
    <cfRule type="cellIs" dxfId="2235" priority="2235" operator="lessThan">
      <formula>0</formula>
    </cfRule>
    <cfRule type="cellIs" dxfId="2234" priority="2236" operator="lessThan">
      <formula>-105575</formula>
    </cfRule>
  </conditionalFormatting>
  <conditionalFormatting sqref="BB183:BB189">
    <cfRule type="cellIs" dxfId="2233" priority="2233" operator="lessThan">
      <formula>0</formula>
    </cfRule>
    <cfRule type="cellIs" dxfId="2232" priority="2234" operator="lessThan">
      <formula>-105575</formula>
    </cfRule>
  </conditionalFormatting>
  <conditionalFormatting sqref="BB183:BB189">
    <cfRule type="cellIs" dxfId="2231" priority="2231" operator="lessThan">
      <formula>0</formula>
    </cfRule>
    <cfRule type="cellIs" dxfId="2230" priority="2232" operator="lessThan">
      <formula>-105575</formula>
    </cfRule>
  </conditionalFormatting>
  <conditionalFormatting sqref="BB191:BB192">
    <cfRule type="cellIs" dxfId="2229" priority="2229" operator="lessThan">
      <formula>0</formula>
    </cfRule>
    <cfRule type="cellIs" dxfId="2228" priority="2230" operator="lessThan">
      <formula>-105575</formula>
    </cfRule>
  </conditionalFormatting>
  <conditionalFormatting sqref="BB191:BB192">
    <cfRule type="cellIs" dxfId="2227" priority="2227" operator="lessThan">
      <formula>0</formula>
    </cfRule>
    <cfRule type="cellIs" dxfId="2226" priority="2228" operator="lessThan">
      <formula>-105575</formula>
    </cfRule>
  </conditionalFormatting>
  <conditionalFormatting sqref="BB191:BB192">
    <cfRule type="cellIs" dxfId="2225" priority="2225" operator="lessThan">
      <formula>0</formula>
    </cfRule>
    <cfRule type="cellIs" dxfId="2224" priority="2226" operator="lessThan">
      <formula>-105575</formula>
    </cfRule>
  </conditionalFormatting>
  <conditionalFormatting sqref="BB194:BB195">
    <cfRule type="cellIs" dxfId="2223" priority="2223" operator="lessThan">
      <formula>0</formula>
    </cfRule>
    <cfRule type="cellIs" dxfId="2222" priority="2224" operator="lessThan">
      <formula>-105575</formula>
    </cfRule>
  </conditionalFormatting>
  <conditionalFormatting sqref="BB194:BB195">
    <cfRule type="cellIs" dxfId="2221" priority="2221" operator="lessThan">
      <formula>0</formula>
    </cfRule>
    <cfRule type="cellIs" dxfId="2220" priority="2222" operator="lessThan">
      <formula>-105575</formula>
    </cfRule>
  </conditionalFormatting>
  <conditionalFormatting sqref="BB194:BB195">
    <cfRule type="cellIs" dxfId="2219" priority="2219" operator="lessThan">
      <formula>0</formula>
    </cfRule>
    <cfRule type="cellIs" dxfId="2218" priority="2220" operator="lessThan">
      <formula>-105575</formula>
    </cfRule>
  </conditionalFormatting>
  <conditionalFormatting sqref="BB199:BB202">
    <cfRule type="cellIs" dxfId="2217" priority="2217" operator="lessThan">
      <formula>0</formula>
    </cfRule>
    <cfRule type="cellIs" dxfId="2216" priority="2218" operator="lessThan">
      <formula>-105575</formula>
    </cfRule>
  </conditionalFormatting>
  <conditionalFormatting sqref="BB199:BB202">
    <cfRule type="cellIs" dxfId="2215" priority="2215" operator="lessThan">
      <formula>0</formula>
    </cfRule>
    <cfRule type="cellIs" dxfId="2214" priority="2216" operator="lessThan">
      <formula>-105575</formula>
    </cfRule>
  </conditionalFormatting>
  <conditionalFormatting sqref="BB199:BB202">
    <cfRule type="cellIs" dxfId="2213" priority="2213" operator="lessThan">
      <formula>0</formula>
    </cfRule>
    <cfRule type="cellIs" dxfId="2212" priority="2214" operator="lessThan">
      <formula>-105575</formula>
    </cfRule>
  </conditionalFormatting>
  <conditionalFormatting sqref="BB204:BB208">
    <cfRule type="cellIs" dxfId="2211" priority="2211" operator="lessThan">
      <formula>0</formula>
    </cfRule>
    <cfRule type="cellIs" dxfId="2210" priority="2212" operator="lessThan">
      <formula>-105575</formula>
    </cfRule>
  </conditionalFormatting>
  <conditionalFormatting sqref="BB204:BB208">
    <cfRule type="cellIs" dxfId="2209" priority="2209" operator="lessThan">
      <formula>0</formula>
    </cfRule>
    <cfRule type="cellIs" dxfId="2208" priority="2210" operator="lessThan">
      <formula>-105575</formula>
    </cfRule>
  </conditionalFormatting>
  <conditionalFormatting sqref="BB204:BB208">
    <cfRule type="cellIs" dxfId="2207" priority="2207" operator="lessThan">
      <formula>0</formula>
    </cfRule>
    <cfRule type="cellIs" dxfId="2206" priority="2208" operator="lessThan">
      <formula>-105575</formula>
    </cfRule>
  </conditionalFormatting>
  <conditionalFormatting sqref="BB210:BB211">
    <cfRule type="cellIs" dxfId="2205" priority="2205" operator="lessThan">
      <formula>0</formula>
    </cfRule>
    <cfRule type="cellIs" dxfId="2204" priority="2206" operator="lessThan">
      <formula>-105575</formula>
    </cfRule>
  </conditionalFormatting>
  <conditionalFormatting sqref="BB210:BB211">
    <cfRule type="cellIs" dxfId="2203" priority="2203" operator="lessThan">
      <formula>0</formula>
    </cfRule>
    <cfRule type="cellIs" dxfId="2202" priority="2204" operator="lessThan">
      <formula>-105575</formula>
    </cfRule>
  </conditionalFormatting>
  <conditionalFormatting sqref="BB210:BB211">
    <cfRule type="cellIs" dxfId="2201" priority="2201" operator="lessThan">
      <formula>0</formula>
    </cfRule>
    <cfRule type="cellIs" dxfId="2200" priority="2202" operator="lessThan">
      <formula>-105575</formula>
    </cfRule>
  </conditionalFormatting>
  <conditionalFormatting sqref="BB214:BB219">
    <cfRule type="cellIs" dxfId="2199" priority="2199" operator="lessThan">
      <formula>0</formula>
    </cfRule>
    <cfRule type="cellIs" dxfId="2198" priority="2200" operator="lessThan">
      <formula>-105575</formula>
    </cfRule>
  </conditionalFormatting>
  <conditionalFormatting sqref="BB214:BB219">
    <cfRule type="cellIs" dxfId="2197" priority="2197" operator="lessThan">
      <formula>0</formula>
    </cfRule>
    <cfRule type="cellIs" dxfId="2196" priority="2198" operator="lessThan">
      <formula>-105575</formula>
    </cfRule>
  </conditionalFormatting>
  <conditionalFormatting sqref="BB214:BB219">
    <cfRule type="cellIs" dxfId="2195" priority="2195" operator="lessThan">
      <formula>0</formula>
    </cfRule>
    <cfRule type="cellIs" dxfId="2194" priority="2196" operator="lessThan">
      <formula>-105575</formula>
    </cfRule>
  </conditionalFormatting>
  <conditionalFormatting sqref="BB222:BB224">
    <cfRule type="cellIs" dxfId="2193" priority="2193" operator="lessThan">
      <formula>0</formula>
    </cfRule>
    <cfRule type="cellIs" dxfId="2192" priority="2194" operator="lessThan">
      <formula>-105575</formula>
    </cfRule>
  </conditionalFormatting>
  <conditionalFormatting sqref="BB222:BB224">
    <cfRule type="cellIs" dxfId="2191" priority="2191" operator="lessThan">
      <formula>0</formula>
    </cfRule>
    <cfRule type="cellIs" dxfId="2190" priority="2192" operator="lessThan">
      <formula>-105575</formula>
    </cfRule>
  </conditionalFormatting>
  <conditionalFormatting sqref="BB222:BB224">
    <cfRule type="cellIs" dxfId="2189" priority="2189" operator="lessThan">
      <formula>0</formula>
    </cfRule>
    <cfRule type="cellIs" dxfId="2188" priority="2190" operator="lessThan">
      <formula>-105575</formula>
    </cfRule>
  </conditionalFormatting>
  <conditionalFormatting sqref="BB227:BB230">
    <cfRule type="cellIs" dxfId="2187" priority="2187" operator="lessThan">
      <formula>0</formula>
    </cfRule>
    <cfRule type="cellIs" dxfId="2186" priority="2188" operator="lessThan">
      <formula>-105575</formula>
    </cfRule>
  </conditionalFormatting>
  <conditionalFormatting sqref="BB227:BB230">
    <cfRule type="cellIs" dxfId="2185" priority="2185" operator="lessThan">
      <formula>0</formula>
    </cfRule>
    <cfRule type="cellIs" dxfId="2184" priority="2186" operator="lessThan">
      <formula>-105575</formula>
    </cfRule>
  </conditionalFormatting>
  <conditionalFormatting sqref="BB227:BB230">
    <cfRule type="cellIs" dxfId="2183" priority="2183" operator="lessThan">
      <formula>0</formula>
    </cfRule>
    <cfRule type="cellIs" dxfId="2182" priority="2184" operator="lessThan">
      <formula>-105575</formula>
    </cfRule>
  </conditionalFormatting>
  <conditionalFormatting sqref="BB246:BB249">
    <cfRule type="cellIs" dxfId="2181" priority="2181" operator="lessThan">
      <formula>0</formula>
    </cfRule>
    <cfRule type="cellIs" dxfId="2180" priority="2182" operator="lessThan">
      <formula>-105575</formula>
    </cfRule>
  </conditionalFormatting>
  <conditionalFormatting sqref="BB246:BB249">
    <cfRule type="cellIs" dxfId="2179" priority="2179" operator="lessThan">
      <formula>0</formula>
    </cfRule>
    <cfRule type="cellIs" dxfId="2178" priority="2180" operator="lessThan">
      <formula>-105575</formula>
    </cfRule>
  </conditionalFormatting>
  <conditionalFormatting sqref="BB246:BB249">
    <cfRule type="cellIs" dxfId="2177" priority="2177" operator="lessThan">
      <formula>0</formula>
    </cfRule>
    <cfRule type="cellIs" dxfId="2176" priority="2178" operator="lessThan">
      <formula>-105575</formula>
    </cfRule>
  </conditionalFormatting>
  <conditionalFormatting sqref="BB246:BB249">
    <cfRule type="cellIs" dxfId="2175" priority="2175" operator="lessThan">
      <formula>0</formula>
    </cfRule>
    <cfRule type="cellIs" dxfId="2174" priority="2176" operator="lessThan">
      <formula>-105575</formula>
    </cfRule>
  </conditionalFormatting>
  <conditionalFormatting sqref="BB246:BB249">
    <cfRule type="cellIs" dxfId="2173" priority="2173" operator="lessThan">
      <formula>0</formula>
    </cfRule>
    <cfRule type="cellIs" dxfId="2172" priority="2174" operator="lessThan">
      <formula>-105575</formula>
    </cfRule>
  </conditionalFormatting>
  <conditionalFormatting sqref="BB246:BB249">
    <cfRule type="cellIs" dxfId="2171" priority="2171" operator="lessThan">
      <formula>0</formula>
    </cfRule>
    <cfRule type="cellIs" dxfId="2170" priority="2172" operator="lessThan">
      <formula>-105575</formula>
    </cfRule>
  </conditionalFormatting>
  <conditionalFormatting sqref="BB246:BB249">
    <cfRule type="cellIs" dxfId="2169" priority="2169" operator="lessThan">
      <formula>0</formula>
    </cfRule>
    <cfRule type="cellIs" dxfId="2168" priority="2170" operator="lessThan">
      <formula>-105575</formula>
    </cfRule>
  </conditionalFormatting>
  <conditionalFormatting sqref="BB246:BB249">
    <cfRule type="cellIs" dxfId="2167" priority="2167" operator="lessThan">
      <formula>0</formula>
    </cfRule>
    <cfRule type="cellIs" dxfId="2166" priority="2168" operator="lessThan">
      <formula>-105575</formula>
    </cfRule>
  </conditionalFormatting>
  <conditionalFormatting sqref="BB246:BB249">
    <cfRule type="cellIs" dxfId="2165" priority="2165" operator="lessThan">
      <formula>0</formula>
    </cfRule>
    <cfRule type="cellIs" dxfId="2164" priority="2166" operator="lessThan">
      <formula>-105575</formula>
    </cfRule>
  </conditionalFormatting>
  <conditionalFormatting sqref="BB251:BB253">
    <cfRule type="cellIs" dxfId="2163" priority="2163" operator="lessThan">
      <formula>0</formula>
    </cfRule>
    <cfRule type="cellIs" dxfId="2162" priority="2164" operator="lessThan">
      <formula>-105575</formula>
    </cfRule>
  </conditionalFormatting>
  <conditionalFormatting sqref="BB251:BB253">
    <cfRule type="cellIs" dxfId="2161" priority="2161" operator="lessThan">
      <formula>0</formula>
    </cfRule>
    <cfRule type="cellIs" dxfId="2160" priority="2162" operator="lessThan">
      <formula>-105575</formula>
    </cfRule>
  </conditionalFormatting>
  <conditionalFormatting sqref="BB251:BB253">
    <cfRule type="cellIs" dxfId="2159" priority="2159" operator="lessThan">
      <formula>0</formula>
    </cfRule>
    <cfRule type="cellIs" dxfId="2158" priority="2160" operator="lessThan">
      <formula>-105575</formula>
    </cfRule>
  </conditionalFormatting>
  <conditionalFormatting sqref="BB251:BB253">
    <cfRule type="cellIs" dxfId="2157" priority="2157" operator="lessThan">
      <formula>0</formula>
    </cfRule>
    <cfRule type="cellIs" dxfId="2156" priority="2158" operator="lessThan">
      <formula>-105575</formula>
    </cfRule>
  </conditionalFormatting>
  <conditionalFormatting sqref="BB251:BB253">
    <cfRule type="cellIs" dxfId="2155" priority="2155" operator="lessThan">
      <formula>0</formula>
    </cfRule>
    <cfRule type="cellIs" dxfId="2154" priority="2156" operator="lessThan">
      <formula>-105575</formula>
    </cfRule>
  </conditionalFormatting>
  <conditionalFormatting sqref="BB251:BB253">
    <cfRule type="cellIs" dxfId="2153" priority="2153" operator="lessThan">
      <formula>0</formula>
    </cfRule>
    <cfRule type="cellIs" dxfId="2152" priority="2154" operator="lessThan">
      <formula>-105575</formula>
    </cfRule>
  </conditionalFormatting>
  <conditionalFormatting sqref="BB251:BB253">
    <cfRule type="cellIs" dxfId="2151" priority="2151" operator="lessThan">
      <formula>0</formula>
    </cfRule>
    <cfRule type="cellIs" dxfId="2150" priority="2152" operator="lessThan">
      <formula>-105575</formula>
    </cfRule>
  </conditionalFormatting>
  <conditionalFormatting sqref="BB251:BB253">
    <cfRule type="cellIs" dxfId="2149" priority="2149" operator="lessThan">
      <formula>0</formula>
    </cfRule>
    <cfRule type="cellIs" dxfId="2148" priority="2150" operator="lessThan">
      <formula>-105575</formula>
    </cfRule>
  </conditionalFormatting>
  <conditionalFormatting sqref="BB251:BB253">
    <cfRule type="cellIs" dxfId="2147" priority="2147" operator="lessThan">
      <formula>0</formula>
    </cfRule>
    <cfRule type="cellIs" dxfId="2146" priority="2148" operator="lessThan">
      <formula>-105575</formula>
    </cfRule>
  </conditionalFormatting>
  <conditionalFormatting sqref="BB255:BB257">
    <cfRule type="cellIs" dxfId="2145" priority="2145" operator="lessThan">
      <formula>0</formula>
    </cfRule>
    <cfRule type="cellIs" dxfId="2144" priority="2146" operator="lessThan">
      <formula>-105575</formula>
    </cfRule>
  </conditionalFormatting>
  <conditionalFormatting sqref="BB255:BB257">
    <cfRule type="cellIs" dxfId="2143" priority="2143" operator="lessThan">
      <formula>0</formula>
    </cfRule>
    <cfRule type="cellIs" dxfId="2142" priority="2144" operator="lessThan">
      <formula>-105575</formula>
    </cfRule>
  </conditionalFormatting>
  <conditionalFormatting sqref="BB255:BB257">
    <cfRule type="cellIs" dxfId="2141" priority="2141" operator="lessThan">
      <formula>0</formula>
    </cfRule>
    <cfRule type="cellIs" dxfId="2140" priority="2142" operator="lessThan">
      <formula>-105575</formula>
    </cfRule>
  </conditionalFormatting>
  <conditionalFormatting sqref="BB255:BB257">
    <cfRule type="cellIs" dxfId="2139" priority="2139" operator="lessThan">
      <formula>0</formula>
    </cfRule>
    <cfRule type="cellIs" dxfId="2138" priority="2140" operator="lessThan">
      <formula>-105575</formula>
    </cfRule>
  </conditionalFormatting>
  <conditionalFormatting sqref="BB255:BB257">
    <cfRule type="cellIs" dxfId="2137" priority="2137" operator="lessThan">
      <formula>0</formula>
    </cfRule>
    <cfRule type="cellIs" dxfId="2136" priority="2138" operator="lessThan">
      <formula>-105575</formula>
    </cfRule>
  </conditionalFormatting>
  <conditionalFormatting sqref="BB255:BB257">
    <cfRule type="cellIs" dxfId="2135" priority="2135" operator="lessThan">
      <formula>0</formula>
    </cfRule>
    <cfRule type="cellIs" dxfId="2134" priority="2136" operator="lessThan">
      <formula>-105575</formula>
    </cfRule>
  </conditionalFormatting>
  <conditionalFormatting sqref="BB255:BB257">
    <cfRule type="cellIs" dxfId="2133" priority="2133" operator="lessThan">
      <formula>0</formula>
    </cfRule>
    <cfRule type="cellIs" dxfId="2132" priority="2134" operator="lessThan">
      <formula>-105575</formula>
    </cfRule>
  </conditionalFormatting>
  <conditionalFormatting sqref="BB255:BB257">
    <cfRule type="cellIs" dxfId="2131" priority="2131" operator="lessThan">
      <formula>0</formula>
    </cfRule>
    <cfRule type="cellIs" dxfId="2130" priority="2132" operator="lessThan">
      <formula>-105575</formula>
    </cfRule>
  </conditionalFormatting>
  <conditionalFormatting sqref="BB255:BB257">
    <cfRule type="cellIs" dxfId="2129" priority="2129" operator="lessThan">
      <formula>0</formula>
    </cfRule>
    <cfRule type="cellIs" dxfId="2128" priority="2130" operator="lessThan">
      <formula>-105575</formula>
    </cfRule>
  </conditionalFormatting>
  <conditionalFormatting sqref="BB260:BB262">
    <cfRule type="cellIs" dxfId="2127" priority="2127" operator="lessThan">
      <formula>0</formula>
    </cfRule>
    <cfRule type="cellIs" dxfId="2126" priority="2128" operator="lessThan">
      <formula>-105575</formula>
    </cfRule>
  </conditionalFormatting>
  <conditionalFormatting sqref="BB260:BB262">
    <cfRule type="cellIs" dxfId="2125" priority="2125" operator="lessThan">
      <formula>0</formula>
    </cfRule>
    <cfRule type="cellIs" dxfId="2124" priority="2126" operator="lessThan">
      <formula>-105575</formula>
    </cfRule>
  </conditionalFormatting>
  <conditionalFormatting sqref="BB260:BB262">
    <cfRule type="cellIs" dxfId="2123" priority="2123" operator="lessThan">
      <formula>0</formula>
    </cfRule>
    <cfRule type="cellIs" dxfId="2122" priority="2124" operator="lessThan">
      <formula>-105575</formula>
    </cfRule>
  </conditionalFormatting>
  <conditionalFormatting sqref="BB260:BB262">
    <cfRule type="cellIs" dxfId="2121" priority="2121" operator="lessThan">
      <formula>0</formula>
    </cfRule>
    <cfRule type="cellIs" dxfId="2120" priority="2122" operator="lessThan">
      <formula>-105575</formula>
    </cfRule>
  </conditionalFormatting>
  <conditionalFormatting sqref="BB260:BB262">
    <cfRule type="cellIs" dxfId="2119" priority="2119" operator="lessThan">
      <formula>0</formula>
    </cfRule>
    <cfRule type="cellIs" dxfId="2118" priority="2120" operator="lessThan">
      <formula>-105575</formula>
    </cfRule>
  </conditionalFormatting>
  <conditionalFormatting sqref="BB260:BB262">
    <cfRule type="cellIs" dxfId="2117" priority="2117" operator="lessThan">
      <formula>0</formula>
    </cfRule>
    <cfRule type="cellIs" dxfId="2116" priority="2118" operator="lessThan">
      <formula>-105575</formula>
    </cfRule>
  </conditionalFormatting>
  <conditionalFormatting sqref="BB260:BB262">
    <cfRule type="cellIs" dxfId="2115" priority="2115" operator="lessThan">
      <formula>0</formula>
    </cfRule>
    <cfRule type="cellIs" dxfId="2114" priority="2116" operator="lessThan">
      <formula>-105575</formula>
    </cfRule>
  </conditionalFormatting>
  <conditionalFormatting sqref="BB260:BB262">
    <cfRule type="cellIs" dxfId="2113" priority="2113" operator="lessThan">
      <formula>0</formula>
    </cfRule>
    <cfRule type="cellIs" dxfId="2112" priority="2114" operator="lessThan">
      <formula>-105575</formula>
    </cfRule>
  </conditionalFormatting>
  <conditionalFormatting sqref="BB260:BB262">
    <cfRule type="cellIs" dxfId="2111" priority="2111" operator="lessThan">
      <formula>0</formula>
    </cfRule>
    <cfRule type="cellIs" dxfId="2110" priority="2112" operator="lessThan">
      <formula>-105575</formula>
    </cfRule>
  </conditionalFormatting>
  <conditionalFormatting sqref="BB264:BB267">
    <cfRule type="cellIs" dxfId="2109" priority="2109" operator="lessThan">
      <formula>0</formula>
    </cfRule>
    <cfRule type="cellIs" dxfId="2108" priority="2110" operator="lessThan">
      <formula>-105575</formula>
    </cfRule>
  </conditionalFormatting>
  <conditionalFormatting sqref="BB264:BB267">
    <cfRule type="cellIs" dxfId="2107" priority="2107" operator="lessThan">
      <formula>0</formula>
    </cfRule>
    <cfRule type="cellIs" dxfId="2106" priority="2108" operator="lessThan">
      <formula>-105575</formula>
    </cfRule>
  </conditionalFormatting>
  <conditionalFormatting sqref="BB264:BB267">
    <cfRule type="cellIs" dxfId="2105" priority="2105" operator="lessThan">
      <formula>0</formula>
    </cfRule>
    <cfRule type="cellIs" dxfId="2104" priority="2106" operator="lessThan">
      <formula>-105575</formula>
    </cfRule>
  </conditionalFormatting>
  <conditionalFormatting sqref="BB264:BB267">
    <cfRule type="cellIs" dxfId="2103" priority="2103" operator="lessThan">
      <formula>0</formula>
    </cfRule>
    <cfRule type="cellIs" dxfId="2102" priority="2104" operator="lessThan">
      <formula>-105575</formula>
    </cfRule>
  </conditionalFormatting>
  <conditionalFormatting sqref="BB264:BB267">
    <cfRule type="cellIs" dxfId="2101" priority="2101" operator="lessThan">
      <formula>0</formula>
    </cfRule>
    <cfRule type="cellIs" dxfId="2100" priority="2102" operator="lessThan">
      <formula>-105575</formula>
    </cfRule>
  </conditionalFormatting>
  <conditionalFormatting sqref="BB264:BB267">
    <cfRule type="cellIs" dxfId="2099" priority="2099" operator="lessThan">
      <formula>0</formula>
    </cfRule>
    <cfRule type="cellIs" dxfId="2098" priority="2100" operator="lessThan">
      <formula>-105575</formula>
    </cfRule>
  </conditionalFormatting>
  <conditionalFormatting sqref="BB264:BB267">
    <cfRule type="cellIs" dxfId="2097" priority="2097" operator="lessThan">
      <formula>0</formula>
    </cfRule>
    <cfRule type="cellIs" dxfId="2096" priority="2098" operator="lessThan">
      <formula>-105575</formula>
    </cfRule>
  </conditionalFormatting>
  <conditionalFormatting sqref="BB264:BB267">
    <cfRule type="cellIs" dxfId="2095" priority="2095" operator="lessThan">
      <formula>0</formula>
    </cfRule>
    <cfRule type="cellIs" dxfId="2094" priority="2096" operator="lessThan">
      <formula>-105575</formula>
    </cfRule>
  </conditionalFormatting>
  <conditionalFormatting sqref="BB264:BB267">
    <cfRule type="cellIs" dxfId="2093" priority="2093" operator="lessThan">
      <formula>0</formula>
    </cfRule>
    <cfRule type="cellIs" dxfId="2092" priority="2094" operator="lessThan">
      <formula>-105575</formula>
    </cfRule>
  </conditionalFormatting>
  <conditionalFormatting sqref="BB270:BB272">
    <cfRule type="cellIs" dxfId="2091" priority="2091" operator="lessThan">
      <formula>0</formula>
    </cfRule>
    <cfRule type="cellIs" dxfId="2090" priority="2092" operator="lessThan">
      <formula>-105575</formula>
    </cfRule>
  </conditionalFormatting>
  <conditionalFormatting sqref="BB270:BB272">
    <cfRule type="cellIs" dxfId="2089" priority="2089" operator="lessThan">
      <formula>0</formula>
    </cfRule>
    <cfRule type="cellIs" dxfId="2088" priority="2090" operator="lessThan">
      <formula>-105575</formula>
    </cfRule>
  </conditionalFormatting>
  <conditionalFormatting sqref="BB270:BB272">
    <cfRule type="cellIs" dxfId="2087" priority="2087" operator="lessThan">
      <formula>0</formula>
    </cfRule>
    <cfRule type="cellIs" dxfId="2086" priority="2088" operator="lessThan">
      <formula>-105575</formula>
    </cfRule>
  </conditionalFormatting>
  <conditionalFormatting sqref="BB270:BB272">
    <cfRule type="cellIs" dxfId="2085" priority="2085" operator="lessThan">
      <formula>0</formula>
    </cfRule>
    <cfRule type="cellIs" dxfId="2084" priority="2086" operator="lessThan">
      <formula>-105575</formula>
    </cfRule>
  </conditionalFormatting>
  <conditionalFormatting sqref="BB270:BB272">
    <cfRule type="cellIs" dxfId="2083" priority="2083" operator="lessThan">
      <formula>0</formula>
    </cfRule>
    <cfRule type="cellIs" dxfId="2082" priority="2084" operator="lessThan">
      <formula>-105575</formula>
    </cfRule>
  </conditionalFormatting>
  <conditionalFormatting sqref="BB270:BB272">
    <cfRule type="cellIs" dxfId="2081" priority="2081" operator="lessThan">
      <formula>0</formula>
    </cfRule>
    <cfRule type="cellIs" dxfId="2080" priority="2082" operator="lessThan">
      <formula>-105575</formula>
    </cfRule>
  </conditionalFormatting>
  <conditionalFormatting sqref="BB270:BB272">
    <cfRule type="cellIs" dxfId="2079" priority="2079" operator="lessThan">
      <formula>0</formula>
    </cfRule>
    <cfRule type="cellIs" dxfId="2078" priority="2080" operator="lessThan">
      <formula>-105575</formula>
    </cfRule>
  </conditionalFormatting>
  <conditionalFormatting sqref="BB270:BB272">
    <cfRule type="cellIs" dxfId="2077" priority="2077" operator="lessThan">
      <formula>0</formula>
    </cfRule>
    <cfRule type="cellIs" dxfId="2076" priority="2078" operator="lessThan">
      <formula>-105575</formula>
    </cfRule>
  </conditionalFormatting>
  <conditionalFormatting sqref="BB270:BB272">
    <cfRule type="cellIs" dxfId="2075" priority="2075" operator="lessThan">
      <formula>0</formula>
    </cfRule>
    <cfRule type="cellIs" dxfId="2074" priority="2076" operator="lessThan">
      <formula>-105575</formula>
    </cfRule>
  </conditionalFormatting>
  <conditionalFormatting sqref="BB274:BB275">
    <cfRule type="cellIs" dxfId="2073" priority="2073" operator="lessThan">
      <formula>0</formula>
    </cfRule>
    <cfRule type="cellIs" dxfId="2072" priority="2074" operator="lessThan">
      <formula>-105575</formula>
    </cfRule>
  </conditionalFormatting>
  <conditionalFormatting sqref="BB274:BB275">
    <cfRule type="cellIs" dxfId="2071" priority="2071" operator="lessThan">
      <formula>0</formula>
    </cfRule>
    <cfRule type="cellIs" dxfId="2070" priority="2072" operator="lessThan">
      <formula>-105575</formula>
    </cfRule>
  </conditionalFormatting>
  <conditionalFormatting sqref="BB274:BB275">
    <cfRule type="cellIs" dxfId="2069" priority="2069" operator="lessThan">
      <formula>0</formula>
    </cfRule>
    <cfRule type="cellIs" dxfId="2068" priority="2070" operator="lessThan">
      <formula>-105575</formula>
    </cfRule>
  </conditionalFormatting>
  <conditionalFormatting sqref="BB274:BB275">
    <cfRule type="cellIs" dxfId="2067" priority="2067" operator="lessThan">
      <formula>0</formula>
    </cfRule>
    <cfRule type="cellIs" dxfId="2066" priority="2068" operator="lessThan">
      <formula>-105575</formula>
    </cfRule>
  </conditionalFormatting>
  <conditionalFormatting sqref="BB274:BB275">
    <cfRule type="cellIs" dxfId="2065" priority="2065" operator="lessThan">
      <formula>0</formula>
    </cfRule>
    <cfRule type="cellIs" dxfId="2064" priority="2066" operator="lessThan">
      <formula>-105575</formula>
    </cfRule>
  </conditionalFormatting>
  <conditionalFormatting sqref="BB274:BB275">
    <cfRule type="cellIs" dxfId="2063" priority="2063" operator="lessThan">
      <formula>0</formula>
    </cfRule>
    <cfRule type="cellIs" dxfId="2062" priority="2064" operator="lessThan">
      <formula>-105575</formula>
    </cfRule>
  </conditionalFormatting>
  <conditionalFormatting sqref="BB274:BB275">
    <cfRule type="cellIs" dxfId="2061" priority="2061" operator="lessThan">
      <formula>0</formula>
    </cfRule>
    <cfRule type="cellIs" dxfId="2060" priority="2062" operator="lessThan">
      <formula>-105575</formula>
    </cfRule>
  </conditionalFormatting>
  <conditionalFormatting sqref="BB274:BB275">
    <cfRule type="cellIs" dxfId="2059" priority="2059" operator="lessThan">
      <formula>0</formula>
    </cfRule>
    <cfRule type="cellIs" dxfId="2058" priority="2060" operator="lessThan">
      <formula>-105575</formula>
    </cfRule>
  </conditionalFormatting>
  <conditionalFormatting sqref="BB274:BB275">
    <cfRule type="cellIs" dxfId="2057" priority="2057" operator="lessThan">
      <formula>0</formula>
    </cfRule>
    <cfRule type="cellIs" dxfId="2056" priority="2058" operator="lessThan">
      <formula>-105575</formula>
    </cfRule>
  </conditionalFormatting>
  <conditionalFormatting sqref="BB278:BB282">
    <cfRule type="cellIs" dxfId="2055" priority="2055" operator="lessThan">
      <formula>0</formula>
    </cfRule>
    <cfRule type="cellIs" dxfId="2054" priority="2056" operator="lessThan">
      <formula>-105575</formula>
    </cfRule>
  </conditionalFormatting>
  <conditionalFormatting sqref="BB278:BB282">
    <cfRule type="cellIs" dxfId="2053" priority="2053" operator="lessThan">
      <formula>0</formula>
    </cfRule>
    <cfRule type="cellIs" dxfId="2052" priority="2054" operator="lessThan">
      <formula>-105575</formula>
    </cfRule>
  </conditionalFormatting>
  <conditionalFormatting sqref="BB278:BB282">
    <cfRule type="cellIs" dxfId="2051" priority="2051" operator="lessThan">
      <formula>0</formula>
    </cfRule>
    <cfRule type="cellIs" dxfId="2050" priority="2052" operator="lessThan">
      <formula>-105575</formula>
    </cfRule>
  </conditionalFormatting>
  <conditionalFormatting sqref="BB278:BB282">
    <cfRule type="cellIs" dxfId="2049" priority="2049" operator="lessThan">
      <formula>0</formula>
    </cfRule>
    <cfRule type="cellIs" dxfId="2048" priority="2050" operator="lessThan">
      <formula>-105575</formula>
    </cfRule>
  </conditionalFormatting>
  <conditionalFormatting sqref="BB278:BB282">
    <cfRule type="cellIs" dxfId="2047" priority="2047" operator="lessThan">
      <formula>0</formula>
    </cfRule>
    <cfRule type="cellIs" dxfId="2046" priority="2048" operator="lessThan">
      <formula>-105575</formula>
    </cfRule>
  </conditionalFormatting>
  <conditionalFormatting sqref="BB278:BB282">
    <cfRule type="cellIs" dxfId="2045" priority="2045" operator="lessThan">
      <formula>0</formula>
    </cfRule>
    <cfRule type="cellIs" dxfId="2044" priority="2046" operator="lessThan">
      <formula>-105575</formula>
    </cfRule>
  </conditionalFormatting>
  <conditionalFormatting sqref="BB278:BB282">
    <cfRule type="cellIs" dxfId="2043" priority="2043" operator="lessThan">
      <formula>0</formula>
    </cfRule>
    <cfRule type="cellIs" dxfId="2042" priority="2044" operator="lessThan">
      <formula>-105575</formula>
    </cfRule>
  </conditionalFormatting>
  <conditionalFormatting sqref="BB278:BB282">
    <cfRule type="cellIs" dxfId="2041" priority="2041" operator="lessThan">
      <formula>0</formula>
    </cfRule>
    <cfRule type="cellIs" dxfId="2040" priority="2042" operator="lessThan">
      <formula>-105575</formula>
    </cfRule>
  </conditionalFormatting>
  <conditionalFormatting sqref="BB278:BB282">
    <cfRule type="cellIs" dxfId="2039" priority="2039" operator="lessThan">
      <formula>0</formula>
    </cfRule>
    <cfRule type="cellIs" dxfId="2038" priority="2040" operator="lessThan">
      <formula>-105575</formula>
    </cfRule>
  </conditionalFormatting>
  <conditionalFormatting sqref="BB285:BB288">
    <cfRule type="cellIs" dxfId="2037" priority="2037" operator="lessThan">
      <formula>0</formula>
    </cfRule>
    <cfRule type="cellIs" dxfId="2036" priority="2038" operator="lessThan">
      <formula>-105575</formula>
    </cfRule>
  </conditionalFormatting>
  <conditionalFormatting sqref="BB285:BB288">
    <cfRule type="cellIs" dxfId="2035" priority="2035" operator="lessThan">
      <formula>0</formula>
    </cfRule>
    <cfRule type="cellIs" dxfId="2034" priority="2036" operator="lessThan">
      <formula>-105575</formula>
    </cfRule>
  </conditionalFormatting>
  <conditionalFormatting sqref="BB285:BB288">
    <cfRule type="cellIs" dxfId="2033" priority="2033" operator="lessThan">
      <formula>0</formula>
    </cfRule>
    <cfRule type="cellIs" dxfId="2032" priority="2034" operator="lessThan">
      <formula>-105575</formula>
    </cfRule>
  </conditionalFormatting>
  <conditionalFormatting sqref="BB285:BB288">
    <cfRule type="cellIs" dxfId="2031" priority="2031" operator="lessThan">
      <formula>0</formula>
    </cfRule>
    <cfRule type="cellIs" dxfId="2030" priority="2032" operator="lessThan">
      <formula>-105575</formula>
    </cfRule>
  </conditionalFormatting>
  <conditionalFormatting sqref="BB285:BB288">
    <cfRule type="cellIs" dxfId="2029" priority="2029" operator="lessThan">
      <formula>0</formula>
    </cfRule>
    <cfRule type="cellIs" dxfId="2028" priority="2030" operator="lessThan">
      <formula>-105575</formula>
    </cfRule>
  </conditionalFormatting>
  <conditionalFormatting sqref="BB285:BB288">
    <cfRule type="cellIs" dxfId="2027" priority="2027" operator="lessThan">
      <formula>0</formula>
    </cfRule>
    <cfRule type="cellIs" dxfId="2026" priority="2028" operator="lessThan">
      <formula>-105575</formula>
    </cfRule>
  </conditionalFormatting>
  <conditionalFormatting sqref="BB285:BB288">
    <cfRule type="cellIs" dxfId="2025" priority="2025" operator="lessThan">
      <formula>0</formula>
    </cfRule>
    <cfRule type="cellIs" dxfId="2024" priority="2026" operator="lessThan">
      <formula>-105575</formula>
    </cfRule>
  </conditionalFormatting>
  <conditionalFormatting sqref="BB285:BB288">
    <cfRule type="cellIs" dxfId="2023" priority="2023" operator="lessThan">
      <formula>0</formula>
    </cfRule>
    <cfRule type="cellIs" dxfId="2022" priority="2024" operator="lessThan">
      <formula>-105575</formula>
    </cfRule>
  </conditionalFormatting>
  <conditionalFormatting sqref="BB285:BB288">
    <cfRule type="cellIs" dxfId="2021" priority="2021" operator="lessThan">
      <formula>0</formula>
    </cfRule>
    <cfRule type="cellIs" dxfId="2020" priority="2022" operator="lessThan">
      <formula>-105575</formula>
    </cfRule>
  </conditionalFormatting>
  <conditionalFormatting sqref="BB203 BB220:BB221 BB235:BB243 BB231:BB233 BB212:BB213 BB225:BB226">
    <cfRule type="cellIs" dxfId="2019" priority="2019" operator="lessThan">
      <formula>0</formula>
    </cfRule>
    <cfRule type="cellIs" dxfId="2018" priority="2020" operator="lessThan">
      <formula>-105575</formula>
    </cfRule>
  </conditionalFormatting>
  <conditionalFormatting sqref="BB220 BB212:BB213 BB235:BB238 BB240:BB243 BB225:BB226 BB231:BB233">
    <cfRule type="cellIs" dxfId="2017" priority="2017" operator="lessThan">
      <formula>0</formula>
    </cfRule>
    <cfRule type="cellIs" dxfId="2016" priority="2018" operator="lessThan">
      <formula>-105575</formula>
    </cfRule>
  </conditionalFormatting>
  <conditionalFormatting sqref="BB220:BB221 BB243 BB226 BB231:BB236 BB238:BB241 BB203 BB213">
    <cfRule type="cellIs" dxfId="2015" priority="2015" operator="lessThan">
      <formula>0</formula>
    </cfRule>
    <cfRule type="cellIs" dxfId="2014" priority="2016" operator="lessThan">
      <formula>-105575</formula>
    </cfRule>
  </conditionalFormatting>
  <conditionalFormatting sqref="BB235:BB243 BB231:BB233 BB220 BB212:BB213 BB225:BB226">
    <cfRule type="cellIs" dxfId="2013" priority="2013" operator="lessThan">
      <formula>0</formula>
    </cfRule>
    <cfRule type="cellIs" dxfId="2012" priority="2014" operator="lessThan">
      <formula>-105575</formula>
    </cfRule>
  </conditionalFormatting>
  <conditionalFormatting sqref="BB220:BB221 BB237:BB243 BB203 BB231:BB235 BB212:BB213 BB225:BB226">
    <cfRule type="cellIs" dxfId="2011" priority="2011" operator="lessThan">
      <formula>0</formula>
    </cfRule>
    <cfRule type="cellIs" dxfId="2010" priority="2012" operator="lessThan">
      <formula>-105575</formula>
    </cfRule>
  </conditionalFormatting>
  <conditionalFormatting sqref="BB220:BB221 BB237:BB240 BB242:BB243 BB225:BB226 BB231:BB235">
    <cfRule type="cellIs" dxfId="2009" priority="2009" operator="lessThan">
      <formula>0</formula>
    </cfRule>
    <cfRule type="cellIs" dxfId="2008" priority="2010" operator="lessThan">
      <formula>-105575</formula>
    </cfRule>
  </conditionalFormatting>
  <conditionalFormatting sqref="BB212 BB231 BB233:BB238 BB240:BB243 BB225">
    <cfRule type="cellIs" dxfId="2007" priority="2007" operator="lessThan">
      <formula>0</formula>
    </cfRule>
    <cfRule type="cellIs" dxfId="2006" priority="2008" operator="lessThan">
      <formula>-105575</formula>
    </cfRule>
  </conditionalFormatting>
  <conditionalFormatting sqref="BB237:BB243 BB231:BB235 BB220:BB221 BB225:BB226">
    <cfRule type="cellIs" dxfId="2005" priority="2005" operator="lessThan">
      <formula>0</formula>
    </cfRule>
    <cfRule type="cellIs" dxfId="2004" priority="2006" operator="lessThan">
      <formula>-105575</formula>
    </cfRule>
  </conditionalFormatting>
  <conditionalFormatting sqref="BB233:BB237 BB231 BB239:BB243">
    <cfRule type="cellIs" dxfId="2003" priority="2003" operator="lessThan">
      <formula>0</formula>
    </cfRule>
    <cfRule type="cellIs" dxfId="2002" priority="2004" operator="lessThan">
      <formula>-105575</formula>
    </cfRule>
  </conditionalFormatting>
  <conditionalFormatting sqref="BB233:BB237 BB231 BB239:BB243">
    <cfRule type="cellIs" dxfId="2001" priority="2001" operator="lessThan">
      <formula>0</formula>
    </cfRule>
    <cfRule type="cellIs" dxfId="2000" priority="2002" operator="lessThan">
      <formula>-105575</formula>
    </cfRule>
  </conditionalFormatting>
  <conditionalFormatting sqref="BB119:BB128 BB106:BB117 BB101:BB104 BB80:BB98">
    <cfRule type="cellIs" dxfId="1999" priority="1999" operator="lessThan">
      <formula>0</formula>
    </cfRule>
    <cfRule type="cellIs" dxfId="1998" priority="2000" operator="lessThan">
      <formula>-105575</formula>
    </cfRule>
  </conditionalFormatting>
  <conditionalFormatting sqref="BB130 BB132 BB134">
    <cfRule type="cellIs" dxfId="1997" priority="1997" operator="lessThan">
      <formula>0</formula>
    </cfRule>
    <cfRule type="cellIs" dxfId="1996" priority="1998" operator="lessThan">
      <formula>-105575</formula>
    </cfRule>
  </conditionalFormatting>
  <conditionalFormatting sqref="BB130 BB132 BB134">
    <cfRule type="cellIs" dxfId="1995" priority="1995" operator="lessThan">
      <formula>0</formula>
    </cfRule>
    <cfRule type="cellIs" dxfId="1994" priority="1996" operator="lessThan">
      <formula>-105575</formula>
    </cfRule>
  </conditionalFormatting>
  <conditionalFormatting sqref="BB129 BB131 BB133 BB135">
    <cfRule type="cellIs" dxfId="1993" priority="1993" operator="lessThan">
      <formula>0</formula>
    </cfRule>
    <cfRule type="cellIs" dxfId="1992" priority="1994" operator="lessThan">
      <formula>-105575</formula>
    </cfRule>
  </conditionalFormatting>
  <conditionalFormatting sqref="BB140 BB145 BB142:BB143 BB137:BB138">
    <cfRule type="cellIs" dxfId="1991" priority="1991" operator="lessThan">
      <formula>0</formula>
    </cfRule>
    <cfRule type="cellIs" dxfId="1990" priority="1992" operator="lessThan">
      <formula>-105575</formula>
    </cfRule>
  </conditionalFormatting>
  <conditionalFormatting sqref="BB149">
    <cfRule type="cellIs" dxfId="1989" priority="1989" operator="lessThan">
      <formula>0</formula>
    </cfRule>
    <cfRule type="cellIs" dxfId="1988" priority="1990" operator="lessThan">
      <formula>-105575</formula>
    </cfRule>
  </conditionalFormatting>
  <conditionalFormatting sqref="BB129:BB138 BB140:BB149">
    <cfRule type="cellIs" dxfId="1987" priority="1987" operator="lessThan">
      <formula>0</formula>
    </cfRule>
    <cfRule type="cellIs" dxfId="1986" priority="1988" operator="lessThan">
      <formula>-105575</formula>
    </cfRule>
  </conditionalFormatting>
  <conditionalFormatting sqref="BB94:BB98 BB86:BB87 BB89:BB91 BB141:BB149 BB124:BB133 BB107:BB110 BB112:BB117 BB119:BB122 BB135:BB138 BB101:BB104 BB80:BB84">
    <cfRule type="cellIs" dxfId="1985" priority="1985" operator="lessThan">
      <formula>0</formula>
    </cfRule>
    <cfRule type="cellIs" dxfId="1984" priority="1986" operator="lessThan">
      <formula>-105575</formula>
    </cfRule>
  </conditionalFormatting>
  <conditionalFormatting sqref="BB129 BB131 BB133 BB135">
    <cfRule type="cellIs" dxfId="1983" priority="1983" operator="lessThan">
      <formula>0</formula>
    </cfRule>
    <cfRule type="cellIs" dxfId="1982" priority="1984" operator="lessThan">
      <formula>-105575</formula>
    </cfRule>
  </conditionalFormatting>
  <conditionalFormatting sqref="BB146 BB144 BB141">
    <cfRule type="cellIs" dxfId="1981" priority="1981" operator="lessThan">
      <formula>0</formula>
    </cfRule>
    <cfRule type="cellIs" dxfId="1980" priority="1982" operator="lessThan">
      <formula>-105575</formula>
    </cfRule>
  </conditionalFormatting>
  <conditionalFormatting sqref="BB146 BB144 BB141">
    <cfRule type="cellIs" dxfId="1979" priority="1979" operator="lessThan">
      <formula>0</formula>
    </cfRule>
    <cfRule type="cellIs" dxfId="1978" priority="1980" operator="lessThan">
      <formula>-105575</formula>
    </cfRule>
  </conditionalFormatting>
  <conditionalFormatting sqref="BB140 BB145 BB142:BB143 BB137:BB138">
    <cfRule type="cellIs" dxfId="1977" priority="1977" operator="lessThan">
      <formula>0</formula>
    </cfRule>
    <cfRule type="cellIs" dxfId="1976" priority="1978" operator="lessThan">
      <formula>-105575</formula>
    </cfRule>
  </conditionalFormatting>
  <conditionalFormatting sqref="BB149">
    <cfRule type="cellIs" dxfId="1975" priority="1975" operator="lessThan">
      <formula>0</formula>
    </cfRule>
    <cfRule type="cellIs" dxfId="1974" priority="1976" operator="lessThan">
      <formula>-105575</formula>
    </cfRule>
  </conditionalFormatting>
  <conditionalFormatting sqref="BB94:BB98 BB86:BB87 BB89:BB91 BB141:BB149 BB124:BB133 BB107:BB110 BB112:BB117 BB119:BB122 BB135:BB138 BB101:BB104 BB80:BB84">
    <cfRule type="cellIs" dxfId="1973" priority="1973" operator="lessThan">
      <formula>0</formula>
    </cfRule>
    <cfRule type="cellIs" dxfId="1972" priority="1974" operator="lessThan">
      <formula>-105575</formula>
    </cfRule>
  </conditionalFormatting>
  <conditionalFormatting sqref="BB246:BB249 BB262 BB267 BB279:BB282 BB285:BB288 BB274:BB275 BB306:BB309 BB311:BB325 BB327:BB330 BB332:BB341 BB344:BB347 BB349:BB353 BB355:BB358 BB360:BB384 BB386:BB389 BB392:BB395 BB397:BB411 BB413:BB416 BB418:BB432 BB434:BB437 BB439:BB453 BB455:BB458 BB460:BB469 BB7:BB10 BB12:BB14 BB17:BB18 BB21:BB24 BB26:BB28 BB30:BB36 BB38 BB41:BB43 BB46:BB49 BB51:BB55 BB57:BB59 BB62:BB76 BB251:BB253 BB255:BB257 BB293:BB304 BB264:BB265 BB260 BB290:BB291 BB270:BB272">
    <cfRule type="cellIs" dxfId="1971" priority="1971" operator="lessThan">
      <formula>0</formula>
    </cfRule>
    <cfRule type="cellIs" dxfId="1970" priority="1972" operator="lessThan">
      <formula>-105575</formula>
    </cfRule>
  </conditionalFormatting>
  <conditionalFormatting sqref="BB41">
    <cfRule type="cellIs" dxfId="1969" priority="1969" operator="lessThan">
      <formula>0</formula>
    </cfRule>
    <cfRule type="cellIs" dxfId="1968" priority="1970" operator="lessThan">
      <formula>-105575</formula>
    </cfRule>
  </conditionalFormatting>
  <conditionalFormatting sqref="BB152:BB155">
    <cfRule type="cellIs" dxfId="1967" priority="1967" operator="lessThan">
      <formula>0</formula>
    </cfRule>
    <cfRule type="cellIs" dxfId="1966" priority="1968" operator="lessThan">
      <formula>-105575</formula>
    </cfRule>
  </conditionalFormatting>
  <conditionalFormatting sqref="BB152:BB155">
    <cfRule type="cellIs" dxfId="1965" priority="1965" operator="lessThan">
      <formula>0</formula>
    </cfRule>
    <cfRule type="cellIs" dxfId="1964" priority="1966" operator="lessThan">
      <formula>-105575</formula>
    </cfRule>
  </conditionalFormatting>
  <conditionalFormatting sqref="BB152:BB155">
    <cfRule type="cellIs" dxfId="1963" priority="1963" operator="lessThan">
      <formula>0</formula>
    </cfRule>
    <cfRule type="cellIs" dxfId="1962" priority="1964" operator="lessThan">
      <formula>-105575</formula>
    </cfRule>
  </conditionalFormatting>
  <conditionalFormatting sqref="BB157:BB158">
    <cfRule type="cellIs" dxfId="1961" priority="1961" operator="lessThan">
      <formula>0</formula>
    </cfRule>
    <cfRule type="cellIs" dxfId="1960" priority="1962" operator="lessThan">
      <formula>-105575</formula>
    </cfRule>
  </conditionalFormatting>
  <conditionalFormatting sqref="BB157:BB158">
    <cfRule type="cellIs" dxfId="1959" priority="1959" operator="lessThan">
      <formula>0</formula>
    </cfRule>
    <cfRule type="cellIs" dxfId="1958" priority="1960" operator="lessThan">
      <formula>-105575</formula>
    </cfRule>
  </conditionalFormatting>
  <conditionalFormatting sqref="BB157:BB158">
    <cfRule type="cellIs" dxfId="1957" priority="1957" operator="lessThan">
      <formula>0</formula>
    </cfRule>
    <cfRule type="cellIs" dxfId="1956" priority="1958" operator="lessThan">
      <formula>-105575</formula>
    </cfRule>
  </conditionalFormatting>
  <conditionalFormatting sqref="BB160:BB161">
    <cfRule type="cellIs" dxfId="1955" priority="1955" operator="lessThan">
      <formula>0</formula>
    </cfRule>
    <cfRule type="cellIs" dxfId="1954" priority="1956" operator="lessThan">
      <formula>-105575</formula>
    </cfRule>
  </conditionalFormatting>
  <conditionalFormatting sqref="BB160:BB161">
    <cfRule type="cellIs" dxfId="1953" priority="1953" operator="lessThan">
      <formula>0</formula>
    </cfRule>
    <cfRule type="cellIs" dxfId="1952" priority="1954" operator="lessThan">
      <formula>-105575</formula>
    </cfRule>
  </conditionalFormatting>
  <conditionalFormatting sqref="BB160:BB161">
    <cfRule type="cellIs" dxfId="1951" priority="1951" operator="lessThan">
      <formula>0</formula>
    </cfRule>
    <cfRule type="cellIs" dxfId="1950" priority="1952" operator="lessThan">
      <formula>-105575</formula>
    </cfRule>
  </conditionalFormatting>
  <conditionalFormatting sqref="BB164:BB167">
    <cfRule type="cellIs" dxfId="1949" priority="1949" operator="lessThan">
      <formula>0</formula>
    </cfRule>
    <cfRule type="cellIs" dxfId="1948" priority="1950" operator="lessThan">
      <formula>-105575</formula>
    </cfRule>
  </conditionalFormatting>
  <conditionalFormatting sqref="BB164:BB167">
    <cfRule type="cellIs" dxfId="1947" priority="1947" operator="lessThan">
      <formula>0</formula>
    </cfRule>
    <cfRule type="cellIs" dxfId="1946" priority="1948" operator="lessThan">
      <formula>-105575</formula>
    </cfRule>
  </conditionalFormatting>
  <conditionalFormatting sqref="BB164:BB167">
    <cfRule type="cellIs" dxfId="1945" priority="1945" operator="lessThan">
      <formula>0</formula>
    </cfRule>
    <cfRule type="cellIs" dxfId="1944" priority="1946" operator="lessThan">
      <formula>-105575</formula>
    </cfRule>
  </conditionalFormatting>
  <conditionalFormatting sqref="BB169:BB177">
    <cfRule type="cellIs" dxfId="1943" priority="1943" operator="lessThan">
      <formula>0</formula>
    </cfRule>
    <cfRule type="cellIs" dxfId="1942" priority="1944" operator="lessThan">
      <formula>-105575</formula>
    </cfRule>
  </conditionalFormatting>
  <conditionalFormatting sqref="BB169:BB177">
    <cfRule type="cellIs" dxfId="1941" priority="1941" operator="lessThan">
      <formula>0</formula>
    </cfRule>
    <cfRule type="cellIs" dxfId="1940" priority="1942" operator="lessThan">
      <formula>-105575</formula>
    </cfRule>
  </conditionalFormatting>
  <conditionalFormatting sqref="BB169:BB177">
    <cfRule type="cellIs" dxfId="1939" priority="1939" operator="lessThan">
      <formula>0</formula>
    </cfRule>
    <cfRule type="cellIs" dxfId="1938" priority="1940" operator="lessThan">
      <formula>-105575</formula>
    </cfRule>
  </conditionalFormatting>
  <conditionalFormatting sqref="BB179:BB180">
    <cfRule type="cellIs" dxfId="1937" priority="1937" operator="lessThan">
      <formula>0</formula>
    </cfRule>
    <cfRule type="cellIs" dxfId="1936" priority="1938" operator="lessThan">
      <formula>-105575</formula>
    </cfRule>
  </conditionalFormatting>
  <conditionalFormatting sqref="BB179:BB180">
    <cfRule type="cellIs" dxfId="1935" priority="1935" operator="lessThan">
      <formula>0</formula>
    </cfRule>
    <cfRule type="cellIs" dxfId="1934" priority="1936" operator="lessThan">
      <formula>-105575</formula>
    </cfRule>
  </conditionalFormatting>
  <conditionalFormatting sqref="BB179:BB180">
    <cfRule type="cellIs" dxfId="1933" priority="1933" operator="lessThan">
      <formula>0</formula>
    </cfRule>
    <cfRule type="cellIs" dxfId="1932" priority="1934" operator="lessThan">
      <formula>-105575</formula>
    </cfRule>
  </conditionalFormatting>
  <conditionalFormatting sqref="BB183:BB189">
    <cfRule type="cellIs" dxfId="1931" priority="1931" operator="lessThan">
      <formula>0</formula>
    </cfRule>
    <cfRule type="cellIs" dxfId="1930" priority="1932" operator="lessThan">
      <formula>-105575</formula>
    </cfRule>
  </conditionalFormatting>
  <conditionalFormatting sqref="BB183:BB189">
    <cfRule type="cellIs" dxfId="1929" priority="1929" operator="lessThan">
      <formula>0</formula>
    </cfRule>
    <cfRule type="cellIs" dxfId="1928" priority="1930" operator="lessThan">
      <formula>-105575</formula>
    </cfRule>
  </conditionalFormatting>
  <conditionalFormatting sqref="BB183:BB189">
    <cfRule type="cellIs" dxfId="1927" priority="1927" operator="lessThan">
      <formula>0</formula>
    </cfRule>
    <cfRule type="cellIs" dxfId="1926" priority="1928" operator="lessThan">
      <formula>-105575</formula>
    </cfRule>
  </conditionalFormatting>
  <conditionalFormatting sqref="BB191:BB192">
    <cfRule type="cellIs" dxfId="1925" priority="1925" operator="lessThan">
      <formula>0</formula>
    </cfRule>
    <cfRule type="cellIs" dxfId="1924" priority="1926" operator="lessThan">
      <formula>-105575</formula>
    </cfRule>
  </conditionalFormatting>
  <conditionalFormatting sqref="BB191:BB192">
    <cfRule type="cellIs" dxfId="1923" priority="1923" operator="lessThan">
      <formula>0</formula>
    </cfRule>
    <cfRule type="cellIs" dxfId="1922" priority="1924" operator="lessThan">
      <formula>-105575</formula>
    </cfRule>
  </conditionalFormatting>
  <conditionalFormatting sqref="BB191:BB192">
    <cfRule type="cellIs" dxfId="1921" priority="1921" operator="lessThan">
      <formula>0</formula>
    </cfRule>
    <cfRule type="cellIs" dxfId="1920" priority="1922" operator="lessThan">
      <formula>-105575</formula>
    </cfRule>
  </conditionalFormatting>
  <conditionalFormatting sqref="BB194:BB195">
    <cfRule type="cellIs" dxfId="1919" priority="1919" operator="lessThan">
      <formula>0</formula>
    </cfRule>
    <cfRule type="cellIs" dxfId="1918" priority="1920" operator="lessThan">
      <formula>-105575</formula>
    </cfRule>
  </conditionalFormatting>
  <conditionalFormatting sqref="BB194:BB195">
    <cfRule type="cellIs" dxfId="1917" priority="1917" operator="lessThan">
      <formula>0</formula>
    </cfRule>
    <cfRule type="cellIs" dxfId="1916" priority="1918" operator="lessThan">
      <formula>-105575</formula>
    </cfRule>
  </conditionalFormatting>
  <conditionalFormatting sqref="BB194:BB195">
    <cfRule type="cellIs" dxfId="1915" priority="1915" operator="lessThan">
      <formula>0</formula>
    </cfRule>
    <cfRule type="cellIs" dxfId="1914" priority="1916" operator="lessThan">
      <formula>-105575</formula>
    </cfRule>
  </conditionalFormatting>
  <conditionalFormatting sqref="BB199:BB202">
    <cfRule type="cellIs" dxfId="1913" priority="1913" operator="lessThan">
      <formula>0</formula>
    </cfRule>
    <cfRule type="cellIs" dxfId="1912" priority="1914" operator="lessThan">
      <formula>-105575</formula>
    </cfRule>
  </conditionalFormatting>
  <conditionalFormatting sqref="BB199:BB202">
    <cfRule type="cellIs" dxfId="1911" priority="1911" operator="lessThan">
      <formula>0</formula>
    </cfRule>
    <cfRule type="cellIs" dxfId="1910" priority="1912" operator="lessThan">
      <formula>-105575</formula>
    </cfRule>
  </conditionalFormatting>
  <conditionalFormatting sqref="BB199:BB202">
    <cfRule type="cellIs" dxfId="1909" priority="1909" operator="lessThan">
      <formula>0</formula>
    </cfRule>
    <cfRule type="cellIs" dxfId="1908" priority="1910" operator="lessThan">
      <formula>-105575</formula>
    </cfRule>
  </conditionalFormatting>
  <conditionalFormatting sqref="BB204:BB208">
    <cfRule type="cellIs" dxfId="1907" priority="1907" operator="lessThan">
      <formula>0</formula>
    </cfRule>
    <cfRule type="cellIs" dxfId="1906" priority="1908" operator="lessThan">
      <formula>-105575</formula>
    </cfRule>
  </conditionalFormatting>
  <conditionalFormatting sqref="BB204:BB208">
    <cfRule type="cellIs" dxfId="1905" priority="1905" operator="lessThan">
      <formula>0</formula>
    </cfRule>
    <cfRule type="cellIs" dxfId="1904" priority="1906" operator="lessThan">
      <formula>-105575</formula>
    </cfRule>
  </conditionalFormatting>
  <conditionalFormatting sqref="BB204:BB208">
    <cfRule type="cellIs" dxfId="1903" priority="1903" operator="lessThan">
      <formula>0</formula>
    </cfRule>
    <cfRule type="cellIs" dxfId="1902" priority="1904" operator="lessThan">
      <formula>-105575</formula>
    </cfRule>
  </conditionalFormatting>
  <conditionalFormatting sqref="BB210:BB211">
    <cfRule type="cellIs" dxfId="1901" priority="1901" operator="lessThan">
      <formula>0</formula>
    </cfRule>
    <cfRule type="cellIs" dxfId="1900" priority="1902" operator="lessThan">
      <formula>-105575</formula>
    </cfRule>
  </conditionalFormatting>
  <conditionalFormatting sqref="BB210:BB211">
    <cfRule type="cellIs" dxfId="1899" priority="1899" operator="lessThan">
      <formula>0</formula>
    </cfRule>
    <cfRule type="cellIs" dxfId="1898" priority="1900" operator="lessThan">
      <formula>-105575</formula>
    </cfRule>
  </conditionalFormatting>
  <conditionalFormatting sqref="BB210:BB211">
    <cfRule type="cellIs" dxfId="1897" priority="1897" operator="lessThan">
      <formula>0</formula>
    </cfRule>
    <cfRule type="cellIs" dxfId="1896" priority="1898" operator="lessThan">
      <formula>-105575</formula>
    </cfRule>
  </conditionalFormatting>
  <conditionalFormatting sqref="BB214:BB219">
    <cfRule type="cellIs" dxfId="1895" priority="1895" operator="lessThan">
      <formula>0</formula>
    </cfRule>
    <cfRule type="cellIs" dxfId="1894" priority="1896" operator="lessThan">
      <formula>-105575</formula>
    </cfRule>
  </conditionalFormatting>
  <conditionalFormatting sqref="BB214:BB219">
    <cfRule type="cellIs" dxfId="1893" priority="1893" operator="lessThan">
      <formula>0</formula>
    </cfRule>
    <cfRule type="cellIs" dxfId="1892" priority="1894" operator="lessThan">
      <formula>-105575</formula>
    </cfRule>
  </conditionalFormatting>
  <conditionalFormatting sqref="BB214:BB219">
    <cfRule type="cellIs" dxfId="1891" priority="1891" operator="lessThan">
      <formula>0</formula>
    </cfRule>
    <cfRule type="cellIs" dxfId="1890" priority="1892" operator="lessThan">
      <formula>-105575</formula>
    </cfRule>
  </conditionalFormatting>
  <conditionalFormatting sqref="BB222:BB224">
    <cfRule type="cellIs" dxfId="1889" priority="1889" operator="lessThan">
      <formula>0</formula>
    </cfRule>
    <cfRule type="cellIs" dxfId="1888" priority="1890" operator="lessThan">
      <formula>-105575</formula>
    </cfRule>
  </conditionalFormatting>
  <conditionalFormatting sqref="BB222:BB224">
    <cfRule type="cellIs" dxfId="1887" priority="1887" operator="lessThan">
      <formula>0</formula>
    </cfRule>
    <cfRule type="cellIs" dxfId="1886" priority="1888" operator="lessThan">
      <formula>-105575</formula>
    </cfRule>
  </conditionalFormatting>
  <conditionalFormatting sqref="BB222:BB224">
    <cfRule type="cellIs" dxfId="1885" priority="1885" operator="lessThan">
      <formula>0</formula>
    </cfRule>
    <cfRule type="cellIs" dxfId="1884" priority="1886" operator="lessThan">
      <formula>-105575</formula>
    </cfRule>
  </conditionalFormatting>
  <conditionalFormatting sqref="BB227:BB230">
    <cfRule type="cellIs" dxfId="1883" priority="1883" operator="lessThan">
      <formula>0</formula>
    </cfRule>
    <cfRule type="cellIs" dxfId="1882" priority="1884" operator="lessThan">
      <formula>-105575</formula>
    </cfRule>
  </conditionalFormatting>
  <conditionalFormatting sqref="BB227:BB230">
    <cfRule type="cellIs" dxfId="1881" priority="1881" operator="lessThan">
      <formula>0</formula>
    </cfRule>
    <cfRule type="cellIs" dxfId="1880" priority="1882" operator="lessThan">
      <formula>-105575</formula>
    </cfRule>
  </conditionalFormatting>
  <conditionalFormatting sqref="BB227:BB230">
    <cfRule type="cellIs" dxfId="1879" priority="1879" operator="lessThan">
      <formula>0</formula>
    </cfRule>
    <cfRule type="cellIs" dxfId="1878" priority="1880" operator="lessThan">
      <formula>-105575</formula>
    </cfRule>
  </conditionalFormatting>
  <conditionalFormatting sqref="BB203 BB220:BB221 BB235:BB243 BB231:BB233 BB212:BB213 BB225:BB226">
    <cfRule type="cellIs" dxfId="1877" priority="1877" operator="lessThan">
      <formula>0</formula>
    </cfRule>
    <cfRule type="cellIs" dxfId="1876" priority="1878" operator="lessThan">
      <formula>-105575</formula>
    </cfRule>
  </conditionalFormatting>
  <conditionalFormatting sqref="BB220 BB212:BB213 BB235:BB238 BB240:BB243 BB225:BB226 BB231:BB233">
    <cfRule type="cellIs" dxfId="1875" priority="1875" operator="lessThan">
      <formula>0</formula>
    </cfRule>
    <cfRule type="cellIs" dxfId="1874" priority="1876" operator="lessThan">
      <formula>-105575</formula>
    </cfRule>
  </conditionalFormatting>
  <conditionalFormatting sqref="BB220:BB221 BB243 BB226 BB231:BB236 BB238:BB241 BB203 BB213">
    <cfRule type="cellIs" dxfId="1873" priority="1873" operator="lessThan">
      <formula>0</formula>
    </cfRule>
    <cfRule type="cellIs" dxfId="1872" priority="1874" operator="lessThan">
      <formula>-105575</formula>
    </cfRule>
  </conditionalFormatting>
  <conditionalFormatting sqref="BB235:BB243 BB231:BB233 BB220 BB212:BB213 BB225:BB226">
    <cfRule type="cellIs" dxfId="1871" priority="1871" operator="lessThan">
      <formula>0</formula>
    </cfRule>
    <cfRule type="cellIs" dxfId="1870" priority="1872" operator="lessThan">
      <formula>-105575</formula>
    </cfRule>
  </conditionalFormatting>
  <conditionalFormatting sqref="BB220:BB221 BB237:BB243 BB203 BB231:BB235 BB212:BB213 BB225:BB226">
    <cfRule type="cellIs" dxfId="1869" priority="1869" operator="lessThan">
      <formula>0</formula>
    </cfRule>
    <cfRule type="cellIs" dxfId="1868" priority="1870" operator="lessThan">
      <formula>-105575</formula>
    </cfRule>
  </conditionalFormatting>
  <conditionalFormatting sqref="BB220:BB221 BB237:BB240 BB242:BB243 BB225:BB226 BB231:BB235">
    <cfRule type="cellIs" dxfId="1867" priority="1867" operator="lessThan">
      <formula>0</formula>
    </cfRule>
    <cfRule type="cellIs" dxfId="1866" priority="1868" operator="lessThan">
      <formula>-105575</formula>
    </cfRule>
  </conditionalFormatting>
  <conditionalFormatting sqref="BB212 BB231 BB233:BB238 BB240:BB243 BB225">
    <cfRule type="cellIs" dxfId="1865" priority="1865" operator="lessThan">
      <formula>0</formula>
    </cfRule>
    <cfRule type="cellIs" dxfId="1864" priority="1866" operator="lessThan">
      <formula>-105575</formula>
    </cfRule>
  </conditionalFormatting>
  <conditionalFormatting sqref="BB237:BB243 BB231:BB235 BB220:BB221 BB225:BB226">
    <cfRule type="cellIs" dxfId="1863" priority="1863" operator="lessThan">
      <formula>0</formula>
    </cfRule>
    <cfRule type="cellIs" dxfId="1862" priority="1864" operator="lessThan">
      <formula>-105575</formula>
    </cfRule>
  </conditionalFormatting>
  <conditionalFormatting sqref="BB233:BB237 BB231 BB239:BB243">
    <cfRule type="cellIs" dxfId="1861" priority="1861" operator="lessThan">
      <formula>0</formula>
    </cfRule>
    <cfRule type="cellIs" dxfId="1860" priority="1862" operator="lessThan">
      <formula>-105575</formula>
    </cfRule>
  </conditionalFormatting>
  <conditionalFormatting sqref="BB233:BB237 BB231 BB239:BB243">
    <cfRule type="cellIs" dxfId="1859" priority="1859" operator="lessThan">
      <formula>0</formula>
    </cfRule>
    <cfRule type="cellIs" dxfId="1858" priority="1860" operator="lessThan">
      <formula>-105575</formula>
    </cfRule>
  </conditionalFormatting>
  <conditionalFormatting sqref="BB119:BB128 BB106:BB117 BB101:BB104 BB80:BB98">
    <cfRule type="cellIs" dxfId="1857" priority="1857" operator="lessThan">
      <formula>0</formula>
    </cfRule>
    <cfRule type="cellIs" dxfId="1856" priority="1858" operator="lessThan">
      <formula>-105575</formula>
    </cfRule>
  </conditionalFormatting>
  <conditionalFormatting sqref="BB130 BB132 BB134">
    <cfRule type="cellIs" dxfId="1855" priority="1855" operator="lessThan">
      <formula>0</formula>
    </cfRule>
    <cfRule type="cellIs" dxfId="1854" priority="1856" operator="lessThan">
      <formula>-105575</formula>
    </cfRule>
  </conditionalFormatting>
  <conditionalFormatting sqref="BB130 BB132 BB134">
    <cfRule type="cellIs" dxfId="1853" priority="1853" operator="lessThan">
      <formula>0</formula>
    </cfRule>
    <cfRule type="cellIs" dxfId="1852" priority="1854" operator="lessThan">
      <formula>-105575</formula>
    </cfRule>
  </conditionalFormatting>
  <conditionalFormatting sqref="BB129 BB131 BB133 BB135">
    <cfRule type="cellIs" dxfId="1851" priority="1851" operator="lessThan">
      <formula>0</formula>
    </cfRule>
    <cfRule type="cellIs" dxfId="1850" priority="1852" operator="lessThan">
      <formula>-105575</formula>
    </cfRule>
  </conditionalFormatting>
  <conditionalFormatting sqref="BB140 BB145 BB142:BB143 BB137:BB138">
    <cfRule type="cellIs" dxfId="1849" priority="1849" operator="lessThan">
      <formula>0</formula>
    </cfRule>
    <cfRule type="cellIs" dxfId="1848" priority="1850" operator="lessThan">
      <formula>-105575</formula>
    </cfRule>
  </conditionalFormatting>
  <conditionalFormatting sqref="BB149">
    <cfRule type="cellIs" dxfId="1847" priority="1847" operator="lessThan">
      <formula>0</formula>
    </cfRule>
    <cfRule type="cellIs" dxfId="1846" priority="1848" operator="lessThan">
      <formula>-105575</formula>
    </cfRule>
  </conditionalFormatting>
  <conditionalFormatting sqref="BB129:BB138 BB140:BB149">
    <cfRule type="cellIs" dxfId="1845" priority="1845" operator="lessThan">
      <formula>0</formula>
    </cfRule>
    <cfRule type="cellIs" dxfId="1844" priority="1846" operator="lessThan">
      <formula>-105575</formula>
    </cfRule>
  </conditionalFormatting>
  <conditionalFormatting sqref="BB94:BB98 BB86:BB87 BB89:BB91 BB141:BB149 BB124:BB133 BB107:BB110 BB112:BB117 BB119:BB122 BB135:BB138 BB101:BB104 BB80:BB84">
    <cfRule type="cellIs" dxfId="1843" priority="1843" operator="lessThan">
      <formula>0</formula>
    </cfRule>
    <cfRule type="cellIs" dxfId="1842" priority="1844" operator="lessThan">
      <formula>-105575</formula>
    </cfRule>
  </conditionalFormatting>
  <conditionalFormatting sqref="BB129 BB131 BB133 BB135">
    <cfRule type="cellIs" dxfId="1841" priority="1841" operator="lessThan">
      <formula>0</formula>
    </cfRule>
    <cfRule type="cellIs" dxfId="1840" priority="1842" operator="lessThan">
      <formula>-105575</formula>
    </cfRule>
  </conditionalFormatting>
  <conditionalFormatting sqref="BB146 BB144 BB141">
    <cfRule type="cellIs" dxfId="1839" priority="1839" operator="lessThan">
      <formula>0</formula>
    </cfRule>
    <cfRule type="cellIs" dxfId="1838" priority="1840" operator="lessThan">
      <formula>-105575</formula>
    </cfRule>
  </conditionalFormatting>
  <conditionalFormatting sqref="BB146 BB144 BB141">
    <cfRule type="cellIs" dxfId="1837" priority="1837" operator="lessThan">
      <formula>0</formula>
    </cfRule>
    <cfRule type="cellIs" dxfId="1836" priority="1838" operator="lessThan">
      <formula>-105575</formula>
    </cfRule>
  </conditionalFormatting>
  <conditionalFormatting sqref="BB140 BB145 BB142:BB143 BB137:BB138">
    <cfRule type="cellIs" dxfId="1835" priority="1835" operator="lessThan">
      <formula>0</formula>
    </cfRule>
    <cfRule type="cellIs" dxfId="1834" priority="1836" operator="lessThan">
      <formula>-105575</formula>
    </cfRule>
  </conditionalFormatting>
  <conditionalFormatting sqref="BB149">
    <cfRule type="cellIs" dxfId="1833" priority="1833" operator="lessThan">
      <formula>0</formula>
    </cfRule>
    <cfRule type="cellIs" dxfId="1832" priority="1834" operator="lessThan">
      <formula>-105575</formula>
    </cfRule>
  </conditionalFormatting>
  <conditionalFormatting sqref="BB94:BB98 BB86:BB87 BB89:BB91 BB141:BB149 BB124:BB133 BB107:BB110 BB112:BB117 BB119:BB122 BB135:BB138 BB101:BB104 BB80:BB84">
    <cfRule type="cellIs" dxfId="1831" priority="1831" operator="lessThan">
      <formula>0</formula>
    </cfRule>
    <cfRule type="cellIs" dxfId="1830" priority="1832" operator="lessThan">
      <formula>-105575</formula>
    </cfRule>
  </conditionalFormatting>
  <conditionalFormatting sqref="BB62:BB76 BB306:BB309 BB311:BB325 BB327:BB330 BB332:BB341 BB344:BB347 BB349:BB353 BB355:BB358 BB360:BB384 BB386:BB389 BB392:BB395 BB397:BB411 BB413:BB416 BB418:BB432 BB434:BB437 BB439:BB453 BB455:BB458 BB460:BB469 BB7:BB10 BB12:BB14 BB17:BB18 BB21:BB24 BB26:BB28 BB30:BB36 BB38 BB41:BB43 BB46:BB49 BB51:BB55 BB57:BB59 BB290:BB291 BB293:BB304">
    <cfRule type="cellIs" dxfId="1829" priority="1829" operator="lessThan">
      <formula>0</formula>
    </cfRule>
    <cfRule type="cellIs" dxfId="1828" priority="1830" operator="lessThan">
      <formula>-105575</formula>
    </cfRule>
  </conditionalFormatting>
  <conditionalFormatting sqref="BB41">
    <cfRule type="cellIs" dxfId="1827" priority="1827" operator="lessThan">
      <formula>0</formula>
    </cfRule>
    <cfRule type="cellIs" dxfId="1826" priority="1828" operator="lessThan">
      <formula>-105575</formula>
    </cfRule>
  </conditionalFormatting>
  <conditionalFormatting sqref="BB152:BB155">
    <cfRule type="cellIs" dxfId="1825" priority="1825" operator="lessThan">
      <formula>0</formula>
    </cfRule>
    <cfRule type="cellIs" dxfId="1824" priority="1826" operator="lessThan">
      <formula>-105575</formula>
    </cfRule>
  </conditionalFormatting>
  <conditionalFormatting sqref="BB152:BB155">
    <cfRule type="cellIs" dxfId="1823" priority="1823" operator="lessThan">
      <formula>0</formula>
    </cfRule>
    <cfRule type="cellIs" dxfId="1822" priority="1824" operator="lessThan">
      <formula>-105575</formula>
    </cfRule>
  </conditionalFormatting>
  <conditionalFormatting sqref="BB152:BB155">
    <cfRule type="cellIs" dxfId="1821" priority="1821" operator="lessThan">
      <formula>0</formula>
    </cfRule>
    <cfRule type="cellIs" dxfId="1820" priority="1822" operator="lessThan">
      <formula>-105575</formula>
    </cfRule>
  </conditionalFormatting>
  <conditionalFormatting sqref="BB157:BB158">
    <cfRule type="cellIs" dxfId="1819" priority="1819" operator="lessThan">
      <formula>0</formula>
    </cfRule>
    <cfRule type="cellIs" dxfId="1818" priority="1820" operator="lessThan">
      <formula>-105575</formula>
    </cfRule>
  </conditionalFormatting>
  <conditionalFormatting sqref="BB157:BB158">
    <cfRule type="cellIs" dxfId="1817" priority="1817" operator="lessThan">
      <formula>0</formula>
    </cfRule>
    <cfRule type="cellIs" dxfId="1816" priority="1818" operator="lessThan">
      <formula>-105575</formula>
    </cfRule>
  </conditionalFormatting>
  <conditionalFormatting sqref="BB157:BB158">
    <cfRule type="cellIs" dxfId="1815" priority="1815" operator="lessThan">
      <formula>0</formula>
    </cfRule>
    <cfRule type="cellIs" dxfId="1814" priority="1816" operator="lessThan">
      <formula>-105575</formula>
    </cfRule>
  </conditionalFormatting>
  <conditionalFormatting sqref="BB160:BB161">
    <cfRule type="cellIs" dxfId="1813" priority="1813" operator="lessThan">
      <formula>0</formula>
    </cfRule>
    <cfRule type="cellIs" dxfId="1812" priority="1814" operator="lessThan">
      <formula>-105575</formula>
    </cfRule>
  </conditionalFormatting>
  <conditionalFormatting sqref="BB160:BB161">
    <cfRule type="cellIs" dxfId="1811" priority="1811" operator="lessThan">
      <formula>0</formula>
    </cfRule>
    <cfRule type="cellIs" dxfId="1810" priority="1812" operator="lessThan">
      <formula>-105575</formula>
    </cfRule>
  </conditionalFormatting>
  <conditionalFormatting sqref="BB160:BB161">
    <cfRule type="cellIs" dxfId="1809" priority="1809" operator="lessThan">
      <formula>0</formula>
    </cfRule>
    <cfRule type="cellIs" dxfId="1808" priority="1810" operator="lessThan">
      <formula>-105575</formula>
    </cfRule>
  </conditionalFormatting>
  <conditionalFormatting sqref="BB164:BB167">
    <cfRule type="cellIs" dxfId="1807" priority="1807" operator="lessThan">
      <formula>0</formula>
    </cfRule>
    <cfRule type="cellIs" dxfId="1806" priority="1808" operator="lessThan">
      <formula>-105575</formula>
    </cfRule>
  </conditionalFormatting>
  <conditionalFormatting sqref="BB164:BB167">
    <cfRule type="cellIs" dxfId="1805" priority="1805" operator="lessThan">
      <formula>0</formula>
    </cfRule>
    <cfRule type="cellIs" dxfId="1804" priority="1806" operator="lessThan">
      <formula>-105575</formula>
    </cfRule>
  </conditionalFormatting>
  <conditionalFormatting sqref="BB164:BB167">
    <cfRule type="cellIs" dxfId="1803" priority="1803" operator="lessThan">
      <formula>0</formula>
    </cfRule>
    <cfRule type="cellIs" dxfId="1802" priority="1804" operator="lessThan">
      <formula>-105575</formula>
    </cfRule>
  </conditionalFormatting>
  <conditionalFormatting sqref="BB169:BB177">
    <cfRule type="cellIs" dxfId="1801" priority="1801" operator="lessThan">
      <formula>0</formula>
    </cfRule>
    <cfRule type="cellIs" dxfId="1800" priority="1802" operator="lessThan">
      <formula>-105575</formula>
    </cfRule>
  </conditionalFormatting>
  <conditionalFormatting sqref="BB169:BB177">
    <cfRule type="cellIs" dxfId="1799" priority="1799" operator="lessThan">
      <formula>0</formula>
    </cfRule>
    <cfRule type="cellIs" dxfId="1798" priority="1800" operator="lessThan">
      <formula>-105575</formula>
    </cfRule>
  </conditionalFormatting>
  <conditionalFormatting sqref="BB169:BB177">
    <cfRule type="cellIs" dxfId="1797" priority="1797" operator="lessThan">
      <formula>0</formula>
    </cfRule>
    <cfRule type="cellIs" dxfId="1796" priority="1798" operator="lessThan">
      <formula>-105575</formula>
    </cfRule>
  </conditionalFormatting>
  <conditionalFormatting sqref="BB179:BB180">
    <cfRule type="cellIs" dxfId="1795" priority="1795" operator="lessThan">
      <formula>0</formula>
    </cfRule>
    <cfRule type="cellIs" dxfId="1794" priority="1796" operator="lessThan">
      <formula>-105575</formula>
    </cfRule>
  </conditionalFormatting>
  <conditionalFormatting sqref="BB179:BB180">
    <cfRule type="cellIs" dxfId="1793" priority="1793" operator="lessThan">
      <formula>0</formula>
    </cfRule>
    <cfRule type="cellIs" dxfId="1792" priority="1794" operator="lessThan">
      <formula>-105575</formula>
    </cfRule>
  </conditionalFormatting>
  <conditionalFormatting sqref="BB179:BB180">
    <cfRule type="cellIs" dxfId="1791" priority="1791" operator="lessThan">
      <formula>0</formula>
    </cfRule>
    <cfRule type="cellIs" dxfId="1790" priority="1792" operator="lessThan">
      <formula>-105575</formula>
    </cfRule>
  </conditionalFormatting>
  <conditionalFormatting sqref="BB183:BB189">
    <cfRule type="cellIs" dxfId="1789" priority="1789" operator="lessThan">
      <formula>0</formula>
    </cfRule>
    <cfRule type="cellIs" dxfId="1788" priority="1790" operator="lessThan">
      <formula>-105575</formula>
    </cfRule>
  </conditionalFormatting>
  <conditionalFormatting sqref="BB183:BB189">
    <cfRule type="cellIs" dxfId="1787" priority="1787" operator="lessThan">
      <formula>0</formula>
    </cfRule>
    <cfRule type="cellIs" dxfId="1786" priority="1788" operator="lessThan">
      <formula>-105575</formula>
    </cfRule>
  </conditionalFormatting>
  <conditionalFormatting sqref="BB183:BB189">
    <cfRule type="cellIs" dxfId="1785" priority="1785" operator="lessThan">
      <formula>0</formula>
    </cfRule>
    <cfRule type="cellIs" dxfId="1784" priority="1786" operator="lessThan">
      <formula>-105575</formula>
    </cfRule>
  </conditionalFormatting>
  <conditionalFormatting sqref="BB191:BB192">
    <cfRule type="cellIs" dxfId="1783" priority="1783" operator="lessThan">
      <formula>0</formula>
    </cfRule>
    <cfRule type="cellIs" dxfId="1782" priority="1784" operator="lessThan">
      <formula>-105575</formula>
    </cfRule>
  </conditionalFormatting>
  <conditionalFormatting sqref="BB191:BB192">
    <cfRule type="cellIs" dxfId="1781" priority="1781" operator="lessThan">
      <formula>0</formula>
    </cfRule>
    <cfRule type="cellIs" dxfId="1780" priority="1782" operator="lessThan">
      <formula>-105575</formula>
    </cfRule>
  </conditionalFormatting>
  <conditionalFormatting sqref="BB191:BB192">
    <cfRule type="cellIs" dxfId="1779" priority="1779" operator="lessThan">
      <formula>0</formula>
    </cfRule>
    <cfRule type="cellIs" dxfId="1778" priority="1780" operator="lessThan">
      <formula>-105575</formula>
    </cfRule>
  </conditionalFormatting>
  <conditionalFormatting sqref="BB194:BB195">
    <cfRule type="cellIs" dxfId="1777" priority="1777" operator="lessThan">
      <formula>0</formula>
    </cfRule>
    <cfRule type="cellIs" dxfId="1776" priority="1778" operator="lessThan">
      <formula>-105575</formula>
    </cfRule>
  </conditionalFormatting>
  <conditionalFormatting sqref="BB194:BB195">
    <cfRule type="cellIs" dxfId="1775" priority="1775" operator="lessThan">
      <formula>0</formula>
    </cfRule>
    <cfRule type="cellIs" dxfId="1774" priority="1776" operator="lessThan">
      <formula>-105575</formula>
    </cfRule>
  </conditionalFormatting>
  <conditionalFormatting sqref="BB194:BB195">
    <cfRule type="cellIs" dxfId="1773" priority="1773" operator="lessThan">
      <formula>0</formula>
    </cfRule>
    <cfRule type="cellIs" dxfId="1772" priority="1774" operator="lessThan">
      <formula>-105575</formula>
    </cfRule>
  </conditionalFormatting>
  <conditionalFormatting sqref="BB199:BB202">
    <cfRule type="cellIs" dxfId="1771" priority="1771" operator="lessThan">
      <formula>0</formula>
    </cfRule>
    <cfRule type="cellIs" dxfId="1770" priority="1772" operator="lessThan">
      <formula>-105575</formula>
    </cfRule>
  </conditionalFormatting>
  <conditionalFormatting sqref="BB199:BB202">
    <cfRule type="cellIs" dxfId="1769" priority="1769" operator="lessThan">
      <formula>0</formula>
    </cfRule>
    <cfRule type="cellIs" dxfId="1768" priority="1770" operator="lessThan">
      <formula>-105575</formula>
    </cfRule>
  </conditionalFormatting>
  <conditionalFormatting sqref="BB199:BB202">
    <cfRule type="cellIs" dxfId="1767" priority="1767" operator="lessThan">
      <formula>0</formula>
    </cfRule>
    <cfRule type="cellIs" dxfId="1766" priority="1768" operator="lessThan">
      <formula>-105575</formula>
    </cfRule>
  </conditionalFormatting>
  <conditionalFormatting sqref="BB204:BB208">
    <cfRule type="cellIs" dxfId="1765" priority="1765" operator="lessThan">
      <formula>0</formula>
    </cfRule>
    <cfRule type="cellIs" dxfId="1764" priority="1766" operator="lessThan">
      <formula>-105575</formula>
    </cfRule>
  </conditionalFormatting>
  <conditionalFormatting sqref="BB204:BB208">
    <cfRule type="cellIs" dxfId="1763" priority="1763" operator="lessThan">
      <formula>0</formula>
    </cfRule>
    <cfRule type="cellIs" dxfId="1762" priority="1764" operator="lessThan">
      <formula>-105575</formula>
    </cfRule>
  </conditionalFormatting>
  <conditionalFormatting sqref="BB204:BB208">
    <cfRule type="cellIs" dxfId="1761" priority="1761" operator="lessThan">
      <formula>0</formula>
    </cfRule>
    <cfRule type="cellIs" dxfId="1760" priority="1762" operator="lessThan">
      <formula>-105575</formula>
    </cfRule>
  </conditionalFormatting>
  <conditionalFormatting sqref="BB210:BB211">
    <cfRule type="cellIs" dxfId="1759" priority="1759" operator="lessThan">
      <formula>0</formula>
    </cfRule>
    <cfRule type="cellIs" dxfId="1758" priority="1760" operator="lessThan">
      <formula>-105575</formula>
    </cfRule>
  </conditionalFormatting>
  <conditionalFormatting sqref="BB210:BB211">
    <cfRule type="cellIs" dxfId="1757" priority="1757" operator="lessThan">
      <formula>0</formula>
    </cfRule>
    <cfRule type="cellIs" dxfId="1756" priority="1758" operator="lessThan">
      <formula>-105575</formula>
    </cfRule>
  </conditionalFormatting>
  <conditionalFormatting sqref="BB210:BB211">
    <cfRule type="cellIs" dxfId="1755" priority="1755" operator="lessThan">
      <formula>0</formula>
    </cfRule>
    <cfRule type="cellIs" dxfId="1754" priority="1756" operator="lessThan">
      <formula>-105575</formula>
    </cfRule>
  </conditionalFormatting>
  <conditionalFormatting sqref="BB214:BB219">
    <cfRule type="cellIs" dxfId="1753" priority="1753" operator="lessThan">
      <formula>0</formula>
    </cfRule>
    <cfRule type="cellIs" dxfId="1752" priority="1754" operator="lessThan">
      <formula>-105575</formula>
    </cfRule>
  </conditionalFormatting>
  <conditionalFormatting sqref="BB214:BB219">
    <cfRule type="cellIs" dxfId="1751" priority="1751" operator="lessThan">
      <formula>0</formula>
    </cfRule>
    <cfRule type="cellIs" dxfId="1750" priority="1752" operator="lessThan">
      <formula>-105575</formula>
    </cfRule>
  </conditionalFormatting>
  <conditionalFormatting sqref="BB214:BB219">
    <cfRule type="cellIs" dxfId="1749" priority="1749" operator="lessThan">
      <formula>0</formula>
    </cfRule>
    <cfRule type="cellIs" dxfId="1748" priority="1750" operator="lessThan">
      <formula>-105575</formula>
    </cfRule>
  </conditionalFormatting>
  <conditionalFormatting sqref="BB222:BB224">
    <cfRule type="cellIs" dxfId="1747" priority="1747" operator="lessThan">
      <formula>0</formula>
    </cfRule>
    <cfRule type="cellIs" dxfId="1746" priority="1748" operator="lessThan">
      <formula>-105575</formula>
    </cfRule>
  </conditionalFormatting>
  <conditionalFormatting sqref="BB222:BB224">
    <cfRule type="cellIs" dxfId="1745" priority="1745" operator="lessThan">
      <formula>0</formula>
    </cfRule>
    <cfRule type="cellIs" dxfId="1744" priority="1746" operator="lessThan">
      <formula>-105575</formula>
    </cfRule>
  </conditionalFormatting>
  <conditionalFormatting sqref="BB222:BB224">
    <cfRule type="cellIs" dxfId="1743" priority="1743" operator="lessThan">
      <formula>0</formula>
    </cfRule>
    <cfRule type="cellIs" dxfId="1742" priority="1744" operator="lessThan">
      <formula>-105575</formula>
    </cfRule>
  </conditionalFormatting>
  <conditionalFormatting sqref="BB227:BB230">
    <cfRule type="cellIs" dxfId="1741" priority="1741" operator="lessThan">
      <formula>0</formula>
    </cfRule>
    <cfRule type="cellIs" dxfId="1740" priority="1742" operator="lessThan">
      <formula>-105575</formula>
    </cfRule>
  </conditionalFormatting>
  <conditionalFormatting sqref="BB227:BB230">
    <cfRule type="cellIs" dxfId="1739" priority="1739" operator="lessThan">
      <formula>0</formula>
    </cfRule>
    <cfRule type="cellIs" dxfId="1738" priority="1740" operator="lessThan">
      <formula>-105575</formula>
    </cfRule>
  </conditionalFormatting>
  <conditionalFormatting sqref="BB227:BB230">
    <cfRule type="cellIs" dxfId="1737" priority="1737" operator="lessThan">
      <formula>0</formula>
    </cfRule>
    <cfRule type="cellIs" dxfId="1736" priority="1738" operator="lessThan">
      <formula>-105575</formula>
    </cfRule>
  </conditionalFormatting>
  <conditionalFormatting sqref="BB246:BB249">
    <cfRule type="cellIs" dxfId="1735" priority="1735" operator="lessThan">
      <formula>0</formula>
    </cfRule>
    <cfRule type="cellIs" dxfId="1734" priority="1736" operator="lessThan">
      <formula>-105575</formula>
    </cfRule>
  </conditionalFormatting>
  <conditionalFormatting sqref="BB246:BB249">
    <cfRule type="cellIs" dxfId="1733" priority="1733" operator="lessThan">
      <formula>0</formula>
    </cfRule>
    <cfRule type="cellIs" dxfId="1732" priority="1734" operator="lessThan">
      <formula>-105575</formula>
    </cfRule>
  </conditionalFormatting>
  <conditionalFormatting sqref="BB246:BB249">
    <cfRule type="cellIs" dxfId="1731" priority="1731" operator="lessThan">
      <formula>0</formula>
    </cfRule>
    <cfRule type="cellIs" dxfId="1730" priority="1732" operator="lessThan">
      <formula>-105575</formula>
    </cfRule>
  </conditionalFormatting>
  <conditionalFormatting sqref="BB246:BB249">
    <cfRule type="cellIs" dxfId="1729" priority="1729" operator="lessThan">
      <formula>0</formula>
    </cfRule>
    <cfRule type="cellIs" dxfId="1728" priority="1730" operator="lessThan">
      <formula>-105575</formula>
    </cfRule>
  </conditionalFormatting>
  <conditionalFormatting sqref="BB246:BB249">
    <cfRule type="cellIs" dxfId="1727" priority="1727" operator="lessThan">
      <formula>0</formula>
    </cfRule>
    <cfRule type="cellIs" dxfId="1726" priority="1728" operator="lessThan">
      <formula>-105575</formula>
    </cfRule>
  </conditionalFormatting>
  <conditionalFormatting sqref="BB246:BB249">
    <cfRule type="cellIs" dxfId="1725" priority="1725" operator="lessThan">
      <formula>0</formula>
    </cfRule>
    <cfRule type="cellIs" dxfId="1724" priority="1726" operator="lessThan">
      <formula>-105575</formula>
    </cfRule>
  </conditionalFormatting>
  <conditionalFormatting sqref="BB246:BB249">
    <cfRule type="cellIs" dxfId="1723" priority="1723" operator="lessThan">
      <formula>0</formula>
    </cfRule>
    <cfRule type="cellIs" dxfId="1722" priority="1724" operator="lessThan">
      <formula>-105575</formula>
    </cfRule>
  </conditionalFormatting>
  <conditionalFormatting sqref="BB246:BB249">
    <cfRule type="cellIs" dxfId="1721" priority="1721" operator="lessThan">
      <formula>0</formula>
    </cfRule>
    <cfRule type="cellIs" dxfId="1720" priority="1722" operator="lessThan">
      <formula>-105575</formula>
    </cfRule>
  </conditionalFormatting>
  <conditionalFormatting sqref="BB246:BB249">
    <cfRule type="cellIs" dxfId="1719" priority="1719" operator="lessThan">
      <formula>0</formula>
    </cfRule>
    <cfRule type="cellIs" dxfId="1718" priority="1720" operator="lessThan">
      <formula>-105575</formula>
    </cfRule>
  </conditionalFormatting>
  <conditionalFormatting sqref="BB251:BB253">
    <cfRule type="cellIs" dxfId="1717" priority="1717" operator="lessThan">
      <formula>0</formula>
    </cfRule>
    <cfRule type="cellIs" dxfId="1716" priority="1718" operator="lessThan">
      <formula>-105575</formula>
    </cfRule>
  </conditionalFormatting>
  <conditionalFormatting sqref="BB251:BB253">
    <cfRule type="cellIs" dxfId="1715" priority="1715" operator="lessThan">
      <formula>0</formula>
    </cfRule>
    <cfRule type="cellIs" dxfId="1714" priority="1716" operator="lessThan">
      <formula>-105575</formula>
    </cfRule>
  </conditionalFormatting>
  <conditionalFormatting sqref="BB251:BB253">
    <cfRule type="cellIs" dxfId="1713" priority="1713" operator="lessThan">
      <formula>0</formula>
    </cfRule>
    <cfRule type="cellIs" dxfId="1712" priority="1714" operator="lessThan">
      <formula>-105575</formula>
    </cfRule>
  </conditionalFormatting>
  <conditionalFormatting sqref="BB251:BB253">
    <cfRule type="cellIs" dxfId="1711" priority="1711" operator="lessThan">
      <formula>0</formula>
    </cfRule>
    <cfRule type="cellIs" dxfId="1710" priority="1712" operator="lessThan">
      <formula>-105575</formula>
    </cfRule>
  </conditionalFormatting>
  <conditionalFormatting sqref="BB251:BB253">
    <cfRule type="cellIs" dxfId="1709" priority="1709" operator="lessThan">
      <formula>0</formula>
    </cfRule>
    <cfRule type="cellIs" dxfId="1708" priority="1710" operator="lessThan">
      <formula>-105575</formula>
    </cfRule>
  </conditionalFormatting>
  <conditionalFormatting sqref="BB251:BB253">
    <cfRule type="cellIs" dxfId="1707" priority="1707" operator="lessThan">
      <formula>0</formula>
    </cfRule>
    <cfRule type="cellIs" dxfId="1706" priority="1708" operator="lessThan">
      <formula>-105575</formula>
    </cfRule>
  </conditionalFormatting>
  <conditionalFormatting sqref="BB251:BB253">
    <cfRule type="cellIs" dxfId="1705" priority="1705" operator="lessThan">
      <formula>0</formula>
    </cfRule>
    <cfRule type="cellIs" dxfId="1704" priority="1706" operator="lessThan">
      <formula>-105575</formula>
    </cfRule>
  </conditionalFormatting>
  <conditionalFormatting sqref="BB251:BB253">
    <cfRule type="cellIs" dxfId="1703" priority="1703" operator="lessThan">
      <formula>0</formula>
    </cfRule>
    <cfRule type="cellIs" dxfId="1702" priority="1704" operator="lessThan">
      <formula>-105575</formula>
    </cfRule>
  </conditionalFormatting>
  <conditionalFormatting sqref="BB251:BB253">
    <cfRule type="cellIs" dxfId="1701" priority="1701" operator="lessThan">
      <formula>0</formula>
    </cfRule>
    <cfRule type="cellIs" dxfId="1700" priority="1702" operator="lessThan">
      <formula>-105575</formula>
    </cfRule>
  </conditionalFormatting>
  <conditionalFormatting sqref="BB255:BB257">
    <cfRule type="cellIs" dxfId="1699" priority="1699" operator="lessThan">
      <formula>0</formula>
    </cfRule>
    <cfRule type="cellIs" dxfId="1698" priority="1700" operator="lessThan">
      <formula>-105575</formula>
    </cfRule>
  </conditionalFormatting>
  <conditionalFormatting sqref="BB255:BB257">
    <cfRule type="cellIs" dxfId="1697" priority="1697" operator="lessThan">
      <formula>0</formula>
    </cfRule>
    <cfRule type="cellIs" dxfId="1696" priority="1698" operator="lessThan">
      <formula>-105575</formula>
    </cfRule>
  </conditionalFormatting>
  <conditionalFormatting sqref="BB255:BB257">
    <cfRule type="cellIs" dxfId="1695" priority="1695" operator="lessThan">
      <formula>0</formula>
    </cfRule>
    <cfRule type="cellIs" dxfId="1694" priority="1696" operator="lessThan">
      <formula>-105575</formula>
    </cfRule>
  </conditionalFormatting>
  <conditionalFormatting sqref="BB255:BB257">
    <cfRule type="cellIs" dxfId="1693" priority="1693" operator="lessThan">
      <formula>0</formula>
    </cfRule>
    <cfRule type="cellIs" dxfId="1692" priority="1694" operator="lessThan">
      <formula>-105575</formula>
    </cfRule>
  </conditionalFormatting>
  <conditionalFormatting sqref="BB255:BB257">
    <cfRule type="cellIs" dxfId="1691" priority="1691" operator="lessThan">
      <formula>0</formula>
    </cfRule>
    <cfRule type="cellIs" dxfId="1690" priority="1692" operator="lessThan">
      <formula>-105575</formula>
    </cfRule>
  </conditionalFormatting>
  <conditionalFormatting sqref="BB255:BB257">
    <cfRule type="cellIs" dxfId="1689" priority="1689" operator="lessThan">
      <formula>0</formula>
    </cfRule>
    <cfRule type="cellIs" dxfId="1688" priority="1690" operator="lessThan">
      <formula>-105575</formula>
    </cfRule>
  </conditionalFormatting>
  <conditionalFormatting sqref="BB255:BB257">
    <cfRule type="cellIs" dxfId="1687" priority="1687" operator="lessThan">
      <formula>0</formula>
    </cfRule>
    <cfRule type="cellIs" dxfId="1686" priority="1688" operator="lessThan">
      <formula>-105575</formula>
    </cfRule>
  </conditionalFormatting>
  <conditionalFormatting sqref="BB255:BB257">
    <cfRule type="cellIs" dxfId="1685" priority="1685" operator="lessThan">
      <formula>0</formula>
    </cfRule>
    <cfRule type="cellIs" dxfId="1684" priority="1686" operator="lessThan">
      <formula>-105575</formula>
    </cfRule>
  </conditionalFormatting>
  <conditionalFormatting sqref="BB255:BB257">
    <cfRule type="cellIs" dxfId="1683" priority="1683" operator="lessThan">
      <formula>0</formula>
    </cfRule>
    <cfRule type="cellIs" dxfId="1682" priority="1684" operator="lessThan">
      <formula>-105575</formula>
    </cfRule>
  </conditionalFormatting>
  <conditionalFormatting sqref="BB260:BB262">
    <cfRule type="cellIs" dxfId="1681" priority="1681" operator="lessThan">
      <formula>0</formula>
    </cfRule>
    <cfRule type="cellIs" dxfId="1680" priority="1682" operator="lessThan">
      <formula>-105575</formula>
    </cfRule>
  </conditionalFormatting>
  <conditionalFormatting sqref="BB260:BB262">
    <cfRule type="cellIs" dxfId="1679" priority="1679" operator="lessThan">
      <formula>0</formula>
    </cfRule>
    <cfRule type="cellIs" dxfId="1678" priority="1680" operator="lessThan">
      <formula>-105575</formula>
    </cfRule>
  </conditionalFormatting>
  <conditionalFormatting sqref="BB260:BB262">
    <cfRule type="cellIs" dxfId="1677" priority="1677" operator="lessThan">
      <formula>0</formula>
    </cfRule>
    <cfRule type="cellIs" dxfId="1676" priority="1678" operator="lessThan">
      <formula>-105575</formula>
    </cfRule>
  </conditionalFormatting>
  <conditionalFormatting sqref="BB260:BB262">
    <cfRule type="cellIs" dxfId="1675" priority="1675" operator="lessThan">
      <formula>0</formula>
    </cfRule>
    <cfRule type="cellIs" dxfId="1674" priority="1676" operator="lessThan">
      <formula>-105575</formula>
    </cfRule>
  </conditionalFormatting>
  <conditionalFormatting sqref="BB260:BB262">
    <cfRule type="cellIs" dxfId="1673" priority="1673" operator="lessThan">
      <formula>0</formula>
    </cfRule>
    <cfRule type="cellIs" dxfId="1672" priority="1674" operator="lessThan">
      <formula>-105575</formula>
    </cfRule>
  </conditionalFormatting>
  <conditionalFormatting sqref="BB260:BB262">
    <cfRule type="cellIs" dxfId="1671" priority="1671" operator="lessThan">
      <formula>0</formula>
    </cfRule>
    <cfRule type="cellIs" dxfId="1670" priority="1672" operator="lessThan">
      <formula>-105575</formula>
    </cfRule>
  </conditionalFormatting>
  <conditionalFormatting sqref="BB260:BB262">
    <cfRule type="cellIs" dxfId="1669" priority="1669" operator="lessThan">
      <formula>0</formula>
    </cfRule>
    <cfRule type="cellIs" dxfId="1668" priority="1670" operator="lessThan">
      <formula>-105575</formula>
    </cfRule>
  </conditionalFormatting>
  <conditionalFormatting sqref="BB260:BB262">
    <cfRule type="cellIs" dxfId="1667" priority="1667" operator="lessThan">
      <formula>0</formula>
    </cfRule>
    <cfRule type="cellIs" dxfId="1666" priority="1668" operator="lessThan">
      <formula>-105575</formula>
    </cfRule>
  </conditionalFormatting>
  <conditionalFormatting sqref="BB260:BB262">
    <cfRule type="cellIs" dxfId="1665" priority="1665" operator="lessThan">
      <formula>0</formula>
    </cfRule>
    <cfRule type="cellIs" dxfId="1664" priority="1666" operator="lessThan">
      <formula>-105575</formula>
    </cfRule>
  </conditionalFormatting>
  <conditionalFormatting sqref="BB264:BB267">
    <cfRule type="cellIs" dxfId="1663" priority="1663" operator="lessThan">
      <formula>0</formula>
    </cfRule>
    <cfRule type="cellIs" dxfId="1662" priority="1664" operator="lessThan">
      <formula>-105575</formula>
    </cfRule>
  </conditionalFormatting>
  <conditionalFormatting sqref="BB264:BB267">
    <cfRule type="cellIs" dxfId="1661" priority="1661" operator="lessThan">
      <formula>0</formula>
    </cfRule>
    <cfRule type="cellIs" dxfId="1660" priority="1662" operator="lessThan">
      <formula>-105575</formula>
    </cfRule>
  </conditionalFormatting>
  <conditionalFormatting sqref="BB264:BB267">
    <cfRule type="cellIs" dxfId="1659" priority="1659" operator="lessThan">
      <formula>0</formula>
    </cfRule>
    <cfRule type="cellIs" dxfId="1658" priority="1660" operator="lessThan">
      <formula>-105575</formula>
    </cfRule>
  </conditionalFormatting>
  <conditionalFormatting sqref="BB264:BB267">
    <cfRule type="cellIs" dxfId="1657" priority="1657" operator="lessThan">
      <formula>0</formula>
    </cfRule>
    <cfRule type="cellIs" dxfId="1656" priority="1658" operator="lessThan">
      <formula>-105575</formula>
    </cfRule>
  </conditionalFormatting>
  <conditionalFormatting sqref="BB264:BB267">
    <cfRule type="cellIs" dxfId="1655" priority="1655" operator="lessThan">
      <formula>0</formula>
    </cfRule>
    <cfRule type="cellIs" dxfId="1654" priority="1656" operator="lessThan">
      <formula>-105575</formula>
    </cfRule>
  </conditionalFormatting>
  <conditionalFormatting sqref="BB264:BB267">
    <cfRule type="cellIs" dxfId="1653" priority="1653" operator="lessThan">
      <formula>0</formula>
    </cfRule>
    <cfRule type="cellIs" dxfId="1652" priority="1654" operator="lessThan">
      <formula>-105575</formula>
    </cfRule>
  </conditionalFormatting>
  <conditionalFormatting sqref="BB264:BB267">
    <cfRule type="cellIs" dxfId="1651" priority="1651" operator="lessThan">
      <formula>0</formula>
    </cfRule>
    <cfRule type="cellIs" dxfId="1650" priority="1652" operator="lessThan">
      <formula>-105575</formula>
    </cfRule>
  </conditionalFormatting>
  <conditionalFormatting sqref="BB264:BB267">
    <cfRule type="cellIs" dxfId="1649" priority="1649" operator="lessThan">
      <formula>0</formula>
    </cfRule>
    <cfRule type="cellIs" dxfId="1648" priority="1650" operator="lessThan">
      <formula>-105575</formula>
    </cfRule>
  </conditionalFormatting>
  <conditionalFormatting sqref="BB264:BB267">
    <cfRule type="cellIs" dxfId="1647" priority="1647" operator="lessThan">
      <formula>0</formula>
    </cfRule>
    <cfRule type="cellIs" dxfId="1646" priority="1648" operator="lessThan">
      <formula>-105575</formula>
    </cfRule>
  </conditionalFormatting>
  <conditionalFormatting sqref="BB270:BB272">
    <cfRule type="cellIs" dxfId="1645" priority="1645" operator="lessThan">
      <formula>0</formula>
    </cfRule>
    <cfRule type="cellIs" dxfId="1644" priority="1646" operator="lessThan">
      <formula>-105575</formula>
    </cfRule>
  </conditionalFormatting>
  <conditionalFormatting sqref="BB270:BB272">
    <cfRule type="cellIs" dxfId="1643" priority="1643" operator="lessThan">
      <formula>0</formula>
    </cfRule>
    <cfRule type="cellIs" dxfId="1642" priority="1644" operator="lessThan">
      <formula>-105575</formula>
    </cfRule>
  </conditionalFormatting>
  <conditionalFormatting sqref="BB270:BB272">
    <cfRule type="cellIs" dxfId="1641" priority="1641" operator="lessThan">
      <formula>0</formula>
    </cfRule>
    <cfRule type="cellIs" dxfId="1640" priority="1642" operator="lessThan">
      <formula>-105575</formula>
    </cfRule>
  </conditionalFormatting>
  <conditionalFormatting sqref="BB270:BB272">
    <cfRule type="cellIs" dxfId="1639" priority="1639" operator="lessThan">
      <formula>0</formula>
    </cfRule>
    <cfRule type="cellIs" dxfId="1638" priority="1640" operator="lessThan">
      <formula>-105575</formula>
    </cfRule>
  </conditionalFormatting>
  <conditionalFormatting sqref="BB270:BB272">
    <cfRule type="cellIs" dxfId="1637" priority="1637" operator="lessThan">
      <formula>0</formula>
    </cfRule>
    <cfRule type="cellIs" dxfId="1636" priority="1638" operator="lessThan">
      <formula>-105575</formula>
    </cfRule>
  </conditionalFormatting>
  <conditionalFormatting sqref="BB270:BB272">
    <cfRule type="cellIs" dxfId="1635" priority="1635" operator="lessThan">
      <formula>0</formula>
    </cfRule>
    <cfRule type="cellIs" dxfId="1634" priority="1636" operator="lessThan">
      <formula>-105575</formula>
    </cfRule>
  </conditionalFormatting>
  <conditionalFormatting sqref="BB270:BB272">
    <cfRule type="cellIs" dxfId="1633" priority="1633" operator="lessThan">
      <formula>0</formula>
    </cfRule>
    <cfRule type="cellIs" dxfId="1632" priority="1634" operator="lessThan">
      <formula>-105575</formula>
    </cfRule>
  </conditionalFormatting>
  <conditionalFormatting sqref="BB270:BB272">
    <cfRule type="cellIs" dxfId="1631" priority="1631" operator="lessThan">
      <formula>0</formula>
    </cfRule>
    <cfRule type="cellIs" dxfId="1630" priority="1632" operator="lessThan">
      <formula>-105575</formula>
    </cfRule>
  </conditionalFormatting>
  <conditionalFormatting sqref="BB270:BB272">
    <cfRule type="cellIs" dxfId="1629" priority="1629" operator="lessThan">
      <formula>0</formula>
    </cfRule>
    <cfRule type="cellIs" dxfId="1628" priority="1630" operator="lessThan">
      <formula>-105575</formula>
    </cfRule>
  </conditionalFormatting>
  <conditionalFormatting sqref="BB274:BB275">
    <cfRule type="cellIs" dxfId="1627" priority="1627" operator="lessThan">
      <formula>0</formula>
    </cfRule>
    <cfRule type="cellIs" dxfId="1626" priority="1628" operator="lessThan">
      <formula>-105575</formula>
    </cfRule>
  </conditionalFormatting>
  <conditionalFormatting sqref="BB274:BB275">
    <cfRule type="cellIs" dxfId="1625" priority="1625" operator="lessThan">
      <formula>0</formula>
    </cfRule>
    <cfRule type="cellIs" dxfId="1624" priority="1626" operator="lessThan">
      <formula>-105575</formula>
    </cfRule>
  </conditionalFormatting>
  <conditionalFormatting sqref="BB274:BB275">
    <cfRule type="cellIs" dxfId="1623" priority="1623" operator="lessThan">
      <formula>0</formula>
    </cfRule>
    <cfRule type="cellIs" dxfId="1622" priority="1624" operator="lessThan">
      <formula>-105575</formula>
    </cfRule>
  </conditionalFormatting>
  <conditionalFormatting sqref="BB274:BB275">
    <cfRule type="cellIs" dxfId="1621" priority="1621" operator="lessThan">
      <formula>0</formula>
    </cfRule>
    <cfRule type="cellIs" dxfId="1620" priority="1622" operator="lessThan">
      <formula>-105575</formula>
    </cfRule>
  </conditionalFormatting>
  <conditionalFormatting sqref="BB274:BB275">
    <cfRule type="cellIs" dxfId="1619" priority="1619" operator="lessThan">
      <formula>0</formula>
    </cfRule>
    <cfRule type="cellIs" dxfId="1618" priority="1620" operator="lessThan">
      <formula>-105575</formula>
    </cfRule>
  </conditionalFormatting>
  <conditionalFormatting sqref="BB274:BB275">
    <cfRule type="cellIs" dxfId="1617" priority="1617" operator="lessThan">
      <formula>0</formula>
    </cfRule>
    <cfRule type="cellIs" dxfId="1616" priority="1618" operator="lessThan">
      <formula>-105575</formula>
    </cfRule>
  </conditionalFormatting>
  <conditionalFormatting sqref="BB274:BB275">
    <cfRule type="cellIs" dxfId="1615" priority="1615" operator="lessThan">
      <formula>0</formula>
    </cfRule>
    <cfRule type="cellIs" dxfId="1614" priority="1616" operator="lessThan">
      <formula>-105575</formula>
    </cfRule>
  </conditionalFormatting>
  <conditionalFormatting sqref="BB274:BB275">
    <cfRule type="cellIs" dxfId="1613" priority="1613" operator="lessThan">
      <formula>0</formula>
    </cfRule>
    <cfRule type="cellIs" dxfId="1612" priority="1614" operator="lessThan">
      <formula>-105575</formula>
    </cfRule>
  </conditionalFormatting>
  <conditionalFormatting sqref="BB274:BB275">
    <cfRule type="cellIs" dxfId="1611" priority="1611" operator="lessThan">
      <formula>0</formula>
    </cfRule>
    <cfRule type="cellIs" dxfId="1610" priority="1612" operator="lessThan">
      <formula>-105575</formula>
    </cfRule>
  </conditionalFormatting>
  <conditionalFormatting sqref="BB278:BB282">
    <cfRule type="cellIs" dxfId="1609" priority="1609" operator="lessThan">
      <formula>0</formula>
    </cfRule>
    <cfRule type="cellIs" dxfId="1608" priority="1610" operator="lessThan">
      <formula>-105575</formula>
    </cfRule>
  </conditionalFormatting>
  <conditionalFormatting sqref="BB278:BB282">
    <cfRule type="cellIs" dxfId="1607" priority="1607" operator="lessThan">
      <formula>0</formula>
    </cfRule>
    <cfRule type="cellIs" dxfId="1606" priority="1608" operator="lessThan">
      <formula>-105575</formula>
    </cfRule>
  </conditionalFormatting>
  <conditionalFormatting sqref="BB278:BB282">
    <cfRule type="cellIs" dxfId="1605" priority="1605" operator="lessThan">
      <formula>0</formula>
    </cfRule>
    <cfRule type="cellIs" dxfId="1604" priority="1606" operator="lessThan">
      <formula>-105575</formula>
    </cfRule>
  </conditionalFormatting>
  <conditionalFormatting sqref="BB278:BB282">
    <cfRule type="cellIs" dxfId="1603" priority="1603" operator="lessThan">
      <formula>0</formula>
    </cfRule>
    <cfRule type="cellIs" dxfId="1602" priority="1604" operator="lessThan">
      <formula>-105575</formula>
    </cfRule>
  </conditionalFormatting>
  <conditionalFormatting sqref="BB278:BB282">
    <cfRule type="cellIs" dxfId="1601" priority="1601" operator="lessThan">
      <formula>0</formula>
    </cfRule>
    <cfRule type="cellIs" dxfId="1600" priority="1602" operator="lessThan">
      <formula>-105575</formula>
    </cfRule>
  </conditionalFormatting>
  <conditionalFormatting sqref="BB278:BB282">
    <cfRule type="cellIs" dxfId="1599" priority="1599" operator="lessThan">
      <formula>0</formula>
    </cfRule>
    <cfRule type="cellIs" dxfId="1598" priority="1600" operator="lessThan">
      <formula>-105575</formula>
    </cfRule>
  </conditionalFormatting>
  <conditionalFormatting sqref="BB278:BB282">
    <cfRule type="cellIs" dxfId="1597" priority="1597" operator="lessThan">
      <formula>0</formula>
    </cfRule>
    <cfRule type="cellIs" dxfId="1596" priority="1598" operator="lessThan">
      <formula>-105575</formula>
    </cfRule>
  </conditionalFormatting>
  <conditionalFormatting sqref="BB278:BB282">
    <cfRule type="cellIs" dxfId="1595" priority="1595" operator="lessThan">
      <formula>0</formula>
    </cfRule>
    <cfRule type="cellIs" dxfId="1594" priority="1596" operator="lessThan">
      <formula>-105575</formula>
    </cfRule>
  </conditionalFormatting>
  <conditionalFormatting sqref="BB278:BB282">
    <cfRule type="cellIs" dxfId="1593" priority="1593" operator="lessThan">
      <formula>0</formula>
    </cfRule>
    <cfRule type="cellIs" dxfId="1592" priority="1594" operator="lessThan">
      <formula>-105575</formula>
    </cfRule>
  </conditionalFormatting>
  <conditionalFormatting sqref="BB285:BB288">
    <cfRule type="cellIs" dxfId="1591" priority="1591" operator="lessThan">
      <formula>0</formula>
    </cfRule>
    <cfRule type="cellIs" dxfId="1590" priority="1592" operator="lessThan">
      <formula>-105575</formula>
    </cfRule>
  </conditionalFormatting>
  <conditionalFormatting sqref="BB285:BB288">
    <cfRule type="cellIs" dxfId="1589" priority="1589" operator="lessThan">
      <formula>0</formula>
    </cfRule>
    <cfRule type="cellIs" dxfId="1588" priority="1590" operator="lessThan">
      <formula>-105575</formula>
    </cfRule>
  </conditionalFormatting>
  <conditionalFormatting sqref="BB285:BB288">
    <cfRule type="cellIs" dxfId="1587" priority="1587" operator="lessThan">
      <formula>0</formula>
    </cfRule>
    <cfRule type="cellIs" dxfId="1586" priority="1588" operator="lessThan">
      <formula>-105575</formula>
    </cfRule>
  </conditionalFormatting>
  <conditionalFormatting sqref="BB285:BB288">
    <cfRule type="cellIs" dxfId="1585" priority="1585" operator="lessThan">
      <formula>0</formula>
    </cfRule>
    <cfRule type="cellIs" dxfId="1584" priority="1586" operator="lessThan">
      <formula>-105575</formula>
    </cfRule>
  </conditionalFormatting>
  <conditionalFormatting sqref="BB285:BB288">
    <cfRule type="cellIs" dxfId="1583" priority="1583" operator="lessThan">
      <formula>0</formula>
    </cfRule>
    <cfRule type="cellIs" dxfId="1582" priority="1584" operator="lessThan">
      <formula>-105575</formula>
    </cfRule>
  </conditionalFormatting>
  <conditionalFormatting sqref="BB285:BB288">
    <cfRule type="cellIs" dxfId="1581" priority="1581" operator="lessThan">
      <formula>0</formula>
    </cfRule>
    <cfRule type="cellIs" dxfId="1580" priority="1582" operator="lessThan">
      <formula>-105575</formula>
    </cfRule>
  </conditionalFormatting>
  <conditionalFormatting sqref="BB285:BB288">
    <cfRule type="cellIs" dxfId="1579" priority="1579" operator="lessThan">
      <formula>0</formula>
    </cfRule>
    <cfRule type="cellIs" dxfId="1578" priority="1580" operator="lessThan">
      <formula>-105575</formula>
    </cfRule>
  </conditionalFormatting>
  <conditionalFormatting sqref="BB285:BB288">
    <cfRule type="cellIs" dxfId="1577" priority="1577" operator="lessThan">
      <formula>0</formula>
    </cfRule>
    <cfRule type="cellIs" dxfId="1576" priority="1578" operator="lessThan">
      <formula>-105575</formula>
    </cfRule>
  </conditionalFormatting>
  <conditionalFormatting sqref="BB285:BB288">
    <cfRule type="cellIs" dxfId="1575" priority="1575" operator="lessThan">
      <formula>0</formula>
    </cfRule>
    <cfRule type="cellIs" dxfId="1574" priority="1576" operator="lessThan">
      <formula>-105575</formula>
    </cfRule>
  </conditionalFormatting>
  <conditionalFormatting sqref="BB203 BB220:BB221 BB235:BB243 BB231:BB233 BB212:BB213 BB225:BB226">
    <cfRule type="cellIs" dxfId="1573" priority="1573" operator="lessThan">
      <formula>0</formula>
    </cfRule>
    <cfRule type="cellIs" dxfId="1572" priority="1574" operator="lessThan">
      <formula>-105575</formula>
    </cfRule>
  </conditionalFormatting>
  <conditionalFormatting sqref="BB220 BB212:BB213 BB235:BB238 BB240:BB243 BB225:BB226 BB231:BB233">
    <cfRule type="cellIs" dxfId="1571" priority="1571" operator="lessThan">
      <formula>0</formula>
    </cfRule>
    <cfRule type="cellIs" dxfId="1570" priority="1572" operator="lessThan">
      <formula>-105575</formula>
    </cfRule>
  </conditionalFormatting>
  <conditionalFormatting sqref="BB220:BB221 BB243 BB226 BB231:BB236 BB238:BB241 BB203 BB213">
    <cfRule type="cellIs" dxfId="1569" priority="1569" operator="lessThan">
      <formula>0</formula>
    </cfRule>
    <cfRule type="cellIs" dxfId="1568" priority="1570" operator="lessThan">
      <formula>-105575</formula>
    </cfRule>
  </conditionalFormatting>
  <conditionalFormatting sqref="BB235:BB243 BB231:BB233 BB220 BB212:BB213 BB225:BB226">
    <cfRule type="cellIs" dxfId="1567" priority="1567" operator="lessThan">
      <formula>0</formula>
    </cfRule>
    <cfRule type="cellIs" dxfId="1566" priority="1568" operator="lessThan">
      <formula>-105575</formula>
    </cfRule>
  </conditionalFormatting>
  <conditionalFormatting sqref="BB220:BB221 BB237:BB243 BB203 BB231:BB235 BB212:BB213 BB225:BB226">
    <cfRule type="cellIs" dxfId="1565" priority="1565" operator="lessThan">
      <formula>0</formula>
    </cfRule>
    <cfRule type="cellIs" dxfId="1564" priority="1566" operator="lessThan">
      <formula>-105575</formula>
    </cfRule>
  </conditionalFormatting>
  <conditionalFormatting sqref="BB220:BB221 BB237:BB240 BB242:BB243 BB225:BB226 BB231:BB235">
    <cfRule type="cellIs" dxfId="1563" priority="1563" operator="lessThan">
      <formula>0</formula>
    </cfRule>
    <cfRule type="cellIs" dxfId="1562" priority="1564" operator="lessThan">
      <formula>-105575</formula>
    </cfRule>
  </conditionalFormatting>
  <conditionalFormatting sqref="BB212 BB231 BB233:BB238 BB240:BB243 BB225">
    <cfRule type="cellIs" dxfId="1561" priority="1561" operator="lessThan">
      <formula>0</formula>
    </cfRule>
    <cfRule type="cellIs" dxfId="1560" priority="1562" operator="lessThan">
      <formula>-105575</formula>
    </cfRule>
  </conditionalFormatting>
  <conditionalFormatting sqref="BB237:BB243 BB231:BB235 BB220:BB221 BB225:BB226">
    <cfRule type="cellIs" dxfId="1559" priority="1559" operator="lessThan">
      <formula>0</formula>
    </cfRule>
    <cfRule type="cellIs" dxfId="1558" priority="1560" operator="lessThan">
      <formula>-105575</formula>
    </cfRule>
  </conditionalFormatting>
  <conditionalFormatting sqref="BB233:BB237 BB231 BB239:BB243">
    <cfRule type="cellIs" dxfId="1557" priority="1557" operator="lessThan">
      <formula>0</formula>
    </cfRule>
    <cfRule type="cellIs" dxfId="1556" priority="1558" operator="lessThan">
      <formula>-105575</formula>
    </cfRule>
  </conditionalFormatting>
  <conditionalFormatting sqref="BB233:BB237 BB231 BB239:BB243">
    <cfRule type="cellIs" dxfId="1555" priority="1555" operator="lessThan">
      <formula>0</formula>
    </cfRule>
    <cfRule type="cellIs" dxfId="1554" priority="1556" operator="lessThan">
      <formula>-105575</formula>
    </cfRule>
  </conditionalFormatting>
  <conditionalFormatting sqref="BB119:BB128 BB106:BB117 BB101:BB104 BB80:BB98">
    <cfRule type="cellIs" dxfId="1553" priority="1553" operator="lessThan">
      <formula>0</formula>
    </cfRule>
    <cfRule type="cellIs" dxfId="1552" priority="1554" operator="lessThan">
      <formula>-105575</formula>
    </cfRule>
  </conditionalFormatting>
  <conditionalFormatting sqref="BB130 BB132 BB134">
    <cfRule type="cellIs" dxfId="1551" priority="1551" operator="lessThan">
      <formula>0</formula>
    </cfRule>
    <cfRule type="cellIs" dxfId="1550" priority="1552" operator="lessThan">
      <formula>-105575</formula>
    </cfRule>
  </conditionalFormatting>
  <conditionalFormatting sqref="BB130 BB132 BB134">
    <cfRule type="cellIs" dxfId="1549" priority="1549" operator="lessThan">
      <formula>0</formula>
    </cfRule>
    <cfRule type="cellIs" dxfId="1548" priority="1550" operator="lessThan">
      <formula>-105575</formula>
    </cfRule>
  </conditionalFormatting>
  <conditionalFormatting sqref="BB129 BB131 BB133 BB135">
    <cfRule type="cellIs" dxfId="1547" priority="1547" operator="lessThan">
      <formula>0</formula>
    </cfRule>
    <cfRule type="cellIs" dxfId="1546" priority="1548" operator="lessThan">
      <formula>-105575</formula>
    </cfRule>
  </conditionalFormatting>
  <conditionalFormatting sqref="BB140 BB145 BB142:BB143 BB137:BB138">
    <cfRule type="cellIs" dxfId="1545" priority="1545" operator="lessThan">
      <formula>0</formula>
    </cfRule>
    <cfRule type="cellIs" dxfId="1544" priority="1546" operator="lessThan">
      <formula>-105575</formula>
    </cfRule>
  </conditionalFormatting>
  <conditionalFormatting sqref="BB149">
    <cfRule type="cellIs" dxfId="1543" priority="1543" operator="lessThan">
      <formula>0</formula>
    </cfRule>
    <cfRule type="cellIs" dxfId="1542" priority="1544" operator="lessThan">
      <formula>-105575</formula>
    </cfRule>
  </conditionalFormatting>
  <conditionalFormatting sqref="BB129:BB138 BB140:BB149">
    <cfRule type="cellIs" dxfId="1541" priority="1541" operator="lessThan">
      <formula>0</formula>
    </cfRule>
    <cfRule type="cellIs" dxfId="1540" priority="1542" operator="lessThan">
      <formula>-105575</formula>
    </cfRule>
  </conditionalFormatting>
  <conditionalFormatting sqref="BB94:BB98 BB86:BB87 BB89:BB91 BB141:BB149 BB124:BB133 BB107:BB110 BB112:BB117 BB119:BB122 BB135:BB138 BB101:BB104 BB80:BB84">
    <cfRule type="cellIs" dxfId="1539" priority="1539" operator="lessThan">
      <formula>0</formula>
    </cfRule>
    <cfRule type="cellIs" dxfId="1538" priority="1540" operator="lessThan">
      <formula>-105575</formula>
    </cfRule>
  </conditionalFormatting>
  <conditionalFormatting sqref="BB129 BB131 BB133 BB135">
    <cfRule type="cellIs" dxfId="1537" priority="1537" operator="lessThan">
      <formula>0</formula>
    </cfRule>
    <cfRule type="cellIs" dxfId="1536" priority="1538" operator="lessThan">
      <formula>-105575</formula>
    </cfRule>
  </conditionalFormatting>
  <conditionalFormatting sqref="BB146 BB144 BB141">
    <cfRule type="cellIs" dxfId="1535" priority="1535" operator="lessThan">
      <formula>0</formula>
    </cfRule>
    <cfRule type="cellIs" dxfId="1534" priority="1536" operator="lessThan">
      <formula>-105575</formula>
    </cfRule>
  </conditionalFormatting>
  <conditionalFormatting sqref="BB146 BB144 BB141">
    <cfRule type="cellIs" dxfId="1533" priority="1533" operator="lessThan">
      <formula>0</formula>
    </cfRule>
    <cfRule type="cellIs" dxfId="1532" priority="1534" operator="lessThan">
      <formula>-105575</formula>
    </cfRule>
  </conditionalFormatting>
  <conditionalFormatting sqref="BB140 BB145 BB142:BB143 BB137:BB138">
    <cfRule type="cellIs" dxfId="1531" priority="1531" operator="lessThan">
      <formula>0</formula>
    </cfRule>
    <cfRule type="cellIs" dxfId="1530" priority="1532" operator="lessThan">
      <formula>-105575</formula>
    </cfRule>
  </conditionalFormatting>
  <conditionalFormatting sqref="BB149">
    <cfRule type="cellIs" dxfId="1529" priority="1529" operator="lessThan">
      <formula>0</formula>
    </cfRule>
    <cfRule type="cellIs" dxfId="1528" priority="1530" operator="lessThan">
      <formula>-105575</formula>
    </cfRule>
  </conditionalFormatting>
  <conditionalFormatting sqref="BB94:BB98 BB86:BB87 BB89:BB91 BB141:BB149 BB124:BB133 BB107:BB110 BB112:BB117 BB119:BB122 BB135:BB138 BB101:BB104 BB80:BB84">
    <cfRule type="cellIs" dxfId="1527" priority="1527" operator="lessThan">
      <formula>0</formula>
    </cfRule>
    <cfRule type="cellIs" dxfId="1526" priority="1528" operator="lessThan">
      <formula>-105575</formula>
    </cfRule>
  </conditionalFormatting>
  <conditionalFormatting sqref="BB246:BB249 BB262 BB267 BB279:BB282 BB285:BB288 BB274:BB275 BB306:BB309 BB311:BB325 BB327:BB330 BB332:BB341 BB344:BB347 BB349:BB353 BB355:BB358 BB360:BB384 BB386:BB389 BB392:BB395 BB397:BB411 BB413:BB416 BB418:BB432 BB434:BB437 BB439:BB453 BB455:BB458 BB460:BB469 BB7:BB10 BB12:BB14 BB17:BB18 BB21:BB24 BB26:BB28 BB30:BB36 BB38 BB41:BB43 BB46:BB49 BB51:BB55 BB57:BB59 BB62:BB76 BB251:BB253 BB255:BB257 BB293:BB304 BB264:BB265 BB260 BB290:BB291 BB270:BB272">
    <cfRule type="cellIs" dxfId="1525" priority="1525" operator="lessThan">
      <formula>0</formula>
    </cfRule>
    <cfRule type="cellIs" dxfId="1524" priority="1526" operator="lessThan">
      <formula>-105575</formula>
    </cfRule>
  </conditionalFormatting>
  <conditionalFormatting sqref="BB41">
    <cfRule type="cellIs" dxfId="1523" priority="1523" operator="lessThan">
      <formula>0</formula>
    </cfRule>
    <cfRule type="cellIs" dxfId="1522" priority="1524" operator="lessThan">
      <formula>-105575</formula>
    </cfRule>
  </conditionalFormatting>
  <conditionalFormatting sqref="BB152:BB155">
    <cfRule type="cellIs" dxfId="1521" priority="1521" operator="lessThan">
      <formula>0</formula>
    </cfRule>
    <cfRule type="cellIs" dxfId="1520" priority="1522" operator="lessThan">
      <formula>-105575</formula>
    </cfRule>
  </conditionalFormatting>
  <conditionalFormatting sqref="BB152:BB155">
    <cfRule type="cellIs" dxfId="1519" priority="1519" operator="lessThan">
      <formula>0</formula>
    </cfRule>
    <cfRule type="cellIs" dxfId="1518" priority="1520" operator="lessThan">
      <formula>-105575</formula>
    </cfRule>
  </conditionalFormatting>
  <conditionalFormatting sqref="BB152:BB155">
    <cfRule type="cellIs" dxfId="1517" priority="1517" operator="lessThan">
      <formula>0</formula>
    </cfRule>
    <cfRule type="cellIs" dxfId="1516" priority="1518" operator="lessThan">
      <formula>-105575</formula>
    </cfRule>
  </conditionalFormatting>
  <conditionalFormatting sqref="BB157:BB158">
    <cfRule type="cellIs" dxfId="1515" priority="1515" operator="lessThan">
      <formula>0</formula>
    </cfRule>
    <cfRule type="cellIs" dxfId="1514" priority="1516" operator="lessThan">
      <formula>-105575</formula>
    </cfRule>
  </conditionalFormatting>
  <conditionalFormatting sqref="BB157:BB158">
    <cfRule type="cellIs" dxfId="1513" priority="1513" operator="lessThan">
      <formula>0</formula>
    </cfRule>
    <cfRule type="cellIs" dxfId="1512" priority="1514" operator="lessThan">
      <formula>-105575</formula>
    </cfRule>
  </conditionalFormatting>
  <conditionalFormatting sqref="BB157:BB158">
    <cfRule type="cellIs" dxfId="1511" priority="1511" operator="lessThan">
      <formula>0</formula>
    </cfRule>
    <cfRule type="cellIs" dxfId="1510" priority="1512" operator="lessThan">
      <formula>-105575</formula>
    </cfRule>
  </conditionalFormatting>
  <conditionalFormatting sqref="BB160:BB161">
    <cfRule type="cellIs" dxfId="1509" priority="1509" operator="lessThan">
      <formula>0</formula>
    </cfRule>
    <cfRule type="cellIs" dxfId="1508" priority="1510" operator="lessThan">
      <formula>-105575</formula>
    </cfRule>
  </conditionalFormatting>
  <conditionalFormatting sqref="BB160:BB161">
    <cfRule type="cellIs" dxfId="1507" priority="1507" operator="lessThan">
      <formula>0</formula>
    </cfRule>
    <cfRule type="cellIs" dxfId="1506" priority="1508" operator="lessThan">
      <formula>-105575</formula>
    </cfRule>
  </conditionalFormatting>
  <conditionalFormatting sqref="BB160:BB161">
    <cfRule type="cellIs" dxfId="1505" priority="1505" operator="lessThan">
      <formula>0</formula>
    </cfRule>
    <cfRule type="cellIs" dxfId="1504" priority="1506" operator="lessThan">
      <formula>-105575</formula>
    </cfRule>
  </conditionalFormatting>
  <conditionalFormatting sqref="BB164:BB167">
    <cfRule type="cellIs" dxfId="1503" priority="1503" operator="lessThan">
      <formula>0</formula>
    </cfRule>
    <cfRule type="cellIs" dxfId="1502" priority="1504" operator="lessThan">
      <formula>-105575</formula>
    </cfRule>
  </conditionalFormatting>
  <conditionalFormatting sqref="BB164:BB167">
    <cfRule type="cellIs" dxfId="1501" priority="1501" operator="lessThan">
      <formula>0</formula>
    </cfRule>
    <cfRule type="cellIs" dxfId="1500" priority="1502" operator="lessThan">
      <formula>-105575</formula>
    </cfRule>
  </conditionalFormatting>
  <conditionalFormatting sqref="BB164:BB167">
    <cfRule type="cellIs" dxfId="1499" priority="1499" operator="lessThan">
      <formula>0</formula>
    </cfRule>
    <cfRule type="cellIs" dxfId="1498" priority="1500" operator="lessThan">
      <formula>-105575</formula>
    </cfRule>
  </conditionalFormatting>
  <conditionalFormatting sqref="BB169:BB177">
    <cfRule type="cellIs" dxfId="1497" priority="1497" operator="lessThan">
      <formula>0</formula>
    </cfRule>
    <cfRule type="cellIs" dxfId="1496" priority="1498" operator="lessThan">
      <formula>-105575</formula>
    </cfRule>
  </conditionalFormatting>
  <conditionalFormatting sqref="BB169:BB177">
    <cfRule type="cellIs" dxfId="1495" priority="1495" operator="lessThan">
      <formula>0</formula>
    </cfRule>
    <cfRule type="cellIs" dxfId="1494" priority="1496" operator="lessThan">
      <formula>-105575</formula>
    </cfRule>
  </conditionalFormatting>
  <conditionalFormatting sqref="BB169:BB177">
    <cfRule type="cellIs" dxfId="1493" priority="1493" operator="lessThan">
      <formula>0</formula>
    </cfRule>
    <cfRule type="cellIs" dxfId="1492" priority="1494" operator="lessThan">
      <formula>-105575</formula>
    </cfRule>
  </conditionalFormatting>
  <conditionalFormatting sqref="BB179:BB180">
    <cfRule type="cellIs" dxfId="1491" priority="1491" operator="lessThan">
      <formula>0</formula>
    </cfRule>
    <cfRule type="cellIs" dxfId="1490" priority="1492" operator="lessThan">
      <formula>-105575</formula>
    </cfRule>
  </conditionalFormatting>
  <conditionalFormatting sqref="BB179:BB180">
    <cfRule type="cellIs" dxfId="1489" priority="1489" operator="lessThan">
      <formula>0</formula>
    </cfRule>
    <cfRule type="cellIs" dxfId="1488" priority="1490" operator="lessThan">
      <formula>-105575</formula>
    </cfRule>
  </conditionalFormatting>
  <conditionalFormatting sqref="BB179:BB180">
    <cfRule type="cellIs" dxfId="1487" priority="1487" operator="lessThan">
      <formula>0</formula>
    </cfRule>
    <cfRule type="cellIs" dxfId="1486" priority="1488" operator="lessThan">
      <formula>-105575</formula>
    </cfRule>
  </conditionalFormatting>
  <conditionalFormatting sqref="BB183:BB189">
    <cfRule type="cellIs" dxfId="1485" priority="1485" operator="lessThan">
      <formula>0</formula>
    </cfRule>
    <cfRule type="cellIs" dxfId="1484" priority="1486" operator="lessThan">
      <formula>-105575</formula>
    </cfRule>
  </conditionalFormatting>
  <conditionalFormatting sqref="BB183:BB189">
    <cfRule type="cellIs" dxfId="1483" priority="1483" operator="lessThan">
      <formula>0</formula>
    </cfRule>
    <cfRule type="cellIs" dxfId="1482" priority="1484" operator="lessThan">
      <formula>-105575</formula>
    </cfRule>
  </conditionalFormatting>
  <conditionalFormatting sqref="BB183:BB189">
    <cfRule type="cellIs" dxfId="1481" priority="1481" operator="lessThan">
      <formula>0</formula>
    </cfRule>
    <cfRule type="cellIs" dxfId="1480" priority="1482" operator="lessThan">
      <formula>-105575</formula>
    </cfRule>
  </conditionalFormatting>
  <conditionalFormatting sqref="BB191:BB192">
    <cfRule type="cellIs" dxfId="1479" priority="1479" operator="lessThan">
      <formula>0</formula>
    </cfRule>
    <cfRule type="cellIs" dxfId="1478" priority="1480" operator="lessThan">
      <formula>-105575</formula>
    </cfRule>
  </conditionalFormatting>
  <conditionalFormatting sqref="BB191:BB192">
    <cfRule type="cellIs" dxfId="1477" priority="1477" operator="lessThan">
      <formula>0</formula>
    </cfRule>
    <cfRule type="cellIs" dxfId="1476" priority="1478" operator="lessThan">
      <formula>-105575</formula>
    </cfRule>
  </conditionalFormatting>
  <conditionalFormatting sqref="BB191:BB192">
    <cfRule type="cellIs" dxfId="1475" priority="1475" operator="lessThan">
      <formula>0</formula>
    </cfRule>
    <cfRule type="cellIs" dxfId="1474" priority="1476" operator="lessThan">
      <formula>-105575</formula>
    </cfRule>
  </conditionalFormatting>
  <conditionalFormatting sqref="BB194:BB195">
    <cfRule type="cellIs" dxfId="1473" priority="1473" operator="lessThan">
      <formula>0</formula>
    </cfRule>
    <cfRule type="cellIs" dxfId="1472" priority="1474" operator="lessThan">
      <formula>-105575</formula>
    </cfRule>
  </conditionalFormatting>
  <conditionalFormatting sqref="BB194:BB195">
    <cfRule type="cellIs" dxfId="1471" priority="1471" operator="lessThan">
      <formula>0</formula>
    </cfRule>
    <cfRule type="cellIs" dxfId="1470" priority="1472" operator="lessThan">
      <formula>-105575</formula>
    </cfRule>
  </conditionalFormatting>
  <conditionalFormatting sqref="BB194:BB195">
    <cfRule type="cellIs" dxfId="1469" priority="1469" operator="lessThan">
      <formula>0</formula>
    </cfRule>
    <cfRule type="cellIs" dxfId="1468" priority="1470" operator="lessThan">
      <formula>-105575</formula>
    </cfRule>
  </conditionalFormatting>
  <conditionalFormatting sqref="BB199:BB202">
    <cfRule type="cellIs" dxfId="1467" priority="1467" operator="lessThan">
      <formula>0</formula>
    </cfRule>
    <cfRule type="cellIs" dxfId="1466" priority="1468" operator="lessThan">
      <formula>-105575</formula>
    </cfRule>
  </conditionalFormatting>
  <conditionalFormatting sqref="BB199:BB202">
    <cfRule type="cellIs" dxfId="1465" priority="1465" operator="lessThan">
      <formula>0</formula>
    </cfRule>
    <cfRule type="cellIs" dxfId="1464" priority="1466" operator="lessThan">
      <formula>-105575</formula>
    </cfRule>
  </conditionalFormatting>
  <conditionalFormatting sqref="BB199:BB202">
    <cfRule type="cellIs" dxfId="1463" priority="1463" operator="lessThan">
      <formula>0</formula>
    </cfRule>
    <cfRule type="cellIs" dxfId="1462" priority="1464" operator="lessThan">
      <formula>-105575</formula>
    </cfRule>
  </conditionalFormatting>
  <conditionalFormatting sqref="BB204:BB208">
    <cfRule type="cellIs" dxfId="1461" priority="1461" operator="lessThan">
      <formula>0</formula>
    </cfRule>
    <cfRule type="cellIs" dxfId="1460" priority="1462" operator="lessThan">
      <formula>-105575</formula>
    </cfRule>
  </conditionalFormatting>
  <conditionalFormatting sqref="BB204:BB208">
    <cfRule type="cellIs" dxfId="1459" priority="1459" operator="lessThan">
      <formula>0</formula>
    </cfRule>
    <cfRule type="cellIs" dxfId="1458" priority="1460" operator="lessThan">
      <formula>-105575</formula>
    </cfRule>
  </conditionalFormatting>
  <conditionalFormatting sqref="BB204:BB208">
    <cfRule type="cellIs" dxfId="1457" priority="1457" operator="lessThan">
      <formula>0</formula>
    </cfRule>
    <cfRule type="cellIs" dxfId="1456" priority="1458" operator="lessThan">
      <formula>-105575</formula>
    </cfRule>
  </conditionalFormatting>
  <conditionalFormatting sqref="BB210:BB211">
    <cfRule type="cellIs" dxfId="1455" priority="1455" operator="lessThan">
      <formula>0</formula>
    </cfRule>
    <cfRule type="cellIs" dxfId="1454" priority="1456" operator="lessThan">
      <formula>-105575</formula>
    </cfRule>
  </conditionalFormatting>
  <conditionalFormatting sqref="BB210:BB211">
    <cfRule type="cellIs" dxfId="1453" priority="1453" operator="lessThan">
      <formula>0</formula>
    </cfRule>
    <cfRule type="cellIs" dxfId="1452" priority="1454" operator="lessThan">
      <formula>-105575</formula>
    </cfRule>
  </conditionalFormatting>
  <conditionalFormatting sqref="BB210:BB211">
    <cfRule type="cellIs" dxfId="1451" priority="1451" operator="lessThan">
      <formula>0</formula>
    </cfRule>
    <cfRule type="cellIs" dxfId="1450" priority="1452" operator="lessThan">
      <formula>-105575</formula>
    </cfRule>
  </conditionalFormatting>
  <conditionalFormatting sqref="BB214:BB219">
    <cfRule type="cellIs" dxfId="1449" priority="1449" operator="lessThan">
      <formula>0</formula>
    </cfRule>
    <cfRule type="cellIs" dxfId="1448" priority="1450" operator="lessThan">
      <formula>-105575</formula>
    </cfRule>
  </conditionalFormatting>
  <conditionalFormatting sqref="BB214:BB219">
    <cfRule type="cellIs" dxfId="1447" priority="1447" operator="lessThan">
      <formula>0</formula>
    </cfRule>
    <cfRule type="cellIs" dxfId="1446" priority="1448" operator="lessThan">
      <formula>-105575</formula>
    </cfRule>
  </conditionalFormatting>
  <conditionalFormatting sqref="BB214:BB219">
    <cfRule type="cellIs" dxfId="1445" priority="1445" operator="lessThan">
      <formula>0</formula>
    </cfRule>
    <cfRule type="cellIs" dxfId="1444" priority="1446" operator="lessThan">
      <formula>-105575</formula>
    </cfRule>
  </conditionalFormatting>
  <conditionalFormatting sqref="BB222:BB224">
    <cfRule type="cellIs" dxfId="1443" priority="1443" operator="lessThan">
      <formula>0</formula>
    </cfRule>
    <cfRule type="cellIs" dxfId="1442" priority="1444" operator="lessThan">
      <formula>-105575</formula>
    </cfRule>
  </conditionalFormatting>
  <conditionalFormatting sqref="BB222:BB224">
    <cfRule type="cellIs" dxfId="1441" priority="1441" operator="lessThan">
      <formula>0</formula>
    </cfRule>
    <cfRule type="cellIs" dxfId="1440" priority="1442" operator="lessThan">
      <formula>-105575</formula>
    </cfRule>
  </conditionalFormatting>
  <conditionalFormatting sqref="BB222:BB224">
    <cfRule type="cellIs" dxfId="1439" priority="1439" operator="lessThan">
      <formula>0</formula>
    </cfRule>
    <cfRule type="cellIs" dxfId="1438" priority="1440" operator="lessThan">
      <formula>-105575</formula>
    </cfRule>
  </conditionalFormatting>
  <conditionalFormatting sqref="BB227:BB230">
    <cfRule type="cellIs" dxfId="1437" priority="1437" operator="lessThan">
      <formula>0</formula>
    </cfRule>
    <cfRule type="cellIs" dxfId="1436" priority="1438" operator="lessThan">
      <formula>-105575</formula>
    </cfRule>
  </conditionalFormatting>
  <conditionalFormatting sqref="BB227:BB230">
    <cfRule type="cellIs" dxfId="1435" priority="1435" operator="lessThan">
      <formula>0</formula>
    </cfRule>
    <cfRule type="cellIs" dxfId="1434" priority="1436" operator="lessThan">
      <formula>-105575</formula>
    </cfRule>
  </conditionalFormatting>
  <conditionalFormatting sqref="BB227:BB230">
    <cfRule type="cellIs" dxfId="1433" priority="1433" operator="lessThan">
      <formula>0</formula>
    </cfRule>
    <cfRule type="cellIs" dxfId="1432" priority="1434" operator="lessThan">
      <formula>-105575</formula>
    </cfRule>
  </conditionalFormatting>
  <conditionalFormatting sqref="BB203 BB220:BB221 BB235:BB243 BB231:BB233 BB212:BB213 BB225:BB226">
    <cfRule type="cellIs" dxfId="1431" priority="1431" operator="lessThan">
      <formula>0</formula>
    </cfRule>
    <cfRule type="cellIs" dxfId="1430" priority="1432" operator="lessThan">
      <formula>-105575</formula>
    </cfRule>
  </conditionalFormatting>
  <conditionalFormatting sqref="BB220 BB212:BB213 BB235:BB238 BB240:BB243 BB225:BB226 BB231:BB233">
    <cfRule type="cellIs" dxfId="1429" priority="1429" operator="lessThan">
      <formula>0</formula>
    </cfRule>
    <cfRule type="cellIs" dxfId="1428" priority="1430" operator="lessThan">
      <formula>-105575</formula>
    </cfRule>
  </conditionalFormatting>
  <conditionalFormatting sqref="BB220:BB221 BB243 BB226 BB231:BB236 BB238:BB241 BB203 BB213">
    <cfRule type="cellIs" dxfId="1427" priority="1427" operator="lessThan">
      <formula>0</formula>
    </cfRule>
    <cfRule type="cellIs" dxfId="1426" priority="1428" operator="lessThan">
      <formula>-105575</formula>
    </cfRule>
  </conditionalFormatting>
  <conditionalFormatting sqref="BB235:BB243 BB231:BB233 BB220 BB212:BB213 BB225:BB226">
    <cfRule type="cellIs" dxfId="1425" priority="1425" operator="lessThan">
      <formula>0</formula>
    </cfRule>
    <cfRule type="cellIs" dxfId="1424" priority="1426" operator="lessThan">
      <formula>-105575</formula>
    </cfRule>
  </conditionalFormatting>
  <conditionalFormatting sqref="BB220:BB221 BB237:BB243 BB203 BB231:BB235 BB212:BB213 BB225:BB226">
    <cfRule type="cellIs" dxfId="1423" priority="1423" operator="lessThan">
      <formula>0</formula>
    </cfRule>
    <cfRule type="cellIs" dxfId="1422" priority="1424" operator="lessThan">
      <formula>-105575</formula>
    </cfRule>
  </conditionalFormatting>
  <conditionalFormatting sqref="BB220:BB221 BB237:BB240 BB242:BB243 BB225:BB226 BB231:BB235">
    <cfRule type="cellIs" dxfId="1421" priority="1421" operator="lessThan">
      <formula>0</formula>
    </cfRule>
    <cfRule type="cellIs" dxfId="1420" priority="1422" operator="lessThan">
      <formula>-105575</formula>
    </cfRule>
  </conditionalFormatting>
  <conditionalFormatting sqref="BB212 BB231 BB233:BB238 BB240:BB243 BB225">
    <cfRule type="cellIs" dxfId="1419" priority="1419" operator="lessThan">
      <formula>0</formula>
    </cfRule>
    <cfRule type="cellIs" dxfId="1418" priority="1420" operator="lessThan">
      <formula>-105575</formula>
    </cfRule>
  </conditionalFormatting>
  <conditionalFormatting sqref="BB237:BB243 BB231:BB235 BB220:BB221 BB225:BB226">
    <cfRule type="cellIs" dxfId="1417" priority="1417" operator="lessThan">
      <formula>0</formula>
    </cfRule>
    <cfRule type="cellIs" dxfId="1416" priority="1418" operator="lessThan">
      <formula>-105575</formula>
    </cfRule>
  </conditionalFormatting>
  <conditionalFormatting sqref="BB233:BB237 BB231 BB239:BB243">
    <cfRule type="cellIs" dxfId="1415" priority="1415" operator="lessThan">
      <formula>0</formula>
    </cfRule>
    <cfRule type="cellIs" dxfId="1414" priority="1416" operator="lessThan">
      <formula>-105575</formula>
    </cfRule>
  </conditionalFormatting>
  <conditionalFormatting sqref="BB233:BB237 BB231 BB239:BB243">
    <cfRule type="cellIs" dxfId="1413" priority="1413" operator="lessThan">
      <formula>0</formula>
    </cfRule>
    <cfRule type="cellIs" dxfId="1412" priority="1414" operator="lessThan">
      <formula>-105575</formula>
    </cfRule>
  </conditionalFormatting>
  <conditionalFormatting sqref="BB119:BB128 BB106:BB117 BB101:BB104 BB80:BB98">
    <cfRule type="cellIs" dxfId="1411" priority="1411" operator="lessThan">
      <formula>0</formula>
    </cfRule>
    <cfRule type="cellIs" dxfId="1410" priority="1412" operator="lessThan">
      <formula>-105575</formula>
    </cfRule>
  </conditionalFormatting>
  <conditionalFormatting sqref="BB130 BB132 BB134">
    <cfRule type="cellIs" dxfId="1409" priority="1409" operator="lessThan">
      <formula>0</formula>
    </cfRule>
    <cfRule type="cellIs" dxfId="1408" priority="1410" operator="lessThan">
      <formula>-105575</formula>
    </cfRule>
  </conditionalFormatting>
  <conditionalFormatting sqref="BB130 BB132 BB134">
    <cfRule type="cellIs" dxfId="1407" priority="1407" operator="lessThan">
      <formula>0</formula>
    </cfRule>
    <cfRule type="cellIs" dxfId="1406" priority="1408" operator="lessThan">
      <formula>-105575</formula>
    </cfRule>
  </conditionalFormatting>
  <conditionalFormatting sqref="BB129 BB131 BB133 BB135">
    <cfRule type="cellIs" dxfId="1405" priority="1405" operator="lessThan">
      <formula>0</formula>
    </cfRule>
    <cfRule type="cellIs" dxfId="1404" priority="1406" operator="lessThan">
      <formula>-105575</formula>
    </cfRule>
  </conditionalFormatting>
  <conditionalFormatting sqref="BB140 BB145 BB142:BB143 BB137:BB138">
    <cfRule type="cellIs" dxfId="1403" priority="1403" operator="lessThan">
      <formula>0</formula>
    </cfRule>
    <cfRule type="cellIs" dxfId="1402" priority="1404" operator="lessThan">
      <formula>-105575</formula>
    </cfRule>
  </conditionalFormatting>
  <conditionalFormatting sqref="BB149">
    <cfRule type="cellIs" dxfId="1401" priority="1401" operator="lessThan">
      <formula>0</formula>
    </cfRule>
    <cfRule type="cellIs" dxfId="1400" priority="1402" operator="lessThan">
      <formula>-105575</formula>
    </cfRule>
  </conditionalFormatting>
  <conditionalFormatting sqref="BB129:BB138 BB140:BB149">
    <cfRule type="cellIs" dxfId="1399" priority="1399" operator="lessThan">
      <formula>0</formula>
    </cfRule>
    <cfRule type="cellIs" dxfId="1398" priority="1400" operator="lessThan">
      <formula>-105575</formula>
    </cfRule>
  </conditionalFormatting>
  <conditionalFormatting sqref="BB94:BB98 BB86:BB87 BB89:BB91 BB141:BB149 BB124:BB133 BB107:BB110 BB112:BB117 BB119:BB122 BB135:BB138 BB101:BB104 BB80:BB84">
    <cfRule type="cellIs" dxfId="1397" priority="1397" operator="lessThan">
      <formula>0</formula>
    </cfRule>
    <cfRule type="cellIs" dxfId="1396" priority="1398" operator="lessThan">
      <formula>-105575</formula>
    </cfRule>
  </conditionalFormatting>
  <conditionalFormatting sqref="BB129 BB131 BB133 BB135">
    <cfRule type="cellIs" dxfId="1395" priority="1395" operator="lessThan">
      <formula>0</formula>
    </cfRule>
    <cfRule type="cellIs" dxfId="1394" priority="1396" operator="lessThan">
      <formula>-105575</formula>
    </cfRule>
  </conditionalFormatting>
  <conditionalFormatting sqref="BB146 BB144 BB141">
    <cfRule type="cellIs" dxfId="1393" priority="1393" operator="lessThan">
      <formula>0</formula>
    </cfRule>
    <cfRule type="cellIs" dxfId="1392" priority="1394" operator="lessThan">
      <formula>-105575</formula>
    </cfRule>
  </conditionalFormatting>
  <conditionalFormatting sqref="BB146 BB144 BB141">
    <cfRule type="cellIs" dxfId="1391" priority="1391" operator="lessThan">
      <formula>0</formula>
    </cfRule>
    <cfRule type="cellIs" dxfId="1390" priority="1392" operator="lessThan">
      <formula>-105575</formula>
    </cfRule>
  </conditionalFormatting>
  <conditionalFormatting sqref="BB140 BB145 BB142:BB143 BB137:BB138">
    <cfRule type="cellIs" dxfId="1389" priority="1389" operator="lessThan">
      <formula>0</formula>
    </cfRule>
    <cfRule type="cellIs" dxfId="1388" priority="1390" operator="lessThan">
      <formula>-105575</formula>
    </cfRule>
  </conditionalFormatting>
  <conditionalFormatting sqref="BB149">
    <cfRule type="cellIs" dxfId="1387" priority="1387" operator="lessThan">
      <formula>0</formula>
    </cfRule>
    <cfRule type="cellIs" dxfId="1386" priority="1388" operator="lessThan">
      <formula>-105575</formula>
    </cfRule>
  </conditionalFormatting>
  <conditionalFormatting sqref="BB94:BB98 BB86:BB87 BB89:BB91 BB141:BB149 BB124:BB133 BB107:BB110 BB112:BB117 BB119:BB122 BB135:BB138 BB101:BB104 BB80:BB84">
    <cfRule type="cellIs" dxfId="1385" priority="1385" operator="lessThan">
      <formula>0</formula>
    </cfRule>
    <cfRule type="cellIs" dxfId="1384" priority="1386" operator="lessThan">
      <formula>-105575</formula>
    </cfRule>
  </conditionalFormatting>
  <conditionalFormatting sqref="BB62:BB76 BB306:BB309 BB311:BB325 BB327:BB330 BB332:BB341 BB344:BB347 BB349:BB353 BB355:BB358 BB360:BB384 BB386:BB389 BB392:BB395 BB397:BB411 BB413:BB416 BB418:BB432 BB434:BB437 BB439:BB453 BB455:BB458 BB460:BB469 BB7:BB10 BB12:BB14 BB17:BB18 BB21:BB24 BB26:BB28 BB30:BB36 BB38 BB41:BB43 BB46:BB49 BB51:BB55 BB57:BB59 BB290:BB291 BB293:BB304">
    <cfRule type="cellIs" dxfId="1383" priority="1383" operator="lessThan">
      <formula>0</formula>
    </cfRule>
    <cfRule type="cellIs" dxfId="1382" priority="1384" operator="lessThan">
      <formula>-105575</formula>
    </cfRule>
  </conditionalFormatting>
  <conditionalFormatting sqref="BB41">
    <cfRule type="cellIs" dxfId="1381" priority="1381" operator="lessThan">
      <formula>0</formula>
    </cfRule>
    <cfRule type="cellIs" dxfId="1380" priority="1382" operator="lessThan">
      <formula>-105575</formula>
    </cfRule>
  </conditionalFormatting>
  <conditionalFormatting sqref="BB152:BB155">
    <cfRule type="cellIs" dxfId="1379" priority="1379" operator="lessThan">
      <formula>0</formula>
    </cfRule>
    <cfRule type="cellIs" dxfId="1378" priority="1380" operator="lessThan">
      <formula>-105575</formula>
    </cfRule>
  </conditionalFormatting>
  <conditionalFormatting sqref="BB152:BB155">
    <cfRule type="cellIs" dxfId="1377" priority="1377" operator="lessThan">
      <formula>0</formula>
    </cfRule>
    <cfRule type="cellIs" dxfId="1376" priority="1378" operator="lessThan">
      <formula>-105575</formula>
    </cfRule>
  </conditionalFormatting>
  <conditionalFormatting sqref="BB152:BB155">
    <cfRule type="cellIs" dxfId="1375" priority="1375" operator="lessThan">
      <formula>0</formula>
    </cfRule>
    <cfRule type="cellIs" dxfId="1374" priority="1376" operator="lessThan">
      <formula>-105575</formula>
    </cfRule>
  </conditionalFormatting>
  <conditionalFormatting sqref="BB157:BB158">
    <cfRule type="cellIs" dxfId="1373" priority="1373" operator="lessThan">
      <formula>0</formula>
    </cfRule>
    <cfRule type="cellIs" dxfId="1372" priority="1374" operator="lessThan">
      <formula>-105575</formula>
    </cfRule>
  </conditionalFormatting>
  <conditionalFormatting sqref="BB157:BB158">
    <cfRule type="cellIs" dxfId="1371" priority="1371" operator="lessThan">
      <formula>0</formula>
    </cfRule>
    <cfRule type="cellIs" dxfId="1370" priority="1372" operator="lessThan">
      <formula>-105575</formula>
    </cfRule>
  </conditionalFormatting>
  <conditionalFormatting sqref="BB157:BB158">
    <cfRule type="cellIs" dxfId="1369" priority="1369" operator="lessThan">
      <formula>0</formula>
    </cfRule>
    <cfRule type="cellIs" dxfId="1368" priority="1370" operator="lessThan">
      <formula>-105575</formula>
    </cfRule>
  </conditionalFormatting>
  <conditionalFormatting sqref="BB160:BB161">
    <cfRule type="cellIs" dxfId="1367" priority="1367" operator="lessThan">
      <formula>0</formula>
    </cfRule>
    <cfRule type="cellIs" dxfId="1366" priority="1368" operator="lessThan">
      <formula>-105575</formula>
    </cfRule>
  </conditionalFormatting>
  <conditionalFormatting sqref="BB160:BB161">
    <cfRule type="cellIs" dxfId="1365" priority="1365" operator="lessThan">
      <formula>0</formula>
    </cfRule>
    <cfRule type="cellIs" dxfId="1364" priority="1366" operator="lessThan">
      <formula>-105575</formula>
    </cfRule>
  </conditionalFormatting>
  <conditionalFormatting sqref="BB160:BB161">
    <cfRule type="cellIs" dxfId="1363" priority="1363" operator="lessThan">
      <formula>0</formula>
    </cfRule>
    <cfRule type="cellIs" dxfId="1362" priority="1364" operator="lessThan">
      <formula>-105575</formula>
    </cfRule>
  </conditionalFormatting>
  <conditionalFormatting sqref="BB164:BB167">
    <cfRule type="cellIs" dxfId="1361" priority="1361" operator="lessThan">
      <formula>0</formula>
    </cfRule>
    <cfRule type="cellIs" dxfId="1360" priority="1362" operator="lessThan">
      <formula>-105575</formula>
    </cfRule>
  </conditionalFormatting>
  <conditionalFormatting sqref="BB164:BB167">
    <cfRule type="cellIs" dxfId="1359" priority="1359" operator="lessThan">
      <formula>0</formula>
    </cfRule>
    <cfRule type="cellIs" dxfId="1358" priority="1360" operator="lessThan">
      <formula>-105575</formula>
    </cfRule>
  </conditionalFormatting>
  <conditionalFormatting sqref="BB164:BB167">
    <cfRule type="cellIs" dxfId="1357" priority="1357" operator="lessThan">
      <formula>0</formula>
    </cfRule>
    <cfRule type="cellIs" dxfId="1356" priority="1358" operator="lessThan">
      <formula>-105575</formula>
    </cfRule>
  </conditionalFormatting>
  <conditionalFormatting sqref="BB169:BB177">
    <cfRule type="cellIs" dxfId="1355" priority="1355" operator="lessThan">
      <formula>0</formula>
    </cfRule>
    <cfRule type="cellIs" dxfId="1354" priority="1356" operator="lessThan">
      <formula>-105575</formula>
    </cfRule>
  </conditionalFormatting>
  <conditionalFormatting sqref="BB169:BB177">
    <cfRule type="cellIs" dxfId="1353" priority="1353" operator="lessThan">
      <formula>0</formula>
    </cfRule>
    <cfRule type="cellIs" dxfId="1352" priority="1354" operator="lessThan">
      <formula>-105575</formula>
    </cfRule>
  </conditionalFormatting>
  <conditionalFormatting sqref="BB169:BB177">
    <cfRule type="cellIs" dxfId="1351" priority="1351" operator="lessThan">
      <formula>0</formula>
    </cfRule>
    <cfRule type="cellIs" dxfId="1350" priority="1352" operator="lessThan">
      <formula>-105575</formula>
    </cfRule>
  </conditionalFormatting>
  <conditionalFormatting sqref="BB179:BB180">
    <cfRule type="cellIs" dxfId="1349" priority="1349" operator="lessThan">
      <formula>0</formula>
    </cfRule>
    <cfRule type="cellIs" dxfId="1348" priority="1350" operator="lessThan">
      <formula>-105575</formula>
    </cfRule>
  </conditionalFormatting>
  <conditionalFormatting sqref="BB179:BB180">
    <cfRule type="cellIs" dxfId="1347" priority="1347" operator="lessThan">
      <formula>0</formula>
    </cfRule>
    <cfRule type="cellIs" dxfId="1346" priority="1348" operator="lessThan">
      <formula>-105575</formula>
    </cfRule>
  </conditionalFormatting>
  <conditionalFormatting sqref="BB179:BB180">
    <cfRule type="cellIs" dxfId="1345" priority="1345" operator="lessThan">
      <formula>0</formula>
    </cfRule>
    <cfRule type="cellIs" dxfId="1344" priority="1346" operator="lessThan">
      <formula>-105575</formula>
    </cfRule>
  </conditionalFormatting>
  <conditionalFormatting sqref="BB183:BB189">
    <cfRule type="cellIs" dxfId="1343" priority="1343" operator="lessThan">
      <formula>0</formula>
    </cfRule>
    <cfRule type="cellIs" dxfId="1342" priority="1344" operator="lessThan">
      <formula>-105575</formula>
    </cfRule>
  </conditionalFormatting>
  <conditionalFormatting sqref="BB183:BB189">
    <cfRule type="cellIs" dxfId="1341" priority="1341" operator="lessThan">
      <formula>0</formula>
    </cfRule>
    <cfRule type="cellIs" dxfId="1340" priority="1342" operator="lessThan">
      <formula>-105575</formula>
    </cfRule>
  </conditionalFormatting>
  <conditionalFormatting sqref="BB183:BB189">
    <cfRule type="cellIs" dxfId="1339" priority="1339" operator="lessThan">
      <formula>0</formula>
    </cfRule>
    <cfRule type="cellIs" dxfId="1338" priority="1340" operator="lessThan">
      <formula>-105575</formula>
    </cfRule>
  </conditionalFormatting>
  <conditionalFormatting sqref="BB191:BB192">
    <cfRule type="cellIs" dxfId="1337" priority="1337" operator="lessThan">
      <formula>0</formula>
    </cfRule>
    <cfRule type="cellIs" dxfId="1336" priority="1338" operator="lessThan">
      <formula>-105575</formula>
    </cfRule>
  </conditionalFormatting>
  <conditionalFormatting sqref="BB191:BB192">
    <cfRule type="cellIs" dxfId="1335" priority="1335" operator="lessThan">
      <formula>0</formula>
    </cfRule>
    <cfRule type="cellIs" dxfId="1334" priority="1336" operator="lessThan">
      <formula>-105575</formula>
    </cfRule>
  </conditionalFormatting>
  <conditionalFormatting sqref="BB191:BB192">
    <cfRule type="cellIs" dxfId="1333" priority="1333" operator="lessThan">
      <formula>0</formula>
    </cfRule>
    <cfRule type="cellIs" dxfId="1332" priority="1334" operator="lessThan">
      <formula>-105575</formula>
    </cfRule>
  </conditionalFormatting>
  <conditionalFormatting sqref="BB194:BB195">
    <cfRule type="cellIs" dxfId="1331" priority="1331" operator="lessThan">
      <formula>0</formula>
    </cfRule>
    <cfRule type="cellIs" dxfId="1330" priority="1332" operator="lessThan">
      <formula>-105575</formula>
    </cfRule>
  </conditionalFormatting>
  <conditionalFormatting sqref="BB194:BB195">
    <cfRule type="cellIs" dxfId="1329" priority="1329" operator="lessThan">
      <formula>0</formula>
    </cfRule>
    <cfRule type="cellIs" dxfId="1328" priority="1330" operator="lessThan">
      <formula>-105575</formula>
    </cfRule>
  </conditionalFormatting>
  <conditionalFormatting sqref="BB194:BB195">
    <cfRule type="cellIs" dxfId="1327" priority="1327" operator="lessThan">
      <formula>0</formula>
    </cfRule>
    <cfRule type="cellIs" dxfId="1326" priority="1328" operator="lessThan">
      <formula>-105575</formula>
    </cfRule>
  </conditionalFormatting>
  <conditionalFormatting sqref="BB199:BB202">
    <cfRule type="cellIs" dxfId="1325" priority="1325" operator="lessThan">
      <formula>0</formula>
    </cfRule>
    <cfRule type="cellIs" dxfId="1324" priority="1326" operator="lessThan">
      <formula>-105575</formula>
    </cfRule>
  </conditionalFormatting>
  <conditionalFormatting sqref="BB199:BB202">
    <cfRule type="cellIs" dxfId="1323" priority="1323" operator="lessThan">
      <formula>0</formula>
    </cfRule>
    <cfRule type="cellIs" dxfId="1322" priority="1324" operator="lessThan">
      <formula>-105575</formula>
    </cfRule>
  </conditionalFormatting>
  <conditionalFormatting sqref="BB199:BB202">
    <cfRule type="cellIs" dxfId="1321" priority="1321" operator="lessThan">
      <formula>0</formula>
    </cfRule>
    <cfRule type="cellIs" dxfId="1320" priority="1322" operator="lessThan">
      <formula>-105575</formula>
    </cfRule>
  </conditionalFormatting>
  <conditionalFormatting sqref="BB204:BB208">
    <cfRule type="cellIs" dxfId="1319" priority="1319" operator="lessThan">
      <formula>0</formula>
    </cfRule>
    <cfRule type="cellIs" dxfId="1318" priority="1320" operator="lessThan">
      <formula>-105575</formula>
    </cfRule>
  </conditionalFormatting>
  <conditionalFormatting sqref="BB204:BB208">
    <cfRule type="cellIs" dxfId="1317" priority="1317" operator="lessThan">
      <formula>0</formula>
    </cfRule>
    <cfRule type="cellIs" dxfId="1316" priority="1318" operator="lessThan">
      <formula>-105575</formula>
    </cfRule>
  </conditionalFormatting>
  <conditionalFormatting sqref="BB204:BB208">
    <cfRule type="cellIs" dxfId="1315" priority="1315" operator="lessThan">
      <formula>0</formula>
    </cfRule>
    <cfRule type="cellIs" dxfId="1314" priority="1316" operator="lessThan">
      <formula>-105575</formula>
    </cfRule>
  </conditionalFormatting>
  <conditionalFormatting sqref="BB210:BB211">
    <cfRule type="cellIs" dxfId="1313" priority="1313" operator="lessThan">
      <formula>0</formula>
    </cfRule>
    <cfRule type="cellIs" dxfId="1312" priority="1314" operator="lessThan">
      <formula>-105575</formula>
    </cfRule>
  </conditionalFormatting>
  <conditionalFormatting sqref="BB210:BB211">
    <cfRule type="cellIs" dxfId="1311" priority="1311" operator="lessThan">
      <formula>0</formula>
    </cfRule>
    <cfRule type="cellIs" dxfId="1310" priority="1312" operator="lessThan">
      <formula>-105575</formula>
    </cfRule>
  </conditionalFormatting>
  <conditionalFormatting sqref="BB210:BB211">
    <cfRule type="cellIs" dxfId="1309" priority="1309" operator="lessThan">
      <formula>0</formula>
    </cfRule>
    <cfRule type="cellIs" dxfId="1308" priority="1310" operator="lessThan">
      <formula>-105575</formula>
    </cfRule>
  </conditionalFormatting>
  <conditionalFormatting sqref="BB214:BB219">
    <cfRule type="cellIs" dxfId="1307" priority="1307" operator="lessThan">
      <formula>0</formula>
    </cfRule>
    <cfRule type="cellIs" dxfId="1306" priority="1308" operator="lessThan">
      <formula>-105575</formula>
    </cfRule>
  </conditionalFormatting>
  <conditionalFormatting sqref="BB214:BB219">
    <cfRule type="cellIs" dxfId="1305" priority="1305" operator="lessThan">
      <formula>0</formula>
    </cfRule>
    <cfRule type="cellIs" dxfId="1304" priority="1306" operator="lessThan">
      <formula>-105575</formula>
    </cfRule>
  </conditionalFormatting>
  <conditionalFormatting sqref="BB214:BB219">
    <cfRule type="cellIs" dxfId="1303" priority="1303" operator="lessThan">
      <formula>0</formula>
    </cfRule>
    <cfRule type="cellIs" dxfId="1302" priority="1304" operator="lessThan">
      <formula>-105575</formula>
    </cfRule>
  </conditionalFormatting>
  <conditionalFormatting sqref="BB222:BB224">
    <cfRule type="cellIs" dxfId="1301" priority="1301" operator="lessThan">
      <formula>0</formula>
    </cfRule>
    <cfRule type="cellIs" dxfId="1300" priority="1302" operator="lessThan">
      <formula>-105575</formula>
    </cfRule>
  </conditionalFormatting>
  <conditionalFormatting sqref="BB222:BB224">
    <cfRule type="cellIs" dxfId="1299" priority="1299" operator="lessThan">
      <formula>0</formula>
    </cfRule>
    <cfRule type="cellIs" dxfId="1298" priority="1300" operator="lessThan">
      <formula>-105575</formula>
    </cfRule>
  </conditionalFormatting>
  <conditionalFormatting sqref="BB222:BB224">
    <cfRule type="cellIs" dxfId="1297" priority="1297" operator="lessThan">
      <formula>0</formula>
    </cfRule>
    <cfRule type="cellIs" dxfId="1296" priority="1298" operator="lessThan">
      <formula>-105575</formula>
    </cfRule>
  </conditionalFormatting>
  <conditionalFormatting sqref="BB227:BB230">
    <cfRule type="cellIs" dxfId="1295" priority="1295" operator="lessThan">
      <formula>0</formula>
    </cfRule>
    <cfRule type="cellIs" dxfId="1294" priority="1296" operator="lessThan">
      <formula>-105575</formula>
    </cfRule>
  </conditionalFormatting>
  <conditionalFormatting sqref="BB227:BB230">
    <cfRule type="cellIs" dxfId="1293" priority="1293" operator="lessThan">
      <formula>0</formula>
    </cfRule>
    <cfRule type="cellIs" dxfId="1292" priority="1294" operator="lessThan">
      <formula>-105575</formula>
    </cfRule>
  </conditionalFormatting>
  <conditionalFormatting sqref="BB227:BB230">
    <cfRule type="cellIs" dxfId="1291" priority="1291" operator="lessThan">
      <formula>0</formula>
    </cfRule>
    <cfRule type="cellIs" dxfId="1290" priority="1292" operator="lessThan">
      <formula>-105575</formula>
    </cfRule>
  </conditionalFormatting>
  <conditionalFormatting sqref="BB246:BB249">
    <cfRule type="cellIs" dxfId="1289" priority="1289" operator="lessThan">
      <formula>0</formula>
    </cfRule>
    <cfRule type="cellIs" dxfId="1288" priority="1290" operator="lessThan">
      <formula>-105575</formula>
    </cfRule>
  </conditionalFormatting>
  <conditionalFormatting sqref="BB246:BB249">
    <cfRule type="cellIs" dxfId="1287" priority="1287" operator="lessThan">
      <formula>0</formula>
    </cfRule>
    <cfRule type="cellIs" dxfId="1286" priority="1288" operator="lessThan">
      <formula>-105575</formula>
    </cfRule>
  </conditionalFormatting>
  <conditionalFormatting sqref="BB246:BB249">
    <cfRule type="cellIs" dxfId="1285" priority="1285" operator="lessThan">
      <formula>0</formula>
    </cfRule>
    <cfRule type="cellIs" dxfId="1284" priority="1286" operator="lessThan">
      <formula>-105575</formula>
    </cfRule>
  </conditionalFormatting>
  <conditionalFormatting sqref="BB246:BB249">
    <cfRule type="cellIs" dxfId="1283" priority="1283" operator="lessThan">
      <formula>0</formula>
    </cfRule>
    <cfRule type="cellIs" dxfId="1282" priority="1284" operator="lessThan">
      <formula>-105575</formula>
    </cfRule>
  </conditionalFormatting>
  <conditionalFormatting sqref="BB246:BB249">
    <cfRule type="cellIs" dxfId="1281" priority="1281" operator="lessThan">
      <formula>0</formula>
    </cfRule>
    <cfRule type="cellIs" dxfId="1280" priority="1282" operator="lessThan">
      <formula>-105575</formula>
    </cfRule>
  </conditionalFormatting>
  <conditionalFormatting sqref="BB246:BB249">
    <cfRule type="cellIs" dxfId="1279" priority="1279" operator="lessThan">
      <formula>0</formula>
    </cfRule>
    <cfRule type="cellIs" dxfId="1278" priority="1280" operator="lessThan">
      <formula>-105575</formula>
    </cfRule>
  </conditionalFormatting>
  <conditionalFormatting sqref="BB246:BB249">
    <cfRule type="cellIs" dxfId="1277" priority="1277" operator="lessThan">
      <formula>0</formula>
    </cfRule>
    <cfRule type="cellIs" dxfId="1276" priority="1278" operator="lessThan">
      <formula>-105575</formula>
    </cfRule>
  </conditionalFormatting>
  <conditionalFormatting sqref="BB246:BB249">
    <cfRule type="cellIs" dxfId="1275" priority="1275" operator="lessThan">
      <formula>0</formula>
    </cfRule>
    <cfRule type="cellIs" dxfId="1274" priority="1276" operator="lessThan">
      <formula>-105575</formula>
    </cfRule>
  </conditionalFormatting>
  <conditionalFormatting sqref="BB246:BB249">
    <cfRule type="cellIs" dxfId="1273" priority="1273" operator="lessThan">
      <formula>0</formula>
    </cfRule>
    <cfRule type="cellIs" dxfId="1272" priority="1274" operator="lessThan">
      <formula>-105575</formula>
    </cfRule>
  </conditionalFormatting>
  <conditionalFormatting sqref="BB251:BB253">
    <cfRule type="cellIs" dxfId="1271" priority="1271" operator="lessThan">
      <formula>0</formula>
    </cfRule>
    <cfRule type="cellIs" dxfId="1270" priority="1272" operator="lessThan">
      <formula>-105575</formula>
    </cfRule>
  </conditionalFormatting>
  <conditionalFormatting sqref="BB251:BB253">
    <cfRule type="cellIs" dxfId="1269" priority="1269" operator="lessThan">
      <formula>0</formula>
    </cfRule>
    <cfRule type="cellIs" dxfId="1268" priority="1270" operator="lessThan">
      <formula>-105575</formula>
    </cfRule>
  </conditionalFormatting>
  <conditionalFormatting sqref="BB251:BB253">
    <cfRule type="cellIs" dxfId="1267" priority="1267" operator="lessThan">
      <formula>0</formula>
    </cfRule>
    <cfRule type="cellIs" dxfId="1266" priority="1268" operator="lessThan">
      <formula>-105575</formula>
    </cfRule>
  </conditionalFormatting>
  <conditionalFormatting sqref="BB251:BB253">
    <cfRule type="cellIs" dxfId="1265" priority="1265" operator="lessThan">
      <formula>0</formula>
    </cfRule>
    <cfRule type="cellIs" dxfId="1264" priority="1266" operator="lessThan">
      <formula>-105575</formula>
    </cfRule>
  </conditionalFormatting>
  <conditionalFormatting sqref="BB251:BB253">
    <cfRule type="cellIs" dxfId="1263" priority="1263" operator="lessThan">
      <formula>0</formula>
    </cfRule>
    <cfRule type="cellIs" dxfId="1262" priority="1264" operator="lessThan">
      <formula>-105575</formula>
    </cfRule>
  </conditionalFormatting>
  <conditionalFormatting sqref="BB251:BB253">
    <cfRule type="cellIs" dxfId="1261" priority="1261" operator="lessThan">
      <formula>0</formula>
    </cfRule>
    <cfRule type="cellIs" dxfId="1260" priority="1262" operator="lessThan">
      <formula>-105575</formula>
    </cfRule>
  </conditionalFormatting>
  <conditionalFormatting sqref="BB251:BB253">
    <cfRule type="cellIs" dxfId="1259" priority="1259" operator="lessThan">
      <formula>0</formula>
    </cfRule>
    <cfRule type="cellIs" dxfId="1258" priority="1260" operator="lessThan">
      <formula>-105575</formula>
    </cfRule>
  </conditionalFormatting>
  <conditionalFormatting sqref="BB251:BB253">
    <cfRule type="cellIs" dxfId="1257" priority="1257" operator="lessThan">
      <formula>0</formula>
    </cfRule>
    <cfRule type="cellIs" dxfId="1256" priority="1258" operator="lessThan">
      <formula>-105575</formula>
    </cfRule>
  </conditionalFormatting>
  <conditionalFormatting sqref="BB251:BB253">
    <cfRule type="cellIs" dxfId="1255" priority="1255" operator="lessThan">
      <formula>0</formula>
    </cfRule>
    <cfRule type="cellIs" dxfId="1254" priority="1256" operator="lessThan">
      <formula>-105575</formula>
    </cfRule>
  </conditionalFormatting>
  <conditionalFormatting sqref="BB255:BB257">
    <cfRule type="cellIs" dxfId="1253" priority="1253" operator="lessThan">
      <formula>0</formula>
    </cfRule>
    <cfRule type="cellIs" dxfId="1252" priority="1254" operator="lessThan">
      <formula>-105575</formula>
    </cfRule>
  </conditionalFormatting>
  <conditionalFormatting sqref="BB255:BB257">
    <cfRule type="cellIs" dxfId="1251" priority="1251" operator="lessThan">
      <formula>0</formula>
    </cfRule>
    <cfRule type="cellIs" dxfId="1250" priority="1252" operator="lessThan">
      <formula>-105575</formula>
    </cfRule>
  </conditionalFormatting>
  <conditionalFormatting sqref="BB255:BB257">
    <cfRule type="cellIs" dxfId="1249" priority="1249" operator="lessThan">
      <formula>0</formula>
    </cfRule>
    <cfRule type="cellIs" dxfId="1248" priority="1250" operator="lessThan">
      <formula>-105575</formula>
    </cfRule>
  </conditionalFormatting>
  <conditionalFormatting sqref="BB255:BB257">
    <cfRule type="cellIs" dxfId="1247" priority="1247" operator="lessThan">
      <formula>0</formula>
    </cfRule>
    <cfRule type="cellIs" dxfId="1246" priority="1248" operator="lessThan">
      <formula>-105575</formula>
    </cfRule>
  </conditionalFormatting>
  <conditionalFormatting sqref="BB255:BB257">
    <cfRule type="cellIs" dxfId="1245" priority="1245" operator="lessThan">
      <formula>0</formula>
    </cfRule>
    <cfRule type="cellIs" dxfId="1244" priority="1246" operator="lessThan">
      <formula>-105575</formula>
    </cfRule>
  </conditionalFormatting>
  <conditionalFormatting sqref="BB255:BB257">
    <cfRule type="cellIs" dxfId="1243" priority="1243" operator="lessThan">
      <formula>0</formula>
    </cfRule>
    <cfRule type="cellIs" dxfId="1242" priority="1244" operator="lessThan">
      <formula>-105575</formula>
    </cfRule>
  </conditionalFormatting>
  <conditionalFormatting sqref="BB255:BB257">
    <cfRule type="cellIs" dxfId="1241" priority="1241" operator="lessThan">
      <formula>0</formula>
    </cfRule>
    <cfRule type="cellIs" dxfId="1240" priority="1242" operator="lessThan">
      <formula>-105575</formula>
    </cfRule>
  </conditionalFormatting>
  <conditionalFormatting sqref="BB255:BB257">
    <cfRule type="cellIs" dxfId="1239" priority="1239" operator="lessThan">
      <formula>0</formula>
    </cfRule>
    <cfRule type="cellIs" dxfId="1238" priority="1240" operator="lessThan">
      <formula>-105575</formula>
    </cfRule>
  </conditionalFormatting>
  <conditionalFormatting sqref="BB255:BB257">
    <cfRule type="cellIs" dxfId="1237" priority="1237" operator="lessThan">
      <formula>0</formula>
    </cfRule>
    <cfRule type="cellIs" dxfId="1236" priority="1238" operator="lessThan">
      <formula>-105575</formula>
    </cfRule>
  </conditionalFormatting>
  <conditionalFormatting sqref="BB260:BB262">
    <cfRule type="cellIs" dxfId="1235" priority="1235" operator="lessThan">
      <formula>0</formula>
    </cfRule>
    <cfRule type="cellIs" dxfId="1234" priority="1236" operator="lessThan">
      <formula>-105575</formula>
    </cfRule>
  </conditionalFormatting>
  <conditionalFormatting sqref="BB260:BB262">
    <cfRule type="cellIs" dxfId="1233" priority="1233" operator="lessThan">
      <formula>0</formula>
    </cfRule>
    <cfRule type="cellIs" dxfId="1232" priority="1234" operator="lessThan">
      <formula>-105575</formula>
    </cfRule>
  </conditionalFormatting>
  <conditionalFormatting sqref="BB260:BB262">
    <cfRule type="cellIs" dxfId="1231" priority="1231" operator="lessThan">
      <formula>0</formula>
    </cfRule>
    <cfRule type="cellIs" dxfId="1230" priority="1232" operator="lessThan">
      <formula>-105575</formula>
    </cfRule>
  </conditionalFormatting>
  <conditionalFormatting sqref="BB260:BB262">
    <cfRule type="cellIs" dxfId="1229" priority="1229" operator="lessThan">
      <formula>0</formula>
    </cfRule>
    <cfRule type="cellIs" dxfId="1228" priority="1230" operator="lessThan">
      <formula>-105575</formula>
    </cfRule>
  </conditionalFormatting>
  <conditionalFormatting sqref="BB260:BB262">
    <cfRule type="cellIs" dxfId="1227" priority="1227" operator="lessThan">
      <formula>0</formula>
    </cfRule>
    <cfRule type="cellIs" dxfId="1226" priority="1228" operator="lessThan">
      <formula>-105575</formula>
    </cfRule>
  </conditionalFormatting>
  <conditionalFormatting sqref="BB260:BB262">
    <cfRule type="cellIs" dxfId="1225" priority="1225" operator="lessThan">
      <formula>0</formula>
    </cfRule>
    <cfRule type="cellIs" dxfId="1224" priority="1226" operator="lessThan">
      <formula>-105575</formula>
    </cfRule>
  </conditionalFormatting>
  <conditionalFormatting sqref="BB260:BB262">
    <cfRule type="cellIs" dxfId="1223" priority="1223" operator="lessThan">
      <formula>0</formula>
    </cfRule>
    <cfRule type="cellIs" dxfId="1222" priority="1224" operator="lessThan">
      <formula>-105575</formula>
    </cfRule>
  </conditionalFormatting>
  <conditionalFormatting sqref="BB260:BB262">
    <cfRule type="cellIs" dxfId="1221" priority="1221" operator="lessThan">
      <formula>0</formula>
    </cfRule>
    <cfRule type="cellIs" dxfId="1220" priority="1222" operator="lessThan">
      <formula>-105575</formula>
    </cfRule>
  </conditionalFormatting>
  <conditionalFormatting sqref="BB260:BB262">
    <cfRule type="cellIs" dxfId="1219" priority="1219" operator="lessThan">
      <formula>0</formula>
    </cfRule>
    <cfRule type="cellIs" dxfId="1218" priority="1220" operator="lessThan">
      <formula>-105575</formula>
    </cfRule>
  </conditionalFormatting>
  <conditionalFormatting sqref="BB264:BB267">
    <cfRule type="cellIs" dxfId="1217" priority="1217" operator="lessThan">
      <formula>0</formula>
    </cfRule>
    <cfRule type="cellIs" dxfId="1216" priority="1218" operator="lessThan">
      <formula>-105575</formula>
    </cfRule>
  </conditionalFormatting>
  <conditionalFormatting sqref="BB264:BB267">
    <cfRule type="cellIs" dxfId="1215" priority="1215" operator="lessThan">
      <formula>0</formula>
    </cfRule>
    <cfRule type="cellIs" dxfId="1214" priority="1216" operator="lessThan">
      <formula>-105575</formula>
    </cfRule>
  </conditionalFormatting>
  <conditionalFormatting sqref="BB264:BB267">
    <cfRule type="cellIs" dxfId="1213" priority="1213" operator="lessThan">
      <formula>0</formula>
    </cfRule>
    <cfRule type="cellIs" dxfId="1212" priority="1214" operator="lessThan">
      <formula>-105575</formula>
    </cfRule>
  </conditionalFormatting>
  <conditionalFormatting sqref="BB264:BB267">
    <cfRule type="cellIs" dxfId="1211" priority="1211" operator="lessThan">
      <formula>0</formula>
    </cfRule>
    <cfRule type="cellIs" dxfId="1210" priority="1212" operator="lessThan">
      <formula>-105575</formula>
    </cfRule>
  </conditionalFormatting>
  <conditionalFormatting sqref="BB264:BB267">
    <cfRule type="cellIs" dxfId="1209" priority="1209" operator="lessThan">
      <formula>0</formula>
    </cfRule>
    <cfRule type="cellIs" dxfId="1208" priority="1210" operator="lessThan">
      <formula>-105575</formula>
    </cfRule>
  </conditionalFormatting>
  <conditionalFormatting sqref="BB264:BB267">
    <cfRule type="cellIs" dxfId="1207" priority="1207" operator="lessThan">
      <formula>0</formula>
    </cfRule>
    <cfRule type="cellIs" dxfId="1206" priority="1208" operator="lessThan">
      <formula>-105575</formula>
    </cfRule>
  </conditionalFormatting>
  <conditionalFormatting sqref="BB264:BB267">
    <cfRule type="cellIs" dxfId="1205" priority="1205" operator="lessThan">
      <formula>0</formula>
    </cfRule>
    <cfRule type="cellIs" dxfId="1204" priority="1206" operator="lessThan">
      <formula>-105575</formula>
    </cfRule>
  </conditionalFormatting>
  <conditionalFormatting sqref="BB264:BB267">
    <cfRule type="cellIs" dxfId="1203" priority="1203" operator="lessThan">
      <formula>0</formula>
    </cfRule>
    <cfRule type="cellIs" dxfId="1202" priority="1204" operator="lessThan">
      <formula>-105575</formula>
    </cfRule>
  </conditionalFormatting>
  <conditionalFormatting sqref="BB264:BB267">
    <cfRule type="cellIs" dxfId="1201" priority="1201" operator="lessThan">
      <formula>0</formula>
    </cfRule>
    <cfRule type="cellIs" dxfId="1200" priority="1202" operator="lessThan">
      <formula>-105575</formula>
    </cfRule>
  </conditionalFormatting>
  <conditionalFormatting sqref="BB270:BB272">
    <cfRule type="cellIs" dxfId="1199" priority="1199" operator="lessThan">
      <formula>0</formula>
    </cfRule>
    <cfRule type="cellIs" dxfId="1198" priority="1200" operator="lessThan">
      <formula>-105575</formula>
    </cfRule>
  </conditionalFormatting>
  <conditionalFormatting sqref="BB270:BB272">
    <cfRule type="cellIs" dxfId="1197" priority="1197" operator="lessThan">
      <formula>0</formula>
    </cfRule>
    <cfRule type="cellIs" dxfId="1196" priority="1198" operator="lessThan">
      <formula>-105575</formula>
    </cfRule>
  </conditionalFormatting>
  <conditionalFormatting sqref="BB270:BB272">
    <cfRule type="cellIs" dxfId="1195" priority="1195" operator="lessThan">
      <formula>0</formula>
    </cfRule>
    <cfRule type="cellIs" dxfId="1194" priority="1196" operator="lessThan">
      <formula>-105575</formula>
    </cfRule>
  </conditionalFormatting>
  <conditionalFormatting sqref="BB270:BB272">
    <cfRule type="cellIs" dxfId="1193" priority="1193" operator="lessThan">
      <formula>0</formula>
    </cfRule>
    <cfRule type="cellIs" dxfId="1192" priority="1194" operator="lessThan">
      <formula>-105575</formula>
    </cfRule>
  </conditionalFormatting>
  <conditionalFormatting sqref="BB270:BB272">
    <cfRule type="cellIs" dxfId="1191" priority="1191" operator="lessThan">
      <formula>0</formula>
    </cfRule>
    <cfRule type="cellIs" dxfId="1190" priority="1192" operator="lessThan">
      <formula>-105575</formula>
    </cfRule>
  </conditionalFormatting>
  <conditionalFormatting sqref="BB270:BB272">
    <cfRule type="cellIs" dxfId="1189" priority="1189" operator="lessThan">
      <formula>0</formula>
    </cfRule>
    <cfRule type="cellIs" dxfId="1188" priority="1190" operator="lessThan">
      <formula>-105575</formula>
    </cfRule>
  </conditionalFormatting>
  <conditionalFormatting sqref="BB270:BB272">
    <cfRule type="cellIs" dxfId="1187" priority="1187" operator="lessThan">
      <formula>0</formula>
    </cfRule>
    <cfRule type="cellIs" dxfId="1186" priority="1188" operator="lessThan">
      <formula>-105575</formula>
    </cfRule>
  </conditionalFormatting>
  <conditionalFormatting sqref="BB270:BB272">
    <cfRule type="cellIs" dxfId="1185" priority="1185" operator="lessThan">
      <formula>0</formula>
    </cfRule>
    <cfRule type="cellIs" dxfId="1184" priority="1186" operator="lessThan">
      <formula>-105575</formula>
    </cfRule>
  </conditionalFormatting>
  <conditionalFormatting sqref="BB270:BB272">
    <cfRule type="cellIs" dxfId="1183" priority="1183" operator="lessThan">
      <formula>0</formula>
    </cfRule>
    <cfRule type="cellIs" dxfId="1182" priority="1184" operator="lessThan">
      <formula>-105575</formula>
    </cfRule>
  </conditionalFormatting>
  <conditionalFormatting sqref="BB274:BB275">
    <cfRule type="cellIs" dxfId="1181" priority="1181" operator="lessThan">
      <formula>0</formula>
    </cfRule>
    <cfRule type="cellIs" dxfId="1180" priority="1182" operator="lessThan">
      <formula>-105575</formula>
    </cfRule>
  </conditionalFormatting>
  <conditionalFormatting sqref="BB274:BB275">
    <cfRule type="cellIs" dxfId="1179" priority="1179" operator="lessThan">
      <formula>0</formula>
    </cfRule>
    <cfRule type="cellIs" dxfId="1178" priority="1180" operator="lessThan">
      <formula>-105575</formula>
    </cfRule>
  </conditionalFormatting>
  <conditionalFormatting sqref="BB274:BB275">
    <cfRule type="cellIs" dxfId="1177" priority="1177" operator="lessThan">
      <formula>0</formula>
    </cfRule>
    <cfRule type="cellIs" dxfId="1176" priority="1178" operator="lessThan">
      <formula>-105575</formula>
    </cfRule>
  </conditionalFormatting>
  <conditionalFormatting sqref="BB274:BB275">
    <cfRule type="cellIs" dxfId="1175" priority="1175" operator="lessThan">
      <formula>0</formula>
    </cfRule>
    <cfRule type="cellIs" dxfId="1174" priority="1176" operator="lessThan">
      <formula>-105575</formula>
    </cfRule>
  </conditionalFormatting>
  <conditionalFormatting sqref="BB274:BB275">
    <cfRule type="cellIs" dxfId="1173" priority="1173" operator="lessThan">
      <formula>0</formula>
    </cfRule>
    <cfRule type="cellIs" dxfId="1172" priority="1174" operator="lessThan">
      <formula>-105575</formula>
    </cfRule>
  </conditionalFormatting>
  <conditionalFormatting sqref="BB274:BB275">
    <cfRule type="cellIs" dxfId="1171" priority="1171" operator="lessThan">
      <formula>0</formula>
    </cfRule>
    <cfRule type="cellIs" dxfId="1170" priority="1172" operator="lessThan">
      <formula>-105575</formula>
    </cfRule>
  </conditionalFormatting>
  <conditionalFormatting sqref="BB274:BB275">
    <cfRule type="cellIs" dxfId="1169" priority="1169" operator="lessThan">
      <formula>0</formula>
    </cfRule>
    <cfRule type="cellIs" dxfId="1168" priority="1170" operator="lessThan">
      <formula>-105575</formula>
    </cfRule>
  </conditionalFormatting>
  <conditionalFormatting sqref="BB274:BB275">
    <cfRule type="cellIs" dxfId="1167" priority="1167" operator="lessThan">
      <formula>0</formula>
    </cfRule>
    <cfRule type="cellIs" dxfId="1166" priority="1168" operator="lessThan">
      <formula>-105575</formula>
    </cfRule>
  </conditionalFormatting>
  <conditionalFormatting sqref="BB274:BB275">
    <cfRule type="cellIs" dxfId="1165" priority="1165" operator="lessThan">
      <formula>0</formula>
    </cfRule>
    <cfRule type="cellIs" dxfId="1164" priority="1166" operator="lessThan">
      <formula>-105575</formula>
    </cfRule>
  </conditionalFormatting>
  <conditionalFormatting sqref="BB278:BB282">
    <cfRule type="cellIs" dxfId="1163" priority="1163" operator="lessThan">
      <formula>0</formula>
    </cfRule>
    <cfRule type="cellIs" dxfId="1162" priority="1164" operator="lessThan">
      <formula>-105575</formula>
    </cfRule>
  </conditionalFormatting>
  <conditionalFormatting sqref="BB278:BB282">
    <cfRule type="cellIs" dxfId="1161" priority="1161" operator="lessThan">
      <formula>0</formula>
    </cfRule>
    <cfRule type="cellIs" dxfId="1160" priority="1162" operator="lessThan">
      <formula>-105575</formula>
    </cfRule>
  </conditionalFormatting>
  <conditionalFormatting sqref="BB278:BB282">
    <cfRule type="cellIs" dxfId="1159" priority="1159" operator="lessThan">
      <formula>0</formula>
    </cfRule>
    <cfRule type="cellIs" dxfId="1158" priority="1160" operator="lessThan">
      <formula>-105575</formula>
    </cfRule>
  </conditionalFormatting>
  <conditionalFormatting sqref="BB278:BB282">
    <cfRule type="cellIs" dxfId="1157" priority="1157" operator="lessThan">
      <formula>0</formula>
    </cfRule>
    <cfRule type="cellIs" dxfId="1156" priority="1158" operator="lessThan">
      <formula>-105575</formula>
    </cfRule>
  </conditionalFormatting>
  <conditionalFormatting sqref="BB278:BB282">
    <cfRule type="cellIs" dxfId="1155" priority="1155" operator="lessThan">
      <formula>0</formula>
    </cfRule>
    <cfRule type="cellIs" dxfId="1154" priority="1156" operator="lessThan">
      <formula>-105575</formula>
    </cfRule>
  </conditionalFormatting>
  <conditionalFormatting sqref="BB278:BB282">
    <cfRule type="cellIs" dxfId="1153" priority="1153" operator="lessThan">
      <formula>0</formula>
    </cfRule>
    <cfRule type="cellIs" dxfId="1152" priority="1154" operator="lessThan">
      <formula>-105575</formula>
    </cfRule>
  </conditionalFormatting>
  <conditionalFormatting sqref="BB278:BB282">
    <cfRule type="cellIs" dxfId="1151" priority="1151" operator="lessThan">
      <formula>0</formula>
    </cfRule>
    <cfRule type="cellIs" dxfId="1150" priority="1152" operator="lessThan">
      <formula>-105575</formula>
    </cfRule>
  </conditionalFormatting>
  <conditionalFormatting sqref="BB278:BB282">
    <cfRule type="cellIs" dxfId="1149" priority="1149" operator="lessThan">
      <formula>0</formula>
    </cfRule>
    <cfRule type="cellIs" dxfId="1148" priority="1150" operator="lessThan">
      <formula>-105575</formula>
    </cfRule>
  </conditionalFormatting>
  <conditionalFormatting sqref="BB278:BB282">
    <cfRule type="cellIs" dxfId="1147" priority="1147" operator="lessThan">
      <formula>0</formula>
    </cfRule>
    <cfRule type="cellIs" dxfId="1146" priority="1148" operator="lessThan">
      <formula>-105575</formula>
    </cfRule>
  </conditionalFormatting>
  <conditionalFormatting sqref="BB285:BB288">
    <cfRule type="cellIs" dxfId="1145" priority="1145" operator="lessThan">
      <formula>0</formula>
    </cfRule>
    <cfRule type="cellIs" dxfId="1144" priority="1146" operator="lessThan">
      <formula>-105575</formula>
    </cfRule>
  </conditionalFormatting>
  <conditionalFormatting sqref="BB285:BB288">
    <cfRule type="cellIs" dxfId="1143" priority="1143" operator="lessThan">
      <formula>0</formula>
    </cfRule>
    <cfRule type="cellIs" dxfId="1142" priority="1144" operator="lessThan">
      <formula>-105575</formula>
    </cfRule>
  </conditionalFormatting>
  <conditionalFormatting sqref="BB285:BB288">
    <cfRule type="cellIs" dxfId="1141" priority="1141" operator="lessThan">
      <formula>0</formula>
    </cfRule>
    <cfRule type="cellIs" dxfId="1140" priority="1142" operator="lessThan">
      <formula>-105575</formula>
    </cfRule>
  </conditionalFormatting>
  <conditionalFormatting sqref="BB285:BB288">
    <cfRule type="cellIs" dxfId="1139" priority="1139" operator="lessThan">
      <formula>0</formula>
    </cfRule>
    <cfRule type="cellIs" dxfId="1138" priority="1140" operator="lessThan">
      <formula>-105575</formula>
    </cfRule>
  </conditionalFormatting>
  <conditionalFormatting sqref="BB285:BB288">
    <cfRule type="cellIs" dxfId="1137" priority="1137" operator="lessThan">
      <formula>0</formula>
    </cfRule>
    <cfRule type="cellIs" dxfId="1136" priority="1138" operator="lessThan">
      <formula>-105575</formula>
    </cfRule>
  </conditionalFormatting>
  <conditionalFormatting sqref="BB285:BB288">
    <cfRule type="cellIs" dxfId="1135" priority="1135" operator="lessThan">
      <formula>0</formula>
    </cfRule>
    <cfRule type="cellIs" dxfId="1134" priority="1136" operator="lessThan">
      <formula>-105575</formula>
    </cfRule>
  </conditionalFormatting>
  <conditionalFormatting sqref="BB285:BB288">
    <cfRule type="cellIs" dxfId="1133" priority="1133" operator="lessThan">
      <formula>0</formula>
    </cfRule>
    <cfRule type="cellIs" dxfId="1132" priority="1134" operator="lessThan">
      <formula>-105575</formula>
    </cfRule>
  </conditionalFormatting>
  <conditionalFormatting sqref="BB285:BB288">
    <cfRule type="cellIs" dxfId="1131" priority="1131" operator="lessThan">
      <formula>0</formula>
    </cfRule>
    <cfRule type="cellIs" dxfId="1130" priority="1132" operator="lessThan">
      <formula>-105575</formula>
    </cfRule>
  </conditionalFormatting>
  <conditionalFormatting sqref="BB285:BB288">
    <cfRule type="cellIs" dxfId="1129" priority="1129" operator="lessThan">
      <formula>0</formula>
    </cfRule>
    <cfRule type="cellIs" dxfId="1128" priority="1130" operator="lessThan">
      <formula>-105575</formula>
    </cfRule>
  </conditionalFormatting>
  <conditionalFormatting sqref="BB203 BB220:BB221 BB235:BB243 BB231:BB233 BB212:BB213 BB225:BB226">
    <cfRule type="cellIs" dxfId="1127" priority="1127" operator="lessThan">
      <formula>0</formula>
    </cfRule>
    <cfRule type="cellIs" dxfId="1126" priority="1128" operator="lessThan">
      <formula>-105575</formula>
    </cfRule>
  </conditionalFormatting>
  <conditionalFormatting sqref="BB220 BB212:BB213 BB235:BB238 BB240:BB243 BB225:BB226 BB231:BB233">
    <cfRule type="cellIs" dxfId="1125" priority="1125" operator="lessThan">
      <formula>0</formula>
    </cfRule>
    <cfRule type="cellIs" dxfId="1124" priority="1126" operator="lessThan">
      <formula>-105575</formula>
    </cfRule>
  </conditionalFormatting>
  <conditionalFormatting sqref="BB220:BB221 BB243 BB226 BB231:BB236 BB238:BB241 BB203 BB213">
    <cfRule type="cellIs" dxfId="1123" priority="1123" operator="lessThan">
      <formula>0</formula>
    </cfRule>
    <cfRule type="cellIs" dxfId="1122" priority="1124" operator="lessThan">
      <formula>-105575</formula>
    </cfRule>
  </conditionalFormatting>
  <conditionalFormatting sqref="BB235:BB243 BB231:BB233 BB220 BB212:BB213 BB225:BB226">
    <cfRule type="cellIs" dxfId="1121" priority="1121" operator="lessThan">
      <formula>0</formula>
    </cfRule>
    <cfRule type="cellIs" dxfId="1120" priority="1122" operator="lessThan">
      <formula>-105575</formula>
    </cfRule>
  </conditionalFormatting>
  <conditionalFormatting sqref="BB220:BB221 BB237:BB243 BB203 BB231:BB235 BB212:BB213 BB225:BB226">
    <cfRule type="cellIs" dxfId="1119" priority="1119" operator="lessThan">
      <formula>0</formula>
    </cfRule>
    <cfRule type="cellIs" dxfId="1118" priority="1120" operator="lessThan">
      <formula>-105575</formula>
    </cfRule>
  </conditionalFormatting>
  <conditionalFormatting sqref="BB220:BB221 BB237:BB240 BB242:BB243 BB225:BB226 BB231:BB235">
    <cfRule type="cellIs" dxfId="1117" priority="1117" operator="lessThan">
      <formula>0</formula>
    </cfRule>
    <cfRule type="cellIs" dxfId="1116" priority="1118" operator="lessThan">
      <formula>-105575</formula>
    </cfRule>
  </conditionalFormatting>
  <conditionalFormatting sqref="BB212 BB231 BB233:BB238 BB240:BB243 BB225">
    <cfRule type="cellIs" dxfId="1115" priority="1115" operator="lessThan">
      <formula>0</formula>
    </cfRule>
    <cfRule type="cellIs" dxfId="1114" priority="1116" operator="lessThan">
      <formula>-105575</formula>
    </cfRule>
  </conditionalFormatting>
  <conditionalFormatting sqref="BB237:BB243 BB231:BB235 BB220:BB221 BB225:BB226">
    <cfRule type="cellIs" dxfId="1113" priority="1113" operator="lessThan">
      <formula>0</formula>
    </cfRule>
    <cfRule type="cellIs" dxfId="1112" priority="1114" operator="lessThan">
      <formula>-105575</formula>
    </cfRule>
  </conditionalFormatting>
  <conditionalFormatting sqref="BB233:BB237 BB231 BB239:BB243">
    <cfRule type="cellIs" dxfId="1111" priority="1111" operator="lessThan">
      <formula>0</formula>
    </cfRule>
    <cfRule type="cellIs" dxfId="1110" priority="1112" operator="lessThan">
      <formula>-105575</formula>
    </cfRule>
  </conditionalFormatting>
  <conditionalFormatting sqref="BB233:BB237 BB231 BB239:BB243">
    <cfRule type="cellIs" dxfId="1109" priority="1109" operator="lessThan">
      <formula>0</formula>
    </cfRule>
    <cfRule type="cellIs" dxfId="1108" priority="1110" operator="lessThan">
      <formula>-105575</formula>
    </cfRule>
  </conditionalFormatting>
  <conditionalFormatting sqref="BB119:BB128 BB106:BB117 BB101:BB104 BB80:BB98">
    <cfRule type="cellIs" dxfId="1107" priority="1107" operator="lessThan">
      <formula>0</formula>
    </cfRule>
    <cfRule type="cellIs" dxfId="1106" priority="1108" operator="lessThan">
      <formula>-105575</formula>
    </cfRule>
  </conditionalFormatting>
  <conditionalFormatting sqref="BB130 BB132 BB134">
    <cfRule type="cellIs" dxfId="1105" priority="1105" operator="lessThan">
      <formula>0</formula>
    </cfRule>
    <cfRule type="cellIs" dxfId="1104" priority="1106" operator="lessThan">
      <formula>-105575</formula>
    </cfRule>
  </conditionalFormatting>
  <conditionalFormatting sqref="BB130 BB132 BB134">
    <cfRule type="cellIs" dxfId="1103" priority="1103" operator="lessThan">
      <formula>0</formula>
    </cfRule>
    <cfRule type="cellIs" dxfId="1102" priority="1104" operator="lessThan">
      <formula>-105575</formula>
    </cfRule>
  </conditionalFormatting>
  <conditionalFormatting sqref="BB129 BB131 BB133 BB135">
    <cfRule type="cellIs" dxfId="1101" priority="1101" operator="lessThan">
      <formula>0</formula>
    </cfRule>
    <cfRule type="cellIs" dxfId="1100" priority="1102" operator="lessThan">
      <formula>-105575</formula>
    </cfRule>
  </conditionalFormatting>
  <conditionalFormatting sqref="BB140 BB145 BB142:BB143 BB137:BB138">
    <cfRule type="cellIs" dxfId="1099" priority="1099" operator="lessThan">
      <formula>0</formula>
    </cfRule>
    <cfRule type="cellIs" dxfId="1098" priority="1100" operator="lessThan">
      <formula>-105575</formula>
    </cfRule>
  </conditionalFormatting>
  <conditionalFormatting sqref="BB149">
    <cfRule type="cellIs" dxfId="1097" priority="1097" operator="lessThan">
      <formula>0</formula>
    </cfRule>
    <cfRule type="cellIs" dxfId="1096" priority="1098" operator="lessThan">
      <formula>-105575</formula>
    </cfRule>
  </conditionalFormatting>
  <conditionalFormatting sqref="BB129:BB138 BB140:BB149">
    <cfRule type="cellIs" dxfId="1095" priority="1095" operator="lessThan">
      <formula>0</formula>
    </cfRule>
    <cfRule type="cellIs" dxfId="1094" priority="1096" operator="lessThan">
      <formula>-105575</formula>
    </cfRule>
  </conditionalFormatting>
  <conditionalFormatting sqref="BB94:BB98 BB86:BB87 BB89:BB91 BB141:BB149 BB124:BB133 BB107:BB110 BB112:BB117 BB119:BB122 BB135:BB138 BB101:BB104 BB80:BB84">
    <cfRule type="cellIs" dxfId="1093" priority="1093" operator="lessThan">
      <formula>0</formula>
    </cfRule>
    <cfRule type="cellIs" dxfId="1092" priority="1094" operator="lessThan">
      <formula>-105575</formula>
    </cfRule>
  </conditionalFormatting>
  <conditionalFormatting sqref="BB129 BB131 BB133 BB135">
    <cfRule type="cellIs" dxfId="1091" priority="1091" operator="lessThan">
      <formula>0</formula>
    </cfRule>
    <cfRule type="cellIs" dxfId="1090" priority="1092" operator="lessThan">
      <formula>-105575</formula>
    </cfRule>
  </conditionalFormatting>
  <conditionalFormatting sqref="BB146 BB144 BB141">
    <cfRule type="cellIs" dxfId="1089" priority="1089" operator="lessThan">
      <formula>0</formula>
    </cfRule>
    <cfRule type="cellIs" dxfId="1088" priority="1090" operator="lessThan">
      <formula>-105575</formula>
    </cfRule>
  </conditionalFormatting>
  <conditionalFormatting sqref="BB146 BB144 BB141">
    <cfRule type="cellIs" dxfId="1087" priority="1087" operator="lessThan">
      <formula>0</formula>
    </cfRule>
    <cfRule type="cellIs" dxfId="1086" priority="1088" operator="lessThan">
      <formula>-105575</formula>
    </cfRule>
  </conditionalFormatting>
  <conditionalFormatting sqref="BB140 BB145 BB142:BB143 BB137:BB138">
    <cfRule type="cellIs" dxfId="1085" priority="1085" operator="lessThan">
      <formula>0</formula>
    </cfRule>
    <cfRule type="cellIs" dxfId="1084" priority="1086" operator="lessThan">
      <formula>-105575</formula>
    </cfRule>
  </conditionalFormatting>
  <conditionalFormatting sqref="BB149">
    <cfRule type="cellIs" dxfId="1083" priority="1083" operator="lessThan">
      <formula>0</formula>
    </cfRule>
    <cfRule type="cellIs" dxfId="1082" priority="1084" operator="lessThan">
      <formula>-105575</formula>
    </cfRule>
  </conditionalFormatting>
  <conditionalFormatting sqref="BB94:BB98 BB86:BB87 BB89:BB91 BB141:BB149 BB124:BB133 BB107:BB110 BB112:BB117 BB119:BB122 BB135:BB138 BB101:BB104 BB80:BB84">
    <cfRule type="cellIs" dxfId="1081" priority="1081" operator="lessThan">
      <formula>0</formula>
    </cfRule>
    <cfRule type="cellIs" dxfId="1080" priority="1082" operator="lessThan">
      <formula>-105575</formula>
    </cfRule>
  </conditionalFormatting>
  <conditionalFormatting sqref="BB246:BB249 BB262 BB267 BB279:BB282 BB285:BB288 BB274:BB275 BB306:BB309 BB311:BB325 BB327:BB330 BB332:BB341 BB344:BB347 BB349:BB353 BB355:BB358 BB360:BB384 BB386:BB389 BB392:BB395 BB397:BB411 BB413:BB416 BB418:BB432 BB434:BB437 BB439:BB453 BB455:BB458 BB460:BB469 BB7:BB10 BB12:BB14 BB17:BB18 BB21:BB24 BB26:BB28 BB30:BB36 BB38 BB41:BB43 BB46:BB49 BB51:BB55 BB57:BB59 BB62:BB76 BB251:BB253 BB255:BB257 BB293:BB304 BB264:BB265 BB260 BB290:BB291 BB270:BB272">
    <cfRule type="cellIs" dxfId="1079" priority="1079" operator="lessThan">
      <formula>0</formula>
    </cfRule>
    <cfRule type="cellIs" dxfId="1078" priority="1080" operator="lessThan">
      <formula>-105575</formula>
    </cfRule>
  </conditionalFormatting>
  <conditionalFormatting sqref="BB41">
    <cfRule type="cellIs" dxfId="1077" priority="1077" operator="lessThan">
      <formula>0</formula>
    </cfRule>
    <cfRule type="cellIs" dxfId="1076" priority="1078" operator="lessThan">
      <formula>-105575</formula>
    </cfRule>
  </conditionalFormatting>
  <conditionalFormatting sqref="BB152:BB155">
    <cfRule type="cellIs" dxfId="1075" priority="1075" operator="lessThan">
      <formula>0</formula>
    </cfRule>
    <cfRule type="cellIs" dxfId="1074" priority="1076" operator="lessThan">
      <formula>-105575</formula>
    </cfRule>
  </conditionalFormatting>
  <conditionalFormatting sqref="BB152:BB155">
    <cfRule type="cellIs" dxfId="1073" priority="1073" operator="lessThan">
      <formula>0</formula>
    </cfRule>
    <cfRule type="cellIs" dxfId="1072" priority="1074" operator="lessThan">
      <formula>-105575</formula>
    </cfRule>
  </conditionalFormatting>
  <conditionalFormatting sqref="BB152:BB155">
    <cfRule type="cellIs" dxfId="1071" priority="1071" operator="lessThan">
      <formula>0</formula>
    </cfRule>
    <cfRule type="cellIs" dxfId="1070" priority="1072" operator="lessThan">
      <formula>-105575</formula>
    </cfRule>
  </conditionalFormatting>
  <conditionalFormatting sqref="BB157:BB158">
    <cfRule type="cellIs" dxfId="1069" priority="1069" operator="lessThan">
      <formula>0</formula>
    </cfRule>
    <cfRule type="cellIs" dxfId="1068" priority="1070" operator="lessThan">
      <formula>-105575</formula>
    </cfRule>
  </conditionalFormatting>
  <conditionalFormatting sqref="BB157:BB158">
    <cfRule type="cellIs" dxfId="1067" priority="1067" operator="lessThan">
      <formula>0</formula>
    </cfRule>
    <cfRule type="cellIs" dxfId="1066" priority="1068" operator="lessThan">
      <formula>-105575</formula>
    </cfRule>
  </conditionalFormatting>
  <conditionalFormatting sqref="BB157:BB158">
    <cfRule type="cellIs" dxfId="1065" priority="1065" operator="lessThan">
      <formula>0</formula>
    </cfRule>
    <cfRule type="cellIs" dxfId="1064" priority="1066" operator="lessThan">
      <formula>-105575</formula>
    </cfRule>
  </conditionalFormatting>
  <conditionalFormatting sqref="BB160:BB161">
    <cfRule type="cellIs" dxfId="1063" priority="1063" operator="lessThan">
      <formula>0</formula>
    </cfRule>
    <cfRule type="cellIs" dxfId="1062" priority="1064" operator="lessThan">
      <formula>-105575</formula>
    </cfRule>
  </conditionalFormatting>
  <conditionalFormatting sqref="BB160:BB161">
    <cfRule type="cellIs" dxfId="1061" priority="1061" operator="lessThan">
      <formula>0</formula>
    </cfRule>
    <cfRule type="cellIs" dxfId="1060" priority="1062" operator="lessThan">
      <formula>-105575</formula>
    </cfRule>
  </conditionalFormatting>
  <conditionalFormatting sqref="BB160:BB161">
    <cfRule type="cellIs" dxfId="1059" priority="1059" operator="lessThan">
      <formula>0</formula>
    </cfRule>
    <cfRule type="cellIs" dxfId="1058" priority="1060" operator="lessThan">
      <formula>-105575</formula>
    </cfRule>
  </conditionalFormatting>
  <conditionalFormatting sqref="BB164:BB167">
    <cfRule type="cellIs" dxfId="1057" priority="1057" operator="lessThan">
      <formula>0</formula>
    </cfRule>
    <cfRule type="cellIs" dxfId="1056" priority="1058" operator="lessThan">
      <formula>-105575</formula>
    </cfRule>
  </conditionalFormatting>
  <conditionalFormatting sqref="BB164:BB167">
    <cfRule type="cellIs" dxfId="1055" priority="1055" operator="lessThan">
      <formula>0</formula>
    </cfRule>
    <cfRule type="cellIs" dxfId="1054" priority="1056" operator="lessThan">
      <formula>-105575</formula>
    </cfRule>
  </conditionalFormatting>
  <conditionalFormatting sqref="BB164:BB167">
    <cfRule type="cellIs" dxfId="1053" priority="1053" operator="lessThan">
      <formula>0</formula>
    </cfRule>
    <cfRule type="cellIs" dxfId="1052" priority="1054" operator="lessThan">
      <formula>-105575</formula>
    </cfRule>
  </conditionalFormatting>
  <conditionalFormatting sqref="BB169:BB177">
    <cfRule type="cellIs" dxfId="1051" priority="1051" operator="lessThan">
      <formula>0</formula>
    </cfRule>
    <cfRule type="cellIs" dxfId="1050" priority="1052" operator="lessThan">
      <formula>-105575</formula>
    </cfRule>
  </conditionalFormatting>
  <conditionalFormatting sqref="BB169:BB177">
    <cfRule type="cellIs" dxfId="1049" priority="1049" operator="lessThan">
      <formula>0</formula>
    </cfRule>
    <cfRule type="cellIs" dxfId="1048" priority="1050" operator="lessThan">
      <formula>-105575</formula>
    </cfRule>
  </conditionalFormatting>
  <conditionalFormatting sqref="BB169:BB177">
    <cfRule type="cellIs" dxfId="1047" priority="1047" operator="lessThan">
      <formula>0</formula>
    </cfRule>
    <cfRule type="cellIs" dxfId="1046" priority="1048" operator="lessThan">
      <formula>-105575</formula>
    </cfRule>
  </conditionalFormatting>
  <conditionalFormatting sqref="BB179:BB180">
    <cfRule type="cellIs" dxfId="1045" priority="1045" operator="lessThan">
      <formula>0</formula>
    </cfRule>
    <cfRule type="cellIs" dxfId="1044" priority="1046" operator="lessThan">
      <formula>-105575</formula>
    </cfRule>
  </conditionalFormatting>
  <conditionalFormatting sqref="BB179:BB180">
    <cfRule type="cellIs" dxfId="1043" priority="1043" operator="lessThan">
      <formula>0</formula>
    </cfRule>
    <cfRule type="cellIs" dxfId="1042" priority="1044" operator="lessThan">
      <formula>-105575</formula>
    </cfRule>
  </conditionalFormatting>
  <conditionalFormatting sqref="BB179:BB180">
    <cfRule type="cellIs" dxfId="1041" priority="1041" operator="lessThan">
      <formula>0</formula>
    </cfRule>
    <cfRule type="cellIs" dxfId="1040" priority="1042" operator="lessThan">
      <formula>-105575</formula>
    </cfRule>
  </conditionalFormatting>
  <conditionalFormatting sqref="BB183:BB189">
    <cfRule type="cellIs" dxfId="1039" priority="1039" operator="lessThan">
      <formula>0</formula>
    </cfRule>
    <cfRule type="cellIs" dxfId="1038" priority="1040" operator="lessThan">
      <formula>-105575</formula>
    </cfRule>
  </conditionalFormatting>
  <conditionalFormatting sqref="BB183:BB189">
    <cfRule type="cellIs" dxfId="1037" priority="1037" operator="lessThan">
      <formula>0</formula>
    </cfRule>
    <cfRule type="cellIs" dxfId="1036" priority="1038" operator="lessThan">
      <formula>-105575</formula>
    </cfRule>
  </conditionalFormatting>
  <conditionalFormatting sqref="BB183:BB189">
    <cfRule type="cellIs" dxfId="1035" priority="1035" operator="lessThan">
      <formula>0</formula>
    </cfRule>
    <cfRule type="cellIs" dxfId="1034" priority="1036" operator="lessThan">
      <formula>-105575</formula>
    </cfRule>
  </conditionalFormatting>
  <conditionalFormatting sqref="BB191:BB192">
    <cfRule type="cellIs" dxfId="1033" priority="1033" operator="lessThan">
      <formula>0</formula>
    </cfRule>
    <cfRule type="cellIs" dxfId="1032" priority="1034" operator="lessThan">
      <formula>-105575</formula>
    </cfRule>
  </conditionalFormatting>
  <conditionalFormatting sqref="BB191:BB192">
    <cfRule type="cellIs" dxfId="1031" priority="1031" operator="lessThan">
      <formula>0</formula>
    </cfRule>
    <cfRule type="cellIs" dxfId="1030" priority="1032" operator="lessThan">
      <formula>-105575</formula>
    </cfRule>
  </conditionalFormatting>
  <conditionalFormatting sqref="BB191:BB192">
    <cfRule type="cellIs" dxfId="1029" priority="1029" operator="lessThan">
      <formula>0</formula>
    </cfRule>
    <cfRule type="cellIs" dxfId="1028" priority="1030" operator="lessThan">
      <formula>-105575</formula>
    </cfRule>
  </conditionalFormatting>
  <conditionalFormatting sqref="BB194:BB195">
    <cfRule type="cellIs" dxfId="1027" priority="1027" operator="lessThan">
      <formula>0</formula>
    </cfRule>
    <cfRule type="cellIs" dxfId="1026" priority="1028" operator="lessThan">
      <formula>-105575</formula>
    </cfRule>
  </conditionalFormatting>
  <conditionalFormatting sqref="BB194:BB195">
    <cfRule type="cellIs" dxfId="1025" priority="1025" operator="lessThan">
      <formula>0</formula>
    </cfRule>
    <cfRule type="cellIs" dxfId="1024" priority="1026" operator="lessThan">
      <formula>-105575</formula>
    </cfRule>
  </conditionalFormatting>
  <conditionalFormatting sqref="BB194:BB195">
    <cfRule type="cellIs" dxfId="1023" priority="1023" operator="lessThan">
      <formula>0</formula>
    </cfRule>
    <cfRule type="cellIs" dxfId="1022" priority="1024" operator="lessThan">
      <formula>-105575</formula>
    </cfRule>
  </conditionalFormatting>
  <conditionalFormatting sqref="BB199:BB202">
    <cfRule type="cellIs" dxfId="1021" priority="1021" operator="lessThan">
      <formula>0</formula>
    </cfRule>
    <cfRule type="cellIs" dxfId="1020" priority="1022" operator="lessThan">
      <formula>-105575</formula>
    </cfRule>
  </conditionalFormatting>
  <conditionalFormatting sqref="BB199:BB202">
    <cfRule type="cellIs" dxfId="1019" priority="1019" operator="lessThan">
      <formula>0</formula>
    </cfRule>
    <cfRule type="cellIs" dxfId="1018" priority="1020" operator="lessThan">
      <formula>-105575</formula>
    </cfRule>
  </conditionalFormatting>
  <conditionalFormatting sqref="BB199:BB202">
    <cfRule type="cellIs" dxfId="1017" priority="1017" operator="lessThan">
      <formula>0</formula>
    </cfRule>
    <cfRule type="cellIs" dxfId="1016" priority="1018" operator="lessThan">
      <formula>-105575</formula>
    </cfRule>
  </conditionalFormatting>
  <conditionalFormatting sqref="BB204:BB208">
    <cfRule type="cellIs" dxfId="1015" priority="1015" operator="lessThan">
      <formula>0</formula>
    </cfRule>
    <cfRule type="cellIs" dxfId="1014" priority="1016" operator="lessThan">
      <formula>-105575</formula>
    </cfRule>
  </conditionalFormatting>
  <conditionalFormatting sqref="BB204:BB208">
    <cfRule type="cellIs" dxfId="1013" priority="1013" operator="lessThan">
      <formula>0</formula>
    </cfRule>
    <cfRule type="cellIs" dxfId="1012" priority="1014" operator="lessThan">
      <formula>-105575</formula>
    </cfRule>
  </conditionalFormatting>
  <conditionalFormatting sqref="BB204:BB208">
    <cfRule type="cellIs" dxfId="1011" priority="1011" operator="lessThan">
      <formula>0</formula>
    </cfRule>
    <cfRule type="cellIs" dxfId="1010" priority="1012" operator="lessThan">
      <formula>-105575</formula>
    </cfRule>
  </conditionalFormatting>
  <conditionalFormatting sqref="BB210:BB211">
    <cfRule type="cellIs" dxfId="1009" priority="1009" operator="lessThan">
      <formula>0</formula>
    </cfRule>
    <cfRule type="cellIs" dxfId="1008" priority="1010" operator="lessThan">
      <formula>-105575</formula>
    </cfRule>
  </conditionalFormatting>
  <conditionalFormatting sqref="BB210:BB211">
    <cfRule type="cellIs" dxfId="1007" priority="1007" operator="lessThan">
      <formula>0</formula>
    </cfRule>
    <cfRule type="cellIs" dxfId="1006" priority="1008" operator="lessThan">
      <formula>-105575</formula>
    </cfRule>
  </conditionalFormatting>
  <conditionalFormatting sqref="BB210:BB211">
    <cfRule type="cellIs" dxfId="1005" priority="1005" operator="lessThan">
      <formula>0</formula>
    </cfRule>
    <cfRule type="cellIs" dxfId="1004" priority="1006" operator="lessThan">
      <formula>-105575</formula>
    </cfRule>
  </conditionalFormatting>
  <conditionalFormatting sqref="BB214:BB219">
    <cfRule type="cellIs" dxfId="1003" priority="1003" operator="lessThan">
      <formula>0</formula>
    </cfRule>
    <cfRule type="cellIs" dxfId="1002" priority="1004" operator="lessThan">
      <formula>-105575</formula>
    </cfRule>
  </conditionalFormatting>
  <conditionalFormatting sqref="BB214:BB219">
    <cfRule type="cellIs" dxfId="1001" priority="1001" operator="lessThan">
      <formula>0</formula>
    </cfRule>
    <cfRule type="cellIs" dxfId="1000" priority="1002" operator="lessThan">
      <formula>-105575</formula>
    </cfRule>
  </conditionalFormatting>
  <conditionalFormatting sqref="BB214:BB219">
    <cfRule type="cellIs" dxfId="999" priority="999" operator="lessThan">
      <formula>0</formula>
    </cfRule>
    <cfRule type="cellIs" dxfId="998" priority="1000" operator="lessThan">
      <formula>-105575</formula>
    </cfRule>
  </conditionalFormatting>
  <conditionalFormatting sqref="BB222:BB224">
    <cfRule type="cellIs" dxfId="997" priority="997" operator="lessThan">
      <formula>0</formula>
    </cfRule>
    <cfRule type="cellIs" dxfId="996" priority="998" operator="lessThan">
      <formula>-105575</formula>
    </cfRule>
  </conditionalFormatting>
  <conditionalFormatting sqref="BB222:BB224">
    <cfRule type="cellIs" dxfId="995" priority="995" operator="lessThan">
      <formula>0</formula>
    </cfRule>
    <cfRule type="cellIs" dxfId="994" priority="996" operator="lessThan">
      <formula>-105575</formula>
    </cfRule>
  </conditionalFormatting>
  <conditionalFormatting sqref="BB222:BB224">
    <cfRule type="cellIs" dxfId="993" priority="993" operator="lessThan">
      <formula>0</formula>
    </cfRule>
    <cfRule type="cellIs" dxfId="992" priority="994" operator="lessThan">
      <formula>-105575</formula>
    </cfRule>
  </conditionalFormatting>
  <conditionalFormatting sqref="BB227:BB230">
    <cfRule type="cellIs" dxfId="991" priority="991" operator="lessThan">
      <formula>0</formula>
    </cfRule>
    <cfRule type="cellIs" dxfId="990" priority="992" operator="lessThan">
      <formula>-105575</formula>
    </cfRule>
  </conditionalFormatting>
  <conditionalFormatting sqref="BB227:BB230">
    <cfRule type="cellIs" dxfId="989" priority="989" operator="lessThan">
      <formula>0</formula>
    </cfRule>
    <cfRule type="cellIs" dxfId="988" priority="990" operator="lessThan">
      <formula>-105575</formula>
    </cfRule>
  </conditionalFormatting>
  <conditionalFormatting sqref="BB227:BB230">
    <cfRule type="cellIs" dxfId="987" priority="987" operator="lessThan">
      <formula>0</formula>
    </cfRule>
    <cfRule type="cellIs" dxfId="986" priority="988" operator="lessThan">
      <formula>-105575</formula>
    </cfRule>
  </conditionalFormatting>
  <conditionalFormatting sqref="BB203 BB220:BB221 BB235:BB243 BB231:BB233 BB212:BB213 BB225:BB226">
    <cfRule type="cellIs" dxfId="985" priority="985" operator="lessThan">
      <formula>0</formula>
    </cfRule>
    <cfRule type="cellIs" dxfId="984" priority="986" operator="lessThan">
      <formula>-105575</formula>
    </cfRule>
  </conditionalFormatting>
  <conditionalFormatting sqref="BB220 BB212:BB213 BB235:BB238 BB240:BB243 BB225:BB226 BB231:BB233">
    <cfRule type="cellIs" dxfId="983" priority="983" operator="lessThan">
      <formula>0</formula>
    </cfRule>
    <cfRule type="cellIs" dxfId="982" priority="984" operator="lessThan">
      <formula>-105575</formula>
    </cfRule>
  </conditionalFormatting>
  <conditionalFormatting sqref="BB220:BB221 BB243 BB226 BB231:BB236 BB238:BB241 BB203 BB213">
    <cfRule type="cellIs" dxfId="981" priority="981" operator="lessThan">
      <formula>0</formula>
    </cfRule>
    <cfRule type="cellIs" dxfId="980" priority="982" operator="lessThan">
      <formula>-105575</formula>
    </cfRule>
  </conditionalFormatting>
  <conditionalFormatting sqref="BB235:BB243 BB231:BB233 BB220 BB212:BB213 BB225:BB226">
    <cfRule type="cellIs" dxfId="979" priority="979" operator="lessThan">
      <formula>0</formula>
    </cfRule>
    <cfRule type="cellIs" dxfId="978" priority="980" operator="lessThan">
      <formula>-105575</formula>
    </cfRule>
  </conditionalFormatting>
  <conditionalFormatting sqref="BB220:BB221 BB237:BB243 BB203 BB231:BB235 BB212:BB213 BB225:BB226">
    <cfRule type="cellIs" dxfId="977" priority="977" operator="lessThan">
      <formula>0</formula>
    </cfRule>
    <cfRule type="cellIs" dxfId="976" priority="978" operator="lessThan">
      <formula>-105575</formula>
    </cfRule>
  </conditionalFormatting>
  <conditionalFormatting sqref="BB220:BB221 BB237:BB240 BB242:BB243 BB225:BB226 BB231:BB235">
    <cfRule type="cellIs" dxfId="975" priority="975" operator="lessThan">
      <formula>0</formula>
    </cfRule>
    <cfRule type="cellIs" dxfId="974" priority="976" operator="lessThan">
      <formula>-105575</formula>
    </cfRule>
  </conditionalFormatting>
  <conditionalFormatting sqref="BB212 BB231 BB233:BB238 BB240:BB243 BB225">
    <cfRule type="cellIs" dxfId="973" priority="973" operator="lessThan">
      <formula>0</formula>
    </cfRule>
    <cfRule type="cellIs" dxfId="972" priority="974" operator="lessThan">
      <formula>-105575</formula>
    </cfRule>
  </conditionalFormatting>
  <conditionalFormatting sqref="BB237:BB243 BB231:BB235 BB220:BB221 BB225:BB226">
    <cfRule type="cellIs" dxfId="971" priority="971" operator="lessThan">
      <formula>0</formula>
    </cfRule>
    <cfRule type="cellIs" dxfId="970" priority="972" operator="lessThan">
      <formula>-105575</formula>
    </cfRule>
  </conditionalFormatting>
  <conditionalFormatting sqref="BB233:BB237 BB231 BB239:BB243">
    <cfRule type="cellIs" dxfId="969" priority="969" operator="lessThan">
      <formula>0</formula>
    </cfRule>
    <cfRule type="cellIs" dxfId="968" priority="970" operator="lessThan">
      <formula>-105575</formula>
    </cfRule>
  </conditionalFormatting>
  <conditionalFormatting sqref="BB233:BB237 BB231 BB239:BB243">
    <cfRule type="cellIs" dxfId="967" priority="967" operator="lessThan">
      <formula>0</formula>
    </cfRule>
    <cfRule type="cellIs" dxfId="966" priority="968" operator="lessThan">
      <formula>-105575</formula>
    </cfRule>
  </conditionalFormatting>
  <conditionalFormatting sqref="BB119:BB128 BB106:BB117 BB101:BB104 BB80:BB98">
    <cfRule type="cellIs" dxfId="965" priority="965" operator="lessThan">
      <formula>0</formula>
    </cfRule>
    <cfRule type="cellIs" dxfId="964" priority="966" operator="lessThan">
      <formula>-105575</formula>
    </cfRule>
  </conditionalFormatting>
  <conditionalFormatting sqref="BB130 BB132 BB134">
    <cfRule type="cellIs" dxfId="963" priority="963" operator="lessThan">
      <formula>0</formula>
    </cfRule>
    <cfRule type="cellIs" dxfId="962" priority="964" operator="lessThan">
      <formula>-105575</formula>
    </cfRule>
  </conditionalFormatting>
  <conditionalFormatting sqref="BB130 BB132 BB134">
    <cfRule type="cellIs" dxfId="961" priority="961" operator="lessThan">
      <formula>0</formula>
    </cfRule>
    <cfRule type="cellIs" dxfId="960" priority="962" operator="lessThan">
      <formula>-105575</formula>
    </cfRule>
  </conditionalFormatting>
  <conditionalFormatting sqref="BB129 BB131 BB133 BB135">
    <cfRule type="cellIs" dxfId="959" priority="959" operator="lessThan">
      <formula>0</formula>
    </cfRule>
    <cfRule type="cellIs" dxfId="958" priority="960" operator="lessThan">
      <formula>-105575</formula>
    </cfRule>
  </conditionalFormatting>
  <conditionalFormatting sqref="BB140 BB145 BB142:BB143 BB137:BB138">
    <cfRule type="cellIs" dxfId="957" priority="957" operator="lessThan">
      <formula>0</formula>
    </cfRule>
    <cfRule type="cellIs" dxfId="956" priority="958" operator="lessThan">
      <formula>-105575</formula>
    </cfRule>
  </conditionalFormatting>
  <conditionalFormatting sqref="BB149">
    <cfRule type="cellIs" dxfId="955" priority="955" operator="lessThan">
      <formula>0</formula>
    </cfRule>
    <cfRule type="cellIs" dxfId="954" priority="956" operator="lessThan">
      <formula>-105575</formula>
    </cfRule>
  </conditionalFormatting>
  <conditionalFormatting sqref="BB129:BB138 BB140:BB149">
    <cfRule type="cellIs" dxfId="953" priority="953" operator="lessThan">
      <formula>0</formula>
    </cfRule>
    <cfRule type="cellIs" dxfId="952" priority="954" operator="lessThan">
      <formula>-105575</formula>
    </cfRule>
  </conditionalFormatting>
  <conditionalFormatting sqref="BB94:BB98 BB86:BB87 BB89:BB91 BB141:BB149 BB124:BB133 BB107:BB110 BB112:BB117 BB119:BB122 BB135:BB138 BB101:BB104 BB80:BB84">
    <cfRule type="cellIs" dxfId="951" priority="951" operator="lessThan">
      <formula>0</formula>
    </cfRule>
    <cfRule type="cellIs" dxfId="950" priority="952" operator="lessThan">
      <formula>-105575</formula>
    </cfRule>
  </conditionalFormatting>
  <conditionalFormatting sqref="BB129 BB131 BB133 BB135">
    <cfRule type="cellIs" dxfId="949" priority="949" operator="lessThan">
      <formula>0</formula>
    </cfRule>
    <cfRule type="cellIs" dxfId="948" priority="950" operator="lessThan">
      <formula>-105575</formula>
    </cfRule>
  </conditionalFormatting>
  <conditionalFormatting sqref="BB146 BB144 BB141">
    <cfRule type="cellIs" dxfId="947" priority="947" operator="lessThan">
      <formula>0</formula>
    </cfRule>
    <cfRule type="cellIs" dxfId="946" priority="948" operator="lessThan">
      <formula>-105575</formula>
    </cfRule>
  </conditionalFormatting>
  <conditionalFormatting sqref="BB146 BB144 BB141">
    <cfRule type="cellIs" dxfId="945" priority="945" operator="lessThan">
      <formula>0</formula>
    </cfRule>
    <cfRule type="cellIs" dxfId="944" priority="946" operator="lessThan">
      <formula>-105575</formula>
    </cfRule>
  </conditionalFormatting>
  <conditionalFormatting sqref="BB140 BB145 BB142:BB143 BB137:BB138">
    <cfRule type="cellIs" dxfId="943" priority="943" operator="lessThan">
      <formula>0</formula>
    </cfRule>
    <cfRule type="cellIs" dxfId="942" priority="944" operator="lessThan">
      <formula>-105575</formula>
    </cfRule>
  </conditionalFormatting>
  <conditionalFormatting sqref="BB149">
    <cfRule type="cellIs" dxfId="941" priority="941" operator="lessThan">
      <formula>0</formula>
    </cfRule>
    <cfRule type="cellIs" dxfId="940" priority="942" operator="lessThan">
      <formula>-105575</formula>
    </cfRule>
  </conditionalFormatting>
  <conditionalFormatting sqref="BB94:BB98 BB86:BB87 BB89:BB91 BB141:BB149 BB124:BB133 BB107:BB110 BB112:BB117 BB119:BB122 BB135:BB138 BB101:BB104 BB80:BB84">
    <cfRule type="cellIs" dxfId="939" priority="939" operator="lessThan">
      <formula>0</formula>
    </cfRule>
    <cfRule type="cellIs" dxfId="938" priority="940" operator="lessThan">
      <formula>-105575</formula>
    </cfRule>
  </conditionalFormatting>
  <conditionalFormatting sqref="BB62:BB76 BB306:BB309 BB311:BB325 BB327:BB330 BB332:BB341 BB344:BB347 BB349:BB353 BB355:BB358 BB360:BB384 BB386:BB389 BB392:BB395 BB397:BB411 BB413:BB416 BB418:BB432 BB434:BB437 BB439:BB453 BB455:BB458 BB460:BB469 BB7:BB10 BB12:BB14 BB17:BB18 BB21:BB24 BB26:BB28 BB30:BB36 BB38 BB41:BB43 BB46:BB49 BB51:BB55 BB57:BB59 BB290:BB291 BB293:BB304">
    <cfRule type="cellIs" dxfId="937" priority="937" operator="lessThan">
      <formula>0</formula>
    </cfRule>
    <cfRule type="cellIs" dxfId="936" priority="938" operator="lessThan">
      <formula>-105575</formula>
    </cfRule>
  </conditionalFormatting>
  <conditionalFormatting sqref="BB41">
    <cfRule type="cellIs" dxfId="935" priority="935" operator="lessThan">
      <formula>0</formula>
    </cfRule>
    <cfRule type="cellIs" dxfId="934" priority="936" operator="lessThan">
      <formula>-105575</formula>
    </cfRule>
  </conditionalFormatting>
  <conditionalFormatting sqref="BB152:BB155">
    <cfRule type="cellIs" dxfId="933" priority="933" operator="lessThan">
      <formula>0</formula>
    </cfRule>
    <cfRule type="cellIs" dxfId="932" priority="934" operator="lessThan">
      <formula>-105575</formula>
    </cfRule>
  </conditionalFormatting>
  <conditionalFormatting sqref="BB152:BB155">
    <cfRule type="cellIs" dxfId="931" priority="931" operator="lessThan">
      <formula>0</formula>
    </cfRule>
    <cfRule type="cellIs" dxfId="930" priority="932" operator="lessThan">
      <formula>-105575</formula>
    </cfRule>
  </conditionalFormatting>
  <conditionalFormatting sqref="BB152:BB155">
    <cfRule type="cellIs" dxfId="929" priority="929" operator="lessThan">
      <formula>0</formula>
    </cfRule>
    <cfRule type="cellIs" dxfId="928" priority="930" operator="lessThan">
      <formula>-105575</formula>
    </cfRule>
  </conditionalFormatting>
  <conditionalFormatting sqref="BB157:BB158">
    <cfRule type="cellIs" dxfId="927" priority="927" operator="lessThan">
      <formula>0</formula>
    </cfRule>
    <cfRule type="cellIs" dxfId="926" priority="928" operator="lessThan">
      <formula>-105575</formula>
    </cfRule>
  </conditionalFormatting>
  <conditionalFormatting sqref="BB157:BB158">
    <cfRule type="cellIs" dxfId="925" priority="925" operator="lessThan">
      <formula>0</formula>
    </cfRule>
    <cfRule type="cellIs" dxfId="924" priority="926" operator="lessThan">
      <formula>-105575</formula>
    </cfRule>
  </conditionalFormatting>
  <conditionalFormatting sqref="BB157:BB158">
    <cfRule type="cellIs" dxfId="923" priority="923" operator="lessThan">
      <formula>0</formula>
    </cfRule>
    <cfRule type="cellIs" dxfId="922" priority="924" operator="lessThan">
      <formula>-105575</formula>
    </cfRule>
  </conditionalFormatting>
  <conditionalFormatting sqref="BB160:BB161">
    <cfRule type="cellIs" dxfId="921" priority="921" operator="lessThan">
      <formula>0</formula>
    </cfRule>
    <cfRule type="cellIs" dxfId="920" priority="922" operator="lessThan">
      <formula>-105575</formula>
    </cfRule>
  </conditionalFormatting>
  <conditionalFormatting sqref="BB160:BB161">
    <cfRule type="cellIs" dxfId="919" priority="919" operator="lessThan">
      <formula>0</formula>
    </cfRule>
    <cfRule type="cellIs" dxfId="918" priority="920" operator="lessThan">
      <formula>-105575</formula>
    </cfRule>
  </conditionalFormatting>
  <conditionalFormatting sqref="BB160:BB161">
    <cfRule type="cellIs" dxfId="917" priority="917" operator="lessThan">
      <formula>0</formula>
    </cfRule>
    <cfRule type="cellIs" dxfId="916" priority="918" operator="lessThan">
      <formula>-105575</formula>
    </cfRule>
  </conditionalFormatting>
  <conditionalFormatting sqref="BB164:BB167">
    <cfRule type="cellIs" dxfId="915" priority="915" operator="lessThan">
      <formula>0</formula>
    </cfRule>
    <cfRule type="cellIs" dxfId="914" priority="916" operator="lessThan">
      <formula>-105575</formula>
    </cfRule>
  </conditionalFormatting>
  <conditionalFormatting sqref="BB164:BB167">
    <cfRule type="cellIs" dxfId="913" priority="913" operator="lessThan">
      <formula>0</formula>
    </cfRule>
    <cfRule type="cellIs" dxfId="912" priority="914" operator="lessThan">
      <formula>-105575</formula>
    </cfRule>
  </conditionalFormatting>
  <conditionalFormatting sqref="BB164:BB167">
    <cfRule type="cellIs" dxfId="911" priority="911" operator="lessThan">
      <formula>0</formula>
    </cfRule>
    <cfRule type="cellIs" dxfId="910" priority="912" operator="lessThan">
      <formula>-105575</formula>
    </cfRule>
  </conditionalFormatting>
  <conditionalFormatting sqref="BB169:BB177">
    <cfRule type="cellIs" dxfId="909" priority="909" operator="lessThan">
      <formula>0</formula>
    </cfRule>
    <cfRule type="cellIs" dxfId="908" priority="910" operator="lessThan">
      <formula>-105575</formula>
    </cfRule>
  </conditionalFormatting>
  <conditionalFormatting sqref="BB169:BB177">
    <cfRule type="cellIs" dxfId="907" priority="907" operator="lessThan">
      <formula>0</formula>
    </cfRule>
    <cfRule type="cellIs" dxfId="906" priority="908" operator="lessThan">
      <formula>-105575</formula>
    </cfRule>
  </conditionalFormatting>
  <conditionalFormatting sqref="BB169:BB177">
    <cfRule type="cellIs" dxfId="905" priority="905" operator="lessThan">
      <formula>0</formula>
    </cfRule>
    <cfRule type="cellIs" dxfId="904" priority="906" operator="lessThan">
      <formula>-105575</formula>
    </cfRule>
  </conditionalFormatting>
  <conditionalFormatting sqref="BB179:BB180">
    <cfRule type="cellIs" dxfId="903" priority="903" operator="lessThan">
      <formula>0</formula>
    </cfRule>
    <cfRule type="cellIs" dxfId="902" priority="904" operator="lessThan">
      <formula>-105575</formula>
    </cfRule>
  </conditionalFormatting>
  <conditionalFormatting sqref="BB179:BB180">
    <cfRule type="cellIs" dxfId="901" priority="901" operator="lessThan">
      <formula>0</formula>
    </cfRule>
    <cfRule type="cellIs" dxfId="900" priority="902" operator="lessThan">
      <formula>-105575</formula>
    </cfRule>
  </conditionalFormatting>
  <conditionalFormatting sqref="BB179:BB180">
    <cfRule type="cellIs" dxfId="899" priority="899" operator="lessThan">
      <formula>0</formula>
    </cfRule>
    <cfRule type="cellIs" dxfId="898" priority="900" operator="lessThan">
      <formula>-105575</formula>
    </cfRule>
  </conditionalFormatting>
  <conditionalFormatting sqref="BB183:BB189">
    <cfRule type="cellIs" dxfId="897" priority="897" operator="lessThan">
      <formula>0</formula>
    </cfRule>
    <cfRule type="cellIs" dxfId="896" priority="898" operator="lessThan">
      <formula>-105575</formula>
    </cfRule>
  </conditionalFormatting>
  <conditionalFormatting sqref="BB183:BB189">
    <cfRule type="cellIs" dxfId="895" priority="895" operator="lessThan">
      <formula>0</formula>
    </cfRule>
    <cfRule type="cellIs" dxfId="894" priority="896" operator="lessThan">
      <formula>-105575</formula>
    </cfRule>
  </conditionalFormatting>
  <conditionalFormatting sqref="BB183:BB189">
    <cfRule type="cellIs" dxfId="893" priority="893" operator="lessThan">
      <formula>0</formula>
    </cfRule>
    <cfRule type="cellIs" dxfId="892" priority="894" operator="lessThan">
      <formula>-105575</formula>
    </cfRule>
  </conditionalFormatting>
  <conditionalFormatting sqref="BB191:BB192">
    <cfRule type="cellIs" dxfId="891" priority="891" operator="lessThan">
      <formula>0</formula>
    </cfRule>
    <cfRule type="cellIs" dxfId="890" priority="892" operator="lessThan">
      <formula>-105575</formula>
    </cfRule>
  </conditionalFormatting>
  <conditionalFormatting sqref="BB191:BB192">
    <cfRule type="cellIs" dxfId="889" priority="889" operator="lessThan">
      <formula>0</formula>
    </cfRule>
    <cfRule type="cellIs" dxfId="888" priority="890" operator="lessThan">
      <formula>-105575</formula>
    </cfRule>
  </conditionalFormatting>
  <conditionalFormatting sqref="BB191:BB192">
    <cfRule type="cellIs" dxfId="887" priority="887" operator="lessThan">
      <formula>0</formula>
    </cfRule>
    <cfRule type="cellIs" dxfId="886" priority="888" operator="lessThan">
      <formula>-105575</formula>
    </cfRule>
  </conditionalFormatting>
  <conditionalFormatting sqref="BB194:BB195">
    <cfRule type="cellIs" dxfId="885" priority="885" operator="lessThan">
      <formula>0</formula>
    </cfRule>
    <cfRule type="cellIs" dxfId="884" priority="886" operator="lessThan">
      <formula>-105575</formula>
    </cfRule>
  </conditionalFormatting>
  <conditionalFormatting sqref="BB194:BB195">
    <cfRule type="cellIs" dxfId="883" priority="883" operator="lessThan">
      <formula>0</formula>
    </cfRule>
    <cfRule type="cellIs" dxfId="882" priority="884" operator="lessThan">
      <formula>-105575</formula>
    </cfRule>
  </conditionalFormatting>
  <conditionalFormatting sqref="BB194:BB195">
    <cfRule type="cellIs" dxfId="881" priority="881" operator="lessThan">
      <formula>0</formula>
    </cfRule>
    <cfRule type="cellIs" dxfId="880" priority="882" operator="lessThan">
      <formula>-105575</formula>
    </cfRule>
  </conditionalFormatting>
  <conditionalFormatting sqref="BB199:BB202">
    <cfRule type="cellIs" dxfId="879" priority="879" operator="lessThan">
      <formula>0</formula>
    </cfRule>
    <cfRule type="cellIs" dxfId="878" priority="880" operator="lessThan">
      <formula>-105575</formula>
    </cfRule>
  </conditionalFormatting>
  <conditionalFormatting sqref="BB199:BB202">
    <cfRule type="cellIs" dxfId="877" priority="877" operator="lessThan">
      <formula>0</formula>
    </cfRule>
    <cfRule type="cellIs" dxfId="876" priority="878" operator="lessThan">
      <formula>-105575</formula>
    </cfRule>
  </conditionalFormatting>
  <conditionalFormatting sqref="BB199:BB202">
    <cfRule type="cellIs" dxfId="875" priority="875" operator="lessThan">
      <formula>0</formula>
    </cfRule>
    <cfRule type="cellIs" dxfId="874" priority="876" operator="lessThan">
      <formula>-105575</formula>
    </cfRule>
  </conditionalFormatting>
  <conditionalFormatting sqref="BB204:BB208">
    <cfRule type="cellIs" dxfId="873" priority="873" operator="lessThan">
      <formula>0</formula>
    </cfRule>
    <cfRule type="cellIs" dxfId="872" priority="874" operator="lessThan">
      <formula>-105575</formula>
    </cfRule>
  </conditionalFormatting>
  <conditionalFormatting sqref="BB204:BB208">
    <cfRule type="cellIs" dxfId="871" priority="871" operator="lessThan">
      <formula>0</formula>
    </cfRule>
    <cfRule type="cellIs" dxfId="870" priority="872" operator="lessThan">
      <formula>-105575</formula>
    </cfRule>
  </conditionalFormatting>
  <conditionalFormatting sqref="BB204:BB208">
    <cfRule type="cellIs" dxfId="869" priority="869" operator="lessThan">
      <formula>0</formula>
    </cfRule>
    <cfRule type="cellIs" dxfId="868" priority="870" operator="lessThan">
      <formula>-105575</formula>
    </cfRule>
  </conditionalFormatting>
  <conditionalFormatting sqref="BB210:BB211">
    <cfRule type="cellIs" dxfId="867" priority="867" operator="lessThan">
      <formula>0</formula>
    </cfRule>
    <cfRule type="cellIs" dxfId="866" priority="868" operator="lessThan">
      <formula>-105575</formula>
    </cfRule>
  </conditionalFormatting>
  <conditionalFormatting sqref="BB210:BB211">
    <cfRule type="cellIs" dxfId="865" priority="865" operator="lessThan">
      <formula>0</formula>
    </cfRule>
    <cfRule type="cellIs" dxfId="864" priority="866" operator="lessThan">
      <formula>-105575</formula>
    </cfRule>
  </conditionalFormatting>
  <conditionalFormatting sqref="BB210:BB211">
    <cfRule type="cellIs" dxfId="863" priority="863" operator="lessThan">
      <formula>0</formula>
    </cfRule>
    <cfRule type="cellIs" dxfId="862" priority="864" operator="lessThan">
      <formula>-105575</formula>
    </cfRule>
  </conditionalFormatting>
  <conditionalFormatting sqref="BB214:BB219">
    <cfRule type="cellIs" dxfId="861" priority="861" operator="lessThan">
      <formula>0</formula>
    </cfRule>
    <cfRule type="cellIs" dxfId="860" priority="862" operator="lessThan">
      <formula>-105575</formula>
    </cfRule>
  </conditionalFormatting>
  <conditionalFormatting sqref="BB214:BB219">
    <cfRule type="cellIs" dxfId="859" priority="859" operator="lessThan">
      <formula>0</formula>
    </cfRule>
    <cfRule type="cellIs" dxfId="858" priority="860" operator="lessThan">
      <formula>-105575</formula>
    </cfRule>
  </conditionalFormatting>
  <conditionalFormatting sqref="BB214:BB219">
    <cfRule type="cellIs" dxfId="857" priority="857" operator="lessThan">
      <formula>0</formula>
    </cfRule>
    <cfRule type="cellIs" dxfId="856" priority="858" operator="lessThan">
      <formula>-105575</formula>
    </cfRule>
  </conditionalFormatting>
  <conditionalFormatting sqref="BB222:BB224">
    <cfRule type="cellIs" dxfId="855" priority="855" operator="lessThan">
      <formula>0</formula>
    </cfRule>
    <cfRule type="cellIs" dxfId="854" priority="856" operator="lessThan">
      <formula>-105575</formula>
    </cfRule>
  </conditionalFormatting>
  <conditionalFormatting sqref="BB222:BB224">
    <cfRule type="cellIs" dxfId="853" priority="853" operator="lessThan">
      <formula>0</formula>
    </cfRule>
    <cfRule type="cellIs" dxfId="852" priority="854" operator="lessThan">
      <formula>-105575</formula>
    </cfRule>
  </conditionalFormatting>
  <conditionalFormatting sqref="BB222:BB224">
    <cfRule type="cellIs" dxfId="851" priority="851" operator="lessThan">
      <formula>0</formula>
    </cfRule>
    <cfRule type="cellIs" dxfId="850" priority="852" operator="lessThan">
      <formula>-105575</formula>
    </cfRule>
  </conditionalFormatting>
  <conditionalFormatting sqref="BB227:BB230">
    <cfRule type="cellIs" dxfId="849" priority="849" operator="lessThan">
      <formula>0</formula>
    </cfRule>
    <cfRule type="cellIs" dxfId="848" priority="850" operator="lessThan">
      <formula>-105575</formula>
    </cfRule>
  </conditionalFormatting>
  <conditionalFormatting sqref="BB227:BB230">
    <cfRule type="cellIs" dxfId="847" priority="847" operator="lessThan">
      <formula>0</formula>
    </cfRule>
    <cfRule type="cellIs" dxfId="846" priority="848" operator="lessThan">
      <formula>-105575</formula>
    </cfRule>
  </conditionalFormatting>
  <conditionalFormatting sqref="BB227:BB230">
    <cfRule type="cellIs" dxfId="845" priority="845" operator="lessThan">
      <formula>0</formula>
    </cfRule>
    <cfRule type="cellIs" dxfId="844" priority="846" operator="lessThan">
      <formula>-105575</formula>
    </cfRule>
  </conditionalFormatting>
  <conditionalFormatting sqref="BB246:BB249">
    <cfRule type="cellIs" dxfId="843" priority="843" operator="lessThan">
      <formula>0</formula>
    </cfRule>
    <cfRule type="cellIs" dxfId="842" priority="844" operator="lessThan">
      <formula>-105575</formula>
    </cfRule>
  </conditionalFormatting>
  <conditionalFormatting sqref="BB246:BB249">
    <cfRule type="cellIs" dxfId="841" priority="841" operator="lessThan">
      <formula>0</formula>
    </cfRule>
    <cfRule type="cellIs" dxfId="840" priority="842" operator="lessThan">
      <formula>-105575</formula>
    </cfRule>
  </conditionalFormatting>
  <conditionalFormatting sqref="BB246:BB249">
    <cfRule type="cellIs" dxfId="839" priority="839" operator="lessThan">
      <formula>0</formula>
    </cfRule>
    <cfRule type="cellIs" dxfId="838" priority="840" operator="lessThan">
      <formula>-105575</formula>
    </cfRule>
  </conditionalFormatting>
  <conditionalFormatting sqref="BB246:BB249">
    <cfRule type="cellIs" dxfId="837" priority="837" operator="lessThan">
      <formula>0</formula>
    </cfRule>
    <cfRule type="cellIs" dxfId="836" priority="838" operator="lessThan">
      <formula>-105575</formula>
    </cfRule>
  </conditionalFormatting>
  <conditionalFormatting sqref="BB246:BB249">
    <cfRule type="cellIs" dxfId="835" priority="835" operator="lessThan">
      <formula>0</formula>
    </cfRule>
    <cfRule type="cellIs" dxfId="834" priority="836" operator="lessThan">
      <formula>-105575</formula>
    </cfRule>
  </conditionalFormatting>
  <conditionalFormatting sqref="BB246:BB249">
    <cfRule type="cellIs" dxfId="833" priority="833" operator="lessThan">
      <formula>0</formula>
    </cfRule>
    <cfRule type="cellIs" dxfId="832" priority="834" operator="lessThan">
      <formula>-105575</formula>
    </cfRule>
  </conditionalFormatting>
  <conditionalFormatting sqref="BB246:BB249">
    <cfRule type="cellIs" dxfId="831" priority="831" operator="lessThan">
      <formula>0</formula>
    </cfRule>
    <cfRule type="cellIs" dxfId="830" priority="832" operator="lessThan">
      <formula>-105575</formula>
    </cfRule>
  </conditionalFormatting>
  <conditionalFormatting sqref="BB246:BB249">
    <cfRule type="cellIs" dxfId="829" priority="829" operator="lessThan">
      <formula>0</formula>
    </cfRule>
    <cfRule type="cellIs" dxfId="828" priority="830" operator="lessThan">
      <formula>-105575</formula>
    </cfRule>
  </conditionalFormatting>
  <conditionalFormatting sqref="BB246:BB249">
    <cfRule type="cellIs" dxfId="827" priority="827" operator="lessThan">
      <formula>0</formula>
    </cfRule>
    <cfRule type="cellIs" dxfId="826" priority="828" operator="lessThan">
      <formula>-105575</formula>
    </cfRule>
  </conditionalFormatting>
  <conditionalFormatting sqref="BB251:BB253">
    <cfRule type="cellIs" dxfId="825" priority="825" operator="lessThan">
      <formula>0</formula>
    </cfRule>
    <cfRule type="cellIs" dxfId="824" priority="826" operator="lessThan">
      <formula>-105575</formula>
    </cfRule>
  </conditionalFormatting>
  <conditionalFormatting sqref="BB251:BB253">
    <cfRule type="cellIs" dxfId="823" priority="823" operator="lessThan">
      <formula>0</formula>
    </cfRule>
    <cfRule type="cellIs" dxfId="822" priority="824" operator="lessThan">
      <formula>-105575</formula>
    </cfRule>
  </conditionalFormatting>
  <conditionalFormatting sqref="BB251:BB253">
    <cfRule type="cellIs" dxfId="821" priority="821" operator="lessThan">
      <formula>0</formula>
    </cfRule>
    <cfRule type="cellIs" dxfId="820" priority="822" operator="lessThan">
      <formula>-105575</formula>
    </cfRule>
  </conditionalFormatting>
  <conditionalFormatting sqref="BB251:BB253">
    <cfRule type="cellIs" dxfId="819" priority="819" operator="lessThan">
      <formula>0</formula>
    </cfRule>
    <cfRule type="cellIs" dxfId="818" priority="820" operator="lessThan">
      <formula>-105575</formula>
    </cfRule>
  </conditionalFormatting>
  <conditionalFormatting sqref="BB251:BB253">
    <cfRule type="cellIs" dxfId="817" priority="817" operator="lessThan">
      <formula>0</formula>
    </cfRule>
    <cfRule type="cellIs" dxfId="816" priority="818" operator="lessThan">
      <formula>-105575</formula>
    </cfRule>
  </conditionalFormatting>
  <conditionalFormatting sqref="BB251:BB253">
    <cfRule type="cellIs" dxfId="815" priority="815" operator="lessThan">
      <formula>0</formula>
    </cfRule>
    <cfRule type="cellIs" dxfId="814" priority="816" operator="lessThan">
      <formula>-105575</formula>
    </cfRule>
  </conditionalFormatting>
  <conditionalFormatting sqref="BB251:BB253">
    <cfRule type="cellIs" dxfId="813" priority="813" operator="lessThan">
      <formula>0</formula>
    </cfRule>
    <cfRule type="cellIs" dxfId="812" priority="814" operator="lessThan">
      <formula>-105575</formula>
    </cfRule>
  </conditionalFormatting>
  <conditionalFormatting sqref="BB251:BB253">
    <cfRule type="cellIs" dxfId="811" priority="811" operator="lessThan">
      <formula>0</formula>
    </cfRule>
    <cfRule type="cellIs" dxfId="810" priority="812" operator="lessThan">
      <formula>-105575</formula>
    </cfRule>
  </conditionalFormatting>
  <conditionalFormatting sqref="BB251:BB253">
    <cfRule type="cellIs" dxfId="809" priority="809" operator="lessThan">
      <formula>0</formula>
    </cfRule>
    <cfRule type="cellIs" dxfId="808" priority="810" operator="lessThan">
      <formula>-105575</formula>
    </cfRule>
  </conditionalFormatting>
  <conditionalFormatting sqref="BB255:BB257">
    <cfRule type="cellIs" dxfId="807" priority="807" operator="lessThan">
      <formula>0</formula>
    </cfRule>
    <cfRule type="cellIs" dxfId="806" priority="808" operator="lessThan">
      <formula>-105575</formula>
    </cfRule>
  </conditionalFormatting>
  <conditionalFormatting sqref="BB255:BB257">
    <cfRule type="cellIs" dxfId="805" priority="805" operator="lessThan">
      <formula>0</formula>
    </cfRule>
    <cfRule type="cellIs" dxfId="804" priority="806" operator="lessThan">
      <formula>-105575</formula>
    </cfRule>
  </conditionalFormatting>
  <conditionalFormatting sqref="BB255:BB257">
    <cfRule type="cellIs" dxfId="803" priority="803" operator="lessThan">
      <formula>0</formula>
    </cfRule>
    <cfRule type="cellIs" dxfId="802" priority="804" operator="lessThan">
      <formula>-105575</formula>
    </cfRule>
  </conditionalFormatting>
  <conditionalFormatting sqref="BB255:BB257">
    <cfRule type="cellIs" dxfId="801" priority="801" operator="lessThan">
      <formula>0</formula>
    </cfRule>
    <cfRule type="cellIs" dxfId="800" priority="802" operator="lessThan">
      <formula>-105575</formula>
    </cfRule>
  </conditionalFormatting>
  <conditionalFormatting sqref="BB255:BB257">
    <cfRule type="cellIs" dxfId="799" priority="799" operator="lessThan">
      <formula>0</formula>
    </cfRule>
    <cfRule type="cellIs" dxfId="798" priority="800" operator="lessThan">
      <formula>-105575</formula>
    </cfRule>
  </conditionalFormatting>
  <conditionalFormatting sqref="BB255:BB257">
    <cfRule type="cellIs" dxfId="797" priority="797" operator="lessThan">
      <formula>0</formula>
    </cfRule>
    <cfRule type="cellIs" dxfId="796" priority="798" operator="lessThan">
      <formula>-105575</formula>
    </cfRule>
  </conditionalFormatting>
  <conditionalFormatting sqref="BB255:BB257">
    <cfRule type="cellIs" dxfId="795" priority="795" operator="lessThan">
      <formula>0</formula>
    </cfRule>
    <cfRule type="cellIs" dxfId="794" priority="796" operator="lessThan">
      <formula>-105575</formula>
    </cfRule>
  </conditionalFormatting>
  <conditionalFormatting sqref="BB255:BB257">
    <cfRule type="cellIs" dxfId="793" priority="793" operator="lessThan">
      <formula>0</formula>
    </cfRule>
    <cfRule type="cellIs" dxfId="792" priority="794" operator="lessThan">
      <formula>-105575</formula>
    </cfRule>
  </conditionalFormatting>
  <conditionalFormatting sqref="BB255:BB257">
    <cfRule type="cellIs" dxfId="791" priority="791" operator="lessThan">
      <formula>0</formula>
    </cfRule>
    <cfRule type="cellIs" dxfId="790" priority="792" operator="lessThan">
      <formula>-105575</formula>
    </cfRule>
  </conditionalFormatting>
  <conditionalFormatting sqref="BB260:BB262">
    <cfRule type="cellIs" dxfId="789" priority="789" operator="lessThan">
      <formula>0</formula>
    </cfRule>
    <cfRule type="cellIs" dxfId="788" priority="790" operator="lessThan">
      <formula>-105575</formula>
    </cfRule>
  </conditionalFormatting>
  <conditionalFormatting sqref="BB260:BB262">
    <cfRule type="cellIs" dxfId="787" priority="787" operator="lessThan">
      <formula>0</formula>
    </cfRule>
    <cfRule type="cellIs" dxfId="786" priority="788" operator="lessThan">
      <formula>-105575</formula>
    </cfRule>
  </conditionalFormatting>
  <conditionalFormatting sqref="BB260:BB262">
    <cfRule type="cellIs" dxfId="785" priority="785" operator="lessThan">
      <formula>0</formula>
    </cfRule>
    <cfRule type="cellIs" dxfId="784" priority="786" operator="lessThan">
      <formula>-105575</formula>
    </cfRule>
  </conditionalFormatting>
  <conditionalFormatting sqref="BB260:BB262">
    <cfRule type="cellIs" dxfId="783" priority="783" operator="lessThan">
      <formula>0</formula>
    </cfRule>
    <cfRule type="cellIs" dxfId="782" priority="784" operator="lessThan">
      <formula>-105575</formula>
    </cfRule>
  </conditionalFormatting>
  <conditionalFormatting sqref="BB260:BB262">
    <cfRule type="cellIs" dxfId="781" priority="781" operator="lessThan">
      <formula>0</formula>
    </cfRule>
    <cfRule type="cellIs" dxfId="780" priority="782" operator="lessThan">
      <formula>-105575</formula>
    </cfRule>
  </conditionalFormatting>
  <conditionalFormatting sqref="BB260:BB262">
    <cfRule type="cellIs" dxfId="779" priority="779" operator="lessThan">
      <formula>0</formula>
    </cfRule>
    <cfRule type="cellIs" dxfId="778" priority="780" operator="lessThan">
      <formula>-105575</formula>
    </cfRule>
  </conditionalFormatting>
  <conditionalFormatting sqref="BB260:BB262">
    <cfRule type="cellIs" dxfId="777" priority="777" operator="lessThan">
      <formula>0</formula>
    </cfRule>
    <cfRule type="cellIs" dxfId="776" priority="778" operator="lessThan">
      <formula>-105575</formula>
    </cfRule>
  </conditionalFormatting>
  <conditionalFormatting sqref="BB260:BB262">
    <cfRule type="cellIs" dxfId="775" priority="775" operator="lessThan">
      <formula>0</formula>
    </cfRule>
    <cfRule type="cellIs" dxfId="774" priority="776" operator="lessThan">
      <formula>-105575</formula>
    </cfRule>
  </conditionalFormatting>
  <conditionalFormatting sqref="BB260:BB262">
    <cfRule type="cellIs" dxfId="773" priority="773" operator="lessThan">
      <formula>0</formula>
    </cfRule>
    <cfRule type="cellIs" dxfId="772" priority="774" operator="lessThan">
      <formula>-105575</formula>
    </cfRule>
  </conditionalFormatting>
  <conditionalFormatting sqref="BB264:BB267">
    <cfRule type="cellIs" dxfId="771" priority="771" operator="lessThan">
      <formula>0</formula>
    </cfRule>
    <cfRule type="cellIs" dxfId="770" priority="772" operator="lessThan">
      <formula>-105575</formula>
    </cfRule>
  </conditionalFormatting>
  <conditionalFormatting sqref="BB264:BB267">
    <cfRule type="cellIs" dxfId="769" priority="769" operator="lessThan">
      <formula>0</formula>
    </cfRule>
    <cfRule type="cellIs" dxfId="768" priority="770" operator="lessThan">
      <formula>-105575</formula>
    </cfRule>
  </conditionalFormatting>
  <conditionalFormatting sqref="BB264:BB267">
    <cfRule type="cellIs" dxfId="767" priority="767" operator="lessThan">
      <formula>0</formula>
    </cfRule>
    <cfRule type="cellIs" dxfId="766" priority="768" operator="lessThan">
      <formula>-105575</formula>
    </cfRule>
  </conditionalFormatting>
  <conditionalFormatting sqref="BB264:BB267">
    <cfRule type="cellIs" dxfId="765" priority="765" operator="lessThan">
      <formula>0</formula>
    </cfRule>
    <cfRule type="cellIs" dxfId="764" priority="766" operator="lessThan">
      <formula>-105575</formula>
    </cfRule>
  </conditionalFormatting>
  <conditionalFormatting sqref="BB264:BB267">
    <cfRule type="cellIs" dxfId="763" priority="763" operator="lessThan">
      <formula>0</formula>
    </cfRule>
    <cfRule type="cellIs" dxfId="762" priority="764" operator="lessThan">
      <formula>-105575</formula>
    </cfRule>
  </conditionalFormatting>
  <conditionalFormatting sqref="BB264:BB267">
    <cfRule type="cellIs" dxfId="761" priority="761" operator="lessThan">
      <formula>0</formula>
    </cfRule>
    <cfRule type="cellIs" dxfId="760" priority="762" operator="lessThan">
      <formula>-105575</formula>
    </cfRule>
  </conditionalFormatting>
  <conditionalFormatting sqref="BB264:BB267">
    <cfRule type="cellIs" dxfId="759" priority="759" operator="lessThan">
      <formula>0</formula>
    </cfRule>
    <cfRule type="cellIs" dxfId="758" priority="760" operator="lessThan">
      <formula>-105575</formula>
    </cfRule>
  </conditionalFormatting>
  <conditionalFormatting sqref="BB264:BB267">
    <cfRule type="cellIs" dxfId="757" priority="757" operator="lessThan">
      <formula>0</formula>
    </cfRule>
    <cfRule type="cellIs" dxfId="756" priority="758" operator="lessThan">
      <formula>-105575</formula>
    </cfRule>
  </conditionalFormatting>
  <conditionalFormatting sqref="BB264:BB267">
    <cfRule type="cellIs" dxfId="755" priority="755" operator="lessThan">
      <formula>0</formula>
    </cfRule>
    <cfRule type="cellIs" dxfId="754" priority="756" operator="lessThan">
      <formula>-105575</formula>
    </cfRule>
  </conditionalFormatting>
  <conditionalFormatting sqref="BB270:BB272">
    <cfRule type="cellIs" dxfId="753" priority="753" operator="lessThan">
      <formula>0</formula>
    </cfRule>
    <cfRule type="cellIs" dxfId="752" priority="754" operator="lessThan">
      <formula>-105575</formula>
    </cfRule>
  </conditionalFormatting>
  <conditionalFormatting sqref="BB270:BB272">
    <cfRule type="cellIs" dxfId="751" priority="751" operator="lessThan">
      <formula>0</formula>
    </cfRule>
    <cfRule type="cellIs" dxfId="750" priority="752" operator="lessThan">
      <formula>-105575</formula>
    </cfRule>
  </conditionalFormatting>
  <conditionalFormatting sqref="BB270:BB272">
    <cfRule type="cellIs" dxfId="749" priority="749" operator="lessThan">
      <formula>0</formula>
    </cfRule>
    <cfRule type="cellIs" dxfId="748" priority="750" operator="lessThan">
      <formula>-105575</formula>
    </cfRule>
  </conditionalFormatting>
  <conditionalFormatting sqref="BB270:BB272">
    <cfRule type="cellIs" dxfId="747" priority="747" operator="lessThan">
      <formula>0</formula>
    </cfRule>
    <cfRule type="cellIs" dxfId="746" priority="748" operator="lessThan">
      <formula>-105575</formula>
    </cfRule>
  </conditionalFormatting>
  <conditionalFormatting sqref="BB270:BB272">
    <cfRule type="cellIs" dxfId="745" priority="745" operator="lessThan">
      <formula>0</formula>
    </cfRule>
    <cfRule type="cellIs" dxfId="744" priority="746" operator="lessThan">
      <formula>-105575</formula>
    </cfRule>
  </conditionalFormatting>
  <conditionalFormatting sqref="BB270:BB272">
    <cfRule type="cellIs" dxfId="743" priority="743" operator="lessThan">
      <formula>0</formula>
    </cfRule>
    <cfRule type="cellIs" dxfId="742" priority="744" operator="lessThan">
      <formula>-105575</formula>
    </cfRule>
  </conditionalFormatting>
  <conditionalFormatting sqref="BB270:BB272">
    <cfRule type="cellIs" dxfId="741" priority="741" operator="lessThan">
      <formula>0</formula>
    </cfRule>
    <cfRule type="cellIs" dxfId="740" priority="742" operator="lessThan">
      <formula>-105575</formula>
    </cfRule>
  </conditionalFormatting>
  <conditionalFormatting sqref="BB270:BB272">
    <cfRule type="cellIs" dxfId="739" priority="739" operator="lessThan">
      <formula>0</formula>
    </cfRule>
    <cfRule type="cellIs" dxfId="738" priority="740" operator="lessThan">
      <formula>-105575</formula>
    </cfRule>
  </conditionalFormatting>
  <conditionalFormatting sqref="BB270:BB272">
    <cfRule type="cellIs" dxfId="737" priority="737" operator="lessThan">
      <formula>0</formula>
    </cfRule>
    <cfRule type="cellIs" dxfId="736" priority="738" operator="lessThan">
      <formula>-105575</formula>
    </cfRule>
  </conditionalFormatting>
  <conditionalFormatting sqref="BB274:BB275">
    <cfRule type="cellIs" dxfId="735" priority="735" operator="lessThan">
      <formula>0</formula>
    </cfRule>
    <cfRule type="cellIs" dxfId="734" priority="736" operator="lessThan">
      <formula>-105575</formula>
    </cfRule>
  </conditionalFormatting>
  <conditionalFormatting sqref="BB274:BB275">
    <cfRule type="cellIs" dxfId="733" priority="733" operator="lessThan">
      <formula>0</formula>
    </cfRule>
    <cfRule type="cellIs" dxfId="732" priority="734" operator="lessThan">
      <formula>-105575</formula>
    </cfRule>
  </conditionalFormatting>
  <conditionalFormatting sqref="BB274:BB275">
    <cfRule type="cellIs" dxfId="731" priority="731" operator="lessThan">
      <formula>0</formula>
    </cfRule>
    <cfRule type="cellIs" dxfId="730" priority="732" operator="lessThan">
      <formula>-105575</formula>
    </cfRule>
  </conditionalFormatting>
  <conditionalFormatting sqref="BB274:BB275">
    <cfRule type="cellIs" dxfId="729" priority="729" operator="lessThan">
      <formula>0</formula>
    </cfRule>
    <cfRule type="cellIs" dxfId="728" priority="730" operator="lessThan">
      <formula>-105575</formula>
    </cfRule>
  </conditionalFormatting>
  <conditionalFormatting sqref="BB274:BB275">
    <cfRule type="cellIs" dxfId="727" priority="727" operator="lessThan">
      <formula>0</formula>
    </cfRule>
    <cfRule type="cellIs" dxfId="726" priority="728" operator="lessThan">
      <formula>-105575</formula>
    </cfRule>
  </conditionalFormatting>
  <conditionalFormatting sqref="BB274:BB275">
    <cfRule type="cellIs" dxfId="725" priority="725" operator="lessThan">
      <formula>0</formula>
    </cfRule>
    <cfRule type="cellIs" dxfId="724" priority="726" operator="lessThan">
      <formula>-105575</formula>
    </cfRule>
  </conditionalFormatting>
  <conditionalFormatting sqref="BB274:BB275">
    <cfRule type="cellIs" dxfId="723" priority="723" operator="lessThan">
      <formula>0</formula>
    </cfRule>
    <cfRule type="cellIs" dxfId="722" priority="724" operator="lessThan">
      <formula>-105575</formula>
    </cfRule>
  </conditionalFormatting>
  <conditionalFormatting sqref="BB274:BB275">
    <cfRule type="cellIs" dxfId="721" priority="721" operator="lessThan">
      <formula>0</formula>
    </cfRule>
    <cfRule type="cellIs" dxfId="720" priority="722" operator="lessThan">
      <formula>-105575</formula>
    </cfRule>
  </conditionalFormatting>
  <conditionalFormatting sqref="BB274:BB275">
    <cfRule type="cellIs" dxfId="719" priority="719" operator="lessThan">
      <formula>0</formula>
    </cfRule>
    <cfRule type="cellIs" dxfId="718" priority="720" operator="lessThan">
      <formula>-105575</formula>
    </cfRule>
  </conditionalFormatting>
  <conditionalFormatting sqref="BB278:BB282">
    <cfRule type="cellIs" dxfId="717" priority="717" operator="lessThan">
      <formula>0</formula>
    </cfRule>
    <cfRule type="cellIs" dxfId="716" priority="718" operator="lessThan">
      <formula>-105575</formula>
    </cfRule>
  </conditionalFormatting>
  <conditionalFormatting sqref="BB278:BB282">
    <cfRule type="cellIs" dxfId="715" priority="715" operator="lessThan">
      <formula>0</formula>
    </cfRule>
    <cfRule type="cellIs" dxfId="714" priority="716" operator="lessThan">
      <formula>-105575</formula>
    </cfRule>
  </conditionalFormatting>
  <conditionalFormatting sqref="BB278:BB282">
    <cfRule type="cellIs" dxfId="713" priority="713" operator="lessThan">
      <formula>0</formula>
    </cfRule>
    <cfRule type="cellIs" dxfId="712" priority="714" operator="lessThan">
      <formula>-105575</formula>
    </cfRule>
  </conditionalFormatting>
  <conditionalFormatting sqref="BB278:BB282">
    <cfRule type="cellIs" dxfId="711" priority="711" operator="lessThan">
      <formula>0</formula>
    </cfRule>
    <cfRule type="cellIs" dxfId="710" priority="712" operator="lessThan">
      <formula>-105575</formula>
    </cfRule>
  </conditionalFormatting>
  <conditionalFormatting sqref="BB278:BB282">
    <cfRule type="cellIs" dxfId="709" priority="709" operator="lessThan">
      <formula>0</formula>
    </cfRule>
    <cfRule type="cellIs" dxfId="708" priority="710" operator="lessThan">
      <formula>-105575</formula>
    </cfRule>
  </conditionalFormatting>
  <conditionalFormatting sqref="BB278:BB282">
    <cfRule type="cellIs" dxfId="707" priority="707" operator="lessThan">
      <formula>0</formula>
    </cfRule>
    <cfRule type="cellIs" dxfId="706" priority="708" operator="lessThan">
      <formula>-105575</formula>
    </cfRule>
  </conditionalFormatting>
  <conditionalFormatting sqref="BB278:BB282">
    <cfRule type="cellIs" dxfId="705" priority="705" operator="lessThan">
      <formula>0</formula>
    </cfRule>
    <cfRule type="cellIs" dxfId="704" priority="706" operator="lessThan">
      <formula>-105575</formula>
    </cfRule>
  </conditionalFormatting>
  <conditionalFormatting sqref="BB278:BB282">
    <cfRule type="cellIs" dxfId="703" priority="703" operator="lessThan">
      <formula>0</formula>
    </cfRule>
    <cfRule type="cellIs" dxfId="702" priority="704" operator="lessThan">
      <formula>-105575</formula>
    </cfRule>
  </conditionalFormatting>
  <conditionalFormatting sqref="BB278:BB282">
    <cfRule type="cellIs" dxfId="701" priority="701" operator="lessThan">
      <formula>0</formula>
    </cfRule>
    <cfRule type="cellIs" dxfId="700" priority="702" operator="lessThan">
      <formula>-105575</formula>
    </cfRule>
  </conditionalFormatting>
  <conditionalFormatting sqref="BB285:BB288">
    <cfRule type="cellIs" dxfId="699" priority="699" operator="lessThan">
      <formula>0</formula>
    </cfRule>
    <cfRule type="cellIs" dxfId="698" priority="700" operator="lessThan">
      <formula>-105575</formula>
    </cfRule>
  </conditionalFormatting>
  <conditionalFormatting sqref="BB285:BB288">
    <cfRule type="cellIs" dxfId="697" priority="697" operator="lessThan">
      <formula>0</formula>
    </cfRule>
    <cfRule type="cellIs" dxfId="696" priority="698" operator="lessThan">
      <formula>-105575</formula>
    </cfRule>
  </conditionalFormatting>
  <conditionalFormatting sqref="BB285:BB288">
    <cfRule type="cellIs" dxfId="695" priority="695" operator="lessThan">
      <formula>0</formula>
    </cfRule>
    <cfRule type="cellIs" dxfId="694" priority="696" operator="lessThan">
      <formula>-105575</formula>
    </cfRule>
  </conditionalFormatting>
  <conditionalFormatting sqref="BB285:BB288">
    <cfRule type="cellIs" dxfId="693" priority="693" operator="lessThan">
      <formula>0</formula>
    </cfRule>
    <cfRule type="cellIs" dxfId="692" priority="694" operator="lessThan">
      <formula>-105575</formula>
    </cfRule>
  </conditionalFormatting>
  <conditionalFormatting sqref="BB285:BB288">
    <cfRule type="cellIs" dxfId="691" priority="691" operator="lessThan">
      <formula>0</formula>
    </cfRule>
    <cfRule type="cellIs" dxfId="690" priority="692" operator="lessThan">
      <formula>-105575</formula>
    </cfRule>
  </conditionalFormatting>
  <conditionalFormatting sqref="BB285:BB288">
    <cfRule type="cellIs" dxfId="689" priority="689" operator="lessThan">
      <formula>0</formula>
    </cfRule>
    <cfRule type="cellIs" dxfId="688" priority="690" operator="lessThan">
      <formula>-105575</formula>
    </cfRule>
  </conditionalFormatting>
  <conditionalFormatting sqref="BB285:BB288">
    <cfRule type="cellIs" dxfId="687" priority="687" operator="lessThan">
      <formula>0</formula>
    </cfRule>
    <cfRule type="cellIs" dxfId="686" priority="688" operator="lessThan">
      <formula>-105575</formula>
    </cfRule>
  </conditionalFormatting>
  <conditionalFormatting sqref="BB285:BB288">
    <cfRule type="cellIs" dxfId="685" priority="685" operator="lessThan">
      <formula>0</formula>
    </cfRule>
    <cfRule type="cellIs" dxfId="684" priority="686" operator="lessThan">
      <formula>-105575</formula>
    </cfRule>
  </conditionalFormatting>
  <conditionalFormatting sqref="BB285:BB288">
    <cfRule type="cellIs" dxfId="683" priority="683" operator="lessThan">
      <formula>0</formula>
    </cfRule>
    <cfRule type="cellIs" dxfId="682" priority="684" operator="lessThan">
      <formula>-105575</formula>
    </cfRule>
  </conditionalFormatting>
  <conditionalFormatting sqref="BB203 BB220:BB221 BB235:BB243 BB231:BB233 BB212:BB213 BB225:BB226">
    <cfRule type="cellIs" dxfId="681" priority="681" operator="lessThan">
      <formula>0</formula>
    </cfRule>
    <cfRule type="cellIs" dxfId="680" priority="682" operator="lessThan">
      <formula>-105575</formula>
    </cfRule>
  </conditionalFormatting>
  <conditionalFormatting sqref="BB220 BB212:BB213 BB235:BB238 BB240:BB243 BB225:BB226 BB231:BB233">
    <cfRule type="cellIs" dxfId="679" priority="679" operator="lessThan">
      <formula>0</formula>
    </cfRule>
    <cfRule type="cellIs" dxfId="678" priority="680" operator="lessThan">
      <formula>-105575</formula>
    </cfRule>
  </conditionalFormatting>
  <conditionalFormatting sqref="BB220:BB221 BB243 BB226 BB231:BB236 BB238:BB241 BB203 BB213">
    <cfRule type="cellIs" dxfId="677" priority="677" operator="lessThan">
      <formula>0</formula>
    </cfRule>
    <cfRule type="cellIs" dxfId="676" priority="678" operator="lessThan">
      <formula>-105575</formula>
    </cfRule>
  </conditionalFormatting>
  <conditionalFormatting sqref="BB235:BB243 BB231:BB233 BB220 BB212:BB213 BB225:BB226">
    <cfRule type="cellIs" dxfId="675" priority="675" operator="lessThan">
      <formula>0</formula>
    </cfRule>
    <cfRule type="cellIs" dxfId="674" priority="676" operator="lessThan">
      <formula>-105575</formula>
    </cfRule>
  </conditionalFormatting>
  <conditionalFormatting sqref="BB220:BB221 BB237:BB243 BB203 BB231:BB235 BB212:BB213 BB225:BB226">
    <cfRule type="cellIs" dxfId="673" priority="673" operator="lessThan">
      <formula>0</formula>
    </cfRule>
    <cfRule type="cellIs" dxfId="672" priority="674" operator="lessThan">
      <formula>-105575</formula>
    </cfRule>
  </conditionalFormatting>
  <conditionalFormatting sqref="BB220:BB221 BB237:BB240 BB242:BB243 BB225:BB226 BB231:BB235">
    <cfRule type="cellIs" dxfId="671" priority="671" operator="lessThan">
      <formula>0</formula>
    </cfRule>
    <cfRule type="cellIs" dxfId="670" priority="672" operator="lessThan">
      <formula>-105575</formula>
    </cfRule>
  </conditionalFormatting>
  <conditionalFormatting sqref="BB212 BB231 BB233:BB238 BB240:BB243 BB225">
    <cfRule type="cellIs" dxfId="669" priority="669" operator="lessThan">
      <formula>0</formula>
    </cfRule>
    <cfRule type="cellIs" dxfId="668" priority="670" operator="lessThan">
      <formula>-105575</formula>
    </cfRule>
  </conditionalFormatting>
  <conditionalFormatting sqref="BB237:BB243 BB231:BB235 BB220:BB221 BB225:BB226">
    <cfRule type="cellIs" dxfId="667" priority="667" operator="lessThan">
      <formula>0</formula>
    </cfRule>
    <cfRule type="cellIs" dxfId="666" priority="668" operator="lessThan">
      <formula>-105575</formula>
    </cfRule>
  </conditionalFormatting>
  <conditionalFormatting sqref="BB233:BB237 BB231 BB239:BB243">
    <cfRule type="cellIs" dxfId="665" priority="665" operator="lessThan">
      <formula>0</formula>
    </cfRule>
    <cfRule type="cellIs" dxfId="664" priority="666" operator="lessThan">
      <formula>-105575</formula>
    </cfRule>
  </conditionalFormatting>
  <conditionalFormatting sqref="BB233:BB237 BB231 BB239:BB243">
    <cfRule type="cellIs" dxfId="663" priority="663" operator="lessThan">
      <formula>0</formula>
    </cfRule>
    <cfRule type="cellIs" dxfId="662" priority="664" operator="lessThan">
      <formula>-105575</formula>
    </cfRule>
  </conditionalFormatting>
  <conditionalFormatting sqref="BB119:BB128 BB106:BB117 BB101:BB104 BB80:BB98">
    <cfRule type="cellIs" dxfId="661" priority="661" operator="lessThan">
      <formula>0</formula>
    </cfRule>
    <cfRule type="cellIs" dxfId="660" priority="662" operator="lessThan">
      <formula>-105575</formula>
    </cfRule>
  </conditionalFormatting>
  <conditionalFormatting sqref="BB130 BB132 BB134">
    <cfRule type="cellIs" dxfId="659" priority="659" operator="lessThan">
      <formula>0</formula>
    </cfRule>
    <cfRule type="cellIs" dxfId="658" priority="660" operator="lessThan">
      <formula>-105575</formula>
    </cfRule>
  </conditionalFormatting>
  <conditionalFormatting sqref="BB130 BB132 BB134">
    <cfRule type="cellIs" dxfId="657" priority="657" operator="lessThan">
      <formula>0</formula>
    </cfRule>
    <cfRule type="cellIs" dxfId="656" priority="658" operator="lessThan">
      <formula>-105575</formula>
    </cfRule>
  </conditionalFormatting>
  <conditionalFormatting sqref="BB129 BB131 BB133 BB135">
    <cfRule type="cellIs" dxfId="655" priority="655" operator="lessThan">
      <formula>0</formula>
    </cfRule>
    <cfRule type="cellIs" dxfId="654" priority="656" operator="lessThan">
      <formula>-105575</formula>
    </cfRule>
  </conditionalFormatting>
  <conditionalFormatting sqref="BB140 BB145 BB142:BB143 BB137:BB138">
    <cfRule type="cellIs" dxfId="653" priority="653" operator="lessThan">
      <formula>0</formula>
    </cfRule>
    <cfRule type="cellIs" dxfId="652" priority="654" operator="lessThan">
      <formula>-105575</formula>
    </cfRule>
  </conditionalFormatting>
  <conditionalFormatting sqref="BB149">
    <cfRule type="cellIs" dxfId="651" priority="651" operator="lessThan">
      <formula>0</formula>
    </cfRule>
    <cfRule type="cellIs" dxfId="650" priority="652" operator="lessThan">
      <formula>-105575</formula>
    </cfRule>
  </conditionalFormatting>
  <conditionalFormatting sqref="BB129:BB138 BB140:BB149">
    <cfRule type="cellIs" dxfId="649" priority="649" operator="lessThan">
      <formula>0</formula>
    </cfRule>
    <cfRule type="cellIs" dxfId="648" priority="650" operator="lessThan">
      <formula>-105575</formula>
    </cfRule>
  </conditionalFormatting>
  <conditionalFormatting sqref="BB94:BB98 BB86:BB87 BB89:BB91 BB141:BB149 BB124:BB133 BB107:BB110 BB112:BB117 BB119:BB122 BB135:BB138 BB101:BB104 BB80:BB84">
    <cfRule type="cellIs" dxfId="647" priority="647" operator="lessThan">
      <formula>0</formula>
    </cfRule>
    <cfRule type="cellIs" dxfId="646" priority="648" operator="lessThan">
      <formula>-105575</formula>
    </cfRule>
  </conditionalFormatting>
  <conditionalFormatting sqref="BB129 BB131 BB133 BB135">
    <cfRule type="cellIs" dxfId="645" priority="645" operator="lessThan">
      <formula>0</formula>
    </cfRule>
    <cfRule type="cellIs" dxfId="644" priority="646" operator="lessThan">
      <formula>-105575</formula>
    </cfRule>
  </conditionalFormatting>
  <conditionalFormatting sqref="BB146 BB144 BB141">
    <cfRule type="cellIs" dxfId="643" priority="643" operator="lessThan">
      <formula>0</formula>
    </cfRule>
    <cfRule type="cellIs" dxfId="642" priority="644" operator="lessThan">
      <formula>-105575</formula>
    </cfRule>
  </conditionalFormatting>
  <conditionalFormatting sqref="BB146 BB144 BB141">
    <cfRule type="cellIs" dxfId="641" priority="641" operator="lessThan">
      <formula>0</formula>
    </cfRule>
    <cfRule type="cellIs" dxfId="640" priority="642" operator="lessThan">
      <formula>-105575</formula>
    </cfRule>
  </conditionalFormatting>
  <conditionalFormatting sqref="BB140 BB145 BB142:BB143 BB137:BB138">
    <cfRule type="cellIs" dxfId="639" priority="639" operator="lessThan">
      <formula>0</formula>
    </cfRule>
    <cfRule type="cellIs" dxfId="638" priority="640" operator="lessThan">
      <formula>-105575</formula>
    </cfRule>
  </conditionalFormatting>
  <conditionalFormatting sqref="BB149">
    <cfRule type="cellIs" dxfId="637" priority="637" operator="lessThan">
      <formula>0</formula>
    </cfRule>
    <cfRule type="cellIs" dxfId="636" priority="638" operator="lessThan">
      <formula>-105575</formula>
    </cfRule>
  </conditionalFormatting>
  <conditionalFormatting sqref="BB94:BB98 BB86:BB87 BB89:BB91 BB141:BB149 BB124:BB133 BB107:BB110 BB112:BB117 BB119:BB122 BB135:BB138 BB101:BB104 BB80:BB84">
    <cfRule type="cellIs" dxfId="635" priority="635" operator="lessThan">
      <formula>0</formula>
    </cfRule>
    <cfRule type="cellIs" dxfId="634" priority="636" operator="lessThan">
      <formula>-105575</formula>
    </cfRule>
  </conditionalFormatting>
  <conditionalFormatting sqref="BB62:BB76 BB306:BB309 BB311:BB325 BB327:BB330 BB332:BB341 BB344:BB347 BB349:BB353 BB355:BB358 BB360:BB384 BB386:BB389 BB392:BB395 BB397:BB411 BB413:BB416 BB418:BB432 BB434:BB437 BB439:BB453 BB455:BB458 BB460:BB469 BB7:BB10 BB12:BB14 BB17:BB18 BB21:BB24 BB26:BB28 BB30:BB36 BB38 BB41:BB43 BB46:BB49 BB51:BB55 BB57:BB59 BB290:BB291 BB293:BB304">
    <cfRule type="cellIs" dxfId="633" priority="633" operator="lessThan">
      <formula>0</formula>
    </cfRule>
    <cfRule type="cellIs" dxfId="632" priority="634" operator="lessThan">
      <formula>-105575</formula>
    </cfRule>
  </conditionalFormatting>
  <conditionalFormatting sqref="BB41">
    <cfRule type="cellIs" dxfId="631" priority="631" operator="lessThan">
      <formula>0</formula>
    </cfRule>
    <cfRule type="cellIs" dxfId="630" priority="632" operator="lessThan">
      <formula>-105575</formula>
    </cfRule>
  </conditionalFormatting>
  <conditionalFormatting sqref="BB152:BB155">
    <cfRule type="cellIs" dxfId="629" priority="629" operator="lessThan">
      <formula>0</formula>
    </cfRule>
    <cfRule type="cellIs" dxfId="628" priority="630" operator="lessThan">
      <formula>-105575</formula>
    </cfRule>
  </conditionalFormatting>
  <conditionalFormatting sqref="BB152:BB155">
    <cfRule type="cellIs" dxfId="627" priority="627" operator="lessThan">
      <formula>0</formula>
    </cfRule>
    <cfRule type="cellIs" dxfId="626" priority="628" operator="lessThan">
      <formula>-105575</formula>
    </cfRule>
  </conditionalFormatting>
  <conditionalFormatting sqref="BB152:BB155">
    <cfRule type="cellIs" dxfId="625" priority="625" operator="lessThan">
      <formula>0</formula>
    </cfRule>
    <cfRule type="cellIs" dxfId="624" priority="626" operator="lessThan">
      <formula>-105575</formula>
    </cfRule>
  </conditionalFormatting>
  <conditionalFormatting sqref="BB157:BB158">
    <cfRule type="cellIs" dxfId="623" priority="623" operator="lessThan">
      <formula>0</formula>
    </cfRule>
    <cfRule type="cellIs" dxfId="622" priority="624" operator="lessThan">
      <formula>-105575</formula>
    </cfRule>
  </conditionalFormatting>
  <conditionalFormatting sqref="BB157:BB158">
    <cfRule type="cellIs" dxfId="621" priority="621" operator="lessThan">
      <formula>0</formula>
    </cfRule>
    <cfRule type="cellIs" dxfId="620" priority="622" operator="lessThan">
      <formula>-105575</formula>
    </cfRule>
  </conditionalFormatting>
  <conditionalFormatting sqref="BB157:BB158">
    <cfRule type="cellIs" dxfId="619" priority="619" operator="lessThan">
      <formula>0</formula>
    </cfRule>
    <cfRule type="cellIs" dxfId="618" priority="620" operator="lessThan">
      <formula>-105575</formula>
    </cfRule>
  </conditionalFormatting>
  <conditionalFormatting sqref="BB160:BB161">
    <cfRule type="cellIs" dxfId="617" priority="617" operator="lessThan">
      <formula>0</formula>
    </cfRule>
    <cfRule type="cellIs" dxfId="616" priority="618" operator="lessThan">
      <formula>-105575</formula>
    </cfRule>
  </conditionalFormatting>
  <conditionalFormatting sqref="BB160:BB161">
    <cfRule type="cellIs" dxfId="615" priority="615" operator="lessThan">
      <formula>0</formula>
    </cfRule>
    <cfRule type="cellIs" dxfId="614" priority="616" operator="lessThan">
      <formula>-105575</formula>
    </cfRule>
  </conditionalFormatting>
  <conditionalFormatting sqref="BB160:BB161">
    <cfRule type="cellIs" dxfId="613" priority="613" operator="lessThan">
      <formula>0</formula>
    </cfRule>
    <cfRule type="cellIs" dxfId="612" priority="614" operator="lessThan">
      <formula>-105575</formula>
    </cfRule>
  </conditionalFormatting>
  <conditionalFormatting sqref="BB164:BB167">
    <cfRule type="cellIs" dxfId="611" priority="611" operator="lessThan">
      <formula>0</formula>
    </cfRule>
    <cfRule type="cellIs" dxfId="610" priority="612" operator="lessThan">
      <formula>-105575</formula>
    </cfRule>
  </conditionalFormatting>
  <conditionalFormatting sqref="BB164:BB167">
    <cfRule type="cellIs" dxfId="609" priority="609" operator="lessThan">
      <formula>0</formula>
    </cfRule>
    <cfRule type="cellIs" dxfId="608" priority="610" operator="lessThan">
      <formula>-105575</formula>
    </cfRule>
  </conditionalFormatting>
  <conditionalFormatting sqref="BB164:BB167">
    <cfRule type="cellIs" dxfId="607" priority="607" operator="lessThan">
      <formula>0</formula>
    </cfRule>
    <cfRule type="cellIs" dxfId="606" priority="608" operator="lessThan">
      <formula>-105575</formula>
    </cfRule>
  </conditionalFormatting>
  <conditionalFormatting sqref="BB169:BB177">
    <cfRule type="cellIs" dxfId="605" priority="605" operator="lessThan">
      <formula>0</formula>
    </cfRule>
    <cfRule type="cellIs" dxfId="604" priority="606" operator="lessThan">
      <formula>-105575</formula>
    </cfRule>
  </conditionalFormatting>
  <conditionalFormatting sqref="BB169:BB177">
    <cfRule type="cellIs" dxfId="603" priority="603" operator="lessThan">
      <formula>0</formula>
    </cfRule>
    <cfRule type="cellIs" dxfId="602" priority="604" operator="lessThan">
      <formula>-105575</formula>
    </cfRule>
  </conditionalFormatting>
  <conditionalFormatting sqref="BB169:BB177">
    <cfRule type="cellIs" dxfId="601" priority="601" operator="lessThan">
      <formula>0</formula>
    </cfRule>
    <cfRule type="cellIs" dxfId="600" priority="602" operator="lessThan">
      <formula>-105575</formula>
    </cfRule>
  </conditionalFormatting>
  <conditionalFormatting sqref="BB179:BB180">
    <cfRule type="cellIs" dxfId="599" priority="599" operator="lessThan">
      <formula>0</formula>
    </cfRule>
    <cfRule type="cellIs" dxfId="598" priority="600" operator="lessThan">
      <formula>-105575</formula>
    </cfRule>
  </conditionalFormatting>
  <conditionalFormatting sqref="BB179:BB180">
    <cfRule type="cellIs" dxfId="597" priority="597" operator="lessThan">
      <formula>0</formula>
    </cfRule>
    <cfRule type="cellIs" dxfId="596" priority="598" operator="lessThan">
      <formula>-105575</formula>
    </cfRule>
  </conditionalFormatting>
  <conditionalFormatting sqref="BB179:BB180">
    <cfRule type="cellIs" dxfId="595" priority="595" operator="lessThan">
      <formula>0</formula>
    </cfRule>
    <cfRule type="cellIs" dxfId="594" priority="596" operator="lessThan">
      <formula>-105575</formula>
    </cfRule>
  </conditionalFormatting>
  <conditionalFormatting sqref="BB183:BB189">
    <cfRule type="cellIs" dxfId="593" priority="593" operator="lessThan">
      <formula>0</formula>
    </cfRule>
    <cfRule type="cellIs" dxfId="592" priority="594" operator="lessThan">
      <formula>-105575</formula>
    </cfRule>
  </conditionalFormatting>
  <conditionalFormatting sqref="BB183:BB189">
    <cfRule type="cellIs" dxfId="591" priority="591" operator="lessThan">
      <formula>0</formula>
    </cfRule>
    <cfRule type="cellIs" dxfId="590" priority="592" operator="lessThan">
      <formula>-105575</formula>
    </cfRule>
  </conditionalFormatting>
  <conditionalFormatting sqref="BB183:BB189">
    <cfRule type="cellIs" dxfId="589" priority="589" operator="lessThan">
      <formula>0</formula>
    </cfRule>
    <cfRule type="cellIs" dxfId="588" priority="590" operator="lessThan">
      <formula>-105575</formula>
    </cfRule>
  </conditionalFormatting>
  <conditionalFormatting sqref="BB191:BB192">
    <cfRule type="cellIs" dxfId="587" priority="587" operator="lessThan">
      <formula>0</formula>
    </cfRule>
    <cfRule type="cellIs" dxfId="586" priority="588" operator="lessThan">
      <formula>-105575</formula>
    </cfRule>
  </conditionalFormatting>
  <conditionalFormatting sqref="BB191:BB192">
    <cfRule type="cellIs" dxfId="585" priority="585" operator="lessThan">
      <formula>0</formula>
    </cfRule>
    <cfRule type="cellIs" dxfId="584" priority="586" operator="lessThan">
      <formula>-105575</formula>
    </cfRule>
  </conditionalFormatting>
  <conditionalFormatting sqref="BB191:BB192">
    <cfRule type="cellIs" dxfId="583" priority="583" operator="lessThan">
      <formula>0</formula>
    </cfRule>
    <cfRule type="cellIs" dxfId="582" priority="584" operator="lessThan">
      <formula>-105575</formula>
    </cfRule>
  </conditionalFormatting>
  <conditionalFormatting sqref="BB194:BB195">
    <cfRule type="cellIs" dxfId="581" priority="581" operator="lessThan">
      <formula>0</formula>
    </cfRule>
    <cfRule type="cellIs" dxfId="580" priority="582" operator="lessThan">
      <formula>-105575</formula>
    </cfRule>
  </conditionalFormatting>
  <conditionalFormatting sqref="BB194:BB195">
    <cfRule type="cellIs" dxfId="579" priority="579" operator="lessThan">
      <formula>0</formula>
    </cfRule>
    <cfRule type="cellIs" dxfId="578" priority="580" operator="lessThan">
      <formula>-105575</formula>
    </cfRule>
  </conditionalFormatting>
  <conditionalFormatting sqref="BB194:BB195">
    <cfRule type="cellIs" dxfId="577" priority="577" operator="lessThan">
      <formula>0</formula>
    </cfRule>
    <cfRule type="cellIs" dxfId="576" priority="578" operator="lessThan">
      <formula>-105575</formula>
    </cfRule>
  </conditionalFormatting>
  <conditionalFormatting sqref="BB199:BB202">
    <cfRule type="cellIs" dxfId="575" priority="575" operator="lessThan">
      <formula>0</formula>
    </cfRule>
    <cfRule type="cellIs" dxfId="574" priority="576" operator="lessThan">
      <formula>-105575</formula>
    </cfRule>
  </conditionalFormatting>
  <conditionalFormatting sqref="BB199:BB202">
    <cfRule type="cellIs" dxfId="573" priority="573" operator="lessThan">
      <formula>0</formula>
    </cfRule>
    <cfRule type="cellIs" dxfId="572" priority="574" operator="lessThan">
      <formula>-105575</formula>
    </cfRule>
  </conditionalFormatting>
  <conditionalFormatting sqref="BB199:BB202">
    <cfRule type="cellIs" dxfId="571" priority="571" operator="lessThan">
      <formula>0</formula>
    </cfRule>
    <cfRule type="cellIs" dxfId="570" priority="572" operator="lessThan">
      <formula>-105575</formula>
    </cfRule>
  </conditionalFormatting>
  <conditionalFormatting sqref="BB204:BB208">
    <cfRule type="cellIs" dxfId="569" priority="569" operator="lessThan">
      <formula>0</formula>
    </cfRule>
    <cfRule type="cellIs" dxfId="568" priority="570" operator="lessThan">
      <formula>-105575</formula>
    </cfRule>
  </conditionalFormatting>
  <conditionalFormatting sqref="BB204:BB208">
    <cfRule type="cellIs" dxfId="567" priority="567" operator="lessThan">
      <formula>0</formula>
    </cfRule>
    <cfRule type="cellIs" dxfId="566" priority="568" operator="lessThan">
      <formula>-105575</formula>
    </cfRule>
  </conditionalFormatting>
  <conditionalFormatting sqref="BB204:BB208">
    <cfRule type="cellIs" dxfId="565" priority="565" operator="lessThan">
      <formula>0</formula>
    </cfRule>
    <cfRule type="cellIs" dxfId="564" priority="566" operator="lessThan">
      <formula>-105575</formula>
    </cfRule>
  </conditionalFormatting>
  <conditionalFormatting sqref="BB210:BB211">
    <cfRule type="cellIs" dxfId="563" priority="563" operator="lessThan">
      <formula>0</formula>
    </cfRule>
    <cfRule type="cellIs" dxfId="562" priority="564" operator="lessThan">
      <formula>-105575</formula>
    </cfRule>
  </conditionalFormatting>
  <conditionalFormatting sqref="BB210:BB211">
    <cfRule type="cellIs" dxfId="561" priority="561" operator="lessThan">
      <formula>0</formula>
    </cfRule>
    <cfRule type="cellIs" dxfId="560" priority="562" operator="lessThan">
      <formula>-105575</formula>
    </cfRule>
  </conditionalFormatting>
  <conditionalFormatting sqref="BB210:BB211">
    <cfRule type="cellIs" dxfId="559" priority="559" operator="lessThan">
      <formula>0</formula>
    </cfRule>
    <cfRule type="cellIs" dxfId="558" priority="560" operator="lessThan">
      <formula>-105575</formula>
    </cfRule>
  </conditionalFormatting>
  <conditionalFormatting sqref="BB214:BB219">
    <cfRule type="cellIs" dxfId="557" priority="557" operator="lessThan">
      <formula>0</formula>
    </cfRule>
    <cfRule type="cellIs" dxfId="556" priority="558" operator="lessThan">
      <formula>-105575</formula>
    </cfRule>
  </conditionalFormatting>
  <conditionalFormatting sqref="BB214:BB219">
    <cfRule type="cellIs" dxfId="555" priority="555" operator="lessThan">
      <formula>0</formula>
    </cfRule>
    <cfRule type="cellIs" dxfId="554" priority="556" operator="lessThan">
      <formula>-105575</formula>
    </cfRule>
  </conditionalFormatting>
  <conditionalFormatting sqref="BB214:BB219">
    <cfRule type="cellIs" dxfId="553" priority="553" operator="lessThan">
      <formula>0</formula>
    </cfRule>
    <cfRule type="cellIs" dxfId="552" priority="554" operator="lessThan">
      <formula>-105575</formula>
    </cfRule>
  </conditionalFormatting>
  <conditionalFormatting sqref="BB222:BB224">
    <cfRule type="cellIs" dxfId="551" priority="551" operator="lessThan">
      <formula>0</formula>
    </cfRule>
    <cfRule type="cellIs" dxfId="550" priority="552" operator="lessThan">
      <formula>-105575</formula>
    </cfRule>
  </conditionalFormatting>
  <conditionalFormatting sqref="BB222:BB224">
    <cfRule type="cellIs" dxfId="549" priority="549" operator="lessThan">
      <formula>0</formula>
    </cfRule>
    <cfRule type="cellIs" dxfId="548" priority="550" operator="lessThan">
      <formula>-105575</formula>
    </cfRule>
  </conditionalFormatting>
  <conditionalFormatting sqref="BB222:BB224">
    <cfRule type="cellIs" dxfId="547" priority="547" operator="lessThan">
      <formula>0</formula>
    </cfRule>
    <cfRule type="cellIs" dxfId="546" priority="548" operator="lessThan">
      <formula>-105575</formula>
    </cfRule>
  </conditionalFormatting>
  <conditionalFormatting sqref="BB227:BB230">
    <cfRule type="cellIs" dxfId="545" priority="545" operator="lessThan">
      <formula>0</formula>
    </cfRule>
    <cfRule type="cellIs" dxfId="544" priority="546" operator="lessThan">
      <formula>-105575</formula>
    </cfRule>
  </conditionalFormatting>
  <conditionalFormatting sqref="BB227:BB230">
    <cfRule type="cellIs" dxfId="543" priority="543" operator="lessThan">
      <formula>0</formula>
    </cfRule>
    <cfRule type="cellIs" dxfId="542" priority="544" operator="lessThan">
      <formula>-105575</formula>
    </cfRule>
  </conditionalFormatting>
  <conditionalFormatting sqref="BB227:BB230">
    <cfRule type="cellIs" dxfId="541" priority="541" operator="lessThan">
      <formula>0</formula>
    </cfRule>
    <cfRule type="cellIs" dxfId="540" priority="542" operator="lessThan">
      <formula>-105575</formula>
    </cfRule>
  </conditionalFormatting>
  <conditionalFormatting sqref="BB246:BB249">
    <cfRule type="cellIs" dxfId="539" priority="539" operator="lessThan">
      <formula>0</formula>
    </cfRule>
    <cfRule type="cellIs" dxfId="538" priority="540" operator="lessThan">
      <formula>-105575</formula>
    </cfRule>
  </conditionalFormatting>
  <conditionalFormatting sqref="BB246:BB249">
    <cfRule type="cellIs" dxfId="537" priority="537" operator="lessThan">
      <formula>0</formula>
    </cfRule>
    <cfRule type="cellIs" dxfId="536" priority="538" operator="lessThan">
      <formula>-105575</formula>
    </cfRule>
  </conditionalFormatting>
  <conditionalFormatting sqref="BB246:BB249">
    <cfRule type="cellIs" dxfId="535" priority="535" operator="lessThan">
      <formula>0</formula>
    </cfRule>
    <cfRule type="cellIs" dxfId="534" priority="536" operator="lessThan">
      <formula>-105575</formula>
    </cfRule>
  </conditionalFormatting>
  <conditionalFormatting sqref="BB246:BB249">
    <cfRule type="cellIs" dxfId="533" priority="533" operator="lessThan">
      <formula>0</formula>
    </cfRule>
    <cfRule type="cellIs" dxfId="532" priority="534" operator="lessThan">
      <formula>-105575</formula>
    </cfRule>
  </conditionalFormatting>
  <conditionalFormatting sqref="BB246:BB249">
    <cfRule type="cellIs" dxfId="531" priority="531" operator="lessThan">
      <formula>0</formula>
    </cfRule>
    <cfRule type="cellIs" dxfId="530" priority="532" operator="lessThan">
      <formula>-105575</formula>
    </cfRule>
  </conditionalFormatting>
  <conditionalFormatting sqref="BB246:BB249">
    <cfRule type="cellIs" dxfId="529" priority="529" operator="lessThan">
      <formula>0</formula>
    </cfRule>
    <cfRule type="cellIs" dxfId="528" priority="530" operator="lessThan">
      <formula>-105575</formula>
    </cfRule>
  </conditionalFormatting>
  <conditionalFormatting sqref="BB246:BB249">
    <cfRule type="cellIs" dxfId="527" priority="527" operator="lessThan">
      <formula>0</formula>
    </cfRule>
    <cfRule type="cellIs" dxfId="526" priority="528" operator="lessThan">
      <formula>-105575</formula>
    </cfRule>
  </conditionalFormatting>
  <conditionalFormatting sqref="BB246:BB249">
    <cfRule type="cellIs" dxfId="525" priority="525" operator="lessThan">
      <formula>0</formula>
    </cfRule>
    <cfRule type="cellIs" dxfId="524" priority="526" operator="lessThan">
      <formula>-105575</formula>
    </cfRule>
  </conditionalFormatting>
  <conditionalFormatting sqref="BB246:BB249">
    <cfRule type="cellIs" dxfId="523" priority="523" operator="lessThan">
      <formula>0</formula>
    </cfRule>
    <cfRule type="cellIs" dxfId="522" priority="524" operator="lessThan">
      <formula>-105575</formula>
    </cfRule>
  </conditionalFormatting>
  <conditionalFormatting sqref="BB251:BB253">
    <cfRule type="cellIs" dxfId="521" priority="521" operator="lessThan">
      <formula>0</formula>
    </cfRule>
    <cfRule type="cellIs" dxfId="520" priority="522" operator="lessThan">
      <formula>-105575</formula>
    </cfRule>
  </conditionalFormatting>
  <conditionalFormatting sqref="BB251:BB253">
    <cfRule type="cellIs" dxfId="519" priority="519" operator="lessThan">
      <formula>0</formula>
    </cfRule>
    <cfRule type="cellIs" dxfId="518" priority="520" operator="lessThan">
      <formula>-105575</formula>
    </cfRule>
  </conditionalFormatting>
  <conditionalFormatting sqref="BB251:BB253">
    <cfRule type="cellIs" dxfId="517" priority="517" operator="lessThan">
      <formula>0</formula>
    </cfRule>
    <cfRule type="cellIs" dxfId="516" priority="518" operator="lessThan">
      <formula>-105575</formula>
    </cfRule>
  </conditionalFormatting>
  <conditionalFormatting sqref="BB251:BB253">
    <cfRule type="cellIs" dxfId="515" priority="515" operator="lessThan">
      <formula>0</formula>
    </cfRule>
    <cfRule type="cellIs" dxfId="514" priority="516" operator="lessThan">
      <formula>-105575</formula>
    </cfRule>
  </conditionalFormatting>
  <conditionalFormatting sqref="BB251:BB253">
    <cfRule type="cellIs" dxfId="513" priority="513" operator="lessThan">
      <formula>0</formula>
    </cfRule>
    <cfRule type="cellIs" dxfId="512" priority="514" operator="lessThan">
      <formula>-105575</formula>
    </cfRule>
  </conditionalFormatting>
  <conditionalFormatting sqref="BB251:BB253">
    <cfRule type="cellIs" dxfId="511" priority="511" operator="lessThan">
      <formula>0</formula>
    </cfRule>
    <cfRule type="cellIs" dxfId="510" priority="512" operator="lessThan">
      <formula>-105575</formula>
    </cfRule>
  </conditionalFormatting>
  <conditionalFormatting sqref="BB251:BB253">
    <cfRule type="cellIs" dxfId="509" priority="509" operator="lessThan">
      <formula>0</formula>
    </cfRule>
    <cfRule type="cellIs" dxfId="508" priority="510" operator="lessThan">
      <formula>-105575</formula>
    </cfRule>
  </conditionalFormatting>
  <conditionalFormatting sqref="BB251:BB253">
    <cfRule type="cellIs" dxfId="507" priority="507" operator="lessThan">
      <formula>0</formula>
    </cfRule>
    <cfRule type="cellIs" dxfId="506" priority="508" operator="lessThan">
      <formula>-105575</formula>
    </cfRule>
  </conditionalFormatting>
  <conditionalFormatting sqref="BB251:BB253">
    <cfRule type="cellIs" dxfId="505" priority="505" operator="lessThan">
      <formula>0</formula>
    </cfRule>
    <cfRule type="cellIs" dxfId="504" priority="506" operator="lessThan">
      <formula>-105575</formula>
    </cfRule>
  </conditionalFormatting>
  <conditionalFormatting sqref="BB255:BB257">
    <cfRule type="cellIs" dxfId="503" priority="503" operator="lessThan">
      <formula>0</formula>
    </cfRule>
    <cfRule type="cellIs" dxfId="502" priority="504" operator="lessThan">
      <formula>-105575</formula>
    </cfRule>
  </conditionalFormatting>
  <conditionalFormatting sqref="BB255:BB257">
    <cfRule type="cellIs" dxfId="501" priority="501" operator="lessThan">
      <formula>0</formula>
    </cfRule>
    <cfRule type="cellIs" dxfId="500" priority="502" operator="lessThan">
      <formula>-105575</formula>
    </cfRule>
  </conditionalFormatting>
  <conditionalFormatting sqref="BB255:BB257">
    <cfRule type="cellIs" dxfId="499" priority="499" operator="lessThan">
      <formula>0</formula>
    </cfRule>
    <cfRule type="cellIs" dxfId="498" priority="500" operator="lessThan">
      <formula>-105575</formula>
    </cfRule>
  </conditionalFormatting>
  <conditionalFormatting sqref="BB255:BB257">
    <cfRule type="cellIs" dxfId="497" priority="497" operator="lessThan">
      <formula>0</formula>
    </cfRule>
    <cfRule type="cellIs" dxfId="496" priority="498" operator="lessThan">
      <formula>-105575</formula>
    </cfRule>
  </conditionalFormatting>
  <conditionalFormatting sqref="BB255:BB257">
    <cfRule type="cellIs" dxfId="495" priority="495" operator="lessThan">
      <formula>0</formula>
    </cfRule>
    <cfRule type="cellIs" dxfId="494" priority="496" operator="lessThan">
      <formula>-105575</formula>
    </cfRule>
  </conditionalFormatting>
  <conditionalFormatting sqref="BB255:BB257">
    <cfRule type="cellIs" dxfId="493" priority="493" operator="lessThan">
      <formula>0</formula>
    </cfRule>
    <cfRule type="cellIs" dxfId="492" priority="494" operator="lessThan">
      <formula>-105575</formula>
    </cfRule>
  </conditionalFormatting>
  <conditionalFormatting sqref="BB255:BB257">
    <cfRule type="cellIs" dxfId="491" priority="491" operator="lessThan">
      <formula>0</formula>
    </cfRule>
    <cfRule type="cellIs" dxfId="490" priority="492" operator="lessThan">
      <formula>-105575</formula>
    </cfRule>
  </conditionalFormatting>
  <conditionalFormatting sqref="BB255:BB257">
    <cfRule type="cellIs" dxfId="489" priority="489" operator="lessThan">
      <formula>0</formula>
    </cfRule>
    <cfRule type="cellIs" dxfId="488" priority="490" operator="lessThan">
      <formula>-105575</formula>
    </cfRule>
  </conditionalFormatting>
  <conditionalFormatting sqref="BB255:BB257">
    <cfRule type="cellIs" dxfId="487" priority="487" operator="lessThan">
      <formula>0</formula>
    </cfRule>
    <cfRule type="cellIs" dxfId="486" priority="488" operator="lessThan">
      <formula>-105575</formula>
    </cfRule>
  </conditionalFormatting>
  <conditionalFormatting sqref="BB260:BB262">
    <cfRule type="cellIs" dxfId="485" priority="485" operator="lessThan">
      <formula>0</formula>
    </cfRule>
    <cfRule type="cellIs" dxfId="484" priority="486" operator="lessThan">
      <formula>-105575</formula>
    </cfRule>
  </conditionalFormatting>
  <conditionalFormatting sqref="BB260:BB262">
    <cfRule type="cellIs" dxfId="483" priority="483" operator="lessThan">
      <formula>0</formula>
    </cfRule>
    <cfRule type="cellIs" dxfId="482" priority="484" operator="lessThan">
      <formula>-105575</formula>
    </cfRule>
  </conditionalFormatting>
  <conditionalFormatting sqref="BB260:BB262">
    <cfRule type="cellIs" dxfId="481" priority="481" operator="lessThan">
      <formula>0</formula>
    </cfRule>
    <cfRule type="cellIs" dxfId="480" priority="482" operator="lessThan">
      <formula>-105575</formula>
    </cfRule>
  </conditionalFormatting>
  <conditionalFormatting sqref="BB260:BB262">
    <cfRule type="cellIs" dxfId="479" priority="479" operator="lessThan">
      <formula>0</formula>
    </cfRule>
    <cfRule type="cellIs" dxfId="478" priority="480" operator="lessThan">
      <formula>-105575</formula>
    </cfRule>
  </conditionalFormatting>
  <conditionalFormatting sqref="BB260:BB262">
    <cfRule type="cellIs" dxfId="477" priority="477" operator="lessThan">
      <formula>0</formula>
    </cfRule>
    <cfRule type="cellIs" dxfId="476" priority="478" operator="lessThan">
      <formula>-105575</formula>
    </cfRule>
  </conditionalFormatting>
  <conditionalFormatting sqref="BB260:BB262">
    <cfRule type="cellIs" dxfId="475" priority="475" operator="lessThan">
      <formula>0</formula>
    </cfRule>
    <cfRule type="cellIs" dxfId="474" priority="476" operator="lessThan">
      <formula>-105575</formula>
    </cfRule>
  </conditionalFormatting>
  <conditionalFormatting sqref="BB260:BB262">
    <cfRule type="cellIs" dxfId="473" priority="473" operator="lessThan">
      <formula>0</formula>
    </cfRule>
    <cfRule type="cellIs" dxfId="472" priority="474" operator="lessThan">
      <formula>-105575</formula>
    </cfRule>
  </conditionalFormatting>
  <conditionalFormatting sqref="BB260:BB262">
    <cfRule type="cellIs" dxfId="471" priority="471" operator="lessThan">
      <formula>0</formula>
    </cfRule>
    <cfRule type="cellIs" dxfId="470" priority="472" operator="lessThan">
      <formula>-105575</formula>
    </cfRule>
  </conditionalFormatting>
  <conditionalFormatting sqref="BB260:BB262">
    <cfRule type="cellIs" dxfId="469" priority="469" operator="lessThan">
      <formula>0</formula>
    </cfRule>
    <cfRule type="cellIs" dxfId="468" priority="470" operator="lessThan">
      <formula>-105575</formula>
    </cfRule>
  </conditionalFormatting>
  <conditionalFormatting sqref="BB264:BB267">
    <cfRule type="cellIs" dxfId="467" priority="467" operator="lessThan">
      <formula>0</formula>
    </cfRule>
    <cfRule type="cellIs" dxfId="466" priority="468" operator="lessThan">
      <formula>-105575</formula>
    </cfRule>
  </conditionalFormatting>
  <conditionalFormatting sqref="BB264:BB267">
    <cfRule type="cellIs" dxfId="465" priority="465" operator="lessThan">
      <formula>0</formula>
    </cfRule>
    <cfRule type="cellIs" dxfId="464" priority="466" operator="lessThan">
      <formula>-105575</formula>
    </cfRule>
  </conditionalFormatting>
  <conditionalFormatting sqref="BB264:BB267">
    <cfRule type="cellIs" dxfId="463" priority="463" operator="lessThan">
      <formula>0</formula>
    </cfRule>
    <cfRule type="cellIs" dxfId="462" priority="464" operator="lessThan">
      <formula>-105575</formula>
    </cfRule>
  </conditionalFormatting>
  <conditionalFormatting sqref="BB264:BB267">
    <cfRule type="cellIs" dxfId="461" priority="461" operator="lessThan">
      <formula>0</formula>
    </cfRule>
    <cfRule type="cellIs" dxfId="460" priority="462" operator="lessThan">
      <formula>-105575</formula>
    </cfRule>
  </conditionalFormatting>
  <conditionalFormatting sqref="BB264:BB267">
    <cfRule type="cellIs" dxfId="459" priority="459" operator="lessThan">
      <formula>0</formula>
    </cfRule>
    <cfRule type="cellIs" dxfId="458" priority="460" operator="lessThan">
      <formula>-105575</formula>
    </cfRule>
  </conditionalFormatting>
  <conditionalFormatting sqref="BB264:BB267">
    <cfRule type="cellIs" dxfId="457" priority="457" operator="lessThan">
      <formula>0</formula>
    </cfRule>
    <cfRule type="cellIs" dxfId="456" priority="458" operator="lessThan">
      <formula>-105575</formula>
    </cfRule>
  </conditionalFormatting>
  <conditionalFormatting sqref="BB264:BB267">
    <cfRule type="cellIs" dxfId="455" priority="455" operator="lessThan">
      <formula>0</formula>
    </cfRule>
    <cfRule type="cellIs" dxfId="454" priority="456" operator="lessThan">
      <formula>-105575</formula>
    </cfRule>
  </conditionalFormatting>
  <conditionalFormatting sqref="BB264:BB267">
    <cfRule type="cellIs" dxfId="453" priority="453" operator="lessThan">
      <formula>0</formula>
    </cfRule>
    <cfRule type="cellIs" dxfId="452" priority="454" operator="lessThan">
      <formula>-105575</formula>
    </cfRule>
  </conditionalFormatting>
  <conditionalFormatting sqref="BB264:BB267">
    <cfRule type="cellIs" dxfId="451" priority="451" operator="lessThan">
      <formula>0</formula>
    </cfRule>
    <cfRule type="cellIs" dxfId="450" priority="452" operator="lessThan">
      <formula>-105575</formula>
    </cfRule>
  </conditionalFormatting>
  <conditionalFormatting sqref="BB270:BB272">
    <cfRule type="cellIs" dxfId="449" priority="449" operator="lessThan">
      <formula>0</formula>
    </cfRule>
    <cfRule type="cellIs" dxfId="448" priority="450" operator="lessThan">
      <formula>-105575</formula>
    </cfRule>
  </conditionalFormatting>
  <conditionalFormatting sqref="BB270:BB272">
    <cfRule type="cellIs" dxfId="447" priority="447" operator="lessThan">
      <formula>0</formula>
    </cfRule>
    <cfRule type="cellIs" dxfId="446" priority="448" operator="lessThan">
      <formula>-105575</formula>
    </cfRule>
  </conditionalFormatting>
  <conditionalFormatting sqref="BB270:BB272">
    <cfRule type="cellIs" dxfId="445" priority="445" operator="lessThan">
      <formula>0</formula>
    </cfRule>
    <cfRule type="cellIs" dxfId="444" priority="446" operator="lessThan">
      <formula>-105575</formula>
    </cfRule>
  </conditionalFormatting>
  <conditionalFormatting sqref="BB270:BB272">
    <cfRule type="cellIs" dxfId="443" priority="443" operator="lessThan">
      <formula>0</formula>
    </cfRule>
    <cfRule type="cellIs" dxfId="442" priority="444" operator="lessThan">
      <formula>-105575</formula>
    </cfRule>
  </conditionalFormatting>
  <conditionalFormatting sqref="BB270:BB272">
    <cfRule type="cellIs" dxfId="441" priority="441" operator="lessThan">
      <formula>0</formula>
    </cfRule>
    <cfRule type="cellIs" dxfId="440" priority="442" operator="lessThan">
      <formula>-105575</formula>
    </cfRule>
  </conditionalFormatting>
  <conditionalFormatting sqref="BB270:BB272">
    <cfRule type="cellIs" dxfId="439" priority="439" operator="lessThan">
      <formula>0</formula>
    </cfRule>
    <cfRule type="cellIs" dxfId="438" priority="440" operator="lessThan">
      <formula>-105575</formula>
    </cfRule>
  </conditionalFormatting>
  <conditionalFormatting sqref="BB270:BB272">
    <cfRule type="cellIs" dxfId="437" priority="437" operator="lessThan">
      <formula>0</formula>
    </cfRule>
    <cfRule type="cellIs" dxfId="436" priority="438" operator="lessThan">
      <formula>-105575</formula>
    </cfRule>
  </conditionalFormatting>
  <conditionalFormatting sqref="BB270:BB272">
    <cfRule type="cellIs" dxfId="435" priority="435" operator="lessThan">
      <formula>0</formula>
    </cfRule>
    <cfRule type="cellIs" dxfId="434" priority="436" operator="lessThan">
      <formula>-105575</formula>
    </cfRule>
  </conditionalFormatting>
  <conditionalFormatting sqref="BB270:BB272">
    <cfRule type="cellIs" dxfId="433" priority="433" operator="lessThan">
      <formula>0</formula>
    </cfRule>
    <cfRule type="cellIs" dxfId="432" priority="434" operator="lessThan">
      <formula>-105575</formula>
    </cfRule>
  </conditionalFormatting>
  <conditionalFormatting sqref="BB274:BB275">
    <cfRule type="cellIs" dxfId="431" priority="431" operator="lessThan">
      <formula>0</formula>
    </cfRule>
    <cfRule type="cellIs" dxfId="430" priority="432" operator="lessThan">
      <formula>-105575</formula>
    </cfRule>
  </conditionalFormatting>
  <conditionalFormatting sqref="BB274:BB275">
    <cfRule type="cellIs" dxfId="429" priority="429" operator="lessThan">
      <formula>0</formula>
    </cfRule>
    <cfRule type="cellIs" dxfId="428" priority="430" operator="lessThan">
      <formula>-105575</formula>
    </cfRule>
  </conditionalFormatting>
  <conditionalFormatting sqref="BB274:BB275">
    <cfRule type="cellIs" dxfId="427" priority="427" operator="lessThan">
      <formula>0</formula>
    </cfRule>
    <cfRule type="cellIs" dxfId="426" priority="428" operator="lessThan">
      <formula>-105575</formula>
    </cfRule>
  </conditionalFormatting>
  <conditionalFormatting sqref="BB274:BB275">
    <cfRule type="cellIs" dxfId="425" priority="425" operator="lessThan">
      <formula>0</formula>
    </cfRule>
    <cfRule type="cellIs" dxfId="424" priority="426" operator="lessThan">
      <formula>-105575</formula>
    </cfRule>
  </conditionalFormatting>
  <conditionalFormatting sqref="BB274:BB275">
    <cfRule type="cellIs" dxfId="423" priority="423" operator="lessThan">
      <formula>0</formula>
    </cfRule>
    <cfRule type="cellIs" dxfId="422" priority="424" operator="lessThan">
      <formula>-105575</formula>
    </cfRule>
  </conditionalFormatting>
  <conditionalFormatting sqref="BB274:BB275">
    <cfRule type="cellIs" dxfId="421" priority="421" operator="lessThan">
      <formula>0</formula>
    </cfRule>
    <cfRule type="cellIs" dxfId="420" priority="422" operator="lessThan">
      <formula>-105575</formula>
    </cfRule>
  </conditionalFormatting>
  <conditionalFormatting sqref="BB274:BB275">
    <cfRule type="cellIs" dxfId="419" priority="419" operator="lessThan">
      <formula>0</formula>
    </cfRule>
    <cfRule type="cellIs" dxfId="418" priority="420" operator="lessThan">
      <formula>-105575</formula>
    </cfRule>
  </conditionalFormatting>
  <conditionalFormatting sqref="BB274:BB275">
    <cfRule type="cellIs" dxfId="417" priority="417" operator="lessThan">
      <formula>0</formula>
    </cfRule>
    <cfRule type="cellIs" dxfId="416" priority="418" operator="lessThan">
      <formula>-105575</formula>
    </cfRule>
  </conditionalFormatting>
  <conditionalFormatting sqref="BB274:BB275">
    <cfRule type="cellIs" dxfId="415" priority="415" operator="lessThan">
      <formula>0</formula>
    </cfRule>
    <cfRule type="cellIs" dxfId="414" priority="416" operator="lessThan">
      <formula>-105575</formula>
    </cfRule>
  </conditionalFormatting>
  <conditionalFormatting sqref="BB278:BB282">
    <cfRule type="cellIs" dxfId="413" priority="413" operator="lessThan">
      <formula>0</formula>
    </cfRule>
    <cfRule type="cellIs" dxfId="412" priority="414" operator="lessThan">
      <formula>-105575</formula>
    </cfRule>
  </conditionalFormatting>
  <conditionalFormatting sqref="BB278:BB282">
    <cfRule type="cellIs" dxfId="411" priority="411" operator="lessThan">
      <formula>0</formula>
    </cfRule>
    <cfRule type="cellIs" dxfId="410" priority="412" operator="lessThan">
      <formula>-105575</formula>
    </cfRule>
  </conditionalFormatting>
  <conditionalFormatting sqref="BB278:BB282">
    <cfRule type="cellIs" dxfId="409" priority="409" operator="lessThan">
      <formula>0</formula>
    </cfRule>
    <cfRule type="cellIs" dxfId="408" priority="410" operator="lessThan">
      <formula>-105575</formula>
    </cfRule>
  </conditionalFormatting>
  <conditionalFormatting sqref="BB278:BB282">
    <cfRule type="cellIs" dxfId="407" priority="407" operator="lessThan">
      <formula>0</formula>
    </cfRule>
    <cfRule type="cellIs" dxfId="406" priority="408" operator="lessThan">
      <formula>-105575</formula>
    </cfRule>
  </conditionalFormatting>
  <conditionalFormatting sqref="BB278:BB282">
    <cfRule type="cellIs" dxfId="405" priority="405" operator="lessThan">
      <formula>0</formula>
    </cfRule>
    <cfRule type="cellIs" dxfId="404" priority="406" operator="lessThan">
      <formula>-105575</formula>
    </cfRule>
  </conditionalFormatting>
  <conditionalFormatting sqref="BB278:BB282">
    <cfRule type="cellIs" dxfId="403" priority="403" operator="lessThan">
      <formula>0</formula>
    </cfRule>
    <cfRule type="cellIs" dxfId="402" priority="404" operator="lessThan">
      <formula>-105575</formula>
    </cfRule>
  </conditionalFormatting>
  <conditionalFormatting sqref="BB278:BB282">
    <cfRule type="cellIs" dxfId="401" priority="401" operator="lessThan">
      <formula>0</formula>
    </cfRule>
    <cfRule type="cellIs" dxfId="400" priority="402" operator="lessThan">
      <formula>-105575</formula>
    </cfRule>
  </conditionalFormatting>
  <conditionalFormatting sqref="BB278:BB282">
    <cfRule type="cellIs" dxfId="399" priority="399" operator="lessThan">
      <formula>0</formula>
    </cfRule>
    <cfRule type="cellIs" dxfId="398" priority="400" operator="lessThan">
      <formula>-105575</formula>
    </cfRule>
  </conditionalFormatting>
  <conditionalFormatting sqref="BB278:BB282">
    <cfRule type="cellIs" dxfId="397" priority="397" operator="lessThan">
      <formula>0</formula>
    </cfRule>
    <cfRule type="cellIs" dxfId="396" priority="398" operator="lessThan">
      <formula>-105575</formula>
    </cfRule>
  </conditionalFormatting>
  <conditionalFormatting sqref="BB285:BB288">
    <cfRule type="cellIs" dxfId="395" priority="395" operator="lessThan">
      <formula>0</formula>
    </cfRule>
    <cfRule type="cellIs" dxfId="394" priority="396" operator="lessThan">
      <formula>-105575</formula>
    </cfRule>
  </conditionalFormatting>
  <conditionalFormatting sqref="BB285:BB288">
    <cfRule type="cellIs" dxfId="393" priority="393" operator="lessThan">
      <formula>0</formula>
    </cfRule>
    <cfRule type="cellIs" dxfId="392" priority="394" operator="lessThan">
      <formula>-105575</formula>
    </cfRule>
  </conditionalFormatting>
  <conditionalFormatting sqref="BB285:BB288">
    <cfRule type="cellIs" dxfId="391" priority="391" operator="lessThan">
      <formula>0</formula>
    </cfRule>
    <cfRule type="cellIs" dxfId="390" priority="392" operator="lessThan">
      <formula>-105575</formula>
    </cfRule>
  </conditionalFormatting>
  <conditionalFormatting sqref="BB285:BB288">
    <cfRule type="cellIs" dxfId="389" priority="389" operator="lessThan">
      <formula>0</formula>
    </cfRule>
    <cfRule type="cellIs" dxfId="388" priority="390" operator="lessThan">
      <formula>-105575</formula>
    </cfRule>
  </conditionalFormatting>
  <conditionalFormatting sqref="BB285:BB288">
    <cfRule type="cellIs" dxfId="387" priority="387" operator="lessThan">
      <formula>0</formula>
    </cfRule>
    <cfRule type="cellIs" dxfId="386" priority="388" operator="lessThan">
      <formula>-105575</formula>
    </cfRule>
  </conditionalFormatting>
  <conditionalFormatting sqref="BB285:BB288">
    <cfRule type="cellIs" dxfId="385" priority="385" operator="lessThan">
      <formula>0</formula>
    </cfRule>
    <cfRule type="cellIs" dxfId="384" priority="386" operator="lessThan">
      <formula>-105575</formula>
    </cfRule>
  </conditionalFormatting>
  <conditionalFormatting sqref="BB285:BB288">
    <cfRule type="cellIs" dxfId="383" priority="383" operator="lessThan">
      <formula>0</formula>
    </cfRule>
    <cfRule type="cellIs" dxfId="382" priority="384" operator="lessThan">
      <formula>-105575</formula>
    </cfRule>
  </conditionalFormatting>
  <conditionalFormatting sqref="BB285:BB288">
    <cfRule type="cellIs" dxfId="381" priority="381" operator="lessThan">
      <formula>0</formula>
    </cfRule>
    <cfRule type="cellIs" dxfId="380" priority="382" operator="lessThan">
      <formula>-105575</formula>
    </cfRule>
  </conditionalFormatting>
  <conditionalFormatting sqref="BB285:BB288">
    <cfRule type="cellIs" dxfId="379" priority="379" operator="lessThan">
      <formula>0</formula>
    </cfRule>
    <cfRule type="cellIs" dxfId="378" priority="380" operator="lessThan">
      <formula>-105575</formula>
    </cfRule>
  </conditionalFormatting>
  <conditionalFormatting sqref="BB203 BB220:BB221 BB235:BB243 BB231:BB233 BB212:BB213 BB225:BB226">
    <cfRule type="cellIs" dxfId="377" priority="377" operator="lessThan">
      <formula>0</formula>
    </cfRule>
    <cfRule type="cellIs" dxfId="376" priority="378" operator="lessThan">
      <formula>-105575</formula>
    </cfRule>
  </conditionalFormatting>
  <conditionalFormatting sqref="BB220 BB212:BB213 BB235:BB238 BB240:BB243 BB225:BB226 BB231:BB233">
    <cfRule type="cellIs" dxfId="375" priority="375" operator="lessThan">
      <formula>0</formula>
    </cfRule>
    <cfRule type="cellIs" dxfId="374" priority="376" operator="lessThan">
      <formula>-105575</formula>
    </cfRule>
  </conditionalFormatting>
  <conditionalFormatting sqref="BB220:BB221 BB243 BB226 BB231:BB236 BB238:BB241 BB203 BB213">
    <cfRule type="cellIs" dxfId="373" priority="373" operator="lessThan">
      <formula>0</formula>
    </cfRule>
    <cfRule type="cellIs" dxfId="372" priority="374" operator="lessThan">
      <formula>-105575</formula>
    </cfRule>
  </conditionalFormatting>
  <conditionalFormatting sqref="BB235:BB243 BB231:BB233 BB220 BB212:BB213 BB225:BB226">
    <cfRule type="cellIs" dxfId="371" priority="371" operator="lessThan">
      <formula>0</formula>
    </cfRule>
    <cfRule type="cellIs" dxfId="370" priority="372" operator="lessThan">
      <formula>-105575</formula>
    </cfRule>
  </conditionalFormatting>
  <conditionalFormatting sqref="BB220:BB221 BB237:BB243 BB203 BB231:BB235 BB212:BB213 BB225:BB226">
    <cfRule type="cellIs" dxfId="369" priority="369" operator="lessThan">
      <formula>0</formula>
    </cfRule>
    <cfRule type="cellIs" dxfId="368" priority="370" operator="lessThan">
      <formula>-105575</formula>
    </cfRule>
  </conditionalFormatting>
  <conditionalFormatting sqref="BB220:BB221 BB237:BB240 BB242:BB243 BB225:BB226 BB231:BB235">
    <cfRule type="cellIs" dxfId="367" priority="367" operator="lessThan">
      <formula>0</formula>
    </cfRule>
    <cfRule type="cellIs" dxfId="366" priority="368" operator="lessThan">
      <formula>-105575</formula>
    </cfRule>
  </conditionalFormatting>
  <conditionalFormatting sqref="BB212 BB231 BB233:BB238 BB240:BB243 BB225">
    <cfRule type="cellIs" dxfId="365" priority="365" operator="lessThan">
      <formula>0</formula>
    </cfRule>
    <cfRule type="cellIs" dxfId="364" priority="366" operator="lessThan">
      <formula>-105575</formula>
    </cfRule>
  </conditionalFormatting>
  <conditionalFormatting sqref="BB237:BB243 BB231:BB235 BB220:BB221 BB225:BB226">
    <cfRule type="cellIs" dxfId="363" priority="363" operator="lessThan">
      <formula>0</formula>
    </cfRule>
    <cfRule type="cellIs" dxfId="362" priority="364" operator="lessThan">
      <formula>-105575</formula>
    </cfRule>
  </conditionalFormatting>
  <conditionalFormatting sqref="BB233:BB237 BB231 BB239:BB243">
    <cfRule type="cellIs" dxfId="361" priority="361" operator="lessThan">
      <formula>0</formula>
    </cfRule>
    <cfRule type="cellIs" dxfId="360" priority="362" operator="lessThan">
      <formula>-105575</formula>
    </cfRule>
  </conditionalFormatting>
  <conditionalFormatting sqref="BB233:BB237 BB231 BB239:BB243">
    <cfRule type="cellIs" dxfId="359" priority="359" operator="lessThan">
      <formula>0</formula>
    </cfRule>
    <cfRule type="cellIs" dxfId="358" priority="360" operator="lessThan">
      <formula>-105575</formula>
    </cfRule>
  </conditionalFormatting>
  <conditionalFormatting sqref="BB119:BB128 BB106:BB117 BB101:BB104 BB80:BB99">
    <cfRule type="cellIs" dxfId="357" priority="357" operator="lessThan">
      <formula>0</formula>
    </cfRule>
    <cfRule type="cellIs" dxfId="356" priority="358" operator="lessThan">
      <formula>-105575</formula>
    </cfRule>
  </conditionalFormatting>
  <conditionalFormatting sqref="BB130 BB132 BB134">
    <cfRule type="cellIs" dxfId="355" priority="355" operator="lessThan">
      <formula>0</formula>
    </cfRule>
    <cfRule type="cellIs" dxfId="354" priority="356" operator="lessThan">
      <formula>-105575</formula>
    </cfRule>
  </conditionalFormatting>
  <conditionalFormatting sqref="BB130 BB132 BB134">
    <cfRule type="cellIs" dxfId="353" priority="353" operator="lessThan">
      <formula>0</formula>
    </cfRule>
    <cfRule type="cellIs" dxfId="352" priority="354" operator="lessThan">
      <formula>-105575</formula>
    </cfRule>
  </conditionalFormatting>
  <conditionalFormatting sqref="BB129 BB131 BB133 BB135">
    <cfRule type="cellIs" dxfId="351" priority="351" operator="lessThan">
      <formula>0</formula>
    </cfRule>
    <cfRule type="cellIs" dxfId="350" priority="352" operator="lessThan">
      <formula>-105575</formula>
    </cfRule>
  </conditionalFormatting>
  <conditionalFormatting sqref="BB140 BB145 BB142:BB143 BB137:BB138">
    <cfRule type="cellIs" dxfId="349" priority="349" operator="lessThan">
      <formula>0</formula>
    </cfRule>
    <cfRule type="cellIs" dxfId="348" priority="350" operator="lessThan">
      <formula>-105575</formula>
    </cfRule>
  </conditionalFormatting>
  <conditionalFormatting sqref="BB149">
    <cfRule type="cellIs" dxfId="347" priority="347" operator="lessThan">
      <formula>0</formula>
    </cfRule>
    <cfRule type="cellIs" dxfId="346" priority="348" operator="lessThan">
      <formula>-105575</formula>
    </cfRule>
  </conditionalFormatting>
  <conditionalFormatting sqref="BB129:BB138 BB140:BB149">
    <cfRule type="cellIs" dxfId="345" priority="345" operator="lessThan">
      <formula>0</formula>
    </cfRule>
    <cfRule type="cellIs" dxfId="344" priority="346" operator="lessThan">
      <formula>-105575</formula>
    </cfRule>
  </conditionalFormatting>
  <conditionalFormatting sqref="BB86:BB87 BB89:BB91 BB141:BB149 BB124:BB133 BB107:BB110 BB112:BB117 BB119:BB122 BB135:BB138 BB101:BB104 BB80:BB84 BB94:BB99">
    <cfRule type="cellIs" dxfId="343" priority="343" operator="lessThan">
      <formula>0</formula>
    </cfRule>
    <cfRule type="cellIs" dxfId="342" priority="344" operator="lessThan">
      <formula>-105575</formula>
    </cfRule>
  </conditionalFormatting>
  <conditionalFormatting sqref="BB129 BB131 BB133 BB135">
    <cfRule type="cellIs" dxfId="341" priority="341" operator="lessThan">
      <formula>0</formula>
    </cfRule>
    <cfRule type="cellIs" dxfId="340" priority="342" operator="lessThan">
      <formula>-105575</formula>
    </cfRule>
  </conditionalFormatting>
  <conditionalFormatting sqref="BB146 BB144 BB141">
    <cfRule type="cellIs" dxfId="339" priority="339" operator="lessThan">
      <formula>0</formula>
    </cfRule>
    <cfRule type="cellIs" dxfId="338" priority="340" operator="lessThan">
      <formula>-105575</formula>
    </cfRule>
  </conditionalFormatting>
  <conditionalFormatting sqref="BB146 BB144 BB141">
    <cfRule type="cellIs" dxfId="337" priority="337" operator="lessThan">
      <formula>0</formula>
    </cfRule>
    <cfRule type="cellIs" dxfId="336" priority="338" operator="lessThan">
      <formula>-105575</formula>
    </cfRule>
  </conditionalFormatting>
  <conditionalFormatting sqref="BB140 BB145 BB142:BB143 BB137:BB138">
    <cfRule type="cellIs" dxfId="335" priority="335" operator="lessThan">
      <formula>0</formula>
    </cfRule>
    <cfRule type="cellIs" dxfId="334" priority="336" operator="lessThan">
      <formula>-105575</formula>
    </cfRule>
  </conditionalFormatting>
  <conditionalFormatting sqref="BB149">
    <cfRule type="cellIs" dxfId="333" priority="333" operator="lessThan">
      <formula>0</formula>
    </cfRule>
    <cfRule type="cellIs" dxfId="332" priority="334" operator="lessThan">
      <formula>-105575</formula>
    </cfRule>
  </conditionalFormatting>
  <conditionalFormatting sqref="BB86:BB87 BB89:BB91 BB141:BB149 BB124:BB133 BB107:BB110 BB112:BB117 BB119:BB122 BB135:BB138 BB101:BB104 BB80:BB84 BB94:BB99">
    <cfRule type="cellIs" dxfId="331" priority="331" operator="lessThan">
      <formula>0</formula>
    </cfRule>
    <cfRule type="cellIs" dxfId="330" priority="332" operator="lessThan">
      <formula>-105575</formula>
    </cfRule>
  </conditionalFormatting>
  <conditionalFormatting sqref="BB306:BB309 BB311:BB325 BB327:BB330 BB332:BB341 BB344:BB347 BB349:BB353 BB355:BB358 BB360:BB384 BB386:BB389 BB392:BB395 BB397:BB411 BB413:BB416 BB418:BB432 BB434:BB437 BB439:BB453 BB455:BB458 BB460:BB469 BB290:BB291 BB293:BB304 BB7:BB10 BB12:BB14 BB17:BB18 BB21:BB24 BB26:BB28 BB30:BB36 BB38 BB41:BB43 BB46:BB49 BB51:BB55 BB57:BB59 BB62:BB76">
    <cfRule type="cellIs" dxfId="329" priority="329" operator="lessThan">
      <formula>0</formula>
    </cfRule>
    <cfRule type="cellIs" dxfId="328" priority="330" operator="lessThan">
      <formula>-105575</formula>
    </cfRule>
  </conditionalFormatting>
  <conditionalFormatting sqref="BB41">
    <cfRule type="cellIs" dxfId="327" priority="327" operator="lessThan">
      <formula>0</formula>
    </cfRule>
    <cfRule type="cellIs" dxfId="326" priority="328" operator="lessThan">
      <formula>-105575</formula>
    </cfRule>
  </conditionalFormatting>
  <conditionalFormatting sqref="BB152:BB155">
    <cfRule type="cellIs" dxfId="325" priority="325" operator="lessThan">
      <formula>0</formula>
    </cfRule>
    <cfRule type="cellIs" dxfId="324" priority="326" operator="lessThan">
      <formula>-105575</formula>
    </cfRule>
  </conditionalFormatting>
  <conditionalFormatting sqref="BB152:BB155">
    <cfRule type="cellIs" dxfId="323" priority="323" operator="lessThan">
      <formula>0</formula>
    </cfRule>
    <cfRule type="cellIs" dxfId="322" priority="324" operator="lessThan">
      <formula>-105575</formula>
    </cfRule>
  </conditionalFormatting>
  <conditionalFormatting sqref="BB152:BB155">
    <cfRule type="cellIs" dxfId="321" priority="321" operator="lessThan">
      <formula>0</formula>
    </cfRule>
    <cfRule type="cellIs" dxfId="320" priority="322" operator="lessThan">
      <formula>-105575</formula>
    </cfRule>
  </conditionalFormatting>
  <conditionalFormatting sqref="BB157:BB158">
    <cfRule type="cellIs" dxfId="319" priority="319" operator="lessThan">
      <formula>0</formula>
    </cfRule>
    <cfRule type="cellIs" dxfId="318" priority="320" operator="lessThan">
      <formula>-105575</formula>
    </cfRule>
  </conditionalFormatting>
  <conditionalFormatting sqref="BB157:BB158">
    <cfRule type="cellIs" dxfId="317" priority="317" operator="lessThan">
      <formula>0</formula>
    </cfRule>
    <cfRule type="cellIs" dxfId="316" priority="318" operator="lessThan">
      <formula>-105575</formula>
    </cfRule>
  </conditionalFormatting>
  <conditionalFormatting sqref="BB157:BB158">
    <cfRule type="cellIs" dxfId="315" priority="315" operator="lessThan">
      <formula>0</formula>
    </cfRule>
    <cfRule type="cellIs" dxfId="314" priority="316" operator="lessThan">
      <formula>-105575</formula>
    </cfRule>
  </conditionalFormatting>
  <conditionalFormatting sqref="BB160:BB161">
    <cfRule type="cellIs" dxfId="313" priority="313" operator="lessThan">
      <formula>0</formula>
    </cfRule>
    <cfRule type="cellIs" dxfId="312" priority="314" operator="lessThan">
      <formula>-105575</formula>
    </cfRule>
  </conditionalFormatting>
  <conditionalFormatting sqref="BB160:BB161">
    <cfRule type="cellIs" dxfId="311" priority="311" operator="lessThan">
      <formula>0</formula>
    </cfRule>
    <cfRule type="cellIs" dxfId="310" priority="312" operator="lessThan">
      <formula>-105575</formula>
    </cfRule>
  </conditionalFormatting>
  <conditionalFormatting sqref="BB160:BB161">
    <cfRule type="cellIs" dxfId="309" priority="309" operator="lessThan">
      <formula>0</formula>
    </cfRule>
    <cfRule type="cellIs" dxfId="308" priority="310" operator="lessThan">
      <formula>-105575</formula>
    </cfRule>
  </conditionalFormatting>
  <conditionalFormatting sqref="BB164:BB167">
    <cfRule type="cellIs" dxfId="307" priority="307" operator="lessThan">
      <formula>0</formula>
    </cfRule>
    <cfRule type="cellIs" dxfId="306" priority="308" operator="lessThan">
      <formula>-105575</formula>
    </cfRule>
  </conditionalFormatting>
  <conditionalFormatting sqref="BB164:BB167">
    <cfRule type="cellIs" dxfId="305" priority="305" operator="lessThan">
      <formula>0</formula>
    </cfRule>
    <cfRule type="cellIs" dxfId="304" priority="306" operator="lessThan">
      <formula>-105575</formula>
    </cfRule>
  </conditionalFormatting>
  <conditionalFormatting sqref="BB164:BB167">
    <cfRule type="cellIs" dxfId="303" priority="303" operator="lessThan">
      <formula>0</formula>
    </cfRule>
    <cfRule type="cellIs" dxfId="302" priority="304" operator="lessThan">
      <formula>-105575</formula>
    </cfRule>
  </conditionalFormatting>
  <conditionalFormatting sqref="BB169:BB177">
    <cfRule type="cellIs" dxfId="301" priority="301" operator="lessThan">
      <formula>0</formula>
    </cfRule>
    <cfRule type="cellIs" dxfId="300" priority="302" operator="lessThan">
      <formula>-105575</formula>
    </cfRule>
  </conditionalFormatting>
  <conditionalFormatting sqref="BB169:BB177">
    <cfRule type="cellIs" dxfId="299" priority="299" operator="lessThan">
      <formula>0</formula>
    </cfRule>
    <cfRule type="cellIs" dxfId="298" priority="300" operator="lessThan">
      <formula>-105575</formula>
    </cfRule>
  </conditionalFormatting>
  <conditionalFormatting sqref="BB169:BB177">
    <cfRule type="cellIs" dxfId="297" priority="297" operator="lessThan">
      <formula>0</formula>
    </cfRule>
    <cfRule type="cellIs" dxfId="296" priority="298" operator="lessThan">
      <formula>-105575</formula>
    </cfRule>
  </conditionalFormatting>
  <conditionalFormatting sqref="BB179:BB180">
    <cfRule type="cellIs" dxfId="295" priority="295" operator="lessThan">
      <formula>0</formula>
    </cfRule>
    <cfRule type="cellIs" dxfId="294" priority="296" operator="lessThan">
      <formula>-105575</formula>
    </cfRule>
  </conditionalFormatting>
  <conditionalFormatting sqref="BB179:BB180">
    <cfRule type="cellIs" dxfId="293" priority="293" operator="lessThan">
      <formula>0</formula>
    </cfRule>
    <cfRule type="cellIs" dxfId="292" priority="294" operator="lessThan">
      <formula>-105575</formula>
    </cfRule>
  </conditionalFormatting>
  <conditionalFormatting sqref="BB179:BB180">
    <cfRule type="cellIs" dxfId="291" priority="291" operator="lessThan">
      <formula>0</formula>
    </cfRule>
    <cfRule type="cellIs" dxfId="290" priority="292" operator="lessThan">
      <formula>-105575</formula>
    </cfRule>
  </conditionalFormatting>
  <conditionalFormatting sqref="BB183:BB189">
    <cfRule type="cellIs" dxfId="289" priority="289" operator="lessThan">
      <formula>0</formula>
    </cfRule>
    <cfRule type="cellIs" dxfId="288" priority="290" operator="lessThan">
      <formula>-105575</formula>
    </cfRule>
  </conditionalFormatting>
  <conditionalFormatting sqref="BB183:BB189">
    <cfRule type="cellIs" dxfId="287" priority="287" operator="lessThan">
      <formula>0</formula>
    </cfRule>
    <cfRule type="cellIs" dxfId="286" priority="288" operator="lessThan">
      <formula>-105575</formula>
    </cfRule>
  </conditionalFormatting>
  <conditionalFormatting sqref="BB183:BB189">
    <cfRule type="cellIs" dxfId="285" priority="285" operator="lessThan">
      <formula>0</formula>
    </cfRule>
    <cfRule type="cellIs" dxfId="284" priority="286" operator="lessThan">
      <formula>-105575</formula>
    </cfRule>
  </conditionalFormatting>
  <conditionalFormatting sqref="BB191:BB192">
    <cfRule type="cellIs" dxfId="283" priority="283" operator="lessThan">
      <formula>0</formula>
    </cfRule>
    <cfRule type="cellIs" dxfId="282" priority="284" operator="lessThan">
      <formula>-105575</formula>
    </cfRule>
  </conditionalFormatting>
  <conditionalFormatting sqref="BB191:BB192">
    <cfRule type="cellIs" dxfId="281" priority="281" operator="lessThan">
      <formula>0</formula>
    </cfRule>
    <cfRule type="cellIs" dxfId="280" priority="282" operator="lessThan">
      <formula>-105575</formula>
    </cfRule>
  </conditionalFormatting>
  <conditionalFormatting sqref="BB191:BB192">
    <cfRule type="cellIs" dxfId="279" priority="279" operator="lessThan">
      <formula>0</formula>
    </cfRule>
    <cfRule type="cellIs" dxfId="278" priority="280" operator="lessThan">
      <formula>-105575</formula>
    </cfRule>
  </conditionalFormatting>
  <conditionalFormatting sqref="BB194:BB195">
    <cfRule type="cellIs" dxfId="277" priority="277" operator="lessThan">
      <formula>0</formula>
    </cfRule>
    <cfRule type="cellIs" dxfId="276" priority="278" operator="lessThan">
      <formula>-105575</formula>
    </cfRule>
  </conditionalFormatting>
  <conditionalFormatting sqref="BB194:BB195">
    <cfRule type="cellIs" dxfId="275" priority="275" operator="lessThan">
      <formula>0</formula>
    </cfRule>
    <cfRule type="cellIs" dxfId="274" priority="276" operator="lessThan">
      <formula>-105575</formula>
    </cfRule>
  </conditionalFormatting>
  <conditionalFormatting sqref="BB194:BB195">
    <cfRule type="cellIs" dxfId="273" priority="273" operator="lessThan">
      <formula>0</formula>
    </cfRule>
    <cfRule type="cellIs" dxfId="272" priority="274" operator="lessThan">
      <formula>-105575</formula>
    </cfRule>
  </conditionalFormatting>
  <conditionalFormatting sqref="BB199:BB202">
    <cfRule type="cellIs" dxfId="271" priority="271" operator="lessThan">
      <formula>0</formula>
    </cfRule>
    <cfRule type="cellIs" dxfId="270" priority="272" operator="lessThan">
      <formula>-105575</formula>
    </cfRule>
  </conditionalFormatting>
  <conditionalFormatting sqref="BB199:BB202">
    <cfRule type="cellIs" dxfId="269" priority="269" operator="lessThan">
      <formula>0</formula>
    </cfRule>
    <cfRule type="cellIs" dxfId="268" priority="270" operator="lessThan">
      <formula>-105575</formula>
    </cfRule>
  </conditionalFormatting>
  <conditionalFormatting sqref="BB199:BB202">
    <cfRule type="cellIs" dxfId="267" priority="267" operator="lessThan">
      <formula>0</formula>
    </cfRule>
    <cfRule type="cellIs" dxfId="266" priority="268" operator="lessThan">
      <formula>-105575</formula>
    </cfRule>
  </conditionalFormatting>
  <conditionalFormatting sqref="BB204:BB208">
    <cfRule type="cellIs" dxfId="265" priority="265" operator="lessThan">
      <formula>0</formula>
    </cfRule>
    <cfRule type="cellIs" dxfId="264" priority="266" operator="lessThan">
      <formula>-105575</formula>
    </cfRule>
  </conditionalFormatting>
  <conditionalFormatting sqref="BB204:BB208">
    <cfRule type="cellIs" dxfId="263" priority="263" operator="lessThan">
      <formula>0</formula>
    </cfRule>
    <cfRule type="cellIs" dxfId="262" priority="264" operator="lessThan">
      <formula>-105575</formula>
    </cfRule>
  </conditionalFormatting>
  <conditionalFormatting sqref="BB204:BB208">
    <cfRule type="cellIs" dxfId="261" priority="261" operator="lessThan">
      <formula>0</formula>
    </cfRule>
    <cfRule type="cellIs" dxfId="260" priority="262" operator="lessThan">
      <formula>-105575</formula>
    </cfRule>
  </conditionalFormatting>
  <conditionalFormatting sqref="BB210:BB211">
    <cfRule type="cellIs" dxfId="259" priority="259" operator="lessThan">
      <formula>0</formula>
    </cfRule>
    <cfRule type="cellIs" dxfId="258" priority="260" operator="lessThan">
      <formula>-105575</formula>
    </cfRule>
  </conditionalFormatting>
  <conditionalFormatting sqref="BB210:BB211">
    <cfRule type="cellIs" dxfId="257" priority="257" operator="lessThan">
      <formula>0</formula>
    </cfRule>
    <cfRule type="cellIs" dxfId="256" priority="258" operator="lessThan">
      <formula>-105575</formula>
    </cfRule>
  </conditionalFormatting>
  <conditionalFormatting sqref="BB210:BB211">
    <cfRule type="cellIs" dxfId="255" priority="255" operator="lessThan">
      <formula>0</formula>
    </cfRule>
    <cfRule type="cellIs" dxfId="254" priority="256" operator="lessThan">
      <formula>-105575</formula>
    </cfRule>
  </conditionalFormatting>
  <conditionalFormatting sqref="BB214:BB219">
    <cfRule type="cellIs" dxfId="253" priority="253" operator="lessThan">
      <formula>0</formula>
    </cfRule>
    <cfRule type="cellIs" dxfId="252" priority="254" operator="lessThan">
      <formula>-105575</formula>
    </cfRule>
  </conditionalFormatting>
  <conditionalFormatting sqref="BB214:BB219">
    <cfRule type="cellIs" dxfId="251" priority="251" operator="lessThan">
      <formula>0</formula>
    </cfRule>
    <cfRule type="cellIs" dxfId="250" priority="252" operator="lessThan">
      <formula>-105575</formula>
    </cfRule>
  </conditionalFormatting>
  <conditionalFormatting sqref="BB214:BB219">
    <cfRule type="cellIs" dxfId="249" priority="249" operator="lessThan">
      <formula>0</formula>
    </cfRule>
    <cfRule type="cellIs" dxfId="248" priority="250" operator="lessThan">
      <formula>-105575</formula>
    </cfRule>
  </conditionalFormatting>
  <conditionalFormatting sqref="BB222:BB224">
    <cfRule type="cellIs" dxfId="247" priority="247" operator="lessThan">
      <formula>0</formula>
    </cfRule>
    <cfRule type="cellIs" dxfId="246" priority="248" operator="lessThan">
      <formula>-105575</formula>
    </cfRule>
  </conditionalFormatting>
  <conditionalFormatting sqref="BB222:BB224">
    <cfRule type="cellIs" dxfId="245" priority="245" operator="lessThan">
      <formula>0</formula>
    </cfRule>
    <cfRule type="cellIs" dxfId="244" priority="246" operator="lessThan">
      <formula>-105575</formula>
    </cfRule>
  </conditionalFormatting>
  <conditionalFormatting sqref="BB222:BB224">
    <cfRule type="cellIs" dxfId="243" priority="243" operator="lessThan">
      <formula>0</formula>
    </cfRule>
    <cfRule type="cellIs" dxfId="242" priority="244" operator="lessThan">
      <formula>-105575</formula>
    </cfRule>
  </conditionalFormatting>
  <conditionalFormatting sqref="BB227:BB230">
    <cfRule type="cellIs" dxfId="241" priority="241" operator="lessThan">
      <formula>0</formula>
    </cfRule>
    <cfRule type="cellIs" dxfId="240" priority="242" operator="lessThan">
      <formula>-105575</formula>
    </cfRule>
  </conditionalFormatting>
  <conditionalFormatting sqref="BB227:BB230">
    <cfRule type="cellIs" dxfId="239" priority="239" operator="lessThan">
      <formula>0</formula>
    </cfRule>
    <cfRule type="cellIs" dxfId="238" priority="240" operator="lessThan">
      <formula>-105575</formula>
    </cfRule>
  </conditionalFormatting>
  <conditionalFormatting sqref="BB227:BB230">
    <cfRule type="cellIs" dxfId="237" priority="237" operator="lessThan">
      <formula>0</formula>
    </cfRule>
    <cfRule type="cellIs" dxfId="236" priority="238" operator="lessThan">
      <formula>-105575</formula>
    </cfRule>
  </conditionalFormatting>
  <conditionalFormatting sqref="BB246:BB249">
    <cfRule type="cellIs" dxfId="235" priority="235" operator="lessThan">
      <formula>0</formula>
    </cfRule>
    <cfRule type="cellIs" dxfId="234" priority="236" operator="lessThan">
      <formula>-105575</formula>
    </cfRule>
  </conditionalFormatting>
  <conditionalFormatting sqref="BB246:BB249">
    <cfRule type="cellIs" dxfId="233" priority="233" operator="lessThan">
      <formula>0</formula>
    </cfRule>
    <cfRule type="cellIs" dxfId="232" priority="234" operator="lessThan">
      <formula>-105575</formula>
    </cfRule>
  </conditionalFormatting>
  <conditionalFormatting sqref="BB246:BB249">
    <cfRule type="cellIs" dxfId="231" priority="231" operator="lessThan">
      <formula>0</formula>
    </cfRule>
    <cfRule type="cellIs" dxfId="230" priority="232" operator="lessThan">
      <formula>-105575</formula>
    </cfRule>
  </conditionalFormatting>
  <conditionalFormatting sqref="BB246:BB249">
    <cfRule type="cellIs" dxfId="229" priority="229" operator="lessThan">
      <formula>0</formula>
    </cfRule>
    <cfRule type="cellIs" dxfId="228" priority="230" operator="lessThan">
      <formula>-105575</formula>
    </cfRule>
  </conditionalFormatting>
  <conditionalFormatting sqref="BB246:BB249">
    <cfRule type="cellIs" dxfId="227" priority="227" operator="lessThan">
      <formula>0</formula>
    </cfRule>
    <cfRule type="cellIs" dxfId="226" priority="228" operator="lessThan">
      <formula>-105575</formula>
    </cfRule>
  </conditionalFormatting>
  <conditionalFormatting sqref="BB246:BB249">
    <cfRule type="cellIs" dxfId="225" priority="225" operator="lessThan">
      <formula>0</formula>
    </cfRule>
    <cfRule type="cellIs" dxfId="224" priority="226" operator="lessThan">
      <formula>-105575</formula>
    </cfRule>
  </conditionalFormatting>
  <conditionalFormatting sqref="BB246:BB249">
    <cfRule type="cellIs" dxfId="223" priority="223" operator="lessThan">
      <formula>0</formula>
    </cfRule>
    <cfRule type="cellIs" dxfId="222" priority="224" operator="lessThan">
      <formula>-105575</formula>
    </cfRule>
  </conditionalFormatting>
  <conditionalFormatting sqref="BB246:BB249">
    <cfRule type="cellIs" dxfId="221" priority="221" operator="lessThan">
      <formula>0</formula>
    </cfRule>
    <cfRule type="cellIs" dxfId="220" priority="222" operator="lessThan">
      <formula>-105575</formula>
    </cfRule>
  </conditionalFormatting>
  <conditionalFormatting sqref="BB246:BB249">
    <cfRule type="cellIs" dxfId="219" priority="219" operator="lessThan">
      <formula>0</formula>
    </cfRule>
    <cfRule type="cellIs" dxfId="218" priority="220" operator="lessThan">
      <formula>-105575</formula>
    </cfRule>
  </conditionalFormatting>
  <conditionalFormatting sqref="BB251:BB253">
    <cfRule type="cellIs" dxfId="217" priority="217" operator="lessThan">
      <formula>0</formula>
    </cfRule>
    <cfRule type="cellIs" dxfId="216" priority="218" operator="lessThan">
      <formula>-105575</formula>
    </cfRule>
  </conditionalFormatting>
  <conditionalFormatting sqref="BB251:BB253">
    <cfRule type="cellIs" dxfId="215" priority="215" operator="lessThan">
      <formula>0</formula>
    </cfRule>
    <cfRule type="cellIs" dxfId="214" priority="216" operator="lessThan">
      <formula>-105575</formula>
    </cfRule>
  </conditionalFormatting>
  <conditionalFormatting sqref="BB251:BB253">
    <cfRule type="cellIs" dxfId="213" priority="213" operator="lessThan">
      <formula>0</formula>
    </cfRule>
    <cfRule type="cellIs" dxfId="212" priority="214" operator="lessThan">
      <formula>-105575</formula>
    </cfRule>
  </conditionalFormatting>
  <conditionalFormatting sqref="BB251:BB253">
    <cfRule type="cellIs" dxfId="211" priority="211" operator="lessThan">
      <formula>0</formula>
    </cfRule>
    <cfRule type="cellIs" dxfId="210" priority="212" operator="lessThan">
      <formula>-105575</formula>
    </cfRule>
  </conditionalFormatting>
  <conditionalFormatting sqref="BB251:BB253">
    <cfRule type="cellIs" dxfId="209" priority="209" operator="lessThan">
      <formula>0</formula>
    </cfRule>
    <cfRule type="cellIs" dxfId="208" priority="210" operator="lessThan">
      <formula>-105575</formula>
    </cfRule>
  </conditionalFormatting>
  <conditionalFormatting sqref="BB251:BB253">
    <cfRule type="cellIs" dxfId="207" priority="207" operator="lessThan">
      <formula>0</formula>
    </cfRule>
    <cfRule type="cellIs" dxfId="206" priority="208" operator="lessThan">
      <formula>-105575</formula>
    </cfRule>
  </conditionalFormatting>
  <conditionalFormatting sqref="BB251:BB253">
    <cfRule type="cellIs" dxfId="205" priority="205" operator="lessThan">
      <formula>0</formula>
    </cfRule>
    <cfRule type="cellIs" dxfId="204" priority="206" operator="lessThan">
      <formula>-105575</formula>
    </cfRule>
  </conditionalFormatting>
  <conditionalFormatting sqref="BB251:BB253">
    <cfRule type="cellIs" dxfId="203" priority="203" operator="lessThan">
      <formula>0</formula>
    </cfRule>
    <cfRule type="cellIs" dxfId="202" priority="204" operator="lessThan">
      <formula>-105575</formula>
    </cfRule>
  </conditionalFormatting>
  <conditionalFormatting sqref="BB251:BB253">
    <cfRule type="cellIs" dxfId="201" priority="201" operator="lessThan">
      <formula>0</formula>
    </cfRule>
    <cfRule type="cellIs" dxfId="200" priority="202" operator="lessThan">
      <formula>-105575</formula>
    </cfRule>
  </conditionalFormatting>
  <conditionalFormatting sqref="BB255:BB257">
    <cfRule type="cellIs" dxfId="199" priority="199" operator="lessThan">
      <formula>0</formula>
    </cfRule>
    <cfRule type="cellIs" dxfId="198" priority="200" operator="lessThan">
      <formula>-105575</formula>
    </cfRule>
  </conditionalFormatting>
  <conditionalFormatting sqref="BB255:BB257">
    <cfRule type="cellIs" dxfId="197" priority="197" operator="lessThan">
      <formula>0</formula>
    </cfRule>
    <cfRule type="cellIs" dxfId="196" priority="198" operator="lessThan">
      <formula>-105575</formula>
    </cfRule>
  </conditionalFormatting>
  <conditionalFormatting sqref="BB255:BB257">
    <cfRule type="cellIs" dxfId="195" priority="195" operator="lessThan">
      <formula>0</formula>
    </cfRule>
    <cfRule type="cellIs" dxfId="194" priority="196" operator="lessThan">
      <formula>-105575</formula>
    </cfRule>
  </conditionalFormatting>
  <conditionalFormatting sqref="BB255:BB257">
    <cfRule type="cellIs" dxfId="193" priority="193" operator="lessThan">
      <formula>0</formula>
    </cfRule>
    <cfRule type="cellIs" dxfId="192" priority="194" operator="lessThan">
      <formula>-105575</formula>
    </cfRule>
  </conditionalFormatting>
  <conditionalFormatting sqref="BB255:BB257">
    <cfRule type="cellIs" dxfId="191" priority="191" operator="lessThan">
      <formula>0</formula>
    </cfRule>
    <cfRule type="cellIs" dxfId="190" priority="192" operator="lessThan">
      <formula>-105575</formula>
    </cfRule>
  </conditionalFormatting>
  <conditionalFormatting sqref="BB255:BB257">
    <cfRule type="cellIs" dxfId="189" priority="189" operator="lessThan">
      <formula>0</formula>
    </cfRule>
    <cfRule type="cellIs" dxfId="188" priority="190" operator="lessThan">
      <formula>-105575</formula>
    </cfRule>
  </conditionalFormatting>
  <conditionalFormatting sqref="BB255:BB257">
    <cfRule type="cellIs" dxfId="187" priority="187" operator="lessThan">
      <formula>0</formula>
    </cfRule>
    <cfRule type="cellIs" dxfId="186" priority="188" operator="lessThan">
      <formula>-105575</formula>
    </cfRule>
  </conditionalFormatting>
  <conditionalFormatting sqref="BB255:BB257">
    <cfRule type="cellIs" dxfId="185" priority="185" operator="lessThan">
      <formula>0</formula>
    </cfRule>
    <cfRule type="cellIs" dxfId="184" priority="186" operator="lessThan">
      <formula>-105575</formula>
    </cfRule>
  </conditionalFormatting>
  <conditionalFormatting sqref="BB255:BB257">
    <cfRule type="cellIs" dxfId="183" priority="183" operator="lessThan">
      <formula>0</formula>
    </cfRule>
    <cfRule type="cellIs" dxfId="182" priority="184" operator="lessThan">
      <formula>-105575</formula>
    </cfRule>
  </conditionalFormatting>
  <conditionalFormatting sqref="BB260:BB262">
    <cfRule type="cellIs" dxfId="181" priority="181" operator="lessThan">
      <formula>0</formula>
    </cfRule>
    <cfRule type="cellIs" dxfId="180" priority="182" operator="lessThan">
      <formula>-105575</formula>
    </cfRule>
  </conditionalFormatting>
  <conditionalFormatting sqref="BB260:BB262">
    <cfRule type="cellIs" dxfId="179" priority="179" operator="lessThan">
      <formula>0</formula>
    </cfRule>
    <cfRule type="cellIs" dxfId="178" priority="180" operator="lessThan">
      <formula>-105575</formula>
    </cfRule>
  </conditionalFormatting>
  <conditionalFormatting sqref="BB260:BB262">
    <cfRule type="cellIs" dxfId="177" priority="177" operator="lessThan">
      <formula>0</formula>
    </cfRule>
    <cfRule type="cellIs" dxfId="176" priority="178" operator="lessThan">
      <formula>-105575</formula>
    </cfRule>
  </conditionalFormatting>
  <conditionalFormatting sqref="BB260:BB262">
    <cfRule type="cellIs" dxfId="175" priority="175" operator="lessThan">
      <formula>0</formula>
    </cfRule>
    <cfRule type="cellIs" dxfId="174" priority="176" operator="lessThan">
      <formula>-105575</formula>
    </cfRule>
  </conditionalFormatting>
  <conditionalFormatting sqref="BB260:BB262">
    <cfRule type="cellIs" dxfId="173" priority="173" operator="lessThan">
      <formula>0</formula>
    </cfRule>
    <cfRule type="cellIs" dxfId="172" priority="174" operator="lessThan">
      <formula>-105575</formula>
    </cfRule>
  </conditionalFormatting>
  <conditionalFormatting sqref="BB260:BB262">
    <cfRule type="cellIs" dxfId="171" priority="171" operator="lessThan">
      <formula>0</formula>
    </cfRule>
    <cfRule type="cellIs" dxfId="170" priority="172" operator="lessThan">
      <formula>-105575</formula>
    </cfRule>
  </conditionalFormatting>
  <conditionalFormatting sqref="BB260:BB262">
    <cfRule type="cellIs" dxfId="169" priority="169" operator="lessThan">
      <formula>0</formula>
    </cfRule>
    <cfRule type="cellIs" dxfId="168" priority="170" operator="lessThan">
      <formula>-105575</formula>
    </cfRule>
  </conditionalFormatting>
  <conditionalFormatting sqref="BB260:BB262">
    <cfRule type="cellIs" dxfId="167" priority="167" operator="lessThan">
      <formula>0</formula>
    </cfRule>
    <cfRule type="cellIs" dxfId="166" priority="168" operator="lessThan">
      <formula>-105575</formula>
    </cfRule>
  </conditionalFormatting>
  <conditionalFormatting sqref="BB260:BB262">
    <cfRule type="cellIs" dxfId="165" priority="165" operator="lessThan">
      <formula>0</formula>
    </cfRule>
    <cfRule type="cellIs" dxfId="164" priority="166" operator="lessThan">
      <formula>-105575</formula>
    </cfRule>
  </conditionalFormatting>
  <conditionalFormatting sqref="BB264:BB267">
    <cfRule type="cellIs" dxfId="163" priority="163" operator="lessThan">
      <formula>0</formula>
    </cfRule>
    <cfRule type="cellIs" dxfId="162" priority="164" operator="lessThan">
      <formula>-105575</formula>
    </cfRule>
  </conditionalFormatting>
  <conditionalFormatting sqref="BB264:BB267">
    <cfRule type="cellIs" dxfId="161" priority="161" operator="lessThan">
      <formula>0</formula>
    </cfRule>
    <cfRule type="cellIs" dxfId="160" priority="162" operator="lessThan">
      <formula>-105575</formula>
    </cfRule>
  </conditionalFormatting>
  <conditionalFormatting sqref="BB264:BB267">
    <cfRule type="cellIs" dxfId="159" priority="159" operator="lessThan">
      <formula>0</formula>
    </cfRule>
    <cfRule type="cellIs" dxfId="158" priority="160" operator="lessThan">
      <formula>-105575</formula>
    </cfRule>
  </conditionalFormatting>
  <conditionalFormatting sqref="BB264:BB267">
    <cfRule type="cellIs" dxfId="157" priority="157" operator="lessThan">
      <formula>0</formula>
    </cfRule>
    <cfRule type="cellIs" dxfId="156" priority="158" operator="lessThan">
      <formula>-105575</formula>
    </cfRule>
  </conditionalFormatting>
  <conditionalFormatting sqref="BB264:BB267">
    <cfRule type="cellIs" dxfId="155" priority="155" operator="lessThan">
      <formula>0</formula>
    </cfRule>
    <cfRule type="cellIs" dxfId="154" priority="156" operator="lessThan">
      <formula>-105575</formula>
    </cfRule>
  </conditionalFormatting>
  <conditionalFormatting sqref="BB264:BB267">
    <cfRule type="cellIs" dxfId="153" priority="153" operator="lessThan">
      <formula>0</formula>
    </cfRule>
    <cfRule type="cellIs" dxfId="152" priority="154" operator="lessThan">
      <formula>-105575</formula>
    </cfRule>
  </conditionalFormatting>
  <conditionalFormatting sqref="BB264:BB267">
    <cfRule type="cellIs" dxfId="151" priority="151" operator="lessThan">
      <formula>0</formula>
    </cfRule>
    <cfRule type="cellIs" dxfId="150" priority="152" operator="lessThan">
      <formula>-105575</formula>
    </cfRule>
  </conditionalFormatting>
  <conditionalFormatting sqref="BB264:BB267">
    <cfRule type="cellIs" dxfId="149" priority="149" operator="lessThan">
      <formula>0</formula>
    </cfRule>
    <cfRule type="cellIs" dxfId="148" priority="150" operator="lessThan">
      <formula>-105575</formula>
    </cfRule>
  </conditionalFormatting>
  <conditionalFormatting sqref="BB264:BB267">
    <cfRule type="cellIs" dxfId="147" priority="147" operator="lessThan">
      <formula>0</formula>
    </cfRule>
    <cfRule type="cellIs" dxfId="146" priority="148" operator="lessThan">
      <formula>-105575</formula>
    </cfRule>
  </conditionalFormatting>
  <conditionalFormatting sqref="BB270:BB272">
    <cfRule type="cellIs" dxfId="145" priority="145" operator="lessThan">
      <formula>0</formula>
    </cfRule>
    <cfRule type="cellIs" dxfId="144" priority="146" operator="lessThan">
      <formula>-105575</formula>
    </cfRule>
  </conditionalFormatting>
  <conditionalFormatting sqref="BB270:BB272">
    <cfRule type="cellIs" dxfId="143" priority="143" operator="lessThan">
      <formula>0</formula>
    </cfRule>
    <cfRule type="cellIs" dxfId="142" priority="144" operator="lessThan">
      <formula>-105575</formula>
    </cfRule>
  </conditionalFormatting>
  <conditionalFormatting sqref="BB270:BB272">
    <cfRule type="cellIs" dxfId="141" priority="141" operator="lessThan">
      <formula>0</formula>
    </cfRule>
    <cfRule type="cellIs" dxfId="140" priority="142" operator="lessThan">
      <formula>-105575</formula>
    </cfRule>
  </conditionalFormatting>
  <conditionalFormatting sqref="BB270:BB272">
    <cfRule type="cellIs" dxfId="139" priority="139" operator="lessThan">
      <formula>0</formula>
    </cfRule>
    <cfRule type="cellIs" dxfId="138" priority="140" operator="lessThan">
      <formula>-105575</formula>
    </cfRule>
  </conditionalFormatting>
  <conditionalFormatting sqref="BB270:BB272">
    <cfRule type="cellIs" dxfId="137" priority="137" operator="lessThan">
      <formula>0</formula>
    </cfRule>
    <cfRule type="cellIs" dxfId="136" priority="138" operator="lessThan">
      <formula>-105575</formula>
    </cfRule>
  </conditionalFormatting>
  <conditionalFormatting sqref="BB270:BB272">
    <cfRule type="cellIs" dxfId="135" priority="135" operator="lessThan">
      <formula>0</formula>
    </cfRule>
    <cfRule type="cellIs" dxfId="134" priority="136" operator="lessThan">
      <formula>-105575</formula>
    </cfRule>
  </conditionalFormatting>
  <conditionalFormatting sqref="BB270:BB272">
    <cfRule type="cellIs" dxfId="133" priority="133" operator="lessThan">
      <formula>0</formula>
    </cfRule>
    <cfRule type="cellIs" dxfId="132" priority="134" operator="lessThan">
      <formula>-105575</formula>
    </cfRule>
  </conditionalFormatting>
  <conditionalFormatting sqref="BB270:BB272">
    <cfRule type="cellIs" dxfId="131" priority="131" operator="lessThan">
      <formula>0</formula>
    </cfRule>
    <cfRule type="cellIs" dxfId="130" priority="132" operator="lessThan">
      <formula>-105575</formula>
    </cfRule>
  </conditionalFormatting>
  <conditionalFormatting sqref="BB270:BB272">
    <cfRule type="cellIs" dxfId="129" priority="129" operator="lessThan">
      <formula>0</formula>
    </cfRule>
    <cfRule type="cellIs" dxfId="128" priority="130" operator="lessThan">
      <formula>-105575</formula>
    </cfRule>
  </conditionalFormatting>
  <conditionalFormatting sqref="BB274:BB275">
    <cfRule type="cellIs" dxfId="127" priority="127" operator="lessThan">
      <formula>0</formula>
    </cfRule>
    <cfRule type="cellIs" dxfId="126" priority="128" operator="lessThan">
      <formula>-105575</formula>
    </cfRule>
  </conditionalFormatting>
  <conditionalFormatting sqref="BB274:BB275">
    <cfRule type="cellIs" dxfId="125" priority="125" operator="lessThan">
      <formula>0</formula>
    </cfRule>
    <cfRule type="cellIs" dxfId="124" priority="126" operator="lessThan">
      <formula>-105575</formula>
    </cfRule>
  </conditionalFormatting>
  <conditionalFormatting sqref="BB274:BB275">
    <cfRule type="cellIs" dxfId="123" priority="123" operator="lessThan">
      <formula>0</formula>
    </cfRule>
    <cfRule type="cellIs" dxfId="122" priority="124" operator="lessThan">
      <formula>-105575</formula>
    </cfRule>
  </conditionalFormatting>
  <conditionalFormatting sqref="BB274:BB275">
    <cfRule type="cellIs" dxfId="121" priority="121" operator="lessThan">
      <formula>0</formula>
    </cfRule>
    <cfRule type="cellIs" dxfId="120" priority="122" operator="lessThan">
      <formula>-105575</formula>
    </cfRule>
  </conditionalFormatting>
  <conditionalFormatting sqref="BB274:BB275">
    <cfRule type="cellIs" dxfId="119" priority="119" operator="lessThan">
      <formula>0</formula>
    </cfRule>
    <cfRule type="cellIs" dxfId="118" priority="120" operator="lessThan">
      <formula>-105575</formula>
    </cfRule>
  </conditionalFormatting>
  <conditionalFormatting sqref="BB274:BB275">
    <cfRule type="cellIs" dxfId="117" priority="117" operator="lessThan">
      <formula>0</formula>
    </cfRule>
    <cfRule type="cellIs" dxfId="116" priority="118" operator="lessThan">
      <formula>-105575</formula>
    </cfRule>
  </conditionalFormatting>
  <conditionalFormatting sqref="BB274:BB275">
    <cfRule type="cellIs" dxfId="115" priority="115" operator="lessThan">
      <formula>0</formula>
    </cfRule>
    <cfRule type="cellIs" dxfId="114" priority="116" operator="lessThan">
      <formula>-105575</formula>
    </cfRule>
  </conditionalFormatting>
  <conditionalFormatting sqref="BB274:BB275">
    <cfRule type="cellIs" dxfId="113" priority="113" operator="lessThan">
      <formula>0</formula>
    </cfRule>
    <cfRule type="cellIs" dxfId="112" priority="114" operator="lessThan">
      <formula>-105575</formula>
    </cfRule>
  </conditionalFormatting>
  <conditionalFormatting sqref="BB274:BB275">
    <cfRule type="cellIs" dxfId="111" priority="111" operator="lessThan">
      <formula>0</formula>
    </cfRule>
    <cfRule type="cellIs" dxfId="110" priority="112" operator="lessThan">
      <formula>-105575</formula>
    </cfRule>
  </conditionalFormatting>
  <conditionalFormatting sqref="BB278:BB282">
    <cfRule type="cellIs" dxfId="109" priority="109" operator="lessThan">
      <formula>0</formula>
    </cfRule>
    <cfRule type="cellIs" dxfId="108" priority="110" operator="lessThan">
      <formula>-105575</formula>
    </cfRule>
  </conditionalFormatting>
  <conditionalFormatting sqref="BB278:BB282">
    <cfRule type="cellIs" dxfId="107" priority="107" operator="lessThan">
      <formula>0</formula>
    </cfRule>
    <cfRule type="cellIs" dxfId="106" priority="108" operator="lessThan">
      <formula>-105575</formula>
    </cfRule>
  </conditionalFormatting>
  <conditionalFormatting sqref="BB278:BB282">
    <cfRule type="cellIs" dxfId="105" priority="105" operator="lessThan">
      <formula>0</formula>
    </cfRule>
    <cfRule type="cellIs" dxfId="104" priority="106" operator="lessThan">
      <formula>-105575</formula>
    </cfRule>
  </conditionalFormatting>
  <conditionalFormatting sqref="BB278:BB282">
    <cfRule type="cellIs" dxfId="103" priority="103" operator="lessThan">
      <formula>0</formula>
    </cfRule>
    <cfRule type="cellIs" dxfId="102" priority="104" operator="lessThan">
      <formula>-105575</formula>
    </cfRule>
  </conditionalFormatting>
  <conditionalFormatting sqref="BB278:BB282">
    <cfRule type="cellIs" dxfId="101" priority="101" operator="lessThan">
      <formula>0</formula>
    </cfRule>
    <cfRule type="cellIs" dxfId="100" priority="102" operator="lessThan">
      <formula>-105575</formula>
    </cfRule>
  </conditionalFormatting>
  <conditionalFormatting sqref="BB278:BB282">
    <cfRule type="cellIs" dxfId="99" priority="99" operator="lessThan">
      <formula>0</formula>
    </cfRule>
    <cfRule type="cellIs" dxfId="98" priority="100" operator="lessThan">
      <formula>-105575</formula>
    </cfRule>
  </conditionalFormatting>
  <conditionalFormatting sqref="BB278:BB282">
    <cfRule type="cellIs" dxfId="97" priority="97" operator="lessThan">
      <formula>0</formula>
    </cfRule>
    <cfRule type="cellIs" dxfId="96" priority="98" operator="lessThan">
      <formula>-105575</formula>
    </cfRule>
  </conditionalFormatting>
  <conditionalFormatting sqref="BB278:BB282">
    <cfRule type="cellIs" dxfId="95" priority="95" operator="lessThan">
      <formula>0</formula>
    </cfRule>
    <cfRule type="cellIs" dxfId="94" priority="96" operator="lessThan">
      <formula>-105575</formula>
    </cfRule>
  </conditionalFormatting>
  <conditionalFormatting sqref="BB278:BB282">
    <cfRule type="cellIs" dxfId="93" priority="93" operator="lessThan">
      <formula>0</formula>
    </cfRule>
    <cfRule type="cellIs" dxfId="92" priority="94" operator="lessThan">
      <formula>-105575</formula>
    </cfRule>
  </conditionalFormatting>
  <conditionalFormatting sqref="BB285:BB288">
    <cfRule type="cellIs" dxfId="91" priority="91" operator="lessThan">
      <formula>0</formula>
    </cfRule>
    <cfRule type="cellIs" dxfId="90" priority="92" operator="lessThan">
      <formula>-105575</formula>
    </cfRule>
  </conditionalFormatting>
  <conditionalFormatting sqref="BB285:BB288">
    <cfRule type="cellIs" dxfId="89" priority="89" operator="lessThan">
      <formula>0</formula>
    </cfRule>
    <cfRule type="cellIs" dxfId="88" priority="90" operator="lessThan">
      <formula>-105575</formula>
    </cfRule>
  </conditionalFormatting>
  <conditionalFormatting sqref="BB285:BB288">
    <cfRule type="cellIs" dxfId="87" priority="87" operator="lessThan">
      <formula>0</formula>
    </cfRule>
    <cfRule type="cellIs" dxfId="86" priority="88" operator="lessThan">
      <formula>-105575</formula>
    </cfRule>
  </conditionalFormatting>
  <conditionalFormatting sqref="BB285:BB288">
    <cfRule type="cellIs" dxfId="85" priority="85" operator="lessThan">
      <formula>0</formula>
    </cfRule>
    <cfRule type="cellIs" dxfId="84" priority="86" operator="lessThan">
      <formula>-105575</formula>
    </cfRule>
  </conditionalFormatting>
  <conditionalFormatting sqref="BB285:BB288">
    <cfRule type="cellIs" dxfId="83" priority="83" operator="lessThan">
      <formula>0</formula>
    </cfRule>
    <cfRule type="cellIs" dxfId="82" priority="84" operator="lessThan">
      <formula>-105575</formula>
    </cfRule>
  </conditionalFormatting>
  <conditionalFormatting sqref="BB285:BB288">
    <cfRule type="cellIs" dxfId="81" priority="81" operator="lessThan">
      <formula>0</formula>
    </cfRule>
    <cfRule type="cellIs" dxfId="80" priority="82" operator="lessThan">
      <formula>-105575</formula>
    </cfRule>
  </conditionalFormatting>
  <conditionalFormatting sqref="BB285:BB288">
    <cfRule type="cellIs" dxfId="79" priority="79" operator="lessThan">
      <formula>0</formula>
    </cfRule>
    <cfRule type="cellIs" dxfId="78" priority="80" operator="lessThan">
      <formula>-105575</formula>
    </cfRule>
  </conditionalFormatting>
  <conditionalFormatting sqref="BB285:BB288">
    <cfRule type="cellIs" dxfId="77" priority="77" operator="lessThan">
      <formula>0</formula>
    </cfRule>
    <cfRule type="cellIs" dxfId="76" priority="78" operator="lessThan">
      <formula>-105575</formula>
    </cfRule>
  </conditionalFormatting>
  <conditionalFormatting sqref="BB285:BB288">
    <cfRule type="cellIs" dxfId="75" priority="75" operator="lessThan">
      <formula>0</formula>
    </cfRule>
    <cfRule type="cellIs" dxfId="74" priority="76" operator="lessThan">
      <formula>-105575</formula>
    </cfRule>
  </conditionalFormatting>
  <conditionalFormatting sqref="BB80:BB84">
    <cfRule type="cellIs" dxfId="73" priority="73" operator="lessThan">
      <formula>0</formula>
    </cfRule>
    <cfRule type="cellIs" dxfId="72" priority="74" operator="lessThan">
      <formula>-105575</formula>
    </cfRule>
  </conditionalFormatting>
  <conditionalFormatting sqref="BB86:BB87">
    <cfRule type="cellIs" dxfId="71" priority="71" operator="lessThan">
      <formula>0</formula>
    </cfRule>
    <cfRule type="cellIs" dxfId="70" priority="72" operator="lessThan">
      <formula>-105575</formula>
    </cfRule>
  </conditionalFormatting>
  <conditionalFormatting sqref="BB89:BB91">
    <cfRule type="cellIs" dxfId="69" priority="69" operator="lessThan">
      <formula>0</formula>
    </cfRule>
    <cfRule type="cellIs" dxfId="68" priority="70" operator="lessThan">
      <formula>-105575</formula>
    </cfRule>
  </conditionalFormatting>
  <conditionalFormatting sqref="BB94:BB98">
    <cfRule type="cellIs" dxfId="67" priority="67" operator="lessThan">
      <formula>0</formula>
    </cfRule>
    <cfRule type="cellIs" dxfId="66" priority="68" operator="lessThan">
      <formula>-105575</formula>
    </cfRule>
  </conditionalFormatting>
  <conditionalFormatting sqref="BB101:BB104">
    <cfRule type="cellIs" dxfId="65" priority="65" operator="lessThan">
      <formula>0</formula>
    </cfRule>
    <cfRule type="cellIs" dxfId="64" priority="66" operator="lessThan">
      <formula>-105575</formula>
    </cfRule>
  </conditionalFormatting>
  <conditionalFormatting sqref="BB107:BB109">
    <cfRule type="cellIs" dxfId="63" priority="63" operator="lessThan">
      <formula>0</formula>
    </cfRule>
    <cfRule type="cellIs" dxfId="62" priority="64" operator="lessThan">
      <formula>-105575</formula>
    </cfRule>
  </conditionalFormatting>
  <conditionalFormatting sqref="BB112:BB116">
    <cfRule type="cellIs" dxfId="61" priority="61" operator="lessThan">
      <formula>0</formula>
    </cfRule>
    <cfRule type="cellIs" dxfId="60" priority="62" operator="lessThan">
      <formula>-105575</formula>
    </cfRule>
  </conditionalFormatting>
  <conditionalFormatting sqref="BB119:BB121">
    <cfRule type="cellIs" dxfId="59" priority="59" operator="lessThan">
      <formula>0</formula>
    </cfRule>
    <cfRule type="cellIs" dxfId="58" priority="60" operator="lessThan">
      <formula>-105575</formula>
    </cfRule>
  </conditionalFormatting>
  <conditionalFormatting sqref="BB124:BB132">
    <cfRule type="cellIs" dxfId="57" priority="57" operator="lessThan">
      <formula>0</formula>
    </cfRule>
    <cfRule type="cellIs" dxfId="56" priority="58" operator="lessThan">
      <formula>-105575</formula>
    </cfRule>
  </conditionalFormatting>
  <conditionalFormatting sqref="BB135:BB138">
    <cfRule type="cellIs" dxfId="55" priority="55" operator="lessThan">
      <formula>0</formula>
    </cfRule>
    <cfRule type="cellIs" dxfId="54" priority="56" operator="lessThan">
      <formula>-105575</formula>
    </cfRule>
  </conditionalFormatting>
  <conditionalFormatting sqref="BB141:BB148">
    <cfRule type="cellIs" dxfId="53" priority="53" operator="lessThan">
      <formula>0</formula>
    </cfRule>
    <cfRule type="cellIs" dxfId="52" priority="54" operator="lessThan">
      <formula>-105575</formula>
    </cfRule>
  </conditionalFormatting>
  <conditionalFormatting sqref="BB152:BB155">
    <cfRule type="cellIs" dxfId="51" priority="51" operator="lessThan">
      <formula>0</formula>
    </cfRule>
    <cfRule type="cellIs" dxfId="50" priority="52" operator="lessThan">
      <formula>-105575</formula>
    </cfRule>
  </conditionalFormatting>
  <conditionalFormatting sqref="BB157:BB158">
    <cfRule type="cellIs" dxfId="49" priority="49" operator="lessThan">
      <formula>0</formula>
    </cfRule>
    <cfRule type="cellIs" dxfId="48" priority="50" operator="lessThan">
      <formula>-105575</formula>
    </cfRule>
  </conditionalFormatting>
  <conditionalFormatting sqref="BB160:BB161">
    <cfRule type="cellIs" dxfId="47" priority="47" operator="lessThan">
      <formula>0</formula>
    </cfRule>
    <cfRule type="cellIs" dxfId="46" priority="48" operator="lessThan">
      <formula>-105575</formula>
    </cfRule>
  </conditionalFormatting>
  <conditionalFormatting sqref="BB164:BB167">
    <cfRule type="cellIs" dxfId="45" priority="45" operator="lessThan">
      <formula>0</formula>
    </cfRule>
    <cfRule type="cellIs" dxfId="44" priority="46" operator="lessThan">
      <formula>-105575</formula>
    </cfRule>
  </conditionalFormatting>
  <conditionalFormatting sqref="BB169:BB177">
    <cfRule type="cellIs" dxfId="43" priority="43" operator="lessThan">
      <formula>0</formula>
    </cfRule>
    <cfRule type="cellIs" dxfId="42" priority="44" operator="lessThan">
      <formula>-105575</formula>
    </cfRule>
  </conditionalFormatting>
  <conditionalFormatting sqref="BB179:BB180">
    <cfRule type="cellIs" dxfId="41" priority="41" operator="lessThan">
      <formula>0</formula>
    </cfRule>
    <cfRule type="cellIs" dxfId="40" priority="42" operator="lessThan">
      <formula>-105575</formula>
    </cfRule>
  </conditionalFormatting>
  <conditionalFormatting sqref="BB183:BB189">
    <cfRule type="cellIs" dxfId="39" priority="39" operator="lessThan">
      <formula>0</formula>
    </cfRule>
    <cfRule type="cellIs" dxfId="38" priority="40" operator="lessThan">
      <formula>-105575</formula>
    </cfRule>
  </conditionalFormatting>
  <conditionalFormatting sqref="BB191:BB192">
    <cfRule type="cellIs" dxfId="37" priority="37" operator="lessThan">
      <formula>0</formula>
    </cfRule>
    <cfRule type="cellIs" dxfId="36" priority="38" operator="lessThan">
      <formula>-105575</formula>
    </cfRule>
  </conditionalFormatting>
  <conditionalFormatting sqref="BB194:BB195">
    <cfRule type="cellIs" dxfId="35" priority="35" operator="lessThan">
      <formula>0</formula>
    </cfRule>
    <cfRule type="cellIs" dxfId="34" priority="36" operator="lessThan">
      <formula>-105575</formula>
    </cfRule>
  </conditionalFormatting>
  <conditionalFormatting sqref="BB199:BB202">
    <cfRule type="cellIs" dxfId="33" priority="33" operator="lessThan">
      <formula>0</formula>
    </cfRule>
    <cfRule type="cellIs" dxfId="32" priority="34" operator="lessThan">
      <formula>-105575</formula>
    </cfRule>
  </conditionalFormatting>
  <conditionalFormatting sqref="BB204:BB208">
    <cfRule type="cellIs" dxfId="31" priority="31" operator="lessThan">
      <formula>0</formula>
    </cfRule>
    <cfRule type="cellIs" dxfId="30" priority="32" operator="lessThan">
      <formula>-105575</formula>
    </cfRule>
  </conditionalFormatting>
  <conditionalFormatting sqref="BB210:BB211">
    <cfRule type="cellIs" dxfId="29" priority="29" operator="lessThan">
      <formula>0</formula>
    </cfRule>
    <cfRule type="cellIs" dxfId="28" priority="30" operator="lessThan">
      <formula>-105575</formula>
    </cfRule>
  </conditionalFormatting>
  <conditionalFormatting sqref="BB214:BB219">
    <cfRule type="cellIs" dxfId="27" priority="27" operator="lessThan">
      <formula>0</formula>
    </cfRule>
    <cfRule type="cellIs" dxfId="26" priority="28" operator="lessThan">
      <formula>-105575</formula>
    </cfRule>
  </conditionalFormatting>
  <conditionalFormatting sqref="BB222:BB224">
    <cfRule type="cellIs" dxfId="25" priority="25" operator="lessThan">
      <formula>0</formula>
    </cfRule>
    <cfRule type="cellIs" dxfId="24" priority="26" operator="lessThan">
      <formula>-105575</formula>
    </cfRule>
  </conditionalFormatting>
  <conditionalFormatting sqref="BB227:BB230">
    <cfRule type="cellIs" dxfId="23" priority="23" operator="lessThan">
      <formula>0</formula>
    </cfRule>
    <cfRule type="cellIs" dxfId="22" priority="24" operator="lessThan">
      <formula>-105575</formula>
    </cfRule>
  </conditionalFormatting>
  <conditionalFormatting sqref="BB233:BB236">
    <cfRule type="cellIs" dxfId="21" priority="21" operator="lessThan">
      <formula>0</formula>
    </cfRule>
    <cfRule type="cellIs" dxfId="20" priority="22" operator="lessThan">
      <formula>-105575</formula>
    </cfRule>
  </conditionalFormatting>
  <conditionalFormatting sqref="BB239:BB242">
    <cfRule type="cellIs" dxfId="19" priority="19" operator="lessThan">
      <formula>0</formula>
    </cfRule>
    <cfRule type="cellIs" dxfId="18" priority="20" operator="lessThan">
      <formula>-105575</formula>
    </cfRule>
  </conditionalFormatting>
  <conditionalFormatting sqref="BB246:BB249">
    <cfRule type="cellIs" dxfId="17" priority="17" operator="lessThan">
      <formula>0</formula>
    </cfRule>
    <cfRule type="cellIs" dxfId="16" priority="18" operator="lessThan">
      <formula>-105575</formula>
    </cfRule>
  </conditionalFormatting>
  <conditionalFormatting sqref="BB251:BB253">
    <cfRule type="cellIs" dxfId="15" priority="15" operator="lessThan">
      <formula>0</formula>
    </cfRule>
    <cfRule type="cellIs" dxfId="14" priority="16" operator="lessThan">
      <formula>-105575</formula>
    </cfRule>
  </conditionalFormatting>
  <conditionalFormatting sqref="BB255:BB257">
    <cfRule type="cellIs" dxfId="13" priority="13" operator="lessThan">
      <formula>0</formula>
    </cfRule>
    <cfRule type="cellIs" dxfId="12" priority="14" operator="lessThan">
      <formula>-105575</formula>
    </cfRule>
  </conditionalFormatting>
  <conditionalFormatting sqref="BB260:BB262">
    <cfRule type="cellIs" dxfId="11" priority="11" operator="lessThan">
      <formula>0</formula>
    </cfRule>
    <cfRule type="cellIs" dxfId="10" priority="12" operator="lessThan">
      <formula>-105575</formula>
    </cfRule>
  </conditionalFormatting>
  <conditionalFormatting sqref="BB264:BB267">
    <cfRule type="cellIs" dxfId="9" priority="9" operator="lessThan">
      <formula>0</formula>
    </cfRule>
    <cfRule type="cellIs" dxfId="8" priority="10" operator="lessThan">
      <formula>-105575</formula>
    </cfRule>
  </conditionalFormatting>
  <conditionalFormatting sqref="BB270:BB272">
    <cfRule type="cellIs" dxfId="7" priority="7" operator="lessThan">
      <formula>0</formula>
    </cfRule>
    <cfRule type="cellIs" dxfId="6" priority="8" operator="lessThan">
      <formula>-105575</formula>
    </cfRule>
  </conditionalFormatting>
  <conditionalFormatting sqref="BB274:BB275">
    <cfRule type="cellIs" dxfId="5" priority="5" operator="lessThan">
      <formula>0</formula>
    </cfRule>
    <cfRule type="cellIs" dxfId="4" priority="6" operator="lessThan">
      <formula>-105575</formula>
    </cfRule>
  </conditionalFormatting>
  <conditionalFormatting sqref="BB278:BB282">
    <cfRule type="cellIs" dxfId="3" priority="3" operator="lessThan">
      <formula>0</formula>
    </cfRule>
    <cfRule type="cellIs" dxfId="2" priority="4" operator="lessThan">
      <formula>-105575</formula>
    </cfRule>
  </conditionalFormatting>
  <conditionalFormatting sqref="BB285:BB288">
    <cfRule type="cellIs" dxfId="1" priority="1" operator="lessThan">
      <formula>0</formula>
    </cfRule>
    <cfRule type="cellIs" dxfId="0" priority="2" operator="lessThan">
      <formula>-105575</formula>
    </cfRule>
  </conditionalFormatting>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EX94"/>
  <sheetViews>
    <sheetView zoomScale="60" zoomScaleNormal="60" workbookViewId="0">
      <pane xSplit="5" ySplit="6" topLeftCell="EJ44" activePane="bottomRight" state="frozen"/>
      <selection pane="topRight" activeCell="F1" sqref="F1"/>
      <selection pane="bottomLeft" activeCell="A7" sqref="A7"/>
      <selection pane="bottomRight" activeCell="E27" sqref="E27"/>
    </sheetView>
  </sheetViews>
  <sheetFormatPr defaultColWidth="9.140625" defaultRowHeight="15" outlineLevelCol="1" x14ac:dyDescent="0.25"/>
  <cols>
    <col min="1" max="1" width="3.7109375" style="35" bestFit="1" customWidth="1"/>
    <col min="2" max="2" width="6" style="35" customWidth="1"/>
    <col min="3" max="3" width="4" style="69" customWidth="1"/>
    <col min="4" max="4" width="23.85546875" style="102" customWidth="1"/>
    <col min="5" max="5" width="60.42578125" style="102" customWidth="1" outlineLevel="1"/>
    <col min="6" max="6" width="10.5703125" style="69" customWidth="1" outlineLevel="1"/>
    <col min="7" max="7" width="10.7109375" style="69" customWidth="1" outlineLevel="1"/>
    <col min="8" max="8" width="15.140625" style="34" bestFit="1" customWidth="1"/>
    <col min="9" max="9" width="18.5703125" style="34" customWidth="1"/>
    <col min="10" max="10" width="16.85546875" style="34" customWidth="1"/>
    <col min="11" max="11" width="19.28515625" style="34" bestFit="1" customWidth="1"/>
    <col min="12" max="12" width="17.85546875" style="34" bestFit="1" customWidth="1"/>
    <col min="13" max="13" width="14.42578125" style="34" bestFit="1" customWidth="1"/>
    <col min="14" max="14" width="14.85546875" style="34" customWidth="1"/>
    <col min="15" max="15" width="14.7109375" style="34" bestFit="1" customWidth="1"/>
    <col min="16" max="16" width="14.42578125" style="34" bestFit="1" customWidth="1"/>
    <col min="17" max="17" width="13.85546875" style="34" bestFit="1" customWidth="1"/>
    <col min="18" max="18" width="14.140625" style="34" bestFit="1" customWidth="1"/>
    <col min="19" max="19" width="16.7109375" style="34" bestFit="1" customWidth="1"/>
    <col min="20" max="20" width="5" style="70" bestFit="1" customWidth="1"/>
    <col min="21" max="21" width="15.140625" style="77" bestFit="1" customWidth="1"/>
    <col min="22" max="22" width="16.140625" style="34" customWidth="1"/>
    <col min="23" max="23" width="15" style="34" customWidth="1"/>
    <col min="24" max="24" width="20.140625" style="34" bestFit="1" customWidth="1"/>
    <col min="25" max="25" width="19.28515625" style="34" bestFit="1" customWidth="1"/>
    <col min="26" max="26" width="14.42578125" style="34" bestFit="1" customWidth="1"/>
    <col min="27" max="27" width="15.140625" style="34" bestFit="1" customWidth="1"/>
    <col min="28" max="28" width="14.7109375" style="34" bestFit="1" customWidth="1"/>
    <col min="29" max="29" width="14.42578125" style="34" bestFit="1" customWidth="1"/>
    <col min="30" max="30" width="13.85546875" style="34" customWidth="1"/>
    <col min="31" max="31" width="14.140625" style="34" bestFit="1" customWidth="1"/>
    <col min="32" max="32" width="18.7109375" style="34" bestFit="1" customWidth="1"/>
    <col min="33" max="33" width="5" style="70" bestFit="1" customWidth="1"/>
    <col min="34" max="34" width="15.140625" style="77" bestFit="1" customWidth="1"/>
    <col min="35" max="35" width="15.7109375" style="77" customWidth="1"/>
    <col min="36" max="36" width="15.7109375" style="77" bestFit="1" customWidth="1"/>
    <col min="37" max="38" width="19.28515625" style="77" bestFit="1" customWidth="1"/>
    <col min="39" max="39" width="14.42578125" style="77" bestFit="1" customWidth="1"/>
    <col min="40" max="40" width="15.140625" style="77" bestFit="1" customWidth="1"/>
    <col min="41" max="41" width="14.7109375" style="77" bestFit="1" customWidth="1"/>
    <col min="42" max="42" width="14.42578125" style="77" bestFit="1" customWidth="1"/>
    <col min="43" max="43" width="13.85546875" style="77" customWidth="1"/>
    <col min="44" max="44" width="14.140625" style="77" bestFit="1" customWidth="1"/>
    <col min="45" max="45" width="19.85546875" style="77" bestFit="1" customWidth="1"/>
    <col min="46" max="46" width="5" style="70" bestFit="1" customWidth="1"/>
    <col min="47" max="47" width="15.140625" style="77" bestFit="1" customWidth="1"/>
    <col min="48" max="48" width="15.7109375" style="77" customWidth="1"/>
    <col min="49" max="49" width="15.7109375" style="77" bestFit="1" customWidth="1"/>
    <col min="50" max="51" width="19.28515625" style="77" bestFit="1" customWidth="1"/>
    <col min="52" max="52" width="14.42578125" style="77" bestFit="1" customWidth="1"/>
    <col min="53" max="53" width="15.140625" style="77" bestFit="1" customWidth="1"/>
    <col min="54" max="54" width="14.7109375" style="77" bestFit="1" customWidth="1"/>
    <col min="55" max="55" width="14.42578125" style="77" bestFit="1" customWidth="1"/>
    <col min="56" max="56" width="13.85546875" style="77" customWidth="1"/>
    <col min="57" max="57" width="14.140625" style="77" bestFit="1" customWidth="1"/>
    <col min="58" max="58" width="21" style="77" bestFit="1" customWidth="1"/>
    <col min="59" max="59" width="5" style="70" bestFit="1" customWidth="1"/>
    <col min="60" max="60" width="15.140625" style="77" bestFit="1" customWidth="1"/>
    <col min="61" max="61" width="16.28515625" style="77" customWidth="1"/>
    <col min="62" max="62" width="13.85546875" style="77" customWidth="1"/>
    <col min="63" max="63" width="16.140625" style="77" bestFit="1" customWidth="1"/>
    <col min="64" max="64" width="19.28515625" style="77" bestFit="1" customWidth="1"/>
    <col min="65" max="65" width="14.42578125" style="77" bestFit="1" customWidth="1"/>
    <col min="66" max="66" width="15.140625" style="77" bestFit="1" customWidth="1"/>
    <col min="67" max="67" width="14.7109375" style="77" bestFit="1" customWidth="1"/>
    <col min="68" max="68" width="14.42578125" style="77" bestFit="1" customWidth="1"/>
    <col min="69" max="69" width="13.85546875" style="77" customWidth="1"/>
    <col min="70" max="70" width="14.140625" style="77" bestFit="1" customWidth="1"/>
    <col min="71" max="71" width="16.7109375" style="77" bestFit="1" customWidth="1"/>
    <col min="72" max="72" width="5" style="70" bestFit="1" customWidth="1"/>
    <col min="73" max="73" width="15.140625" style="77" bestFit="1" customWidth="1"/>
    <col min="74" max="74" width="14.85546875" style="77" bestFit="1" customWidth="1"/>
    <col min="75" max="75" width="14.42578125" style="77" customWidth="1"/>
    <col min="76" max="76" width="16.140625" style="77" bestFit="1" customWidth="1"/>
    <col min="77" max="77" width="16.7109375" style="77" customWidth="1"/>
    <col min="78" max="78" width="14.42578125" style="77" bestFit="1" customWidth="1"/>
    <col min="79" max="79" width="15.140625" style="77" bestFit="1" customWidth="1"/>
    <col min="80" max="80" width="14.7109375" style="77" bestFit="1" customWidth="1"/>
    <col min="81" max="81" width="14.42578125" style="77" bestFit="1" customWidth="1"/>
    <col min="82" max="82" width="13.85546875" style="77" customWidth="1"/>
    <col min="83" max="83" width="14.140625" style="77" bestFit="1" customWidth="1"/>
    <col min="84" max="84" width="16.7109375" style="77" bestFit="1" customWidth="1"/>
    <col min="85" max="85" width="5" style="70" bestFit="1" customWidth="1"/>
    <col min="86" max="86" width="15.140625" style="77" bestFit="1" customWidth="1"/>
    <col min="87" max="87" width="14.85546875" style="77" bestFit="1" customWidth="1"/>
    <col min="88" max="88" width="12.28515625" style="77" bestFit="1" customWidth="1"/>
    <col min="89" max="89" width="16.140625" style="77" bestFit="1" customWidth="1"/>
    <col min="90" max="90" width="18" style="77" customWidth="1"/>
    <col min="91" max="91" width="14.42578125" style="77" bestFit="1" customWidth="1"/>
    <col min="92" max="92" width="15.140625" style="77" bestFit="1" customWidth="1"/>
    <col min="93" max="93" width="14.7109375" style="77" bestFit="1" customWidth="1"/>
    <col min="94" max="94" width="14.42578125" style="77" bestFit="1" customWidth="1"/>
    <col min="95" max="95" width="13.85546875" style="77" customWidth="1"/>
    <col min="96" max="96" width="14.140625" style="77" bestFit="1" customWidth="1"/>
    <col min="97" max="97" width="16.85546875" style="77" bestFit="1" customWidth="1"/>
    <col min="98" max="98" width="5" style="70" bestFit="1" customWidth="1"/>
    <col min="99" max="99" width="15.140625" style="77" bestFit="1" customWidth="1"/>
    <col min="100" max="100" width="18" style="77" customWidth="1"/>
    <col min="101" max="101" width="12.28515625" style="77" bestFit="1" customWidth="1"/>
    <col min="102" max="102" width="16.140625" style="77" bestFit="1" customWidth="1"/>
    <col min="103" max="103" width="18.7109375" style="77" customWidth="1"/>
    <col min="104" max="104" width="14.42578125" style="77" bestFit="1" customWidth="1"/>
    <col min="105" max="105" width="15.140625" style="77" bestFit="1" customWidth="1"/>
    <col min="106" max="106" width="14.7109375" style="77" bestFit="1" customWidth="1"/>
    <col min="107" max="107" width="14.42578125" style="77" bestFit="1" customWidth="1"/>
    <col min="108" max="108" width="13.85546875" style="77" customWidth="1"/>
    <col min="109" max="109" width="14.140625" style="77" bestFit="1" customWidth="1"/>
    <col min="110" max="110" width="16.7109375" style="77" bestFit="1" customWidth="1"/>
    <col min="111" max="111" width="5" style="70" bestFit="1" customWidth="1"/>
    <col min="112" max="112" width="15.140625" style="77" bestFit="1" customWidth="1"/>
    <col min="113" max="113" width="14.85546875" style="77" bestFit="1" customWidth="1"/>
    <col min="114" max="114" width="12.28515625" style="77" bestFit="1" customWidth="1"/>
    <col min="115" max="115" width="16.140625" style="77" bestFit="1" customWidth="1"/>
    <col min="116" max="116" width="17.7109375" style="77" customWidth="1"/>
    <col min="117" max="117" width="14.42578125" style="77" bestFit="1" customWidth="1"/>
    <col min="118" max="118" width="15.140625" style="77" bestFit="1" customWidth="1"/>
    <col min="119" max="119" width="14.7109375" style="77" bestFit="1" customWidth="1"/>
    <col min="120" max="120" width="14.42578125" style="77" bestFit="1" customWidth="1"/>
    <col min="121" max="121" width="13.85546875" style="77" customWidth="1"/>
    <col min="122" max="122" width="14.140625" style="77" bestFit="1" customWidth="1"/>
    <col min="123" max="123" width="16.7109375" style="77" bestFit="1" customWidth="1"/>
    <col min="124" max="124" width="5" style="70" bestFit="1" customWidth="1"/>
    <col min="125" max="125" width="15.140625" style="77" bestFit="1" customWidth="1"/>
    <col min="126" max="126" width="14.85546875" style="77" bestFit="1" customWidth="1"/>
    <col min="127" max="127" width="12.28515625" style="77" bestFit="1" customWidth="1"/>
    <col min="128" max="128" width="16.140625" style="77" bestFit="1" customWidth="1"/>
    <col min="129" max="129" width="18.7109375" style="77" customWidth="1"/>
    <col min="130" max="130" width="14.42578125" style="77" bestFit="1" customWidth="1"/>
    <col min="131" max="131" width="15.140625" style="77" bestFit="1" customWidth="1"/>
    <col min="132" max="132" width="14.7109375" style="77" bestFit="1" customWidth="1"/>
    <col min="133" max="133" width="14.42578125" style="77" bestFit="1" customWidth="1"/>
    <col min="134" max="134" width="13.85546875" style="77" customWidth="1"/>
    <col min="135" max="135" width="14.140625" style="77" bestFit="1" customWidth="1"/>
    <col min="136" max="136" width="16.7109375" style="77" bestFit="1" customWidth="1"/>
    <col min="137" max="137" width="5" style="70" bestFit="1" customWidth="1"/>
    <col min="138" max="138" width="22.85546875" style="34" bestFit="1" customWidth="1"/>
    <col min="139" max="139" width="19.28515625" style="34" customWidth="1"/>
    <col min="140" max="140" width="17.42578125" style="34" bestFit="1" customWidth="1"/>
    <col min="141" max="141" width="20.5703125" style="34" bestFit="1" customWidth="1"/>
    <col min="142" max="142" width="19.7109375" style="34" bestFit="1" customWidth="1"/>
    <col min="143" max="143" width="15" style="34" bestFit="1" customWidth="1"/>
    <col min="144" max="144" width="18" style="34" customWidth="1"/>
    <col min="145" max="145" width="15.28515625" style="34" bestFit="1" customWidth="1"/>
    <col min="146" max="146" width="15" style="34" bestFit="1" customWidth="1"/>
    <col min="147" max="147" width="22.140625" style="34" bestFit="1" customWidth="1"/>
    <col min="148" max="148" width="19.5703125" style="34" bestFit="1" customWidth="1"/>
    <col min="149" max="149" width="18.28515625" style="34" customWidth="1"/>
    <col min="150" max="150" width="9.140625" style="34"/>
    <col min="151" max="151" width="16.28515625" style="34" customWidth="1"/>
    <col min="152" max="152" width="9.140625" style="34"/>
    <col min="153" max="153" width="17.85546875" style="34" customWidth="1"/>
    <col min="154" max="154" width="13" style="34" customWidth="1"/>
    <col min="155" max="16384" width="9.140625" style="34"/>
  </cols>
  <sheetData>
    <row r="1" spans="1:154" x14ac:dyDescent="0.25">
      <c r="B1" s="56" t="s">
        <v>154</v>
      </c>
      <c r="C1" s="57"/>
      <c r="D1" s="275"/>
      <c r="E1" s="275"/>
      <c r="F1" s="57"/>
      <c r="G1" s="57"/>
      <c r="H1" s="58"/>
      <c r="I1" s="58"/>
      <c r="J1" s="58"/>
      <c r="K1" s="58"/>
      <c r="L1" s="58"/>
      <c r="M1" s="58"/>
      <c r="S1" s="167"/>
      <c r="U1" s="167"/>
      <c r="V1" s="167"/>
      <c r="W1" s="167"/>
      <c r="X1" s="167"/>
      <c r="Y1" s="167"/>
      <c r="Z1" s="167"/>
      <c r="AA1" s="167"/>
      <c r="AB1" s="167"/>
      <c r="AC1" s="167"/>
      <c r="AD1" s="167"/>
      <c r="AE1" s="167"/>
      <c r="AF1" s="167"/>
      <c r="AH1" s="167"/>
      <c r="AI1" s="167"/>
      <c r="AJ1" s="167"/>
      <c r="AK1" s="167"/>
      <c r="AL1" s="167"/>
      <c r="AM1" s="167"/>
      <c r="AN1" s="167"/>
      <c r="AO1" s="167"/>
      <c r="AP1" s="167"/>
      <c r="AQ1" s="167"/>
      <c r="AR1" s="167"/>
      <c r="AS1" s="167"/>
      <c r="AU1" s="167"/>
      <c r="AV1" s="167"/>
      <c r="AW1" s="167"/>
      <c r="AX1" s="167"/>
      <c r="AY1" s="167"/>
      <c r="AZ1" s="167"/>
      <c r="BA1" s="167"/>
      <c r="BB1" s="167"/>
      <c r="BC1" s="167"/>
      <c r="BD1" s="167"/>
      <c r="BE1" s="167"/>
      <c r="BF1" s="167"/>
      <c r="BH1" s="167"/>
      <c r="BI1" s="167"/>
      <c r="BJ1" s="167"/>
      <c r="BK1" s="167"/>
      <c r="BL1" s="167"/>
      <c r="BM1" s="167"/>
      <c r="BN1" s="167"/>
      <c r="BO1" s="167"/>
      <c r="BP1" s="167"/>
      <c r="BQ1" s="167"/>
      <c r="BR1" s="167"/>
      <c r="BS1" s="167"/>
      <c r="BU1" s="167"/>
      <c r="BV1" s="167"/>
      <c r="BW1" s="167"/>
      <c r="BX1" s="167"/>
      <c r="BY1" s="167"/>
      <c r="BZ1" s="167"/>
      <c r="CA1" s="167"/>
      <c r="CB1" s="167"/>
      <c r="CC1" s="167"/>
      <c r="CD1" s="167"/>
      <c r="CE1" s="167"/>
      <c r="CF1" s="167"/>
      <c r="CH1" s="167"/>
      <c r="CI1" s="167"/>
      <c r="CJ1" s="167"/>
      <c r="CK1" s="167"/>
      <c r="CL1" s="167"/>
      <c r="CM1" s="167"/>
      <c r="CN1" s="167"/>
      <c r="CO1" s="167"/>
      <c r="CP1" s="167"/>
      <c r="CQ1" s="167"/>
      <c r="CR1" s="167"/>
      <c r="CS1" s="167"/>
      <c r="CU1" s="167"/>
      <c r="CV1" s="167"/>
      <c r="CW1" s="167"/>
      <c r="CX1" s="167"/>
      <c r="CY1" s="167"/>
      <c r="CZ1" s="167"/>
      <c r="DA1" s="167"/>
      <c r="DB1" s="167"/>
      <c r="DC1" s="167"/>
      <c r="DD1" s="167"/>
      <c r="DE1" s="167"/>
      <c r="DF1" s="167"/>
      <c r="DH1" s="167"/>
      <c r="DI1" s="167"/>
      <c r="DJ1" s="167"/>
      <c r="DK1" s="167"/>
      <c r="DL1" s="167"/>
      <c r="DM1" s="167"/>
      <c r="DN1" s="167"/>
      <c r="DO1" s="167"/>
      <c r="DP1" s="167"/>
      <c r="DQ1" s="167"/>
      <c r="DR1" s="167"/>
      <c r="DS1" s="167"/>
      <c r="DU1" s="167"/>
      <c r="DV1" s="167"/>
      <c r="DW1" s="167"/>
      <c r="DX1" s="167"/>
      <c r="DY1" s="167"/>
      <c r="DZ1" s="167"/>
      <c r="EA1" s="167"/>
      <c r="EB1" s="167"/>
      <c r="EC1" s="167"/>
      <c r="ED1" s="167"/>
      <c r="EE1" s="167"/>
      <c r="EF1" s="167"/>
      <c r="EH1" s="167"/>
      <c r="EI1" s="167"/>
      <c r="EJ1" s="167"/>
      <c r="EK1" s="167"/>
      <c r="EL1" s="167"/>
      <c r="EM1" s="167"/>
      <c r="EN1" s="167"/>
      <c r="EO1" s="167"/>
      <c r="EP1" s="167"/>
      <c r="EQ1" s="167"/>
      <c r="ER1" s="167"/>
    </row>
    <row r="2" spans="1:154" ht="18.75" x14ac:dyDescent="0.3">
      <c r="C2" s="35"/>
      <c r="D2" s="172"/>
      <c r="E2" s="172"/>
      <c r="F2" s="35"/>
      <c r="G2" s="35"/>
      <c r="H2" s="415" t="s">
        <v>144</v>
      </c>
      <c r="I2" s="416"/>
      <c r="J2" s="416"/>
      <c r="K2" s="416"/>
      <c r="L2" s="416"/>
      <c r="M2" s="416"/>
      <c r="N2" s="416"/>
      <c r="O2" s="416"/>
      <c r="P2" s="416"/>
      <c r="Q2" s="416"/>
      <c r="R2" s="416"/>
      <c r="S2" s="417"/>
      <c r="U2" s="418" t="s">
        <v>145</v>
      </c>
      <c r="V2" s="419"/>
      <c r="W2" s="419"/>
      <c r="X2" s="419"/>
      <c r="Y2" s="419"/>
      <c r="Z2" s="419"/>
      <c r="AA2" s="419"/>
      <c r="AB2" s="419"/>
      <c r="AC2" s="419"/>
      <c r="AD2" s="419"/>
      <c r="AE2" s="419"/>
      <c r="AF2" s="420"/>
      <c r="AH2" s="418" t="s">
        <v>146</v>
      </c>
      <c r="AI2" s="419"/>
      <c r="AJ2" s="419"/>
      <c r="AK2" s="419"/>
      <c r="AL2" s="419"/>
      <c r="AM2" s="419"/>
      <c r="AN2" s="419"/>
      <c r="AO2" s="419"/>
      <c r="AP2" s="419"/>
      <c r="AQ2" s="419"/>
      <c r="AR2" s="419"/>
      <c r="AS2" s="420"/>
      <c r="AU2" s="418" t="s">
        <v>147</v>
      </c>
      <c r="AV2" s="419"/>
      <c r="AW2" s="419"/>
      <c r="AX2" s="419"/>
      <c r="AY2" s="419"/>
      <c r="AZ2" s="419"/>
      <c r="BA2" s="419"/>
      <c r="BB2" s="419"/>
      <c r="BC2" s="419"/>
      <c r="BD2" s="419"/>
      <c r="BE2" s="419"/>
      <c r="BF2" s="420"/>
      <c r="BH2" s="418" t="s">
        <v>148</v>
      </c>
      <c r="BI2" s="419"/>
      <c r="BJ2" s="419"/>
      <c r="BK2" s="419"/>
      <c r="BL2" s="419"/>
      <c r="BM2" s="419"/>
      <c r="BN2" s="419"/>
      <c r="BO2" s="419"/>
      <c r="BP2" s="419"/>
      <c r="BQ2" s="419"/>
      <c r="BR2" s="419"/>
      <c r="BS2" s="420"/>
      <c r="BU2" s="418" t="s">
        <v>149</v>
      </c>
      <c r="BV2" s="419"/>
      <c r="BW2" s="419"/>
      <c r="BX2" s="419"/>
      <c r="BY2" s="419"/>
      <c r="BZ2" s="419"/>
      <c r="CA2" s="419"/>
      <c r="CB2" s="419"/>
      <c r="CC2" s="419"/>
      <c r="CD2" s="419"/>
      <c r="CE2" s="419"/>
      <c r="CF2" s="420"/>
      <c r="CH2" s="418" t="s">
        <v>150</v>
      </c>
      <c r="CI2" s="419"/>
      <c r="CJ2" s="419"/>
      <c r="CK2" s="419"/>
      <c r="CL2" s="419"/>
      <c r="CM2" s="419"/>
      <c r="CN2" s="419"/>
      <c r="CO2" s="419"/>
      <c r="CP2" s="419"/>
      <c r="CQ2" s="419"/>
      <c r="CR2" s="419"/>
      <c r="CS2" s="420"/>
      <c r="CU2" s="418" t="s">
        <v>157</v>
      </c>
      <c r="CV2" s="419"/>
      <c r="CW2" s="419"/>
      <c r="CX2" s="419"/>
      <c r="CY2" s="419"/>
      <c r="CZ2" s="419"/>
      <c r="DA2" s="419"/>
      <c r="DB2" s="419"/>
      <c r="DC2" s="419"/>
      <c r="DD2" s="419"/>
      <c r="DE2" s="419"/>
      <c r="DF2" s="420"/>
      <c r="DH2" s="418" t="s">
        <v>158</v>
      </c>
      <c r="DI2" s="419"/>
      <c r="DJ2" s="419"/>
      <c r="DK2" s="419"/>
      <c r="DL2" s="419"/>
      <c r="DM2" s="419"/>
      <c r="DN2" s="419"/>
      <c r="DO2" s="419"/>
      <c r="DP2" s="419"/>
      <c r="DQ2" s="419"/>
      <c r="DR2" s="419"/>
      <c r="DS2" s="420"/>
      <c r="DU2" s="418" t="s">
        <v>159</v>
      </c>
      <c r="DV2" s="419"/>
      <c r="DW2" s="419"/>
      <c r="DX2" s="419"/>
      <c r="DY2" s="419"/>
      <c r="DZ2" s="419"/>
      <c r="EA2" s="419"/>
      <c r="EB2" s="419"/>
      <c r="EC2" s="419"/>
      <c r="ED2" s="419"/>
      <c r="EE2" s="419"/>
      <c r="EF2" s="420"/>
      <c r="EH2" s="412" t="s">
        <v>160</v>
      </c>
      <c r="EI2" s="413"/>
      <c r="EJ2" s="413"/>
      <c r="EK2" s="413"/>
      <c r="EL2" s="413"/>
      <c r="EM2" s="413"/>
      <c r="EN2" s="413"/>
      <c r="EO2" s="413"/>
      <c r="EP2" s="413"/>
      <c r="EQ2" s="413"/>
      <c r="ER2" s="413"/>
      <c r="ES2" s="414"/>
    </row>
    <row r="3" spans="1:154" ht="63" x14ac:dyDescent="0.25">
      <c r="A3" s="35" t="s">
        <v>55</v>
      </c>
      <c r="B3" s="423" t="s">
        <v>120</v>
      </c>
      <c r="C3" s="424"/>
      <c r="D3" s="424"/>
      <c r="E3" s="425"/>
      <c r="F3" s="66" t="s">
        <v>133</v>
      </c>
      <c r="G3" s="66" t="s">
        <v>134</v>
      </c>
      <c r="H3" s="38" t="s">
        <v>123</v>
      </c>
      <c r="I3" s="38" t="s">
        <v>24</v>
      </c>
      <c r="J3" s="38" t="s">
        <v>12</v>
      </c>
      <c r="K3" s="38" t="s">
        <v>19</v>
      </c>
      <c r="L3" s="39" t="s">
        <v>124</v>
      </c>
      <c r="M3" s="371" t="s">
        <v>125</v>
      </c>
      <c r="N3" s="371" t="s">
        <v>222</v>
      </c>
      <c r="O3" s="371" t="s">
        <v>136</v>
      </c>
      <c r="P3" s="371" t="s">
        <v>546</v>
      </c>
      <c r="Q3" s="371" t="s">
        <v>565</v>
      </c>
      <c r="R3" s="51" t="s">
        <v>126</v>
      </c>
      <c r="S3" s="39" t="s">
        <v>25</v>
      </c>
      <c r="U3" s="84" t="s">
        <v>123</v>
      </c>
      <c r="V3" s="38" t="s">
        <v>24</v>
      </c>
      <c r="W3" s="38" t="s">
        <v>12</v>
      </c>
      <c r="X3" s="38" t="s">
        <v>19</v>
      </c>
      <c r="Y3" s="39" t="s">
        <v>124</v>
      </c>
      <c r="Z3" s="97" t="s">
        <v>125</v>
      </c>
      <c r="AA3" s="97" t="s">
        <v>222</v>
      </c>
      <c r="AB3" s="97" t="s">
        <v>136</v>
      </c>
      <c r="AC3" s="97" t="s">
        <v>546</v>
      </c>
      <c r="AD3" s="97" t="s">
        <v>565</v>
      </c>
      <c r="AE3" s="51" t="s">
        <v>126</v>
      </c>
      <c r="AF3" s="39" t="s">
        <v>25</v>
      </c>
      <c r="AH3" s="84" t="s">
        <v>123</v>
      </c>
      <c r="AI3" s="84" t="s">
        <v>24</v>
      </c>
      <c r="AJ3" s="84" t="s">
        <v>12</v>
      </c>
      <c r="AK3" s="84" t="s">
        <v>19</v>
      </c>
      <c r="AL3" s="85" t="s">
        <v>124</v>
      </c>
      <c r="AM3" s="97" t="s">
        <v>125</v>
      </c>
      <c r="AN3" s="97" t="s">
        <v>222</v>
      </c>
      <c r="AO3" s="97" t="s">
        <v>136</v>
      </c>
      <c r="AP3" s="97" t="s">
        <v>546</v>
      </c>
      <c r="AQ3" s="97" t="s">
        <v>565</v>
      </c>
      <c r="AR3" s="91" t="s">
        <v>126</v>
      </c>
      <c r="AS3" s="85" t="s">
        <v>25</v>
      </c>
      <c r="AU3" s="84" t="s">
        <v>123</v>
      </c>
      <c r="AV3" s="84" t="s">
        <v>24</v>
      </c>
      <c r="AW3" s="84" t="s">
        <v>12</v>
      </c>
      <c r="AX3" s="84" t="s">
        <v>19</v>
      </c>
      <c r="AY3" s="85" t="s">
        <v>124</v>
      </c>
      <c r="AZ3" s="97" t="s">
        <v>125</v>
      </c>
      <c r="BA3" s="97" t="s">
        <v>222</v>
      </c>
      <c r="BB3" s="97" t="s">
        <v>136</v>
      </c>
      <c r="BC3" s="97" t="s">
        <v>546</v>
      </c>
      <c r="BD3" s="97" t="s">
        <v>565</v>
      </c>
      <c r="BE3" s="91" t="s">
        <v>126</v>
      </c>
      <c r="BF3" s="85" t="s">
        <v>25</v>
      </c>
      <c r="BH3" s="84" t="s">
        <v>123</v>
      </c>
      <c r="BI3" s="84" t="s">
        <v>24</v>
      </c>
      <c r="BJ3" s="84" t="s">
        <v>12</v>
      </c>
      <c r="BK3" s="84" t="s">
        <v>19</v>
      </c>
      <c r="BL3" s="85" t="s">
        <v>124</v>
      </c>
      <c r="BM3" s="97" t="s">
        <v>125</v>
      </c>
      <c r="BN3" s="97" t="s">
        <v>222</v>
      </c>
      <c r="BO3" s="97" t="s">
        <v>136</v>
      </c>
      <c r="BP3" s="97" t="s">
        <v>546</v>
      </c>
      <c r="BQ3" s="97" t="s">
        <v>565</v>
      </c>
      <c r="BR3" s="91" t="s">
        <v>126</v>
      </c>
      <c r="BS3" s="85" t="s">
        <v>25</v>
      </c>
      <c r="BU3" s="84" t="s">
        <v>123</v>
      </c>
      <c r="BV3" s="84" t="s">
        <v>24</v>
      </c>
      <c r="BW3" s="84" t="s">
        <v>12</v>
      </c>
      <c r="BX3" s="84" t="s">
        <v>19</v>
      </c>
      <c r="BY3" s="85" t="s">
        <v>124</v>
      </c>
      <c r="BZ3" s="97" t="s">
        <v>125</v>
      </c>
      <c r="CA3" s="97" t="s">
        <v>222</v>
      </c>
      <c r="CB3" s="97" t="s">
        <v>136</v>
      </c>
      <c r="CC3" s="97" t="s">
        <v>546</v>
      </c>
      <c r="CD3" s="97" t="s">
        <v>565</v>
      </c>
      <c r="CE3" s="91" t="s">
        <v>126</v>
      </c>
      <c r="CF3" s="85" t="s">
        <v>25</v>
      </c>
      <c r="CH3" s="84" t="s">
        <v>123</v>
      </c>
      <c r="CI3" s="84" t="s">
        <v>24</v>
      </c>
      <c r="CJ3" s="84" t="s">
        <v>12</v>
      </c>
      <c r="CK3" s="84" t="s">
        <v>19</v>
      </c>
      <c r="CL3" s="85" t="s">
        <v>124</v>
      </c>
      <c r="CM3" s="97" t="s">
        <v>125</v>
      </c>
      <c r="CN3" s="97" t="s">
        <v>222</v>
      </c>
      <c r="CO3" s="97" t="s">
        <v>136</v>
      </c>
      <c r="CP3" s="97" t="s">
        <v>546</v>
      </c>
      <c r="CQ3" s="97" t="s">
        <v>565</v>
      </c>
      <c r="CR3" s="91" t="s">
        <v>126</v>
      </c>
      <c r="CS3" s="85" t="s">
        <v>25</v>
      </c>
      <c r="CU3" s="84" t="s">
        <v>123</v>
      </c>
      <c r="CV3" s="84" t="s">
        <v>24</v>
      </c>
      <c r="CW3" s="84" t="s">
        <v>12</v>
      </c>
      <c r="CX3" s="84" t="s">
        <v>19</v>
      </c>
      <c r="CY3" s="85" t="s">
        <v>124</v>
      </c>
      <c r="CZ3" s="97" t="s">
        <v>125</v>
      </c>
      <c r="DA3" s="97" t="s">
        <v>222</v>
      </c>
      <c r="DB3" s="97" t="s">
        <v>136</v>
      </c>
      <c r="DC3" s="97" t="s">
        <v>546</v>
      </c>
      <c r="DD3" s="97" t="s">
        <v>565</v>
      </c>
      <c r="DE3" s="91" t="s">
        <v>126</v>
      </c>
      <c r="DF3" s="85" t="s">
        <v>25</v>
      </c>
      <c r="DH3" s="84" t="s">
        <v>123</v>
      </c>
      <c r="DI3" s="84" t="s">
        <v>24</v>
      </c>
      <c r="DJ3" s="84" t="s">
        <v>12</v>
      </c>
      <c r="DK3" s="84" t="s">
        <v>19</v>
      </c>
      <c r="DL3" s="85" t="s">
        <v>124</v>
      </c>
      <c r="DM3" s="97" t="s">
        <v>125</v>
      </c>
      <c r="DN3" s="97" t="s">
        <v>222</v>
      </c>
      <c r="DO3" s="97" t="s">
        <v>136</v>
      </c>
      <c r="DP3" s="97" t="s">
        <v>546</v>
      </c>
      <c r="DQ3" s="97" t="s">
        <v>565</v>
      </c>
      <c r="DR3" s="91" t="s">
        <v>126</v>
      </c>
      <c r="DS3" s="85" t="s">
        <v>25</v>
      </c>
      <c r="DU3" s="84" t="s">
        <v>123</v>
      </c>
      <c r="DV3" s="84" t="s">
        <v>24</v>
      </c>
      <c r="DW3" s="84" t="s">
        <v>12</v>
      </c>
      <c r="DX3" s="84" t="s">
        <v>19</v>
      </c>
      <c r="DY3" s="85" t="s">
        <v>124</v>
      </c>
      <c r="DZ3" s="97" t="s">
        <v>125</v>
      </c>
      <c r="EA3" s="97" t="s">
        <v>222</v>
      </c>
      <c r="EB3" s="97" t="s">
        <v>136</v>
      </c>
      <c r="EC3" s="97" t="s">
        <v>546</v>
      </c>
      <c r="ED3" s="97" t="s">
        <v>565</v>
      </c>
      <c r="EE3" s="91" t="s">
        <v>126</v>
      </c>
      <c r="EF3" s="85" t="s">
        <v>25</v>
      </c>
      <c r="EH3" s="62" t="s">
        <v>123</v>
      </c>
      <c r="EI3" s="62" t="s">
        <v>24</v>
      </c>
      <c r="EJ3" s="62" t="s">
        <v>12</v>
      </c>
      <c r="EK3" s="62" t="s">
        <v>19</v>
      </c>
      <c r="EL3" s="63" t="s">
        <v>124</v>
      </c>
      <c r="EM3" s="63" t="s">
        <v>125</v>
      </c>
      <c r="EN3" s="63" t="s">
        <v>569</v>
      </c>
      <c r="EO3" s="63" t="s">
        <v>136</v>
      </c>
      <c r="EP3" s="63" t="s">
        <v>546</v>
      </c>
      <c r="EQ3" s="63" t="s">
        <v>565</v>
      </c>
      <c r="ER3" s="63" t="s">
        <v>126</v>
      </c>
      <c r="ES3" s="63" t="s">
        <v>25</v>
      </c>
    </row>
    <row r="4" spans="1:154" ht="63" x14ac:dyDescent="0.25">
      <c r="A4" s="37" t="s">
        <v>56</v>
      </c>
      <c r="B4" s="405" t="s">
        <v>121</v>
      </c>
      <c r="C4" s="406"/>
      <c r="D4" s="406"/>
      <c r="E4" s="407"/>
      <c r="F4" s="66" t="s">
        <v>135</v>
      </c>
      <c r="G4" s="66" t="s">
        <v>135</v>
      </c>
      <c r="H4" s="38" t="s">
        <v>137</v>
      </c>
      <c r="I4" s="38" t="s">
        <v>139</v>
      </c>
      <c r="J4" s="38" t="s">
        <v>140</v>
      </c>
      <c r="K4" s="38" t="s">
        <v>138</v>
      </c>
      <c r="L4" s="39" t="s">
        <v>141</v>
      </c>
      <c r="M4" s="371" t="s">
        <v>125</v>
      </c>
      <c r="N4" s="371" t="s">
        <v>222</v>
      </c>
      <c r="O4" s="371" t="s">
        <v>136</v>
      </c>
      <c r="P4" s="371" t="s">
        <v>546</v>
      </c>
      <c r="Q4" s="371" t="s">
        <v>565</v>
      </c>
      <c r="R4" s="39" t="s">
        <v>161</v>
      </c>
      <c r="S4" s="61" t="s">
        <v>162</v>
      </c>
      <c r="U4" s="84" t="s">
        <v>137</v>
      </c>
      <c r="V4" s="38" t="s">
        <v>139</v>
      </c>
      <c r="W4" s="38" t="s">
        <v>140</v>
      </c>
      <c r="X4" s="38" t="s">
        <v>138</v>
      </c>
      <c r="Y4" s="39" t="s">
        <v>141</v>
      </c>
      <c r="Z4" s="97" t="s">
        <v>125</v>
      </c>
      <c r="AA4" s="97" t="s">
        <v>222</v>
      </c>
      <c r="AB4" s="97" t="s">
        <v>136</v>
      </c>
      <c r="AC4" s="97" t="s">
        <v>546</v>
      </c>
      <c r="AD4" s="97" t="s">
        <v>565</v>
      </c>
      <c r="AE4" s="39" t="s">
        <v>161</v>
      </c>
      <c r="AF4" s="61" t="s">
        <v>162</v>
      </c>
      <c r="AH4" s="84" t="s">
        <v>137</v>
      </c>
      <c r="AI4" s="84" t="s">
        <v>139</v>
      </c>
      <c r="AJ4" s="84" t="s">
        <v>140</v>
      </c>
      <c r="AK4" s="84" t="s">
        <v>138</v>
      </c>
      <c r="AL4" s="85" t="s">
        <v>141</v>
      </c>
      <c r="AM4" s="97" t="s">
        <v>125</v>
      </c>
      <c r="AN4" s="97" t="s">
        <v>222</v>
      </c>
      <c r="AO4" s="97" t="s">
        <v>136</v>
      </c>
      <c r="AP4" s="97" t="s">
        <v>546</v>
      </c>
      <c r="AQ4" s="97" t="s">
        <v>565</v>
      </c>
      <c r="AR4" s="85" t="s">
        <v>161</v>
      </c>
      <c r="AS4" s="97" t="s">
        <v>162</v>
      </c>
      <c r="AU4" s="84" t="s">
        <v>137</v>
      </c>
      <c r="AV4" s="84" t="s">
        <v>139</v>
      </c>
      <c r="AW4" s="84" t="s">
        <v>140</v>
      </c>
      <c r="AX4" s="84" t="s">
        <v>138</v>
      </c>
      <c r="AY4" s="85" t="s">
        <v>141</v>
      </c>
      <c r="AZ4" s="97" t="s">
        <v>125</v>
      </c>
      <c r="BA4" s="97" t="s">
        <v>222</v>
      </c>
      <c r="BB4" s="97" t="s">
        <v>136</v>
      </c>
      <c r="BC4" s="97" t="s">
        <v>546</v>
      </c>
      <c r="BD4" s="97" t="s">
        <v>565</v>
      </c>
      <c r="BE4" s="85" t="s">
        <v>161</v>
      </c>
      <c r="BF4" s="97" t="s">
        <v>162</v>
      </c>
      <c r="BH4" s="84" t="s">
        <v>137</v>
      </c>
      <c r="BI4" s="84" t="s">
        <v>139</v>
      </c>
      <c r="BJ4" s="84" t="s">
        <v>140</v>
      </c>
      <c r="BK4" s="84" t="s">
        <v>138</v>
      </c>
      <c r="BL4" s="85" t="s">
        <v>141</v>
      </c>
      <c r="BM4" s="97" t="s">
        <v>125</v>
      </c>
      <c r="BN4" s="97" t="s">
        <v>222</v>
      </c>
      <c r="BO4" s="97" t="s">
        <v>136</v>
      </c>
      <c r="BP4" s="97" t="s">
        <v>546</v>
      </c>
      <c r="BQ4" s="97" t="s">
        <v>565</v>
      </c>
      <c r="BR4" s="85" t="s">
        <v>161</v>
      </c>
      <c r="BS4" s="97" t="s">
        <v>162</v>
      </c>
      <c r="BU4" s="84" t="s">
        <v>137</v>
      </c>
      <c r="BV4" s="84" t="s">
        <v>139</v>
      </c>
      <c r="BW4" s="84" t="s">
        <v>140</v>
      </c>
      <c r="BX4" s="84" t="s">
        <v>138</v>
      </c>
      <c r="BY4" s="85" t="s">
        <v>141</v>
      </c>
      <c r="BZ4" s="97" t="s">
        <v>125</v>
      </c>
      <c r="CA4" s="97" t="s">
        <v>222</v>
      </c>
      <c r="CB4" s="97" t="s">
        <v>136</v>
      </c>
      <c r="CC4" s="97" t="s">
        <v>546</v>
      </c>
      <c r="CD4" s="97" t="s">
        <v>565</v>
      </c>
      <c r="CE4" s="85" t="s">
        <v>161</v>
      </c>
      <c r="CF4" s="97" t="s">
        <v>162</v>
      </c>
      <c r="CH4" s="84" t="s">
        <v>137</v>
      </c>
      <c r="CI4" s="84" t="s">
        <v>139</v>
      </c>
      <c r="CJ4" s="84" t="s">
        <v>140</v>
      </c>
      <c r="CK4" s="84" t="s">
        <v>138</v>
      </c>
      <c r="CL4" s="85" t="s">
        <v>141</v>
      </c>
      <c r="CM4" s="97" t="s">
        <v>125</v>
      </c>
      <c r="CN4" s="97" t="s">
        <v>222</v>
      </c>
      <c r="CO4" s="97" t="s">
        <v>136</v>
      </c>
      <c r="CP4" s="97" t="s">
        <v>546</v>
      </c>
      <c r="CQ4" s="97" t="s">
        <v>565</v>
      </c>
      <c r="CR4" s="85" t="s">
        <v>161</v>
      </c>
      <c r="CS4" s="97" t="s">
        <v>162</v>
      </c>
      <c r="CU4" s="84" t="s">
        <v>137</v>
      </c>
      <c r="CV4" s="84" t="s">
        <v>139</v>
      </c>
      <c r="CW4" s="84" t="s">
        <v>140</v>
      </c>
      <c r="CX4" s="84" t="s">
        <v>138</v>
      </c>
      <c r="CY4" s="85" t="s">
        <v>141</v>
      </c>
      <c r="CZ4" s="97" t="s">
        <v>125</v>
      </c>
      <c r="DA4" s="97" t="s">
        <v>222</v>
      </c>
      <c r="DB4" s="97" t="s">
        <v>136</v>
      </c>
      <c r="DC4" s="97" t="s">
        <v>546</v>
      </c>
      <c r="DD4" s="97" t="s">
        <v>565</v>
      </c>
      <c r="DE4" s="85" t="s">
        <v>161</v>
      </c>
      <c r="DF4" s="97" t="s">
        <v>162</v>
      </c>
      <c r="DH4" s="84" t="s">
        <v>137</v>
      </c>
      <c r="DI4" s="84" t="s">
        <v>139</v>
      </c>
      <c r="DJ4" s="84" t="s">
        <v>140</v>
      </c>
      <c r="DK4" s="84" t="s">
        <v>138</v>
      </c>
      <c r="DL4" s="85" t="s">
        <v>141</v>
      </c>
      <c r="DM4" s="97" t="s">
        <v>125</v>
      </c>
      <c r="DN4" s="97" t="s">
        <v>222</v>
      </c>
      <c r="DO4" s="97" t="s">
        <v>136</v>
      </c>
      <c r="DP4" s="97" t="s">
        <v>546</v>
      </c>
      <c r="DQ4" s="97" t="s">
        <v>565</v>
      </c>
      <c r="DR4" s="85" t="s">
        <v>161</v>
      </c>
      <c r="DS4" s="97" t="s">
        <v>162</v>
      </c>
      <c r="DU4" s="84" t="s">
        <v>137</v>
      </c>
      <c r="DV4" s="84" t="s">
        <v>139</v>
      </c>
      <c r="DW4" s="84" t="s">
        <v>140</v>
      </c>
      <c r="DX4" s="84" t="s">
        <v>138</v>
      </c>
      <c r="DY4" s="85" t="s">
        <v>141</v>
      </c>
      <c r="DZ4" s="97" t="s">
        <v>125</v>
      </c>
      <c r="EA4" s="97" t="s">
        <v>222</v>
      </c>
      <c r="EB4" s="97" t="s">
        <v>136</v>
      </c>
      <c r="EC4" s="97" t="s">
        <v>546</v>
      </c>
      <c r="ED4" s="97" t="s">
        <v>565</v>
      </c>
      <c r="EE4" s="85" t="s">
        <v>161</v>
      </c>
      <c r="EF4" s="97" t="s">
        <v>162</v>
      </c>
      <c r="EH4" s="62" t="s">
        <v>137</v>
      </c>
      <c r="EI4" s="62" t="s">
        <v>139</v>
      </c>
      <c r="EJ4" s="62" t="s">
        <v>140</v>
      </c>
      <c r="EK4" s="62" t="s">
        <v>138</v>
      </c>
      <c r="EL4" s="63" t="s">
        <v>141</v>
      </c>
      <c r="EM4" s="63" t="s">
        <v>125</v>
      </c>
      <c r="EN4" s="63" t="s">
        <v>569</v>
      </c>
      <c r="EO4" s="63" t="s">
        <v>136</v>
      </c>
      <c r="EP4" s="63" t="s">
        <v>546</v>
      </c>
      <c r="EQ4" s="63" t="s">
        <v>565</v>
      </c>
      <c r="ER4" s="63" t="s">
        <v>161</v>
      </c>
      <c r="ES4" s="63" t="s">
        <v>162</v>
      </c>
    </row>
    <row r="5" spans="1:154" ht="45" x14ac:dyDescent="0.25">
      <c r="A5" s="40"/>
      <c r="B5" s="45"/>
      <c r="C5" s="46"/>
      <c r="D5" s="46"/>
      <c r="E5" s="47"/>
      <c r="F5" s="47" t="s">
        <v>131</v>
      </c>
      <c r="G5" s="47" t="s">
        <v>132</v>
      </c>
      <c r="H5" s="52">
        <v>1</v>
      </c>
      <c r="I5" s="52">
        <v>2</v>
      </c>
      <c r="J5" s="52">
        <v>3</v>
      </c>
      <c r="K5" s="52">
        <v>4</v>
      </c>
      <c r="L5" s="52">
        <v>5</v>
      </c>
      <c r="M5" s="52">
        <v>6</v>
      </c>
      <c r="N5" s="52">
        <v>7</v>
      </c>
      <c r="O5" s="52">
        <v>8</v>
      </c>
      <c r="P5" s="52">
        <v>9</v>
      </c>
      <c r="Q5" s="52">
        <v>10</v>
      </c>
      <c r="R5" s="52">
        <v>11</v>
      </c>
      <c r="S5" s="55" t="s">
        <v>174</v>
      </c>
      <c r="U5" s="92">
        <v>1</v>
      </c>
      <c r="V5" s="52">
        <v>2</v>
      </c>
      <c r="W5" s="52">
        <v>3</v>
      </c>
      <c r="X5" s="52">
        <v>4</v>
      </c>
      <c r="Y5" s="52">
        <v>5</v>
      </c>
      <c r="Z5" s="52">
        <v>6</v>
      </c>
      <c r="AA5" s="52">
        <v>7</v>
      </c>
      <c r="AB5" s="52">
        <v>8</v>
      </c>
      <c r="AC5" s="52">
        <v>9</v>
      </c>
      <c r="AD5" s="52">
        <v>10</v>
      </c>
      <c r="AE5" s="52">
        <v>11</v>
      </c>
      <c r="AF5" s="55" t="s">
        <v>174</v>
      </c>
      <c r="AH5" s="92">
        <v>1</v>
      </c>
      <c r="AI5" s="92">
        <v>2</v>
      </c>
      <c r="AJ5" s="92">
        <v>3</v>
      </c>
      <c r="AK5" s="92">
        <v>4</v>
      </c>
      <c r="AL5" s="92">
        <v>5</v>
      </c>
      <c r="AM5" s="92">
        <v>6</v>
      </c>
      <c r="AN5" s="92">
        <v>7</v>
      </c>
      <c r="AO5" s="92">
        <v>8</v>
      </c>
      <c r="AP5" s="92">
        <v>9</v>
      </c>
      <c r="AQ5" s="92">
        <v>10</v>
      </c>
      <c r="AR5" s="92">
        <v>11</v>
      </c>
      <c r="AS5" s="95" t="s">
        <v>174</v>
      </c>
      <c r="AU5" s="92">
        <v>1</v>
      </c>
      <c r="AV5" s="92">
        <v>2</v>
      </c>
      <c r="AW5" s="92">
        <v>3</v>
      </c>
      <c r="AX5" s="92">
        <v>4</v>
      </c>
      <c r="AY5" s="92">
        <v>5</v>
      </c>
      <c r="AZ5" s="92">
        <v>6</v>
      </c>
      <c r="BA5" s="92">
        <v>7</v>
      </c>
      <c r="BB5" s="92">
        <v>8</v>
      </c>
      <c r="BC5" s="92">
        <v>9</v>
      </c>
      <c r="BD5" s="92">
        <v>10</v>
      </c>
      <c r="BE5" s="92">
        <v>11</v>
      </c>
      <c r="BF5" s="95" t="s">
        <v>174</v>
      </c>
      <c r="BH5" s="92">
        <v>1</v>
      </c>
      <c r="BI5" s="92">
        <v>2</v>
      </c>
      <c r="BJ5" s="92">
        <v>3</v>
      </c>
      <c r="BK5" s="92">
        <v>4</v>
      </c>
      <c r="BL5" s="92">
        <v>5</v>
      </c>
      <c r="BM5" s="92">
        <v>6</v>
      </c>
      <c r="BN5" s="92">
        <v>7</v>
      </c>
      <c r="BO5" s="92">
        <v>8</v>
      </c>
      <c r="BP5" s="92">
        <v>9</v>
      </c>
      <c r="BQ5" s="92">
        <v>10</v>
      </c>
      <c r="BR5" s="92">
        <v>11</v>
      </c>
      <c r="BS5" s="95" t="s">
        <v>174</v>
      </c>
      <c r="BU5" s="92">
        <v>1</v>
      </c>
      <c r="BV5" s="92">
        <v>2</v>
      </c>
      <c r="BW5" s="92">
        <v>3</v>
      </c>
      <c r="BX5" s="92">
        <v>4</v>
      </c>
      <c r="BY5" s="92">
        <v>5</v>
      </c>
      <c r="BZ5" s="92">
        <v>6</v>
      </c>
      <c r="CA5" s="92">
        <v>7</v>
      </c>
      <c r="CB5" s="92">
        <v>8</v>
      </c>
      <c r="CC5" s="92">
        <v>9</v>
      </c>
      <c r="CD5" s="92">
        <v>10</v>
      </c>
      <c r="CE5" s="92">
        <v>11</v>
      </c>
      <c r="CF5" s="95" t="s">
        <v>174</v>
      </c>
      <c r="CH5" s="92">
        <v>1</v>
      </c>
      <c r="CI5" s="92">
        <v>2</v>
      </c>
      <c r="CJ5" s="92">
        <v>3</v>
      </c>
      <c r="CK5" s="92">
        <v>4</v>
      </c>
      <c r="CL5" s="92">
        <v>5</v>
      </c>
      <c r="CM5" s="92">
        <v>6</v>
      </c>
      <c r="CN5" s="92">
        <v>7</v>
      </c>
      <c r="CO5" s="92">
        <v>8</v>
      </c>
      <c r="CP5" s="92">
        <v>9</v>
      </c>
      <c r="CQ5" s="92">
        <v>10</v>
      </c>
      <c r="CR5" s="92">
        <v>11</v>
      </c>
      <c r="CS5" s="95" t="s">
        <v>174</v>
      </c>
      <c r="CU5" s="92">
        <v>1</v>
      </c>
      <c r="CV5" s="92">
        <v>2</v>
      </c>
      <c r="CW5" s="92">
        <v>3</v>
      </c>
      <c r="CX5" s="92">
        <v>4</v>
      </c>
      <c r="CY5" s="92">
        <v>5</v>
      </c>
      <c r="CZ5" s="92">
        <v>6</v>
      </c>
      <c r="DA5" s="92">
        <v>7</v>
      </c>
      <c r="DB5" s="92">
        <v>8</v>
      </c>
      <c r="DC5" s="92">
        <v>9</v>
      </c>
      <c r="DD5" s="92">
        <v>10</v>
      </c>
      <c r="DE5" s="92">
        <v>11</v>
      </c>
      <c r="DF5" s="95" t="s">
        <v>174</v>
      </c>
      <c r="DH5" s="92">
        <v>1</v>
      </c>
      <c r="DI5" s="92">
        <v>2</v>
      </c>
      <c r="DJ5" s="92">
        <v>3</v>
      </c>
      <c r="DK5" s="92">
        <v>4</v>
      </c>
      <c r="DL5" s="92">
        <v>5</v>
      </c>
      <c r="DM5" s="92">
        <v>6</v>
      </c>
      <c r="DN5" s="92">
        <v>7</v>
      </c>
      <c r="DO5" s="92">
        <v>8</v>
      </c>
      <c r="DP5" s="92">
        <v>9</v>
      </c>
      <c r="DQ5" s="92">
        <v>10</v>
      </c>
      <c r="DR5" s="92">
        <v>11</v>
      </c>
      <c r="DS5" s="95" t="s">
        <v>174</v>
      </c>
      <c r="DU5" s="92">
        <v>1</v>
      </c>
      <c r="DV5" s="92">
        <v>2</v>
      </c>
      <c r="DW5" s="92">
        <v>3</v>
      </c>
      <c r="DX5" s="92">
        <v>4</v>
      </c>
      <c r="DY5" s="92">
        <v>5</v>
      </c>
      <c r="DZ5" s="92">
        <v>6</v>
      </c>
      <c r="EA5" s="92">
        <v>7</v>
      </c>
      <c r="EB5" s="92">
        <v>8</v>
      </c>
      <c r="EC5" s="92">
        <v>9</v>
      </c>
      <c r="ED5" s="92">
        <v>10</v>
      </c>
      <c r="EE5" s="92">
        <v>11</v>
      </c>
      <c r="EF5" s="95" t="s">
        <v>174</v>
      </c>
      <c r="EH5" s="59">
        <v>1</v>
      </c>
      <c r="EI5" s="59">
        <v>2</v>
      </c>
      <c r="EJ5" s="59">
        <v>3</v>
      </c>
      <c r="EK5" s="59">
        <v>4</v>
      </c>
      <c r="EL5" s="59">
        <v>5</v>
      </c>
      <c r="EM5" s="59">
        <v>6</v>
      </c>
      <c r="EN5" s="59">
        <v>7</v>
      </c>
      <c r="EO5" s="59">
        <v>8</v>
      </c>
      <c r="EP5" s="59">
        <v>8</v>
      </c>
      <c r="EQ5" s="59">
        <v>9</v>
      </c>
      <c r="ER5" s="59">
        <v>10</v>
      </c>
      <c r="ES5" s="60" t="s">
        <v>143</v>
      </c>
    </row>
    <row r="6" spans="1:154" x14ac:dyDescent="0.25">
      <c r="A6" s="36"/>
      <c r="B6" s="399" t="str">
        <f>'Incremental_Cost Year 1'!B5:E5</f>
        <v>1.Qellimi I Politikes ( Kodi, Emertimi) Investimi në shëndetin e popullatës gjatë gjithë ciklit të jetws</v>
      </c>
      <c r="C6" s="408"/>
      <c r="D6" s="408"/>
      <c r="E6" s="409"/>
      <c r="F6" s="49"/>
      <c r="G6" s="49"/>
      <c r="H6" s="53">
        <f>H7+H10+H12+H17+H19+H23</f>
        <v>570489609.64071429</v>
      </c>
      <c r="I6" s="93">
        <f t="shared" ref="I6:AH6" si="0">I7+I10+I12+I17+I19+I23</f>
        <v>249865366.66666666</v>
      </c>
      <c r="J6" s="93">
        <f t="shared" si="0"/>
        <v>83835000</v>
      </c>
      <c r="K6" s="93">
        <f t="shared" si="0"/>
        <v>904189976.30738091</v>
      </c>
      <c r="L6" s="93">
        <f t="shared" si="0"/>
        <v>888753976.05738091</v>
      </c>
      <c r="M6" s="93">
        <f t="shared" si="0"/>
        <v>0</v>
      </c>
      <c r="N6" s="93">
        <f t="shared" si="0"/>
        <v>6360000</v>
      </c>
      <c r="O6" s="93">
        <f t="shared" si="0"/>
        <v>3950000</v>
      </c>
      <c r="P6" s="93">
        <f t="shared" si="0"/>
        <v>3426000</v>
      </c>
      <c r="Q6" s="93">
        <f t="shared" si="0"/>
        <v>1700000</v>
      </c>
      <c r="R6" s="93">
        <f t="shared" si="0"/>
        <v>0</v>
      </c>
      <c r="S6" s="93">
        <f t="shared" si="0"/>
        <v>-0.25</v>
      </c>
      <c r="U6" s="93">
        <f>U7+U10+U12+U17+U19+U23</f>
        <v>2189804605.583571</v>
      </c>
      <c r="V6" s="93">
        <f t="shared" si="0"/>
        <v>5394523900</v>
      </c>
      <c r="W6" s="93">
        <f t="shared" si="0"/>
        <v>158099500</v>
      </c>
      <c r="X6" s="93">
        <f t="shared" si="0"/>
        <v>7742428005.5835705</v>
      </c>
      <c r="Y6" s="93">
        <f t="shared" si="0"/>
        <v>5910767105.5835714</v>
      </c>
      <c r="Z6" s="93">
        <f t="shared" si="0"/>
        <v>0</v>
      </c>
      <c r="AA6" s="93">
        <f t="shared" si="0"/>
        <v>0</v>
      </c>
      <c r="AB6" s="93">
        <f t="shared" si="0"/>
        <v>540000</v>
      </c>
      <c r="AC6" s="93">
        <f t="shared" si="0"/>
        <v>6340800</v>
      </c>
      <c r="AD6" s="93">
        <f t="shared" si="0"/>
        <v>0</v>
      </c>
      <c r="AE6" s="93">
        <f t="shared" si="0"/>
        <v>0</v>
      </c>
      <c r="AF6" s="93">
        <f t="shared" si="0"/>
        <v>-1824780100</v>
      </c>
      <c r="AH6" s="93">
        <f t="shared" si="0"/>
        <v>2317898522.5585709</v>
      </c>
      <c r="AI6" s="93">
        <f t="shared" ref="AI6:AS6" si="1">AI7+AI10+AI12+AI17+AI19+AI23</f>
        <v>5761394170</v>
      </c>
      <c r="AJ6" s="93">
        <f t="shared" si="1"/>
        <v>699061467.47967482</v>
      </c>
      <c r="AK6" s="93">
        <f t="shared" si="1"/>
        <v>8778354160.0382462</v>
      </c>
      <c r="AL6" s="93">
        <f t="shared" si="1"/>
        <v>8002853292.5585709</v>
      </c>
      <c r="AM6" s="93">
        <f t="shared" si="1"/>
        <v>0</v>
      </c>
      <c r="AN6" s="93">
        <f t="shared" si="1"/>
        <v>0</v>
      </c>
      <c r="AO6" s="93">
        <f t="shared" si="1"/>
        <v>0</v>
      </c>
      <c r="AP6" s="93">
        <f t="shared" si="1"/>
        <v>6592800</v>
      </c>
      <c r="AQ6" s="93">
        <f t="shared" si="1"/>
        <v>249600</v>
      </c>
      <c r="AR6" s="93">
        <f t="shared" si="1"/>
        <v>0</v>
      </c>
      <c r="AS6" s="93">
        <f t="shared" si="1"/>
        <v>-768658467.47967482</v>
      </c>
      <c r="AU6" s="93">
        <f t="shared" ref="AU6:CF6" si="2">AU7+AU10+AU12+AU17+AU19+AU23</f>
        <v>2347534370.8585711</v>
      </c>
      <c r="AV6" s="93">
        <f t="shared" si="2"/>
        <v>1547156602</v>
      </c>
      <c r="AW6" s="93">
        <f t="shared" si="2"/>
        <v>764750000</v>
      </c>
      <c r="AX6" s="93">
        <f t="shared" si="2"/>
        <v>4659440972.858572</v>
      </c>
      <c r="AY6" s="93">
        <f t="shared" si="2"/>
        <v>3751070762.8585715</v>
      </c>
      <c r="AZ6" s="93">
        <f t="shared" si="2"/>
        <v>0</v>
      </c>
      <c r="BA6" s="93">
        <f t="shared" si="2"/>
        <v>0</v>
      </c>
      <c r="BB6" s="93">
        <f t="shared" si="2"/>
        <v>0</v>
      </c>
      <c r="BC6" s="93">
        <f t="shared" si="2"/>
        <v>3739200</v>
      </c>
      <c r="BD6" s="93">
        <f t="shared" si="2"/>
        <v>249600</v>
      </c>
      <c r="BE6" s="93">
        <f t="shared" si="2"/>
        <v>0</v>
      </c>
      <c r="BF6" s="93">
        <f t="shared" si="2"/>
        <v>-904381410</v>
      </c>
      <c r="BH6" s="93">
        <f t="shared" si="2"/>
        <v>2345806619.0228567</v>
      </c>
      <c r="BI6" s="93">
        <f t="shared" si="2"/>
        <v>1568111792</v>
      </c>
      <c r="BJ6" s="93">
        <f t="shared" si="2"/>
        <v>751226000</v>
      </c>
      <c r="BK6" s="93">
        <f t="shared" si="2"/>
        <v>4665144411.0228577</v>
      </c>
      <c r="BL6" s="93">
        <f t="shared" si="2"/>
        <v>3901513801.0228572</v>
      </c>
      <c r="BM6" s="93">
        <f t="shared" si="2"/>
        <v>0</v>
      </c>
      <c r="BN6" s="93">
        <f t="shared" si="2"/>
        <v>0</v>
      </c>
      <c r="BO6" s="93">
        <f t="shared" si="2"/>
        <v>0</v>
      </c>
      <c r="BP6" s="93">
        <f t="shared" si="2"/>
        <v>2346000</v>
      </c>
      <c r="BQ6" s="93">
        <f t="shared" si="2"/>
        <v>0</v>
      </c>
      <c r="BR6" s="93">
        <f t="shared" si="2"/>
        <v>0</v>
      </c>
      <c r="BS6" s="93">
        <f t="shared" si="2"/>
        <v>-761284610</v>
      </c>
      <c r="BU6" s="93">
        <f t="shared" si="2"/>
        <v>2340152504.0228567</v>
      </c>
      <c r="BV6" s="93">
        <f t="shared" si="2"/>
        <v>1612465002</v>
      </c>
      <c r="BW6" s="93">
        <f t="shared" si="2"/>
        <v>0</v>
      </c>
      <c r="BX6" s="93">
        <f t="shared" si="2"/>
        <v>3952617506.0228572</v>
      </c>
      <c r="BY6" s="93">
        <f t="shared" si="2"/>
        <v>3944031506.0228572</v>
      </c>
      <c r="BZ6" s="93">
        <f t="shared" si="2"/>
        <v>0</v>
      </c>
      <c r="CA6" s="93">
        <f t="shared" si="2"/>
        <v>0</v>
      </c>
      <c r="CB6" s="93">
        <f t="shared" si="2"/>
        <v>0</v>
      </c>
      <c r="CC6" s="93">
        <f t="shared" si="2"/>
        <v>2346000</v>
      </c>
      <c r="CD6" s="93">
        <f t="shared" si="2"/>
        <v>0</v>
      </c>
      <c r="CE6" s="93">
        <f t="shared" si="2"/>
        <v>0</v>
      </c>
      <c r="CF6" s="93">
        <f t="shared" si="2"/>
        <v>-6240000</v>
      </c>
      <c r="CH6" s="93">
        <f t="shared" ref="CH6:CS6" si="3">CH7+CH10+CH12+CH17+CH19+CH23</f>
        <v>2340152504.0228567</v>
      </c>
      <c r="CI6" s="93">
        <f t="shared" si="3"/>
        <v>1657921833</v>
      </c>
      <c r="CJ6" s="93">
        <f t="shared" si="3"/>
        <v>0</v>
      </c>
      <c r="CK6" s="93">
        <f t="shared" si="3"/>
        <v>3998074337.0228572</v>
      </c>
      <c r="CL6" s="93">
        <f t="shared" si="3"/>
        <v>3989236337.0228572</v>
      </c>
      <c r="CM6" s="93">
        <f t="shared" si="3"/>
        <v>0</v>
      </c>
      <c r="CN6" s="93">
        <f t="shared" si="3"/>
        <v>0</v>
      </c>
      <c r="CO6" s="93">
        <f t="shared" si="3"/>
        <v>0</v>
      </c>
      <c r="CP6" s="93">
        <f t="shared" si="3"/>
        <v>2346000</v>
      </c>
      <c r="CQ6" s="93">
        <f t="shared" si="3"/>
        <v>0</v>
      </c>
      <c r="CR6" s="93">
        <f t="shared" si="3"/>
        <v>0</v>
      </c>
      <c r="CS6" s="93">
        <f t="shared" si="3"/>
        <v>-6492000</v>
      </c>
      <c r="CU6" s="93">
        <f t="shared" ref="CU6:DF6" si="4">CU7+CU10+CU12+CU17+CU19+CU23</f>
        <v>2336383094.0228567</v>
      </c>
      <c r="CV6" s="93">
        <f t="shared" si="4"/>
        <v>1704477303</v>
      </c>
      <c r="CW6" s="93">
        <f t="shared" si="4"/>
        <v>0</v>
      </c>
      <c r="CX6" s="93">
        <f t="shared" si="4"/>
        <v>4040860397.0228572</v>
      </c>
      <c r="CY6" s="93">
        <f t="shared" si="4"/>
        <v>4033651997.0228572</v>
      </c>
      <c r="CZ6" s="93">
        <f t="shared" si="4"/>
        <v>0</v>
      </c>
      <c r="DA6" s="93">
        <f t="shared" si="4"/>
        <v>0</v>
      </c>
      <c r="DB6" s="93">
        <f t="shared" si="4"/>
        <v>0</v>
      </c>
      <c r="DC6" s="93">
        <f t="shared" si="4"/>
        <v>2346000</v>
      </c>
      <c r="DD6" s="93">
        <f t="shared" si="4"/>
        <v>0</v>
      </c>
      <c r="DE6" s="93">
        <f t="shared" si="4"/>
        <v>0</v>
      </c>
      <c r="DF6" s="93">
        <f t="shared" si="4"/>
        <v>-4862400</v>
      </c>
      <c r="DH6" s="93">
        <f t="shared" ref="DH6:DS6" si="5">DH7+DH10+DH12+DH17+DH19+DH23</f>
        <v>2336383094.0228567</v>
      </c>
      <c r="DI6" s="93">
        <f t="shared" si="5"/>
        <v>1759192127</v>
      </c>
      <c r="DJ6" s="93">
        <f t="shared" si="5"/>
        <v>0</v>
      </c>
      <c r="DK6" s="93">
        <f t="shared" si="5"/>
        <v>4095575221.0228572</v>
      </c>
      <c r="DL6" s="93">
        <f t="shared" si="5"/>
        <v>4088366821.0228572</v>
      </c>
      <c r="DM6" s="93">
        <f t="shared" si="5"/>
        <v>0</v>
      </c>
      <c r="DN6" s="93">
        <f t="shared" si="5"/>
        <v>0</v>
      </c>
      <c r="DO6" s="93">
        <f t="shared" si="5"/>
        <v>0</v>
      </c>
      <c r="DP6" s="93">
        <f t="shared" si="5"/>
        <v>2346000</v>
      </c>
      <c r="DQ6" s="93">
        <f t="shared" si="5"/>
        <v>0</v>
      </c>
      <c r="DR6" s="93">
        <f t="shared" si="5"/>
        <v>0</v>
      </c>
      <c r="DS6" s="93">
        <f t="shared" si="5"/>
        <v>-4862400</v>
      </c>
      <c r="DU6" s="93">
        <f t="shared" ref="DU6:EF6" si="6">DU7+DU10+DU12+DU17+DU19+DU23</f>
        <v>2336383094.0228567</v>
      </c>
      <c r="DV6" s="93">
        <f t="shared" si="6"/>
        <v>1814532195</v>
      </c>
      <c r="DW6" s="93">
        <f t="shared" si="6"/>
        <v>0</v>
      </c>
      <c r="DX6" s="93">
        <f t="shared" si="6"/>
        <v>4150915289.0228572</v>
      </c>
      <c r="DY6" s="93">
        <f t="shared" si="6"/>
        <v>4143706889.0228572</v>
      </c>
      <c r="DZ6" s="93">
        <f t="shared" si="6"/>
        <v>0</v>
      </c>
      <c r="EA6" s="93">
        <f t="shared" si="6"/>
        <v>0</v>
      </c>
      <c r="EB6" s="93">
        <f t="shared" si="6"/>
        <v>0</v>
      </c>
      <c r="EC6" s="93">
        <f t="shared" si="6"/>
        <v>2346000</v>
      </c>
      <c r="ED6" s="93">
        <f t="shared" si="6"/>
        <v>0</v>
      </c>
      <c r="EE6" s="93">
        <f t="shared" si="6"/>
        <v>0</v>
      </c>
      <c r="EF6" s="93">
        <f t="shared" si="6"/>
        <v>-4862400</v>
      </c>
      <c r="EH6" s="93">
        <f t="shared" ref="EH6:ES6" si="7">EH7+EH10+EH12+EH17+EH19+EH23</f>
        <v>21460988017.778568</v>
      </c>
      <c r="EI6" s="93">
        <f t="shared" si="7"/>
        <v>23069640290.666664</v>
      </c>
      <c r="EJ6" s="93">
        <f t="shared" si="7"/>
        <v>2456971967.4796748</v>
      </c>
      <c r="EK6" s="93">
        <f t="shared" si="7"/>
        <v>46987600275.924911</v>
      </c>
      <c r="EL6" s="93">
        <f t="shared" si="7"/>
        <v>42653952488.195236</v>
      </c>
      <c r="EM6" s="93">
        <f t="shared" si="7"/>
        <v>0</v>
      </c>
      <c r="EN6" s="93">
        <f t="shared" si="7"/>
        <v>6360000</v>
      </c>
      <c r="EO6" s="93">
        <f t="shared" si="7"/>
        <v>4490000</v>
      </c>
      <c r="EP6" s="93">
        <f t="shared" si="7"/>
        <v>34174800</v>
      </c>
      <c r="EQ6" s="93">
        <f t="shared" si="7"/>
        <v>2199200</v>
      </c>
      <c r="ER6" s="93">
        <f t="shared" si="7"/>
        <v>0</v>
      </c>
      <c r="ES6" s="93">
        <f t="shared" si="7"/>
        <v>-4286423787.7296748</v>
      </c>
      <c r="EU6" s="194">
        <f t="shared" ref="EU6:EU7" si="8">EM6+EN6+EO6+EP6+EQ6+ER6</f>
        <v>47224000</v>
      </c>
      <c r="EW6" s="194">
        <f t="shared" ref="EW6:EW7" si="9">SUM(EL6:ER6)-EK6</f>
        <v>-4286423787.7296753</v>
      </c>
      <c r="EX6" s="194">
        <f>ES6-EW6</f>
        <v>0</v>
      </c>
    </row>
    <row r="7" spans="1:154" ht="26.25" customHeight="1" x14ac:dyDescent="0.25">
      <c r="A7" s="36"/>
      <c r="B7" s="44"/>
      <c r="C7" s="410" t="str">
        <f>'Incremental_Cost Year 1'!C6:E6</f>
        <v xml:space="preserve">1.1 Objektivi specifik: Promovimi i stilit të jetesës së shëndetshme dhe sigurimi i një mjedisi të shëndetshëm nëpërmjet fuqizimit të bashkëpunimit ndër - sektorial </v>
      </c>
      <c r="D7" s="410"/>
      <c r="E7" s="411"/>
      <c r="F7" s="65"/>
      <c r="G7" s="65"/>
      <c r="H7" s="54">
        <f>SUM(H8:H9)</f>
        <v>471176.25</v>
      </c>
      <c r="I7" s="94">
        <f t="shared" ref="I7:S7" si="10">SUM(I8:I9)</f>
        <v>1150000</v>
      </c>
      <c r="J7" s="94">
        <f t="shared" si="10"/>
        <v>0</v>
      </c>
      <c r="K7" s="94">
        <f t="shared" si="10"/>
        <v>1621176.25</v>
      </c>
      <c r="L7" s="94">
        <f t="shared" si="10"/>
        <v>471176.25</v>
      </c>
      <c r="M7" s="94">
        <f t="shared" si="10"/>
        <v>0</v>
      </c>
      <c r="N7" s="94">
        <f t="shared" si="10"/>
        <v>0</v>
      </c>
      <c r="O7" s="94">
        <f t="shared" si="10"/>
        <v>1150000</v>
      </c>
      <c r="P7" s="94">
        <f t="shared" si="10"/>
        <v>0</v>
      </c>
      <c r="Q7" s="94">
        <f t="shared" si="10"/>
        <v>0</v>
      </c>
      <c r="R7" s="94">
        <f t="shared" si="10"/>
        <v>0</v>
      </c>
      <c r="S7" s="94">
        <f t="shared" si="10"/>
        <v>0</v>
      </c>
      <c r="U7" s="94">
        <f>SUM(U8:U9)</f>
        <v>5499137.4000000004</v>
      </c>
      <c r="V7" s="94">
        <f t="shared" ref="V7:AF7" si="11">SUM(V8:V9)</f>
        <v>4363200</v>
      </c>
      <c r="W7" s="94">
        <f t="shared" si="11"/>
        <v>0</v>
      </c>
      <c r="X7" s="94">
        <f t="shared" si="11"/>
        <v>9862337.4000000004</v>
      </c>
      <c r="Y7" s="94">
        <f t="shared" si="11"/>
        <v>5499137.4000000004</v>
      </c>
      <c r="Z7" s="94">
        <f t="shared" si="11"/>
        <v>0</v>
      </c>
      <c r="AA7" s="94">
        <f t="shared" si="11"/>
        <v>0</v>
      </c>
      <c r="AB7" s="94">
        <f t="shared" si="11"/>
        <v>540000</v>
      </c>
      <c r="AC7" s="94">
        <f t="shared" si="11"/>
        <v>0</v>
      </c>
      <c r="AD7" s="94">
        <f t="shared" si="11"/>
        <v>0</v>
      </c>
      <c r="AE7" s="94">
        <f t="shared" si="11"/>
        <v>0</v>
      </c>
      <c r="AF7" s="94">
        <f t="shared" si="11"/>
        <v>-3823200</v>
      </c>
      <c r="AH7" s="94">
        <f>SUM(AH8:AH9)</f>
        <v>5265153.9000000004</v>
      </c>
      <c r="AI7" s="94">
        <f t="shared" ref="AI7:AS7" si="12">SUM(AI8:AI9)</f>
        <v>5618400</v>
      </c>
      <c r="AJ7" s="94">
        <f t="shared" si="12"/>
        <v>0</v>
      </c>
      <c r="AK7" s="94">
        <f t="shared" si="12"/>
        <v>10883553.9</v>
      </c>
      <c r="AL7" s="94">
        <f t="shared" si="12"/>
        <v>5265153.9000000004</v>
      </c>
      <c r="AM7" s="94">
        <f t="shared" si="12"/>
        <v>0</v>
      </c>
      <c r="AN7" s="94">
        <f t="shared" si="12"/>
        <v>0</v>
      </c>
      <c r="AO7" s="94">
        <f t="shared" si="12"/>
        <v>0</v>
      </c>
      <c r="AP7" s="94">
        <f t="shared" si="12"/>
        <v>0</v>
      </c>
      <c r="AQ7" s="94">
        <f t="shared" si="12"/>
        <v>0</v>
      </c>
      <c r="AR7" s="94">
        <f t="shared" si="12"/>
        <v>0</v>
      </c>
      <c r="AS7" s="94">
        <f t="shared" si="12"/>
        <v>-5618400</v>
      </c>
      <c r="AU7" s="94">
        <f>SUM(AU8:AU9)</f>
        <v>4888212.9000000004</v>
      </c>
      <c r="AV7" s="94">
        <f t="shared" ref="AV7:BF7" si="13">SUM(AV8:AV9)</f>
        <v>6279600</v>
      </c>
      <c r="AW7" s="94">
        <f t="shared" si="13"/>
        <v>0</v>
      </c>
      <c r="AX7" s="94">
        <f t="shared" si="13"/>
        <v>11167812.9</v>
      </c>
      <c r="AY7" s="94">
        <f t="shared" si="13"/>
        <v>4888212.9000000004</v>
      </c>
      <c r="AZ7" s="94">
        <f t="shared" si="13"/>
        <v>0</v>
      </c>
      <c r="BA7" s="94">
        <f t="shared" si="13"/>
        <v>0</v>
      </c>
      <c r="BB7" s="94">
        <f t="shared" si="13"/>
        <v>0</v>
      </c>
      <c r="BC7" s="94">
        <f t="shared" si="13"/>
        <v>0</v>
      </c>
      <c r="BD7" s="94">
        <f t="shared" si="13"/>
        <v>0</v>
      </c>
      <c r="BE7" s="94">
        <f t="shared" si="13"/>
        <v>0</v>
      </c>
      <c r="BF7" s="94">
        <f t="shared" si="13"/>
        <v>-6279600</v>
      </c>
      <c r="BH7" s="94">
        <f>SUM(BH8:BH9)</f>
        <v>2061155.4</v>
      </c>
      <c r="BI7" s="94">
        <f t="shared" ref="BI7:BS7" si="14">SUM(BI8:BI9)</f>
        <v>3122400</v>
      </c>
      <c r="BJ7" s="94">
        <f t="shared" si="14"/>
        <v>0</v>
      </c>
      <c r="BK7" s="94">
        <f t="shared" si="14"/>
        <v>5183555.4000000004</v>
      </c>
      <c r="BL7" s="94">
        <f t="shared" si="14"/>
        <v>2061155.4</v>
      </c>
      <c r="BM7" s="94">
        <f t="shared" si="14"/>
        <v>0</v>
      </c>
      <c r="BN7" s="94">
        <f t="shared" si="14"/>
        <v>0</v>
      </c>
      <c r="BO7" s="94">
        <f t="shared" si="14"/>
        <v>0</v>
      </c>
      <c r="BP7" s="94">
        <f t="shared" si="14"/>
        <v>0</v>
      </c>
      <c r="BQ7" s="94">
        <f t="shared" si="14"/>
        <v>0</v>
      </c>
      <c r="BR7" s="94">
        <f t="shared" si="14"/>
        <v>0</v>
      </c>
      <c r="BS7" s="94">
        <f t="shared" si="14"/>
        <v>-3122400</v>
      </c>
      <c r="BU7" s="94">
        <f>SUM(BU8:BU9)</f>
        <v>176450.4</v>
      </c>
      <c r="BV7" s="94">
        <f t="shared" ref="BV7:CF7" si="15">SUM(BV8:BV9)</f>
        <v>988800</v>
      </c>
      <c r="BW7" s="94">
        <f t="shared" si="15"/>
        <v>0</v>
      </c>
      <c r="BX7" s="94">
        <f t="shared" si="15"/>
        <v>1165250.3999999999</v>
      </c>
      <c r="BY7" s="94">
        <f t="shared" si="15"/>
        <v>176450.4</v>
      </c>
      <c r="BZ7" s="94">
        <f t="shared" si="15"/>
        <v>0</v>
      </c>
      <c r="CA7" s="94">
        <f t="shared" si="15"/>
        <v>0</v>
      </c>
      <c r="CB7" s="94">
        <f t="shared" si="15"/>
        <v>0</v>
      </c>
      <c r="CC7" s="94">
        <f t="shared" si="15"/>
        <v>0</v>
      </c>
      <c r="CD7" s="94">
        <f t="shared" si="15"/>
        <v>0</v>
      </c>
      <c r="CE7" s="94">
        <f t="shared" si="15"/>
        <v>0</v>
      </c>
      <c r="CF7" s="94">
        <f t="shared" si="15"/>
        <v>-988799.99999999988</v>
      </c>
      <c r="CH7" s="94">
        <f>SUM(CH8:CH9)</f>
        <v>176450.4</v>
      </c>
      <c r="CI7" s="94">
        <f t="shared" ref="CI7:CS7" si="16">SUM(CI8:CI9)</f>
        <v>988800</v>
      </c>
      <c r="CJ7" s="94">
        <f t="shared" si="16"/>
        <v>0</v>
      </c>
      <c r="CK7" s="94">
        <f t="shared" si="16"/>
        <v>1165250.3999999999</v>
      </c>
      <c r="CL7" s="94">
        <f t="shared" si="16"/>
        <v>176450.4</v>
      </c>
      <c r="CM7" s="94">
        <f t="shared" si="16"/>
        <v>0</v>
      </c>
      <c r="CN7" s="94">
        <f t="shared" si="16"/>
        <v>0</v>
      </c>
      <c r="CO7" s="94">
        <f t="shared" si="16"/>
        <v>0</v>
      </c>
      <c r="CP7" s="94">
        <f t="shared" si="16"/>
        <v>0</v>
      </c>
      <c r="CQ7" s="94">
        <f t="shared" si="16"/>
        <v>0</v>
      </c>
      <c r="CR7" s="94">
        <f t="shared" si="16"/>
        <v>0</v>
      </c>
      <c r="CS7" s="94">
        <f t="shared" si="16"/>
        <v>-988799.99999999988</v>
      </c>
      <c r="CU7" s="94">
        <f>SUM(CU8:CU9)</f>
        <v>176450.4</v>
      </c>
      <c r="CV7" s="94">
        <f t="shared" ref="CV7:DF7" si="17">SUM(CV8:CV9)</f>
        <v>988800</v>
      </c>
      <c r="CW7" s="94">
        <f t="shared" si="17"/>
        <v>0</v>
      </c>
      <c r="CX7" s="94">
        <f t="shared" si="17"/>
        <v>1165250.3999999999</v>
      </c>
      <c r="CY7" s="94">
        <f t="shared" si="17"/>
        <v>176450.4</v>
      </c>
      <c r="CZ7" s="94">
        <f t="shared" si="17"/>
        <v>0</v>
      </c>
      <c r="DA7" s="94">
        <f t="shared" si="17"/>
        <v>0</v>
      </c>
      <c r="DB7" s="94">
        <f t="shared" si="17"/>
        <v>0</v>
      </c>
      <c r="DC7" s="94">
        <f t="shared" si="17"/>
        <v>0</v>
      </c>
      <c r="DD7" s="94">
        <f t="shared" si="17"/>
        <v>0</v>
      </c>
      <c r="DE7" s="94">
        <f t="shared" si="17"/>
        <v>0</v>
      </c>
      <c r="DF7" s="94">
        <f t="shared" si="17"/>
        <v>-988799.99999999988</v>
      </c>
      <c r="DH7" s="94">
        <f>SUM(DH8:DH9)</f>
        <v>176450.4</v>
      </c>
      <c r="DI7" s="94">
        <f t="shared" ref="DI7:DS7" si="18">SUM(DI8:DI9)</f>
        <v>988800</v>
      </c>
      <c r="DJ7" s="94">
        <f t="shared" si="18"/>
        <v>0</v>
      </c>
      <c r="DK7" s="94">
        <f t="shared" si="18"/>
        <v>1165250.3999999999</v>
      </c>
      <c r="DL7" s="94">
        <f t="shared" si="18"/>
        <v>176450.4</v>
      </c>
      <c r="DM7" s="94">
        <f t="shared" si="18"/>
        <v>0</v>
      </c>
      <c r="DN7" s="94">
        <f t="shared" si="18"/>
        <v>0</v>
      </c>
      <c r="DO7" s="94">
        <f t="shared" si="18"/>
        <v>0</v>
      </c>
      <c r="DP7" s="94">
        <f t="shared" si="18"/>
        <v>0</v>
      </c>
      <c r="DQ7" s="94">
        <f t="shared" si="18"/>
        <v>0</v>
      </c>
      <c r="DR7" s="94">
        <f t="shared" si="18"/>
        <v>0</v>
      </c>
      <c r="DS7" s="94">
        <f t="shared" si="18"/>
        <v>-988799.99999999988</v>
      </c>
      <c r="DU7" s="94">
        <f>SUM(DU8:DU9)</f>
        <v>176450.4</v>
      </c>
      <c r="DV7" s="94">
        <f t="shared" ref="DV7:EF7" si="19">SUM(DV8:DV9)</f>
        <v>988800</v>
      </c>
      <c r="DW7" s="94">
        <f t="shared" si="19"/>
        <v>0</v>
      </c>
      <c r="DX7" s="94">
        <f t="shared" si="19"/>
        <v>1165250.3999999999</v>
      </c>
      <c r="DY7" s="94">
        <f t="shared" si="19"/>
        <v>176450.4</v>
      </c>
      <c r="DZ7" s="94">
        <f t="shared" si="19"/>
        <v>0</v>
      </c>
      <c r="EA7" s="94">
        <f t="shared" si="19"/>
        <v>0</v>
      </c>
      <c r="EB7" s="94">
        <f t="shared" si="19"/>
        <v>0</v>
      </c>
      <c r="EC7" s="94">
        <f t="shared" si="19"/>
        <v>0</v>
      </c>
      <c r="ED7" s="94">
        <f t="shared" si="19"/>
        <v>0</v>
      </c>
      <c r="EE7" s="94">
        <f t="shared" si="19"/>
        <v>0</v>
      </c>
      <c r="EF7" s="94">
        <f t="shared" si="19"/>
        <v>-988799.99999999988</v>
      </c>
      <c r="EH7" s="94">
        <f t="shared" ref="EH7:ES7" si="20">SUM(EH8:EH9)</f>
        <v>19067087.850000001</v>
      </c>
      <c r="EI7" s="94">
        <f t="shared" si="20"/>
        <v>25477600</v>
      </c>
      <c r="EJ7" s="94">
        <f t="shared" si="20"/>
        <v>0</v>
      </c>
      <c r="EK7" s="94">
        <f t="shared" si="20"/>
        <v>44544687.849999994</v>
      </c>
      <c r="EL7" s="94">
        <f t="shared" si="20"/>
        <v>19067087.850000001</v>
      </c>
      <c r="EM7" s="94">
        <f t="shared" si="20"/>
        <v>0</v>
      </c>
      <c r="EN7" s="94">
        <f t="shared" si="20"/>
        <v>0</v>
      </c>
      <c r="EO7" s="94">
        <f t="shared" si="20"/>
        <v>1690000</v>
      </c>
      <c r="EP7" s="94">
        <f t="shared" si="20"/>
        <v>0</v>
      </c>
      <c r="EQ7" s="94">
        <f t="shared" si="20"/>
        <v>0</v>
      </c>
      <c r="ER7" s="94">
        <f t="shared" si="20"/>
        <v>0</v>
      </c>
      <c r="ES7" s="94">
        <f t="shared" si="20"/>
        <v>-23787600</v>
      </c>
      <c r="EU7" s="194">
        <f t="shared" si="8"/>
        <v>1690000</v>
      </c>
      <c r="EW7" s="194">
        <f t="shared" si="9"/>
        <v>-23787599.999999993</v>
      </c>
      <c r="EX7" s="194">
        <f t="shared" ref="EX7:EX70" si="21">ES7-EW7</f>
        <v>0</v>
      </c>
    </row>
    <row r="8" spans="1:154" ht="51" x14ac:dyDescent="0.25">
      <c r="B8" s="43"/>
      <c r="C8" s="41"/>
      <c r="D8" s="193" t="str">
        <f>'Incremental_Cost Year 1'!D11</f>
        <v>01110 Planifikimi, Menaxhimi dhe Administrimi/ 07450 Shërbime të Shëndetit Publik</v>
      </c>
      <c r="E8" s="193" t="str">
        <f>'Incremental_Cost Year 1'!E11</f>
        <v xml:space="preserve">I.1.1. Zhvillimi dhe fuqizimi i politikave dhe planeve të veprimit për alkoolin, duhanin, obezitetin dhe përdorimin e paligjshëm të drogës    </v>
      </c>
      <c r="F8" s="96">
        <f>'Incremental_Cost Year 1'!F11</f>
        <v>2022</v>
      </c>
      <c r="G8" s="96">
        <f>'Incremental_Cost Year 1'!G11</f>
        <v>2024</v>
      </c>
      <c r="H8" s="52">
        <f>'Incremental_Cost Year 1'!AQ11</f>
        <v>0</v>
      </c>
      <c r="I8" s="92">
        <f>'Incremental_Cost Year 1'!AR11</f>
        <v>0</v>
      </c>
      <c r="J8" s="92">
        <f>'Incremental_Cost Year 1'!AS11</f>
        <v>0</v>
      </c>
      <c r="K8" s="92">
        <f>'Incremental_Cost Year 1'!AT11</f>
        <v>0</v>
      </c>
      <c r="L8" s="92">
        <f>'Incremental_Cost Year 1'!AU11</f>
        <v>0</v>
      </c>
      <c r="M8" s="92">
        <f>'Incremental_Cost Year 1'!AV11</f>
        <v>0</v>
      </c>
      <c r="N8" s="92">
        <f>'Incremental_Cost Year 1'!AW11</f>
        <v>0</v>
      </c>
      <c r="O8" s="92">
        <f>'Incremental_Cost Year 1'!AX11</f>
        <v>0</v>
      </c>
      <c r="P8" s="92">
        <f>'Incremental_Cost Year 1'!AY11</f>
        <v>0</v>
      </c>
      <c r="Q8" s="92">
        <f>'Incremental_Cost Year 1'!AZ11</f>
        <v>0</v>
      </c>
      <c r="R8" s="92">
        <f>'Incremental_Cost Year 1'!BA11</f>
        <v>0</v>
      </c>
      <c r="S8" s="92">
        <f>'Incremental_Cost Year 1'!BB11</f>
        <v>0</v>
      </c>
      <c r="U8" s="92">
        <f>'Incremental_Cost Year 2'!AQ11</f>
        <v>4146351</v>
      </c>
      <c r="V8" s="190">
        <f>'Incremental_Cost Year 2'!AR11</f>
        <v>2822400</v>
      </c>
      <c r="W8" s="190">
        <f>'Incremental_Cost Year 2'!AS11</f>
        <v>0</v>
      </c>
      <c r="X8" s="190">
        <f>'Incremental_Cost Year 2'!AT11</f>
        <v>6968751</v>
      </c>
      <c r="Y8" s="190">
        <f>'Incremental_Cost Year 2'!AU11</f>
        <v>4146351</v>
      </c>
      <c r="Z8" s="190">
        <f>'Incremental_Cost Year 2'!AV11</f>
        <v>0</v>
      </c>
      <c r="AA8" s="190">
        <f>'Incremental_Cost Year 2'!AW11</f>
        <v>0</v>
      </c>
      <c r="AB8" s="190">
        <f>'Incremental_Cost Year 2'!AX11</f>
        <v>0</v>
      </c>
      <c r="AC8" s="190">
        <f>'Incremental_Cost Year 2'!AY11</f>
        <v>0</v>
      </c>
      <c r="AD8" s="190">
        <f>'Incremental_Cost Year 2'!AZ11</f>
        <v>0</v>
      </c>
      <c r="AE8" s="190">
        <f>'Incremental_Cost Year 2'!BA11</f>
        <v>0</v>
      </c>
      <c r="AF8" s="190">
        <f>'Incremental_Cost Year 2'!BB11</f>
        <v>-2822400</v>
      </c>
      <c r="AH8" s="92">
        <f>'Incremental_Cost Year 3'!AQ11</f>
        <v>3203998.5</v>
      </c>
      <c r="AI8" s="190">
        <f>'Incremental_Cost Year 3'!AR11</f>
        <v>2796000</v>
      </c>
      <c r="AJ8" s="190">
        <f>'Incremental_Cost Year 3'!AS11</f>
        <v>0</v>
      </c>
      <c r="AK8" s="190">
        <f>'Incremental_Cost Year 3'!AT11</f>
        <v>5999998.5</v>
      </c>
      <c r="AL8" s="190">
        <f>'Incremental_Cost Year 3'!AU11</f>
        <v>3203998.5</v>
      </c>
      <c r="AM8" s="190">
        <f>'Incremental_Cost Year 3'!AV11</f>
        <v>0</v>
      </c>
      <c r="AN8" s="190">
        <f>'Incremental_Cost Year 3'!AW11</f>
        <v>0</v>
      </c>
      <c r="AO8" s="190">
        <f>'Incremental_Cost Year 3'!AX11</f>
        <v>0</v>
      </c>
      <c r="AP8" s="190">
        <f>'Incremental_Cost Year 3'!AY11</f>
        <v>0</v>
      </c>
      <c r="AQ8" s="190">
        <f>'Incremental_Cost Year 3'!AZ11</f>
        <v>0</v>
      </c>
      <c r="AR8" s="190">
        <f>'Incremental_Cost Year 3'!BA11</f>
        <v>0</v>
      </c>
      <c r="AS8" s="190">
        <f>'Incremental_Cost Year 3'!BB11</f>
        <v>-2796000</v>
      </c>
      <c r="AU8" s="92">
        <f>'Incremental_Cost Year 4'!AQ11</f>
        <v>2827057.5</v>
      </c>
      <c r="AV8" s="190">
        <f>'Incremental_Cost Year 4'!AR11</f>
        <v>3457200</v>
      </c>
      <c r="AW8" s="190">
        <f>'Incremental_Cost Year 4'!AS11</f>
        <v>0</v>
      </c>
      <c r="AX8" s="190">
        <f>'Incremental_Cost Year 4'!AT11</f>
        <v>6284257.5</v>
      </c>
      <c r="AY8" s="190">
        <f>'Incremental_Cost Year 4'!AU11</f>
        <v>2827057.5</v>
      </c>
      <c r="AZ8" s="190">
        <f>'Incremental_Cost Year 4'!AV11</f>
        <v>0</v>
      </c>
      <c r="BA8" s="190">
        <f>'Incremental_Cost Year 4'!AW11</f>
        <v>0</v>
      </c>
      <c r="BB8" s="190">
        <f>'Incremental_Cost Year 4'!AX11</f>
        <v>0</v>
      </c>
      <c r="BC8" s="190">
        <f>'Incremental_Cost Year 4'!AY11</f>
        <v>0</v>
      </c>
      <c r="BD8" s="190">
        <f>'Incremental_Cost Year 4'!AZ11</f>
        <v>0</v>
      </c>
      <c r="BE8" s="190">
        <f>'Incremental_Cost Year 4'!BA11</f>
        <v>0</v>
      </c>
      <c r="BF8" s="190">
        <f>'Incremental_Cost Year 4'!BB11</f>
        <v>-3457200</v>
      </c>
      <c r="BH8" s="92">
        <f>'Incremental_Cost Year 5'!AQ11</f>
        <v>0</v>
      </c>
      <c r="BI8" s="92">
        <f>'Incremental_Cost Year 5'!AR11</f>
        <v>0</v>
      </c>
      <c r="BJ8" s="92">
        <f>'Incremental_Cost Year 5'!AS11</f>
        <v>0</v>
      </c>
      <c r="BK8" s="92">
        <f>'Incremental_Cost Year 5'!AT11</f>
        <v>0</v>
      </c>
      <c r="BL8" s="92">
        <f>'Incremental_Cost Year 5'!AU11</f>
        <v>0</v>
      </c>
      <c r="BM8" s="92">
        <f>'Incremental_Cost Year 5'!AV11</f>
        <v>0</v>
      </c>
      <c r="BN8" s="92">
        <f>'Incremental_Cost Year 5'!AW11</f>
        <v>0</v>
      </c>
      <c r="BO8" s="92">
        <f>'Incremental_Cost Year 5'!AX11</f>
        <v>0</v>
      </c>
      <c r="BP8" s="92">
        <f>'Incremental_Cost Year 5'!AY11</f>
        <v>0</v>
      </c>
      <c r="BQ8" s="92">
        <f>'Incremental_Cost Year 5'!AZ11</f>
        <v>0</v>
      </c>
      <c r="BR8" s="92">
        <f>'Incremental_Cost Year 5'!BA11</f>
        <v>0</v>
      </c>
      <c r="BS8" s="92">
        <f>'Incremental_Cost Year 5'!BB11</f>
        <v>0</v>
      </c>
      <c r="BU8" s="92">
        <f>'Incremental_Cost Year 6'!AQ11</f>
        <v>0</v>
      </c>
      <c r="BV8" s="92">
        <f>'Incremental_Cost Year 6'!AR11</f>
        <v>0</v>
      </c>
      <c r="BW8" s="92">
        <f>'Incremental_Cost Year 6'!AS11</f>
        <v>0</v>
      </c>
      <c r="BX8" s="92">
        <f>'Incremental_Cost Year 6'!AT11</f>
        <v>0</v>
      </c>
      <c r="BY8" s="92">
        <f>'Incremental_Cost Year 6'!AU11</f>
        <v>0</v>
      </c>
      <c r="BZ8" s="92">
        <f>'Incremental_Cost Year 6'!AV11</f>
        <v>0</v>
      </c>
      <c r="CA8" s="92">
        <f>'Incremental_Cost Year 6'!AW11</f>
        <v>0</v>
      </c>
      <c r="CB8" s="92">
        <f>'Incremental_Cost Year 6'!AX11</f>
        <v>0</v>
      </c>
      <c r="CC8" s="92">
        <f>'Incremental_Cost Year 6'!AY11</f>
        <v>0</v>
      </c>
      <c r="CD8" s="92">
        <f>'Incremental_Cost Year 6'!AZ11</f>
        <v>0</v>
      </c>
      <c r="CE8" s="92">
        <f>'Incremental_Cost Year 6'!BA11</f>
        <v>0</v>
      </c>
      <c r="CF8" s="92">
        <f>'Incremental_Cost Year 6'!BB11</f>
        <v>0</v>
      </c>
      <c r="CH8" s="92">
        <f>'Incremental_Cost Year 7'!AQ11</f>
        <v>0</v>
      </c>
      <c r="CI8" s="92">
        <f>'Incremental_Cost Year 7'!AR11</f>
        <v>0</v>
      </c>
      <c r="CJ8" s="92">
        <f>'Incremental_Cost Year 7'!AS11</f>
        <v>0</v>
      </c>
      <c r="CK8" s="92">
        <f>'Incremental_Cost Year 7'!AT11</f>
        <v>0</v>
      </c>
      <c r="CL8" s="92">
        <f>'Incremental_Cost Year 7'!AU11</f>
        <v>0</v>
      </c>
      <c r="CM8" s="92">
        <f>'Incremental_Cost Year 7'!AV11</f>
        <v>0</v>
      </c>
      <c r="CN8" s="92">
        <f>'Incremental_Cost Year 7'!AW11</f>
        <v>0</v>
      </c>
      <c r="CO8" s="92">
        <f>'Incremental_Cost Year 7'!AX11</f>
        <v>0</v>
      </c>
      <c r="CP8" s="92">
        <f>'Incremental_Cost Year 7'!AY11</f>
        <v>0</v>
      </c>
      <c r="CQ8" s="92">
        <f>'Incremental_Cost Year 7'!AZ11</f>
        <v>0</v>
      </c>
      <c r="CR8" s="92">
        <f>'Incremental_Cost Year 7'!BA11</f>
        <v>0</v>
      </c>
      <c r="CS8" s="92">
        <f>'Incremental_Cost Year 7'!BB11</f>
        <v>0</v>
      </c>
      <c r="CU8" s="92">
        <f>'Incremental_Cost Year 8'!AQ11</f>
        <v>0</v>
      </c>
      <c r="CV8" s="92">
        <f>'Incremental_Cost Year 8'!AR11</f>
        <v>0</v>
      </c>
      <c r="CW8" s="92">
        <f>'Incremental_Cost Year 8'!AS11</f>
        <v>0</v>
      </c>
      <c r="CX8" s="92">
        <f>'Incremental_Cost Year 8'!AT11</f>
        <v>0</v>
      </c>
      <c r="CY8" s="92">
        <f>'Incremental_Cost Year 8'!AU11</f>
        <v>0</v>
      </c>
      <c r="CZ8" s="92">
        <f>'Incremental_Cost Year 8'!AV11</f>
        <v>0</v>
      </c>
      <c r="DA8" s="92">
        <f>'Incremental_Cost Year 8'!AW11</f>
        <v>0</v>
      </c>
      <c r="DB8" s="92">
        <f>'Incremental_Cost Year 8'!AX11</f>
        <v>0</v>
      </c>
      <c r="DC8" s="92">
        <f>'Incremental_Cost Year 8'!AY11</f>
        <v>0</v>
      </c>
      <c r="DD8" s="92">
        <f>'Incremental_Cost Year 8'!AZ11</f>
        <v>0</v>
      </c>
      <c r="DE8" s="92">
        <f>'Incremental_Cost Year 8'!BA11</f>
        <v>0</v>
      </c>
      <c r="DF8" s="92">
        <f>'Incremental_Cost Year 8'!BB11</f>
        <v>0</v>
      </c>
      <c r="DH8" s="92">
        <f>'Incremental_Cost Year 9'!AQ11</f>
        <v>0</v>
      </c>
      <c r="DI8" s="92">
        <f>'Incremental_Cost Year 9'!AR11</f>
        <v>0</v>
      </c>
      <c r="DJ8" s="92">
        <f>'Incremental_Cost Year 9'!AS11</f>
        <v>0</v>
      </c>
      <c r="DK8" s="92">
        <f>'Incremental_Cost Year 9'!AT11</f>
        <v>0</v>
      </c>
      <c r="DL8" s="92">
        <f>'Incremental_Cost Year 9'!AU11</f>
        <v>0</v>
      </c>
      <c r="DM8" s="92">
        <f>'Incremental_Cost Year 9'!AV11</f>
        <v>0</v>
      </c>
      <c r="DN8" s="92">
        <f>'Incremental_Cost Year 9'!AW11</f>
        <v>0</v>
      </c>
      <c r="DO8" s="92">
        <f>'Incremental_Cost Year 9'!AX11</f>
        <v>0</v>
      </c>
      <c r="DP8" s="92">
        <f>'Incremental_Cost Year 9'!AY11</f>
        <v>0</v>
      </c>
      <c r="DQ8" s="92">
        <f>'Incremental_Cost Year 9'!AZ11</f>
        <v>0</v>
      </c>
      <c r="DR8" s="92">
        <f>'Incremental_Cost Year 9'!BA11</f>
        <v>0</v>
      </c>
      <c r="DS8" s="92">
        <f>'Incremental_Cost Year 9'!BB11</f>
        <v>0</v>
      </c>
      <c r="DU8" s="92">
        <f>'Incremental_Cost Year 10'!AQ11</f>
        <v>0</v>
      </c>
      <c r="DV8" s="92">
        <f>'Incremental_Cost Year 10'!AR11</f>
        <v>0</v>
      </c>
      <c r="DW8" s="92">
        <f>'Incremental_Cost Year 10'!AS11</f>
        <v>0</v>
      </c>
      <c r="DX8" s="92">
        <f>'Incremental_Cost Year 10'!AT11</f>
        <v>0</v>
      </c>
      <c r="DY8" s="92">
        <f>'Incremental_Cost Year 10'!AU11</f>
        <v>0</v>
      </c>
      <c r="DZ8" s="92">
        <f>'Incremental_Cost Year 10'!AV11</f>
        <v>0</v>
      </c>
      <c r="EA8" s="92">
        <f>'Incremental_Cost Year 10'!AW11</f>
        <v>0</v>
      </c>
      <c r="EB8" s="92">
        <f>'Incremental_Cost Year 10'!AX11</f>
        <v>0</v>
      </c>
      <c r="EC8" s="92">
        <f>'Incremental_Cost Year 10'!AY11</f>
        <v>0</v>
      </c>
      <c r="ED8" s="92">
        <f>'Incremental_Cost Year 10'!AZ11</f>
        <v>0</v>
      </c>
      <c r="EE8" s="92">
        <f>'Incremental_Cost Year 10'!BA11</f>
        <v>0</v>
      </c>
      <c r="EF8" s="92">
        <f>'Incremental_Cost Year 10'!BB11</f>
        <v>0</v>
      </c>
      <c r="EH8" s="52">
        <f>H8+U8+AH8+AU8+BH8+BU8+CH8+CU8+DH8+DU8</f>
        <v>10177407</v>
      </c>
      <c r="EI8" s="52">
        <f t="shared" ref="EI8:ES9" si="22">I8+V8+AI8+AV8+BI8+BV8+CI8+CV8+DI8+DV8</f>
        <v>9075600</v>
      </c>
      <c r="EJ8" s="52">
        <f t="shared" si="22"/>
        <v>0</v>
      </c>
      <c r="EK8" s="52">
        <f t="shared" si="22"/>
        <v>19253007</v>
      </c>
      <c r="EL8" s="52">
        <f t="shared" si="22"/>
        <v>10177407</v>
      </c>
      <c r="EM8" s="52">
        <f t="shared" si="22"/>
        <v>0</v>
      </c>
      <c r="EN8" s="52">
        <f t="shared" si="22"/>
        <v>0</v>
      </c>
      <c r="EO8" s="52">
        <f t="shared" si="22"/>
        <v>0</v>
      </c>
      <c r="EP8" s="52">
        <f t="shared" si="22"/>
        <v>0</v>
      </c>
      <c r="EQ8" s="52">
        <f t="shared" si="22"/>
        <v>0</v>
      </c>
      <c r="ER8" s="52">
        <f t="shared" si="22"/>
        <v>0</v>
      </c>
      <c r="ES8" s="52">
        <f>S8+AF8+AS8+BF8+BS8+CF8+CS8+DF8+DS8+EF8</f>
        <v>-9075600</v>
      </c>
      <c r="EU8" s="194">
        <f>EM8+EN8+EO8+EP8+EQ8+ER8</f>
        <v>0</v>
      </c>
      <c r="EW8" s="194">
        <f>SUM(EL8:ER8)-EK8</f>
        <v>-9075600</v>
      </c>
      <c r="EX8" s="194">
        <f t="shared" si="21"/>
        <v>0</v>
      </c>
    </row>
    <row r="9" spans="1:154" ht="51" x14ac:dyDescent="0.25">
      <c r="B9" s="43"/>
      <c r="C9" s="41"/>
      <c r="D9" s="193" t="str">
        <f>'Incremental_Cost Year 1'!D15</f>
        <v xml:space="preserve"> 07450 Shërbime të Shëndetit Publik/01110 Planifikimi, Menaxhimi dhe Administrimi</v>
      </c>
      <c r="E9" s="193" t="str">
        <f>'Incremental_Cost Year 1'!E15</f>
        <v>1.1.2. Fuqizimi i promovimit të një stili jetese të shëndetshme</v>
      </c>
      <c r="F9" s="96">
        <f>'Incremental_Cost Year 1'!F15</f>
        <v>2021</v>
      </c>
      <c r="G9" s="96">
        <f>'Incremental_Cost Year 1'!G15</f>
        <v>2030</v>
      </c>
      <c r="H9" s="52">
        <f>'Incremental_Cost Year 1'!AQ15</f>
        <v>471176.25</v>
      </c>
      <c r="I9" s="92">
        <f>'Incremental_Cost Year 1'!AR15</f>
        <v>1150000</v>
      </c>
      <c r="J9" s="92">
        <f>'Incremental_Cost Year 1'!AS15</f>
        <v>0</v>
      </c>
      <c r="K9" s="92">
        <f>'Incremental_Cost Year 1'!AT15</f>
        <v>1621176.25</v>
      </c>
      <c r="L9" s="92">
        <f>'Incremental_Cost Year 1'!AU15</f>
        <v>471176.25</v>
      </c>
      <c r="M9" s="92">
        <f>'Incremental_Cost Year 1'!AV15</f>
        <v>0</v>
      </c>
      <c r="N9" s="92">
        <f>'Incremental_Cost Year 1'!AW15</f>
        <v>0</v>
      </c>
      <c r="O9" s="92">
        <f>'Incremental_Cost Year 1'!AX15</f>
        <v>1150000</v>
      </c>
      <c r="P9" s="92">
        <f>'Incremental_Cost Year 1'!AY15</f>
        <v>0</v>
      </c>
      <c r="Q9" s="92">
        <f>'Incremental_Cost Year 1'!AZ15</f>
        <v>0</v>
      </c>
      <c r="R9" s="92">
        <f>'Incremental_Cost Year 1'!BA15</f>
        <v>0</v>
      </c>
      <c r="S9" s="92">
        <f>'Incremental_Cost Year 1'!BB15</f>
        <v>0</v>
      </c>
      <c r="U9" s="92">
        <f>'Incremental_Cost Year 2'!AQ15</f>
        <v>1352786.4</v>
      </c>
      <c r="V9" s="92">
        <f>'Incremental_Cost Year 2'!AR15</f>
        <v>1540800</v>
      </c>
      <c r="W9" s="92">
        <f>'Incremental_Cost Year 2'!AS15</f>
        <v>0</v>
      </c>
      <c r="X9" s="92">
        <f>'Incremental_Cost Year 2'!AT15</f>
        <v>2893586.4</v>
      </c>
      <c r="Y9" s="92">
        <f>'Incremental_Cost Year 2'!AU15</f>
        <v>1352786.4</v>
      </c>
      <c r="Z9" s="92">
        <f>'Incremental_Cost Year 2'!AV15</f>
        <v>0</v>
      </c>
      <c r="AA9" s="92">
        <f>'Incremental_Cost Year 2'!AW15</f>
        <v>0</v>
      </c>
      <c r="AB9" s="92">
        <f>'Incremental_Cost Year 2'!AX15</f>
        <v>540000</v>
      </c>
      <c r="AC9" s="92">
        <f>'Incremental_Cost Year 2'!AY15</f>
        <v>0</v>
      </c>
      <c r="AD9" s="92">
        <f>'Incremental_Cost Year 2'!AZ15</f>
        <v>0</v>
      </c>
      <c r="AE9" s="92">
        <f>'Incremental_Cost Year 2'!BA15</f>
        <v>0</v>
      </c>
      <c r="AF9" s="92">
        <f>'Incremental_Cost Year 2'!BB15</f>
        <v>-1000799.9999999999</v>
      </c>
      <c r="AH9" s="92">
        <f>'Incremental_Cost Year 3'!AQ15</f>
        <v>2061155.4</v>
      </c>
      <c r="AI9" s="92">
        <f>'Incremental_Cost Year 3'!AR15</f>
        <v>2822400</v>
      </c>
      <c r="AJ9" s="92">
        <f>'Incremental_Cost Year 3'!AS15</f>
        <v>0</v>
      </c>
      <c r="AK9" s="92">
        <f>'Incremental_Cost Year 3'!AT15</f>
        <v>4883555.4000000004</v>
      </c>
      <c r="AL9" s="92">
        <f>'Incremental_Cost Year 3'!AU15</f>
        <v>2061155.4</v>
      </c>
      <c r="AM9" s="92">
        <f>'Incremental_Cost Year 3'!AV15</f>
        <v>0</v>
      </c>
      <c r="AN9" s="92">
        <f>'Incremental_Cost Year 3'!AW15</f>
        <v>0</v>
      </c>
      <c r="AO9" s="92">
        <f>'Incremental_Cost Year 3'!AX15</f>
        <v>0</v>
      </c>
      <c r="AP9" s="92">
        <f>'Incremental_Cost Year 3'!AY15</f>
        <v>0</v>
      </c>
      <c r="AQ9" s="92">
        <f>'Incremental_Cost Year 3'!AZ15</f>
        <v>0</v>
      </c>
      <c r="AR9" s="92">
        <f>'Incremental_Cost Year 3'!BA15</f>
        <v>0</v>
      </c>
      <c r="AS9" s="92">
        <f>'Incremental_Cost Year 3'!BB15</f>
        <v>-2822400</v>
      </c>
      <c r="AU9" s="92">
        <f>'Incremental_Cost Year 4'!AQ15</f>
        <v>2061155.4</v>
      </c>
      <c r="AV9" s="92">
        <f>'Incremental_Cost Year 4'!AR15</f>
        <v>2822400</v>
      </c>
      <c r="AW9" s="92">
        <f>'Incremental_Cost Year 4'!AS15</f>
        <v>0</v>
      </c>
      <c r="AX9" s="92">
        <f>'Incremental_Cost Year 4'!AT15</f>
        <v>4883555.4000000004</v>
      </c>
      <c r="AY9" s="92">
        <f>'Incremental_Cost Year 4'!AU15</f>
        <v>2061155.4</v>
      </c>
      <c r="AZ9" s="92">
        <f>'Incremental_Cost Year 4'!AV15</f>
        <v>0</v>
      </c>
      <c r="BA9" s="92">
        <f>'Incremental_Cost Year 4'!AW15</f>
        <v>0</v>
      </c>
      <c r="BB9" s="92">
        <f>'Incremental_Cost Year 4'!AX15</f>
        <v>0</v>
      </c>
      <c r="BC9" s="92">
        <f>'Incremental_Cost Year 4'!AY15</f>
        <v>0</v>
      </c>
      <c r="BD9" s="92">
        <f>'Incremental_Cost Year 4'!AZ15</f>
        <v>0</v>
      </c>
      <c r="BE9" s="92">
        <f>'Incremental_Cost Year 4'!BA15</f>
        <v>0</v>
      </c>
      <c r="BF9" s="92">
        <f>'Incremental_Cost Year 4'!BB15</f>
        <v>-2822400</v>
      </c>
      <c r="BH9" s="92">
        <f>'Incremental_Cost Year 5'!AQ15</f>
        <v>2061155.4</v>
      </c>
      <c r="BI9" s="92">
        <f>'Incremental_Cost Year 5'!AR15</f>
        <v>3122400</v>
      </c>
      <c r="BJ9" s="92">
        <f>'Incremental_Cost Year 5'!AS15</f>
        <v>0</v>
      </c>
      <c r="BK9" s="92">
        <f>'Incremental_Cost Year 5'!AT15</f>
        <v>5183555.4000000004</v>
      </c>
      <c r="BL9" s="92">
        <f>'Incremental_Cost Year 5'!AU15</f>
        <v>2061155.4</v>
      </c>
      <c r="BM9" s="92">
        <f>'Incremental_Cost Year 5'!AV15</f>
        <v>0</v>
      </c>
      <c r="BN9" s="92">
        <f>'Incremental_Cost Year 5'!AW15</f>
        <v>0</v>
      </c>
      <c r="BO9" s="92">
        <f>'Incremental_Cost Year 5'!AX15</f>
        <v>0</v>
      </c>
      <c r="BP9" s="92">
        <f>'Incremental_Cost Year 5'!AY15</f>
        <v>0</v>
      </c>
      <c r="BQ9" s="92">
        <f>'Incremental_Cost Year 5'!AZ15</f>
        <v>0</v>
      </c>
      <c r="BR9" s="92">
        <f>'Incremental_Cost Year 5'!BA15</f>
        <v>0</v>
      </c>
      <c r="BS9" s="92">
        <f>'Incremental_Cost Year 5'!BB15</f>
        <v>-3122400</v>
      </c>
      <c r="BU9" s="92">
        <f>'Incremental_Cost Year 6'!AQ15</f>
        <v>176450.4</v>
      </c>
      <c r="BV9" s="92">
        <f>'Incremental_Cost Year 6'!AR15</f>
        <v>988800</v>
      </c>
      <c r="BW9" s="92">
        <f>'Incremental_Cost Year 6'!AS15</f>
        <v>0</v>
      </c>
      <c r="BX9" s="92">
        <f>'Incremental_Cost Year 6'!AT15</f>
        <v>1165250.3999999999</v>
      </c>
      <c r="BY9" s="92">
        <f>'Incremental_Cost Year 6'!AU15</f>
        <v>176450.4</v>
      </c>
      <c r="BZ9" s="92">
        <f>'Incremental_Cost Year 6'!AV15</f>
        <v>0</v>
      </c>
      <c r="CA9" s="92">
        <f>'Incremental_Cost Year 6'!AW15</f>
        <v>0</v>
      </c>
      <c r="CB9" s="92">
        <f>'Incremental_Cost Year 6'!AX15</f>
        <v>0</v>
      </c>
      <c r="CC9" s="92">
        <f>'Incremental_Cost Year 6'!AY15</f>
        <v>0</v>
      </c>
      <c r="CD9" s="92">
        <f>'Incremental_Cost Year 6'!AZ15</f>
        <v>0</v>
      </c>
      <c r="CE9" s="92">
        <f>'Incremental_Cost Year 6'!BA15</f>
        <v>0</v>
      </c>
      <c r="CF9" s="92">
        <f>'Incremental_Cost Year 6'!BB15</f>
        <v>-988799.99999999988</v>
      </c>
      <c r="CH9" s="92">
        <f>'Incremental_Cost Year 7'!AQ15</f>
        <v>176450.4</v>
      </c>
      <c r="CI9" s="92">
        <f>'Incremental_Cost Year 7'!AR15</f>
        <v>988800</v>
      </c>
      <c r="CJ9" s="92">
        <f>'Incremental_Cost Year 7'!AS15</f>
        <v>0</v>
      </c>
      <c r="CK9" s="92">
        <f>'Incremental_Cost Year 7'!AT15</f>
        <v>1165250.3999999999</v>
      </c>
      <c r="CL9" s="92">
        <f>'Incremental_Cost Year 7'!AU15</f>
        <v>176450.4</v>
      </c>
      <c r="CM9" s="92">
        <f>'Incremental_Cost Year 7'!AV15</f>
        <v>0</v>
      </c>
      <c r="CN9" s="92">
        <f>'Incremental_Cost Year 7'!AW15</f>
        <v>0</v>
      </c>
      <c r="CO9" s="92">
        <f>'Incremental_Cost Year 7'!AX15</f>
        <v>0</v>
      </c>
      <c r="CP9" s="92">
        <f>'Incremental_Cost Year 7'!AY15</f>
        <v>0</v>
      </c>
      <c r="CQ9" s="92">
        <f>'Incremental_Cost Year 7'!AZ15</f>
        <v>0</v>
      </c>
      <c r="CR9" s="92">
        <f>'Incremental_Cost Year 7'!BA15</f>
        <v>0</v>
      </c>
      <c r="CS9" s="92">
        <f>'Incremental_Cost Year 7'!BB15</f>
        <v>-988799.99999999988</v>
      </c>
      <c r="CU9" s="92">
        <f>'Incremental_Cost Year 8'!AQ15</f>
        <v>176450.4</v>
      </c>
      <c r="CV9" s="92">
        <f>'Incremental_Cost Year 8'!AR15</f>
        <v>988800</v>
      </c>
      <c r="CW9" s="92">
        <f>'Incremental_Cost Year 8'!AS15</f>
        <v>0</v>
      </c>
      <c r="CX9" s="92">
        <f>'Incremental_Cost Year 8'!AT15</f>
        <v>1165250.3999999999</v>
      </c>
      <c r="CY9" s="92">
        <f>'Incremental_Cost Year 8'!AU15</f>
        <v>176450.4</v>
      </c>
      <c r="CZ9" s="92">
        <f>'Incremental_Cost Year 8'!AV15</f>
        <v>0</v>
      </c>
      <c r="DA9" s="92">
        <f>'Incremental_Cost Year 8'!AW15</f>
        <v>0</v>
      </c>
      <c r="DB9" s="92">
        <f>'Incremental_Cost Year 8'!AX15</f>
        <v>0</v>
      </c>
      <c r="DC9" s="92">
        <f>'Incremental_Cost Year 8'!AY15</f>
        <v>0</v>
      </c>
      <c r="DD9" s="92">
        <f>'Incremental_Cost Year 8'!AZ15</f>
        <v>0</v>
      </c>
      <c r="DE9" s="92">
        <f>'Incremental_Cost Year 8'!BA15</f>
        <v>0</v>
      </c>
      <c r="DF9" s="92">
        <f>'Incremental_Cost Year 8'!BB15</f>
        <v>-988799.99999999988</v>
      </c>
      <c r="DH9" s="92">
        <f>'Incremental_Cost Year 9'!AQ15</f>
        <v>176450.4</v>
      </c>
      <c r="DI9" s="92">
        <f>'Incremental_Cost Year 9'!AR15</f>
        <v>988800</v>
      </c>
      <c r="DJ9" s="92">
        <f>'Incremental_Cost Year 9'!AS15</f>
        <v>0</v>
      </c>
      <c r="DK9" s="92">
        <f>'Incremental_Cost Year 9'!AT15</f>
        <v>1165250.3999999999</v>
      </c>
      <c r="DL9" s="92">
        <f>'Incremental_Cost Year 9'!AU15</f>
        <v>176450.4</v>
      </c>
      <c r="DM9" s="92">
        <f>'Incremental_Cost Year 9'!AV15</f>
        <v>0</v>
      </c>
      <c r="DN9" s="92">
        <f>'Incremental_Cost Year 9'!AW15</f>
        <v>0</v>
      </c>
      <c r="DO9" s="92">
        <f>'Incremental_Cost Year 9'!AX15</f>
        <v>0</v>
      </c>
      <c r="DP9" s="92">
        <f>'Incremental_Cost Year 9'!AY15</f>
        <v>0</v>
      </c>
      <c r="DQ9" s="92">
        <f>'Incremental_Cost Year 9'!AZ15</f>
        <v>0</v>
      </c>
      <c r="DR9" s="92">
        <f>'Incremental_Cost Year 9'!BA15</f>
        <v>0</v>
      </c>
      <c r="DS9" s="92">
        <f>'Incremental_Cost Year 9'!BB15</f>
        <v>-988799.99999999988</v>
      </c>
      <c r="DU9" s="92">
        <f>'Incremental_Cost Year 10'!AQ15</f>
        <v>176450.4</v>
      </c>
      <c r="DV9" s="92">
        <f>'Incremental_Cost Year 10'!AR15</f>
        <v>988800</v>
      </c>
      <c r="DW9" s="92">
        <f>'Incremental_Cost Year 10'!AS15</f>
        <v>0</v>
      </c>
      <c r="DX9" s="92">
        <f>'Incremental_Cost Year 10'!AT15</f>
        <v>1165250.3999999999</v>
      </c>
      <c r="DY9" s="92">
        <f>'Incremental_Cost Year 10'!AU15</f>
        <v>176450.4</v>
      </c>
      <c r="DZ9" s="92">
        <f>'Incremental_Cost Year 10'!AV15</f>
        <v>0</v>
      </c>
      <c r="EA9" s="92">
        <f>'Incremental_Cost Year 10'!AW15</f>
        <v>0</v>
      </c>
      <c r="EB9" s="92">
        <f>'Incremental_Cost Year 10'!AX15</f>
        <v>0</v>
      </c>
      <c r="EC9" s="92">
        <f>'Incremental_Cost Year 10'!AY15</f>
        <v>0</v>
      </c>
      <c r="ED9" s="92">
        <f>'Incremental_Cost Year 10'!AZ15</f>
        <v>0</v>
      </c>
      <c r="EE9" s="92">
        <f>'Incremental_Cost Year 10'!BA15</f>
        <v>0</v>
      </c>
      <c r="EF9" s="92">
        <f>'Incremental_Cost Year 10'!BB15</f>
        <v>-988799.99999999988</v>
      </c>
      <c r="EH9" s="52">
        <f>H9+U9+AH9+AU9+BH9+BU9+CH9+CU9+DH9+DU9</f>
        <v>8889680.8500000015</v>
      </c>
      <c r="EI9" s="52">
        <f t="shared" si="22"/>
        <v>16402000</v>
      </c>
      <c r="EJ9" s="52">
        <f t="shared" si="22"/>
        <v>0</v>
      </c>
      <c r="EK9" s="52">
        <f t="shared" si="22"/>
        <v>25291680.849999994</v>
      </c>
      <c r="EL9" s="52">
        <f t="shared" si="22"/>
        <v>8889680.8500000015</v>
      </c>
      <c r="EM9" s="52">
        <f t="shared" si="22"/>
        <v>0</v>
      </c>
      <c r="EN9" s="52">
        <f t="shared" si="22"/>
        <v>0</v>
      </c>
      <c r="EO9" s="52">
        <f t="shared" si="22"/>
        <v>1690000</v>
      </c>
      <c r="EP9" s="52">
        <f t="shared" si="22"/>
        <v>0</v>
      </c>
      <c r="EQ9" s="52">
        <f t="shared" si="22"/>
        <v>0</v>
      </c>
      <c r="ER9" s="52">
        <f t="shared" si="22"/>
        <v>0</v>
      </c>
      <c r="ES9" s="52">
        <f t="shared" si="22"/>
        <v>-14712000</v>
      </c>
      <c r="EU9" s="194">
        <f t="shared" ref="EU9:EU72" si="23">EM9+EN9+EO9+EP9+EQ9+ER9</f>
        <v>1690000</v>
      </c>
      <c r="EW9" s="194">
        <f t="shared" ref="EW9:EW72" si="24">SUM(EL9:ER9)-EK9</f>
        <v>-14711999.999999993</v>
      </c>
      <c r="EX9" s="194">
        <f t="shared" si="21"/>
        <v>0</v>
      </c>
    </row>
    <row r="10" spans="1:154" s="77" customFormat="1" ht="38.25" customHeight="1" x14ac:dyDescent="0.25">
      <c r="A10" s="83"/>
      <c r="B10" s="89"/>
      <c r="C10" s="426" t="str">
        <f>'Incremental_Cost Year 1'!C16:E16</f>
        <v>1.2 Objektivi specifik: Promovimi i shëndetsisë së gjelbër (Green Health) mundësimi dhe kontributi në “Qytetar me Jetë të Shëndetshme” nëpërmjet planifikimit urban, mjedisit e shëndetshëm dhe prodhimit të ushqimit të shëndetshëm</v>
      </c>
      <c r="D10" s="426"/>
      <c r="E10" s="427"/>
      <c r="F10" s="98"/>
      <c r="G10" s="98"/>
      <c r="H10" s="94">
        <f>SUM(H11)</f>
        <v>0</v>
      </c>
      <c r="I10" s="94">
        <f t="shared" ref="I10:S10" si="25">SUM(I11)</f>
        <v>0</v>
      </c>
      <c r="J10" s="94">
        <f t="shared" si="25"/>
        <v>0</v>
      </c>
      <c r="K10" s="94">
        <f t="shared" si="25"/>
        <v>0</v>
      </c>
      <c r="L10" s="94">
        <f t="shared" si="25"/>
        <v>0</v>
      </c>
      <c r="M10" s="94">
        <f t="shared" si="25"/>
        <v>0</v>
      </c>
      <c r="N10" s="94">
        <f t="shared" si="25"/>
        <v>0</v>
      </c>
      <c r="O10" s="94">
        <f t="shared" si="25"/>
        <v>0</v>
      </c>
      <c r="P10" s="94">
        <f t="shared" si="25"/>
        <v>0</v>
      </c>
      <c r="Q10" s="94">
        <f t="shared" si="25"/>
        <v>0</v>
      </c>
      <c r="R10" s="94">
        <f t="shared" si="25"/>
        <v>0</v>
      </c>
      <c r="S10" s="94">
        <f t="shared" si="25"/>
        <v>0</v>
      </c>
      <c r="T10" s="70"/>
      <c r="U10" s="94">
        <f>SUM(U11)</f>
        <v>0</v>
      </c>
      <c r="V10" s="94">
        <f t="shared" ref="V10:AF10" si="26">SUM(V11)</f>
        <v>0</v>
      </c>
      <c r="W10" s="94">
        <f t="shared" si="26"/>
        <v>0</v>
      </c>
      <c r="X10" s="94">
        <f t="shared" si="26"/>
        <v>0</v>
      </c>
      <c r="Y10" s="94">
        <f t="shared" si="26"/>
        <v>0</v>
      </c>
      <c r="Z10" s="94">
        <f t="shared" si="26"/>
        <v>0</v>
      </c>
      <c r="AA10" s="94">
        <f t="shared" si="26"/>
        <v>0</v>
      </c>
      <c r="AB10" s="94">
        <f t="shared" si="26"/>
        <v>0</v>
      </c>
      <c r="AC10" s="94">
        <f t="shared" si="26"/>
        <v>0</v>
      </c>
      <c r="AD10" s="94">
        <f t="shared" si="26"/>
        <v>0</v>
      </c>
      <c r="AE10" s="94">
        <f t="shared" si="26"/>
        <v>0</v>
      </c>
      <c r="AF10" s="94">
        <f t="shared" si="26"/>
        <v>0</v>
      </c>
      <c r="AG10" s="70"/>
      <c r="AH10" s="94">
        <f>SUM(AH11)</f>
        <v>0</v>
      </c>
      <c r="AI10" s="94">
        <f t="shared" ref="AI10:AS10" si="27">SUM(AI11)</f>
        <v>0</v>
      </c>
      <c r="AJ10" s="94">
        <f t="shared" si="27"/>
        <v>0</v>
      </c>
      <c r="AK10" s="94">
        <f t="shared" si="27"/>
        <v>0</v>
      </c>
      <c r="AL10" s="94">
        <f t="shared" si="27"/>
        <v>0</v>
      </c>
      <c r="AM10" s="94">
        <f t="shared" si="27"/>
        <v>0</v>
      </c>
      <c r="AN10" s="94">
        <f t="shared" si="27"/>
        <v>0</v>
      </c>
      <c r="AO10" s="94">
        <f t="shared" si="27"/>
        <v>0</v>
      </c>
      <c r="AP10" s="94">
        <f t="shared" si="27"/>
        <v>0</v>
      </c>
      <c r="AQ10" s="94">
        <f t="shared" si="27"/>
        <v>0</v>
      </c>
      <c r="AR10" s="94">
        <f t="shared" si="27"/>
        <v>0</v>
      </c>
      <c r="AS10" s="94">
        <f t="shared" si="27"/>
        <v>0</v>
      </c>
      <c r="AT10" s="70"/>
      <c r="AU10" s="94">
        <f>SUM(AU11)</f>
        <v>3769410</v>
      </c>
      <c r="AV10" s="94">
        <f t="shared" ref="AV10:BF10" si="28">SUM(AV11)</f>
        <v>1833600</v>
      </c>
      <c r="AW10" s="94">
        <f t="shared" si="28"/>
        <v>0</v>
      </c>
      <c r="AX10" s="94">
        <f t="shared" si="28"/>
        <v>5603010</v>
      </c>
      <c r="AY10" s="94">
        <f t="shared" si="28"/>
        <v>0</v>
      </c>
      <c r="AZ10" s="94">
        <f t="shared" si="28"/>
        <v>0</v>
      </c>
      <c r="BA10" s="94">
        <f t="shared" si="28"/>
        <v>0</v>
      </c>
      <c r="BB10" s="94">
        <f t="shared" si="28"/>
        <v>0</v>
      </c>
      <c r="BC10" s="94">
        <f t="shared" si="28"/>
        <v>0</v>
      </c>
      <c r="BD10" s="94">
        <f t="shared" si="28"/>
        <v>0</v>
      </c>
      <c r="BE10" s="94">
        <f t="shared" si="28"/>
        <v>0</v>
      </c>
      <c r="BF10" s="94">
        <f t="shared" si="28"/>
        <v>-5603010</v>
      </c>
      <c r="BG10" s="70"/>
      <c r="BH10" s="94">
        <f>SUM(BH11)</f>
        <v>7538820</v>
      </c>
      <c r="BI10" s="94">
        <f t="shared" ref="BI10:BS10" si="29">SUM(BI11)</f>
        <v>3019200</v>
      </c>
      <c r="BJ10" s="94">
        <f t="shared" si="29"/>
        <v>0</v>
      </c>
      <c r="BK10" s="94">
        <f t="shared" si="29"/>
        <v>10558020</v>
      </c>
      <c r="BL10" s="94">
        <f t="shared" si="29"/>
        <v>3769410</v>
      </c>
      <c r="BM10" s="94">
        <f t="shared" si="29"/>
        <v>0</v>
      </c>
      <c r="BN10" s="94">
        <f t="shared" si="29"/>
        <v>0</v>
      </c>
      <c r="BO10" s="94">
        <f t="shared" si="29"/>
        <v>0</v>
      </c>
      <c r="BP10" s="94">
        <f t="shared" si="29"/>
        <v>0</v>
      </c>
      <c r="BQ10" s="94">
        <f t="shared" si="29"/>
        <v>0</v>
      </c>
      <c r="BR10" s="94">
        <f t="shared" si="29"/>
        <v>0</v>
      </c>
      <c r="BS10" s="94">
        <f t="shared" si="29"/>
        <v>-6788610</v>
      </c>
      <c r="BT10" s="70"/>
      <c r="BU10" s="94">
        <f>SUM(BU11)</f>
        <v>3769410</v>
      </c>
      <c r="BV10" s="94">
        <f t="shared" ref="BV10:CF10" si="30">SUM(BV11)</f>
        <v>1377600</v>
      </c>
      <c r="BW10" s="94">
        <f t="shared" si="30"/>
        <v>0</v>
      </c>
      <c r="BX10" s="94">
        <f t="shared" si="30"/>
        <v>5147010</v>
      </c>
      <c r="BY10" s="94">
        <f t="shared" si="30"/>
        <v>3769410</v>
      </c>
      <c r="BZ10" s="94">
        <f t="shared" si="30"/>
        <v>0</v>
      </c>
      <c r="CA10" s="94">
        <f t="shared" si="30"/>
        <v>0</v>
      </c>
      <c r="CB10" s="94">
        <f t="shared" si="30"/>
        <v>0</v>
      </c>
      <c r="CC10" s="94">
        <f t="shared" si="30"/>
        <v>0</v>
      </c>
      <c r="CD10" s="94">
        <f t="shared" si="30"/>
        <v>0</v>
      </c>
      <c r="CE10" s="94">
        <f t="shared" si="30"/>
        <v>0</v>
      </c>
      <c r="CF10" s="94">
        <f t="shared" si="30"/>
        <v>-1377600</v>
      </c>
      <c r="CG10" s="70"/>
      <c r="CH10" s="94">
        <f>SUM(CH11)</f>
        <v>3769410</v>
      </c>
      <c r="CI10" s="94">
        <f t="shared" ref="CI10:CS10" si="31">SUM(CI11)</f>
        <v>1629600</v>
      </c>
      <c r="CJ10" s="94">
        <f t="shared" si="31"/>
        <v>0</v>
      </c>
      <c r="CK10" s="94">
        <f t="shared" si="31"/>
        <v>5399010</v>
      </c>
      <c r="CL10" s="94">
        <f t="shared" si="31"/>
        <v>3769410</v>
      </c>
      <c r="CM10" s="94">
        <f t="shared" si="31"/>
        <v>0</v>
      </c>
      <c r="CN10" s="94">
        <f t="shared" si="31"/>
        <v>0</v>
      </c>
      <c r="CO10" s="94">
        <f t="shared" si="31"/>
        <v>0</v>
      </c>
      <c r="CP10" s="94">
        <f t="shared" si="31"/>
        <v>0</v>
      </c>
      <c r="CQ10" s="94">
        <f t="shared" si="31"/>
        <v>0</v>
      </c>
      <c r="CR10" s="94">
        <f t="shared" si="31"/>
        <v>0</v>
      </c>
      <c r="CS10" s="94">
        <f t="shared" si="31"/>
        <v>-1629600</v>
      </c>
      <c r="CT10" s="70"/>
      <c r="CU10" s="94">
        <f>SUM(CU11)</f>
        <v>0</v>
      </c>
      <c r="CV10" s="94">
        <f t="shared" ref="CV10:DF10" si="32">SUM(CV11)</f>
        <v>0</v>
      </c>
      <c r="CW10" s="94">
        <f t="shared" si="32"/>
        <v>0</v>
      </c>
      <c r="CX10" s="94">
        <f t="shared" si="32"/>
        <v>0</v>
      </c>
      <c r="CY10" s="94">
        <f t="shared" si="32"/>
        <v>0</v>
      </c>
      <c r="CZ10" s="94">
        <f t="shared" si="32"/>
        <v>0</v>
      </c>
      <c r="DA10" s="94">
        <f t="shared" si="32"/>
        <v>0</v>
      </c>
      <c r="DB10" s="94">
        <f t="shared" si="32"/>
        <v>0</v>
      </c>
      <c r="DC10" s="94">
        <f t="shared" si="32"/>
        <v>0</v>
      </c>
      <c r="DD10" s="94">
        <f t="shared" si="32"/>
        <v>0</v>
      </c>
      <c r="DE10" s="94">
        <f t="shared" si="32"/>
        <v>0</v>
      </c>
      <c r="DF10" s="94">
        <f t="shared" si="32"/>
        <v>0</v>
      </c>
      <c r="DG10" s="70"/>
      <c r="DH10" s="94">
        <f>SUM(DH11)</f>
        <v>0</v>
      </c>
      <c r="DI10" s="94">
        <f t="shared" ref="DI10:DS10" si="33">SUM(DI11)</f>
        <v>0</v>
      </c>
      <c r="DJ10" s="94">
        <f t="shared" si="33"/>
        <v>0</v>
      </c>
      <c r="DK10" s="94">
        <f t="shared" si="33"/>
        <v>0</v>
      </c>
      <c r="DL10" s="94">
        <f t="shared" si="33"/>
        <v>0</v>
      </c>
      <c r="DM10" s="94">
        <f t="shared" si="33"/>
        <v>0</v>
      </c>
      <c r="DN10" s="94">
        <f t="shared" si="33"/>
        <v>0</v>
      </c>
      <c r="DO10" s="94">
        <f t="shared" si="33"/>
        <v>0</v>
      </c>
      <c r="DP10" s="94">
        <f t="shared" si="33"/>
        <v>0</v>
      </c>
      <c r="DQ10" s="94">
        <f t="shared" si="33"/>
        <v>0</v>
      </c>
      <c r="DR10" s="94">
        <f t="shared" si="33"/>
        <v>0</v>
      </c>
      <c r="DS10" s="94">
        <f t="shared" si="33"/>
        <v>0</v>
      </c>
      <c r="DT10" s="70"/>
      <c r="DU10" s="94">
        <f>SUM(DU11)</f>
        <v>0</v>
      </c>
      <c r="DV10" s="94">
        <f t="shared" ref="DV10:EF10" si="34">SUM(DV11)</f>
        <v>0</v>
      </c>
      <c r="DW10" s="94">
        <f t="shared" si="34"/>
        <v>0</v>
      </c>
      <c r="DX10" s="94">
        <f t="shared" si="34"/>
        <v>0</v>
      </c>
      <c r="DY10" s="94">
        <f t="shared" si="34"/>
        <v>0</v>
      </c>
      <c r="DZ10" s="94">
        <f t="shared" si="34"/>
        <v>0</v>
      </c>
      <c r="EA10" s="94">
        <f t="shared" si="34"/>
        <v>0</v>
      </c>
      <c r="EB10" s="94">
        <f t="shared" si="34"/>
        <v>0</v>
      </c>
      <c r="EC10" s="94">
        <f t="shared" si="34"/>
        <v>0</v>
      </c>
      <c r="ED10" s="94">
        <f t="shared" si="34"/>
        <v>0</v>
      </c>
      <c r="EE10" s="94">
        <f t="shared" si="34"/>
        <v>0</v>
      </c>
      <c r="EF10" s="94">
        <f t="shared" si="34"/>
        <v>0</v>
      </c>
      <c r="EG10" s="70"/>
      <c r="EH10" s="94">
        <f t="shared" ref="EH10:ES10" si="35">SUM(EH11)</f>
        <v>18847050</v>
      </c>
      <c r="EI10" s="94">
        <f t="shared" si="35"/>
        <v>7860000</v>
      </c>
      <c r="EJ10" s="94">
        <f t="shared" si="35"/>
        <v>0</v>
      </c>
      <c r="EK10" s="94">
        <f t="shared" si="35"/>
        <v>26707050</v>
      </c>
      <c r="EL10" s="94">
        <f t="shared" si="35"/>
        <v>11308230</v>
      </c>
      <c r="EM10" s="94">
        <f t="shared" si="35"/>
        <v>0</v>
      </c>
      <c r="EN10" s="94">
        <f t="shared" si="35"/>
        <v>0</v>
      </c>
      <c r="EO10" s="94">
        <f t="shared" si="35"/>
        <v>0</v>
      </c>
      <c r="EP10" s="94">
        <f t="shared" si="35"/>
        <v>0</v>
      </c>
      <c r="EQ10" s="94">
        <f t="shared" si="35"/>
        <v>0</v>
      </c>
      <c r="ER10" s="94">
        <f t="shared" si="35"/>
        <v>0</v>
      </c>
      <c r="ES10" s="94">
        <f t="shared" si="35"/>
        <v>-15398820</v>
      </c>
      <c r="EU10" s="194">
        <f t="shared" si="23"/>
        <v>0</v>
      </c>
      <c r="EW10" s="194">
        <f t="shared" si="24"/>
        <v>-15398820</v>
      </c>
      <c r="EX10" s="194">
        <f t="shared" si="21"/>
        <v>0</v>
      </c>
    </row>
    <row r="11" spans="1:154" s="77" customFormat="1" ht="38.25" x14ac:dyDescent="0.25">
      <c r="A11" s="82"/>
      <c r="B11" s="88"/>
      <c r="C11" s="86"/>
      <c r="D11" s="193" t="str">
        <f>'Incremental_Cost Year 1'!D19</f>
        <v>01110 Planifikimi, Menaxhimi dhe Administrimi</v>
      </c>
      <c r="E11" s="193" t="str">
        <f>'Incremental_Cost Year 1'!E19</f>
        <v>1.2.1. Rishikimi dhe përditësimi I parimeve të situatës së shëndetësisë së gjelbër dhe  planifikimit urban për një jetë më të shëndetshme të qytetarëve</v>
      </c>
      <c r="F11" s="96">
        <f>'Incremental_Cost Year 1'!F19</f>
        <v>2024</v>
      </c>
      <c r="G11" s="96">
        <f>'Incremental_Cost Year 1'!G19</f>
        <v>2027</v>
      </c>
      <c r="H11" s="92">
        <f>'Incremental_Cost Year 1'!AQ19</f>
        <v>0</v>
      </c>
      <c r="I11" s="92">
        <f>'Incremental_Cost Year 1'!AR19</f>
        <v>0</v>
      </c>
      <c r="J11" s="92">
        <f>'Incremental_Cost Year 1'!AS19</f>
        <v>0</v>
      </c>
      <c r="K11" s="92">
        <f>'Incremental_Cost Year 1'!AT19</f>
        <v>0</v>
      </c>
      <c r="L11" s="92">
        <f>'Incremental_Cost Year 1'!AU19</f>
        <v>0</v>
      </c>
      <c r="M11" s="92">
        <f>'Incremental_Cost Year 1'!AV19</f>
        <v>0</v>
      </c>
      <c r="N11" s="92">
        <f>'Incremental_Cost Year 1'!AW19</f>
        <v>0</v>
      </c>
      <c r="O11" s="92">
        <f>'Incremental_Cost Year 1'!AX19</f>
        <v>0</v>
      </c>
      <c r="P11" s="92">
        <f>'Incremental_Cost Year 1'!AY19</f>
        <v>0</v>
      </c>
      <c r="Q11" s="92">
        <f>'Incremental_Cost Year 1'!AZ19</f>
        <v>0</v>
      </c>
      <c r="R11" s="92">
        <f>'Incremental_Cost Year 1'!BA19</f>
        <v>0</v>
      </c>
      <c r="S11" s="92">
        <f>'Incremental_Cost Year 1'!BB19</f>
        <v>0</v>
      </c>
      <c r="T11" s="70"/>
      <c r="U11" s="92">
        <f>'Incremental_Cost Year 2'!AQ19</f>
        <v>0</v>
      </c>
      <c r="V11" s="92">
        <f>'Incremental_Cost Year 2'!AR19</f>
        <v>0</v>
      </c>
      <c r="W11" s="92">
        <f>'Incremental_Cost Year 2'!AS19</f>
        <v>0</v>
      </c>
      <c r="X11" s="92">
        <f>'Incremental_Cost Year 2'!AT19</f>
        <v>0</v>
      </c>
      <c r="Y11" s="92">
        <f>'Incremental_Cost Year 2'!AU19</f>
        <v>0</v>
      </c>
      <c r="Z11" s="92">
        <f>'Incremental_Cost Year 2'!AV19</f>
        <v>0</v>
      </c>
      <c r="AA11" s="92">
        <f>'Incremental_Cost Year 2'!AW19</f>
        <v>0</v>
      </c>
      <c r="AB11" s="92">
        <f>'Incremental_Cost Year 2'!AX19</f>
        <v>0</v>
      </c>
      <c r="AC11" s="92">
        <f>'Incremental_Cost Year 2'!AY19</f>
        <v>0</v>
      </c>
      <c r="AD11" s="92">
        <f>'Incremental_Cost Year 2'!AZ19</f>
        <v>0</v>
      </c>
      <c r="AE11" s="92">
        <f>'Incremental_Cost Year 2'!BA19</f>
        <v>0</v>
      </c>
      <c r="AF11" s="92">
        <f>'Incremental_Cost Year 2'!BB19</f>
        <v>0</v>
      </c>
      <c r="AG11" s="70"/>
      <c r="AH11" s="92">
        <f>'Incremental_Cost Year 3'!AQ19</f>
        <v>0</v>
      </c>
      <c r="AI11" s="92">
        <f>'Incremental_Cost Year 3'!AR19</f>
        <v>0</v>
      </c>
      <c r="AJ11" s="92">
        <f>'Incremental_Cost Year 3'!AS19</f>
        <v>0</v>
      </c>
      <c r="AK11" s="92">
        <f>'Incremental_Cost Year 3'!AT19</f>
        <v>0</v>
      </c>
      <c r="AL11" s="92">
        <f>'Incremental_Cost Year 3'!AU19</f>
        <v>0</v>
      </c>
      <c r="AM11" s="92">
        <f>'Incremental_Cost Year 3'!AV19</f>
        <v>0</v>
      </c>
      <c r="AN11" s="92">
        <f>'Incremental_Cost Year 3'!AW19</f>
        <v>0</v>
      </c>
      <c r="AO11" s="92">
        <f>'Incremental_Cost Year 3'!AX19</f>
        <v>0</v>
      </c>
      <c r="AP11" s="92">
        <f>'Incremental_Cost Year 3'!AY19</f>
        <v>0</v>
      </c>
      <c r="AQ11" s="92">
        <f>'Incremental_Cost Year 3'!AZ19</f>
        <v>0</v>
      </c>
      <c r="AR11" s="92">
        <f>'Incremental_Cost Year 3'!BA19</f>
        <v>0</v>
      </c>
      <c r="AS11" s="92">
        <f>'Incremental_Cost Year 3'!BB19</f>
        <v>0</v>
      </c>
      <c r="AT11" s="70"/>
      <c r="AU11" s="92">
        <f>'Incremental_Cost Year 4'!AQ19</f>
        <v>3769410</v>
      </c>
      <c r="AV11" s="92">
        <f>'Incremental_Cost Year 4'!AR19</f>
        <v>1833600</v>
      </c>
      <c r="AW11" s="92">
        <f>'Incremental_Cost Year 4'!AS19</f>
        <v>0</v>
      </c>
      <c r="AX11" s="92">
        <f>'Incremental_Cost Year 4'!AT19</f>
        <v>5603010</v>
      </c>
      <c r="AY11" s="92">
        <f>'Incremental_Cost Year 4'!AU19</f>
        <v>0</v>
      </c>
      <c r="AZ11" s="92">
        <f>'Incremental_Cost Year 4'!AV19</f>
        <v>0</v>
      </c>
      <c r="BA11" s="92">
        <f>'Incremental_Cost Year 4'!AW19</f>
        <v>0</v>
      </c>
      <c r="BB11" s="92">
        <f>'Incremental_Cost Year 4'!AX19</f>
        <v>0</v>
      </c>
      <c r="BC11" s="92">
        <f>'Incremental_Cost Year 4'!AY19</f>
        <v>0</v>
      </c>
      <c r="BD11" s="92">
        <f>'Incremental_Cost Year 4'!AZ19</f>
        <v>0</v>
      </c>
      <c r="BE11" s="92">
        <f>'Incremental_Cost Year 4'!BA19</f>
        <v>0</v>
      </c>
      <c r="BF11" s="92">
        <f>'Incremental_Cost Year 4'!BB19</f>
        <v>-5603010</v>
      </c>
      <c r="BG11" s="70"/>
      <c r="BH11" s="92">
        <f>'Incremental_Cost Year 5'!AQ19</f>
        <v>7538820</v>
      </c>
      <c r="BI11" s="92">
        <f>'Incremental_Cost Year 5'!AR19</f>
        <v>3019200</v>
      </c>
      <c r="BJ11" s="92">
        <f>'Incremental_Cost Year 5'!AS19</f>
        <v>0</v>
      </c>
      <c r="BK11" s="92">
        <f>'Incremental_Cost Year 5'!AT19</f>
        <v>10558020</v>
      </c>
      <c r="BL11" s="92">
        <f>'Incremental_Cost Year 5'!AU19</f>
        <v>3769410</v>
      </c>
      <c r="BM11" s="92">
        <f>'Incremental_Cost Year 5'!AV19</f>
        <v>0</v>
      </c>
      <c r="BN11" s="92">
        <f>'Incremental_Cost Year 5'!AW19</f>
        <v>0</v>
      </c>
      <c r="BO11" s="92">
        <f>'Incremental_Cost Year 5'!AX19</f>
        <v>0</v>
      </c>
      <c r="BP11" s="92">
        <f>'Incremental_Cost Year 5'!AY19</f>
        <v>0</v>
      </c>
      <c r="BQ11" s="92">
        <f>'Incremental_Cost Year 5'!AZ19</f>
        <v>0</v>
      </c>
      <c r="BR11" s="92">
        <f>'Incremental_Cost Year 5'!BA19</f>
        <v>0</v>
      </c>
      <c r="BS11" s="92">
        <f>'Incremental_Cost Year 5'!BB19</f>
        <v>-6788610</v>
      </c>
      <c r="BT11" s="70"/>
      <c r="BU11" s="92">
        <f>'Incremental_Cost Year 6'!AQ19</f>
        <v>3769410</v>
      </c>
      <c r="BV11" s="92">
        <f>'Incremental_Cost Year 6'!AR19</f>
        <v>1377600</v>
      </c>
      <c r="BW11" s="92">
        <f>'Incremental_Cost Year 6'!AS19</f>
        <v>0</v>
      </c>
      <c r="BX11" s="92">
        <f>'Incremental_Cost Year 6'!AT19</f>
        <v>5147010</v>
      </c>
      <c r="BY11" s="92">
        <f>'Incremental_Cost Year 6'!AU19</f>
        <v>3769410</v>
      </c>
      <c r="BZ11" s="92">
        <f>'Incremental_Cost Year 6'!AV19</f>
        <v>0</v>
      </c>
      <c r="CA11" s="92">
        <f>'Incremental_Cost Year 6'!AW19</f>
        <v>0</v>
      </c>
      <c r="CB11" s="92">
        <f>'Incremental_Cost Year 6'!AX19</f>
        <v>0</v>
      </c>
      <c r="CC11" s="92">
        <f>'Incremental_Cost Year 6'!AY19</f>
        <v>0</v>
      </c>
      <c r="CD11" s="92">
        <f>'Incremental_Cost Year 6'!AZ19</f>
        <v>0</v>
      </c>
      <c r="CE11" s="92">
        <f>'Incremental_Cost Year 6'!BA19</f>
        <v>0</v>
      </c>
      <c r="CF11" s="92">
        <f>'Incremental_Cost Year 6'!BB19</f>
        <v>-1377600</v>
      </c>
      <c r="CG11" s="70"/>
      <c r="CH11" s="92">
        <f>'Incremental_Cost Year 7'!AQ19</f>
        <v>3769410</v>
      </c>
      <c r="CI11" s="92">
        <f>'Incremental_Cost Year 7'!AR19</f>
        <v>1629600</v>
      </c>
      <c r="CJ11" s="92">
        <f>'Incremental_Cost Year 7'!AS19</f>
        <v>0</v>
      </c>
      <c r="CK11" s="92">
        <f>'Incremental_Cost Year 7'!AT19</f>
        <v>5399010</v>
      </c>
      <c r="CL11" s="92">
        <f>'Incremental_Cost Year 7'!AU19</f>
        <v>3769410</v>
      </c>
      <c r="CM11" s="92">
        <f>'Incremental_Cost Year 7'!AV19</f>
        <v>0</v>
      </c>
      <c r="CN11" s="92">
        <f>'Incremental_Cost Year 7'!AW19</f>
        <v>0</v>
      </c>
      <c r="CO11" s="92">
        <f>'Incremental_Cost Year 7'!AX19</f>
        <v>0</v>
      </c>
      <c r="CP11" s="92">
        <f>'Incremental_Cost Year 7'!AY19</f>
        <v>0</v>
      </c>
      <c r="CQ11" s="92">
        <f>'Incremental_Cost Year 7'!AZ19</f>
        <v>0</v>
      </c>
      <c r="CR11" s="92">
        <f>'Incremental_Cost Year 7'!BA19</f>
        <v>0</v>
      </c>
      <c r="CS11" s="92">
        <f>'Incremental_Cost Year 7'!BB19</f>
        <v>-1629600</v>
      </c>
      <c r="CT11" s="70"/>
      <c r="CU11" s="92">
        <f>'Incremental_Cost Year 8'!AQ19</f>
        <v>0</v>
      </c>
      <c r="CV11" s="92">
        <f>'Incremental_Cost Year 8'!AR19</f>
        <v>0</v>
      </c>
      <c r="CW11" s="92">
        <f>'Incremental_Cost Year 8'!AS19</f>
        <v>0</v>
      </c>
      <c r="CX11" s="92">
        <f>'Incremental_Cost Year 8'!AT19</f>
        <v>0</v>
      </c>
      <c r="CY11" s="92">
        <f>'Incremental_Cost Year 8'!AU19</f>
        <v>0</v>
      </c>
      <c r="CZ11" s="92">
        <f>'Incremental_Cost Year 8'!AV19</f>
        <v>0</v>
      </c>
      <c r="DA11" s="92">
        <f>'Incremental_Cost Year 8'!AW19</f>
        <v>0</v>
      </c>
      <c r="DB11" s="92">
        <f>'Incremental_Cost Year 8'!AX19</f>
        <v>0</v>
      </c>
      <c r="DC11" s="92">
        <f>'Incremental_Cost Year 8'!AY19</f>
        <v>0</v>
      </c>
      <c r="DD11" s="92">
        <f>'Incremental_Cost Year 8'!AZ19</f>
        <v>0</v>
      </c>
      <c r="DE11" s="92">
        <f>'Incremental_Cost Year 8'!BA19</f>
        <v>0</v>
      </c>
      <c r="DF11" s="92">
        <f>'Incremental_Cost Year 8'!BB19</f>
        <v>0</v>
      </c>
      <c r="DG11" s="70"/>
      <c r="DH11" s="92">
        <f>'Incremental_Cost Year 9'!AQ19</f>
        <v>0</v>
      </c>
      <c r="DI11" s="92">
        <f>'Incremental_Cost Year 9'!AR19</f>
        <v>0</v>
      </c>
      <c r="DJ11" s="92">
        <f>'Incremental_Cost Year 9'!AS19</f>
        <v>0</v>
      </c>
      <c r="DK11" s="92">
        <f>'Incremental_Cost Year 9'!AT19</f>
        <v>0</v>
      </c>
      <c r="DL11" s="92">
        <f>'Incremental_Cost Year 9'!AU19</f>
        <v>0</v>
      </c>
      <c r="DM11" s="92">
        <f>'Incremental_Cost Year 9'!AV19</f>
        <v>0</v>
      </c>
      <c r="DN11" s="92">
        <f>'Incremental_Cost Year 9'!AW19</f>
        <v>0</v>
      </c>
      <c r="DO11" s="92">
        <f>'Incremental_Cost Year 9'!AX19</f>
        <v>0</v>
      </c>
      <c r="DP11" s="92">
        <f>'Incremental_Cost Year 9'!AY19</f>
        <v>0</v>
      </c>
      <c r="DQ11" s="92">
        <f>'Incremental_Cost Year 9'!AZ19</f>
        <v>0</v>
      </c>
      <c r="DR11" s="92">
        <f>'Incremental_Cost Year 9'!BA19</f>
        <v>0</v>
      </c>
      <c r="DS11" s="92">
        <f>'Incremental_Cost Year 9'!BB19</f>
        <v>0</v>
      </c>
      <c r="DT11" s="70"/>
      <c r="DU11" s="92">
        <f>'Incremental_Cost Year 10'!AQ19</f>
        <v>0</v>
      </c>
      <c r="DV11" s="92">
        <f>'Incremental_Cost Year 10'!AR19</f>
        <v>0</v>
      </c>
      <c r="DW11" s="92">
        <f>'Incremental_Cost Year 10'!AS19</f>
        <v>0</v>
      </c>
      <c r="DX11" s="92">
        <f>'Incremental_Cost Year 10'!AT19</f>
        <v>0</v>
      </c>
      <c r="DY11" s="92">
        <f>'Incremental_Cost Year 10'!AU19</f>
        <v>0</v>
      </c>
      <c r="DZ11" s="92">
        <f>'Incremental_Cost Year 10'!AV19</f>
        <v>0</v>
      </c>
      <c r="EA11" s="92">
        <f>'Incremental_Cost Year 10'!AW19</f>
        <v>0</v>
      </c>
      <c r="EB11" s="92">
        <f>'Incremental_Cost Year 10'!AX19</f>
        <v>0</v>
      </c>
      <c r="EC11" s="92">
        <f>'Incremental_Cost Year 10'!AY19</f>
        <v>0</v>
      </c>
      <c r="ED11" s="92">
        <f>'Incremental_Cost Year 10'!AZ19</f>
        <v>0</v>
      </c>
      <c r="EE11" s="92">
        <f>'Incremental_Cost Year 10'!BA19</f>
        <v>0</v>
      </c>
      <c r="EF11" s="92">
        <f>'Incremental_Cost Year 10'!BB19</f>
        <v>0</v>
      </c>
      <c r="EG11" s="70"/>
      <c r="EH11" s="92">
        <f t="shared" ref="EH11:ES11" si="36">H11+U11+AH11+AU11+BH11+BU11+CH11+CU11+DH11+DU11</f>
        <v>18847050</v>
      </c>
      <c r="EI11" s="92">
        <f t="shared" si="36"/>
        <v>7860000</v>
      </c>
      <c r="EJ11" s="92">
        <f t="shared" si="36"/>
        <v>0</v>
      </c>
      <c r="EK11" s="92">
        <f t="shared" si="36"/>
        <v>26707050</v>
      </c>
      <c r="EL11" s="92">
        <f t="shared" si="36"/>
        <v>11308230</v>
      </c>
      <c r="EM11" s="92">
        <f t="shared" si="36"/>
        <v>0</v>
      </c>
      <c r="EN11" s="92">
        <f t="shared" si="36"/>
        <v>0</v>
      </c>
      <c r="EO11" s="92">
        <f t="shared" si="36"/>
        <v>0</v>
      </c>
      <c r="EP11" s="92">
        <f t="shared" si="36"/>
        <v>0</v>
      </c>
      <c r="EQ11" s="92">
        <f t="shared" si="36"/>
        <v>0</v>
      </c>
      <c r="ER11" s="92">
        <f t="shared" si="36"/>
        <v>0</v>
      </c>
      <c r="ES11" s="92">
        <f t="shared" si="36"/>
        <v>-15398820</v>
      </c>
      <c r="EU11" s="194">
        <f t="shared" si="23"/>
        <v>0</v>
      </c>
      <c r="EW11" s="194">
        <f t="shared" si="24"/>
        <v>-15398820</v>
      </c>
      <c r="EX11" s="194">
        <f t="shared" si="21"/>
        <v>0</v>
      </c>
    </row>
    <row r="12" spans="1:154" s="77" customFormat="1" ht="27.75" customHeight="1" x14ac:dyDescent="0.25">
      <c r="A12" s="83"/>
      <c r="B12" s="89"/>
      <c r="C12" s="426" t="str">
        <f>'Incremental_Cost Year 1'!C20:E20</f>
        <v>1.3 Objektivi specifik: Fuqizimi dhe zgjerimi i programeve të reja të vaksinimit-imunizimit dhe qëndrueshmëria e mbulesës vaksinale.</v>
      </c>
      <c r="D12" s="426"/>
      <c r="E12" s="427"/>
      <c r="F12" s="98"/>
      <c r="G12" s="98"/>
      <c r="H12" s="94">
        <f>SUM(H13:H16)</f>
        <v>85060296</v>
      </c>
      <c r="I12" s="94">
        <f t="shared" ref="I12:S12" si="37">SUM(I13:I16)</f>
        <v>187290600</v>
      </c>
      <c r="J12" s="94">
        <f t="shared" si="37"/>
        <v>0</v>
      </c>
      <c r="K12" s="94">
        <f t="shared" si="37"/>
        <v>272350896</v>
      </c>
      <c r="L12" s="94">
        <f t="shared" si="37"/>
        <v>272350896</v>
      </c>
      <c r="M12" s="94">
        <f t="shared" si="37"/>
        <v>0</v>
      </c>
      <c r="N12" s="94">
        <f t="shared" si="37"/>
        <v>0</v>
      </c>
      <c r="O12" s="94">
        <f t="shared" si="37"/>
        <v>0</v>
      </c>
      <c r="P12" s="94">
        <f t="shared" si="37"/>
        <v>0</v>
      </c>
      <c r="Q12" s="94">
        <f t="shared" si="37"/>
        <v>0</v>
      </c>
      <c r="R12" s="94">
        <f t="shared" si="37"/>
        <v>0</v>
      </c>
      <c r="S12" s="94">
        <f t="shared" si="37"/>
        <v>0</v>
      </c>
      <c r="T12" s="70"/>
      <c r="U12" s="94">
        <f>SUM(U13:U16)</f>
        <v>325957804.19999999</v>
      </c>
      <c r="V12" s="94">
        <f t="shared" ref="V12:AF12" si="38">SUM(V13:V16)</f>
        <v>4857177100</v>
      </c>
      <c r="W12" s="94">
        <f t="shared" si="38"/>
        <v>0</v>
      </c>
      <c r="X12" s="94">
        <f t="shared" si="38"/>
        <v>5183134904.1999998</v>
      </c>
      <c r="Y12" s="94">
        <f t="shared" si="38"/>
        <v>3428134904.1999998</v>
      </c>
      <c r="Z12" s="94">
        <f t="shared" si="38"/>
        <v>0</v>
      </c>
      <c r="AA12" s="94">
        <f t="shared" si="38"/>
        <v>0</v>
      </c>
      <c r="AB12" s="94">
        <f t="shared" si="38"/>
        <v>0</v>
      </c>
      <c r="AC12" s="94">
        <f t="shared" si="38"/>
        <v>0</v>
      </c>
      <c r="AD12" s="94">
        <f t="shared" si="38"/>
        <v>0</v>
      </c>
      <c r="AE12" s="94">
        <f t="shared" si="38"/>
        <v>0</v>
      </c>
      <c r="AF12" s="94">
        <f t="shared" si="38"/>
        <v>-1755000000</v>
      </c>
      <c r="AG12" s="70"/>
      <c r="AH12" s="94">
        <f>SUM(AH13:AH16)</f>
        <v>325957804.19999999</v>
      </c>
      <c r="AI12" s="94">
        <f t="shared" ref="AI12:AS12" si="39">SUM(AI13:AI16)</f>
        <v>5146955370</v>
      </c>
      <c r="AJ12" s="94">
        <f t="shared" si="39"/>
        <v>0</v>
      </c>
      <c r="AK12" s="94">
        <f t="shared" si="39"/>
        <v>5472913174.1999998</v>
      </c>
      <c r="AL12" s="94">
        <f t="shared" si="39"/>
        <v>5472913174.1999998</v>
      </c>
      <c r="AM12" s="94">
        <f t="shared" si="39"/>
        <v>0</v>
      </c>
      <c r="AN12" s="94">
        <f t="shared" si="39"/>
        <v>0</v>
      </c>
      <c r="AO12" s="94">
        <f t="shared" si="39"/>
        <v>0</v>
      </c>
      <c r="AP12" s="94">
        <f t="shared" si="39"/>
        <v>0</v>
      </c>
      <c r="AQ12" s="94">
        <f t="shared" si="39"/>
        <v>0</v>
      </c>
      <c r="AR12" s="94">
        <f t="shared" si="39"/>
        <v>0</v>
      </c>
      <c r="AS12" s="94">
        <f t="shared" si="39"/>
        <v>0</v>
      </c>
      <c r="AT12" s="70"/>
      <c r="AU12" s="94">
        <f>SUM(AU13:AU16)</f>
        <v>325957804.19999999</v>
      </c>
      <c r="AV12" s="94">
        <f t="shared" ref="AV12:BF12" si="40">SUM(AV13:AV16)</f>
        <v>885543402</v>
      </c>
      <c r="AW12" s="94">
        <f t="shared" si="40"/>
        <v>0</v>
      </c>
      <c r="AX12" s="94">
        <f t="shared" si="40"/>
        <v>1211501206.1999998</v>
      </c>
      <c r="AY12" s="94">
        <f t="shared" si="40"/>
        <v>1211501206.1999998</v>
      </c>
      <c r="AZ12" s="94">
        <f t="shared" si="40"/>
        <v>0</v>
      </c>
      <c r="BA12" s="94">
        <f t="shared" si="40"/>
        <v>0</v>
      </c>
      <c r="BB12" s="94">
        <f t="shared" si="40"/>
        <v>0</v>
      </c>
      <c r="BC12" s="94">
        <f t="shared" si="40"/>
        <v>0</v>
      </c>
      <c r="BD12" s="94">
        <f t="shared" si="40"/>
        <v>0</v>
      </c>
      <c r="BE12" s="94">
        <f t="shared" si="40"/>
        <v>0</v>
      </c>
      <c r="BF12" s="94">
        <f t="shared" si="40"/>
        <v>0</v>
      </c>
      <c r="BG12" s="70"/>
      <c r="BH12" s="94">
        <f>SUM(BH13:BH16)</f>
        <v>325957804.19999999</v>
      </c>
      <c r="BI12" s="94">
        <f t="shared" ref="BI12:BS12" si="41">SUM(BI13:BI16)</f>
        <v>913988192</v>
      </c>
      <c r="BJ12" s="94">
        <f t="shared" si="41"/>
        <v>3726000</v>
      </c>
      <c r="BK12" s="94">
        <f t="shared" si="41"/>
        <v>1243671996.1999998</v>
      </c>
      <c r="BL12" s="94">
        <f t="shared" si="41"/>
        <v>1243671996.1999998</v>
      </c>
      <c r="BM12" s="94">
        <f t="shared" si="41"/>
        <v>0</v>
      </c>
      <c r="BN12" s="94">
        <f t="shared" si="41"/>
        <v>0</v>
      </c>
      <c r="BO12" s="94">
        <f t="shared" si="41"/>
        <v>0</v>
      </c>
      <c r="BP12" s="94">
        <f t="shared" si="41"/>
        <v>0</v>
      </c>
      <c r="BQ12" s="94">
        <f t="shared" si="41"/>
        <v>0</v>
      </c>
      <c r="BR12" s="94">
        <f t="shared" si="41"/>
        <v>0</v>
      </c>
      <c r="BS12" s="94">
        <f t="shared" si="41"/>
        <v>0</v>
      </c>
      <c r="BT12" s="70"/>
      <c r="BU12" s="94">
        <f>SUM(BU13:BU16)</f>
        <v>325957804.19999999</v>
      </c>
      <c r="BV12" s="94">
        <f t="shared" ref="BV12:CF12" si="42">SUM(BV13:BV16)</f>
        <v>959516602</v>
      </c>
      <c r="BW12" s="94">
        <f t="shared" si="42"/>
        <v>0</v>
      </c>
      <c r="BX12" s="94">
        <f t="shared" si="42"/>
        <v>1285474406.1999998</v>
      </c>
      <c r="BY12" s="94">
        <f t="shared" si="42"/>
        <v>1285474406.1999998</v>
      </c>
      <c r="BZ12" s="94">
        <f t="shared" si="42"/>
        <v>0</v>
      </c>
      <c r="CA12" s="94">
        <f t="shared" si="42"/>
        <v>0</v>
      </c>
      <c r="CB12" s="94">
        <f t="shared" si="42"/>
        <v>0</v>
      </c>
      <c r="CC12" s="94">
        <f t="shared" si="42"/>
        <v>0</v>
      </c>
      <c r="CD12" s="94">
        <f t="shared" si="42"/>
        <v>0</v>
      </c>
      <c r="CE12" s="94">
        <f t="shared" si="42"/>
        <v>0</v>
      </c>
      <c r="CF12" s="94">
        <f t="shared" si="42"/>
        <v>0</v>
      </c>
      <c r="CG12" s="70"/>
      <c r="CH12" s="94">
        <f>SUM(CH13:CH16)</f>
        <v>325957804.19999999</v>
      </c>
      <c r="CI12" s="94">
        <f t="shared" ref="CI12:CS12" si="43">SUM(CI13:CI16)</f>
        <v>1007321433</v>
      </c>
      <c r="CJ12" s="94">
        <f t="shared" si="43"/>
        <v>0</v>
      </c>
      <c r="CK12" s="94">
        <f t="shared" si="43"/>
        <v>1333279237.1999998</v>
      </c>
      <c r="CL12" s="94">
        <f t="shared" si="43"/>
        <v>1333279237.1999998</v>
      </c>
      <c r="CM12" s="94">
        <f t="shared" si="43"/>
        <v>0</v>
      </c>
      <c r="CN12" s="94">
        <f t="shared" si="43"/>
        <v>0</v>
      </c>
      <c r="CO12" s="94">
        <f t="shared" si="43"/>
        <v>0</v>
      </c>
      <c r="CP12" s="94">
        <f t="shared" si="43"/>
        <v>0</v>
      </c>
      <c r="CQ12" s="94">
        <f t="shared" si="43"/>
        <v>0</v>
      </c>
      <c r="CR12" s="94">
        <f t="shared" si="43"/>
        <v>0</v>
      </c>
      <c r="CS12" s="94">
        <f t="shared" si="43"/>
        <v>0</v>
      </c>
      <c r="CT12" s="70"/>
      <c r="CU12" s="94">
        <f>SUM(CU13:CU16)</f>
        <v>325957804.19999999</v>
      </c>
      <c r="CV12" s="94">
        <f t="shared" ref="CV12:DF12" si="44">SUM(CV13:CV16)</f>
        <v>1057516503</v>
      </c>
      <c r="CW12" s="94">
        <f t="shared" si="44"/>
        <v>0</v>
      </c>
      <c r="CX12" s="94">
        <f t="shared" si="44"/>
        <v>1383474307.1999998</v>
      </c>
      <c r="CY12" s="94">
        <f t="shared" si="44"/>
        <v>1383474307.1999998</v>
      </c>
      <c r="CZ12" s="94">
        <f t="shared" si="44"/>
        <v>0</v>
      </c>
      <c r="DA12" s="94">
        <f t="shared" si="44"/>
        <v>0</v>
      </c>
      <c r="DB12" s="94">
        <f t="shared" si="44"/>
        <v>0</v>
      </c>
      <c r="DC12" s="94">
        <f t="shared" si="44"/>
        <v>0</v>
      </c>
      <c r="DD12" s="94">
        <f t="shared" si="44"/>
        <v>0</v>
      </c>
      <c r="DE12" s="94">
        <f t="shared" si="44"/>
        <v>0</v>
      </c>
      <c r="DF12" s="94">
        <f t="shared" si="44"/>
        <v>0</v>
      </c>
      <c r="DG12" s="70"/>
      <c r="DH12" s="94">
        <f>SUM(DH13:DH16)</f>
        <v>325957804.19999999</v>
      </c>
      <c r="DI12" s="94">
        <f t="shared" ref="DI12:DS12" si="45">SUM(DI13:DI16)</f>
        <v>1110221327</v>
      </c>
      <c r="DJ12" s="94">
        <f t="shared" si="45"/>
        <v>0</v>
      </c>
      <c r="DK12" s="94">
        <f t="shared" si="45"/>
        <v>1436179131.1999998</v>
      </c>
      <c r="DL12" s="94">
        <f t="shared" si="45"/>
        <v>1436179131.1999998</v>
      </c>
      <c r="DM12" s="94">
        <f t="shared" si="45"/>
        <v>0</v>
      </c>
      <c r="DN12" s="94">
        <f t="shared" si="45"/>
        <v>0</v>
      </c>
      <c r="DO12" s="94">
        <f t="shared" si="45"/>
        <v>0</v>
      </c>
      <c r="DP12" s="94">
        <f t="shared" si="45"/>
        <v>0</v>
      </c>
      <c r="DQ12" s="94">
        <f t="shared" si="45"/>
        <v>0</v>
      </c>
      <c r="DR12" s="94">
        <f t="shared" si="45"/>
        <v>0</v>
      </c>
      <c r="DS12" s="94">
        <f t="shared" si="45"/>
        <v>0</v>
      </c>
      <c r="DT12" s="70"/>
      <c r="DU12" s="94">
        <f>SUM(DU13:DU16)</f>
        <v>325957804.19999999</v>
      </c>
      <c r="DV12" s="94">
        <f t="shared" ref="DV12:EF12" si="46">SUM(DV13:DV16)</f>
        <v>1165561395</v>
      </c>
      <c r="DW12" s="94">
        <f t="shared" si="46"/>
        <v>0</v>
      </c>
      <c r="DX12" s="94">
        <f t="shared" si="46"/>
        <v>1491519199.1999998</v>
      </c>
      <c r="DY12" s="94">
        <f t="shared" si="46"/>
        <v>1491519199.1999998</v>
      </c>
      <c r="DZ12" s="94">
        <f t="shared" si="46"/>
        <v>0</v>
      </c>
      <c r="EA12" s="94">
        <f t="shared" si="46"/>
        <v>0</v>
      </c>
      <c r="EB12" s="94">
        <f t="shared" si="46"/>
        <v>0</v>
      </c>
      <c r="EC12" s="94">
        <f t="shared" si="46"/>
        <v>0</v>
      </c>
      <c r="ED12" s="94">
        <f t="shared" si="46"/>
        <v>0</v>
      </c>
      <c r="EE12" s="94">
        <f t="shared" si="46"/>
        <v>0</v>
      </c>
      <c r="EF12" s="94">
        <f t="shared" si="46"/>
        <v>0</v>
      </c>
      <c r="EG12" s="70"/>
      <c r="EH12" s="94">
        <f t="shared" ref="EH12:ES12" si="47">SUM(EH13:EH16)</f>
        <v>3018680533.8000002</v>
      </c>
      <c r="EI12" s="94">
        <f t="shared" si="47"/>
        <v>17291091924</v>
      </c>
      <c r="EJ12" s="94">
        <f t="shared" si="47"/>
        <v>3726000</v>
      </c>
      <c r="EK12" s="94">
        <f t="shared" si="47"/>
        <v>20313498457.800003</v>
      </c>
      <c r="EL12" s="94">
        <f t="shared" si="47"/>
        <v>18558498457.800003</v>
      </c>
      <c r="EM12" s="94">
        <f t="shared" si="47"/>
        <v>0</v>
      </c>
      <c r="EN12" s="94">
        <f t="shared" si="47"/>
        <v>0</v>
      </c>
      <c r="EO12" s="94">
        <f t="shared" si="47"/>
        <v>0</v>
      </c>
      <c r="EP12" s="94">
        <f t="shared" si="47"/>
        <v>0</v>
      </c>
      <c r="EQ12" s="94">
        <f t="shared" si="47"/>
        <v>0</v>
      </c>
      <c r="ER12" s="94">
        <f t="shared" si="47"/>
        <v>0</v>
      </c>
      <c r="ES12" s="94">
        <f t="shared" si="47"/>
        <v>-1755000000</v>
      </c>
      <c r="EU12" s="194">
        <f t="shared" si="23"/>
        <v>0</v>
      </c>
      <c r="EW12" s="194">
        <f t="shared" si="24"/>
        <v>-1755000000</v>
      </c>
      <c r="EX12" s="194">
        <f t="shared" si="21"/>
        <v>0</v>
      </c>
    </row>
    <row r="13" spans="1:154" s="77" customFormat="1" ht="51" x14ac:dyDescent="0.25">
      <c r="A13" s="82"/>
      <c r="B13" s="88"/>
      <c r="C13" s="86"/>
      <c r="D13" s="193" t="str">
        <f>'Incremental_Cost Year 1'!D25</f>
        <v>07450 Shërbime të Shëndetit Publik/ 07220 Shërbime të Kujdesit Shëndetësor Parësor</v>
      </c>
      <c r="E13" s="193" t="str">
        <f>'Incremental_Cost Year 1'!E25</f>
        <v>1.3.1  Qëndrueshmëria e mbulesës vaksinale te fëmijët 0-18 vjec</v>
      </c>
      <c r="F13" s="96">
        <f>'Incremental_Cost Year 1'!F25</f>
        <v>2021</v>
      </c>
      <c r="G13" s="96">
        <f>'Incremental_Cost Year 1'!G25</f>
        <v>2030</v>
      </c>
      <c r="H13" s="92">
        <f>'Incremental_Cost Year 1'!AQ25</f>
        <v>6499256.4000000004</v>
      </c>
      <c r="I13" s="92">
        <f>'Incremental_Cost Year 1'!AR25</f>
        <v>64530600</v>
      </c>
      <c r="J13" s="92">
        <f>'Incremental_Cost Year 1'!AS25</f>
        <v>0</v>
      </c>
      <c r="K13" s="92">
        <f>'Incremental_Cost Year 1'!AT25</f>
        <v>71029856.400000006</v>
      </c>
      <c r="L13" s="92">
        <f>'Incremental_Cost Year 1'!AU25</f>
        <v>71029856.400000006</v>
      </c>
      <c r="M13" s="92">
        <f>'Incremental_Cost Year 1'!AV25</f>
        <v>0</v>
      </c>
      <c r="N13" s="92">
        <f>'Incremental_Cost Year 1'!AW25</f>
        <v>0</v>
      </c>
      <c r="O13" s="92">
        <f>'Incremental_Cost Year 1'!AX25</f>
        <v>0</v>
      </c>
      <c r="P13" s="92">
        <f>'Incremental_Cost Year 1'!AY25</f>
        <v>0</v>
      </c>
      <c r="Q13" s="92">
        <f>'Incremental_Cost Year 1'!AZ25</f>
        <v>0</v>
      </c>
      <c r="R13" s="92">
        <f>'Incremental_Cost Year 1'!BA25</f>
        <v>0</v>
      </c>
      <c r="S13" s="92">
        <f>'Incremental_Cost Year 1'!BB25</f>
        <v>0</v>
      </c>
      <c r="T13" s="70"/>
      <c r="U13" s="92">
        <f>'Incremental_Cost Year 2'!AQ25</f>
        <v>49759012.799999997</v>
      </c>
      <c r="V13" s="92">
        <f>'Incremental_Cost Year 2'!AR25</f>
        <v>235977100</v>
      </c>
      <c r="W13" s="92">
        <f>'Incremental_Cost Year 2'!AS25</f>
        <v>0</v>
      </c>
      <c r="X13" s="92">
        <f>'Incremental_Cost Year 2'!AT25</f>
        <v>285736112.80000001</v>
      </c>
      <c r="Y13" s="92">
        <f>'Incremental_Cost Year 2'!AU25</f>
        <v>285736112.80000001</v>
      </c>
      <c r="Z13" s="92">
        <f>'Incremental_Cost Year 2'!AV25</f>
        <v>0</v>
      </c>
      <c r="AA13" s="92">
        <f>'Incremental_Cost Year 2'!AW25</f>
        <v>0</v>
      </c>
      <c r="AB13" s="92">
        <f>'Incremental_Cost Year 2'!AX25</f>
        <v>0</v>
      </c>
      <c r="AC13" s="92">
        <f>'Incremental_Cost Year 2'!AY25</f>
        <v>0</v>
      </c>
      <c r="AD13" s="92">
        <f>'Incremental_Cost Year 2'!AZ25</f>
        <v>0</v>
      </c>
      <c r="AE13" s="92">
        <f>'Incremental_Cost Year 2'!BA25</f>
        <v>0</v>
      </c>
      <c r="AF13" s="92">
        <f>'Incremental_Cost Year 2'!BB25</f>
        <v>0</v>
      </c>
      <c r="AG13" s="70"/>
      <c r="AH13" s="92">
        <f>'Incremental_Cost Year 3'!AQ25</f>
        <v>49759012.799999997</v>
      </c>
      <c r="AI13" s="92">
        <f>'Incremental_Cost Year 3'!AR25</f>
        <v>237164495</v>
      </c>
      <c r="AJ13" s="92">
        <f>'Incremental_Cost Year 3'!AS25</f>
        <v>0</v>
      </c>
      <c r="AK13" s="92">
        <f>'Incremental_Cost Year 3'!AT25</f>
        <v>286923507.80000001</v>
      </c>
      <c r="AL13" s="92">
        <f>'Incremental_Cost Year 3'!AU25</f>
        <v>286923507.80000001</v>
      </c>
      <c r="AM13" s="92">
        <f>'Incremental_Cost Year 3'!AV25</f>
        <v>0</v>
      </c>
      <c r="AN13" s="92">
        <f>'Incremental_Cost Year 3'!AW25</f>
        <v>0</v>
      </c>
      <c r="AO13" s="92">
        <f>'Incremental_Cost Year 3'!AX25</f>
        <v>0</v>
      </c>
      <c r="AP13" s="92">
        <f>'Incremental_Cost Year 3'!AY25</f>
        <v>0</v>
      </c>
      <c r="AQ13" s="92">
        <f>'Incremental_Cost Year 3'!AZ25</f>
        <v>0</v>
      </c>
      <c r="AR13" s="92">
        <f>'Incremental_Cost Year 3'!BA25</f>
        <v>0</v>
      </c>
      <c r="AS13" s="92">
        <f>'Incremental_Cost Year 3'!BB25</f>
        <v>0</v>
      </c>
      <c r="AT13" s="70"/>
      <c r="AU13" s="92">
        <f>'Incremental_Cost Year 4'!AQ25</f>
        <v>49759012.799999997</v>
      </c>
      <c r="AV13" s="92">
        <f>'Incremental_Cost Year 4'!AR25</f>
        <v>248912202</v>
      </c>
      <c r="AW13" s="92">
        <f>'Incremental_Cost Year 4'!AS25</f>
        <v>0</v>
      </c>
      <c r="AX13" s="92">
        <f>'Incremental_Cost Year 4'!AT25</f>
        <v>298671214.80000001</v>
      </c>
      <c r="AY13" s="92">
        <f>'Incremental_Cost Year 4'!AU25</f>
        <v>298671214.80000001</v>
      </c>
      <c r="AZ13" s="92">
        <f>'Incremental_Cost Year 4'!AV25</f>
        <v>0</v>
      </c>
      <c r="BA13" s="92">
        <f>'Incremental_Cost Year 4'!AW25</f>
        <v>0</v>
      </c>
      <c r="BB13" s="92">
        <f>'Incremental_Cost Year 4'!AX25</f>
        <v>0</v>
      </c>
      <c r="BC13" s="92">
        <f>'Incremental_Cost Year 4'!AY25</f>
        <v>0</v>
      </c>
      <c r="BD13" s="92">
        <f>'Incremental_Cost Year 4'!AZ25</f>
        <v>0</v>
      </c>
      <c r="BE13" s="92">
        <f>'Incremental_Cost Year 4'!BA25</f>
        <v>0</v>
      </c>
      <c r="BF13" s="92">
        <f>'Incremental_Cost Year 4'!BB25</f>
        <v>0</v>
      </c>
      <c r="BG13" s="70"/>
      <c r="BH13" s="92">
        <f>'Incremental_Cost Year 5'!AQ25</f>
        <v>49759012.799999997</v>
      </c>
      <c r="BI13" s="92">
        <f>'Incremental_Cost Year 5'!AR25</f>
        <v>261246812</v>
      </c>
      <c r="BJ13" s="92">
        <f>'Incremental_Cost Year 5'!AS25</f>
        <v>3726000</v>
      </c>
      <c r="BK13" s="92">
        <f>'Incremental_Cost Year 5'!AT25</f>
        <v>314731824.80000001</v>
      </c>
      <c r="BL13" s="92">
        <f>'Incremental_Cost Year 5'!AU25</f>
        <v>314731824.80000001</v>
      </c>
      <c r="BM13" s="92">
        <f>'Incremental_Cost Year 5'!AV25</f>
        <v>0</v>
      </c>
      <c r="BN13" s="92">
        <f>'Incremental_Cost Year 5'!AW25</f>
        <v>0</v>
      </c>
      <c r="BO13" s="92">
        <f>'Incremental_Cost Year 5'!AX25</f>
        <v>0</v>
      </c>
      <c r="BP13" s="92">
        <f>'Incremental_Cost Year 5'!AY25</f>
        <v>0</v>
      </c>
      <c r="BQ13" s="92">
        <f>'Incremental_Cost Year 5'!AZ25</f>
        <v>0</v>
      </c>
      <c r="BR13" s="92">
        <f>'Incremental_Cost Year 5'!BA25</f>
        <v>0</v>
      </c>
      <c r="BS13" s="92">
        <f>'Incremental_Cost Year 5'!BB25</f>
        <v>0</v>
      </c>
      <c r="BT13" s="70"/>
      <c r="BU13" s="92">
        <f>'Incremental_Cost Year 6'!AQ25</f>
        <v>49759012.799999997</v>
      </c>
      <c r="BV13" s="92">
        <f>'Incremental_Cost Year 6'!AR25</f>
        <v>274198153</v>
      </c>
      <c r="BW13" s="92">
        <f>'Incremental_Cost Year 6'!AS25</f>
        <v>0</v>
      </c>
      <c r="BX13" s="92">
        <f>'Incremental_Cost Year 6'!AT25</f>
        <v>323957165.80000001</v>
      </c>
      <c r="BY13" s="92">
        <f>'Incremental_Cost Year 6'!AU25</f>
        <v>323957165.80000001</v>
      </c>
      <c r="BZ13" s="92">
        <f>'Incremental_Cost Year 6'!AV25</f>
        <v>0</v>
      </c>
      <c r="CA13" s="92">
        <f>'Incremental_Cost Year 6'!AW25</f>
        <v>0</v>
      </c>
      <c r="CB13" s="92">
        <f>'Incremental_Cost Year 6'!AX25</f>
        <v>0</v>
      </c>
      <c r="CC13" s="92">
        <f>'Incremental_Cost Year 6'!AY25</f>
        <v>0</v>
      </c>
      <c r="CD13" s="92">
        <f>'Incremental_Cost Year 6'!AZ25</f>
        <v>0</v>
      </c>
      <c r="CE13" s="92">
        <f>'Incremental_Cost Year 6'!BA25</f>
        <v>0</v>
      </c>
      <c r="CF13" s="92">
        <f>'Incremental_Cost Year 6'!BB25</f>
        <v>0</v>
      </c>
      <c r="CG13" s="70"/>
      <c r="CH13" s="92">
        <f>'Incremental_Cost Year 7'!AQ25</f>
        <v>49759012.799999997</v>
      </c>
      <c r="CI13" s="92">
        <f>'Incremental_Cost Year 7'!AR25</f>
        <v>287797061</v>
      </c>
      <c r="CJ13" s="92">
        <f>'Incremental_Cost Year 7'!AS25</f>
        <v>0</v>
      </c>
      <c r="CK13" s="92">
        <f>'Incremental_Cost Year 7'!AT25</f>
        <v>337556073.80000001</v>
      </c>
      <c r="CL13" s="92">
        <f>'Incremental_Cost Year 7'!AU25</f>
        <v>337556073.80000001</v>
      </c>
      <c r="CM13" s="92">
        <f>'Incremental_Cost Year 7'!AV25</f>
        <v>0</v>
      </c>
      <c r="CN13" s="92">
        <f>'Incremental_Cost Year 7'!AW25</f>
        <v>0</v>
      </c>
      <c r="CO13" s="92">
        <f>'Incremental_Cost Year 7'!AX25</f>
        <v>0</v>
      </c>
      <c r="CP13" s="92">
        <f>'Incremental_Cost Year 7'!AY25</f>
        <v>0</v>
      </c>
      <c r="CQ13" s="92">
        <f>'Incremental_Cost Year 7'!AZ25</f>
        <v>0</v>
      </c>
      <c r="CR13" s="92">
        <f>'Incremental_Cost Year 7'!BA25</f>
        <v>0</v>
      </c>
      <c r="CS13" s="92">
        <f>'Incremental_Cost Year 7'!BB25</f>
        <v>0</v>
      </c>
      <c r="CT13" s="70"/>
      <c r="CU13" s="92">
        <f>'Incremental_Cost Year 8'!AQ25</f>
        <v>49759012.799999997</v>
      </c>
      <c r="CV13" s="92">
        <f>'Incremental_Cost Year 8'!AR25</f>
        <v>302075914</v>
      </c>
      <c r="CW13" s="92">
        <f>'Incremental_Cost Year 8'!AS25</f>
        <v>0</v>
      </c>
      <c r="CX13" s="92">
        <f>'Incremental_Cost Year 8'!AT25</f>
        <v>351834926.80000001</v>
      </c>
      <c r="CY13" s="92">
        <f>'Incremental_Cost Year 8'!AU25</f>
        <v>351834926.80000001</v>
      </c>
      <c r="CZ13" s="92">
        <f>'Incremental_Cost Year 8'!AV25</f>
        <v>0</v>
      </c>
      <c r="DA13" s="92">
        <f>'Incremental_Cost Year 8'!AW25</f>
        <v>0</v>
      </c>
      <c r="DB13" s="92">
        <f>'Incremental_Cost Year 8'!AX25</f>
        <v>0</v>
      </c>
      <c r="DC13" s="92">
        <f>'Incremental_Cost Year 8'!AY25</f>
        <v>0</v>
      </c>
      <c r="DD13" s="92">
        <f>'Incremental_Cost Year 8'!AZ25</f>
        <v>0</v>
      </c>
      <c r="DE13" s="92">
        <f>'Incremental_Cost Year 8'!BA25</f>
        <v>0</v>
      </c>
      <c r="DF13" s="92">
        <f>'Incremental_Cost Year 8'!BB25</f>
        <v>0</v>
      </c>
      <c r="DG13" s="70"/>
      <c r="DH13" s="92">
        <f>'Incremental_Cost Year 9'!AQ25</f>
        <v>49759012.799999997</v>
      </c>
      <c r="DI13" s="92">
        <f>'Incremental_Cost Year 9'!AR25</f>
        <v>317068709</v>
      </c>
      <c r="DJ13" s="92">
        <f>'Incremental_Cost Year 9'!AS25</f>
        <v>0</v>
      </c>
      <c r="DK13" s="92">
        <f>'Incremental_Cost Year 9'!AT25</f>
        <v>366827721.80000001</v>
      </c>
      <c r="DL13" s="92">
        <f>'Incremental_Cost Year 9'!AU25</f>
        <v>366827721.80000001</v>
      </c>
      <c r="DM13" s="92">
        <f>'Incremental_Cost Year 9'!AV25</f>
        <v>0</v>
      </c>
      <c r="DN13" s="92">
        <f>'Incremental_Cost Year 9'!AW25</f>
        <v>0</v>
      </c>
      <c r="DO13" s="92">
        <f>'Incremental_Cost Year 9'!AX25</f>
        <v>0</v>
      </c>
      <c r="DP13" s="92">
        <f>'Incremental_Cost Year 9'!AY25</f>
        <v>0</v>
      </c>
      <c r="DQ13" s="92">
        <f>'Incremental_Cost Year 9'!AZ25</f>
        <v>0</v>
      </c>
      <c r="DR13" s="92">
        <f>'Incremental_Cost Year 9'!BA25</f>
        <v>0</v>
      </c>
      <c r="DS13" s="92">
        <f>'Incremental_Cost Year 9'!BB25</f>
        <v>0</v>
      </c>
      <c r="DT13" s="70"/>
      <c r="DU13" s="92">
        <f>'Incremental_Cost Year 10'!AQ25</f>
        <v>49759012.799999997</v>
      </c>
      <c r="DV13" s="92">
        <f>'Incremental_Cost Year 10'!AR25</f>
        <v>332811145</v>
      </c>
      <c r="DW13" s="92">
        <f>'Incremental_Cost Year 10'!AS25</f>
        <v>0</v>
      </c>
      <c r="DX13" s="92">
        <f>'Incremental_Cost Year 10'!AT25</f>
        <v>382570157.80000001</v>
      </c>
      <c r="DY13" s="92">
        <f>'Incremental_Cost Year 10'!AU25</f>
        <v>382570157.80000001</v>
      </c>
      <c r="DZ13" s="92">
        <f>'Incremental_Cost Year 10'!AV25</f>
        <v>0</v>
      </c>
      <c r="EA13" s="92">
        <f>'Incremental_Cost Year 10'!AW25</f>
        <v>0</v>
      </c>
      <c r="EB13" s="92">
        <f>'Incremental_Cost Year 10'!AX25</f>
        <v>0</v>
      </c>
      <c r="EC13" s="92">
        <f>'Incremental_Cost Year 10'!AY25</f>
        <v>0</v>
      </c>
      <c r="ED13" s="92">
        <f>'Incremental_Cost Year 10'!AZ25</f>
        <v>0</v>
      </c>
      <c r="EE13" s="92">
        <f>'Incremental_Cost Year 10'!BA25</f>
        <v>0</v>
      </c>
      <c r="EF13" s="92">
        <f>'Incremental_Cost Year 10'!BB25</f>
        <v>0</v>
      </c>
      <c r="EG13" s="70"/>
      <c r="EH13" s="92">
        <f t="shared" ref="EH13:ES16" si="48">H13+U13+AH13+AU13+BH13+BU13+CH13+CU13+DH13+DU13</f>
        <v>454330371.60000008</v>
      </c>
      <c r="EI13" s="92">
        <f t="shared" si="48"/>
        <v>2561782191</v>
      </c>
      <c r="EJ13" s="92">
        <f t="shared" si="48"/>
        <v>3726000</v>
      </c>
      <c r="EK13" s="92">
        <f t="shared" si="48"/>
        <v>3019838562.6000004</v>
      </c>
      <c r="EL13" s="92">
        <f t="shared" si="48"/>
        <v>3019838562.6000004</v>
      </c>
      <c r="EM13" s="92">
        <f t="shared" si="48"/>
        <v>0</v>
      </c>
      <c r="EN13" s="92">
        <f t="shared" si="48"/>
        <v>0</v>
      </c>
      <c r="EO13" s="92">
        <f t="shared" si="48"/>
        <v>0</v>
      </c>
      <c r="EP13" s="92">
        <f t="shared" si="48"/>
        <v>0</v>
      </c>
      <c r="EQ13" s="92">
        <f t="shared" si="48"/>
        <v>0</v>
      </c>
      <c r="ER13" s="92">
        <f t="shared" si="48"/>
        <v>0</v>
      </c>
      <c r="ES13" s="92">
        <f t="shared" si="48"/>
        <v>0</v>
      </c>
      <c r="EU13" s="194">
        <f t="shared" si="23"/>
        <v>0</v>
      </c>
      <c r="EW13" s="194">
        <f t="shared" si="24"/>
        <v>0</v>
      </c>
      <c r="EX13" s="194">
        <f t="shared" si="21"/>
        <v>0</v>
      </c>
    </row>
    <row r="14" spans="1:154" s="77" customFormat="1" ht="25.5" x14ac:dyDescent="0.25">
      <c r="A14" s="82"/>
      <c r="B14" s="88"/>
      <c r="C14" s="86"/>
      <c r="D14" s="193" t="str">
        <f>'Incremental_Cost Year 1'!D29</f>
        <v>07450 Shërbime të Shëndetit Publik</v>
      </c>
      <c r="E14" s="193" t="str">
        <f>'Incremental_Cost Year 1'!E29</f>
        <v>1.3.2 Zgjerimi I programeve të vaksinimit/imunizimit me vaksina të reja për parandalimin e sëmundjeve infective për 0-18 vjec dhe për të rriturit</v>
      </c>
      <c r="F14" s="96">
        <f>'Incremental_Cost Year 1'!F29</f>
        <v>2021</v>
      </c>
      <c r="G14" s="96">
        <f>'Incremental_Cost Year 1'!G29</f>
        <v>2030</v>
      </c>
      <c r="H14" s="92">
        <f>'Incremental_Cost Year 1'!AQ29</f>
        <v>0</v>
      </c>
      <c r="I14" s="92">
        <f>'Incremental_Cost Year 1'!AR29</f>
        <v>122400000</v>
      </c>
      <c r="J14" s="92">
        <f>'Incremental_Cost Year 1'!AS29</f>
        <v>0</v>
      </c>
      <c r="K14" s="92">
        <f>'Incremental_Cost Year 1'!AT29</f>
        <v>122400000</v>
      </c>
      <c r="L14" s="92">
        <f>'Incremental_Cost Year 1'!AU29</f>
        <v>122400000</v>
      </c>
      <c r="M14" s="92">
        <f>'Incremental_Cost Year 1'!AV29</f>
        <v>0</v>
      </c>
      <c r="N14" s="92">
        <f>'Incremental_Cost Year 1'!AW29</f>
        <v>0</v>
      </c>
      <c r="O14" s="92">
        <f>'Incremental_Cost Year 1'!AX29</f>
        <v>0</v>
      </c>
      <c r="P14" s="92">
        <f>'Incremental_Cost Year 1'!AY29</f>
        <v>0</v>
      </c>
      <c r="Q14" s="92">
        <f>'Incremental_Cost Year 1'!AZ29</f>
        <v>0</v>
      </c>
      <c r="R14" s="92">
        <f>'Incremental_Cost Year 1'!BA29</f>
        <v>0</v>
      </c>
      <c r="S14" s="92">
        <f>'Incremental_Cost Year 1'!BB29</f>
        <v>0</v>
      </c>
      <c r="T14" s="70"/>
      <c r="U14" s="92">
        <f>'Incremental_Cost Year 2'!AQ29</f>
        <v>0</v>
      </c>
      <c r="V14" s="92">
        <f>'Incremental_Cost Year 2'!AR29</f>
        <v>165000000</v>
      </c>
      <c r="W14" s="92">
        <f>'Incremental_Cost Year 2'!AS29</f>
        <v>0</v>
      </c>
      <c r="X14" s="92">
        <f>'Incremental_Cost Year 2'!AT29</f>
        <v>165000000</v>
      </c>
      <c r="Y14" s="92">
        <f>'Incremental_Cost Year 2'!AU29</f>
        <v>165000000</v>
      </c>
      <c r="Z14" s="92">
        <f>'Incremental_Cost Year 2'!AV29</f>
        <v>0</v>
      </c>
      <c r="AA14" s="92">
        <f>'Incremental_Cost Year 2'!AW29</f>
        <v>0</v>
      </c>
      <c r="AB14" s="92">
        <f>'Incremental_Cost Year 2'!AX29</f>
        <v>0</v>
      </c>
      <c r="AC14" s="92">
        <f>'Incremental_Cost Year 2'!AY29</f>
        <v>0</v>
      </c>
      <c r="AD14" s="92">
        <f>'Incremental_Cost Year 2'!AZ29</f>
        <v>0</v>
      </c>
      <c r="AE14" s="92">
        <f>'Incremental_Cost Year 2'!BA29</f>
        <v>0</v>
      </c>
      <c r="AF14" s="92">
        <f>'Incremental_Cost Year 2'!BB29</f>
        <v>0</v>
      </c>
      <c r="AG14" s="70"/>
      <c r="AH14" s="92">
        <f>'Incremental_Cost Year 3'!AQ29</f>
        <v>0</v>
      </c>
      <c r="AI14" s="92">
        <f>'Incremental_Cost Year 3'!AR29</f>
        <v>453590875</v>
      </c>
      <c r="AJ14" s="92">
        <f>'Incremental_Cost Year 3'!AS29</f>
        <v>0</v>
      </c>
      <c r="AK14" s="92">
        <f>'Incremental_Cost Year 3'!AT29</f>
        <v>453590875</v>
      </c>
      <c r="AL14" s="92">
        <f>'Incremental_Cost Year 3'!AU29</f>
        <v>453590875</v>
      </c>
      <c r="AM14" s="92">
        <f>'Incremental_Cost Year 3'!AV29</f>
        <v>0</v>
      </c>
      <c r="AN14" s="92">
        <f>'Incremental_Cost Year 3'!AW29</f>
        <v>0</v>
      </c>
      <c r="AO14" s="92">
        <f>'Incremental_Cost Year 3'!AX29</f>
        <v>0</v>
      </c>
      <c r="AP14" s="92">
        <f>'Incremental_Cost Year 3'!AY29</f>
        <v>0</v>
      </c>
      <c r="AQ14" s="92">
        <f>'Incremental_Cost Year 3'!AZ29</f>
        <v>0</v>
      </c>
      <c r="AR14" s="92">
        <f>'Incremental_Cost Year 3'!BA29</f>
        <v>0</v>
      </c>
      <c r="AS14" s="92">
        <f>'Incremental_Cost Year 3'!BB29</f>
        <v>0</v>
      </c>
      <c r="AT14" s="70"/>
      <c r="AU14" s="92">
        <f>'Incremental_Cost Year 4'!AQ29</f>
        <v>0</v>
      </c>
      <c r="AV14" s="92">
        <f>'Incremental_Cost Year 4'!AR29</f>
        <v>635431200</v>
      </c>
      <c r="AW14" s="92">
        <f>'Incremental_Cost Year 4'!AS29</f>
        <v>0</v>
      </c>
      <c r="AX14" s="92">
        <f>'Incremental_Cost Year 4'!AT29</f>
        <v>635431200</v>
      </c>
      <c r="AY14" s="92">
        <f>'Incremental_Cost Year 4'!AU29</f>
        <v>635431200</v>
      </c>
      <c r="AZ14" s="92">
        <f>'Incremental_Cost Year 4'!AV29</f>
        <v>0</v>
      </c>
      <c r="BA14" s="92">
        <f>'Incremental_Cost Year 4'!AW29</f>
        <v>0</v>
      </c>
      <c r="BB14" s="92">
        <f>'Incremental_Cost Year 4'!AX29</f>
        <v>0</v>
      </c>
      <c r="BC14" s="92">
        <f>'Incremental_Cost Year 4'!AY29</f>
        <v>0</v>
      </c>
      <c r="BD14" s="92">
        <f>'Incremental_Cost Year 4'!AZ29</f>
        <v>0</v>
      </c>
      <c r="BE14" s="92">
        <f>'Incremental_Cost Year 4'!BA29</f>
        <v>0</v>
      </c>
      <c r="BF14" s="92">
        <f>'Incremental_Cost Year 4'!BB29</f>
        <v>0</v>
      </c>
      <c r="BG14" s="70"/>
      <c r="BH14" s="92">
        <f>'Incremental_Cost Year 5'!AQ29</f>
        <v>0</v>
      </c>
      <c r="BI14" s="92">
        <f>'Incremental_Cost Year 5'!AR29</f>
        <v>651541380</v>
      </c>
      <c r="BJ14" s="92">
        <f>'Incremental_Cost Year 5'!AS29</f>
        <v>0</v>
      </c>
      <c r="BK14" s="92">
        <f>'Incremental_Cost Year 5'!AT29</f>
        <v>651541380</v>
      </c>
      <c r="BL14" s="92">
        <f>'Incremental_Cost Year 5'!AU29</f>
        <v>651541380</v>
      </c>
      <c r="BM14" s="92">
        <f>'Incremental_Cost Year 5'!AV29</f>
        <v>0</v>
      </c>
      <c r="BN14" s="92">
        <f>'Incremental_Cost Year 5'!AW29</f>
        <v>0</v>
      </c>
      <c r="BO14" s="92">
        <f>'Incremental_Cost Year 5'!AX29</f>
        <v>0</v>
      </c>
      <c r="BP14" s="92">
        <f>'Incremental_Cost Year 5'!AY29</f>
        <v>0</v>
      </c>
      <c r="BQ14" s="92">
        <f>'Incremental_Cost Year 5'!AZ29</f>
        <v>0</v>
      </c>
      <c r="BR14" s="92">
        <f>'Incremental_Cost Year 5'!BA29</f>
        <v>0</v>
      </c>
      <c r="BS14" s="92">
        <f>'Incremental_Cost Year 5'!BB29</f>
        <v>0</v>
      </c>
      <c r="BT14" s="70"/>
      <c r="BU14" s="92">
        <f>'Incremental_Cost Year 6'!AQ29</f>
        <v>0</v>
      </c>
      <c r="BV14" s="92">
        <f>'Incremental_Cost Year 6'!AR29</f>
        <v>684118449</v>
      </c>
      <c r="BW14" s="92">
        <f>'Incremental_Cost Year 6'!AS29</f>
        <v>0</v>
      </c>
      <c r="BX14" s="92">
        <f>'Incremental_Cost Year 6'!AT29</f>
        <v>684118449</v>
      </c>
      <c r="BY14" s="92">
        <f>'Incremental_Cost Year 6'!AU29</f>
        <v>684118449</v>
      </c>
      <c r="BZ14" s="92">
        <f>'Incremental_Cost Year 6'!AV29</f>
        <v>0</v>
      </c>
      <c r="CA14" s="92">
        <f>'Incremental_Cost Year 6'!AW29</f>
        <v>0</v>
      </c>
      <c r="CB14" s="92">
        <f>'Incremental_Cost Year 6'!AX29</f>
        <v>0</v>
      </c>
      <c r="CC14" s="92">
        <f>'Incremental_Cost Year 6'!AY29</f>
        <v>0</v>
      </c>
      <c r="CD14" s="92">
        <f>'Incremental_Cost Year 6'!AZ29</f>
        <v>0</v>
      </c>
      <c r="CE14" s="92">
        <f>'Incremental_Cost Year 6'!BA29</f>
        <v>0</v>
      </c>
      <c r="CF14" s="92">
        <f>'Incremental_Cost Year 6'!BB29</f>
        <v>0</v>
      </c>
      <c r="CG14" s="70"/>
      <c r="CH14" s="92">
        <f>'Incremental_Cost Year 7'!AQ29</f>
        <v>0</v>
      </c>
      <c r="CI14" s="92">
        <f>'Incremental_Cost Year 7'!AR29</f>
        <v>718324372</v>
      </c>
      <c r="CJ14" s="92">
        <f>'Incremental_Cost Year 7'!AS29</f>
        <v>0</v>
      </c>
      <c r="CK14" s="92">
        <f>'Incremental_Cost Year 7'!AT29</f>
        <v>718324372</v>
      </c>
      <c r="CL14" s="92">
        <f>'Incremental_Cost Year 7'!AU29</f>
        <v>718324372</v>
      </c>
      <c r="CM14" s="92">
        <f>'Incremental_Cost Year 7'!AV29</f>
        <v>0</v>
      </c>
      <c r="CN14" s="92">
        <f>'Incremental_Cost Year 7'!AW29</f>
        <v>0</v>
      </c>
      <c r="CO14" s="92">
        <f>'Incremental_Cost Year 7'!AX29</f>
        <v>0</v>
      </c>
      <c r="CP14" s="92">
        <f>'Incremental_Cost Year 7'!AY29</f>
        <v>0</v>
      </c>
      <c r="CQ14" s="92">
        <f>'Incremental_Cost Year 7'!AZ29</f>
        <v>0</v>
      </c>
      <c r="CR14" s="92">
        <f>'Incremental_Cost Year 7'!BA29</f>
        <v>0</v>
      </c>
      <c r="CS14" s="92">
        <f>'Incremental_Cost Year 7'!BB29</f>
        <v>0</v>
      </c>
      <c r="CT14" s="70"/>
      <c r="CU14" s="92">
        <f>'Incremental_Cost Year 8'!AQ29</f>
        <v>0</v>
      </c>
      <c r="CV14" s="92">
        <f>'Incremental_Cost Year 8'!AR29</f>
        <v>754240589</v>
      </c>
      <c r="CW14" s="92">
        <f>'Incremental_Cost Year 8'!AS29</f>
        <v>0</v>
      </c>
      <c r="CX14" s="92">
        <f>'Incremental_Cost Year 8'!AT29</f>
        <v>754240589</v>
      </c>
      <c r="CY14" s="92">
        <f>'Incremental_Cost Year 8'!AU29</f>
        <v>754240589</v>
      </c>
      <c r="CZ14" s="92">
        <f>'Incremental_Cost Year 8'!AV29</f>
        <v>0</v>
      </c>
      <c r="DA14" s="92">
        <f>'Incremental_Cost Year 8'!AW29</f>
        <v>0</v>
      </c>
      <c r="DB14" s="92">
        <f>'Incremental_Cost Year 8'!AX29</f>
        <v>0</v>
      </c>
      <c r="DC14" s="92">
        <f>'Incremental_Cost Year 8'!AY29</f>
        <v>0</v>
      </c>
      <c r="DD14" s="92">
        <f>'Incremental_Cost Year 8'!AZ29</f>
        <v>0</v>
      </c>
      <c r="DE14" s="92">
        <f>'Incremental_Cost Year 8'!BA29</f>
        <v>0</v>
      </c>
      <c r="DF14" s="92">
        <f>'Incremental_Cost Year 8'!BB29</f>
        <v>0</v>
      </c>
      <c r="DG14" s="70"/>
      <c r="DH14" s="92">
        <f>'Incremental_Cost Year 9'!AQ29</f>
        <v>0</v>
      </c>
      <c r="DI14" s="92">
        <f>'Incremental_Cost Year 9'!AR29</f>
        <v>791952618</v>
      </c>
      <c r="DJ14" s="92">
        <f>'Incremental_Cost Year 9'!AS29</f>
        <v>0</v>
      </c>
      <c r="DK14" s="92">
        <f>'Incremental_Cost Year 9'!AT29</f>
        <v>791952618</v>
      </c>
      <c r="DL14" s="92">
        <f>'Incremental_Cost Year 9'!AU29</f>
        <v>791952618</v>
      </c>
      <c r="DM14" s="92">
        <f>'Incremental_Cost Year 9'!AV29</f>
        <v>0</v>
      </c>
      <c r="DN14" s="92">
        <f>'Incremental_Cost Year 9'!AW29</f>
        <v>0</v>
      </c>
      <c r="DO14" s="92">
        <f>'Incremental_Cost Year 9'!AX29</f>
        <v>0</v>
      </c>
      <c r="DP14" s="92">
        <f>'Incremental_Cost Year 9'!AY29</f>
        <v>0</v>
      </c>
      <c r="DQ14" s="92">
        <f>'Incremental_Cost Year 9'!AZ29</f>
        <v>0</v>
      </c>
      <c r="DR14" s="92">
        <f>'Incremental_Cost Year 9'!BA29</f>
        <v>0</v>
      </c>
      <c r="DS14" s="92">
        <f>'Incremental_Cost Year 9'!BB29</f>
        <v>0</v>
      </c>
      <c r="DT14" s="70"/>
      <c r="DU14" s="92">
        <f>'Incremental_Cost Year 10'!AQ29</f>
        <v>0</v>
      </c>
      <c r="DV14" s="92">
        <f>'Incremental_Cost Year 10'!AR29</f>
        <v>831550250</v>
      </c>
      <c r="DW14" s="92">
        <f>'Incremental_Cost Year 10'!AS29</f>
        <v>0</v>
      </c>
      <c r="DX14" s="92">
        <f>'Incremental_Cost Year 10'!AT29</f>
        <v>831550250</v>
      </c>
      <c r="DY14" s="92">
        <f>'Incremental_Cost Year 10'!AU29</f>
        <v>831550250</v>
      </c>
      <c r="DZ14" s="92">
        <f>'Incremental_Cost Year 10'!AV29</f>
        <v>0</v>
      </c>
      <c r="EA14" s="92">
        <f>'Incremental_Cost Year 10'!AW29</f>
        <v>0</v>
      </c>
      <c r="EB14" s="92">
        <f>'Incremental_Cost Year 10'!AX29</f>
        <v>0</v>
      </c>
      <c r="EC14" s="92">
        <f>'Incremental_Cost Year 10'!AY29</f>
        <v>0</v>
      </c>
      <c r="ED14" s="92">
        <f>'Incremental_Cost Year 10'!AZ29</f>
        <v>0</v>
      </c>
      <c r="EE14" s="92">
        <f>'Incremental_Cost Year 10'!BA29</f>
        <v>0</v>
      </c>
      <c r="EF14" s="92">
        <f>'Incremental_Cost Year 10'!BB29</f>
        <v>0</v>
      </c>
      <c r="EG14" s="70"/>
      <c r="EH14" s="92">
        <f t="shared" si="48"/>
        <v>0</v>
      </c>
      <c r="EI14" s="92">
        <f t="shared" si="48"/>
        <v>5808149733</v>
      </c>
      <c r="EJ14" s="92">
        <f t="shared" si="48"/>
        <v>0</v>
      </c>
      <c r="EK14" s="92">
        <f t="shared" si="48"/>
        <v>5808149733</v>
      </c>
      <c r="EL14" s="92">
        <f t="shared" si="48"/>
        <v>5808149733</v>
      </c>
      <c r="EM14" s="92">
        <f t="shared" si="48"/>
        <v>0</v>
      </c>
      <c r="EN14" s="92">
        <f t="shared" si="48"/>
        <v>0</v>
      </c>
      <c r="EO14" s="92">
        <f t="shared" si="48"/>
        <v>0</v>
      </c>
      <c r="EP14" s="92">
        <f t="shared" si="48"/>
        <v>0</v>
      </c>
      <c r="EQ14" s="92">
        <f t="shared" si="48"/>
        <v>0</v>
      </c>
      <c r="ER14" s="92">
        <f t="shared" si="48"/>
        <v>0</v>
      </c>
      <c r="ES14" s="92">
        <f t="shared" si="48"/>
        <v>0</v>
      </c>
      <c r="EU14" s="194">
        <f t="shared" si="23"/>
        <v>0</v>
      </c>
      <c r="EW14" s="194">
        <f t="shared" si="24"/>
        <v>0</v>
      </c>
      <c r="EX14" s="194">
        <f t="shared" si="21"/>
        <v>0</v>
      </c>
    </row>
    <row r="15" spans="1:154" s="77" customFormat="1" ht="51" x14ac:dyDescent="0.25">
      <c r="A15" s="82"/>
      <c r="B15" s="88"/>
      <c r="C15" s="86"/>
      <c r="D15" s="193" t="str">
        <f>'Incremental_Cost Year 1'!D37</f>
        <v>07450 Shërbime të Shëndetit Publik/ 07220 Shërbime të Kujdesit Shëndetësor Parësor</v>
      </c>
      <c r="E15" s="193" t="str">
        <f>'Incremental_Cost Year 1'!E37</f>
        <v xml:space="preserve">1.3.3 Sigurimi I mbulesave të larta vaksinale </v>
      </c>
      <c r="F15" s="96">
        <f>'Incremental_Cost Year 1'!F37</f>
        <v>2021</v>
      </c>
      <c r="G15" s="96">
        <f>'Incremental_Cost Year 1'!G37</f>
        <v>2030</v>
      </c>
      <c r="H15" s="92">
        <f>'Incremental_Cost Year 1'!AQ37</f>
        <v>78561039.599999994</v>
      </c>
      <c r="I15" s="92">
        <f>'Incremental_Cost Year 1'!AR37</f>
        <v>360000</v>
      </c>
      <c r="J15" s="92">
        <f>'Incremental_Cost Year 1'!AS37</f>
        <v>0</v>
      </c>
      <c r="K15" s="92">
        <f>'Incremental_Cost Year 1'!AT37</f>
        <v>78921039.599999994</v>
      </c>
      <c r="L15" s="92">
        <f>'Incremental_Cost Year 1'!AU37</f>
        <v>78921039.599999994</v>
      </c>
      <c r="M15" s="92">
        <f>'Incremental_Cost Year 1'!AV37</f>
        <v>0</v>
      </c>
      <c r="N15" s="92">
        <f>'Incremental_Cost Year 1'!AW37</f>
        <v>0</v>
      </c>
      <c r="O15" s="92">
        <f>'Incremental_Cost Year 1'!AX37</f>
        <v>0</v>
      </c>
      <c r="P15" s="92">
        <f>'Incremental_Cost Year 1'!AY37</f>
        <v>0</v>
      </c>
      <c r="Q15" s="92">
        <f>'Incremental_Cost Year 1'!AZ37</f>
        <v>0</v>
      </c>
      <c r="R15" s="92">
        <f>'Incremental_Cost Year 1'!BA37</f>
        <v>0</v>
      </c>
      <c r="S15" s="92">
        <f>'Incremental_Cost Year 1'!BB37</f>
        <v>0</v>
      </c>
      <c r="T15" s="70"/>
      <c r="U15" s="92">
        <f>'Incremental_Cost Year 2'!AQ37</f>
        <v>276198791.39999998</v>
      </c>
      <c r="V15" s="92">
        <f>'Incremental_Cost Year 2'!AR37</f>
        <v>1200000</v>
      </c>
      <c r="W15" s="92">
        <f>'Incremental_Cost Year 2'!AS37</f>
        <v>0</v>
      </c>
      <c r="X15" s="92">
        <f>'Incremental_Cost Year 2'!AT37</f>
        <v>277398791.39999998</v>
      </c>
      <c r="Y15" s="92">
        <f>'Incremental_Cost Year 2'!AU37</f>
        <v>277398791.39999998</v>
      </c>
      <c r="Z15" s="92">
        <f>'Incremental_Cost Year 2'!AV37</f>
        <v>0</v>
      </c>
      <c r="AA15" s="92">
        <f>'Incremental_Cost Year 2'!AW37</f>
        <v>0</v>
      </c>
      <c r="AB15" s="92">
        <f>'Incremental_Cost Year 2'!AX37</f>
        <v>0</v>
      </c>
      <c r="AC15" s="92">
        <f>'Incremental_Cost Year 2'!AY37</f>
        <v>0</v>
      </c>
      <c r="AD15" s="92">
        <f>'Incremental_Cost Year 2'!AZ37</f>
        <v>0</v>
      </c>
      <c r="AE15" s="92">
        <f>'Incremental_Cost Year 2'!BA37</f>
        <v>0</v>
      </c>
      <c r="AF15" s="92">
        <f>'Incremental_Cost Year 2'!BB37</f>
        <v>0</v>
      </c>
      <c r="AG15" s="70"/>
      <c r="AH15" s="92">
        <f>'Incremental_Cost Year 3'!AQ37</f>
        <v>276198791.39999998</v>
      </c>
      <c r="AI15" s="92">
        <f>'Incremental_Cost Year 3'!AR37</f>
        <v>1200000</v>
      </c>
      <c r="AJ15" s="92">
        <f>'Incremental_Cost Year 3'!AS37</f>
        <v>0</v>
      </c>
      <c r="AK15" s="92">
        <f>'Incremental_Cost Year 3'!AT37</f>
        <v>277398791.39999998</v>
      </c>
      <c r="AL15" s="92">
        <f>'Incremental_Cost Year 3'!AU37</f>
        <v>277398791.39999998</v>
      </c>
      <c r="AM15" s="92">
        <f>'Incremental_Cost Year 3'!AV37</f>
        <v>0</v>
      </c>
      <c r="AN15" s="92">
        <f>'Incremental_Cost Year 3'!AW37</f>
        <v>0</v>
      </c>
      <c r="AO15" s="92">
        <f>'Incremental_Cost Year 3'!AX37</f>
        <v>0</v>
      </c>
      <c r="AP15" s="92">
        <f>'Incremental_Cost Year 3'!AY37</f>
        <v>0</v>
      </c>
      <c r="AQ15" s="92">
        <f>'Incremental_Cost Year 3'!AZ37</f>
        <v>0</v>
      </c>
      <c r="AR15" s="92">
        <f>'Incremental_Cost Year 3'!BA37</f>
        <v>0</v>
      </c>
      <c r="AS15" s="92">
        <f>'Incremental_Cost Year 3'!BB37</f>
        <v>0</v>
      </c>
      <c r="AT15" s="70"/>
      <c r="AU15" s="92">
        <f>'Incremental_Cost Year 4'!AQ37</f>
        <v>276198791.39999998</v>
      </c>
      <c r="AV15" s="92">
        <f>'Incremental_Cost Year 4'!AR37</f>
        <v>1200000</v>
      </c>
      <c r="AW15" s="92">
        <f>'Incremental_Cost Year 4'!AS37</f>
        <v>0</v>
      </c>
      <c r="AX15" s="92">
        <f>'Incremental_Cost Year 4'!AT37</f>
        <v>277398791.39999998</v>
      </c>
      <c r="AY15" s="92">
        <f>'Incremental_Cost Year 4'!AU37</f>
        <v>277398791.39999998</v>
      </c>
      <c r="AZ15" s="92">
        <f>'Incremental_Cost Year 4'!AV37</f>
        <v>0</v>
      </c>
      <c r="BA15" s="92">
        <f>'Incremental_Cost Year 4'!AW37</f>
        <v>0</v>
      </c>
      <c r="BB15" s="92">
        <f>'Incremental_Cost Year 4'!AX37</f>
        <v>0</v>
      </c>
      <c r="BC15" s="92">
        <f>'Incremental_Cost Year 4'!AY37</f>
        <v>0</v>
      </c>
      <c r="BD15" s="92">
        <f>'Incremental_Cost Year 4'!AZ37</f>
        <v>0</v>
      </c>
      <c r="BE15" s="92">
        <f>'Incremental_Cost Year 4'!BA37</f>
        <v>0</v>
      </c>
      <c r="BF15" s="92">
        <f>'Incremental_Cost Year 4'!BB37</f>
        <v>0</v>
      </c>
      <c r="BG15" s="70"/>
      <c r="BH15" s="92">
        <f>'Incremental_Cost Year 5'!AQ37</f>
        <v>276198791.39999998</v>
      </c>
      <c r="BI15" s="92">
        <f>'Incremental_Cost Year 5'!AR37</f>
        <v>1200000</v>
      </c>
      <c r="BJ15" s="92">
        <f>'Incremental_Cost Year 5'!AS37</f>
        <v>0</v>
      </c>
      <c r="BK15" s="92">
        <f>'Incremental_Cost Year 5'!AT37</f>
        <v>277398791.39999998</v>
      </c>
      <c r="BL15" s="92">
        <f>'Incremental_Cost Year 5'!AU37</f>
        <v>277398791.39999998</v>
      </c>
      <c r="BM15" s="92">
        <f>'Incremental_Cost Year 5'!AV37</f>
        <v>0</v>
      </c>
      <c r="BN15" s="92">
        <f>'Incremental_Cost Year 5'!AW37</f>
        <v>0</v>
      </c>
      <c r="BO15" s="92">
        <f>'Incremental_Cost Year 5'!AX37</f>
        <v>0</v>
      </c>
      <c r="BP15" s="92">
        <f>'Incremental_Cost Year 5'!AY37</f>
        <v>0</v>
      </c>
      <c r="BQ15" s="92">
        <f>'Incremental_Cost Year 5'!AZ37</f>
        <v>0</v>
      </c>
      <c r="BR15" s="92">
        <f>'Incremental_Cost Year 5'!BA37</f>
        <v>0</v>
      </c>
      <c r="BS15" s="92">
        <f>'Incremental_Cost Year 5'!BB37</f>
        <v>0</v>
      </c>
      <c r="BT15" s="70"/>
      <c r="BU15" s="92">
        <f>'Incremental_Cost Year 6'!AQ37</f>
        <v>276198791.39999998</v>
      </c>
      <c r="BV15" s="92">
        <f>'Incremental_Cost Year 6'!AR37</f>
        <v>1200000</v>
      </c>
      <c r="BW15" s="92">
        <f>'Incremental_Cost Year 6'!AS37</f>
        <v>0</v>
      </c>
      <c r="BX15" s="92">
        <f>'Incremental_Cost Year 6'!AT37</f>
        <v>277398791.39999998</v>
      </c>
      <c r="BY15" s="92">
        <f>'Incremental_Cost Year 6'!AU37</f>
        <v>277398791.39999998</v>
      </c>
      <c r="BZ15" s="92">
        <f>'Incremental_Cost Year 6'!AV37</f>
        <v>0</v>
      </c>
      <c r="CA15" s="92">
        <f>'Incremental_Cost Year 6'!AW37</f>
        <v>0</v>
      </c>
      <c r="CB15" s="92">
        <f>'Incremental_Cost Year 6'!AX37</f>
        <v>0</v>
      </c>
      <c r="CC15" s="92">
        <f>'Incremental_Cost Year 6'!AY37</f>
        <v>0</v>
      </c>
      <c r="CD15" s="92">
        <f>'Incremental_Cost Year 6'!AZ37</f>
        <v>0</v>
      </c>
      <c r="CE15" s="92">
        <f>'Incremental_Cost Year 6'!BA37</f>
        <v>0</v>
      </c>
      <c r="CF15" s="92">
        <f>'Incremental_Cost Year 6'!BB37</f>
        <v>0</v>
      </c>
      <c r="CG15" s="70"/>
      <c r="CH15" s="92">
        <f>'Incremental_Cost Year 7'!AQ37</f>
        <v>276198791.39999998</v>
      </c>
      <c r="CI15" s="92">
        <f>'Incremental_Cost Year 7'!AR37</f>
        <v>1200000</v>
      </c>
      <c r="CJ15" s="92">
        <f>'Incremental_Cost Year 7'!AS37</f>
        <v>0</v>
      </c>
      <c r="CK15" s="92">
        <f>'Incremental_Cost Year 7'!AT37</f>
        <v>277398791.39999998</v>
      </c>
      <c r="CL15" s="92">
        <f>'Incremental_Cost Year 7'!AU37</f>
        <v>277398791.39999998</v>
      </c>
      <c r="CM15" s="92">
        <f>'Incremental_Cost Year 7'!AV37</f>
        <v>0</v>
      </c>
      <c r="CN15" s="92">
        <f>'Incremental_Cost Year 7'!AW37</f>
        <v>0</v>
      </c>
      <c r="CO15" s="92">
        <f>'Incremental_Cost Year 7'!AX37</f>
        <v>0</v>
      </c>
      <c r="CP15" s="92">
        <f>'Incremental_Cost Year 7'!AY37</f>
        <v>0</v>
      </c>
      <c r="CQ15" s="92">
        <f>'Incremental_Cost Year 7'!AZ37</f>
        <v>0</v>
      </c>
      <c r="CR15" s="92">
        <f>'Incremental_Cost Year 7'!BA37</f>
        <v>0</v>
      </c>
      <c r="CS15" s="92">
        <f>'Incremental_Cost Year 7'!BB37</f>
        <v>0</v>
      </c>
      <c r="CT15" s="70"/>
      <c r="CU15" s="92">
        <f>'Incremental_Cost Year 8'!AQ37</f>
        <v>276198791.39999998</v>
      </c>
      <c r="CV15" s="92">
        <f>'Incremental_Cost Year 8'!AR37</f>
        <v>1200000</v>
      </c>
      <c r="CW15" s="92">
        <f>'Incremental_Cost Year 8'!AS37</f>
        <v>0</v>
      </c>
      <c r="CX15" s="92">
        <f>'Incremental_Cost Year 8'!AT37</f>
        <v>277398791.39999998</v>
      </c>
      <c r="CY15" s="92">
        <f>'Incremental_Cost Year 8'!AU37</f>
        <v>277398791.39999998</v>
      </c>
      <c r="CZ15" s="92">
        <f>'Incremental_Cost Year 8'!AV37</f>
        <v>0</v>
      </c>
      <c r="DA15" s="92">
        <f>'Incremental_Cost Year 8'!AW37</f>
        <v>0</v>
      </c>
      <c r="DB15" s="92">
        <f>'Incremental_Cost Year 8'!AX37</f>
        <v>0</v>
      </c>
      <c r="DC15" s="92">
        <f>'Incremental_Cost Year 8'!AY37</f>
        <v>0</v>
      </c>
      <c r="DD15" s="92">
        <f>'Incremental_Cost Year 8'!AZ37</f>
        <v>0</v>
      </c>
      <c r="DE15" s="92">
        <f>'Incremental_Cost Year 8'!BA37</f>
        <v>0</v>
      </c>
      <c r="DF15" s="92">
        <f>'Incremental_Cost Year 8'!BB37</f>
        <v>0</v>
      </c>
      <c r="DG15" s="70"/>
      <c r="DH15" s="92">
        <f>'Incremental_Cost Year 9'!AQ37</f>
        <v>276198791.39999998</v>
      </c>
      <c r="DI15" s="92">
        <f>'Incremental_Cost Year 9'!AR37</f>
        <v>1200000</v>
      </c>
      <c r="DJ15" s="92">
        <f>'Incremental_Cost Year 9'!AS37</f>
        <v>0</v>
      </c>
      <c r="DK15" s="92">
        <f>'Incremental_Cost Year 9'!AT37</f>
        <v>277398791.39999998</v>
      </c>
      <c r="DL15" s="92">
        <f>'Incremental_Cost Year 9'!AU37</f>
        <v>277398791.39999998</v>
      </c>
      <c r="DM15" s="92">
        <f>'Incremental_Cost Year 9'!AV37</f>
        <v>0</v>
      </c>
      <c r="DN15" s="92">
        <f>'Incremental_Cost Year 9'!AW37</f>
        <v>0</v>
      </c>
      <c r="DO15" s="92">
        <f>'Incremental_Cost Year 9'!AX37</f>
        <v>0</v>
      </c>
      <c r="DP15" s="92">
        <f>'Incremental_Cost Year 9'!AY37</f>
        <v>0</v>
      </c>
      <c r="DQ15" s="92">
        <f>'Incremental_Cost Year 9'!AZ37</f>
        <v>0</v>
      </c>
      <c r="DR15" s="92">
        <f>'Incremental_Cost Year 9'!BA37</f>
        <v>0</v>
      </c>
      <c r="DS15" s="92">
        <f>'Incremental_Cost Year 9'!BB37</f>
        <v>0</v>
      </c>
      <c r="DT15" s="70"/>
      <c r="DU15" s="92">
        <f>'Incremental_Cost Year 10'!AQ37</f>
        <v>276198791.39999998</v>
      </c>
      <c r="DV15" s="92">
        <f>'Incremental_Cost Year 10'!AR37</f>
        <v>1200000</v>
      </c>
      <c r="DW15" s="92">
        <f>'Incremental_Cost Year 10'!AS37</f>
        <v>0</v>
      </c>
      <c r="DX15" s="92">
        <f>'Incremental_Cost Year 10'!AT37</f>
        <v>277398791.39999998</v>
      </c>
      <c r="DY15" s="92">
        <f>'Incremental_Cost Year 10'!AU37</f>
        <v>277398791.39999998</v>
      </c>
      <c r="DZ15" s="92">
        <f>'Incremental_Cost Year 10'!AV37</f>
        <v>0</v>
      </c>
      <c r="EA15" s="92">
        <f>'Incremental_Cost Year 10'!AW37</f>
        <v>0</v>
      </c>
      <c r="EB15" s="92">
        <f>'Incremental_Cost Year 10'!AX37</f>
        <v>0</v>
      </c>
      <c r="EC15" s="92">
        <f>'Incremental_Cost Year 10'!AY37</f>
        <v>0</v>
      </c>
      <c r="ED15" s="92">
        <f>'Incremental_Cost Year 10'!AZ37</f>
        <v>0</v>
      </c>
      <c r="EE15" s="92">
        <f>'Incremental_Cost Year 10'!BA37</f>
        <v>0</v>
      </c>
      <c r="EF15" s="92">
        <f>'Incremental_Cost Year 10'!BB37</f>
        <v>0</v>
      </c>
      <c r="EG15" s="70"/>
      <c r="EH15" s="92">
        <f t="shared" si="48"/>
        <v>2564350162.2000003</v>
      </c>
      <c r="EI15" s="92">
        <f t="shared" si="48"/>
        <v>11160000</v>
      </c>
      <c r="EJ15" s="92">
        <f t="shared" si="48"/>
        <v>0</v>
      </c>
      <c r="EK15" s="92">
        <f t="shared" si="48"/>
        <v>2575510162.2000003</v>
      </c>
      <c r="EL15" s="92">
        <f t="shared" si="48"/>
        <v>2575510162.2000003</v>
      </c>
      <c r="EM15" s="92">
        <f t="shared" si="48"/>
        <v>0</v>
      </c>
      <c r="EN15" s="92">
        <f t="shared" si="48"/>
        <v>0</v>
      </c>
      <c r="EO15" s="92">
        <f t="shared" si="48"/>
        <v>0</v>
      </c>
      <c r="EP15" s="92">
        <f t="shared" si="48"/>
        <v>0</v>
      </c>
      <c r="EQ15" s="92">
        <f t="shared" si="48"/>
        <v>0</v>
      </c>
      <c r="ER15" s="92">
        <f t="shared" si="48"/>
        <v>0</v>
      </c>
      <c r="ES15" s="92">
        <f t="shared" si="48"/>
        <v>0</v>
      </c>
      <c r="EU15" s="194">
        <f t="shared" si="23"/>
        <v>0</v>
      </c>
      <c r="EW15" s="194">
        <f t="shared" si="24"/>
        <v>0</v>
      </c>
      <c r="EX15" s="194">
        <f t="shared" si="21"/>
        <v>0</v>
      </c>
    </row>
    <row r="16" spans="1:154" s="77" customFormat="1" ht="25.5" x14ac:dyDescent="0.25">
      <c r="A16" s="82"/>
      <c r="B16" s="88"/>
      <c r="C16" s="86"/>
      <c r="D16" s="193" t="str">
        <f>'Incremental_Cost Year 1'!D39</f>
        <v>07450 Shërbime të Shëndetit Publik</v>
      </c>
      <c r="E16" s="193" t="str">
        <f>'Incremental_Cost Year 1'!E39</f>
        <v>1.3.4 Sigurimi I vaksinave në kushtet e epidemisë dhe pandemisë.</v>
      </c>
      <c r="F16" s="96">
        <f>'Incremental_Cost Year 1'!F39</f>
        <v>2021</v>
      </c>
      <c r="G16" s="96">
        <f>'Incremental_Cost Year 1'!G39</f>
        <v>2030</v>
      </c>
      <c r="H16" s="92">
        <f>'Incremental_Cost Year 1'!AQ39</f>
        <v>0</v>
      </c>
      <c r="I16" s="92">
        <f>'Incremental_Cost Year 1'!AR39</f>
        <v>0</v>
      </c>
      <c r="J16" s="92">
        <f>'Incremental_Cost Year 1'!AS39</f>
        <v>0</v>
      </c>
      <c r="K16" s="92">
        <f>'Incremental_Cost Year 1'!AT39</f>
        <v>0</v>
      </c>
      <c r="L16" s="92">
        <f>'Incremental_Cost Year 1'!AU39</f>
        <v>0</v>
      </c>
      <c r="M16" s="92">
        <f>'Incremental_Cost Year 1'!AV39</f>
        <v>0</v>
      </c>
      <c r="N16" s="92">
        <f>'Incremental_Cost Year 1'!AW39</f>
        <v>0</v>
      </c>
      <c r="O16" s="92">
        <f>'Incremental_Cost Year 1'!AX39</f>
        <v>0</v>
      </c>
      <c r="P16" s="92">
        <f>'Incremental_Cost Year 1'!AY39</f>
        <v>0</v>
      </c>
      <c r="Q16" s="92">
        <f>'Incremental_Cost Year 1'!AZ39</f>
        <v>0</v>
      </c>
      <c r="R16" s="92">
        <f>'Incremental_Cost Year 1'!BA39</f>
        <v>0</v>
      </c>
      <c r="S16" s="92">
        <f>'Incremental_Cost Year 1'!BB39</f>
        <v>0</v>
      </c>
      <c r="T16" s="70"/>
      <c r="U16" s="92">
        <f>'Incremental_Cost Year 2'!AQ39</f>
        <v>0</v>
      </c>
      <c r="V16" s="92">
        <f>'Incremental_Cost Year 2'!AR39</f>
        <v>4455000000</v>
      </c>
      <c r="W16" s="92">
        <f>'Incremental_Cost Year 2'!AS39</f>
        <v>0</v>
      </c>
      <c r="X16" s="92">
        <f>'Incremental_Cost Year 2'!AT39</f>
        <v>4455000000</v>
      </c>
      <c r="Y16" s="92">
        <f>'Incremental_Cost Year 2'!AU39</f>
        <v>2700000000</v>
      </c>
      <c r="Z16" s="92">
        <f>'Incremental_Cost Year 2'!AV39</f>
        <v>0</v>
      </c>
      <c r="AA16" s="92">
        <f>'Incremental_Cost Year 2'!AW39</f>
        <v>0</v>
      </c>
      <c r="AB16" s="92">
        <f>'Incremental_Cost Year 2'!AX39</f>
        <v>0</v>
      </c>
      <c r="AC16" s="92">
        <f>'Incremental_Cost Year 2'!AY39</f>
        <v>0</v>
      </c>
      <c r="AD16" s="92">
        <f>'Incremental_Cost Year 2'!AZ39</f>
        <v>0</v>
      </c>
      <c r="AE16" s="92">
        <f>'Incremental_Cost Year 2'!BA39</f>
        <v>0</v>
      </c>
      <c r="AF16" s="92">
        <f>'Incremental_Cost Year 2'!BB39</f>
        <v>-1755000000</v>
      </c>
      <c r="AG16" s="70"/>
      <c r="AH16" s="92">
        <f>'Incremental_Cost Year 3'!AQ39</f>
        <v>0</v>
      </c>
      <c r="AI16" s="92">
        <f>'Incremental_Cost Year 3'!AR39</f>
        <v>4455000000</v>
      </c>
      <c r="AJ16" s="92">
        <f>'Incremental_Cost Year 3'!AS39</f>
        <v>0</v>
      </c>
      <c r="AK16" s="92">
        <f>'Incremental_Cost Year 3'!AT39</f>
        <v>4455000000</v>
      </c>
      <c r="AL16" s="92">
        <f>'Incremental_Cost Year 3'!AU39</f>
        <v>4455000000</v>
      </c>
      <c r="AM16" s="92">
        <f>'Incremental_Cost Year 3'!AV39</f>
        <v>0</v>
      </c>
      <c r="AN16" s="92">
        <f>'Incremental_Cost Year 3'!AW39</f>
        <v>0</v>
      </c>
      <c r="AO16" s="92">
        <f>'Incremental_Cost Year 3'!AX39</f>
        <v>0</v>
      </c>
      <c r="AP16" s="92">
        <f>'Incremental_Cost Year 3'!AY39</f>
        <v>0</v>
      </c>
      <c r="AQ16" s="92">
        <f>'Incremental_Cost Year 3'!AZ39</f>
        <v>0</v>
      </c>
      <c r="AR16" s="92">
        <f>'Incremental_Cost Year 3'!BA39</f>
        <v>0</v>
      </c>
      <c r="AS16" s="92">
        <f>'Incremental_Cost Year 3'!BB39</f>
        <v>0</v>
      </c>
      <c r="AT16" s="70"/>
      <c r="AU16" s="92">
        <f>'Incremental_Cost Year 4'!AQ39</f>
        <v>0</v>
      </c>
      <c r="AV16" s="92">
        <f>'Incremental_Cost Year 4'!AR39</f>
        <v>0</v>
      </c>
      <c r="AW16" s="92">
        <f>'Incremental_Cost Year 4'!AS39</f>
        <v>0</v>
      </c>
      <c r="AX16" s="92">
        <f>'Incremental_Cost Year 4'!AT39</f>
        <v>0</v>
      </c>
      <c r="AY16" s="92">
        <f>'Incremental_Cost Year 4'!AU39</f>
        <v>0</v>
      </c>
      <c r="AZ16" s="92">
        <f>'Incremental_Cost Year 4'!AV39</f>
        <v>0</v>
      </c>
      <c r="BA16" s="92">
        <f>'Incremental_Cost Year 4'!AW39</f>
        <v>0</v>
      </c>
      <c r="BB16" s="92">
        <f>'Incremental_Cost Year 4'!AX39</f>
        <v>0</v>
      </c>
      <c r="BC16" s="92">
        <f>'Incremental_Cost Year 4'!AY39</f>
        <v>0</v>
      </c>
      <c r="BD16" s="92">
        <f>'Incremental_Cost Year 4'!AZ39</f>
        <v>0</v>
      </c>
      <c r="BE16" s="92">
        <f>'Incremental_Cost Year 4'!BA39</f>
        <v>0</v>
      </c>
      <c r="BF16" s="92">
        <f>'Incremental_Cost Year 4'!BB39</f>
        <v>0</v>
      </c>
      <c r="BG16" s="70"/>
      <c r="BH16" s="92">
        <f>'Incremental_Cost Year 5'!AQ39</f>
        <v>0</v>
      </c>
      <c r="BI16" s="92">
        <f>'Incremental_Cost Year 5'!AR39</f>
        <v>0</v>
      </c>
      <c r="BJ16" s="92">
        <f>'Incremental_Cost Year 5'!AS39</f>
        <v>0</v>
      </c>
      <c r="BK16" s="92">
        <f>'Incremental_Cost Year 5'!AT39</f>
        <v>0</v>
      </c>
      <c r="BL16" s="92">
        <f>'Incremental_Cost Year 5'!AU39</f>
        <v>0</v>
      </c>
      <c r="BM16" s="92">
        <f>'Incremental_Cost Year 5'!AV39</f>
        <v>0</v>
      </c>
      <c r="BN16" s="92">
        <f>'Incremental_Cost Year 5'!AW39</f>
        <v>0</v>
      </c>
      <c r="BO16" s="92">
        <f>'Incremental_Cost Year 5'!AX39</f>
        <v>0</v>
      </c>
      <c r="BP16" s="92">
        <f>'Incremental_Cost Year 5'!AY39</f>
        <v>0</v>
      </c>
      <c r="BQ16" s="92">
        <f>'Incremental_Cost Year 5'!AZ39</f>
        <v>0</v>
      </c>
      <c r="BR16" s="92">
        <f>'Incremental_Cost Year 5'!BA39</f>
        <v>0</v>
      </c>
      <c r="BS16" s="92">
        <f>'Incremental_Cost Year 5'!BB39</f>
        <v>0</v>
      </c>
      <c r="BT16" s="70"/>
      <c r="BU16" s="92">
        <f>'Incremental_Cost Year 6'!AQ39</f>
        <v>0</v>
      </c>
      <c r="BV16" s="92">
        <f>'Incremental_Cost Year 6'!AR39</f>
        <v>0</v>
      </c>
      <c r="BW16" s="92">
        <f>'Incremental_Cost Year 6'!AS39</f>
        <v>0</v>
      </c>
      <c r="BX16" s="92">
        <f>'Incremental_Cost Year 6'!AT39</f>
        <v>0</v>
      </c>
      <c r="BY16" s="92">
        <f>'Incremental_Cost Year 6'!AU39</f>
        <v>0</v>
      </c>
      <c r="BZ16" s="92">
        <f>'Incremental_Cost Year 6'!AV39</f>
        <v>0</v>
      </c>
      <c r="CA16" s="92">
        <f>'Incremental_Cost Year 6'!AW39</f>
        <v>0</v>
      </c>
      <c r="CB16" s="92">
        <f>'Incremental_Cost Year 6'!AX39</f>
        <v>0</v>
      </c>
      <c r="CC16" s="92">
        <f>'Incremental_Cost Year 6'!AY39</f>
        <v>0</v>
      </c>
      <c r="CD16" s="92">
        <f>'Incremental_Cost Year 6'!AZ39</f>
        <v>0</v>
      </c>
      <c r="CE16" s="92">
        <f>'Incremental_Cost Year 6'!BA39</f>
        <v>0</v>
      </c>
      <c r="CF16" s="92">
        <f>'Incremental_Cost Year 6'!BB39</f>
        <v>0</v>
      </c>
      <c r="CG16" s="70"/>
      <c r="CH16" s="92">
        <f>'Incremental_Cost Year 7'!AQ39</f>
        <v>0</v>
      </c>
      <c r="CI16" s="92">
        <f>'Incremental_Cost Year 7'!AR39</f>
        <v>0</v>
      </c>
      <c r="CJ16" s="92">
        <f>'Incremental_Cost Year 7'!AS39</f>
        <v>0</v>
      </c>
      <c r="CK16" s="92">
        <f>'Incremental_Cost Year 7'!AT39</f>
        <v>0</v>
      </c>
      <c r="CL16" s="92">
        <f>'Incremental_Cost Year 7'!AU39</f>
        <v>0</v>
      </c>
      <c r="CM16" s="92">
        <f>'Incremental_Cost Year 7'!AV39</f>
        <v>0</v>
      </c>
      <c r="CN16" s="92">
        <f>'Incremental_Cost Year 7'!AW39</f>
        <v>0</v>
      </c>
      <c r="CO16" s="92">
        <f>'Incremental_Cost Year 7'!AX39</f>
        <v>0</v>
      </c>
      <c r="CP16" s="92">
        <f>'Incremental_Cost Year 7'!AY39</f>
        <v>0</v>
      </c>
      <c r="CQ16" s="92">
        <f>'Incremental_Cost Year 7'!AZ39</f>
        <v>0</v>
      </c>
      <c r="CR16" s="92">
        <f>'Incremental_Cost Year 7'!BA39</f>
        <v>0</v>
      </c>
      <c r="CS16" s="92">
        <f>'Incremental_Cost Year 7'!BB39</f>
        <v>0</v>
      </c>
      <c r="CT16" s="70"/>
      <c r="CU16" s="92">
        <f>'Incremental_Cost Year 8'!AQ39</f>
        <v>0</v>
      </c>
      <c r="CV16" s="92">
        <f>'Incremental_Cost Year 8'!AR39</f>
        <v>0</v>
      </c>
      <c r="CW16" s="92">
        <f>'Incremental_Cost Year 8'!AS39</f>
        <v>0</v>
      </c>
      <c r="CX16" s="92">
        <f>'Incremental_Cost Year 8'!AT39</f>
        <v>0</v>
      </c>
      <c r="CY16" s="92">
        <f>'Incremental_Cost Year 8'!AU39</f>
        <v>0</v>
      </c>
      <c r="CZ16" s="92">
        <f>'Incremental_Cost Year 8'!AV39</f>
        <v>0</v>
      </c>
      <c r="DA16" s="92">
        <f>'Incremental_Cost Year 8'!AW39</f>
        <v>0</v>
      </c>
      <c r="DB16" s="92">
        <f>'Incremental_Cost Year 8'!AX39</f>
        <v>0</v>
      </c>
      <c r="DC16" s="92">
        <f>'Incremental_Cost Year 8'!AY39</f>
        <v>0</v>
      </c>
      <c r="DD16" s="92">
        <f>'Incremental_Cost Year 8'!AZ39</f>
        <v>0</v>
      </c>
      <c r="DE16" s="92">
        <f>'Incremental_Cost Year 8'!BA39</f>
        <v>0</v>
      </c>
      <c r="DF16" s="92">
        <f>'Incremental_Cost Year 8'!BB39</f>
        <v>0</v>
      </c>
      <c r="DG16" s="70"/>
      <c r="DH16" s="92">
        <f>'Incremental_Cost Year 9'!AQ39</f>
        <v>0</v>
      </c>
      <c r="DI16" s="92">
        <f>'Incremental_Cost Year 9'!AR39</f>
        <v>0</v>
      </c>
      <c r="DJ16" s="92">
        <f>'Incremental_Cost Year 9'!AS39</f>
        <v>0</v>
      </c>
      <c r="DK16" s="92">
        <f>'Incremental_Cost Year 9'!AT39</f>
        <v>0</v>
      </c>
      <c r="DL16" s="92">
        <f>'Incremental_Cost Year 9'!AU39</f>
        <v>0</v>
      </c>
      <c r="DM16" s="92">
        <f>'Incremental_Cost Year 9'!AV39</f>
        <v>0</v>
      </c>
      <c r="DN16" s="92">
        <f>'Incremental_Cost Year 9'!AW39</f>
        <v>0</v>
      </c>
      <c r="DO16" s="92">
        <f>'Incremental_Cost Year 9'!AX39</f>
        <v>0</v>
      </c>
      <c r="DP16" s="92">
        <f>'Incremental_Cost Year 9'!AY39</f>
        <v>0</v>
      </c>
      <c r="DQ16" s="92">
        <f>'Incremental_Cost Year 9'!AZ39</f>
        <v>0</v>
      </c>
      <c r="DR16" s="92">
        <f>'Incremental_Cost Year 9'!BA39</f>
        <v>0</v>
      </c>
      <c r="DS16" s="92">
        <f>'Incremental_Cost Year 9'!BB39</f>
        <v>0</v>
      </c>
      <c r="DT16" s="70"/>
      <c r="DU16" s="92">
        <f>'Incremental_Cost Year 10'!AQ39</f>
        <v>0</v>
      </c>
      <c r="DV16" s="92">
        <f>'Incremental_Cost Year 10'!AR39</f>
        <v>0</v>
      </c>
      <c r="DW16" s="92">
        <f>'Incremental_Cost Year 10'!AS39</f>
        <v>0</v>
      </c>
      <c r="DX16" s="92">
        <f>'Incremental_Cost Year 10'!AT39</f>
        <v>0</v>
      </c>
      <c r="DY16" s="92">
        <f>'Incremental_Cost Year 10'!AU39</f>
        <v>0</v>
      </c>
      <c r="DZ16" s="92">
        <f>'Incremental_Cost Year 10'!AV39</f>
        <v>0</v>
      </c>
      <c r="EA16" s="92">
        <f>'Incremental_Cost Year 10'!AW39</f>
        <v>0</v>
      </c>
      <c r="EB16" s="92">
        <f>'Incremental_Cost Year 10'!AX39</f>
        <v>0</v>
      </c>
      <c r="EC16" s="92">
        <f>'Incremental_Cost Year 10'!AY39</f>
        <v>0</v>
      </c>
      <c r="ED16" s="92">
        <f>'Incremental_Cost Year 10'!AZ39</f>
        <v>0</v>
      </c>
      <c r="EE16" s="92">
        <f>'Incremental_Cost Year 10'!BA39</f>
        <v>0</v>
      </c>
      <c r="EF16" s="92">
        <f>'Incremental_Cost Year 10'!BB39</f>
        <v>0</v>
      </c>
      <c r="EG16" s="70"/>
      <c r="EH16" s="92">
        <f t="shared" si="48"/>
        <v>0</v>
      </c>
      <c r="EI16" s="92">
        <f t="shared" si="48"/>
        <v>8910000000</v>
      </c>
      <c r="EJ16" s="92">
        <f t="shared" si="48"/>
        <v>0</v>
      </c>
      <c r="EK16" s="92">
        <f t="shared" si="48"/>
        <v>8910000000</v>
      </c>
      <c r="EL16" s="92">
        <f t="shared" si="48"/>
        <v>7155000000</v>
      </c>
      <c r="EM16" s="92">
        <f t="shared" si="48"/>
        <v>0</v>
      </c>
      <c r="EN16" s="92">
        <f t="shared" si="48"/>
        <v>0</v>
      </c>
      <c r="EO16" s="92">
        <f t="shared" si="48"/>
        <v>0</v>
      </c>
      <c r="EP16" s="92">
        <f t="shared" si="48"/>
        <v>0</v>
      </c>
      <c r="EQ16" s="92">
        <f t="shared" si="48"/>
        <v>0</v>
      </c>
      <c r="ER16" s="92">
        <f t="shared" si="48"/>
        <v>0</v>
      </c>
      <c r="ES16" s="92">
        <f t="shared" si="48"/>
        <v>-1755000000</v>
      </c>
      <c r="EU16" s="194">
        <f t="shared" si="23"/>
        <v>0</v>
      </c>
      <c r="EW16" s="194">
        <f t="shared" si="24"/>
        <v>-1755000000</v>
      </c>
      <c r="EX16" s="194">
        <f t="shared" si="21"/>
        <v>0</v>
      </c>
    </row>
    <row r="17" spans="1:154" s="77" customFormat="1" ht="15.75" customHeight="1" x14ac:dyDescent="0.25">
      <c r="A17" s="83"/>
      <c r="B17" s="89"/>
      <c r="C17" s="426" t="str">
        <f>'Incremental_Cost Year 1'!C40:E40</f>
        <v>1.4 Objektivi specifik: Reduktimi i sjelljeve me risk që ndikojnë në SJT.</v>
      </c>
      <c r="D17" s="426"/>
      <c r="E17" s="427"/>
      <c r="F17" s="98"/>
      <c r="G17" s="98"/>
      <c r="H17" s="94">
        <f>SUM(H18)</f>
        <v>294084</v>
      </c>
      <c r="I17" s="94">
        <f t="shared" ref="I17:S17" si="49">SUM(I18)</f>
        <v>8060000</v>
      </c>
      <c r="J17" s="94">
        <f t="shared" si="49"/>
        <v>0</v>
      </c>
      <c r="K17" s="94">
        <f t="shared" si="49"/>
        <v>8354084</v>
      </c>
      <c r="L17" s="94">
        <f t="shared" si="49"/>
        <v>294084</v>
      </c>
      <c r="M17" s="94">
        <f t="shared" si="49"/>
        <v>0</v>
      </c>
      <c r="N17" s="94">
        <f t="shared" si="49"/>
        <v>6360000</v>
      </c>
      <c r="O17" s="94">
        <f t="shared" si="49"/>
        <v>0</v>
      </c>
      <c r="P17" s="94">
        <f t="shared" si="49"/>
        <v>0</v>
      </c>
      <c r="Q17" s="94">
        <f t="shared" si="49"/>
        <v>1700000</v>
      </c>
      <c r="R17" s="94">
        <f t="shared" si="49"/>
        <v>0</v>
      </c>
      <c r="S17" s="94">
        <f t="shared" si="49"/>
        <v>0</v>
      </c>
      <c r="T17" s="70"/>
      <c r="U17" s="94">
        <f>SUM(U18)</f>
        <v>471176.25</v>
      </c>
      <c r="V17" s="94">
        <f t="shared" ref="V17:AF17" si="50">SUM(V18)</f>
        <v>2793600</v>
      </c>
      <c r="W17" s="94">
        <f t="shared" si="50"/>
        <v>0</v>
      </c>
      <c r="X17" s="94">
        <f t="shared" si="50"/>
        <v>3264776.25</v>
      </c>
      <c r="Y17" s="94">
        <f t="shared" si="50"/>
        <v>471176.25</v>
      </c>
      <c r="Z17" s="94">
        <f t="shared" si="50"/>
        <v>0</v>
      </c>
      <c r="AA17" s="94">
        <f t="shared" si="50"/>
        <v>0</v>
      </c>
      <c r="AB17" s="94">
        <f t="shared" si="50"/>
        <v>0</v>
      </c>
      <c r="AC17" s="94">
        <f t="shared" si="50"/>
        <v>0</v>
      </c>
      <c r="AD17" s="94">
        <f t="shared" si="50"/>
        <v>0</v>
      </c>
      <c r="AE17" s="94">
        <f t="shared" si="50"/>
        <v>0</v>
      </c>
      <c r="AF17" s="94">
        <f t="shared" si="50"/>
        <v>-2793600</v>
      </c>
      <c r="AG17" s="70"/>
      <c r="AH17" s="94">
        <f>SUM(AH18)</f>
        <v>235588.125</v>
      </c>
      <c r="AI17" s="94">
        <f t="shared" ref="AI17:AS17" si="51">SUM(AI18)</f>
        <v>5293600</v>
      </c>
      <c r="AJ17" s="94">
        <f t="shared" si="51"/>
        <v>0</v>
      </c>
      <c r="AK17" s="94">
        <f t="shared" si="51"/>
        <v>5529188.125</v>
      </c>
      <c r="AL17" s="94">
        <f t="shared" si="51"/>
        <v>235588.125</v>
      </c>
      <c r="AM17" s="94">
        <f t="shared" si="51"/>
        <v>0</v>
      </c>
      <c r="AN17" s="94">
        <f t="shared" si="51"/>
        <v>0</v>
      </c>
      <c r="AO17" s="94">
        <f t="shared" si="51"/>
        <v>0</v>
      </c>
      <c r="AP17" s="94">
        <f t="shared" si="51"/>
        <v>0</v>
      </c>
      <c r="AQ17" s="94">
        <f t="shared" si="51"/>
        <v>0</v>
      </c>
      <c r="AR17" s="94">
        <f t="shared" si="51"/>
        <v>0</v>
      </c>
      <c r="AS17" s="94">
        <f t="shared" si="51"/>
        <v>-5293600</v>
      </c>
      <c r="AT17" s="70"/>
      <c r="AU17" s="94">
        <f>SUM(AU18)</f>
        <v>235588.125</v>
      </c>
      <c r="AV17" s="94">
        <f t="shared" ref="AV17:BF17" si="52">SUM(AV18)</f>
        <v>5293600</v>
      </c>
      <c r="AW17" s="94">
        <f t="shared" si="52"/>
        <v>0</v>
      </c>
      <c r="AX17" s="94">
        <f t="shared" si="52"/>
        <v>5529188.125</v>
      </c>
      <c r="AY17" s="94">
        <f t="shared" si="52"/>
        <v>235588.125</v>
      </c>
      <c r="AZ17" s="94">
        <f t="shared" si="52"/>
        <v>0</v>
      </c>
      <c r="BA17" s="94">
        <f t="shared" si="52"/>
        <v>0</v>
      </c>
      <c r="BB17" s="94">
        <f t="shared" si="52"/>
        <v>0</v>
      </c>
      <c r="BC17" s="94">
        <f t="shared" si="52"/>
        <v>0</v>
      </c>
      <c r="BD17" s="94">
        <f t="shared" si="52"/>
        <v>0</v>
      </c>
      <c r="BE17" s="94">
        <f t="shared" si="52"/>
        <v>0</v>
      </c>
      <c r="BF17" s="94">
        <f t="shared" si="52"/>
        <v>-5293600</v>
      </c>
      <c r="BG17" s="70"/>
      <c r="BH17" s="94">
        <f>SUM(BH18)</f>
        <v>235588.125</v>
      </c>
      <c r="BI17" s="94">
        <f t="shared" ref="BI17:BS17" si="53">SUM(BI18)</f>
        <v>2793600</v>
      </c>
      <c r="BJ17" s="94">
        <f t="shared" si="53"/>
        <v>0</v>
      </c>
      <c r="BK17" s="94">
        <f t="shared" si="53"/>
        <v>3029188.125</v>
      </c>
      <c r="BL17" s="94">
        <f t="shared" si="53"/>
        <v>235588.125</v>
      </c>
      <c r="BM17" s="94">
        <f t="shared" si="53"/>
        <v>0</v>
      </c>
      <c r="BN17" s="94">
        <f t="shared" si="53"/>
        <v>0</v>
      </c>
      <c r="BO17" s="94">
        <f t="shared" si="53"/>
        <v>0</v>
      </c>
      <c r="BP17" s="94">
        <f t="shared" si="53"/>
        <v>0</v>
      </c>
      <c r="BQ17" s="94">
        <f t="shared" si="53"/>
        <v>0</v>
      </c>
      <c r="BR17" s="94">
        <f t="shared" si="53"/>
        <v>0</v>
      </c>
      <c r="BS17" s="94">
        <f t="shared" si="53"/>
        <v>-2793600</v>
      </c>
      <c r="BT17" s="70"/>
      <c r="BU17" s="94">
        <f>SUM(BU18)</f>
        <v>235588.125</v>
      </c>
      <c r="BV17" s="94">
        <f t="shared" ref="BV17:CF17" si="54">SUM(BV18)</f>
        <v>2793600</v>
      </c>
      <c r="BW17" s="94">
        <f t="shared" si="54"/>
        <v>0</v>
      </c>
      <c r="BX17" s="94">
        <f t="shared" si="54"/>
        <v>3029188.125</v>
      </c>
      <c r="BY17" s="94">
        <f t="shared" si="54"/>
        <v>235588.125</v>
      </c>
      <c r="BZ17" s="94">
        <f t="shared" si="54"/>
        <v>0</v>
      </c>
      <c r="CA17" s="94">
        <f t="shared" si="54"/>
        <v>0</v>
      </c>
      <c r="CB17" s="94">
        <f t="shared" si="54"/>
        <v>0</v>
      </c>
      <c r="CC17" s="94">
        <f t="shared" si="54"/>
        <v>0</v>
      </c>
      <c r="CD17" s="94">
        <f t="shared" si="54"/>
        <v>0</v>
      </c>
      <c r="CE17" s="94">
        <f t="shared" si="54"/>
        <v>0</v>
      </c>
      <c r="CF17" s="94">
        <f t="shared" si="54"/>
        <v>-2793600</v>
      </c>
      <c r="CG17" s="70"/>
      <c r="CH17" s="94">
        <f>SUM(CH18)</f>
        <v>235588.125</v>
      </c>
      <c r="CI17" s="94">
        <f t="shared" ref="CI17:CS17" si="55">SUM(CI18)</f>
        <v>2793600</v>
      </c>
      <c r="CJ17" s="94">
        <f t="shared" si="55"/>
        <v>0</v>
      </c>
      <c r="CK17" s="94">
        <f t="shared" si="55"/>
        <v>3029188.125</v>
      </c>
      <c r="CL17" s="94">
        <f t="shared" si="55"/>
        <v>235588.125</v>
      </c>
      <c r="CM17" s="94">
        <f t="shared" si="55"/>
        <v>0</v>
      </c>
      <c r="CN17" s="94">
        <f t="shared" si="55"/>
        <v>0</v>
      </c>
      <c r="CO17" s="94">
        <f t="shared" si="55"/>
        <v>0</v>
      </c>
      <c r="CP17" s="94">
        <f t="shared" si="55"/>
        <v>0</v>
      </c>
      <c r="CQ17" s="94">
        <f t="shared" si="55"/>
        <v>0</v>
      </c>
      <c r="CR17" s="94">
        <f t="shared" si="55"/>
        <v>0</v>
      </c>
      <c r="CS17" s="94">
        <f t="shared" si="55"/>
        <v>-2793600</v>
      </c>
      <c r="CT17" s="70"/>
      <c r="CU17" s="94">
        <f>SUM(CU18)</f>
        <v>235588.125</v>
      </c>
      <c r="CV17" s="94">
        <f t="shared" ref="CV17:DF17" si="56">SUM(CV18)</f>
        <v>2793600</v>
      </c>
      <c r="CW17" s="94">
        <f t="shared" si="56"/>
        <v>0</v>
      </c>
      <c r="CX17" s="94">
        <f t="shared" si="56"/>
        <v>3029188.125</v>
      </c>
      <c r="CY17" s="94">
        <f t="shared" si="56"/>
        <v>235588.125</v>
      </c>
      <c r="CZ17" s="94">
        <f t="shared" si="56"/>
        <v>0</v>
      </c>
      <c r="DA17" s="94">
        <f t="shared" si="56"/>
        <v>0</v>
      </c>
      <c r="DB17" s="94">
        <f t="shared" si="56"/>
        <v>0</v>
      </c>
      <c r="DC17" s="94">
        <f t="shared" si="56"/>
        <v>0</v>
      </c>
      <c r="DD17" s="94">
        <f t="shared" si="56"/>
        <v>0</v>
      </c>
      <c r="DE17" s="94">
        <f t="shared" si="56"/>
        <v>0</v>
      </c>
      <c r="DF17" s="94">
        <f t="shared" si="56"/>
        <v>-2793600</v>
      </c>
      <c r="DG17" s="70"/>
      <c r="DH17" s="94">
        <f>SUM(DH18)</f>
        <v>235588.125</v>
      </c>
      <c r="DI17" s="94">
        <f t="shared" ref="DI17:DS17" si="57">SUM(DI18)</f>
        <v>2793600</v>
      </c>
      <c r="DJ17" s="94">
        <f t="shared" si="57"/>
        <v>0</v>
      </c>
      <c r="DK17" s="94">
        <f t="shared" si="57"/>
        <v>3029188.125</v>
      </c>
      <c r="DL17" s="94">
        <f t="shared" si="57"/>
        <v>235588.125</v>
      </c>
      <c r="DM17" s="94">
        <f t="shared" si="57"/>
        <v>0</v>
      </c>
      <c r="DN17" s="94">
        <f t="shared" si="57"/>
        <v>0</v>
      </c>
      <c r="DO17" s="94">
        <f t="shared" si="57"/>
        <v>0</v>
      </c>
      <c r="DP17" s="94">
        <f t="shared" si="57"/>
        <v>0</v>
      </c>
      <c r="DQ17" s="94">
        <f t="shared" si="57"/>
        <v>0</v>
      </c>
      <c r="DR17" s="94">
        <f t="shared" si="57"/>
        <v>0</v>
      </c>
      <c r="DS17" s="94">
        <f t="shared" si="57"/>
        <v>-2793600</v>
      </c>
      <c r="DT17" s="70"/>
      <c r="DU17" s="94">
        <f>SUM(DU18)</f>
        <v>235588.125</v>
      </c>
      <c r="DV17" s="94">
        <f t="shared" ref="DV17:EF17" si="58">SUM(DV18)</f>
        <v>2793600</v>
      </c>
      <c r="DW17" s="94">
        <f t="shared" si="58"/>
        <v>0</v>
      </c>
      <c r="DX17" s="94">
        <f t="shared" si="58"/>
        <v>3029188.125</v>
      </c>
      <c r="DY17" s="94">
        <f t="shared" si="58"/>
        <v>235588.125</v>
      </c>
      <c r="DZ17" s="94">
        <f t="shared" si="58"/>
        <v>0</v>
      </c>
      <c r="EA17" s="94">
        <f t="shared" si="58"/>
        <v>0</v>
      </c>
      <c r="EB17" s="94">
        <f t="shared" si="58"/>
        <v>0</v>
      </c>
      <c r="EC17" s="94">
        <f t="shared" si="58"/>
        <v>0</v>
      </c>
      <c r="ED17" s="94">
        <f t="shared" si="58"/>
        <v>0</v>
      </c>
      <c r="EE17" s="94">
        <f t="shared" si="58"/>
        <v>0</v>
      </c>
      <c r="EF17" s="94">
        <f t="shared" si="58"/>
        <v>-2793600</v>
      </c>
      <c r="EG17" s="70"/>
      <c r="EH17" s="94">
        <f t="shared" ref="EH17:ES17" si="59">SUM(EH18)</f>
        <v>2649965.25</v>
      </c>
      <c r="EI17" s="94">
        <f t="shared" si="59"/>
        <v>38202400</v>
      </c>
      <c r="EJ17" s="94">
        <f t="shared" si="59"/>
        <v>0</v>
      </c>
      <c r="EK17" s="94">
        <f t="shared" si="59"/>
        <v>40852365.25</v>
      </c>
      <c r="EL17" s="94">
        <f t="shared" si="59"/>
        <v>2649965.25</v>
      </c>
      <c r="EM17" s="94">
        <f t="shared" si="59"/>
        <v>0</v>
      </c>
      <c r="EN17" s="94">
        <f t="shared" si="59"/>
        <v>6360000</v>
      </c>
      <c r="EO17" s="94">
        <f t="shared" si="59"/>
        <v>0</v>
      </c>
      <c r="EP17" s="94">
        <f t="shared" si="59"/>
        <v>0</v>
      </c>
      <c r="EQ17" s="94">
        <f t="shared" si="59"/>
        <v>1700000</v>
      </c>
      <c r="ER17" s="94">
        <f t="shared" si="59"/>
        <v>0</v>
      </c>
      <c r="ES17" s="94">
        <f t="shared" si="59"/>
        <v>-30142400</v>
      </c>
      <c r="EU17" s="194">
        <f t="shared" si="23"/>
        <v>8060000</v>
      </c>
      <c r="EW17" s="194">
        <f t="shared" si="24"/>
        <v>-30142400</v>
      </c>
      <c r="EX17" s="194">
        <f t="shared" si="21"/>
        <v>0</v>
      </c>
    </row>
    <row r="18" spans="1:154" s="77" customFormat="1" ht="51" x14ac:dyDescent="0.25">
      <c r="A18" s="82"/>
      <c r="B18" s="88"/>
      <c r="C18" s="86"/>
      <c r="D18" s="193" t="str">
        <f>'Incremental_Cost Year 1'!D44</f>
        <v>07450 Shërbime të Shëndetit Publik/07220 Shërbime të Kujdesit Shëndetësor Parësor</v>
      </c>
      <c r="E18" s="193" t="str">
        <f>'Incremental_Cost Year 1'!E44</f>
        <v>1.4.1 Zbatimi i ndërhyrjeve në individë dhe në popullatë për të reduktuar SJT-të dhe faktorët e tyre të rrezikut</v>
      </c>
      <c r="F18" s="96">
        <f>'Incremental_Cost Year 1'!F19</f>
        <v>2024</v>
      </c>
      <c r="G18" s="96">
        <f>'Incremental_Cost Year 1'!G19</f>
        <v>2027</v>
      </c>
      <c r="H18" s="92">
        <f>'Incremental_Cost Year 1'!AQ44</f>
        <v>294084</v>
      </c>
      <c r="I18" s="92">
        <f>'Incremental_Cost Year 1'!AR44</f>
        <v>8060000</v>
      </c>
      <c r="J18" s="92">
        <f>'Incremental_Cost Year 1'!AS44</f>
        <v>0</v>
      </c>
      <c r="K18" s="92">
        <f>'Incremental_Cost Year 1'!AT44</f>
        <v>8354084</v>
      </c>
      <c r="L18" s="92">
        <f>'Incremental_Cost Year 1'!AU44</f>
        <v>294084</v>
      </c>
      <c r="M18" s="92">
        <f>'Incremental_Cost Year 1'!AV44</f>
        <v>0</v>
      </c>
      <c r="N18" s="92">
        <f>'Incremental_Cost Year 1'!AW44</f>
        <v>6360000</v>
      </c>
      <c r="O18" s="92">
        <f>'Incremental_Cost Year 1'!AX44</f>
        <v>0</v>
      </c>
      <c r="P18" s="92">
        <f>'Incremental_Cost Year 1'!AY44</f>
        <v>0</v>
      </c>
      <c r="Q18" s="92">
        <f>'Incremental_Cost Year 1'!AZ44</f>
        <v>1700000</v>
      </c>
      <c r="R18" s="92">
        <f>'Incremental_Cost Year 1'!BA44</f>
        <v>0</v>
      </c>
      <c r="S18" s="92">
        <f>'Incremental_Cost Year 1'!BB44</f>
        <v>0</v>
      </c>
      <c r="T18" s="70"/>
      <c r="U18" s="92">
        <f>'Incremental_Cost Year 2'!AQ44</f>
        <v>471176.25</v>
      </c>
      <c r="V18" s="92">
        <f>'Incremental_Cost Year 2'!AR44</f>
        <v>2793600</v>
      </c>
      <c r="W18" s="92">
        <f>'Incremental_Cost Year 2'!AS44</f>
        <v>0</v>
      </c>
      <c r="X18" s="92">
        <f>'Incremental_Cost Year 2'!AT44</f>
        <v>3264776.25</v>
      </c>
      <c r="Y18" s="92">
        <f>'Incremental_Cost Year 2'!AU44</f>
        <v>471176.25</v>
      </c>
      <c r="Z18" s="92">
        <f>'Incremental_Cost Year 2'!AV44</f>
        <v>0</v>
      </c>
      <c r="AA18" s="92">
        <f>'Incremental_Cost Year 2'!AW44</f>
        <v>0</v>
      </c>
      <c r="AB18" s="92">
        <f>'Incremental_Cost Year 2'!AX44</f>
        <v>0</v>
      </c>
      <c r="AC18" s="92">
        <f>'Incremental_Cost Year 2'!AY44</f>
        <v>0</v>
      </c>
      <c r="AD18" s="92">
        <f>'Incremental_Cost Year 2'!AZ44</f>
        <v>0</v>
      </c>
      <c r="AE18" s="92">
        <f>'Incremental_Cost Year 2'!BA44</f>
        <v>0</v>
      </c>
      <c r="AF18" s="92">
        <f>'Incremental_Cost Year 2'!BB44</f>
        <v>-2793600</v>
      </c>
      <c r="AG18" s="70"/>
      <c r="AH18" s="92">
        <f>'Incremental_Cost Year 3'!AQ44</f>
        <v>235588.125</v>
      </c>
      <c r="AI18" s="92">
        <f>'Incremental_Cost Year 3'!AR44</f>
        <v>5293600</v>
      </c>
      <c r="AJ18" s="92">
        <f>'Incremental_Cost Year 3'!AS44</f>
        <v>0</v>
      </c>
      <c r="AK18" s="92">
        <f>'Incremental_Cost Year 3'!AT44</f>
        <v>5529188.125</v>
      </c>
      <c r="AL18" s="92">
        <f>'Incremental_Cost Year 3'!AU44</f>
        <v>235588.125</v>
      </c>
      <c r="AM18" s="92">
        <f>'Incremental_Cost Year 3'!AV44</f>
        <v>0</v>
      </c>
      <c r="AN18" s="92">
        <f>'Incremental_Cost Year 3'!AW44</f>
        <v>0</v>
      </c>
      <c r="AO18" s="92">
        <f>'Incremental_Cost Year 3'!AX44</f>
        <v>0</v>
      </c>
      <c r="AP18" s="92">
        <f>'Incremental_Cost Year 3'!AY44</f>
        <v>0</v>
      </c>
      <c r="AQ18" s="92">
        <f>'Incremental_Cost Year 3'!AZ44</f>
        <v>0</v>
      </c>
      <c r="AR18" s="92">
        <f>'Incremental_Cost Year 3'!BA44</f>
        <v>0</v>
      </c>
      <c r="AS18" s="92">
        <f>'Incremental_Cost Year 3'!BB44</f>
        <v>-5293600</v>
      </c>
      <c r="AT18" s="70"/>
      <c r="AU18" s="92">
        <f>'Incremental_Cost Year 4'!AQ44</f>
        <v>235588.125</v>
      </c>
      <c r="AV18" s="92">
        <f>'Incremental_Cost Year 4'!AR44</f>
        <v>5293600</v>
      </c>
      <c r="AW18" s="92">
        <f>'Incremental_Cost Year 4'!AS44</f>
        <v>0</v>
      </c>
      <c r="AX18" s="92">
        <f>'Incremental_Cost Year 4'!AT44</f>
        <v>5529188.125</v>
      </c>
      <c r="AY18" s="92">
        <f>'Incremental_Cost Year 4'!AU44</f>
        <v>235588.125</v>
      </c>
      <c r="AZ18" s="92">
        <f>'Incremental_Cost Year 4'!AV44</f>
        <v>0</v>
      </c>
      <c r="BA18" s="92">
        <f>'Incremental_Cost Year 4'!AW44</f>
        <v>0</v>
      </c>
      <c r="BB18" s="92">
        <f>'Incremental_Cost Year 4'!AX44</f>
        <v>0</v>
      </c>
      <c r="BC18" s="92">
        <f>'Incremental_Cost Year 4'!AY44</f>
        <v>0</v>
      </c>
      <c r="BD18" s="92">
        <f>'Incremental_Cost Year 4'!AZ44</f>
        <v>0</v>
      </c>
      <c r="BE18" s="92">
        <f>'Incremental_Cost Year 4'!BA44</f>
        <v>0</v>
      </c>
      <c r="BF18" s="92">
        <f>'Incremental_Cost Year 4'!BB44</f>
        <v>-5293600</v>
      </c>
      <c r="BG18" s="70"/>
      <c r="BH18" s="92">
        <f>'Incremental_Cost Year 5'!AQ44</f>
        <v>235588.125</v>
      </c>
      <c r="BI18" s="92">
        <f>'Incremental_Cost Year 5'!AR44</f>
        <v>2793600</v>
      </c>
      <c r="BJ18" s="92">
        <f>'Incremental_Cost Year 5'!AS44</f>
        <v>0</v>
      </c>
      <c r="BK18" s="92">
        <f>'Incremental_Cost Year 5'!AT44</f>
        <v>3029188.125</v>
      </c>
      <c r="BL18" s="92">
        <f>'Incremental_Cost Year 5'!AU44</f>
        <v>235588.125</v>
      </c>
      <c r="BM18" s="92">
        <f>'Incremental_Cost Year 5'!AV44</f>
        <v>0</v>
      </c>
      <c r="BN18" s="92">
        <f>'Incremental_Cost Year 5'!AW44</f>
        <v>0</v>
      </c>
      <c r="BO18" s="92">
        <f>'Incremental_Cost Year 5'!AX44</f>
        <v>0</v>
      </c>
      <c r="BP18" s="92">
        <f>'Incremental_Cost Year 5'!AY44</f>
        <v>0</v>
      </c>
      <c r="BQ18" s="92">
        <f>'Incremental_Cost Year 5'!AZ44</f>
        <v>0</v>
      </c>
      <c r="BR18" s="92">
        <f>'Incremental_Cost Year 5'!BA44</f>
        <v>0</v>
      </c>
      <c r="BS18" s="92">
        <f>'Incremental_Cost Year 5'!BB44</f>
        <v>-2793600</v>
      </c>
      <c r="BT18" s="70"/>
      <c r="BU18" s="92">
        <f>'Incremental_Cost Year 6'!AQ44</f>
        <v>235588.125</v>
      </c>
      <c r="BV18" s="92">
        <f>'Incremental_Cost Year 6'!AR44</f>
        <v>2793600</v>
      </c>
      <c r="BW18" s="92">
        <f>'Incremental_Cost Year 6'!AS44</f>
        <v>0</v>
      </c>
      <c r="BX18" s="92">
        <f>'Incremental_Cost Year 6'!AT44</f>
        <v>3029188.125</v>
      </c>
      <c r="BY18" s="92">
        <f>'Incremental_Cost Year 6'!AU44</f>
        <v>235588.125</v>
      </c>
      <c r="BZ18" s="92">
        <f>'Incremental_Cost Year 6'!AV44</f>
        <v>0</v>
      </c>
      <c r="CA18" s="92">
        <f>'Incremental_Cost Year 6'!AW44</f>
        <v>0</v>
      </c>
      <c r="CB18" s="92">
        <f>'Incremental_Cost Year 6'!AX44</f>
        <v>0</v>
      </c>
      <c r="CC18" s="92">
        <f>'Incremental_Cost Year 6'!AY44</f>
        <v>0</v>
      </c>
      <c r="CD18" s="92">
        <f>'Incremental_Cost Year 6'!AZ44</f>
        <v>0</v>
      </c>
      <c r="CE18" s="92">
        <f>'Incremental_Cost Year 6'!BA44</f>
        <v>0</v>
      </c>
      <c r="CF18" s="92">
        <f>'Incremental_Cost Year 6'!BB44</f>
        <v>-2793600</v>
      </c>
      <c r="CG18" s="70"/>
      <c r="CH18" s="92">
        <f>'Incremental_Cost Year 7'!AQ44</f>
        <v>235588.125</v>
      </c>
      <c r="CI18" s="92">
        <f>'Incremental_Cost Year 7'!AR44</f>
        <v>2793600</v>
      </c>
      <c r="CJ18" s="92">
        <f>'Incremental_Cost Year 7'!AS44</f>
        <v>0</v>
      </c>
      <c r="CK18" s="92">
        <f>'Incremental_Cost Year 7'!AT44</f>
        <v>3029188.125</v>
      </c>
      <c r="CL18" s="92">
        <f>'Incremental_Cost Year 7'!AU44</f>
        <v>235588.125</v>
      </c>
      <c r="CM18" s="92">
        <f>'Incremental_Cost Year 7'!AV44</f>
        <v>0</v>
      </c>
      <c r="CN18" s="92">
        <f>'Incremental_Cost Year 7'!AW44</f>
        <v>0</v>
      </c>
      <c r="CO18" s="92">
        <f>'Incremental_Cost Year 7'!AX44</f>
        <v>0</v>
      </c>
      <c r="CP18" s="92">
        <f>'Incremental_Cost Year 7'!AY44</f>
        <v>0</v>
      </c>
      <c r="CQ18" s="92">
        <f>'Incremental_Cost Year 7'!AZ44</f>
        <v>0</v>
      </c>
      <c r="CR18" s="92">
        <f>'Incremental_Cost Year 7'!BA44</f>
        <v>0</v>
      </c>
      <c r="CS18" s="92">
        <f>'Incremental_Cost Year 7'!BB44</f>
        <v>-2793600</v>
      </c>
      <c r="CT18" s="70"/>
      <c r="CU18" s="92">
        <f>'Incremental_Cost Year 8'!AQ44</f>
        <v>235588.125</v>
      </c>
      <c r="CV18" s="92">
        <f>'Incremental_Cost Year 8'!AR44</f>
        <v>2793600</v>
      </c>
      <c r="CW18" s="92">
        <f>'Incremental_Cost Year 8'!AS44</f>
        <v>0</v>
      </c>
      <c r="CX18" s="92">
        <f>'Incremental_Cost Year 8'!AT44</f>
        <v>3029188.125</v>
      </c>
      <c r="CY18" s="92">
        <f>'Incremental_Cost Year 8'!AU44</f>
        <v>235588.125</v>
      </c>
      <c r="CZ18" s="92">
        <f>'Incremental_Cost Year 8'!AV44</f>
        <v>0</v>
      </c>
      <c r="DA18" s="92">
        <f>'Incremental_Cost Year 8'!AW44</f>
        <v>0</v>
      </c>
      <c r="DB18" s="92">
        <f>'Incremental_Cost Year 8'!AX44</f>
        <v>0</v>
      </c>
      <c r="DC18" s="92">
        <f>'Incremental_Cost Year 8'!AY44</f>
        <v>0</v>
      </c>
      <c r="DD18" s="92">
        <f>'Incremental_Cost Year 8'!AZ44</f>
        <v>0</v>
      </c>
      <c r="DE18" s="92">
        <f>'Incremental_Cost Year 8'!BA44</f>
        <v>0</v>
      </c>
      <c r="DF18" s="92">
        <f>'Incremental_Cost Year 8'!BB44</f>
        <v>-2793600</v>
      </c>
      <c r="DG18" s="70"/>
      <c r="DH18" s="92">
        <f>'Incremental_Cost Year 9'!AQ44</f>
        <v>235588.125</v>
      </c>
      <c r="DI18" s="92">
        <f>'Incremental_Cost Year 9'!AR44</f>
        <v>2793600</v>
      </c>
      <c r="DJ18" s="92">
        <f>'Incremental_Cost Year 9'!AS44</f>
        <v>0</v>
      </c>
      <c r="DK18" s="92">
        <f>'Incremental_Cost Year 9'!AT44</f>
        <v>3029188.125</v>
      </c>
      <c r="DL18" s="92">
        <f>'Incremental_Cost Year 9'!AU44</f>
        <v>235588.125</v>
      </c>
      <c r="DM18" s="92">
        <f>'Incremental_Cost Year 9'!AV44</f>
        <v>0</v>
      </c>
      <c r="DN18" s="92">
        <f>'Incremental_Cost Year 9'!AW44</f>
        <v>0</v>
      </c>
      <c r="DO18" s="92">
        <f>'Incremental_Cost Year 9'!AX44</f>
        <v>0</v>
      </c>
      <c r="DP18" s="92">
        <f>'Incremental_Cost Year 9'!AY44</f>
        <v>0</v>
      </c>
      <c r="DQ18" s="92">
        <f>'Incremental_Cost Year 9'!AZ44</f>
        <v>0</v>
      </c>
      <c r="DR18" s="92">
        <f>'Incremental_Cost Year 9'!BA44</f>
        <v>0</v>
      </c>
      <c r="DS18" s="92">
        <f>'Incremental_Cost Year 9'!BB44</f>
        <v>-2793600</v>
      </c>
      <c r="DT18" s="70"/>
      <c r="DU18" s="92">
        <f>'Incremental_Cost Year 10'!AQ44</f>
        <v>235588.125</v>
      </c>
      <c r="DV18" s="92">
        <f>'Incremental_Cost Year 10'!AR44</f>
        <v>2793600</v>
      </c>
      <c r="DW18" s="92">
        <f>'Incremental_Cost Year 10'!AS44</f>
        <v>0</v>
      </c>
      <c r="DX18" s="92">
        <f>'Incremental_Cost Year 10'!AT44</f>
        <v>3029188.125</v>
      </c>
      <c r="DY18" s="92">
        <f>'Incremental_Cost Year 10'!AU44</f>
        <v>235588.125</v>
      </c>
      <c r="DZ18" s="92">
        <f>'Incremental_Cost Year 10'!AV44</f>
        <v>0</v>
      </c>
      <c r="EA18" s="92">
        <f>'Incremental_Cost Year 10'!AW44</f>
        <v>0</v>
      </c>
      <c r="EB18" s="92">
        <f>'Incremental_Cost Year 10'!AX44</f>
        <v>0</v>
      </c>
      <c r="EC18" s="92">
        <f>'Incremental_Cost Year 10'!AY44</f>
        <v>0</v>
      </c>
      <c r="ED18" s="92">
        <f>'Incremental_Cost Year 10'!AZ44</f>
        <v>0</v>
      </c>
      <c r="EE18" s="92">
        <f>'Incremental_Cost Year 10'!BA44</f>
        <v>0</v>
      </c>
      <c r="EF18" s="92">
        <f>'Incremental_Cost Year 10'!BB44</f>
        <v>-2793600</v>
      </c>
      <c r="EG18" s="70"/>
      <c r="EH18" s="92">
        <f t="shared" ref="EH18:ES18" si="60">H18+U18+AH18+AU18+BH18+BU18+CH18+CU18+DH18+DU18</f>
        <v>2649965.25</v>
      </c>
      <c r="EI18" s="92">
        <f t="shared" si="60"/>
        <v>38202400</v>
      </c>
      <c r="EJ18" s="92">
        <f t="shared" si="60"/>
        <v>0</v>
      </c>
      <c r="EK18" s="92">
        <f t="shared" si="60"/>
        <v>40852365.25</v>
      </c>
      <c r="EL18" s="92">
        <f t="shared" si="60"/>
        <v>2649965.25</v>
      </c>
      <c r="EM18" s="92">
        <f t="shared" si="60"/>
        <v>0</v>
      </c>
      <c r="EN18" s="92">
        <f t="shared" si="60"/>
        <v>6360000</v>
      </c>
      <c r="EO18" s="92">
        <f t="shared" si="60"/>
        <v>0</v>
      </c>
      <c r="EP18" s="92">
        <f t="shared" si="60"/>
        <v>0</v>
      </c>
      <c r="EQ18" s="92">
        <f t="shared" si="60"/>
        <v>1700000</v>
      </c>
      <c r="ER18" s="92">
        <f t="shared" si="60"/>
        <v>0</v>
      </c>
      <c r="ES18" s="92">
        <f t="shared" si="60"/>
        <v>-30142400</v>
      </c>
      <c r="EU18" s="194">
        <f t="shared" si="23"/>
        <v>8060000</v>
      </c>
      <c r="EW18" s="194">
        <f t="shared" si="24"/>
        <v>-30142400</v>
      </c>
      <c r="EX18" s="194">
        <f t="shared" si="21"/>
        <v>0</v>
      </c>
    </row>
    <row r="19" spans="1:154" s="77" customFormat="1" ht="27" customHeight="1" x14ac:dyDescent="0.25">
      <c r="A19" s="83"/>
      <c r="B19" s="89"/>
      <c r="C19" s="426" t="str">
        <f>'Incremental_Cost Year 1'!C45:E45</f>
        <v>1.5 Objektivi specifik: Përmirësimi i shëndetit të nënës dhe fëmijës, adoleshentëve, si dhe shëndeti seksual dhe riprodhues</v>
      </c>
      <c r="D19" s="426"/>
      <c r="E19" s="427"/>
      <c r="F19" s="98"/>
      <c r="G19" s="98"/>
      <c r="H19" s="94">
        <f>SUM(H20:H22)</f>
        <v>315687734.0657143</v>
      </c>
      <c r="I19" s="94">
        <f t="shared" ref="I19:S19" si="61">SUM(I20:I22)</f>
        <v>14860000</v>
      </c>
      <c r="J19" s="94">
        <f t="shared" si="61"/>
        <v>0</v>
      </c>
      <c r="K19" s="94">
        <f t="shared" si="61"/>
        <v>330547734.0657143</v>
      </c>
      <c r="L19" s="94">
        <f t="shared" si="61"/>
        <v>327747733.8157143</v>
      </c>
      <c r="M19" s="94">
        <f t="shared" si="61"/>
        <v>0</v>
      </c>
      <c r="N19" s="94">
        <f t="shared" si="61"/>
        <v>0</v>
      </c>
      <c r="O19" s="94">
        <f t="shared" si="61"/>
        <v>2800000</v>
      </c>
      <c r="P19" s="94">
        <f t="shared" si="61"/>
        <v>0</v>
      </c>
      <c r="Q19" s="94">
        <f t="shared" si="61"/>
        <v>0</v>
      </c>
      <c r="R19" s="94">
        <f t="shared" si="61"/>
        <v>0</v>
      </c>
      <c r="S19" s="94">
        <f t="shared" si="61"/>
        <v>-0.25</v>
      </c>
      <c r="T19" s="70"/>
      <c r="U19" s="94">
        <f>SUM(U20:U22)</f>
        <v>1256222773.272857</v>
      </c>
      <c r="V19" s="94">
        <f t="shared" ref="V19:AF19" si="62">SUM(V20:V22)</f>
        <v>14460000</v>
      </c>
      <c r="W19" s="94">
        <f t="shared" si="62"/>
        <v>0</v>
      </c>
      <c r="X19" s="94">
        <f t="shared" si="62"/>
        <v>1270682773.272857</v>
      </c>
      <c r="Y19" s="94">
        <f t="shared" si="62"/>
        <v>1268282773.272857</v>
      </c>
      <c r="Z19" s="94">
        <f t="shared" si="62"/>
        <v>0</v>
      </c>
      <c r="AA19" s="94">
        <f t="shared" si="62"/>
        <v>0</v>
      </c>
      <c r="AB19" s="94">
        <f t="shared" si="62"/>
        <v>0</v>
      </c>
      <c r="AC19" s="94">
        <f t="shared" si="62"/>
        <v>1393200</v>
      </c>
      <c r="AD19" s="94">
        <f t="shared" si="62"/>
        <v>0</v>
      </c>
      <c r="AE19" s="94">
        <f t="shared" si="62"/>
        <v>0</v>
      </c>
      <c r="AF19" s="94">
        <f t="shared" si="62"/>
        <v>-1006800</v>
      </c>
      <c r="AG19" s="70"/>
      <c r="AH19" s="94">
        <f>SUM(AH20:AH22)</f>
        <v>1256222773.272857</v>
      </c>
      <c r="AI19" s="94">
        <f t="shared" ref="AI19:AS19" si="63">SUM(AI20:AI22)</f>
        <v>13920000</v>
      </c>
      <c r="AJ19" s="94">
        <f t="shared" si="63"/>
        <v>0</v>
      </c>
      <c r="AK19" s="94">
        <f t="shared" si="63"/>
        <v>1270142773.272857</v>
      </c>
      <c r="AL19" s="94">
        <f t="shared" si="63"/>
        <v>1268282773.272857</v>
      </c>
      <c r="AM19" s="94">
        <f t="shared" si="63"/>
        <v>0</v>
      </c>
      <c r="AN19" s="94">
        <f t="shared" si="63"/>
        <v>0</v>
      </c>
      <c r="AO19" s="94">
        <f t="shared" si="63"/>
        <v>0</v>
      </c>
      <c r="AP19" s="94">
        <f t="shared" si="63"/>
        <v>1393200</v>
      </c>
      <c r="AQ19" s="94">
        <f t="shared" si="63"/>
        <v>0</v>
      </c>
      <c r="AR19" s="94">
        <f t="shared" si="63"/>
        <v>0</v>
      </c>
      <c r="AS19" s="94">
        <f t="shared" si="63"/>
        <v>-466800</v>
      </c>
      <c r="AT19" s="70"/>
      <c r="AU19" s="94">
        <f>SUM(AU20:AU22)</f>
        <v>1255845832.272857</v>
      </c>
      <c r="AV19" s="94">
        <f t="shared" ref="AV19:BF19" si="64">SUM(AV20:AV22)</f>
        <v>13453200</v>
      </c>
      <c r="AW19" s="94">
        <f t="shared" si="64"/>
        <v>0</v>
      </c>
      <c r="AX19" s="94">
        <f t="shared" si="64"/>
        <v>1269299032.272857</v>
      </c>
      <c r="AY19" s="94">
        <f t="shared" si="64"/>
        <v>1267905832.272857</v>
      </c>
      <c r="AZ19" s="94">
        <f t="shared" si="64"/>
        <v>0</v>
      </c>
      <c r="BA19" s="94">
        <f t="shared" si="64"/>
        <v>0</v>
      </c>
      <c r="BB19" s="94">
        <f t="shared" si="64"/>
        <v>0</v>
      </c>
      <c r="BC19" s="94">
        <f t="shared" si="64"/>
        <v>1393200</v>
      </c>
      <c r="BD19" s="94">
        <f t="shared" si="64"/>
        <v>0</v>
      </c>
      <c r="BE19" s="94">
        <f t="shared" si="64"/>
        <v>0</v>
      </c>
      <c r="BF19" s="94">
        <f t="shared" si="64"/>
        <v>0</v>
      </c>
      <c r="BG19" s="70"/>
      <c r="BH19" s="94">
        <f>SUM(BH20:BH22)</f>
        <v>1255563126.522857</v>
      </c>
      <c r="BI19" s="94">
        <f t="shared" ref="BI19:BS19" si="65">SUM(BI20:BI22)</f>
        <v>12060000</v>
      </c>
      <c r="BJ19" s="94">
        <f t="shared" si="65"/>
        <v>0</v>
      </c>
      <c r="BK19" s="94">
        <f t="shared" si="65"/>
        <v>1267623126.522857</v>
      </c>
      <c r="BL19" s="94">
        <f t="shared" si="65"/>
        <v>1267623126.522857</v>
      </c>
      <c r="BM19" s="94">
        <f t="shared" si="65"/>
        <v>0</v>
      </c>
      <c r="BN19" s="94">
        <f t="shared" si="65"/>
        <v>0</v>
      </c>
      <c r="BO19" s="94">
        <f t="shared" si="65"/>
        <v>0</v>
      </c>
      <c r="BP19" s="94">
        <f t="shared" si="65"/>
        <v>0</v>
      </c>
      <c r="BQ19" s="94">
        <f t="shared" si="65"/>
        <v>0</v>
      </c>
      <c r="BR19" s="94">
        <f t="shared" si="65"/>
        <v>0</v>
      </c>
      <c r="BS19" s="94">
        <f t="shared" si="65"/>
        <v>0</v>
      </c>
      <c r="BT19" s="70"/>
      <c r="BU19" s="94">
        <f>SUM(BU20:BU22)</f>
        <v>1255563126.522857</v>
      </c>
      <c r="BV19" s="94">
        <f t="shared" ref="BV19:CF19" si="66">SUM(BV20:BV22)</f>
        <v>12060000</v>
      </c>
      <c r="BW19" s="94">
        <f t="shared" si="66"/>
        <v>0</v>
      </c>
      <c r="BX19" s="94">
        <f t="shared" si="66"/>
        <v>1267623126.522857</v>
      </c>
      <c r="BY19" s="94">
        <f t="shared" si="66"/>
        <v>1267623126.522857</v>
      </c>
      <c r="BZ19" s="94">
        <f t="shared" si="66"/>
        <v>0</v>
      </c>
      <c r="CA19" s="94">
        <f t="shared" si="66"/>
        <v>0</v>
      </c>
      <c r="CB19" s="94">
        <f t="shared" si="66"/>
        <v>0</v>
      </c>
      <c r="CC19" s="94">
        <f t="shared" si="66"/>
        <v>0</v>
      </c>
      <c r="CD19" s="94">
        <f t="shared" si="66"/>
        <v>0</v>
      </c>
      <c r="CE19" s="94">
        <f t="shared" si="66"/>
        <v>0</v>
      </c>
      <c r="CF19" s="94">
        <f t="shared" si="66"/>
        <v>0</v>
      </c>
      <c r="CG19" s="70"/>
      <c r="CH19" s="94">
        <f>SUM(CH20:CH22)</f>
        <v>1255563126.522857</v>
      </c>
      <c r="CI19" s="94">
        <f t="shared" ref="CI19:CS19" si="67">SUM(CI20:CI22)</f>
        <v>12060000</v>
      </c>
      <c r="CJ19" s="94">
        <f t="shared" si="67"/>
        <v>0</v>
      </c>
      <c r="CK19" s="94">
        <f t="shared" si="67"/>
        <v>1267623126.522857</v>
      </c>
      <c r="CL19" s="94">
        <f t="shared" si="67"/>
        <v>1267623126.522857</v>
      </c>
      <c r="CM19" s="94">
        <f t="shared" si="67"/>
        <v>0</v>
      </c>
      <c r="CN19" s="94">
        <f t="shared" si="67"/>
        <v>0</v>
      </c>
      <c r="CO19" s="94">
        <f t="shared" si="67"/>
        <v>0</v>
      </c>
      <c r="CP19" s="94">
        <f t="shared" si="67"/>
        <v>0</v>
      </c>
      <c r="CQ19" s="94">
        <f t="shared" si="67"/>
        <v>0</v>
      </c>
      <c r="CR19" s="94">
        <f t="shared" si="67"/>
        <v>0</v>
      </c>
      <c r="CS19" s="94">
        <f t="shared" si="67"/>
        <v>0</v>
      </c>
      <c r="CT19" s="70"/>
      <c r="CU19" s="94">
        <f>SUM(CU20:CU22)</f>
        <v>1255563126.522857</v>
      </c>
      <c r="CV19" s="94">
        <f t="shared" ref="CV19:DF19" si="68">SUM(CV20:CV22)</f>
        <v>10050000</v>
      </c>
      <c r="CW19" s="94">
        <f t="shared" si="68"/>
        <v>0</v>
      </c>
      <c r="CX19" s="94">
        <f t="shared" si="68"/>
        <v>1265613126.522857</v>
      </c>
      <c r="CY19" s="94">
        <f t="shared" si="68"/>
        <v>1265613126.522857</v>
      </c>
      <c r="CZ19" s="94">
        <f t="shared" si="68"/>
        <v>0</v>
      </c>
      <c r="DA19" s="94">
        <f t="shared" si="68"/>
        <v>0</v>
      </c>
      <c r="DB19" s="94">
        <f t="shared" si="68"/>
        <v>0</v>
      </c>
      <c r="DC19" s="94">
        <f t="shared" si="68"/>
        <v>0</v>
      </c>
      <c r="DD19" s="94">
        <f t="shared" si="68"/>
        <v>0</v>
      </c>
      <c r="DE19" s="94">
        <f t="shared" si="68"/>
        <v>0</v>
      </c>
      <c r="DF19" s="94">
        <f t="shared" si="68"/>
        <v>0</v>
      </c>
      <c r="DG19" s="70"/>
      <c r="DH19" s="94">
        <f>SUM(DH20:DH22)</f>
        <v>1255563126.522857</v>
      </c>
      <c r="DI19" s="94">
        <f t="shared" ref="DI19:DS19" si="69">SUM(DI20:DI22)</f>
        <v>12060000</v>
      </c>
      <c r="DJ19" s="94">
        <f t="shared" si="69"/>
        <v>0</v>
      </c>
      <c r="DK19" s="94">
        <f t="shared" si="69"/>
        <v>1267623126.522857</v>
      </c>
      <c r="DL19" s="94">
        <f t="shared" si="69"/>
        <v>1267623126.522857</v>
      </c>
      <c r="DM19" s="94">
        <f t="shared" si="69"/>
        <v>0</v>
      </c>
      <c r="DN19" s="94">
        <f t="shared" si="69"/>
        <v>0</v>
      </c>
      <c r="DO19" s="94">
        <f t="shared" si="69"/>
        <v>0</v>
      </c>
      <c r="DP19" s="94">
        <f t="shared" si="69"/>
        <v>0</v>
      </c>
      <c r="DQ19" s="94">
        <f t="shared" si="69"/>
        <v>0</v>
      </c>
      <c r="DR19" s="94">
        <f t="shared" si="69"/>
        <v>0</v>
      </c>
      <c r="DS19" s="94">
        <f t="shared" si="69"/>
        <v>0</v>
      </c>
      <c r="DT19" s="70"/>
      <c r="DU19" s="94">
        <f>SUM(DU20:DU22)</f>
        <v>1255563126.522857</v>
      </c>
      <c r="DV19" s="94">
        <f t="shared" ref="DV19:EF19" si="70">SUM(DV20:DV22)</f>
        <v>12060000</v>
      </c>
      <c r="DW19" s="94">
        <f t="shared" si="70"/>
        <v>0</v>
      </c>
      <c r="DX19" s="94">
        <f t="shared" si="70"/>
        <v>1267623126.522857</v>
      </c>
      <c r="DY19" s="94">
        <f t="shared" si="70"/>
        <v>1267623126.522857</v>
      </c>
      <c r="DZ19" s="94">
        <f t="shared" si="70"/>
        <v>0</v>
      </c>
      <c r="EA19" s="94">
        <f t="shared" si="70"/>
        <v>0</v>
      </c>
      <c r="EB19" s="94">
        <f t="shared" si="70"/>
        <v>0</v>
      </c>
      <c r="EC19" s="94">
        <f t="shared" si="70"/>
        <v>0</v>
      </c>
      <c r="ED19" s="94">
        <f t="shared" si="70"/>
        <v>0</v>
      </c>
      <c r="EE19" s="94">
        <f t="shared" si="70"/>
        <v>0</v>
      </c>
      <c r="EF19" s="94">
        <f t="shared" si="70"/>
        <v>0</v>
      </c>
      <c r="EG19" s="70"/>
      <c r="EH19" s="94">
        <f t="shared" ref="EH19:ES19" si="71">SUM(EH20:EH22)</f>
        <v>11617357872.021427</v>
      </c>
      <c r="EI19" s="94">
        <f t="shared" si="71"/>
        <v>127043200</v>
      </c>
      <c r="EJ19" s="94">
        <f t="shared" si="71"/>
        <v>0</v>
      </c>
      <c r="EK19" s="94">
        <f t="shared" si="71"/>
        <v>11744401072.021427</v>
      </c>
      <c r="EL19" s="94">
        <f t="shared" si="71"/>
        <v>11735947871.771427</v>
      </c>
      <c r="EM19" s="94">
        <f t="shared" si="71"/>
        <v>0</v>
      </c>
      <c r="EN19" s="94">
        <f t="shared" si="71"/>
        <v>0</v>
      </c>
      <c r="EO19" s="94">
        <f t="shared" si="71"/>
        <v>2800000</v>
      </c>
      <c r="EP19" s="94">
        <f t="shared" si="71"/>
        <v>4179600</v>
      </c>
      <c r="EQ19" s="94">
        <f t="shared" si="71"/>
        <v>0</v>
      </c>
      <c r="ER19" s="94">
        <f t="shared" si="71"/>
        <v>0</v>
      </c>
      <c r="ES19" s="94">
        <f t="shared" si="71"/>
        <v>-1473600.25</v>
      </c>
      <c r="EU19" s="194">
        <f t="shared" si="23"/>
        <v>6979600</v>
      </c>
      <c r="EW19" s="194">
        <f t="shared" si="24"/>
        <v>-1473600.25</v>
      </c>
      <c r="EX19" s="194">
        <f t="shared" si="21"/>
        <v>0</v>
      </c>
    </row>
    <row r="20" spans="1:154" s="77" customFormat="1" ht="25.5" x14ac:dyDescent="0.25">
      <c r="A20" s="82"/>
      <c r="B20" s="88"/>
      <c r="C20" s="86"/>
      <c r="D20" s="193" t="str">
        <f>'Incremental_Cost Year 1'!D50</f>
        <v>07450 Shërbime të Shëndetit Publik</v>
      </c>
      <c r="E20" s="193" t="str">
        <f>'Incremental_Cost Year 1'!E50</f>
        <v>1.5.1 Fuqizimi dhe zgjerimi I shërbimeve në mbrotje të shëndetit seksual dhe riprodhues të gruas</v>
      </c>
      <c r="F20" s="96">
        <f>'Incremental_Cost Year 1'!F50</f>
        <v>2021</v>
      </c>
      <c r="G20" s="96">
        <f>'Incremental_Cost Year 1'!G50</f>
        <v>2023</v>
      </c>
      <c r="H20" s="92">
        <f>'Incremental_Cost Year 1'!AQ50</f>
        <v>471176.25</v>
      </c>
      <c r="I20" s="92">
        <f>'Incremental_Cost Year 1'!AR50</f>
        <v>1700000</v>
      </c>
      <c r="J20" s="92">
        <f>'Incremental_Cost Year 1'!AS50</f>
        <v>0</v>
      </c>
      <c r="K20" s="92">
        <f>'Incremental_Cost Year 1'!AT50</f>
        <v>2171176.25</v>
      </c>
      <c r="L20" s="92">
        <f>'Incremental_Cost Year 1'!AU50</f>
        <v>471176</v>
      </c>
      <c r="M20" s="92">
        <f>'Incremental_Cost Year 1'!AV50</f>
        <v>0</v>
      </c>
      <c r="N20" s="92">
        <f>'Incremental_Cost Year 1'!AW50</f>
        <v>0</v>
      </c>
      <c r="O20" s="92">
        <f>'Incremental_Cost Year 1'!AX50</f>
        <v>1700000</v>
      </c>
      <c r="P20" s="92">
        <f>'Incremental_Cost Year 1'!AY50</f>
        <v>0</v>
      </c>
      <c r="Q20" s="92">
        <f>'Incremental_Cost Year 1'!AZ50</f>
        <v>0</v>
      </c>
      <c r="R20" s="92">
        <f>'Incremental_Cost Year 1'!BA50</f>
        <v>0</v>
      </c>
      <c r="S20" s="92">
        <f>'Incremental_Cost Year 1'!BB50</f>
        <v>-0.25</v>
      </c>
      <c r="T20" s="70"/>
      <c r="U20" s="92">
        <f>'Incremental_Cost Year 2'!AQ50</f>
        <v>376941</v>
      </c>
      <c r="V20" s="92">
        <f>'Incremental_Cost Year 2'!AR50</f>
        <v>1006800</v>
      </c>
      <c r="W20" s="92">
        <f>'Incremental_Cost Year 2'!AS50</f>
        <v>0</v>
      </c>
      <c r="X20" s="92">
        <f>'Incremental_Cost Year 2'!AT50</f>
        <v>1383741</v>
      </c>
      <c r="Y20" s="92">
        <f>'Incremental_Cost Year 2'!AU50</f>
        <v>376941</v>
      </c>
      <c r="Z20" s="92">
        <f>'Incremental_Cost Year 2'!AV50</f>
        <v>0</v>
      </c>
      <c r="AA20" s="92">
        <f>'Incremental_Cost Year 2'!AW50</f>
        <v>0</v>
      </c>
      <c r="AB20" s="92">
        <f>'Incremental_Cost Year 2'!AX50</f>
        <v>0</v>
      </c>
      <c r="AC20" s="92">
        <f>'Incremental_Cost Year 2'!AY50</f>
        <v>0</v>
      </c>
      <c r="AD20" s="92">
        <f>'Incremental_Cost Year 2'!AZ50</f>
        <v>0</v>
      </c>
      <c r="AE20" s="92">
        <f>'Incremental_Cost Year 2'!BA50</f>
        <v>0</v>
      </c>
      <c r="AF20" s="92">
        <f>'Incremental_Cost Year 2'!BB50</f>
        <v>-1006800</v>
      </c>
      <c r="AG20" s="70"/>
      <c r="AH20" s="92">
        <f>'Incremental_Cost Year 3'!AQ50</f>
        <v>376941</v>
      </c>
      <c r="AI20" s="92">
        <f>'Incremental_Cost Year 3'!AR50</f>
        <v>466800</v>
      </c>
      <c r="AJ20" s="92">
        <f>'Incremental_Cost Year 3'!AS50</f>
        <v>0</v>
      </c>
      <c r="AK20" s="92">
        <f>'Incremental_Cost Year 3'!AT50</f>
        <v>843741</v>
      </c>
      <c r="AL20" s="92">
        <f>'Incremental_Cost Year 3'!AU50</f>
        <v>376941</v>
      </c>
      <c r="AM20" s="92">
        <f>'Incremental_Cost Year 3'!AV50</f>
        <v>0</v>
      </c>
      <c r="AN20" s="92">
        <f>'Incremental_Cost Year 3'!AW50</f>
        <v>0</v>
      </c>
      <c r="AO20" s="92">
        <f>'Incremental_Cost Year 3'!AX50</f>
        <v>0</v>
      </c>
      <c r="AP20" s="92">
        <f>'Incremental_Cost Year 3'!AY50</f>
        <v>0</v>
      </c>
      <c r="AQ20" s="92">
        <f>'Incremental_Cost Year 3'!AZ50</f>
        <v>0</v>
      </c>
      <c r="AR20" s="92">
        <f>'Incremental_Cost Year 3'!BA50</f>
        <v>0</v>
      </c>
      <c r="AS20" s="92">
        <f>'Incremental_Cost Year 3'!BB50</f>
        <v>-466800</v>
      </c>
      <c r="AT20" s="70"/>
      <c r="AU20" s="92">
        <f>'Incremental_Cost Year 4'!AQ50</f>
        <v>0</v>
      </c>
      <c r="AV20" s="92">
        <f>'Incremental_Cost Year 4'!AR50</f>
        <v>0</v>
      </c>
      <c r="AW20" s="92">
        <f>'Incremental_Cost Year 4'!AS50</f>
        <v>0</v>
      </c>
      <c r="AX20" s="92">
        <f>'Incremental_Cost Year 4'!AT50</f>
        <v>0</v>
      </c>
      <c r="AY20" s="92">
        <f>'Incremental_Cost Year 4'!AU50</f>
        <v>0</v>
      </c>
      <c r="AZ20" s="92">
        <f>'Incremental_Cost Year 4'!AV50</f>
        <v>0</v>
      </c>
      <c r="BA20" s="92">
        <f>'Incremental_Cost Year 4'!AW50</f>
        <v>0</v>
      </c>
      <c r="BB20" s="92">
        <f>'Incremental_Cost Year 4'!AX50</f>
        <v>0</v>
      </c>
      <c r="BC20" s="92">
        <f>'Incremental_Cost Year 4'!AY50</f>
        <v>0</v>
      </c>
      <c r="BD20" s="92">
        <f>'Incremental_Cost Year 4'!AZ50</f>
        <v>0</v>
      </c>
      <c r="BE20" s="92">
        <f>'Incremental_Cost Year 4'!BA50</f>
        <v>0</v>
      </c>
      <c r="BF20" s="92">
        <f>'Incremental_Cost Year 4'!BB50</f>
        <v>0</v>
      </c>
      <c r="BG20" s="70"/>
      <c r="BH20" s="92">
        <f>'Incremental_Cost Year 5'!AQ50</f>
        <v>0</v>
      </c>
      <c r="BI20" s="92">
        <f>'Incremental_Cost Year 5'!AR50</f>
        <v>0</v>
      </c>
      <c r="BJ20" s="92">
        <f>'Incremental_Cost Year 5'!AS50</f>
        <v>0</v>
      </c>
      <c r="BK20" s="92">
        <f>'Incremental_Cost Year 5'!AT50</f>
        <v>0</v>
      </c>
      <c r="BL20" s="92">
        <f>'Incremental_Cost Year 5'!AU50</f>
        <v>0</v>
      </c>
      <c r="BM20" s="92">
        <f>'Incremental_Cost Year 5'!AV50</f>
        <v>0</v>
      </c>
      <c r="BN20" s="92">
        <f>'Incremental_Cost Year 5'!AW50</f>
        <v>0</v>
      </c>
      <c r="BO20" s="92">
        <f>'Incremental_Cost Year 5'!AX50</f>
        <v>0</v>
      </c>
      <c r="BP20" s="92">
        <f>'Incremental_Cost Year 5'!AY50</f>
        <v>0</v>
      </c>
      <c r="BQ20" s="92">
        <f>'Incremental_Cost Year 5'!AZ50</f>
        <v>0</v>
      </c>
      <c r="BR20" s="92">
        <f>'Incremental_Cost Year 5'!BA50</f>
        <v>0</v>
      </c>
      <c r="BS20" s="92">
        <f>'Incremental_Cost Year 5'!BB50</f>
        <v>0</v>
      </c>
      <c r="BT20" s="70"/>
      <c r="BU20" s="92">
        <f>'Incremental_Cost Year 6'!AQ50</f>
        <v>0</v>
      </c>
      <c r="BV20" s="92">
        <f>'Incremental_Cost Year 6'!AR50</f>
        <v>0</v>
      </c>
      <c r="BW20" s="92">
        <f>'Incremental_Cost Year 6'!AS50</f>
        <v>0</v>
      </c>
      <c r="BX20" s="92">
        <f>'Incremental_Cost Year 6'!AT50</f>
        <v>0</v>
      </c>
      <c r="BY20" s="92">
        <f>'Incremental_Cost Year 6'!AU50</f>
        <v>0</v>
      </c>
      <c r="BZ20" s="92">
        <f>'Incremental_Cost Year 6'!AV50</f>
        <v>0</v>
      </c>
      <c r="CA20" s="92">
        <f>'Incremental_Cost Year 6'!AW50</f>
        <v>0</v>
      </c>
      <c r="CB20" s="92">
        <f>'Incremental_Cost Year 6'!AX50</f>
        <v>0</v>
      </c>
      <c r="CC20" s="92">
        <f>'Incremental_Cost Year 6'!AY50</f>
        <v>0</v>
      </c>
      <c r="CD20" s="92">
        <f>'Incremental_Cost Year 6'!AZ50</f>
        <v>0</v>
      </c>
      <c r="CE20" s="92">
        <f>'Incremental_Cost Year 6'!BA50</f>
        <v>0</v>
      </c>
      <c r="CF20" s="92">
        <f>'Incremental_Cost Year 6'!BB50</f>
        <v>0</v>
      </c>
      <c r="CG20" s="70"/>
      <c r="CH20" s="92">
        <f>'Incremental_Cost Year 7'!AQ50</f>
        <v>0</v>
      </c>
      <c r="CI20" s="92">
        <f>'Incremental_Cost Year 7'!AR50</f>
        <v>0</v>
      </c>
      <c r="CJ20" s="92">
        <f>'Incremental_Cost Year 7'!AS50</f>
        <v>0</v>
      </c>
      <c r="CK20" s="92">
        <f>'Incremental_Cost Year 7'!AT50</f>
        <v>0</v>
      </c>
      <c r="CL20" s="92">
        <f>'Incremental_Cost Year 7'!AU50</f>
        <v>0</v>
      </c>
      <c r="CM20" s="92">
        <f>'Incremental_Cost Year 7'!AV50</f>
        <v>0</v>
      </c>
      <c r="CN20" s="92">
        <f>'Incremental_Cost Year 7'!AW50</f>
        <v>0</v>
      </c>
      <c r="CO20" s="92">
        <f>'Incremental_Cost Year 7'!AX50</f>
        <v>0</v>
      </c>
      <c r="CP20" s="92">
        <f>'Incremental_Cost Year 7'!AY50</f>
        <v>0</v>
      </c>
      <c r="CQ20" s="92">
        <f>'Incremental_Cost Year 7'!AZ50</f>
        <v>0</v>
      </c>
      <c r="CR20" s="92">
        <f>'Incremental_Cost Year 7'!BA50</f>
        <v>0</v>
      </c>
      <c r="CS20" s="92">
        <f>'Incremental_Cost Year 7'!BB50</f>
        <v>0</v>
      </c>
      <c r="CT20" s="70"/>
      <c r="CU20" s="92">
        <f>'Incremental_Cost Year 8'!AQ50</f>
        <v>0</v>
      </c>
      <c r="CV20" s="92">
        <f>'Incremental_Cost Year 8'!AR50</f>
        <v>0</v>
      </c>
      <c r="CW20" s="92">
        <f>'Incremental_Cost Year 8'!AS50</f>
        <v>0</v>
      </c>
      <c r="CX20" s="92">
        <f>'Incremental_Cost Year 8'!AT50</f>
        <v>0</v>
      </c>
      <c r="CY20" s="92">
        <f>'Incremental_Cost Year 8'!AU50</f>
        <v>0</v>
      </c>
      <c r="CZ20" s="92">
        <f>'Incremental_Cost Year 8'!AV50</f>
        <v>0</v>
      </c>
      <c r="DA20" s="92">
        <f>'Incremental_Cost Year 8'!AW50</f>
        <v>0</v>
      </c>
      <c r="DB20" s="92">
        <f>'Incremental_Cost Year 8'!AX50</f>
        <v>0</v>
      </c>
      <c r="DC20" s="92">
        <f>'Incremental_Cost Year 8'!AY50</f>
        <v>0</v>
      </c>
      <c r="DD20" s="92">
        <f>'Incremental_Cost Year 8'!AZ50</f>
        <v>0</v>
      </c>
      <c r="DE20" s="92">
        <f>'Incremental_Cost Year 8'!BA50</f>
        <v>0</v>
      </c>
      <c r="DF20" s="92">
        <f>'Incremental_Cost Year 8'!BB50</f>
        <v>0</v>
      </c>
      <c r="DG20" s="70"/>
      <c r="DH20" s="92">
        <f>'Incremental_Cost Year 9'!AQ50</f>
        <v>0</v>
      </c>
      <c r="DI20" s="92">
        <f>'Incremental_Cost Year 9'!AR50</f>
        <v>0</v>
      </c>
      <c r="DJ20" s="92">
        <f>'Incremental_Cost Year 9'!AS50</f>
        <v>0</v>
      </c>
      <c r="DK20" s="92">
        <f>'Incremental_Cost Year 9'!AT50</f>
        <v>0</v>
      </c>
      <c r="DL20" s="92">
        <f>'Incremental_Cost Year 9'!AU50</f>
        <v>0</v>
      </c>
      <c r="DM20" s="92">
        <f>'Incremental_Cost Year 9'!AV50</f>
        <v>0</v>
      </c>
      <c r="DN20" s="92">
        <f>'Incremental_Cost Year 9'!AW50</f>
        <v>0</v>
      </c>
      <c r="DO20" s="92">
        <f>'Incremental_Cost Year 9'!AX50</f>
        <v>0</v>
      </c>
      <c r="DP20" s="92">
        <f>'Incremental_Cost Year 9'!AY50</f>
        <v>0</v>
      </c>
      <c r="DQ20" s="92">
        <f>'Incremental_Cost Year 9'!AZ50</f>
        <v>0</v>
      </c>
      <c r="DR20" s="92">
        <f>'Incremental_Cost Year 9'!BA50</f>
        <v>0</v>
      </c>
      <c r="DS20" s="92">
        <f>'Incremental_Cost Year 9'!BB50</f>
        <v>0</v>
      </c>
      <c r="DT20" s="70"/>
      <c r="DU20" s="92">
        <f>'Incremental_Cost Year 10'!AQ50</f>
        <v>0</v>
      </c>
      <c r="DV20" s="92">
        <f>'Incremental_Cost Year 10'!AR50</f>
        <v>0</v>
      </c>
      <c r="DW20" s="92">
        <f>'Incremental_Cost Year 10'!AS50</f>
        <v>0</v>
      </c>
      <c r="DX20" s="92">
        <f>'Incremental_Cost Year 10'!AT50</f>
        <v>0</v>
      </c>
      <c r="DY20" s="92">
        <f>'Incremental_Cost Year 10'!AU50</f>
        <v>0</v>
      </c>
      <c r="DZ20" s="92">
        <f>'Incremental_Cost Year 10'!AV50</f>
        <v>0</v>
      </c>
      <c r="EA20" s="92">
        <f>'Incremental_Cost Year 10'!AW50</f>
        <v>0</v>
      </c>
      <c r="EB20" s="92">
        <f>'Incremental_Cost Year 10'!AX50</f>
        <v>0</v>
      </c>
      <c r="EC20" s="92">
        <f>'Incremental_Cost Year 10'!AY50</f>
        <v>0</v>
      </c>
      <c r="ED20" s="92">
        <f>'Incremental_Cost Year 10'!AZ50</f>
        <v>0</v>
      </c>
      <c r="EE20" s="92">
        <f>'Incremental_Cost Year 10'!BA50</f>
        <v>0</v>
      </c>
      <c r="EF20" s="92">
        <f>'Incremental_Cost Year 10'!BB50</f>
        <v>0</v>
      </c>
      <c r="EG20" s="70"/>
      <c r="EH20" s="92">
        <f t="shared" ref="EH20:ES22" si="72">H20+U20+AH20+AU20+BH20+BU20+CH20+CU20+DH20+DU20</f>
        <v>1225058.25</v>
      </c>
      <c r="EI20" s="92">
        <f t="shared" si="72"/>
        <v>3173600</v>
      </c>
      <c r="EJ20" s="92">
        <f t="shared" si="72"/>
        <v>0</v>
      </c>
      <c r="EK20" s="92">
        <f t="shared" si="72"/>
        <v>4398658.25</v>
      </c>
      <c r="EL20" s="92">
        <f t="shared" si="72"/>
        <v>1225058</v>
      </c>
      <c r="EM20" s="92">
        <f t="shared" si="72"/>
        <v>0</v>
      </c>
      <c r="EN20" s="92">
        <f t="shared" si="72"/>
        <v>0</v>
      </c>
      <c r="EO20" s="92">
        <f t="shared" si="72"/>
        <v>1700000</v>
      </c>
      <c r="EP20" s="92">
        <f t="shared" si="72"/>
        <v>0</v>
      </c>
      <c r="EQ20" s="92">
        <f t="shared" si="72"/>
        <v>0</v>
      </c>
      <c r="ER20" s="92">
        <f t="shared" si="72"/>
        <v>0</v>
      </c>
      <c r="ES20" s="92">
        <f t="shared" si="72"/>
        <v>-1473600.25</v>
      </c>
      <c r="EU20" s="194">
        <f t="shared" si="23"/>
        <v>1700000</v>
      </c>
      <c r="EW20" s="194">
        <f t="shared" si="24"/>
        <v>-1473600.25</v>
      </c>
      <c r="EX20" s="194">
        <f t="shared" si="21"/>
        <v>0</v>
      </c>
    </row>
    <row r="21" spans="1:154" s="77" customFormat="1" ht="63.75" x14ac:dyDescent="0.25">
      <c r="A21" s="82"/>
      <c r="B21" s="88"/>
      <c r="C21" s="86"/>
      <c r="D21" s="193" t="str">
        <f>'Incremental_Cost Year 1'!D56</f>
        <v>07330 Shërbime të Kujdesit Shëndetësor Dytësor/07220 Shërbime të Kujdesit Shëndetësor Parësor/07450 Shërbime të Shëndetit Publik</v>
      </c>
      <c r="E21" s="193" t="str">
        <f>'Incremental_Cost Year 1'!E56</f>
        <v>1.5.2 Fuqizimi dhe zgjerimi i shërbimeve për Zhvillimin e Fëmijërisë së Hershme (ZhFH)</v>
      </c>
      <c r="F21" s="96">
        <f>'Incremental_Cost Year 1'!F56</f>
        <v>2021</v>
      </c>
      <c r="G21" s="96">
        <f>'Incremental_Cost Year 1'!G56</f>
        <v>2030</v>
      </c>
      <c r="H21" s="92">
        <f>'Incremental_Cost Year 1'!AQ56</f>
        <v>314745381.5657143</v>
      </c>
      <c r="I21" s="92">
        <f>'Incremental_Cost Year 1'!AR56</f>
        <v>12060000</v>
      </c>
      <c r="J21" s="92">
        <f>'Incremental_Cost Year 1'!AS56</f>
        <v>0</v>
      </c>
      <c r="K21" s="92">
        <f>'Incremental_Cost Year 1'!AT56</f>
        <v>326805381.5657143</v>
      </c>
      <c r="L21" s="92">
        <f>'Incremental_Cost Year 1'!AU56</f>
        <v>326805381.5657143</v>
      </c>
      <c r="M21" s="92">
        <f>'Incremental_Cost Year 1'!AV56</f>
        <v>0</v>
      </c>
      <c r="N21" s="92">
        <f>'Incremental_Cost Year 1'!AW56</f>
        <v>0</v>
      </c>
      <c r="O21" s="92">
        <f>'Incremental_Cost Year 1'!AX56</f>
        <v>0</v>
      </c>
      <c r="P21" s="92">
        <f>'Incremental_Cost Year 1'!AY56</f>
        <v>0</v>
      </c>
      <c r="Q21" s="92">
        <f>'Incremental_Cost Year 1'!AZ56</f>
        <v>0</v>
      </c>
      <c r="R21" s="92">
        <f>'Incremental_Cost Year 1'!BA56</f>
        <v>0</v>
      </c>
      <c r="S21" s="92">
        <f>'Incremental_Cost Year 1'!BB56</f>
        <v>0</v>
      </c>
      <c r="T21" s="70"/>
      <c r="U21" s="92">
        <f>'Incremental_Cost Year 2'!AQ56</f>
        <v>1255845832.272857</v>
      </c>
      <c r="V21" s="92">
        <f>'Incremental_Cost Year 2'!AR56</f>
        <v>13453200</v>
      </c>
      <c r="W21" s="92">
        <f>'Incremental_Cost Year 2'!AS56</f>
        <v>0</v>
      </c>
      <c r="X21" s="92">
        <f>'Incremental_Cost Year 2'!AT56</f>
        <v>1269299032.272857</v>
      </c>
      <c r="Y21" s="92">
        <f>'Incremental_Cost Year 2'!AU56</f>
        <v>1267905832.272857</v>
      </c>
      <c r="Z21" s="92">
        <f>'Incremental_Cost Year 2'!AV56</f>
        <v>0</v>
      </c>
      <c r="AA21" s="92">
        <f>'Incremental_Cost Year 2'!AW56</f>
        <v>0</v>
      </c>
      <c r="AB21" s="92">
        <f>'Incremental_Cost Year 2'!AX56</f>
        <v>0</v>
      </c>
      <c r="AC21" s="92">
        <f>'Incremental_Cost Year 2'!AY56</f>
        <v>1393200</v>
      </c>
      <c r="AD21" s="92">
        <f>'Incremental_Cost Year 2'!AZ56</f>
        <v>0</v>
      </c>
      <c r="AE21" s="92">
        <f>'Incremental_Cost Year 2'!BA56</f>
        <v>0</v>
      </c>
      <c r="AF21" s="92">
        <f>'Incremental_Cost Year 2'!BB56</f>
        <v>0</v>
      </c>
      <c r="AG21" s="70"/>
      <c r="AH21" s="92">
        <f>'Incremental_Cost Year 3'!AQ56</f>
        <v>1255845832.272857</v>
      </c>
      <c r="AI21" s="92">
        <f>'Incremental_Cost Year 3'!AR56</f>
        <v>13453200</v>
      </c>
      <c r="AJ21" s="92">
        <f>'Incremental_Cost Year 3'!AS56</f>
        <v>0</v>
      </c>
      <c r="AK21" s="92">
        <f>'Incremental_Cost Year 3'!AT56</f>
        <v>1269299032.272857</v>
      </c>
      <c r="AL21" s="92">
        <f>'Incremental_Cost Year 3'!AU56</f>
        <v>1267905832.272857</v>
      </c>
      <c r="AM21" s="92">
        <f>'Incremental_Cost Year 3'!AV56</f>
        <v>0</v>
      </c>
      <c r="AN21" s="92">
        <f>'Incremental_Cost Year 3'!AW56</f>
        <v>0</v>
      </c>
      <c r="AO21" s="92">
        <f>'Incremental_Cost Year 3'!AX56</f>
        <v>0</v>
      </c>
      <c r="AP21" s="92">
        <f>'Incremental_Cost Year 3'!AY56</f>
        <v>1393200</v>
      </c>
      <c r="AQ21" s="92">
        <f>'Incremental_Cost Year 3'!AZ56</f>
        <v>0</v>
      </c>
      <c r="AR21" s="92">
        <f>'Incremental_Cost Year 3'!BA56</f>
        <v>0</v>
      </c>
      <c r="AS21" s="92">
        <f>'Incremental_Cost Year 3'!BB56</f>
        <v>0</v>
      </c>
      <c r="AT21" s="70"/>
      <c r="AU21" s="92">
        <f>'Incremental_Cost Year 4'!AQ56</f>
        <v>1255845832.272857</v>
      </c>
      <c r="AV21" s="92">
        <f>'Incremental_Cost Year 4'!AR56</f>
        <v>13453200</v>
      </c>
      <c r="AW21" s="92">
        <f>'Incremental_Cost Year 4'!AS56</f>
        <v>0</v>
      </c>
      <c r="AX21" s="92">
        <f>'Incremental_Cost Year 4'!AT56</f>
        <v>1269299032.272857</v>
      </c>
      <c r="AY21" s="92">
        <f>'Incremental_Cost Year 4'!AU56</f>
        <v>1267905832.272857</v>
      </c>
      <c r="AZ21" s="92">
        <f>'Incremental_Cost Year 4'!AV56</f>
        <v>0</v>
      </c>
      <c r="BA21" s="92">
        <f>'Incremental_Cost Year 4'!AW56</f>
        <v>0</v>
      </c>
      <c r="BB21" s="92">
        <f>'Incremental_Cost Year 4'!AX56</f>
        <v>0</v>
      </c>
      <c r="BC21" s="92">
        <f>'Incremental_Cost Year 4'!AY56</f>
        <v>1393200</v>
      </c>
      <c r="BD21" s="92">
        <f>'Incremental_Cost Year 4'!AZ56</f>
        <v>0</v>
      </c>
      <c r="BE21" s="92">
        <f>'Incremental_Cost Year 4'!BA56</f>
        <v>0</v>
      </c>
      <c r="BF21" s="92">
        <f>'Incremental_Cost Year 4'!BB56</f>
        <v>0</v>
      </c>
      <c r="BG21" s="70"/>
      <c r="BH21" s="92">
        <f>'Incremental_Cost Year 5'!AQ56</f>
        <v>1255563126.522857</v>
      </c>
      <c r="BI21" s="92">
        <f>'Incremental_Cost Year 5'!AR56</f>
        <v>12060000</v>
      </c>
      <c r="BJ21" s="92">
        <f>'Incremental_Cost Year 5'!AS56</f>
        <v>0</v>
      </c>
      <c r="BK21" s="92">
        <f>'Incremental_Cost Year 5'!AT56</f>
        <v>1267623126.522857</v>
      </c>
      <c r="BL21" s="92">
        <f>'Incremental_Cost Year 5'!AU56</f>
        <v>1267623126.522857</v>
      </c>
      <c r="BM21" s="92">
        <f>'Incremental_Cost Year 5'!AV56</f>
        <v>0</v>
      </c>
      <c r="BN21" s="92">
        <f>'Incremental_Cost Year 5'!AW56</f>
        <v>0</v>
      </c>
      <c r="BO21" s="92">
        <f>'Incremental_Cost Year 5'!AX56</f>
        <v>0</v>
      </c>
      <c r="BP21" s="92">
        <f>'Incremental_Cost Year 5'!AY56</f>
        <v>0</v>
      </c>
      <c r="BQ21" s="92">
        <f>'Incremental_Cost Year 5'!AZ56</f>
        <v>0</v>
      </c>
      <c r="BR21" s="92">
        <f>'Incremental_Cost Year 5'!BA56</f>
        <v>0</v>
      </c>
      <c r="BS21" s="92">
        <f>'Incremental_Cost Year 5'!BB56</f>
        <v>0</v>
      </c>
      <c r="BT21" s="70"/>
      <c r="BU21" s="92">
        <f>'Incremental_Cost Year 6'!AQ56</f>
        <v>1255563126.522857</v>
      </c>
      <c r="BV21" s="92">
        <f>'Incremental_Cost Year 6'!AR56</f>
        <v>12060000</v>
      </c>
      <c r="BW21" s="92">
        <f>'Incremental_Cost Year 6'!AS56</f>
        <v>0</v>
      </c>
      <c r="BX21" s="92">
        <f>'Incremental_Cost Year 6'!AT56</f>
        <v>1267623126.522857</v>
      </c>
      <c r="BY21" s="92">
        <f>'Incremental_Cost Year 6'!AU56</f>
        <v>1267623126.522857</v>
      </c>
      <c r="BZ21" s="92">
        <f>'Incremental_Cost Year 6'!AV56</f>
        <v>0</v>
      </c>
      <c r="CA21" s="92">
        <f>'Incremental_Cost Year 6'!AW56</f>
        <v>0</v>
      </c>
      <c r="CB21" s="92">
        <f>'Incremental_Cost Year 6'!AX56</f>
        <v>0</v>
      </c>
      <c r="CC21" s="92">
        <f>'Incremental_Cost Year 6'!AY56</f>
        <v>0</v>
      </c>
      <c r="CD21" s="92">
        <f>'Incremental_Cost Year 6'!AZ56</f>
        <v>0</v>
      </c>
      <c r="CE21" s="92">
        <f>'Incremental_Cost Year 6'!BA56</f>
        <v>0</v>
      </c>
      <c r="CF21" s="92">
        <f>'Incremental_Cost Year 6'!BB56</f>
        <v>0</v>
      </c>
      <c r="CG21" s="70"/>
      <c r="CH21" s="92">
        <f>'Incremental_Cost Year 7'!AQ56</f>
        <v>1255563126.522857</v>
      </c>
      <c r="CI21" s="92">
        <f>'Incremental_Cost Year 7'!AR56</f>
        <v>12060000</v>
      </c>
      <c r="CJ21" s="92">
        <f>'Incremental_Cost Year 7'!AS56</f>
        <v>0</v>
      </c>
      <c r="CK21" s="92">
        <f>'Incremental_Cost Year 7'!AT56</f>
        <v>1267623126.522857</v>
      </c>
      <c r="CL21" s="92">
        <f>'Incremental_Cost Year 7'!AU56</f>
        <v>1267623126.522857</v>
      </c>
      <c r="CM21" s="92">
        <f>'Incremental_Cost Year 7'!AV56</f>
        <v>0</v>
      </c>
      <c r="CN21" s="92">
        <f>'Incremental_Cost Year 7'!AW56</f>
        <v>0</v>
      </c>
      <c r="CO21" s="92">
        <f>'Incremental_Cost Year 7'!AX56</f>
        <v>0</v>
      </c>
      <c r="CP21" s="92">
        <f>'Incremental_Cost Year 7'!AY56</f>
        <v>0</v>
      </c>
      <c r="CQ21" s="92">
        <f>'Incremental_Cost Year 7'!AZ56</f>
        <v>0</v>
      </c>
      <c r="CR21" s="92">
        <f>'Incremental_Cost Year 7'!BA56</f>
        <v>0</v>
      </c>
      <c r="CS21" s="92">
        <f>'Incremental_Cost Year 7'!BB56</f>
        <v>0</v>
      </c>
      <c r="CT21" s="70"/>
      <c r="CU21" s="92">
        <f>'Incremental_Cost Year 8'!AQ56</f>
        <v>1255563126.522857</v>
      </c>
      <c r="CV21" s="92">
        <f>'Incremental_Cost Year 8'!AR56</f>
        <v>10050000</v>
      </c>
      <c r="CW21" s="92">
        <f>'Incremental_Cost Year 8'!AS56</f>
        <v>0</v>
      </c>
      <c r="CX21" s="92">
        <f>'Incremental_Cost Year 8'!AT56</f>
        <v>1265613126.522857</v>
      </c>
      <c r="CY21" s="92">
        <f>'Incremental_Cost Year 8'!AU56</f>
        <v>1265613126.522857</v>
      </c>
      <c r="CZ21" s="92">
        <f>'Incremental_Cost Year 8'!AV56</f>
        <v>0</v>
      </c>
      <c r="DA21" s="92">
        <f>'Incremental_Cost Year 8'!AW56</f>
        <v>0</v>
      </c>
      <c r="DB21" s="92">
        <f>'Incremental_Cost Year 8'!AX56</f>
        <v>0</v>
      </c>
      <c r="DC21" s="92">
        <f>'Incremental_Cost Year 8'!AY56</f>
        <v>0</v>
      </c>
      <c r="DD21" s="92">
        <f>'Incremental_Cost Year 8'!AZ56</f>
        <v>0</v>
      </c>
      <c r="DE21" s="92">
        <f>'Incremental_Cost Year 8'!BA56</f>
        <v>0</v>
      </c>
      <c r="DF21" s="92">
        <f>'Incremental_Cost Year 8'!BB56</f>
        <v>0</v>
      </c>
      <c r="DG21" s="70"/>
      <c r="DH21" s="92">
        <f>'Incremental_Cost Year 9'!AQ56</f>
        <v>1255563126.522857</v>
      </c>
      <c r="DI21" s="92">
        <f>'Incremental_Cost Year 9'!AR56</f>
        <v>12060000</v>
      </c>
      <c r="DJ21" s="92">
        <f>'Incremental_Cost Year 9'!AS56</f>
        <v>0</v>
      </c>
      <c r="DK21" s="92">
        <f>'Incremental_Cost Year 9'!AT56</f>
        <v>1267623126.522857</v>
      </c>
      <c r="DL21" s="92">
        <f>'Incremental_Cost Year 9'!AU56</f>
        <v>1267623126.522857</v>
      </c>
      <c r="DM21" s="92">
        <f>'Incremental_Cost Year 9'!AV56</f>
        <v>0</v>
      </c>
      <c r="DN21" s="92">
        <f>'Incremental_Cost Year 9'!AW56</f>
        <v>0</v>
      </c>
      <c r="DO21" s="92">
        <f>'Incremental_Cost Year 9'!AX56</f>
        <v>0</v>
      </c>
      <c r="DP21" s="92">
        <f>'Incremental_Cost Year 9'!AY56</f>
        <v>0</v>
      </c>
      <c r="DQ21" s="92">
        <f>'Incremental_Cost Year 9'!AZ56</f>
        <v>0</v>
      </c>
      <c r="DR21" s="92">
        <f>'Incremental_Cost Year 9'!BA56</f>
        <v>0</v>
      </c>
      <c r="DS21" s="92">
        <f>'Incremental_Cost Year 9'!BB56</f>
        <v>0</v>
      </c>
      <c r="DT21" s="70"/>
      <c r="DU21" s="92">
        <f>'Incremental_Cost Year 10'!AQ56</f>
        <v>1255563126.522857</v>
      </c>
      <c r="DV21" s="92">
        <f>'Incremental_Cost Year 10'!AR56</f>
        <v>12060000</v>
      </c>
      <c r="DW21" s="92">
        <f>'Incremental_Cost Year 10'!AS56</f>
        <v>0</v>
      </c>
      <c r="DX21" s="92">
        <f>'Incremental_Cost Year 10'!AT56</f>
        <v>1267623126.522857</v>
      </c>
      <c r="DY21" s="92">
        <f>'Incremental_Cost Year 10'!AU56</f>
        <v>1267623126.522857</v>
      </c>
      <c r="DZ21" s="92">
        <f>'Incremental_Cost Year 10'!AV56</f>
        <v>0</v>
      </c>
      <c r="EA21" s="92">
        <f>'Incremental_Cost Year 10'!AW56</f>
        <v>0</v>
      </c>
      <c r="EB21" s="92">
        <f>'Incremental_Cost Year 10'!AX56</f>
        <v>0</v>
      </c>
      <c r="EC21" s="92">
        <f>'Incremental_Cost Year 10'!AY56</f>
        <v>0</v>
      </c>
      <c r="ED21" s="92">
        <f>'Incremental_Cost Year 10'!AZ56</f>
        <v>0</v>
      </c>
      <c r="EE21" s="92">
        <f>'Incremental_Cost Year 10'!BA56</f>
        <v>0</v>
      </c>
      <c r="EF21" s="92">
        <f>'Incremental_Cost Year 10'!BB56</f>
        <v>0</v>
      </c>
      <c r="EG21" s="70"/>
      <c r="EH21" s="92">
        <f t="shared" si="72"/>
        <v>11615661637.521427</v>
      </c>
      <c r="EI21" s="92">
        <f t="shared" si="72"/>
        <v>122769600</v>
      </c>
      <c r="EJ21" s="92">
        <f t="shared" si="72"/>
        <v>0</v>
      </c>
      <c r="EK21" s="92">
        <f t="shared" si="72"/>
        <v>11738431237.521427</v>
      </c>
      <c r="EL21" s="92">
        <f t="shared" si="72"/>
        <v>11734251637.521427</v>
      </c>
      <c r="EM21" s="92">
        <f t="shared" si="72"/>
        <v>0</v>
      </c>
      <c r="EN21" s="92">
        <f t="shared" si="72"/>
        <v>0</v>
      </c>
      <c r="EO21" s="92">
        <f t="shared" si="72"/>
        <v>0</v>
      </c>
      <c r="EP21" s="92">
        <f t="shared" si="72"/>
        <v>4179600</v>
      </c>
      <c r="EQ21" s="92">
        <f t="shared" si="72"/>
        <v>0</v>
      </c>
      <c r="ER21" s="92">
        <f t="shared" si="72"/>
        <v>0</v>
      </c>
      <c r="ES21" s="92">
        <f t="shared" si="72"/>
        <v>0</v>
      </c>
      <c r="EU21" s="194">
        <f t="shared" si="23"/>
        <v>4179600</v>
      </c>
      <c r="EW21" s="194">
        <f t="shared" si="24"/>
        <v>0</v>
      </c>
      <c r="EX21" s="194">
        <f t="shared" si="21"/>
        <v>0</v>
      </c>
    </row>
    <row r="22" spans="1:154" s="77" customFormat="1" ht="25.5" x14ac:dyDescent="0.25">
      <c r="A22" s="82"/>
      <c r="B22" s="88"/>
      <c r="C22" s="86"/>
      <c r="D22" s="193" t="str">
        <f>'Incremental_Cost Year 1'!D60</f>
        <v>07450 Shërbime të Shëndetit Publik</v>
      </c>
      <c r="E22" s="193" t="str">
        <f>'Incremental_Cost Year 1'!E60</f>
        <v>1.5.3 Fuqizimi dhe zgjerimi i Promovimit të Shëndetit në Shkollë</v>
      </c>
      <c r="F22" s="96">
        <f>'Incremental_Cost Year 1'!F60</f>
        <v>2021</v>
      </c>
      <c r="G22" s="96">
        <f>'Incremental_Cost Year 1'!G60</f>
        <v>2030</v>
      </c>
      <c r="H22" s="92">
        <f>'Incremental_Cost Year 1'!AQ60</f>
        <v>471176.25</v>
      </c>
      <c r="I22" s="92">
        <f>'Incremental_Cost Year 1'!AR60</f>
        <v>1100000</v>
      </c>
      <c r="J22" s="92">
        <f>'Incremental_Cost Year 1'!AS60</f>
        <v>0</v>
      </c>
      <c r="K22" s="92">
        <f>'Incremental_Cost Year 1'!AT60</f>
        <v>1571176.25</v>
      </c>
      <c r="L22" s="92">
        <f>'Incremental_Cost Year 1'!AU60</f>
        <v>471176.25</v>
      </c>
      <c r="M22" s="92">
        <f>'Incremental_Cost Year 1'!AV60</f>
        <v>0</v>
      </c>
      <c r="N22" s="92">
        <f>'Incremental_Cost Year 1'!AW60</f>
        <v>0</v>
      </c>
      <c r="O22" s="92">
        <f>'Incremental_Cost Year 1'!AX60</f>
        <v>1100000</v>
      </c>
      <c r="P22" s="92">
        <f>'Incremental_Cost Year 1'!AY60</f>
        <v>0</v>
      </c>
      <c r="Q22" s="92">
        <f>'Incremental_Cost Year 1'!AZ60</f>
        <v>0</v>
      </c>
      <c r="R22" s="92">
        <f>'Incremental_Cost Year 1'!BA60</f>
        <v>0</v>
      </c>
      <c r="S22" s="92">
        <f>'Incremental_Cost Year 1'!BB60</f>
        <v>0</v>
      </c>
      <c r="T22" s="70"/>
      <c r="U22" s="92">
        <f>'Incremental_Cost Year 2'!AQ60</f>
        <v>0</v>
      </c>
      <c r="V22" s="92">
        <f>'Incremental_Cost Year 2'!AR60</f>
        <v>0</v>
      </c>
      <c r="W22" s="92">
        <f>'Incremental_Cost Year 2'!AS60</f>
        <v>0</v>
      </c>
      <c r="X22" s="92">
        <f>'Incremental_Cost Year 2'!AT60</f>
        <v>0</v>
      </c>
      <c r="Y22" s="92">
        <f>'Incremental_Cost Year 2'!AU60</f>
        <v>0</v>
      </c>
      <c r="Z22" s="92">
        <f>'Incremental_Cost Year 2'!AV60</f>
        <v>0</v>
      </c>
      <c r="AA22" s="92">
        <f>'Incremental_Cost Year 2'!AW60</f>
        <v>0</v>
      </c>
      <c r="AB22" s="92">
        <f>'Incremental_Cost Year 2'!AX60</f>
        <v>0</v>
      </c>
      <c r="AC22" s="92">
        <f>'Incremental_Cost Year 2'!AY60</f>
        <v>0</v>
      </c>
      <c r="AD22" s="92">
        <f>'Incremental_Cost Year 2'!AZ60</f>
        <v>0</v>
      </c>
      <c r="AE22" s="92">
        <f>'Incremental_Cost Year 2'!BA60</f>
        <v>0</v>
      </c>
      <c r="AF22" s="92">
        <f>'Incremental_Cost Year 2'!BB60</f>
        <v>0</v>
      </c>
      <c r="AG22" s="70"/>
      <c r="AH22" s="92">
        <f>'Incremental_Cost Year 3'!AQ60</f>
        <v>0</v>
      </c>
      <c r="AI22" s="92">
        <f>'Incremental_Cost Year 3'!AR60</f>
        <v>0</v>
      </c>
      <c r="AJ22" s="92">
        <f>'Incremental_Cost Year 3'!AS60</f>
        <v>0</v>
      </c>
      <c r="AK22" s="92">
        <f>'Incremental_Cost Year 3'!AT60</f>
        <v>0</v>
      </c>
      <c r="AL22" s="92">
        <f>'Incremental_Cost Year 3'!AU60</f>
        <v>0</v>
      </c>
      <c r="AM22" s="92">
        <f>'Incremental_Cost Year 3'!AV60</f>
        <v>0</v>
      </c>
      <c r="AN22" s="92">
        <f>'Incremental_Cost Year 3'!AW60</f>
        <v>0</v>
      </c>
      <c r="AO22" s="92">
        <f>'Incremental_Cost Year 3'!AX60</f>
        <v>0</v>
      </c>
      <c r="AP22" s="92">
        <f>'Incremental_Cost Year 3'!AY60</f>
        <v>0</v>
      </c>
      <c r="AQ22" s="92">
        <f>'Incremental_Cost Year 3'!AZ60</f>
        <v>0</v>
      </c>
      <c r="AR22" s="92">
        <f>'Incremental_Cost Year 3'!BA60</f>
        <v>0</v>
      </c>
      <c r="AS22" s="92">
        <f>'Incremental_Cost Year 3'!BB60</f>
        <v>0</v>
      </c>
      <c r="AT22" s="70"/>
      <c r="AU22" s="92">
        <f>'Incremental_Cost Year 4'!AQ60</f>
        <v>0</v>
      </c>
      <c r="AV22" s="92">
        <f>'Incremental_Cost Year 4'!AR60</f>
        <v>0</v>
      </c>
      <c r="AW22" s="92">
        <f>'Incremental_Cost Year 4'!AS60</f>
        <v>0</v>
      </c>
      <c r="AX22" s="92">
        <f>'Incremental_Cost Year 4'!AT60</f>
        <v>0</v>
      </c>
      <c r="AY22" s="92">
        <f>'Incremental_Cost Year 4'!AU60</f>
        <v>0</v>
      </c>
      <c r="AZ22" s="92">
        <f>'Incremental_Cost Year 4'!AV60</f>
        <v>0</v>
      </c>
      <c r="BA22" s="92">
        <f>'Incremental_Cost Year 4'!AW60</f>
        <v>0</v>
      </c>
      <c r="BB22" s="92">
        <f>'Incremental_Cost Year 4'!AX60</f>
        <v>0</v>
      </c>
      <c r="BC22" s="92">
        <f>'Incremental_Cost Year 4'!AY60</f>
        <v>0</v>
      </c>
      <c r="BD22" s="92">
        <f>'Incremental_Cost Year 4'!AZ60</f>
        <v>0</v>
      </c>
      <c r="BE22" s="92">
        <f>'Incremental_Cost Year 4'!BA60</f>
        <v>0</v>
      </c>
      <c r="BF22" s="92">
        <f>'Incremental_Cost Year 4'!BB60</f>
        <v>0</v>
      </c>
      <c r="BG22" s="70"/>
      <c r="BH22" s="92">
        <f>'Incremental_Cost Year 5'!AQ60</f>
        <v>0</v>
      </c>
      <c r="BI22" s="92">
        <f>'Incremental_Cost Year 5'!AR60</f>
        <v>0</v>
      </c>
      <c r="BJ22" s="92">
        <f>'Incremental_Cost Year 5'!AS60</f>
        <v>0</v>
      </c>
      <c r="BK22" s="92">
        <f>'Incremental_Cost Year 5'!AT60</f>
        <v>0</v>
      </c>
      <c r="BL22" s="92">
        <f>'Incremental_Cost Year 5'!AU60</f>
        <v>0</v>
      </c>
      <c r="BM22" s="92">
        <f>'Incremental_Cost Year 5'!AV60</f>
        <v>0</v>
      </c>
      <c r="BN22" s="92">
        <f>'Incremental_Cost Year 5'!AW60</f>
        <v>0</v>
      </c>
      <c r="BO22" s="92">
        <f>'Incremental_Cost Year 5'!AX60</f>
        <v>0</v>
      </c>
      <c r="BP22" s="92">
        <f>'Incremental_Cost Year 5'!AY60</f>
        <v>0</v>
      </c>
      <c r="BQ22" s="92">
        <f>'Incremental_Cost Year 5'!AZ60</f>
        <v>0</v>
      </c>
      <c r="BR22" s="92">
        <f>'Incremental_Cost Year 5'!BA60</f>
        <v>0</v>
      </c>
      <c r="BS22" s="92">
        <f>'Incremental_Cost Year 5'!BB60</f>
        <v>0</v>
      </c>
      <c r="BT22" s="70"/>
      <c r="BU22" s="92">
        <f>'Incremental_Cost Year 6'!AQ60</f>
        <v>0</v>
      </c>
      <c r="BV22" s="92">
        <f>'Incremental_Cost Year 6'!AR60</f>
        <v>0</v>
      </c>
      <c r="BW22" s="92">
        <f>'Incremental_Cost Year 6'!AS60</f>
        <v>0</v>
      </c>
      <c r="BX22" s="92">
        <f>'Incremental_Cost Year 6'!AT60</f>
        <v>0</v>
      </c>
      <c r="BY22" s="92">
        <f>'Incremental_Cost Year 6'!AU60</f>
        <v>0</v>
      </c>
      <c r="BZ22" s="92">
        <f>'Incremental_Cost Year 6'!AV60</f>
        <v>0</v>
      </c>
      <c r="CA22" s="92">
        <f>'Incremental_Cost Year 6'!AW60</f>
        <v>0</v>
      </c>
      <c r="CB22" s="92">
        <f>'Incremental_Cost Year 6'!AX60</f>
        <v>0</v>
      </c>
      <c r="CC22" s="92">
        <f>'Incremental_Cost Year 6'!AY60</f>
        <v>0</v>
      </c>
      <c r="CD22" s="92">
        <f>'Incremental_Cost Year 6'!AZ60</f>
        <v>0</v>
      </c>
      <c r="CE22" s="92">
        <f>'Incremental_Cost Year 6'!BA60</f>
        <v>0</v>
      </c>
      <c r="CF22" s="92">
        <f>'Incremental_Cost Year 6'!BB60</f>
        <v>0</v>
      </c>
      <c r="CG22" s="70"/>
      <c r="CH22" s="92">
        <f>'Incremental_Cost Year 7'!AQ60</f>
        <v>0</v>
      </c>
      <c r="CI22" s="92">
        <f>'Incremental_Cost Year 7'!AR60</f>
        <v>0</v>
      </c>
      <c r="CJ22" s="92">
        <f>'Incremental_Cost Year 7'!AS60</f>
        <v>0</v>
      </c>
      <c r="CK22" s="92">
        <f>'Incremental_Cost Year 7'!AT60</f>
        <v>0</v>
      </c>
      <c r="CL22" s="92">
        <f>'Incremental_Cost Year 7'!AU60</f>
        <v>0</v>
      </c>
      <c r="CM22" s="92">
        <f>'Incremental_Cost Year 7'!AV60</f>
        <v>0</v>
      </c>
      <c r="CN22" s="92">
        <f>'Incremental_Cost Year 7'!AW60</f>
        <v>0</v>
      </c>
      <c r="CO22" s="92">
        <f>'Incremental_Cost Year 7'!AX60</f>
        <v>0</v>
      </c>
      <c r="CP22" s="92">
        <f>'Incremental_Cost Year 7'!AY60</f>
        <v>0</v>
      </c>
      <c r="CQ22" s="92">
        <f>'Incremental_Cost Year 7'!AZ60</f>
        <v>0</v>
      </c>
      <c r="CR22" s="92">
        <f>'Incremental_Cost Year 7'!BA60</f>
        <v>0</v>
      </c>
      <c r="CS22" s="92">
        <f>'Incremental_Cost Year 7'!BB60</f>
        <v>0</v>
      </c>
      <c r="CT22" s="70"/>
      <c r="CU22" s="92">
        <f>'Incremental_Cost Year 8'!AQ60</f>
        <v>0</v>
      </c>
      <c r="CV22" s="92">
        <f>'Incremental_Cost Year 8'!AR60</f>
        <v>0</v>
      </c>
      <c r="CW22" s="92">
        <f>'Incremental_Cost Year 8'!AS60</f>
        <v>0</v>
      </c>
      <c r="CX22" s="92">
        <f>'Incremental_Cost Year 8'!AT60</f>
        <v>0</v>
      </c>
      <c r="CY22" s="92">
        <f>'Incremental_Cost Year 8'!AU60</f>
        <v>0</v>
      </c>
      <c r="CZ22" s="92">
        <f>'Incremental_Cost Year 8'!AV60</f>
        <v>0</v>
      </c>
      <c r="DA22" s="92">
        <f>'Incremental_Cost Year 8'!AW60</f>
        <v>0</v>
      </c>
      <c r="DB22" s="92">
        <f>'Incremental_Cost Year 8'!AX60</f>
        <v>0</v>
      </c>
      <c r="DC22" s="92">
        <f>'Incremental_Cost Year 8'!AY60</f>
        <v>0</v>
      </c>
      <c r="DD22" s="92">
        <f>'Incremental_Cost Year 8'!AZ60</f>
        <v>0</v>
      </c>
      <c r="DE22" s="92">
        <f>'Incremental_Cost Year 8'!BA60</f>
        <v>0</v>
      </c>
      <c r="DF22" s="92">
        <f>'Incremental_Cost Year 8'!BB60</f>
        <v>0</v>
      </c>
      <c r="DG22" s="70"/>
      <c r="DH22" s="92">
        <f>'Incremental_Cost Year 9'!AQ60</f>
        <v>0</v>
      </c>
      <c r="DI22" s="92">
        <f>'Incremental_Cost Year 9'!AR60</f>
        <v>0</v>
      </c>
      <c r="DJ22" s="92">
        <f>'Incremental_Cost Year 9'!AS60</f>
        <v>0</v>
      </c>
      <c r="DK22" s="92">
        <f>'Incremental_Cost Year 9'!AT60</f>
        <v>0</v>
      </c>
      <c r="DL22" s="92">
        <f>'Incremental_Cost Year 9'!AU60</f>
        <v>0</v>
      </c>
      <c r="DM22" s="92">
        <f>'Incremental_Cost Year 9'!AV60</f>
        <v>0</v>
      </c>
      <c r="DN22" s="92">
        <f>'Incremental_Cost Year 9'!AW60</f>
        <v>0</v>
      </c>
      <c r="DO22" s="92">
        <f>'Incremental_Cost Year 9'!AX60</f>
        <v>0</v>
      </c>
      <c r="DP22" s="92">
        <f>'Incremental_Cost Year 9'!AY60</f>
        <v>0</v>
      </c>
      <c r="DQ22" s="92">
        <f>'Incremental_Cost Year 9'!AZ60</f>
        <v>0</v>
      </c>
      <c r="DR22" s="92">
        <f>'Incremental_Cost Year 9'!BA60</f>
        <v>0</v>
      </c>
      <c r="DS22" s="92">
        <f>'Incremental_Cost Year 9'!BB60</f>
        <v>0</v>
      </c>
      <c r="DT22" s="70"/>
      <c r="DU22" s="92">
        <f>'Incremental_Cost Year 10'!AQ60</f>
        <v>0</v>
      </c>
      <c r="DV22" s="92">
        <f>'Incremental_Cost Year 10'!AR60</f>
        <v>0</v>
      </c>
      <c r="DW22" s="92">
        <f>'Incremental_Cost Year 10'!AS60</f>
        <v>0</v>
      </c>
      <c r="DX22" s="92">
        <f>'Incremental_Cost Year 10'!AT60</f>
        <v>0</v>
      </c>
      <c r="DY22" s="92">
        <f>'Incremental_Cost Year 10'!AU60</f>
        <v>0</v>
      </c>
      <c r="DZ22" s="92">
        <f>'Incremental_Cost Year 10'!AV60</f>
        <v>0</v>
      </c>
      <c r="EA22" s="92">
        <f>'Incremental_Cost Year 10'!AW60</f>
        <v>0</v>
      </c>
      <c r="EB22" s="92">
        <f>'Incremental_Cost Year 10'!AX60</f>
        <v>0</v>
      </c>
      <c r="EC22" s="92">
        <f>'Incremental_Cost Year 10'!AY60</f>
        <v>0</v>
      </c>
      <c r="ED22" s="92">
        <f>'Incremental_Cost Year 10'!AZ60</f>
        <v>0</v>
      </c>
      <c r="EE22" s="92">
        <f>'Incremental_Cost Year 10'!BA60</f>
        <v>0</v>
      </c>
      <c r="EF22" s="92">
        <f>'Incremental_Cost Year 10'!BB60</f>
        <v>0</v>
      </c>
      <c r="EG22" s="70"/>
      <c r="EH22" s="92">
        <f t="shared" si="72"/>
        <v>471176.25</v>
      </c>
      <c r="EI22" s="92">
        <f t="shared" si="72"/>
        <v>1100000</v>
      </c>
      <c r="EJ22" s="92">
        <f t="shared" si="72"/>
        <v>0</v>
      </c>
      <c r="EK22" s="92">
        <f t="shared" si="72"/>
        <v>1571176.25</v>
      </c>
      <c r="EL22" s="92">
        <f t="shared" si="72"/>
        <v>471176.25</v>
      </c>
      <c r="EM22" s="92">
        <f t="shared" si="72"/>
        <v>0</v>
      </c>
      <c r="EN22" s="92">
        <f t="shared" si="72"/>
        <v>0</v>
      </c>
      <c r="EO22" s="92">
        <f t="shared" si="72"/>
        <v>1100000</v>
      </c>
      <c r="EP22" s="92">
        <f t="shared" si="72"/>
        <v>0</v>
      </c>
      <c r="EQ22" s="92">
        <f t="shared" si="72"/>
        <v>0</v>
      </c>
      <c r="ER22" s="92">
        <f t="shared" si="72"/>
        <v>0</v>
      </c>
      <c r="ES22" s="92">
        <f t="shared" si="72"/>
        <v>0</v>
      </c>
      <c r="EU22" s="194">
        <f t="shared" si="23"/>
        <v>1100000</v>
      </c>
      <c r="EW22" s="194">
        <f t="shared" si="24"/>
        <v>0</v>
      </c>
      <c r="EX22" s="194">
        <f t="shared" si="21"/>
        <v>0</v>
      </c>
    </row>
    <row r="23" spans="1:154" s="77" customFormat="1" ht="18" customHeight="1" x14ac:dyDescent="0.25">
      <c r="A23" s="83"/>
      <c r="B23" s="89"/>
      <c r="C23" s="426" t="str">
        <f>'Incremental_Cost Year 1'!C61:E61</f>
        <v>1.6 Objektivi specifik: Reduktimi i sjelljeve me risk që ndikojnë në SJT.</v>
      </c>
      <c r="D23" s="426"/>
      <c r="E23" s="427"/>
      <c r="F23" s="98"/>
      <c r="G23" s="98"/>
      <c r="H23" s="94">
        <f>SUM(H24)</f>
        <v>168976319.32499999</v>
      </c>
      <c r="I23" s="94">
        <f t="shared" ref="I23:S23" si="73">SUM(I24)</f>
        <v>38504766.666666664</v>
      </c>
      <c r="J23" s="94">
        <f t="shared" si="73"/>
        <v>83835000</v>
      </c>
      <c r="K23" s="94">
        <f t="shared" si="73"/>
        <v>291316085.99166662</v>
      </c>
      <c r="L23" s="94">
        <f t="shared" si="73"/>
        <v>287890085.99166662</v>
      </c>
      <c r="M23" s="94">
        <f t="shared" si="73"/>
        <v>0</v>
      </c>
      <c r="N23" s="94">
        <f t="shared" si="73"/>
        <v>0</v>
      </c>
      <c r="O23" s="94">
        <f t="shared" si="73"/>
        <v>0</v>
      </c>
      <c r="P23" s="94">
        <f t="shared" si="73"/>
        <v>3426000</v>
      </c>
      <c r="Q23" s="94">
        <f t="shared" si="73"/>
        <v>0</v>
      </c>
      <c r="R23" s="94">
        <f t="shared" si="73"/>
        <v>0</v>
      </c>
      <c r="S23" s="94">
        <f t="shared" si="73"/>
        <v>0</v>
      </c>
      <c r="T23" s="70"/>
      <c r="U23" s="94">
        <f>SUM(U24)</f>
        <v>601653714.46071422</v>
      </c>
      <c r="V23" s="94">
        <f t="shared" ref="V23:AF23" si="74">SUM(V24)</f>
        <v>515730000</v>
      </c>
      <c r="W23" s="94">
        <f t="shared" si="74"/>
        <v>158099500</v>
      </c>
      <c r="X23" s="94">
        <f t="shared" si="74"/>
        <v>1275483214.4607143</v>
      </c>
      <c r="Y23" s="94">
        <f t="shared" si="74"/>
        <v>1208379114.4607143</v>
      </c>
      <c r="Z23" s="94">
        <f t="shared" si="74"/>
        <v>0</v>
      </c>
      <c r="AA23" s="94">
        <f t="shared" si="74"/>
        <v>0</v>
      </c>
      <c r="AB23" s="94">
        <f t="shared" si="74"/>
        <v>0</v>
      </c>
      <c r="AC23" s="94">
        <f t="shared" si="74"/>
        <v>4947600</v>
      </c>
      <c r="AD23" s="94">
        <f t="shared" si="74"/>
        <v>0</v>
      </c>
      <c r="AE23" s="94">
        <f t="shared" si="74"/>
        <v>0</v>
      </c>
      <c r="AF23" s="94">
        <f t="shared" si="74"/>
        <v>-62156500</v>
      </c>
      <c r="AG23" s="70"/>
      <c r="AH23" s="94">
        <f>SUM(AH24)</f>
        <v>730217203.06071424</v>
      </c>
      <c r="AI23" s="94">
        <f t="shared" ref="AI23:AS23" si="75">SUM(AI24)</f>
        <v>589606800</v>
      </c>
      <c r="AJ23" s="94">
        <f t="shared" si="75"/>
        <v>699061467.47967482</v>
      </c>
      <c r="AK23" s="94">
        <f t="shared" si="75"/>
        <v>2018885470.5403891</v>
      </c>
      <c r="AL23" s="94">
        <f t="shared" si="75"/>
        <v>1256156603.0607142</v>
      </c>
      <c r="AM23" s="94">
        <f t="shared" si="75"/>
        <v>0</v>
      </c>
      <c r="AN23" s="94">
        <f t="shared" si="75"/>
        <v>0</v>
      </c>
      <c r="AO23" s="94">
        <f t="shared" si="75"/>
        <v>0</v>
      </c>
      <c r="AP23" s="94">
        <f t="shared" si="75"/>
        <v>5199600</v>
      </c>
      <c r="AQ23" s="94">
        <f t="shared" si="75"/>
        <v>249600</v>
      </c>
      <c r="AR23" s="94">
        <f t="shared" si="75"/>
        <v>0</v>
      </c>
      <c r="AS23" s="94">
        <f t="shared" si="75"/>
        <v>-757279667.47967482</v>
      </c>
      <c r="AT23" s="70"/>
      <c r="AU23" s="94">
        <f>SUM(AU24)</f>
        <v>756837523.36071432</v>
      </c>
      <c r="AV23" s="94">
        <f t="shared" ref="AV23:BF23" si="76">SUM(AV24)</f>
        <v>634753200</v>
      </c>
      <c r="AW23" s="94">
        <f t="shared" si="76"/>
        <v>764750000</v>
      </c>
      <c r="AX23" s="94">
        <f t="shared" si="76"/>
        <v>2156340723.3607144</v>
      </c>
      <c r="AY23" s="94">
        <f t="shared" si="76"/>
        <v>1266539923.3607144</v>
      </c>
      <c r="AZ23" s="94">
        <f t="shared" si="76"/>
        <v>0</v>
      </c>
      <c r="BA23" s="94">
        <f t="shared" si="76"/>
        <v>0</v>
      </c>
      <c r="BB23" s="94">
        <f t="shared" si="76"/>
        <v>0</v>
      </c>
      <c r="BC23" s="94">
        <f t="shared" si="76"/>
        <v>2346000</v>
      </c>
      <c r="BD23" s="94">
        <f t="shared" si="76"/>
        <v>249600</v>
      </c>
      <c r="BE23" s="94">
        <f t="shared" si="76"/>
        <v>0</v>
      </c>
      <c r="BF23" s="94">
        <f t="shared" si="76"/>
        <v>-887205200</v>
      </c>
      <c r="BG23" s="70"/>
      <c r="BH23" s="94">
        <f>SUM(BH24)</f>
        <v>754450124.77499998</v>
      </c>
      <c r="BI23" s="94">
        <f t="shared" ref="BI23:BS23" si="77">SUM(BI24)</f>
        <v>633128400</v>
      </c>
      <c r="BJ23" s="94">
        <f t="shared" si="77"/>
        <v>747500000</v>
      </c>
      <c r="BK23" s="94">
        <f t="shared" si="77"/>
        <v>2135078524.7750001</v>
      </c>
      <c r="BL23" s="94">
        <f t="shared" si="77"/>
        <v>1384152524.7750001</v>
      </c>
      <c r="BM23" s="94">
        <f t="shared" si="77"/>
        <v>0</v>
      </c>
      <c r="BN23" s="94">
        <f t="shared" si="77"/>
        <v>0</v>
      </c>
      <c r="BO23" s="94">
        <f t="shared" si="77"/>
        <v>0</v>
      </c>
      <c r="BP23" s="94">
        <f t="shared" si="77"/>
        <v>2346000</v>
      </c>
      <c r="BQ23" s="94">
        <f t="shared" si="77"/>
        <v>0</v>
      </c>
      <c r="BR23" s="94">
        <f t="shared" si="77"/>
        <v>0</v>
      </c>
      <c r="BS23" s="94">
        <f t="shared" si="77"/>
        <v>-748580000</v>
      </c>
      <c r="BT23" s="70"/>
      <c r="BU23" s="94">
        <f>SUM(BU24)</f>
        <v>754450124.77499998</v>
      </c>
      <c r="BV23" s="94">
        <f t="shared" ref="BV23:CF23" si="78">SUM(BV24)</f>
        <v>635728400</v>
      </c>
      <c r="BW23" s="94">
        <f t="shared" si="78"/>
        <v>0</v>
      </c>
      <c r="BX23" s="94">
        <f t="shared" si="78"/>
        <v>1390178524.7750001</v>
      </c>
      <c r="BY23" s="94">
        <f t="shared" si="78"/>
        <v>1386752524.7750001</v>
      </c>
      <c r="BZ23" s="94">
        <f t="shared" si="78"/>
        <v>0</v>
      </c>
      <c r="CA23" s="94">
        <f t="shared" si="78"/>
        <v>0</v>
      </c>
      <c r="CB23" s="94">
        <f t="shared" si="78"/>
        <v>0</v>
      </c>
      <c r="CC23" s="94">
        <f t="shared" si="78"/>
        <v>2346000</v>
      </c>
      <c r="CD23" s="94">
        <f t="shared" si="78"/>
        <v>0</v>
      </c>
      <c r="CE23" s="94">
        <f t="shared" si="78"/>
        <v>0</v>
      </c>
      <c r="CF23" s="94">
        <f t="shared" si="78"/>
        <v>-1080000</v>
      </c>
      <c r="CG23" s="70"/>
      <c r="CH23" s="94">
        <f>SUM(CH24)</f>
        <v>754450124.77499998</v>
      </c>
      <c r="CI23" s="94">
        <f t="shared" ref="CI23:CS23" si="79">SUM(CI24)</f>
        <v>633128400</v>
      </c>
      <c r="CJ23" s="94">
        <f t="shared" si="79"/>
        <v>0</v>
      </c>
      <c r="CK23" s="94">
        <f t="shared" si="79"/>
        <v>1387578524.7750001</v>
      </c>
      <c r="CL23" s="94">
        <f t="shared" si="79"/>
        <v>1384152524.7750001</v>
      </c>
      <c r="CM23" s="94">
        <f t="shared" si="79"/>
        <v>0</v>
      </c>
      <c r="CN23" s="94">
        <f t="shared" si="79"/>
        <v>0</v>
      </c>
      <c r="CO23" s="94">
        <f t="shared" si="79"/>
        <v>0</v>
      </c>
      <c r="CP23" s="94">
        <f t="shared" si="79"/>
        <v>2346000</v>
      </c>
      <c r="CQ23" s="94">
        <f t="shared" si="79"/>
        <v>0</v>
      </c>
      <c r="CR23" s="94">
        <f t="shared" si="79"/>
        <v>0</v>
      </c>
      <c r="CS23" s="94">
        <f t="shared" si="79"/>
        <v>-1080000</v>
      </c>
      <c r="CT23" s="70"/>
      <c r="CU23" s="94">
        <f>SUM(CU24)</f>
        <v>754450124.77499998</v>
      </c>
      <c r="CV23" s="94">
        <f t="shared" ref="CV23:DF23" si="80">SUM(CV24)</f>
        <v>633128400</v>
      </c>
      <c r="CW23" s="94">
        <f t="shared" si="80"/>
        <v>0</v>
      </c>
      <c r="CX23" s="94">
        <f t="shared" si="80"/>
        <v>1387578524.7750001</v>
      </c>
      <c r="CY23" s="94">
        <f t="shared" si="80"/>
        <v>1384152524.7750001</v>
      </c>
      <c r="CZ23" s="94">
        <f t="shared" si="80"/>
        <v>0</v>
      </c>
      <c r="DA23" s="94">
        <f t="shared" si="80"/>
        <v>0</v>
      </c>
      <c r="DB23" s="94">
        <f t="shared" si="80"/>
        <v>0</v>
      </c>
      <c r="DC23" s="94">
        <f t="shared" si="80"/>
        <v>2346000</v>
      </c>
      <c r="DD23" s="94">
        <f t="shared" si="80"/>
        <v>0</v>
      </c>
      <c r="DE23" s="94">
        <f t="shared" si="80"/>
        <v>0</v>
      </c>
      <c r="DF23" s="94">
        <f t="shared" si="80"/>
        <v>-1080000</v>
      </c>
      <c r="DG23" s="70"/>
      <c r="DH23" s="94">
        <f>SUM(DH24)</f>
        <v>754450124.77499998</v>
      </c>
      <c r="DI23" s="94">
        <f t="shared" ref="DI23:DS23" si="81">SUM(DI24)</f>
        <v>633128400</v>
      </c>
      <c r="DJ23" s="94">
        <f t="shared" si="81"/>
        <v>0</v>
      </c>
      <c r="DK23" s="94">
        <f t="shared" si="81"/>
        <v>1387578524.7750001</v>
      </c>
      <c r="DL23" s="94">
        <f t="shared" si="81"/>
        <v>1384152524.7750001</v>
      </c>
      <c r="DM23" s="94">
        <f t="shared" si="81"/>
        <v>0</v>
      </c>
      <c r="DN23" s="94">
        <f t="shared" si="81"/>
        <v>0</v>
      </c>
      <c r="DO23" s="94">
        <f t="shared" si="81"/>
        <v>0</v>
      </c>
      <c r="DP23" s="94">
        <f t="shared" si="81"/>
        <v>2346000</v>
      </c>
      <c r="DQ23" s="94">
        <f t="shared" si="81"/>
        <v>0</v>
      </c>
      <c r="DR23" s="94">
        <f t="shared" si="81"/>
        <v>0</v>
      </c>
      <c r="DS23" s="94">
        <f t="shared" si="81"/>
        <v>-1080000</v>
      </c>
      <c r="DT23" s="70"/>
      <c r="DU23" s="94">
        <f>SUM(DU24)</f>
        <v>754450124.77499998</v>
      </c>
      <c r="DV23" s="94">
        <f t="shared" ref="DV23:EF23" si="82">SUM(DV24)</f>
        <v>633128400</v>
      </c>
      <c r="DW23" s="94">
        <f t="shared" si="82"/>
        <v>0</v>
      </c>
      <c r="DX23" s="94">
        <f t="shared" si="82"/>
        <v>1387578524.7750001</v>
      </c>
      <c r="DY23" s="94">
        <f t="shared" si="82"/>
        <v>1384152524.7750001</v>
      </c>
      <c r="DZ23" s="94">
        <f t="shared" si="82"/>
        <v>0</v>
      </c>
      <c r="EA23" s="94">
        <f t="shared" si="82"/>
        <v>0</v>
      </c>
      <c r="EB23" s="94">
        <f t="shared" si="82"/>
        <v>0</v>
      </c>
      <c r="EC23" s="94">
        <f t="shared" si="82"/>
        <v>2346000</v>
      </c>
      <c r="ED23" s="94">
        <f t="shared" si="82"/>
        <v>0</v>
      </c>
      <c r="EE23" s="94">
        <f t="shared" si="82"/>
        <v>0</v>
      </c>
      <c r="EF23" s="94">
        <f t="shared" si="82"/>
        <v>-1080000</v>
      </c>
      <c r="EG23" s="70"/>
      <c r="EH23" s="94">
        <f t="shared" ref="EH23:ES23" si="83">SUM(EH24)</f>
        <v>6784385508.8571415</v>
      </c>
      <c r="EI23" s="94">
        <f t="shared" si="83"/>
        <v>5579965166.666666</v>
      </c>
      <c r="EJ23" s="94">
        <f t="shared" si="83"/>
        <v>2453245967.4796748</v>
      </c>
      <c r="EK23" s="94">
        <f t="shared" si="83"/>
        <v>14817596643.003483</v>
      </c>
      <c r="EL23" s="94">
        <f t="shared" si="83"/>
        <v>12326480875.523808</v>
      </c>
      <c r="EM23" s="94">
        <f t="shared" si="83"/>
        <v>0</v>
      </c>
      <c r="EN23" s="94">
        <f t="shared" si="83"/>
        <v>0</v>
      </c>
      <c r="EO23" s="94">
        <f t="shared" si="83"/>
        <v>0</v>
      </c>
      <c r="EP23" s="94">
        <f t="shared" si="83"/>
        <v>29995200</v>
      </c>
      <c r="EQ23" s="94">
        <f t="shared" si="83"/>
        <v>499200</v>
      </c>
      <c r="ER23" s="94">
        <f t="shared" si="83"/>
        <v>0</v>
      </c>
      <c r="ES23" s="94">
        <f t="shared" si="83"/>
        <v>-2460621367.4796748</v>
      </c>
      <c r="EU23" s="194">
        <f t="shared" si="23"/>
        <v>30494400</v>
      </c>
      <c r="EW23" s="194">
        <f t="shared" si="24"/>
        <v>-2460621367.4796753</v>
      </c>
      <c r="EX23" s="194">
        <f t="shared" si="21"/>
        <v>0</v>
      </c>
    </row>
    <row r="24" spans="1:154" s="77" customFormat="1" ht="89.25" x14ac:dyDescent="0.25">
      <c r="A24" s="82"/>
      <c r="B24" s="88"/>
      <c r="C24" s="86"/>
      <c r="D24" s="193" t="str">
        <f>'Incremental_Cost Year 1'!D77</f>
        <v>07220 Shërbime të Kujdesit Shëndetësor Parësor/07330 Shërbime të Kujdesit Shëndetësor Dytësor/01110 Planifikimi, Menaxhimi dhe Administrimi/07450 Shërbime të Shëndetit Publik</v>
      </c>
      <c r="E24" s="193" t="str">
        <f>'Incremental_Cost Year 1'!E77</f>
        <v>1.6.1 Fuqizimi dhe zhvillimi i  ndërhyrjeve që mbështesin shëndetin e mirë mendor dhe zbulimin e hershëm të tyre që reduktojnë stigmën e cila lidhet me problemet e shëndetit mendor</v>
      </c>
      <c r="F24" s="96">
        <f>'Incremental_Cost Year 1'!F77</f>
        <v>2021</v>
      </c>
      <c r="G24" s="96">
        <f>'Incremental_Cost Year 1'!G77</f>
        <v>2030</v>
      </c>
      <c r="H24" s="92">
        <f>'Incremental_Cost Year 1'!AQ77</f>
        <v>168976319.32499999</v>
      </c>
      <c r="I24" s="92">
        <f>'Incremental_Cost Year 1'!AR77</f>
        <v>38504766.666666664</v>
      </c>
      <c r="J24" s="92">
        <f>'Incremental_Cost Year 1'!AS77</f>
        <v>83835000</v>
      </c>
      <c r="K24" s="92">
        <f>'Incremental_Cost Year 1'!AT77</f>
        <v>291316085.99166662</v>
      </c>
      <c r="L24" s="92">
        <f>'Incremental_Cost Year 1'!AU77</f>
        <v>287890085.99166662</v>
      </c>
      <c r="M24" s="92">
        <f>'Incremental_Cost Year 1'!AV77</f>
        <v>0</v>
      </c>
      <c r="N24" s="92">
        <f>'Incremental_Cost Year 1'!AW77</f>
        <v>0</v>
      </c>
      <c r="O24" s="92">
        <f>'Incremental_Cost Year 1'!AX77</f>
        <v>0</v>
      </c>
      <c r="P24" s="92">
        <f>'Incremental_Cost Year 1'!AY77</f>
        <v>3426000</v>
      </c>
      <c r="Q24" s="92">
        <f>'Incremental_Cost Year 1'!AZ77</f>
        <v>0</v>
      </c>
      <c r="R24" s="92">
        <f>'Incremental_Cost Year 1'!BA77</f>
        <v>0</v>
      </c>
      <c r="S24" s="92">
        <f>'Incremental_Cost Year 1'!BB77</f>
        <v>0</v>
      </c>
      <c r="T24" s="70"/>
      <c r="U24" s="92">
        <f>'Incremental_Cost Year 2'!AQ77</f>
        <v>601653714.46071422</v>
      </c>
      <c r="V24" s="92">
        <f>'Incremental_Cost Year 2'!AR77</f>
        <v>515730000</v>
      </c>
      <c r="W24" s="92">
        <f>'Incremental_Cost Year 2'!AS77</f>
        <v>158099500</v>
      </c>
      <c r="X24" s="92">
        <f>'Incremental_Cost Year 2'!AT77</f>
        <v>1275483214.4607143</v>
      </c>
      <c r="Y24" s="92">
        <f>'Incremental_Cost Year 2'!AU77</f>
        <v>1208379114.4607143</v>
      </c>
      <c r="Z24" s="92">
        <f>'Incremental_Cost Year 2'!AV77</f>
        <v>0</v>
      </c>
      <c r="AA24" s="92">
        <f>'Incremental_Cost Year 2'!AW77</f>
        <v>0</v>
      </c>
      <c r="AB24" s="92">
        <f>'Incremental_Cost Year 2'!AX77</f>
        <v>0</v>
      </c>
      <c r="AC24" s="92">
        <f>'Incremental_Cost Year 2'!AY77</f>
        <v>4947600</v>
      </c>
      <c r="AD24" s="92">
        <f>'Incremental_Cost Year 2'!AZ77</f>
        <v>0</v>
      </c>
      <c r="AE24" s="92">
        <f>'Incremental_Cost Year 2'!BA77</f>
        <v>0</v>
      </c>
      <c r="AF24" s="92">
        <f>'Incremental_Cost Year 2'!BB77</f>
        <v>-62156500</v>
      </c>
      <c r="AG24" s="70"/>
      <c r="AH24" s="92">
        <f>'Incremental_Cost Year 3'!AQ77</f>
        <v>730217203.06071424</v>
      </c>
      <c r="AI24" s="92">
        <f>'Incremental_Cost Year 3'!AR77</f>
        <v>589606800</v>
      </c>
      <c r="AJ24" s="92">
        <f>'Incremental_Cost Year 3'!AS77</f>
        <v>699061467.47967482</v>
      </c>
      <c r="AK24" s="92">
        <f>'Incremental_Cost Year 3'!AT77</f>
        <v>2018885470.5403891</v>
      </c>
      <c r="AL24" s="92">
        <f>'Incremental_Cost Year 3'!AU77</f>
        <v>1256156603.0607142</v>
      </c>
      <c r="AM24" s="92">
        <f>'Incremental_Cost Year 3'!AV77</f>
        <v>0</v>
      </c>
      <c r="AN24" s="92">
        <f>'Incremental_Cost Year 3'!AW77</f>
        <v>0</v>
      </c>
      <c r="AO24" s="92">
        <f>'Incremental_Cost Year 3'!AX77</f>
        <v>0</v>
      </c>
      <c r="AP24" s="92">
        <f>'Incremental_Cost Year 3'!AY77</f>
        <v>5199600</v>
      </c>
      <c r="AQ24" s="92">
        <f>'Incremental_Cost Year 3'!AZ77</f>
        <v>249600</v>
      </c>
      <c r="AR24" s="92">
        <f>'Incremental_Cost Year 3'!BA77</f>
        <v>0</v>
      </c>
      <c r="AS24" s="92">
        <f>'Incremental_Cost Year 3'!BB77</f>
        <v>-757279667.47967482</v>
      </c>
      <c r="AT24" s="70"/>
      <c r="AU24" s="92">
        <f>'Incremental_Cost Year 4'!AQ77</f>
        <v>756837523.36071432</v>
      </c>
      <c r="AV24" s="92">
        <f>'Incremental_Cost Year 4'!AR77</f>
        <v>634753200</v>
      </c>
      <c r="AW24" s="92">
        <f>'Incremental_Cost Year 4'!AS77</f>
        <v>764750000</v>
      </c>
      <c r="AX24" s="92">
        <f>'Incremental_Cost Year 4'!AT77</f>
        <v>2156340723.3607144</v>
      </c>
      <c r="AY24" s="92">
        <f>'Incremental_Cost Year 4'!AU77</f>
        <v>1266539923.3607144</v>
      </c>
      <c r="AZ24" s="92">
        <f>'Incremental_Cost Year 4'!AV77</f>
        <v>0</v>
      </c>
      <c r="BA24" s="92">
        <f>'Incremental_Cost Year 4'!AW77</f>
        <v>0</v>
      </c>
      <c r="BB24" s="92">
        <f>'Incremental_Cost Year 4'!AX77</f>
        <v>0</v>
      </c>
      <c r="BC24" s="92">
        <f>'Incremental_Cost Year 4'!AY77</f>
        <v>2346000</v>
      </c>
      <c r="BD24" s="92">
        <f>'Incremental_Cost Year 4'!AZ77</f>
        <v>249600</v>
      </c>
      <c r="BE24" s="92">
        <f>'Incremental_Cost Year 4'!BA77</f>
        <v>0</v>
      </c>
      <c r="BF24" s="92">
        <f>'Incremental_Cost Year 4'!BB77</f>
        <v>-887205200</v>
      </c>
      <c r="BG24" s="70"/>
      <c r="BH24" s="92">
        <f>'Incremental_Cost Year 5'!AQ77</f>
        <v>754450124.77499998</v>
      </c>
      <c r="BI24" s="92">
        <f>'Incremental_Cost Year 5'!AR77</f>
        <v>633128400</v>
      </c>
      <c r="BJ24" s="92">
        <f>'Incremental_Cost Year 5'!AS77</f>
        <v>747500000</v>
      </c>
      <c r="BK24" s="92">
        <f>'Incremental_Cost Year 5'!AT77</f>
        <v>2135078524.7750001</v>
      </c>
      <c r="BL24" s="92">
        <f>'Incremental_Cost Year 5'!AU77</f>
        <v>1384152524.7750001</v>
      </c>
      <c r="BM24" s="92">
        <f>'Incremental_Cost Year 5'!AV77</f>
        <v>0</v>
      </c>
      <c r="BN24" s="92">
        <f>'Incremental_Cost Year 5'!AW77</f>
        <v>0</v>
      </c>
      <c r="BO24" s="92">
        <f>'Incremental_Cost Year 5'!AX77</f>
        <v>0</v>
      </c>
      <c r="BP24" s="92">
        <f>'Incremental_Cost Year 5'!AY77</f>
        <v>2346000</v>
      </c>
      <c r="BQ24" s="92">
        <f>'Incremental_Cost Year 5'!AZ77</f>
        <v>0</v>
      </c>
      <c r="BR24" s="92">
        <f>'Incremental_Cost Year 5'!BA77</f>
        <v>0</v>
      </c>
      <c r="BS24" s="92">
        <f>'Incremental_Cost Year 5'!BB77</f>
        <v>-748580000</v>
      </c>
      <c r="BT24" s="70"/>
      <c r="BU24" s="92">
        <f>'Incremental_Cost Year 6'!AQ77</f>
        <v>754450124.77499998</v>
      </c>
      <c r="BV24" s="92">
        <f>'Incremental_Cost Year 6'!AR77</f>
        <v>635728400</v>
      </c>
      <c r="BW24" s="92">
        <f>'Incremental_Cost Year 6'!AS77</f>
        <v>0</v>
      </c>
      <c r="BX24" s="92">
        <f>'Incremental_Cost Year 6'!AT77</f>
        <v>1390178524.7750001</v>
      </c>
      <c r="BY24" s="92">
        <f>'Incremental_Cost Year 6'!AU77</f>
        <v>1386752524.7750001</v>
      </c>
      <c r="BZ24" s="92">
        <f>'Incremental_Cost Year 6'!AV77</f>
        <v>0</v>
      </c>
      <c r="CA24" s="92">
        <f>'Incremental_Cost Year 6'!AW77</f>
        <v>0</v>
      </c>
      <c r="CB24" s="92">
        <f>'Incremental_Cost Year 6'!AX77</f>
        <v>0</v>
      </c>
      <c r="CC24" s="92">
        <f>'Incremental_Cost Year 6'!AY77</f>
        <v>2346000</v>
      </c>
      <c r="CD24" s="92">
        <f>'Incremental_Cost Year 6'!AZ77</f>
        <v>0</v>
      </c>
      <c r="CE24" s="92">
        <f>'Incremental_Cost Year 6'!BA77</f>
        <v>0</v>
      </c>
      <c r="CF24" s="92">
        <f>'Incremental_Cost Year 6'!BB77</f>
        <v>-1080000</v>
      </c>
      <c r="CG24" s="70"/>
      <c r="CH24" s="92">
        <f>'Incremental_Cost Year 7'!AQ77</f>
        <v>754450124.77499998</v>
      </c>
      <c r="CI24" s="92">
        <f>'Incremental_Cost Year 7'!AR77</f>
        <v>633128400</v>
      </c>
      <c r="CJ24" s="92">
        <f>'Incremental_Cost Year 7'!AS77</f>
        <v>0</v>
      </c>
      <c r="CK24" s="92">
        <f>'Incremental_Cost Year 7'!AT77</f>
        <v>1387578524.7750001</v>
      </c>
      <c r="CL24" s="92">
        <f>'Incremental_Cost Year 7'!AU77</f>
        <v>1384152524.7750001</v>
      </c>
      <c r="CM24" s="92">
        <f>'Incremental_Cost Year 7'!AV77</f>
        <v>0</v>
      </c>
      <c r="CN24" s="92">
        <f>'Incremental_Cost Year 7'!AW77</f>
        <v>0</v>
      </c>
      <c r="CO24" s="92">
        <f>'Incremental_Cost Year 7'!AX77</f>
        <v>0</v>
      </c>
      <c r="CP24" s="92">
        <f>'Incremental_Cost Year 7'!AY77</f>
        <v>2346000</v>
      </c>
      <c r="CQ24" s="92">
        <f>'Incremental_Cost Year 7'!AZ77</f>
        <v>0</v>
      </c>
      <c r="CR24" s="92">
        <f>'Incremental_Cost Year 7'!BA77</f>
        <v>0</v>
      </c>
      <c r="CS24" s="92">
        <f>'Incremental_Cost Year 7'!BB77</f>
        <v>-1080000</v>
      </c>
      <c r="CT24" s="70"/>
      <c r="CU24" s="92">
        <f>'Incremental_Cost Year 8'!AQ77</f>
        <v>754450124.77499998</v>
      </c>
      <c r="CV24" s="92">
        <f>'Incremental_Cost Year 8'!AR77</f>
        <v>633128400</v>
      </c>
      <c r="CW24" s="92">
        <f>'Incremental_Cost Year 8'!AS77</f>
        <v>0</v>
      </c>
      <c r="CX24" s="92">
        <f>'Incremental_Cost Year 8'!AT77</f>
        <v>1387578524.7750001</v>
      </c>
      <c r="CY24" s="92">
        <f>'Incremental_Cost Year 8'!AU77</f>
        <v>1384152524.7750001</v>
      </c>
      <c r="CZ24" s="92">
        <f>'Incremental_Cost Year 8'!AV77</f>
        <v>0</v>
      </c>
      <c r="DA24" s="92">
        <f>'Incremental_Cost Year 8'!AW77</f>
        <v>0</v>
      </c>
      <c r="DB24" s="92">
        <f>'Incremental_Cost Year 8'!AX77</f>
        <v>0</v>
      </c>
      <c r="DC24" s="92">
        <f>'Incremental_Cost Year 8'!AY77</f>
        <v>2346000</v>
      </c>
      <c r="DD24" s="92">
        <f>'Incremental_Cost Year 8'!AZ77</f>
        <v>0</v>
      </c>
      <c r="DE24" s="92">
        <f>'Incremental_Cost Year 8'!BA77</f>
        <v>0</v>
      </c>
      <c r="DF24" s="92">
        <f>'Incremental_Cost Year 8'!BB77</f>
        <v>-1080000</v>
      </c>
      <c r="DG24" s="70"/>
      <c r="DH24" s="92">
        <f>'Incremental_Cost Year 9'!AQ77</f>
        <v>754450124.77499998</v>
      </c>
      <c r="DI24" s="92">
        <f>'Incremental_Cost Year 9'!AR77</f>
        <v>633128400</v>
      </c>
      <c r="DJ24" s="92">
        <f>'Incremental_Cost Year 9'!AS77</f>
        <v>0</v>
      </c>
      <c r="DK24" s="92">
        <f>'Incremental_Cost Year 9'!AT77</f>
        <v>1387578524.7750001</v>
      </c>
      <c r="DL24" s="92">
        <f>'Incremental_Cost Year 9'!AU77</f>
        <v>1384152524.7750001</v>
      </c>
      <c r="DM24" s="92">
        <f>'Incremental_Cost Year 9'!AV77</f>
        <v>0</v>
      </c>
      <c r="DN24" s="92">
        <f>'Incremental_Cost Year 9'!AW77</f>
        <v>0</v>
      </c>
      <c r="DO24" s="92">
        <f>'Incremental_Cost Year 9'!AX77</f>
        <v>0</v>
      </c>
      <c r="DP24" s="92">
        <f>'Incremental_Cost Year 9'!AY77</f>
        <v>2346000</v>
      </c>
      <c r="DQ24" s="92">
        <f>'Incremental_Cost Year 9'!AZ77</f>
        <v>0</v>
      </c>
      <c r="DR24" s="92">
        <f>'Incremental_Cost Year 9'!BA77</f>
        <v>0</v>
      </c>
      <c r="DS24" s="92">
        <f>'Incremental_Cost Year 9'!BB77</f>
        <v>-1080000</v>
      </c>
      <c r="DT24" s="70"/>
      <c r="DU24" s="92">
        <f>'Incremental_Cost Year 10'!AQ77</f>
        <v>754450124.77499998</v>
      </c>
      <c r="DV24" s="92">
        <f>'Incremental_Cost Year 10'!AR77</f>
        <v>633128400</v>
      </c>
      <c r="DW24" s="92">
        <f>'Incremental_Cost Year 10'!AS77</f>
        <v>0</v>
      </c>
      <c r="DX24" s="92">
        <f>'Incremental_Cost Year 10'!AT77</f>
        <v>1387578524.7750001</v>
      </c>
      <c r="DY24" s="92">
        <f>'Incremental_Cost Year 10'!AU77</f>
        <v>1384152524.7750001</v>
      </c>
      <c r="DZ24" s="92">
        <f>'Incremental_Cost Year 10'!AV77</f>
        <v>0</v>
      </c>
      <c r="EA24" s="92">
        <f>'Incremental_Cost Year 10'!AW77</f>
        <v>0</v>
      </c>
      <c r="EB24" s="92">
        <f>'Incremental_Cost Year 10'!AX77</f>
        <v>0</v>
      </c>
      <c r="EC24" s="92">
        <f>'Incremental_Cost Year 10'!AY77</f>
        <v>2346000</v>
      </c>
      <c r="ED24" s="92">
        <f>'Incremental_Cost Year 10'!AZ77</f>
        <v>0</v>
      </c>
      <c r="EE24" s="92">
        <f>'Incremental_Cost Year 10'!BA77</f>
        <v>0</v>
      </c>
      <c r="EF24" s="92">
        <f>'Incremental_Cost Year 10'!BB77</f>
        <v>-1080000</v>
      </c>
      <c r="EG24" s="70"/>
      <c r="EH24" s="92">
        <f t="shared" ref="EH24:ES24" si="84">H24+U24+AH24+AU24+BH24+BU24+CH24+CU24+DH24+DU24</f>
        <v>6784385508.8571415</v>
      </c>
      <c r="EI24" s="92">
        <f t="shared" si="84"/>
        <v>5579965166.666666</v>
      </c>
      <c r="EJ24" s="92">
        <f t="shared" si="84"/>
        <v>2453245967.4796748</v>
      </c>
      <c r="EK24" s="92">
        <f t="shared" si="84"/>
        <v>14817596643.003483</v>
      </c>
      <c r="EL24" s="92">
        <f t="shared" si="84"/>
        <v>12326480875.523808</v>
      </c>
      <c r="EM24" s="92">
        <f t="shared" si="84"/>
        <v>0</v>
      </c>
      <c r="EN24" s="92">
        <f t="shared" si="84"/>
        <v>0</v>
      </c>
      <c r="EO24" s="92">
        <f t="shared" si="84"/>
        <v>0</v>
      </c>
      <c r="EP24" s="92">
        <f t="shared" si="84"/>
        <v>29995200</v>
      </c>
      <c r="EQ24" s="92">
        <f t="shared" si="84"/>
        <v>499200</v>
      </c>
      <c r="ER24" s="92">
        <f t="shared" si="84"/>
        <v>0</v>
      </c>
      <c r="ES24" s="92">
        <f t="shared" si="84"/>
        <v>-2460621367.4796748</v>
      </c>
      <c r="EU24" s="194">
        <f t="shared" si="23"/>
        <v>30494400</v>
      </c>
      <c r="EW24" s="194">
        <f t="shared" si="24"/>
        <v>-2460621367.4796753</v>
      </c>
      <c r="EX24" s="194">
        <f t="shared" si="21"/>
        <v>0</v>
      </c>
    </row>
    <row r="25" spans="1:154" x14ac:dyDescent="0.25">
      <c r="B25" s="399" t="str">
        <f>'Incremental_Cost Year 1'!B78:E78</f>
        <v xml:space="preserve">2.Qellimi I Politikes ( Kodi, Emertimi) Progresi drejt Mbulimit Universal Shëndetësor  </v>
      </c>
      <c r="C25" s="408"/>
      <c r="D25" s="408"/>
      <c r="E25" s="409"/>
      <c r="F25" s="50"/>
      <c r="G25" s="50"/>
      <c r="H25" s="53">
        <f>SUM(H26+H30+H32+H34+H36+H38+H40+H42+H44)</f>
        <v>9884656.7142857146</v>
      </c>
      <c r="I25" s="93">
        <f t="shared" ref="I25:S25" si="85">SUM(I26+I30+I32+I34+I36+I38+I40+I42+I44)</f>
        <v>1810395082</v>
      </c>
      <c r="J25" s="93">
        <f t="shared" si="85"/>
        <v>0</v>
      </c>
      <c r="K25" s="93">
        <f t="shared" si="85"/>
        <v>1820279738.7142859</v>
      </c>
      <c r="L25" s="93">
        <f t="shared" si="85"/>
        <v>1820279739</v>
      </c>
      <c r="M25" s="93">
        <f t="shared" si="85"/>
        <v>0</v>
      </c>
      <c r="N25" s="93">
        <f t="shared" si="85"/>
        <v>0</v>
      </c>
      <c r="O25" s="93">
        <f t="shared" si="85"/>
        <v>0</v>
      </c>
      <c r="P25" s="93">
        <f t="shared" si="85"/>
        <v>0</v>
      </c>
      <c r="Q25" s="93">
        <f t="shared" si="85"/>
        <v>0</v>
      </c>
      <c r="R25" s="93">
        <f t="shared" si="85"/>
        <v>0</v>
      </c>
      <c r="S25" s="93">
        <f t="shared" si="85"/>
        <v>0.28571428521536291</v>
      </c>
      <c r="U25" s="93">
        <f>SUM(U26+U30+U32+U34+U36+U38+U40+U42+U44)</f>
        <v>47670616.285714284</v>
      </c>
      <c r="V25" s="93">
        <f t="shared" ref="V25:AF25" si="86">SUM(V26+V30+V32+V34+V36+V38+V40+V42+V44)</f>
        <v>14707787883.6</v>
      </c>
      <c r="W25" s="93">
        <f t="shared" si="86"/>
        <v>0</v>
      </c>
      <c r="X25" s="93">
        <f t="shared" si="86"/>
        <v>14755458499.885715</v>
      </c>
      <c r="Y25" s="93">
        <f t="shared" si="86"/>
        <v>14738893090</v>
      </c>
      <c r="Z25" s="93">
        <f t="shared" si="86"/>
        <v>0</v>
      </c>
      <c r="AA25" s="93">
        <f t="shared" si="86"/>
        <v>10000000</v>
      </c>
      <c r="AB25" s="93">
        <f t="shared" si="86"/>
        <v>0</v>
      </c>
      <c r="AC25" s="93">
        <f t="shared" si="86"/>
        <v>0</v>
      </c>
      <c r="AD25" s="93">
        <f t="shared" si="86"/>
        <v>0</v>
      </c>
      <c r="AE25" s="93">
        <f t="shared" si="86"/>
        <v>0</v>
      </c>
      <c r="AF25" s="93">
        <f t="shared" si="86"/>
        <v>-6565409.8857142851</v>
      </c>
      <c r="AH25" s="93">
        <f>SUM(AH26+AH30+AH32+AH34+AH36+AH38+AH40+AH42+AH44)</f>
        <v>44727617.335714288</v>
      </c>
      <c r="AI25" s="93">
        <f t="shared" ref="AI25:AS25" si="87">SUM(AI26+AI30+AI32+AI34+AI36+AI38+AI40+AI42+AI44)</f>
        <v>14528383073.6</v>
      </c>
      <c r="AJ25" s="93">
        <f t="shared" si="87"/>
        <v>0</v>
      </c>
      <c r="AK25" s="93">
        <f t="shared" si="87"/>
        <v>14573110690.935715</v>
      </c>
      <c r="AL25" s="93">
        <f t="shared" si="87"/>
        <v>14567809690</v>
      </c>
      <c r="AM25" s="93">
        <f t="shared" si="87"/>
        <v>0</v>
      </c>
      <c r="AN25" s="93">
        <f t="shared" si="87"/>
        <v>0</v>
      </c>
      <c r="AO25" s="93">
        <f t="shared" si="87"/>
        <v>0</v>
      </c>
      <c r="AP25" s="93">
        <f t="shared" si="87"/>
        <v>0</v>
      </c>
      <c r="AQ25" s="93">
        <f t="shared" si="87"/>
        <v>0</v>
      </c>
      <c r="AR25" s="93">
        <f t="shared" si="87"/>
        <v>0</v>
      </c>
      <c r="AS25" s="93">
        <f t="shared" si="87"/>
        <v>-5301000.9357142858</v>
      </c>
      <c r="AU25" s="93">
        <f>SUM(AU26+AU30+AU32+AU34+AU36+AU38+AU40+AU42+AU44)</f>
        <v>45488618.035714284</v>
      </c>
      <c r="AV25" s="93">
        <f t="shared" ref="AV25:BF25" si="88">SUM(AV26+AV30+AV32+AV34+AV36+AV38+AV40+AV42+AV44)</f>
        <v>15480928974.800001</v>
      </c>
      <c r="AW25" s="93">
        <f t="shared" si="88"/>
        <v>0</v>
      </c>
      <c r="AX25" s="93">
        <f t="shared" si="88"/>
        <v>15526417592.835714</v>
      </c>
      <c r="AY25" s="93">
        <f t="shared" si="88"/>
        <v>15517673591</v>
      </c>
      <c r="AZ25" s="93">
        <f t="shared" si="88"/>
        <v>0</v>
      </c>
      <c r="BA25" s="93">
        <f t="shared" si="88"/>
        <v>0</v>
      </c>
      <c r="BB25" s="93">
        <f t="shared" si="88"/>
        <v>0</v>
      </c>
      <c r="BC25" s="93">
        <f t="shared" si="88"/>
        <v>0</v>
      </c>
      <c r="BD25" s="93">
        <f t="shared" si="88"/>
        <v>0</v>
      </c>
      <c r="BE25" s="93">
        <f t="shared" si="88"/>
        <v>0</v>
      </c>
      <c r="BF25" s="93">
        <f t="shared" si="88"/>
        <v>-8744001.8357142843</v>
      </c>
      <c r="BH25" s="93">
        <f>SUM(BH26+BH30+BH32+BH34+BH36+BH38+BH40+BH42+BH44)</f>
        <v>116683233.54428573</v>
      </c>
      <c r="BI25" s="93">
        <f t="shared" ref="BI25:BS25" si="89">SUM(BI26+BI30+BI32+BI34+BI36+BI38+BI40+BI42+BI44)</f>
        <v>15608769633.599998</v>
      </c>
      <c r="BJ25" s="93">
        <f t="shared" si="89"/>
        <v>34500000</v>
      </c>
      <c r="BK25" s="93">
        <f t="shared" si="89"/>
        <v>15759952867.144287</v>
      </c>
      <c r="BL25" s="93">
        <f t="shared" si="89"/>
        <v>15402213067.5</v>
      </c>
      <c r="BM25" s="93">
        <f t="shared" si="89"/>
        <v>0</v>
      </c>
      <c r="BN25" s="93">
        <f t="shared" si="89"/>
        <v>0</v>
      </c>
      <c r="BO25" s="93">
        <f t="shared" si="89"/>
        <v>0</v>
      </c>
      <c r="BP25" s="93">
        <f t="shared" si="89"/>
        <v>0</v>
      </c>
      <c r="BQ25" s="93">
        <f t="shared" si="89"/>
        <v>0</v>
      </c>
      <c r="BR25" s="93">
        <f t="shared" si="89"/>
        <v>0</v>
      </c>
      <c r="BS25" s="93">
        <f t="shared" si="89"/>
        <v>-357739799.64428574</v>
      </c>
      <c r="BU25" s="93">
        <f>SUM(BU26+BU30+BU32+BU34+BU36+BU38+BU40+BU42+BU44)</f>
        <v>112517977.14428572</v>
      </c>
      <c r="BV25" s="93">
        <f t="shared" ref="BV25:CF25" si="90">SUM(BV26+BV30+BV32+BV34+BV36+BV38+BV40+BV42+BV44)</f>
        <v>15006867508.799999</v>
      </c>
      <c r="BW25" s="93">
        <f t="shared" si="90"/>
        <v>23000000</v>
      </c>
      <c r="BX25" s="93">
        <f t="shared" si="90"/>
        <v>15142385485.944286</v>
      </c>
      <c r="BY25" s="93">
        <f t="shared" si="90"/>
        <v>14797610686.5</v>
      </c>
      <c r="BZ25" s="93">
        <f t="shared" si="90"/>
        <v>0</v>
      </c>
      <c r="CA25" s="93">
        <f t="shared" si="90"/>
        <v>0</v>
      </c>
      <c r="CB25" s="93">
        <f t="shared" si="90"/>
        <v>0</v>
      </c>
      <c r="CC25" s="93">
        <f t="shared" si="90"/>
        <v>0</v>
      </c>
      <c r="CD25" s="93">
        <f t="shared" si="90"/>
        <v>0</v>
      </c>
      <c r="CE25" s="93">
        <f t="shared" si="90"/>
        <v>0</v>
      </c>
      <c r="CF25" s="93">
        <f t="shared" si="90"/>
        <v>-344774799.44428575</v>
      </c>
      <c r="CH25" s="93">
        <f>SUM(CH26+CH30+CH32+CH34+CH36+CH38+CH40+CH42+CH44)</f>
        <v>114212577.84428573</v>
      </c>
      <c r="CI25" s="93">
        <f t="shared" ref="CI25:CS25" si="91">SUM(CI26+CI30+CI32+CI34+CI36+CI38+CI40+CI42+CI44)</f>
        <v>15005427007.200001</v>
      </c>
      <c r="CJ25" s="93">
        <f t="shared" si="91"/>
        <v>11500000</v>
      </c>
      <c r="CK25" s="93">
        <f t="shared" si="91"/>
        <v>15131139585.044285</v>
      </c>
      <c r="CL25" s="93">
        <f t="shared" si="91"/>
        <v>14798814785.5</v>
      </c>
      <c r="CM25" s="93">
        <f t="shared" si="91"/>
        <v>0</v>
      </c>
      <c r="CN25" s="93">
        <f t="shared" si="91"/>
        <v>0</v>
      </c>
      <c r="CO25" s="93">
        <f t="shared" si="91"/>
        <v>0</v>
      </c>
      <c r="CP25" s="93">
        <f t="shared" si="91"/>
        <v>0</v>
      </c>
      <c r="CQ25" s="93">
        <f t="shared" si="91"/>
        <v>0</v>
      </c>
      <c r="CR25" s="93">
        <f t="shared" si="91"/>
        <v>0</v>
      </c>
      <c r="CS25" s="93">
        <f t="shared" si="91"/>
        <v>-332324799.54428577</v>
      </c>
      <c r="CU25" s="93">
        <f>SUM(CU26+CU30+CU32+CU34+CU36+CU38+CU40+CU42+CU44)</f>
        <v>113222495.04428573</v>
      </c>
      <c r="CV25" s="93">
        <f t="shared" ref="CV25:DF25" si="92">SUM(CV26+CV30+CV32+CV34+CV36+CV38+CV40+CV42+CV44)</f>
        <v>15004850995.200001</v>
      </c>
      <c r="CW25" s="93">
        <f t="shared" si="92"/>
        <v>0</v>
      </c>
      <c r="CX25" s="93">
        <f t="shared" si="92"/>
        <v>15118073490.244286</v>
      </c>
      <c r="CY25" s="93">
        <f t="shared" si="92"/>
        <v>14797704690.5</v>
      </c>
      <c r="CZ25" s="93">
        <f t="shared" si="92"/>
        <v>0</v>
      </c>
      <c r="DA25" s="93">
        <f t="shared" si="92"/>
        <v>0</v>
      </c>
      <c r="DB25" s="93">
        <f t="shared" si="92"/>
        <v>0</v>
      </c>
      <c r="DC25" s="93">
        <f t="shared" si="92"/>
        <v>0</v>
      </c>
      <c r="DD25" s="93">
        <f t="shared" si="92"/>
        <v>0</v>
      </c>
      <c r="DE25" s="93">
        <f t="shared" si="92"/>
        <v>0</v>
      </c>
      <c r="DF25" s="93">
        <f t="shared" si="92"/>
        <v>-320368799.74428576</v>
      </c>
      <c r="DH25" s="93">
        <f>SUM(DH26+DH30+DH32+DH34+DH36+DH38+DH40+DH42+DH44)</f>
        <v>112128665.94428572</v>
      </c>
      <c r="DI25" s="93">
        <f t="shared" ref="DI25:DS25" si="93">SUM(DI26+DI30+DI32+DI34+DI36+DI38+DI40+DI42+DI44)</f>
        <v>15005239795.200001</v>
      </c>
      <c r="DJ25" s="93">
        <f t="shared" si="93"/>
        <v>0</v>
      </c>
      <c r="DK25" s="93">
        <f t="shared" si="93"/>
        <v>15117368461.144287</v>
      </c>
      <c r="DL25" s="93">
        <f t="shared" si="93"/>
        <v>14796429661.5</v>
      </c>
      <c r="DM25" s="93">
        <f t="shared" si="93"/>
        <v>0</v>
      </c>
      <c r="DN25" s="93">
        <f t="shared" si="93"/>
        <v>0</v>
      </c>
      <c r="DO25" s="93">
        <f t="shared" si="93"/>
        <v>0</v>
      </c>
      <c r="DP25" s="93">
        <f t="shared" si="93"/>
        <v>0</v>
      </c>
      <c r="DQ25" s="93">
        <f t="shared" si="93"/>
        <v>0</v>
      </c>
      <c r="DR25" s="93">
        <f t="shared" si="93"/>
        <v>0</v>
      </c>
      <c r="DS25" s="93">
        <f t="shared" si="93"/>
        <v>-320938799.64428574</v>
      </c>
      <c r="DU25" s="93">
        <f>SUM(DU26+DU30+DU32+DU34+DU36+DU38+DU40+DU42+DU44)</f>
        <v>111354244.74428572</v>
      </c>
      <c r="DV25" s="93">
        <f t="shared" ref="DV25:EF25" si="94">SUM(DV26+DV30+DV32+DV34+DV36+DV38+DV40+DV42+DV44)</f>
        <v>15004551943.200001</v>
      </c>
      <c r="DW25" s="93">
        <f t="shared" si="94"/>
        <v>0</v>
      </c>
      <c r="DX25" s="93">
        <f t="shared" si="94"/>
        <v>15115906187.944286</v>
      </c>
      <c r="DY25" s="93">
        <f t="shared" si="94"/>
        <v>14795657388.5</v>
      </c>
      <c r="DZ25" s="93">
        <f t="shared" si="94"/>
        <v>0</v>
      </c>
      <c r="EA25" s="93">
        <f t="shared" si="94"/>
        <v>0</v>
      </c>
      <c r="EB25" s="93">
        <f t="shared" si="94"/>
        <v>0</v>
      </c>
      <c r="EC25" s="93">
        <f t="shared" si="94"/>
        <v>0</v>
      </c>
      <c r="ED25" s="93">
        <f t="shared" si="94"/>
        <v>0</v>
      </c>
      <c r="EE25" s="93">
        <f t="shared" si="94"/>
        <v>0</v>
      </c>
      <c r="EF25" s="93">
        <f t="shared" si="94"/>
        <v>-320248799.44428575</v>
      </c>
      <c r="EH25" s="93">
        <f t="shared" ref="EH25:ES25" si="95">SUM(EH26+EH30+EH32+EH34+EH36+EH38+EH40+EH42+EH44)</f>
        <v>827890702.63714302</v>
      </c>
      <c r="EI25" s="93">
        <f t="shared" si="95"/>
        <v>137163201897.2</v>
      </c>
      <c r="EJ25" s="93">
        <f t="shared" si="95"/>
        <v>69000000</v>
      </c>
      <c r="EK25" s="93">
        <f t="shared" si="95"/>
        <v>138060092599.83719</v>
      </c>
      <c r="EL25" s="93">
        <f t="shared" si="95"/>
        <v>136033086390</v>
      </c>
      <c r="EM25" s="93">
        <f t="shared" si="95"/>
        <v>0</v>
      </c>
      <c r="EN25" s="93">
        <f t="shared" si="95"/>
        <v>10000000</v>
      </c>
      <c r="EO25" s="93">
        <f t="shared" si="95"/>
        <v>0</v>
      </c>
      <c r="EP25" s="93">
        <f t="shared" si="95"/>
        <v>0</v>
      </c>
      <c r="EQ25" s="93">
        <f t="shared" si="95"/>
        <v>0</v>
      </c>
      <c r="ER25" s="93">
        <f t="shared" si="95"/>
        <v>0</v>
      </c>
      <c r="ES25" s="93">
        <f t="shared" si="95"/>
        <v>-2017006209.8371427</v>
      </c>
      <c r="EU25" s="194">
        <f t="shared" si="23"/>
        <v>10000000</v>
      </c>
      <c r="EW25" s="194">
        <f t="shared" si="24"/>
        <v>-2017006209.8371887</v>
      </c>
      <c r="EX25" s="194">
        <f t="shared" si="21"/>
        <v>4.6014785766601563E-5</v>
      </c>
    </row>
    <row r="26" spans="1:154" ht="37.5" customHeight="1" x14ac:dyDescent="0.25">
      <c r="A26" s="42"/>
      <c r="B26" s="48"/>
      <c r="C26" s="426" t="str">
        <f>'Incremental_Cost Year 1'!C79:E79</f>
        <v>2.1 Objektivi Specifik: Sigurimi i përgjigjes së sistemit shëndetësor ndaj nevojave shëndetësore të popullatës nëpërmjet përmirësimit të qeverisjes, zhvillimit të politikave, transparencës dhe llogaridhënies</v>
      </c>
      <c r="D26" s="426"/>
      <c r="E26" s="427"/>
      <c r="F26" s="67"/>
      <c r="G26" s="67"/>
      <c r="H26" s="54">
        <f>SUM(H27:H29)</f>
        <v>1058702.3999999999</v>
      </c>
      <c r="I26" s="94">
        <f t="shared" ref="I26:S26" si="96">SUM(I27:I29)</f>
        <v>563501000</v>
      </c>
      <c r="J26" s="94">
        <f t="shared" si="96"/>
        <v>0</v>
      </c>
      <c r="K26" s="94">
        <f t="shared" si="96"/>
        <v>564559702.39999998</v>
      </c>
      <c r="L26" s="94">
        <f t="shared" si="96"/>
        <v>564559702</v>
      </c>
      <c r="M26" s="94">
        <f t="shared" si="96"/>
        <v>0</v>
      </c>
      <c r="N26" s="94">
        <f t="shared" si="96"/>
        <v>0</v>
      </c>
      <c r="O26" s="94">
        <f t="shared" si="96"/>
        <v>0</v>
      </c>
      <c r="P26" s="94">
        <f t="shared" si="96"/>
        <v>0</v>
      </c>
      <c r="Q26" s="94">
        <f t="shared" si="96"/>
        <v>0</v>
      </c>
      <c r="R26" s="94">
        <f t="shared" si="96"/>
        <v>0</v>
      </c>
      <c r="S26" s="94">
        <f t="shared" si="96"/>
        <v>-0.39999999990686774</v>
      </c>
      <c r="U26" s="94">
        <f>SUM(U27:U29)</f>
        <v>8617361.4000000004</v>
      </c>
      <c r="V26" s="94">
        <f t="shared" ref="V26:AF26" si="97">SUM(V27:V29)</f>
        <v>3664918353.1999998</v>
      </c>
      <c r="W26" s="94">
        <f t="shared" si="97"/>
        <v>0</v>
      </c>
      <c r="X26" s="94">
        <f t="shared" si="97"/>
        <v>3673535714.5999999</v>
      </c>
      <c r="Y26" s="94">
        <f t="shared" si="97"/>
        <v>3662110714</v>
      </c>
      <c r="Z26" s="94">
        <f t="shared" si="97"/>
        <v>0</v>
      </c>
      <c r="AA26" s="94">
        <f t="shared" si="97"/>
        <v>10000000</v>
      </c>
      <c r="AB26" s="94">
        <f t="shared" si="97"/>
        <v>0</v>
      </c>
      <c r="AC26" s="94">
        <f t="shared" si="97"/>
        <v>0</v>
      </c>
      <c r="AD26" s="94">
        <f t="shared" si="97"/>
        <v>0</v>
      </c>
      <c r="AE26" s="94">
        <f t="shared" si="97"/>
        <v>0</v>
      </c>
      <c r="AF26" s="94">
        <f t="shared" si="97"/>
        <v>-1425000.6</v>
      </c>
      <c r="AH26" s="94">
        <f>SUM(AH27:AH29)</f>
        <v>8617361.4000000004</v>
      </c>
      <c r="AI26" s="94">
        <f t="shared" ref="AI26:AS26" si="98">SUM(AI27:AI29)</f>
        <v>3487131353.1999998</v>
      </c>
      <c r="AJ26" s="94">
        <f t="shared" si="98"/>
        <v>0</v>
      </c>
      <c r="AK26" s="94">
        <f t="shared" si="98"/>
        <v>3495748714.5999999</v>
      </c>
      <c r="AL26" s="94">
        <f t="shared" si="98"/>
        <v>3494152714</v>
      </c>
      <c r="AM26" s="94">
        <f t="shared" si="98"/>
        <v>0</v>
      </c>
      <c r="AN26" s="94">
        <f t="shared" si="98"/>
        <v>0</v>
      </c>
      <c r="AO26" s="94">
        <f t="shared" si="98"/>
        <v>0</v>
      </c>
      <c r="AP26" s="94">
        <f t="shared" si="98"/>
        <v>0</v>
      </c>
      <c r="AQ26" s="94">
        <f t="shared" si="98"/>
        <v>0</v>
      </c>
      <c r="AR26" s="94">
        <f t="shared" si="98"/>
        <v>0</v>
      </c>
      <c r="AS26" s="94">
        <f t="shared" si="98"/>
        <v>-1596000.6</v>
      </c>
      <c r="AU26" s="94">
        <f>SUM(AU27:AU29)</f>
        <v>7378590.9000000004</v>
      </c>
      <c r="AV26" s="94">
        <f t="shared" ref="AV26:BF26" si="99">SUM(AV27:AV29)</f>
        <v>3317684176.7999997</v>
      </c>
      <c r="AW26" s="94">
        <f t="shared" si="99"/>
        <v>0</v>
      </c>
      <c r="AX26" s="94">
        <f t="shared" si="99"/>
        <v>3325062767.6999998</v>
      </c>
      <c r="AY26" s="94">
        <f t="shared" si="99"/>
        <v>3321832767</v>
      </c>
      <c r="AZ26" s="94">
        <f t="shared" si="99"/>
        <v>0</v>
      </c>
      <c r="BA26" s="94">
        <f t="shared" si="99"/>
        <v>0</v>
      </c>
      <c r="BB26" s="94">
        <f t="shared" si="99"/>
        <v>0</v>
      </c>
      <c r="BC26" s="94">
        <f t="shared" si="99"/>
        <v>0</v>
      </c>
      <c r="BD26" s="94">
        <f t="shared" si="99"/>
        <v>0</v>
      </c>
      <c r="BE26" s="94">
        <f t="shared" si="99"/>
        <v>0</v>
      </c>
      <c r="BF26" s="94">
        <f t="shared" si="99"/>
        <v>-3230000.6999999997</v>
      </c>
      <c r="BH26" s="94">
        <f>SUM(BH27:BH29)</f>
        <v>7825598.5800000001</v>
      </c>
      <c r="BI26" s="94">
        <f t="shared" ref="BI26:BS26" si="100">SUM(BI27:BI29)</f>
        <v>3431205092.7999997</v>
      </c>
      <c r="BJ26" s="94">
        <f t="shared" si="100"/>
        <v>0</v>
      </c>
      <c r="BK26" s="94">
        <f t="shared" si="100"/>
        <v>3439030691.3800001</v>
      </c>
      <c r="BL26" s="94">
        <f t="shared" si="100"/>
        <v>3122354691</v>
      </c>
      <c r="BM26" s="94">
        <f t="shared" si="100"/>
        <v>0</v>
      </c>
      <c r="BN26" s="94">
        <f t="shared" si="100"/>
        <v>0</v>
      </c>
      <c r="BO26" s="94">
        <f t="shared" si="100"/>
        <v>0</v>
      </c>
      <c r="BP26" s="94">
        <f t="shared" si="100"/>
        <v>0</v>
      </c>
      <c r="BQ26" s="94">
        <f t="shared" si="100"/>
        <v>0</v>
      </c>
      <c r="BR26" s="94">
        <f t="shared" si="100"/>
        <v>0</v>
      </c>
      <c r="BS26" s="94">
        <f t="shared" si="100"/>
        <v>-316676000.38</v>
      </c>
      <c r="BU26" s="94">
        <f>SUM(BU27:BU29)</f>
        <v>7825598.5800000001</v>
      </c>
      <c r="BV26" s="94">
        <f t="shared" ref="BV26:CF26" si="101">SUM(BV27:BV29)</f>
        <v>2831205092.7999997</v>
      </c>
      <c r="BW26" s="94">
        <f t="shared" si="101"/>
        <v>0</v>
      </c>
      <c r="BX26" s="94">
        <f t="shared" si="101"/>
        <v>2839030691.3800001</v>
      </c>
      <c r="BY26" s="94">
        <f t="shared" si="101"/>
        <v>2522354691</v>
      </c>
      <c r="BZ26" s="94">
        <f t="shared" si="101"/>
        <v>0</v>
      </c>
      <c r="CA26" s="94">
        <f t="shared" si="101"/>
        <v>0</v>
      </c>
      <c r="CB26" s="94">
        <f t="shared" si="101"/>
        <v>0</v>
      </c>
      <c r="CC26" s="94">
        <f t="shared" si="101"/>
        <v>0</v>
      </c>
      <c r="CD26" s="94">
        <f t="shared" si="101"/>
        <v>0</v>
      </c>
      <c r="CE26" s="94">
        <f t="shared" si="101"/>
        <v>0</v>
      </c>
      <c r="CF26" s="94">
        <f t="shared" si="101"/>
        <v>-316676000.38</v>
      </c>
      <c r="CH26" s="94">
        <f>SUM(CH27:CH29)</f>
        <v>8530116.4800000004</v>
      </c>
      <c r="CI26" s="94">
        <f t="shared" ref="CI26:CS26" si="102">SUM(CI27:CI29)</f>
        <v>2828959619.1999998</v>
      </c>
      <c r="CJ26" s="94">
        <f t="shared" si="102"/>
        <v>0</v>
      </c>
      <c r="CK26" s="94">
        <f t="shared" si="102"/>
        <v>2837489735.6799998</v>
      </c>
      <c r="CL26" s="94">
        <f t="shared" si="102"/>
        <v>2522561735</v>
      </c>
      <c r="CM26" s="94">
        <f t="shared" si="102"/>
        <v>0</v>
      </c>
      <c r="CN26" s="94">
        <f t="shared" si="102"/>
        <v>0</v>
      </c>
      <c r="CO26" s="94">
        <f t="shared" si="102"/>
        <v>0</v>
      </c>
      <c r="CP26" s="94">
        <f t="shared" si="102"/>
        <v>0</v>
      </c>
      <c r="CQ26" s="94">
        <f t="shared" si="102"/>
        <v>0</v>
      </c>
      <c r="CR26" s="94">
        <f t="shared" si="102"/>
        <v>0</v>
      </c>
      <c r="CS26" s="94">
        <f t="shared" si="102"/>
        <v>-314928000.68000001</v>
      </c>
      <c r="CU26" s="94">
        <f>SUM(CU27:CU29)</f>
        <v>8530116.4800000004</v>
      </c>
      <c r="CV26" s="94">
        <f t="shared" ref="CV26:DF26" si="103">SUM(CV27:CV29)</f>
        <v>2828503619.1999998</v>
      </c>
      <c r="CW26" s="94">
        <f t="shared" si="103"/>
        <v>0</v>
      </c>
      <c r="CX26" s="94">
        <f t="shared" si="103"/>
        <v>2837033735.6799998</v>
      </c>
      <c r="CY26" s="94">
        <f t="shared" si="103"/>
        <v>2522561735</v>
      </c>
      <c r="CZ26" s="94">
        <f t="shared" si="103"/>
        <v>0</v>
      </c>
      <c r="DA26" s="94">
        <f t="shared" si="103"/>
        <v>0</v>
      </c>
      <c r="DB26" s="94">
        <f t="shared" si="103"/>
        <v>0</v>
      </c>
      <c r="DC26" s="94">
        <f t="shared" si="103"/>
        <v>0</v>
      </c>
      <c r="DD26" s="94">
        <f t="shared" si="103"/>
        <v>0</v>
      </c>
      <c r="DE26" s="94">
        <f t="shared" si="103"/>
        <v>0</v>
      </c>
      <c r="DF26" s="94">
        <f t="shared" si="103"/>
        <v>-314472000.68000001</v>
      </c>
      <c r="DH26" s="94">
        <f>SUM(DH27:DH29)</f>
        <v>8530116.4800000004</v>
      </c>
      <c r="DI26" s="94">
        <f t="shared" ref="DI26:DS26" si="104">SUM(DI27:DI29)</f>
        <v>2828503619.1999998</v>
      </c>
      <c r="DJ26" s="94">
        <f t="shared" si="104"/>
        <v>0</v>
      </c>
      <c r="DK26" s="94">
        <f t="shared" si="104"/>
        <v>2837033735.6799998</v>
      </c>
      <c r="DL26" s="94">
        <f t="shared" si="104"/>
        <v>2522561735</v>
      </c>
      <c r="DM26" s="94">
        <f t="shared" si="104"/>
        <v>0</v>
      </c>
      <c r="DN26" s="94">
        <f t="shared" si="104"/>
        <v>0</v>
      </c>
      <c r="DO26" s="94">
        <f t="shared" si="104"/>
        <v>0</v>
      </c>
      <c r="DP26" s="94">
        <f t="shared" si="104"/>
        <v>0</v>
      </c>
      <c r="DQ26" s="94">
        <f t="shared" si="104"/>
        <v>0</v>
      </c>
      <c r="DR26" s="94">
        <f t="shared" si="104"/>
        <v>0</v>
      </c>
      <c r="DS26" s="94">
        <f t="shared" si="104"/>
        <v>-314472000.68000001</v>
      </c>
      <c r="DU26" s="94">
        <f>SUM(DU27:DU29)</f>
        <v>8530116.4800000004</v>
      </c>
      <c r="DV26" s="94">
        <f t="shared" ref="DV26:EF26" si="105">SUM(DV27:DV29)</f>
        <v>2828503619.1999998</v>
      </c>
      <c r="DW26" s="94">
        <f t="shared" si="105"/>
        <v>0</v>
      </c>
      <c r="DX26" s="94">
        <f t="shared" si="105"/>
        <v>2837033735.6799998</v>
      </c>
      <c r="DY26" s="94">
        <f t="shared" si="105"/>
        <v>2522561735</v>
      </c>
      <c r="DZ26" s="94">
        <f t="shared" si="105"/>
        <v>0</v>
      </c>
      <c r="EA26" s="94">
        <f t="shared" si="105"/>
        <v>0</v>
      </c>
      <c r="EB26" s="94">
        <f t="shared" si="105"/>
        <v>0</v>
      </c>
      <c r="EC26" s="94">
        <f t="shared" si="105"/>
        <v>0</v>
      </c>
      <c r="ED26" s="94">
        <f t="shared" si="105"/>
        <v>0</v>
      </c>
      <c r="EE26" s="94">
        <f t="shared" si="105"/>
        <v>0</v>
      </c>
      <c r="EF26" s="94">
        <f t="shared" si="105"/>
        <v>-314472000.68000001</v>
      </c>
      <c r="EH26" s="94">
        <f t="shared" ref="EH26:ES26" si="106">SUM(EH27:EH29)</f>
        <v>75443679.179999992</v>
      </c>
      <c r="EI26" s="94">
        <f t="shared" si="106"/>
        <v>28610115545.599998</v>
      </c>
      <c r="EJ26" s="94">
        <f t="shared" si="106"/>
        <v>0</v>
      </c>
      <c r="EK26" s="94">
        <f t="shared" si="106"/>
        <v>28685559224.779999</v>
      </c>
      <c r="EL26" s="94">
        <f t="shared" si="106"/>
        <v>26777612219</v>
      </c>
      <c r="EM26" s="94">
        <f t="shared" si="106"/>
        <v>0</v>
      </c>
      <c r="EN26" s="94">
        <f t="shared" si="106"/>
        <v>10000000</v>
      </c>
      <c r="EO26" s="94">
        <f t="shared" si="106"/>
        <v>0</v>
      </c>
      <c r="EP26" s="94">
        <f t="shared" si="106"/>
        <v>0</v>
      </c>
      <c r="EQ26" s="94">
        <f t="shared" si="106"/>
        <v>0</v>
      </c>
      <c r="ER26" s="94">
        <f t="shared" si="106"/>
        <v>0</v>
      </c>
      <c r="ES26" s="94">
        <f t="shared" si="106"/>
        <v>-1897947005.78</v>
      </c>
      <c r="EU26" s="194">
        <f t="shared" si="23"/>
        <v>10000000</v>
      </c>
      <c r="EW26" s="194">
        <f t="shared" si="24"/>
        <v>-1897947005.7799988</v>
      </c>
      <c r="EX26" s="194">
        <f t="shared" si="21"/>
        <v>0</v>
      </c>
    </row>
    <row r="27" spans="1:154" s="77" customFormat="1" ht="76.5" x14ac:dyDescent="0.25">
      <c r="A27" s="82"/>
      <c r="B27" s="88"/>
      <c r="C27" s="100"/>
      <c r="D27" s="193" t="str">
        <f>'Incremental_Cost Year 1'!D85</f>
        <v>07330 Shërbime të Kujdesit Shëndetësor Dytësor/07450 Shërbime të Shëndetit Publik/07220 Shërbime të Kujdesit Shëndetësor Parësor</v>
      </c>
      <c r="E27" s="193" t="str">
        <f>'Incremental_Cost Year 1'!E85</f>
        <v>2.1.1. Zhvillimi i mekanizmave mbrojtës financiarë për mbulimin me kujdes shëndetësor pranë vendbanimit të qytetarëve.</v>
      </c>
      <c r="F27" s="96">
        <f>'Incremental_Cost Year 1'!F85</f>
        <v>2021</v>
      </c>
      <c r="G27" s="96">
        <f>'Incremental_Cost Year 1'!G85</f>
        <v>2030</v>
      </c>
      <c r="H27" s="92">
        <f>'Incremental_Cost Year 1'!AQ85</f>
        <v>0</v>
      </c>
      <c r="I27" s="92">
        <f>'Incremental_Cost Year 1'!AR85</f>
        <v>563501000</v>
      </c>
      <c r="J27" s="92">
        <f>'Incremental_Cost Year 1'!AS85</f>
        <v>0</v>
      </c>
      <c r="K27" s="92">
        <f>'Incremental_Cost Year 1'!AT85</f>
        <v>563501000</v>
      </c>
      <c r="L27" s="92">
        <f>'Incremental_Cost Year 1'!AU85</f>
        <v>563501000</v>
      </c>
      <c r="M27" s="92">
        <f>'Incremental_Cost Year 1'!AV85</f>
        <v>0</v>
      </c>
      <c r="N27" s="92">
        <f>'Incremental_Cost Year 1'!AW85</f>
        <v>0</v>
      </c>
      <c r="O27" s="92">
        <f>'Incremental_Cost Year 1'!AX85</f>
        <v>0</v>
      </c>
      <c r="P27" s="92">
        <f>'Incremental_Cost Year 1'!AY85</f>
        <v>0</v>
      </c>
      <c r="Q27" s="92">
        <f>'Incremental_Cost Year 1'!AZ85</f>
        <v>0</v>
      </c>
      <c r="R27" s="92">
        <f>'Incremental_Cost Year 1'!BA85</f>
        <v>0</v>
      </c>
      <c r="S27" s="92">
        <f>'Incremental_Cost Year 1'!BB85</f>
        <v>0</v>
      </c>
      <c r="T27" s="70"/>
      <c r="U27" s="92">
        <f>'Incremental_Cost Year 2'!AQ85</f>
        <v>2475207</v>
      </c>
      <c r="V27" s="92">
        <f>'Incremental_Cost Year 2'!AR85</f>
        <v>3663158000</v>
      </c>
      <c r="W27" s="92">
        <f>'Incremental_Cost Year 2'!AS85</f>
        <v>0</v>
      </c>
      <c r="X27" s="92">
        <f>'Incremental_Cost Year 2'!AT85</f>
        <v>3665633207</v>
      </c>
      <c r="Y27" s="92">
        <f>'Incremental_Cost Year 2'!AU85</f>
        <v>3654778207</v>
      </c>
      <c r="Z27" s="92">
        <f>'Incremental_Cost Year 2'!AV85</f>
        <v>0</v>
      </c>
      <c r="AA27" s="92">
        <f>'Incremental_Cost Year 2'!AW85</f>
        <v>10000000</v>
      </c>
      <c r="AB27" s="92">
        <f>'Incremental_Cost Year 2'!AX85</f>
        <v>0</v>
      </c>
      <c r="AC27" s="92">
        <f>'Incremental_Cost Year 2'!AY85</f>
        <v>0</v>
      </c>
      <c r="AD27" s="92">
        <f>'Incremental_Cost Year 2'!AZ85</f>
        <v>0</v>
      </c>
      <c r="AE27" s="92">
        <f>'Incremental_Cost Year 2'!BA85</f>
        <v>0</v>
      </c>
      <c r="AF27" s="92">
        <f>'Incremental_Cost Year 2'!BB85</f>
        <v>-855000</v>
      </c>
      <c r="AG27" s="70"/>
      <c r="AH27" s="92">
        <f>'Incremental_Cost Year 3'!AQ85</f>
        <v>2475207</v>
      </c>
      <c r="AI27" s="92">
        <f>'Incremental_Cost Year 3'!AR85</f>
        <v>3485371000</v>
      </c>
      <c r="AJ27" s="92">
        <f>'Incremental_Cost Year 3'!AS85</f>
        <v>0</v>
      </c>
      <c r="AK27" s="92">
        <f>'Incremental_Cost Year 3'!AT85</f>
        <v>3487846207</v>
      </c>
      <c r="AL27" s="92">
        <f>'Incremental_Cost Year 3'!AU85</f>
        <v>3486820207</v>
      </c>
      <c r="AM27" s="92">
        <f>'Incremental_Cost Year 3'!AV85</f>
        <v>0</v>
      </c>
      <c r="AN27" s="92">
        <f>'Incremental_Cost Year 3'!AW85</f>
        <v>0</v>
      </c>
      <c r="AO27" s="92">
        <f>'Incremental_Cost Year 3'!AX85</f>
        <v>0</v>
      </c>
      <c r="AP27" s="92">
        <f>'Incremental_Cost Year 3'!AY85</f>
        <v>0</v>
      </c>
      <c r="AQ27" s="92">
        <f>'Incremental_Cost Year 3'!AZ85</f>
        <v>0</v>
      </c>
      <c r="AR27" s="92">
        <f>'Incremental_Cost Year 3'!BA85</f>
        <v>0</v>
      </c>
      <c r="AS27" s="92">
        <f>'Incremental_Cost Year 3'!BB85</f>
        <v>-1026000</v>
      </c>
      <c r="AT27" s="70"/>
      <c r="AU27" s="92">
        <f>'Incremental_Cost Year 4'!AQ85</f>
        <v>0</v>
      </c>
      <c r="AV27" s="92">
        <f>'Incremental_Cost Year 4'!AR85</f>
        <v>3312465000</v>
      </c>
      <c r="AW27" s="92">
        <f>'Incremental_Cost Year 4'!AS85</f>
        <v>0</v>
      </c>
      <c r="AX27" s="92">
        <f>'Incremental_Cost Year 4'!AT85</f>
        <v>3312465000</v>
      </c>
      <c r="AY27" s="92">
        <f>'Incremental_Cost Year 4'!AU85</f>
        <v>3312465000</v>
      </c>
      <c r="AZ27" s="92">
        <f>'Incremental_Cost Year 4'!AV85</f>
        <v>0</v>
      </c>
      <c r="BA27" s="92">
        <f>'Incremental_Cost Year 4'!AW85</f>
        <v>0</v>
      </c>
      <c r="BB27" s="92">
        <f>'Incremental_Cost Year 4'!AX85</f>
        <v>0</v>
      </c>
      <c r="BC27" s="92">
        <f>'Incremental_Cost Year 4'!AY85</f>
        <v>0</v>
      </c>
      <c r="BD27" s="92">
        <f>'Incremental_Cost Year 4'!AZ85</f>
        <v>0</v>
      </c>
      <c r="BE27" s="92">
        <f>'Incremental_Cost Year 4'!BA85</f>
        <v>0</v>
      </c>
      <c r="BF27" s="92">
        <f>'Incremental_Cost Year 4'!BB85</f>
        <v>0</v>
      </c>
      <c r="BG27" s="70"/>
      <c r="BH27" s="92">
        <f>'Incremental_Cost Year 5'!AQ85</f>
        <v>0</v>
      </c>
      <c r="BI27" s="92">
        <f>'Incremental_Cost Year 5'!AR85</f>
        <v>3425911000</v>
      </c>
      <c r="BJ27" s="92">
        <f>'Incremental_Cost Year 5'!AS85</f>
        <v>0</v>
      </c>
      <c r="BK27" s="92">
        <f>'Incremental_Cost Year 5'!AT85</f>
        <v>3425911000</v>
      </c>
      <c r="BL27" s="92">
        <f>'Incremental_Cost Year 5'!AU85</f>
        <v>3112465000</v>
      </c>
      <c r="BM27" s="92">
        <f>'Incremental_Cost Year 5'!AV85</f>
        <v>0</v>
      </c>
      <c r="BN27" s="92">
        <f>'Incremental_Cost Year 5'!AW85</f>
        <v>0</v>
      </c>
      <c r="BO27" s="92">
        <f>'Incremental_Cost Year 5'!AX85</f>
        <v>0</v>
      </c>
      <c r="BP27" s="92">
        <f>'Incremental_Cost Year 5'!AY85</f>
        <v>0</v>
      </c>
      <c r="BQ27" s="92">
        <f>'Incremental_Cost Year 5'!AZ85</f>
        <v>0</v>
      </c>
      <c r="BR27" s="92">
        <f>'Incremental_Cost Year 5'!BA85</f>
        <v>0</v>
      </c>
      <c r="BS27" s="92">
        <f>'Incremental_Cost Year 5'!BB85</f>
        <v>-313446000</v>
      </c>
      <c r="BT27" s="70"/>
      <c r="BU27" s="92">
        <f>'Incremental_Cost Year 6'!AQ85</f>
        <v>0</v>
      </c>
      <c r="BV27" s="92">
        <f>'Incremental_Cost Year 6'!AR85</f>
        <v>2825911000</v>
      </c>
      <c r="BW27" s="92">
        <f>'Incremental_Cost Year 6'!AS85</f>
        <v>0</v>
      </c>
      <c r="BX27" s="92">
        <f>'Incremental_Cost Year 6'!AT85</f>
        <v>2825911000</v>
      </c>
      <c r="BY27" s="92">
        <f>'Incremental_Cost Year 6'!AU85</f>
        <v>2512465000</v>
      </c>
      <c r="BZ27" s="92">
        <f>'Incremental_Cost Year 6'!AV85</f>
        <v>0</v>
      </c>
      <c r="CA27" s="92">
        <f>'Incremental_Cost Year 6'!AW85</f>
        <v>0</v>
      </c>
      <c r="CB27" s="92">
        <f>'Incremental_Cost Year 6'!AX85</f>
        <v>0</v>
      </c>
      <c r="CC27" s="92">
        <f>'Incremental_Cost Year 6'!AY85</f>
        <v>0</v>
      </c>
      <c r="CD27" s="92">
        <f>'Incremental_Cost Year 6'!AZ85</f>
        <v>0</v>
      </c>
      <c r="CE27" s="92">
        <f>'Incremental_Cost Year 6'!BA85</f>
        <v>0</v>
      </c>
      <c r="CF27" s="92">
        <f>'Incremental_Cost Year 6'!BB85</f>
        <v>-313446000</v>
      </c>
      <c r="CG27" s="70"/>
      <c r="CH27" s="92">
        <f>'Incremental_Cost Year 7'!AQ85</f>
        <v>0</v>
      </c>
      <c r="CI27" s="92">
        <f>'Incremental_Cost Year 7'!AR85</f>
        <v>2825911000</v>
      </c>
      <c r="CJ27" s="92">
        <f>'Incremental_Cost Year 7'!AS85</f>
        <v>0</v>
      </c>
      <c r="CK27" s="92">
        <f>'Incremental_Cost Year 7'!AT85</f>
        <v>2825911000</v>
      </c>
      <c r="CL27" s="92">
        <f>'Incremental_Cost Year 7'!AU85</f>
        <v>2512465000</v>
      </c>
      <c r="CM27" s="92">
        <f>'Incremental_Cost Year 7'!AV85</f>
        <v>0</v>
      </c>
      <c r="CN27" s="92">
        <f>'Incremental_Cost Year 7'!AW85</f>
        <v>0</v>
      </c>
      <c r="CO27" s="92">
        <f>'Incremental_Cost Year 7'!AX85</f>
        <v>0</v>
      </c>
      <c r="CP27" s="92">
        <f>'Incremental_Cost Year 7'!AY85</f>
        <v>0</v>
      </c>
      <c r="CQ27" s="92">
        <f>'Incremental_Cost Year 7'!AZ85</f>
        <v>0</v>
      </c>
      <c r="CR27" s="92">
        <f>'Incremental_Cost Year 7'!BA85</f>
        <v>0</v>
      </c>
      <c r="CS27" s="92">
        <f>'Incremental_Cost Year 7'!BB85</f>
        <v>-313446000</v>
      </c>
      <c r="CT27" s="70"/>
      <c r="CU27" s="92">
        <f>'Incremental_Cost Year 8'!AQ85</f>
        <v>0</v>
      </c>
      <c r="CV27" s="92">
        <f>'Incremental_Cost Year 8'!AR85</f>
        <v>2825911000</v>
      </c>
      <c r="CW27" s="92">
        <f>'Incremental_Cost Year 8'!AS85</f>
        <v>0</v>
      </c>
      <c r="CX27" s="92">
        <f>'Incremental_Cost Year 8'!AT85</f>
        <v>2825911000</v>
      </c>
      <c r="CY27" s="92">
        <f>'Incremental_Cost Year 8'!AU85</f>
        <v>2512465000</v>
      </c>
      <c r="CZ27" s="92">
        <f>'Incremental_Cost Year 8'!AV85</f>
        <v>0</v>
      </c>
      <c r="DA27" s="92">
        <f>'Incremental_Cost Year 8'!AW85</f>
        <v>0</v>
      </c>
      <c r="DB27" s="92">
        <f>'Incremental_Cost Year 8'!AX85</f>
        <v>0</v>
      </c>
      <c r="DC27" s="92">
        <f>'Incremental_Cost Year 8'!AY85</f>
        <v>0</v>
      </c>
      <c r="DD27" s="92">
        <f>'Incremental_Cost Year 8'!AZ85</f>
        <v>0</v>
      </c>
      <c r="DE27" s="92">
        <f>'Incremental_Cost Year 8'!BA85</f>
        <v>0</v>
      </c>
      <c r="DF27" s="92">
        <f>'Incremental_Cost Year 8'!BB85</f>
        <v>-313446000</v>
      </c>
      <c r="DG27" s="70"/>
      <c r="DH27" s="92">
        <f>'Incremental_Cost Year 9'!AQ85</f>
        <v>0</v>
      </c>
      <c r="DI27" s="92">
        <f>'Incremental_Cost Year 9'!AR85</f>
        <v>2825911000</v>
      </c>
      <c r="DJ27" s="92">
        <f>'Incremental_Cost Year 9'!AS85</f>
        <v>0</v>
      </c>
      <c r="DK27" s="92">
        <f>'Incremental_Cost Year 9'!AT85</f>
        <v>2825911000</v>
      </c>
      <c r="DL27" s="92">
        <f>'Incremental_Cost Year 9'!AU85</f>
        <v>2512465000</v>
      </c>
      <c r="DM27" s="92">
        <f>'Incremental_Cost Year 9'!AV85</f>
        <v>0</v>
      </c>
      <c r="DN27" s="92">
        <f>'Incremental_Cost Year 9'!AW85</f>
        <v>0</v>
      </c>
      <c r="DO27" s="92">
        <f>'Incremental_Cost Year 9'!AX85</f>
        <v>0</v>
      </c>
      <c r="DP27" s="92">
        <f>'Incremental_Cost Year 9'!AY85</f>
        <v>0</v>
      </c>
      <c r="DQ27" s="92">
        <f>'Incremental_Cost Year 9'!AZ85</f>
        <v>0</v>
      </c>
      <c r="DR27" s="92">
        <f>'Incremental_Cost Year 9'!BA85</f>
        <v>0</v>
      </c>
      <c r="DS27" s="92">
        <f>'Incremental_Cost Year 9'!BB85</f>
        <v>-313446000</v>
      </c>
      <c r="DT27" s="70"/>
      <c r="DU27" s="92">
        <f>'Incremental_Cost Year 10'!AQ85</f>
        <v>0</v>
      </c>
      <c r="DV27" s="92">
        <f>'Incremental_Cost Year 10'!AR85</f>
        <v>2825911000</v>
      </c>
      <c r="DW27" s="92">
        <f>'Incremental_Cost Year 10'!AS85</f>
        <v>0</v>
      </c>
      <c r="DX27" s="92">
        <f>'Incremental_Cost Year 10'!AT85</f>
        <v>2825911000</v>
      </c>
      <c r="DY27" s="92">
        <f>'Incremental_Cost Year 10'!AU85</f>
        <v>2512465000</v>
      </c>
      <c r="DZ27" s="92">
        <f>'Incremental_Cost Year 10'!AV85</f>
        <v>0</v>
      </c>
      <c r="EA27" s="92">
        <f>'Incremental_Cost Year 10'!AW85</f>
        <v>0</v>
      </c>
      <c r="EB27" s="92">
        <f>'Incremental_Cost Year 10'!AX85</f>
        <v>0</v>
      </c>
      <c r="EC27" s="92">
        <f>'Incremental_Cost Year 10'!AY85</f>
        <v>0</v>
      </c>
      <c r="ED27" s="92">
        <f>'Incremental_Cost Year 10'!AZ85</f>
        <v>0</v>
      </c>
      <c r="EE27" s="92">
        <f>'Incremental_Cost Year 10'!BA85</f>
        <v>0</v>
      </c>
      <c r="EF27" s="92">
        <f>'Incremental_Cost Year 10'!BB85</f>
        <v>-313446000</v>
      </c>
      <c r="EG27" s="70"/>
      <c r="EH27" s="92">
        <f t="shared" ref="EH27:ES28" si="107">H27+U27+AH27+AU27+BH27+BU27+CH27+CU27+DH27+DU27</f>
        <v>4950414</v>
      </c>
      <c r="EI27" s="92">
        <f t="shared" si="107"/>
        <v>28579961000</v>
      </c>
      <c r="EJ27" s="92">
        <f t="shared" si="107"/>
        <v>0</v>
      </c>
      <c r="EK27" s="92">
        <f t="shared" si="107"/>
        <v>28584911414</v>
      </c>
      <c r="EL27" s="92">
        <f t="shared" si="107"/>
        <v>26692354414</v>
      </c>
      <c r="EM27" s="92">
        <f t="shared" si="107"/>
        <v>0</v>
      </c>
      <c r="EN27" s="92">
        <f t="shared" si="107"/>
        <v>10000000</v>
      </c>
      <c r="EO27" s="92">
        <f t="shared" si="107"/>
        <v>0</v>
      </c>
      <c r="EP27" s="92">
        <f t="shared" si="107"/>
        <v>0</v>
      </c>
      <c r="EQ27" s="92">
        <f t="shared" si="107"/>
        <v>0</v>
      </c>
      <c r="ER27" s="92">
        <f t="shared" si="107"/>
        <v>0</v>
      </c>
      <c r="ES27" s="92">
        <f t="shared" si="107"/>
        <v>-1882557000</v>
      </c>
      <c r="EU27" s="194">
        <f t="shared" si="23"/>
        <v>10000000</v>
      </c>
      <c r="EW27" s="194">
        <f t="shared" si="24"/>
        <v>-1882557000</v>
      </c>
      <c r="EX27" s="194">
        <f t="shared" si="21"/>
        <v>0</v>
      </c>
    </row>
    <row r="28" spans="1:154" s="77" customFormat="1" ht="38.25" x14ac:dyDescent="0.25">
      <c r="A28" s="82"/>
      <c r="B28" s="88"/>
      <c r="C28" s="100"/>
      <c r="D28" s="193" t="str">
        <f>'Incremental_Cost Year 1'!D88</f>
        <v>01110 Planifikimi, Menaxhimi dhe Administrimi</v>
      </c>
      <c r="E28" s="193" t="str">
        <f>'Incremental_Cost Year 1'!E88</f>
        <v>2.1.2 Zhvillimi i Planit Strategjik mbi rolin e Shqipërisë në diskutimet, rrjetet dhe organizatat rajonale dhe globale në lidhje me tematikat shëndetësore</v>
      </c>
      <c r="F28" s="96">
        <f>'Incremental_Cost Year 1'!F88</f>
        <v>2024</v>
      </c>
      <c r="G28" s="96">
        <f>'Incremental_Cost Year 1'!G88</f>
        <v>2030</v>
      </c>
      <c r="H28" s="92">
        <f>'Incremental_Cost Year 1'!AQ88</f>
        <v>0</v>
      </c>
      <c r="I28" s="92">
        <f>'Incremental_Cost Year 1'!AR88</f>
        <v>0</v>
      </c>
      <c r="J28" s="92">
        <f>'Incremental_Cost Year 1'!AS88</f>
        <v>0</v>
      </c>
      <c r="K28" s="92">
        <f>'Incremental_Cost Year 1'!AT88</f>
        <v>0</v>
      </c>
      <c r="L28" s="92">
        <f>'Incremental_Cost Year 1'!AU88</f>
        <v>0</v>
      </c>
      <c r="M28" s="92">
        <f>'Incremental_Cost Year 1'!AV88</f>
        <v>0</v>
      </c>
      <c r="N28" s="92">
        <f>'Incremental_Cost Year 1'!AW88</f>
        <v>0</v>
      </c>
      <c r="O28" s="92">
        <f>'Incremental_Cost Year 1'!AX88</f>
        <v>0</v>
      </c>
      <c r="P28" s="92">
        <f>'Incremental_Cost Year 1'!AY88</f>
        <v>0</v>
      </c>
      <c r="Q28" s="92">
        <f>'Incremental_Cost Year 1'!AZ88</f>
        <v>0</v>
      </c>
      <c r="R28" s="92">
        <f>'Incremental_Cost Year 1'!BA88</f>
        <v>0</v>
      </c>
      <c r="S28" s="92">
        <f>'Incremental_Cost Year 1'!BB88</f>
        <v>0</v>
      </c>
      <c r="T28" s="70"/>
      <c r="U28" s="92">
        <f>'Incremental_Cost Year 2'!AQ88</f>
        <v>0</v>
      </c>
      <c r="V28" s="92">
        <f>'Incremental_Cost Year 2'!AR88</f>
        <v>0</v>
      </c>
      <c r="W28" s="92">
        <f>'Incremental_Cost Year 2'!AS88</f>
        <v>0</v>
      </c>
      <c r="X28" s="92">
        <f>'Incremental_Cost Year 2'!AT88</f>
        <v>0</v>
      </c>
      <c r="Y28" s="92">
        <f>'Incremental_Cost Year 2'!AU88</f>
        <v>0</v>
      </c>
      <c r="Z28" s="92">
        <f>'Incremental_Cost Year 2'!AV88</f>
        <v>0</v>
      </c>
      <c r="AA28" s="92">
        <f>'Incremental_Cost Year 2'!AW88</f>
        <v>0</v>
      </c>
      <c r="AB28" s="92">
        <f>'Incremental_Cost Year 2'!AX88</f>
        <v>0</v>
      </c>
      <c r="AC28" s="92">
        <f>'Incremental_Cost Year 2'!AY88</f>
        <v>0</v>
      </c>
      <c r="AD28" s="92">
        <f>'Incremental_Cost Year 2'!AZ88</f>
        <v>0</v>
      </c>
      <c r="AE28" s="92">
        <f>'Incremental_Cost Year 2'!BA88</f>
        <v>0</v>
      </c>
      <c r="AF28" s="92">
        <f>'Incremental_Cost Year 2'!BB88</f>
        <v>0</v>
      </c>
      <c r="AG28" s="70"/>
      <c r="AH28" s="92">
        <f>'Incremental_Cost Year 3'!AQ88</f>
        <v>0</v>
      </c>
      <c r="AI28" s="92">
        <f>'Incremental_Cost Year 3'!AR88</f>
        <v>0</v>
      </c>
      <c r="AJ28" s="92">
        <f>'Incremental_Cost Year 3'!AS88</f>
        <v>0</v>
      </c>
      <c r="AK28" s="92">
        <f>'Incremental_Cost Year 3'!AT88</f>
        <v>0</v>
      </c>
      <c r="AL28" s="92">
        <f>'Incremental_Cost Year 3'!AU88</f>
        <v>0</v>
      </c>
      <c r="AM28" s="92">
        <f>'Incremental_Cost Year 3'!AV88</f>
        <v>0</v>
      </c>
      <c r="AN28" s="92">
        <f>'Incremental_Cost Year 3'!AW88</f>
        <v>0</v>
      </c>
      <c r="AO28" s="92">
        <f>'Incremental_Cost Year 3'!AX88</f>
        <v>0</v>
      </c>
      <c r="AP28" s="92">
        <f>'Incremental_Cost Year 3'!AY88</f>
        <v>0</v>
      </c>
      <c r="AQ28" s="92">
        <f>'Incremental_Cost Year 3'!AZ88</f>
        <v>0</v>
      </c>
      <c r="AR28" s="92">
        <f>'Incremental_Cost Year 3'!BA88</f>
        <v>0</v>
      </c>
      <c r="AS28" s="92">
        <f>'Incremental_Cost Year 3'!BB88</f>
        <v>0</v>
      </c>
      <c r="AT28" s="70"/>
      <c r="AU28" s="92">
        <f>'Incremental_Cost Year 4'!AQ88</f>
        <v>1236436.5</v>
      </c>
      <c r="AV28" s="92">
        <f>'Incremental_Cost Year 4'!AR88</f>
        <v>3458823.6</v>
      </c>
      <c r="AW28" s="92">
        <f>'Incremental_Cost Year 4'!AS88</f>
        <v>0</v>
      </c>
      <c r="AX28" s="92">
        <f>'Incremental_Cost Year 4'!AT88</f>
        <v>4695260.0999999996</v>
      </c>
      <c r="AY28" s="92">
        <f>'Incremental_Cost Year 4'!AU88</f>
        <v>2035260</v>
      </c>
      <c r="AZ28" s="92">
        <f>'Incremental_Cost Year 4'!AV88</f>
        <v>0</v>
      </c>
      <c r="BA28" s="92">
        <f>'Incremental_Cost Year 4'!AW88</f>
        <v>0</v>
      </c>
      <c r="BB28" s="92">
        <f>'Incremental_Cost Year 4'!AX88</f>
        <v>0</v>
      </c>
      <c r="BC28" s="92">
        <f>'Incremental_Cost Year 4'!AY88</f>
        <v>0</v>
      </c>
      <c r="BD28" s="92">
        <f>'Incremental_Cost Year 4'!AZ88</f>
        <v>0</v>
      </c>
      <c r="BE28" s="92">
        <f>'Incremental_Cost Year 4'!BA88</f>
        <v>0</v>
      </c>
      <c r="BF28" s="92">
        <f>'Incremental_Cost Year 4'!BB88</f>
        <v>-2660000.0999999996</v>
      </c>
      <c r="BG28" s="70"/>
      <c r="BH28" s="92">
        <f>'Incremental_Cost Year 5'!AQ88</f>
        <v>1683444.1800000002</v>
      </c>
      <c r="BI28" s="92">
        <f>'Incremental_Cost Year 5'!AR88</f>
        <v>3533739.6</v>
      </c>
      <c r="BJ28" s="92">
        <f>'Incremental_Cost Year 5'!AS88</f>
        <v>0</v>
      </c>
      <c r="BK28" s="92">
        <f>'Incremental_Cost Year 5'!AT88</f>
        <v>5217183.7799999993</v>
      </c>
      <c r="BL28" s="92">
        <f>'Incremental_Cost Year 5'!AU88</f>
        <v>2557184</v>
      </c>
      <c r="BM28" s="92">
        <f>'Incremental_Cost Year 5'!AV88</f>
        <v>0</v>
      </c>
      <c r="BN28" s="92">
        <f>'Incremental_Cost Year 5'!AW88</f>
        <v>0</v>
      </c>
      <c r="BO28" s="92">
        <f>'Incremental_Cost Year 5'!AX88</f>
        <v>0</v>
      </c>
      <c r="BP28" s="92">
        <f>'Incremental_Cost Year 5'!AY88</f>
        <v>0</v>
      </c>
      <c r="BQ28" s="92">
        <f>'Incremental_Cost Year 5'!AZ88</f>
        <v>0</v>
      </c>
      <c r="BR28" s="92">
        <f>'Incremental_Cost Year 5'!BA88</f>
        <v>0</v>
      </c>
      <c r="BS28" s="92">
        <f>'Incremental_Cost Year 5'!BB88</f>
        <v>-2659999.7799999998</v>
      </c>
      <c r="BT28" s="70"/>
      <c r="BU28" s="92">
        <f>'Incremental_Cost Year 6'!AQ88</f>
        <v>1683444.1800000002</v>
      </c>
      <c r="BV28" s="92">
        <f>'Incremental_Cost Year 6'!AR88</f>
        <v>3533739.6</v>
      </c>
      <c r="BW28" s="92">
        <f>'Incremental_Cost Year 6'!AS88</f>
        <v>0</v>
      </c>
      <c r="BX28" s="92">
        <f>'Incremental_Cost Year 6'!AT88</f>
        <v>5217183.7799999993</v>
      </c>
      <c r="BY28" s="92">
        <f>'Incremental_Cost Year 6'!AU88</f>
        <v>2557184</v>
      </c>
      <c r="BZ28" s="92">
        <f>'Incremental_Cost Year 6'!AV88</f>
        <v>0</v>
      </c>
      <c r="CA28" s="92">
        <f>'Incremental_Cost Year 6'!AW88</f>
        <v>0</v>
      </c>
      <c r="CB28" s="92">
        <f>'Incremental_Cost Year 6'!AX88</f>
        <v>0</v>
      </c>
      <c r="CC28" s="92">
        <f>'Incremental_Cost Year 6'!AY88</f>
        <v>0</v>
      </c>
      <c r="CD28" s="92">
        <f>'Incremental_Cost Year 6'!AZ88</f>
        <v>0</v>
      </c>
      <c r="CE28" s="92">
        <f>'Incremental_Cost Year 6'!BA88</f>
        <v>0</v>
      </c>
      <c r="CF28" s="92">
        <f>'Incremental_Cost Year 6'!BB88</f>
        <v>-2659999.7799999998</v>
      </c>
      <c r="CG28" s="70"/>
      <c r="CH28" s="92">
        <f>'Incremental_Cost Year 7'!AQ88</f>
        <v>2387962.08</v>
      </c>
      <c r="CI28" s="92">
        <f>'Incremental_Cost Year 7'!AR88</f>
        <v>1288266</v>
      </c>
      <c r="CJ28" s="92">
        <f>'Incremental_Cost Year 7'!AS88</f>
        <v>0</v>
      </c>
      <c r="CK28" s="92">
        <f>'Incremental_Cost Year 7'!AT88</f>
        <v>3676228.08</v>
      </c>
      <c r="CL28" s="92">
        <f>'Incremental_Cost Year 7'!AU88</f>
        <v>2764228</v>
      </c>
      <c r="CM28" s="92">
        <f>'Incremental_Cost Year 7'!AV88</f>
        <v>0</v>
      </c>
      <c r="CN28" s="92">
        <f>'Incremental_Cost Year 7'!AW88</f>
        <v>0</v>
      </c>
      <c r="CO28" s="92">
        <f>'Incremental_Cost Year 7'!AX88</f>
        <v>0</v>
      </c>
      <c r="CP28" s="92">
        <f>'Incremental_Cost Year 7'!AY88</f>
        <v>0</v>
      </c>
      <c r="CQ28" s="92">
        <f>'Incremental_Cost Year 7'!AZ88</f>
        <v>0</v>
      </c>
      <c r="CR28" s="92">
        <f>'Incremental_Cost Year 7'!BA88</f>
        <v>0</v>
      </c>
      <c r="CS28" s="92">
        <f>'Incremental_Cost Year 7'!BB88</f>
        <v>-912000.08</v>
      </c>
      <c r="CT28" s="70"/>
      <c r="CU28" s="92">
        <f>'Incremental_Cost Year 8'!AQ88</f>
        <v>2387962.08</v>
      </c>
      <c r="CV28" s="92">
        <f>'Incremental_Cost Year 8'!AR88</f>
        <v>832266</v>
      </c>
      <c r="CW28" s="92">
        <f>'Incremental_Cost Year 8'!AS88</f>
        <v>0</v>
      </c>
      <c r="CX28" s="92">
        <f>'Incremental_Cost Year 8'!AT88</f>
        <v>3220228.08</v>
      </c>
      <c r="CY28" s="92">
        <f>'Incremental_Cost Year 8'!AU88</f>
        <v>2764228</v>
      </c>
      <c r="CZ28" s="92">
        <f>'Incremental_Cost Year 8'!AV88</f>
        <v>0</v>
      </c>
      <c r="DA28" s="92">
        <f>'Incremental_Cost Year 8'!AW88</f>
        <v>0</v>
      </c>
      <c r="DB28" s="92">
        <f>'Incremental_Cost Year 8'!AX88</f>
        <v>0</v>
      </c>
      <c r="DC28" s="92">
        <f>'Incremental_Cost Year 8'!AY88</f>
        <v>0</v>
      </c>
      <c r="DD28" s="92">
        <f>'Incremental_Cost Year 8'!AZ88</f>
        <v>0</v>
      </c>
      <c r="DE28" s="92">
        <f>'Incremental_Cost Year 8'!BA88</f>
        <v>0</v>
      </c>
      <c r="DF28" s="92">
        <f>'Incremental_Cost Year 8'!BB88</f>
        <v>-456000.07999999996</v>
      </c>
      <c r="DG28" s="70"/>
      <c r="DH28" s="92">
        <f>'Incremental_Cost Year 9'!AQ88</f>
        <v>2387962.08</v>
      </c>
      <c r="DI28" s="92">
        <f>'Incremental_Cost Year 9'!AR88</f>
        <v>832266</v>
      </c>
      <c r="DJ28" s="92">
        <f>'Incremental_Cost Year 9'!AS88</f>
        <v>0</v>
      </c>
      <c r="DK28" s="92">
        <f>'Incremental_Cost Year 9'!AT88</f>
        <v>3220228.08</v>
      </c>
      <c r="DL28" s="92">
        <f>'Incremental_Cost Year 9'!AU88</f>
        <v>2764228</v>
      </c>
      <c r="DM28" s="92">
        <f>'Incremental_Cost Year 9'!AV88</f>
        <v>0</v>
      </c>
      <c r="DN28" s="92">
        <f>'Incremental_Cost Year 9'!AW88</f>
        <v>0</v>
      </c>
      <c r="DO28" s="92">
        <f>'Incremental_Cost Year 9'!AX88</f>
        <v>0</v>
      </c>
      <c r="DP28" s="92">
        <f>'Incremental_Cost Year 9'!AY88</f>
        <v>0</v>
      </c>
      <c r="DQ28" s="92">
        <f>'Incremental_Cost Year 9'!AZ88</f>
        <v>0</v>
      </c>
      <c r="DR28" s="92">
        <f>'Incremental_Cost Year 9'!BA88</f>
        <v>0</v>
      </c>
      <c r="DS28" s="92">
        <f>'Incremental_Cost Year 9'!BB88</f>
        <v>-456000.07999999996</v>
      </c>
      <c r="DT28" s="70"/>
      <c r="DU28" s="92">
        <f>'Incremental_Cost Year 10'!AQ88</f>
        <v>2387962.08</v>
      </c>
      <c r="DV28" s="92">
        <f>'Incremental_Cost Year 10'!AR88</f>
        <v>832266</v>
      </c>
      <c r="DW28" s="92">
        <f>'Incremental_Cost Year 10'!AS88</f>
        <v>0</v>
      </c>
      <c r="DX28" s="92">
        <f>'Incremental_Cost Year 10'!AT88</f>
        <v>3220228.08</v>
      </c>
      <c r="DY28" s="92">
        <f>'Incremental_Cost Year 10'!AU88</f>
        <v>2764228</v>
      </c>
      <c r="DZ28" s="92">
        <f>'Incremental_Cost Year 10'!AV88</f>
        <v>0</v>
      </c>
      <c r="EA28" s="92">
        <f>'Incremental_Cost Year 10'!AW88</f>
        <v>0</v>
      </c>
      <c r="EB28" s="92">
        <f>'Incremental_Cost Year 10'!AX88</f>
        <v>0</v>
      </c>
      <c r="EC28" s="92">
        <f>'Incremental_Cost Year 10'!AY88</f>
        <v>0</v>
      </c>
      <c r="ED28" s="92">
        <f>'Incremental_Cost Year 10'!AZ88</f>
        <v>0</v>
      </c>
      <c r="EE28" s="92">
        <f>'Incremental_Cost Year 10'!BA88</f>
        <v>0</v>
      </c>
      <c r="EF28" s="92">
        <f>'Incremental_Cost Year 10'!BB88</f>
        <v>-456000.07999999996</v>
      </c>
      <c r="EG28" s="70"/>
      <c r="EH28" s="92">
        <f t="shared" si="107"/>
        <v>14155173.18</v>
      </c>
      <c r="EI28" s="92">
        <f t="shared" si="107"/>
        <v>14311366.800000001</v>
      </c>
      <c r="EJ28" s="92">
        <f t="shared" si="107"/>
        <v>0</v>
      </c>
      <c r="EK28" s="92">
        <f t="shared" si="107"/>
        <v>28466539.979999997</v>
      </c>
      <c r="EL28" s="92">
        <f t="shared" si="107"/>
        <v>18206540</v>
      </c>
      <c r="EM28" s="92">
        <f t="shared" si="107"/>
        <v>0</v>
      </c>
      <c r="EN28" s="92">
        <f t="shared" si="107"/>
        <v>0</v>
      </c>
      <c r="EO28" s="92">
        <f t="shared" si="107"/>
        <v>0</v>
      </c>
      <c r="EP28" s="92">
        <f t="shared" si="107"/>
        <v>0</v>
      </c>
      <c r="EQ28" s="92">
        <f t="shared" si="107"/>
        <v>0</v>
      </c>
      <c r="ER28" s="92">
        <f t="shared" si="107"/>
        <v>0</v>
      </c>
      <c r="ES28" s="92">
        <f t="shared" si="107"/>
        <v>-10259999.979999999</v>
      </c>
      <c r="EU28" s="194">
        <f t="shared" si="23"/>
        <v>0</v>
      </c>
      <c r="EW28" s="194">
        <f t="shared" si="24"/>
        <v>-10259999.979999997</v>
      </c>
      <c r="EX28" s="194">
        <f t="shared" si="21"/>
        <v>0</v>
      </c>
    </row>
    <row r="29" spans="1:154" ht="38.25" x14ac:dyDescent="0.25">
      <c r="B29" s="43"/>
      <c r="C29" s="68"/>
      <c r="D29" s="193" t="str">
        <f>'Incremental_Cost Year 1'!D92</f>
        <v>01110 Planifikimi, Menaxhimi dhe Administrimi</v>
      </c>
      <c r="E29" s="193" t="str">
        <f>'Incremental_Cost Year 1'!E92</f>
        <v>2.1.3 Krijimi i mekanizmave për angazhim të fortë mbi temat prioritare për Shqipërinë në diskutimet, rrjetet dhe organizatat shëndetësore rajonale dhe globale</v>
      </c>
      <c r="F29" s="96">
        <f>'Incremental_Cost Year 1'!F92</f>
        <v>2021</v>
      </c>
      <c r="G29" s="96">
        <f>'Incremental_Cost Year 1'!G92</f>
        <v>2030</v>
      </c>
      <c r="H29" s="52">
        <f>'Incremental_Cost Year 1'!AQ92</f>
        <v>1058702.3999999999</v>
      </c>
      <c r="I29" s="92">
        <f>'Incremental_Cost Year 1'!AR92</f>
        <v>0</v>
      </c>
      <c r="J29" s="92">
        <f>'Incremental_Cost Year 1'!AS92</f>
        <v>0</v>
      </c>
      <c r="K29" s="92">
        <f>'Incremental_Cost Year 1'!AT92</f>
        <v>1058702.3999999999</v>
      </c>
      <c r="L29" s="92">
        <f>'Incremental_Cost Year 1'!AU92</f>
        <v>1058702</v>
      </c>
      <c r="M29" s="92">
        <f>'Incremental_Cost Year 1'!AV92</f>
        <v>0</v>
      </c>
      <c r="N29" s="92">
        <f>'Incremental_Cost Year 1'!AW92</f>
        <v>0</v>
      </c>
      <c r="O29" s="92">
        <f>'Incremental_Cost Year 1'!AX92</f>
        <v>0</v>
      </c>
      <c r="P29" s="92">
        <f>'Incremental_Cost Year 1'!AY92</f>
        <v>0</v>
      </c>
      <c r="Q29" s="92">
        <f>'Incremental_Cost Year 1'!AZ92</f>
        <v>0</v>
      </c>
      <c r="R29" s="92">
        <f>'Incremental_Cost Year 1'!BA92</f>
        <v>0</v>
      </c>
      <c r="S29" s="92">
        <f>'Incremental_Cost Year 1'!BB92</f>
        <v>-0.39999999990686774</v>
      </c>
      <c r="U29" s="92">
        <f>'Incremental_Cost Year 2'!AQ92</f>
        <v>6142154.4000000004</v>
      </c>
      <c r="V29" s="92">
        <f>'Incremental_Cost Year 2'!AR92</f>
        <v>1760353.2</v>
      </c>
      <c r="W29" s="92">
        <f>'Incremental_Cost Year 2'!AS92</f>
        <v>0</v>
      </c>
      <c r="X29" s="92">
        <f>'Incremental_Cost Year 2'!AT92</f>
        <v>7902507.5999999996</v>
      </c>
      <c r="Y29" s="92">
        <f>'Incremental_Cost Year 2'!AU92</f>
        <v>7332507</v>
      </c>
      <c r="Z29" s="92">
        <f>'Incremental_Cost Year 2'!AV92</f>
        <v>0</v>
      </c>
      <c r="AA29" s="92">
        <f>'Incremental_Cost Year 2'!AW92</f>
        <v>0</v>
      </c>
      <c r="AB29" s="92">
        <f>'Incremental_Cost Year 2'!AX92</f>
        <v>0</v>
      </c>
      <c r="AC29" s="92">
        <f>'Incremental_Cost Year 2'!AY92</f>
        <v>0</v>
      </c>
      <c r="AD29" s="92">
        <f>'Incremental_Cost Year 2'!AZ92</f>
        <v>0</v>
      </c>
      <c r="AE29" s="92">
        <f>'Incremental_Cost Year 2'!BA92</f>
        <v>0</v>
      </c>
      <c r="AF29" s="92">
        <f>'Incremental_Cost Year 2'!BB92</f>
        <v>-570000.60000000009</v>
      </c>
      <c r="AH29" s="92">
        <f>'Incremental_Cost Year 3'!AQ92</f>
        <v>6142154.4000000004</v>
      </c>
      <c r="AI29" s="92">
        <f>'Incremental_Cost Year 3'!AR92</f>
        <v>1760353.2</v>
      </c>
      <c r="AJ29" s="92">
        <f>'Incremental_Cost Year 3'!AS92</f>
        <v>0</v>
      </c>
      <c r="AK29" s="92">
        <f>'Incremental_Cost Year 3'!AT92</f>
        <v>7902507.5999999996</v>
      </c>
      <c r="AL29" s="92">
        <f>'Incremental_Cost Year 3'!AU92</f>
        <v>7332507</v>
      </c>
      <c r="AM29" s="92">
        <f>'Incremental_Cost Year 3'!AV92</f>
        <v>0</v>
      </c>
      <c r="AN29" s="92">
        <f>'Incremental_Cost Year 3'!AW92</f>
        <v>0</v>
      </c>
      <c r="AO29" s="92">
        <f>'Incremental_Cost Year 3'!AX92</f>
        <v>0</v>
      </c>
      <c r="AP29" s="92">
        <f>'Incremental_Cost Year 3'!AY92</f>
        <v>0</v>
      </c>
      <c r="AQ29" s="92">
        <f>'Incremental_Cost Year 3'!AZ92</f>
        <v>0</v>
      </c>
      <c r="AR29" s="92">
        <f>'Incremental_Cost Year 3'!BA92</f>
        <v>0</v>
      </c>
      <c r="AS29" s="92">
        <f>'Incremental_Cost Year 3'!BB92</f>
        <v>-570000.60000000009</v>
      </c>
      <c r="AU29" s="92">
        <f>'Incremental_Cost Year 4'!AQ92</f>
        <v>6142154.4000000004</v>
      </c>
      <c r="AV29" s="92">
        <f>'Incremental_Cost Year 4'!AR92</f>
        <v>1760353.2</v>
      </c>
      <c r="AW29" s="92">
        <f>'Incremental_Cost Year 4'!AS92</f>
        <v>0</v>
      </c>
      <c r="AX29" s="92">
        <f>'Incremental_Cost Year 4'!AT92</f>
        <v>7902507.5999999996</v>
      </c>
      <c r="AY29" s="92">
        <f>'Incremental_Cost Year 4'!AU92</f>
        <v>7332507</v>
      </c>
      <c r="AZ29" s="92">
        <f>'Incremental_Cost Year 4'!AV92</f>
        <v>0</v>
      </c>
      <c r="BA29" s="92">
        <f>'Incremental_Cost Year 4'!AW92</f>
        <v>0</v>
      </c>
      <c r="BB29" s="92">
        <f>'Incremental_Cost Year 4'!AX92</f>
        <v>0</v>
      </c>
      <c r="BC29" s="92">
        <f>'Incremental_Cost Year 4'!AY92</f>
        <v>0</v>
      </c>
      <c r="BD29" s="92">
        <f>'Incremental_Cost Year 4'!AZ92</f>
        <v>0</v>
      </c>
      <c r="BE29" s="92">
        <f>'Incremental_Cost Year 4'!BA92</f>
        <v>0</v>
      </c>
      <c r="BF29" s="92">
        <f>'Incremental_Cost Year 4'!BB92</f>
        <v>-570000.60000000009</v>
      </c>
      <c r="BH29" s="92">
        <f>'Incremental_Cost Year 5'!AQ92</f>
        <v>6142154.4000000004</v>
      </c>
      <c r="BI29" s="92">
        <f>'Incremental_Cost Year 5'!AR92</f>
        <v>1760353.2</v>
      </c>
      <c r="BJ29" s="92">
        <f>'Incremental_Cost Year 5'!AS92</f>
        <v>0</v>
      </c>
      <c r="BK29" s="92">
        <f>'Incremental_Cost Year 5'!AT92</f>
        <v>7902507.5999999996</v>
      </c>
      <c r="BL29" s="92">
        <f>'Incremental_Cost Year 5'!AU92</f>
        <v>7332507</v>
      </c>
      <c r="BM29" s="92">
        <f>'Incremental_Cost Year 5'!AV92</f>
        <v>0</v>
      </c>
      <c r="BN29" s="92">
        <f>'Incremental_Cost Year 5'!AW92</f>
        <v>0</v>
      </c>
      <c r="BO29" s="92">
        <f>'Incremental_Cost Year 5'!AX92</f>
        <v>0</v>
      </c>
      <c r="BP29" s="92">
        <f>'Incremental_Cost Year 5'!AY92</f>
        <v>0</v>
      </c>
      <c r="BQ29" s="92">
        <f>'Incremental_Cost Year 5'!AZ92</f>
        <v>0</v>
      </c>
      <c r="BR29" s="92">
        <f>'Incremental_Cost Year 5'!BA92</f>
        <v>0</v>
      </c>
      <c r="BS29" s="92">
        <f>'Incremental_Cost Year 5'!BB92</f>
        <v>-570000.60000000009</v>
      </c>
      <c r="BU29" s="92">
        <f>'Incremental_Cost Year 6'!AQ92</f>
        <v>6142154.4000000004</v>
      </c>
      <c r="BV29" s="92">
        <f>'Incremental_Cost Year 6'!AR92</f>
        <v>1760353.2</v>
      </c>
      <c r="BW29" s="92">
        <f>'Incremental_Cost Year 6'!AS92</f>
        <v>0</v>
      </c>
      <c r="BX29" s="92">
        <f>'Incremental_Cost Year 6'!AT92</f>
        <v>7902507.5999999996</v>
      </c>
      <c r="BY29" s="92">
        <f>'Incremental_Cost Year 6'!AU92</f>
        <v>7332507</v>
      </c>
      <c r="BZ29" s="92">
        <f>'Incremental_Cost Year 6'!AV92</f>
        <v>0</v>
      </c>
      <c r="CA29" s="92">
        <f>'Incremental_Cost Year 6'!AW92</f>
        <v>0</v>
      </c>
      <c r="CB29" s="92">
        <f>'Incremental_Cost Year 6'!AX92</f>
        <v>0</v>
      </c>
      <c r="CC29" s="92">
        <f>'Incremental_Cost Year 6'!AY92</f>
        <v>0</v>
      </c>
      <c r="CD29" s="92">
        <f>'Incremental_Cost Year 6'!AZ92</f>
        <v>0</v>
      </c>
      <c r="CE29" s="92">
        <f>'Incremental_Cost Year 6'!BA92</f>
        <v>0</v>
      </c>
      <c r="CF29" s="92">
        <f>'Incremental_Cost Year 6'!BB92</f>
        <v>-570000.60000000009</v>
      </c>
      <c r="CH29" s="92">
        <f>'Incremental_Cost Year 7'!AQ92</f>
        <v>6142154.4000000004</v>
      </c>
      <c r="CI29" s="92">
        <f>'Incremental_Cost Year 7'!AR92</f>
        <v>1760353.2</v>
      </c>
      <c r="CJ29" s="92">
        <f>'Incremental_Cost Year 7'!AS92</f>
        <v>0</v>
      </c>
      <c r="CK29" s="92">
        <f>'Incremental_Cost Year 7'!AT92</f>
        <v>7902507.5999999996</v>
      </c>
      <c r="CL29" s="92">
        <f>'Incremental_Cost Year 7'!AU92</f>
        <v>7332507</v>
      </c>
      <c r="CM29" s="92">
        <f>'Incremental_Cost Year 7'!AV92</f>
        <v>0</v>
      </c>
      <c r="CN29" s="92">
        <f>'Incremental_Cost Year 7'!AW92</f>
        <v>0</v>
      </c>
      <c r="CO29" s="92">
        <f>'Incremental_Cost Year 7'!AX92</f>
        <v>0</v>
      </c>
      <c r="CP29" s="92">
        <f>'Incremental_Cost Year 7'!AY92</f>
        <v>0</v>
      </c>
      <c r="CQ29" s="92">
        <f>'Incremental_Cost Year 7'!AZ92</f>
        <v>0</v>
      </c>
      <c r="CR29" s="92">
        <f>'Incremental_Cost Year 7'!BA92</f>
        <v>0</v>
      </c>
      <c r="CS29" s="92">
        <f>'Incremental_Cost Year 7'!BB92</f>
        <v>-570000.60000000009</v>
      </c>
      <c r="CU29" s="92">
        <f>'Incremental_Cost Year 8'!AQ92</f>
        <v>6142154.4000000004</v>
      </c>
      <c r="CV29" s="92">
        <f>'Incremental_Cost Year 8'!AR92</f>
        <v>1760353.2</v>
      </c>
      <c r="CW29" s="92">
        <f>'Incremental_Cost Year 8'!AS92</f>
        <v>0</v>
      </c>
      <c r="CX29" s="92">
        <f>'Incremental_Cost Year 8'!AT92</f>
        <v>7902507.5999999996</v>
      </c>
      <c r="CY29" s="92">
        <f>'Incremental_Cost Year 8'!AU92</f>
        <v>7332507</v>
      </c>
      <c r="CZ29" s="92">
        <f>'Incremental_Cost Year 8'!AV92</f>
        <v>0</v>
      </c>
      <c r="DA29" s="92">
        <f>'Incremental_Cost Year 8'!AW92</f>
        <v>0</v>
      </c>
      <c r="DB29" s="92">
        <f>'Incremental_Cost Year 8'!AX92</f>
        <v>0</v>
      </c>
      <c r="DC29" s="92">
        <f>'Incremental_Cost Year 8'!AY92</f>
        <v>0</v>
      </c>
      <c r="DD29" s="92">
        <f>'Incremental_Cost Year 8'!AZ92</f>
        <v>0</v>
      </c>
      <c r="DE29" s="92">
        <f>'Incremental_Cost Year 8'!BA92</f>
        <v>0</v>
      </c>
      <c r="DF29" s="92">
        <f>'Incremental_Cost Year 8'!BB92</f>
        <v>-570000.60000000009</v>
      </c>
      <c r="DH29" s="92">
        <f>'Incremental_Cost Year 9'!AQ92</f>
        <v>6142154.4000000004</v>
      </c>
      <c r="DI29" s="92">
        <f>'Incremental_Cost Year 9'!AR92</f>
        <v>1760353.2</v>
      </c>
      <c r="DJ29" s="92">
        <f>'Incremental_Cost Year 9'!AS92</f>
        <v>0</v>
      </c>
      <c r="DK29" s="92">
        <f>'Incremental_Cost Year 9'!AT92</f>
        <v>7902507.5999999996</v>
      </c>
      <c r="DL29" s="92">
        <f>'Incremental_Cost Year 9'!AU92</f>
        <v>7332507</v>
      </c>
      <c r="DM29" s="92">
        <f>'Incremental_Cost Year 9'!AV92</f>
        <v>0</v>
      </c>
      <c r="DN29" s="92">
        <f>'Incremental_Cost Year 9'!AW92</f>
        <v>0</v>
      </c>
      <c r="DO29" s="92">
        <f>'Incremental_Cost Year 9'!AX92</f>
        <v>0</v>
      </c>
      <c r="DP29" s="92">
        <f>'Incremental_Cost Year 9'!AY92</f>
        <v>0</v>
      </c>
      <c r="DQ29" s="92">
        <f>'Incremental_Cost Year 9'!AZ92</f>
        <v>0</v>
      </c>
      <c r="DR29" s="92">
        <f>'Incremental_Cost Year 9'!BA92</f>
        <v>0</v>
      </c>
      <c r="DS29" s="92">
        <f>'Incremental_Cost Year 9'!BB92</f>
        <v>-570000.60000000009</v>
      </c>
      <c r="DU29" s="92">
        <f>'Incremental_Cost Year 10'!AQ92</f>
        <v>6142154.4000000004</v>
      </c>
      <c r="DV29" s="92">
        <f>'Incremental_Cost Year 10'!AR92</f>
        <v>1760353.2</v>
      </c>
      <c r="DW29" s="92">
        <f>'Incremental_Cost Year 10'!AS92</f>
        <v>0</v>
      </c>
      <c r="DX29" s="92">
        <f>'Incremental_Cost Year 10'!AT92</f>
        <v>7902507.5999999996</v>
      </c>
      <c r="DY29" s="92">
        <f>'Incremental_Cost Year 10'!AU92</f>
        <v>7332507</v>
      </c>
      <c r="DZ29" s="92">
        <f>'Incremental_Cost Year 10'!AV92</f>
        <v>0</v>
      </c>
      <c r="EA29" s="92">
        <f>'Incremental_Cost Year 10'!AW92</f>
        <v>0</v>
      </c>
      <c r="EB29" s="92">
        <f>'Incremental_Cost Year 10'!AX92</f>
        <v>0</v>
      </c>
      <c r="EC29" s="92">
        <f>'Incremental_Cost Year 10'!AY92</f>
        <v>0</v>
      </c>
      <c r="ED29" s="92">
        <f>'Incremental_Cost Year 10'!AZ92</f>
        <v>0</v>
      </c>
      <c r="EE29" s="92">
        <f>'Incremental_Cost Year 10'!BA92</f>
        <v>0</v>
      </c>
      <c r="EF29" s="92">
        <f>'Incremental_Cost Year 10'!BB92</f>
        <v>-570000.60000000009</v>
      </c>
      <c r="EH29" s="52">
        <f>H29+U29+AH29+AU29+BH29+BU29+CH29+CU29+DH29+DU29</f>
        <v>56338091.999999993</v>
      </c>
      <c r="EI29" s="52">
        <f t="shared" ref="EI29:ES29" si="108">I29+V29+AI29+AV29+BI29+BV29+CI29+CV29+DI29+DV29</f>
        <v>15843178.799999997</v>
      </c>
      <c r="EJ29" s="52">
        <f t="shared" si="108"/>
        <v>0</v>
      </c>
      <c r="EK29" s="52">
        <f t="shared" si="108"/>
        <v>72181270.800000012</v>
      </c>
      <c r="EL29" s="52">
        <f t="shared" si="108"/>
        <v>67051265</v>
      </c>
      <c r="EM29" s="52">
        <f t="shared" si="108"/>
        <v>0</v>
      </c>
      <c r="EN29" s="52">
        <f t="shared" si="108"/>
        <v>0</v>
      </c>
      <c r="EO29" s="52">
        <f t="shared" si="108"/>
        <v>0</v>
      </c>
      <c r="EP29" s="52">
        <f t="shared" si="108"/>
        <v>0</v>
      </c>
      <c r="EQ29" s="52">
        <f t="shared" si="108"/>
        <v>0</v>
      </c>
      <c r="ER29" s="52">
        <f t="shared" si="108"/>
        <v>0</v>
      </c>
      <c r="ES29" s="52">
        <f t="shared" si="108"/>
        <v>-5130005.8000000007</v>
      </c>
      <c r="EU29" s="194">
        <f t="shared" si="23"/>
        <v>0</v>
      </c>
      <c r="EW29" s="194">
        <f t="shared" si="24"/>
        <v>-5130005.8000000119</v>
      </c>
      <c r="EX29" s="194">
        <f t="shared" si="21"/>
        <v>1.1175870895385742E-8</v>
      </c>
    </row>
    <row r="30" spans="1:154" x14ac:dyDescent="0.25">
      <c r="A30" s="42"/>
      <c r="B30" s="48"/>
      <c r="C30" s="421" t="str">
        <f>'Incremental_Cost Year 1'!C93:E93</f>
        <v>2.2 Objektivi Specifik :Fuqizimi i mekanizmave të konsultimit publik me qëllim rritjen rritjen e transparencës dhe llogaridhënies ndaj publikut dhe popullatës</v>
      </c>
      <c r="D30" s="421"/>
      <c r="E30" s="422"/>
      <c r="F30" s="67"/>
      <c r="G30" s="67"/>
      <c r="H30" s="54">
        <f>SUM(H31)</f>
        <v>0</v>
      </c>
      <c r="I30" s="94">
        <f t="shared" ref="I30:S30" si="109">SUM(I31)</f>
        <v>0</v>
      </c>
      <c r="J30" s="94">
        <f t="shared" si="109"/>
        <v>0</v>
      </c>
      <c r="K30" s="94">
        <f t="shared" si="109"/>
        <v>0</v>
      </c>
      <c r="L30" s="94">
        <f t="shared" si="109"/>
        <v>0</v>
      </c>
      <c r="M30" s="94">
        <f t="shared" si="109"/>
        <v>0</v>
      </c>
      <c r="N30" s="94">
        <f t="shared" si="109"/>
        <v>0</v>
      </c>
      <c r="O30" s="94">
        <f t="shared" si="109"/>
        <v>0</v>
      </c>
      <c r="P30" s="94">
        <f t="shared" si="109"/>
        <v>0</v>
      </c>
      <c r="Q30" s="94">
        <f t="shared" si="109"/>
        <v>0</v>
      </c>
      <c r="R30" s="94">
        <f t="shared" si="109"/>
        <v>0</v>
      </c>
      <c r="S30" s="94">
        <f t="shared" si="109"/>
        <v>0</v>
      </c>
      <c r="U30" s="94">
        <f>SUM(U31)</f>
        <v>647918.4</v>
      </c>
      <c r="V30" s="94">
        <f t="shared" ref="V30:AF30" si="110">SUM(V31)</f>
        <v>1222800</v>
      </c>
      <c r="W30" s="94">
        <f t="shared" si="110"/>
        <v>0</v>
      </c>
      <c r="X30" s="94">
        <f t="shared" si="110"/>
        <v>1870718.4</v>
      </c>
      <c r="Y30" s="94">
        <f t="shared" si="110"/>
        <v>93307</v>
      </c>
      <c r="Z30" s="94">
        <f t="shared" si="110"/>
        <v>0</v>
      </c>
      <c r="AA30" s="94">
        <f t="shared" si="110"/>
        <v>0</v>
      </c>
      <c r="AB30" s="94">
        <f t="shared" si="110"/>
        <v>0</v>
      </c>
      <c r="AC30" s="94">
        <f t="shared" si="110"/>
        <v>0</v>
      </c>
      <c r="AD30" s="94">
        <f t="shared" si="110"/>
        <v>0</v>
      </c>
      <c r="AE30" s="94">
        <f t="shared" si="110"/>
        <v>0</v>
      </c>
      <c r="AF30" s="94">
        <f t="shared" si="110"/>
        <v>-1777411.4</v>
      </c>
      <c r="AH30" s="94">
        <f>SUM(AH31)</f>
        <v>123760.34999999999</v>
      </c>
      <c r="AI30" s="94">
        <f t="shared" ref="AI30:AS30" si="111">SUM(AI31)</f>
        <v>1186800</v>
      </c>
      <c r="AJ30" s="94">
        <f t="shared" si="111"/>
        <v>0</v>
      </c>
      <c r="AK30" s="94">
        <f t="shared" si="111"/>
        <v>1310560.3499999999</v>
      </c>
      <c r="AL30" s="94">
        <f t="shared" si="111"/>
        <v>170560</v>
      </c>
      <c r="AM30" s="94">
        <f t="shared" si="111"/>
        <v>0</v>
      </c>
      <c r="AN30" s="94">
        <f t="shared" si="111"/>
        <v>0</v>
      </c>
      <c r="AO30" s="94">
        <f t="shared" si="111"/>
        <v>0</v>
      </c>
      <c r="AP30" s="94">
        <f t="shared" si="111"/>
        <v>0</v>
      </c>
      <c r="AQ30" s="94">
        <f t="shared" si="111"/>
        <v>0</v>
      </c>
      <c r="AR30" s="94">
        <f t="shared" si="111"/>
        <v>0</v>
      </c>
      <c r="AS30" s="94">
        <f t="shared" si="111"/>
        <v>-1140000.3499999999</v>
      </c>
      <c r="AU30" s="94">
        <f>SUM(AU31)</f>
        <v>123760.34999999999</v>
      </c>
      <c r="AV30" s="94">
        <f t="shared" ref="AV30:BF30" si="112">SUM(AV31)</f>
        <v>262800</v>
      </c>
      <c r="AW30" s="94">
        <f t="shared" si="112"/>
        <v>0</v>
      </c>
      <c r="AX30" s="94">
        <f t="shared" si="112"/>
        <v>386560.35000000003</v>
      </c>
      <c r="AY30" s="94">
        <f t="shared" si="112"/>
        <v>170560</v>
      </c>
      <c r="AZ30" s="94">
        <f t="shared" si="112"/>
        <v>0</v>
      </c>
      <c r="BA30" s="94">
        <f t="shared" si="112"/>
        <v>0</v>
      </c>
      <c r="BB30" s="94">
        <f t="shared" si="112"/>
        <v>0</v>
      </c>
      <c r="BC30" s="94">
        <f t="shared" si="112"/>
        <v>0</v>
      </c>
      <c r="BD30" s="94">
        <f t="shared" si="112"/>
        <v>0</v>
      </c>
      <c r="BE30" s="94">
        <f t="shared" si="112"/>
        <v>0</v>
      </c>
      <c r="BF30" s="94">
        <f t="shared" si="112"/>
        <v>-216000.35000000003</v>
      </c>
      <c r="BH30" s="94">
        <f>SUM(BH31)</f>
        <v>2159941.9500000002</v>
      </c>
      <c r="BI30" s="94">
        <f t="shared" ref="BI30:BS30" si="113">SUM(BI31)</f>
        <v>356738.4</v>
      </c>
      <c r="BJ30" s="94">
        <f t="shared" si="113"/>
        <v>0</v>
      </c>
      <c r="BK30" s="94">
        <f t="shared" si="113"/>
        <v>2516680.35</v>
      </c>
      <c r="BL30" s="94">
        <f t="shared" si="113"/>
        <v>2486680</v>
      </c>
      <c r="BM30" s="94">
        <f t="shared" si="113"/>
        <v>0</v>
      </c>
      <c r="BN30" s="94">
        <f t="shared" si="113"/>
        <v>0</v>
      </c>
      <c r="BO30" s="94">
        <f t="shared" si="113"/>
        <v>0</v>
      </c>
      <c r="BP30" s="94">
        <f t="shared" si="113"/>
        <v>0</v>
      </c>
      <c r="BQ30" s="94">
        <f t="shared" si="113"/>
        <v>0</v>
      </c>
      <c r="BR30" s="94">
        <f t="shared" si="113"/>
        <v>0</v>
      </c>
      <c r="BS30" s="94">
        <f t="shared" si="113"/>
        <v>-30000.350000000093</v>
      </c>
      <c r="BU30" s="94">
        <f>SUM(BU31)</f>
        <v>2159941.9500000002</v>
      </c>
      <c r="BV30" s="94">
        <f t="shared" ref="BV30:CF30" si="114">SUM(BV31)</f>
        <v>362738.4</v>
      </c>
      <c r="BW30" s="94">
        <f t="shared" si="114"/>
        <v>0</v>
      </c>
      <c r="BX30" s="94">
        <f t="shared" si="114"/>
        <v>2522680.35</v>
      </c>
      <c r="BY30" s="94">
        <f t="shared" si="114"/>
        <v>2522680</v>
      </c>
      <c r="BZ30" s="94">
        <f t="shared" si="114"/>
        <v>0</v>
      </c>
      <c r="CA30" s="94">
        <f t="shared" si="114"/>
        <v>0</v>
      </c>
      <c r="CB30" s="94">
        <f t="shared" si="114"/>
        <v>0</v>
      </c>
      <c r="CC30" s="94">
        <f t="shared" si="114"/>
        <v>0</v>
      </c>
      <c r="CD30" s="94">
        <f t="shared" si="114"/>
        <v>0</v>
      </c>
      <c r="CE30" s="94">
        <f t="shared" si="114"/>
        <v>0</v>
      </c>
      <c r="CF30" s="94">
        <f t="shared" si="114"/>
        <v>-0.35000000009313226</v>
      </c>
      <c r="CH30" s="94">
        <f>SUM(CH31)</f>
        <v>2159941.9500000002</v>
      </c>
      <c r="CI30" s="94">
        <f t="shared" ref="CI30:CS30" si="115">SUM(CI31)</f>
        <v>1025138.4</v>
      </c>
      <c r="CJ30" s="94">
        <f t="shared" si="115"/>
        <v>0</v>
      </c>
      <c r="CK30" s="94">
        <f t="shared" si="115"/>
        <v>3185080.35</v>
      </c>
      <c r="CL30" s="94">
        <f t="shared" si="115"/>
        <v>2387080</v>
      </c>
      <c r="CM30" s="94">
        <f t="shared" si="115"/>
        <v>0</v>
      </c>
      <c r="CN30" s="94">
        <f t="shared" si="115"/>
        <v>0</v>
      </c>
      <c r="CO30" s="94">
        <f t="shared" si="115"/>
        <v>0</v>
      </c>
      <c r="CP30" s="94">
        <f t="shared" si="115"/>
        <v>0</v>
      </c>
      <c r="CQ30" s="94">
        <f t="shared" si="115"/>
        <v>0</v>
      </c>
      <c r="CR30" s="94">
        <f t="shared" si="115"/>
        <v>0</v>
      </c>
      <c r="CS30" s="94">
        <f t="shared" si="115"/>
        <v>-798000.35000000009</v>
      </c>
      <c r="CU30" s="94">
        <f>SUM(CU31)</f>
        <v>2159941.9500000002</v>
      </c>
      <c r="CV30" s="94">
        <f t="shared" ref="CV30:DF30" si="116">SUM(CV31)</f>
        <v>1047698.4</v>
      </c>
      <c r="CW30" s="94">
        <f t="shared" si="116"/>
        <v>0</v>
      </c>
      <c r="CX30" s="94">
        <f t="shared" si="116"/>
        <v>3207640.35</v>
      </c>
      <c r="CY30" s="94">
        <f t="shared" si="116"/>
        <v>2409640</v>
      </c>
      <c r="CZ30" s="94">
        <f t="shared" si="116"/>
        <v>0</v>
      </c>
      <c r="DA30" s="94">
        <f t="shared" si="116"/>
        <v>0</v>
      </c>
      <c r="DB30" s="94">
        <f t="shared" si="116"/>
        <v>0</v>
      </c>
      <c r="DC30" s="94">
        <f t="shared" si="116"/>
        <v>0</v>
      </c>
      <c r="DD30" s="94">
        <f t="shared" si="116"/>
        <v>0</v>
      </c>
      <c r="DE30" s="94">
        <f t="shared" si="116"/>
        <v>0</v>
      </c>
      <c r="DF30" s="94">
        <f t="shared" si="116"/>
        <v>-798000.35000000009</v>
      </c>
      <c r="DH30" s="94">
        <f>SUM(DH31)</f>
        <v>1066112.8500000001</v>
      </c>
      <c r="DI30" s="94">
        <f t="shared" ref="DI30:DS30" si="117">SUM(DI31)</f>
        <v>1436498.4</v>
      </c>
      <c r="DJ30" s="94">
        <f t="shared" si="117"/>
        <v>0</v>
      </c>
      <c r="DK30" s="94">
        <f t="shared" si="117"/>
        <v>2502611.25</v>
      </c>
      <c r="DL30" s="94">
        <f t="shared" si="117"/>
        <v>1134611</v>
      </c>
      <c r="DM30" s="94">
        <f t="shared" si="117"/>
        <v>0</v>
      </c>
      <c r="DN30" s="94">
        <f t="shared" si="117"/>
        <v>0</v>
      </c>
      <c r="DO30" s="94">
        <f t="shared" si="117"/>
        <v>0</v>
      </c>
      <c r="DP30" s="94">
        <f t="shared" si="117"/>
        <v>0</v>
      </c>
      <c r="DQ30" s="94">
        <f t="shared" si="117"/>
        <v>0</v>
      </c>
      <c r="DR30" s="94">
        <f t="shared" si="117"/>
        <v>0</v>
      </c>
      <c r="DS30" s="94">
        <f t="shared" si="117"/>
        <v>-1368000.25</v>
      </c>
      <c r="DU30" s="94">
        <f>SUM(DU31)</f>
        <v>1066112.8500000001</v>
      </c>
      <c r="DV30" s="94">
        <f t="shared" ref="DV30:EF30" si="118">SUM(DV31)</f>
        <v>1544498.4</v>
      </c>
      <c r="DW30" s="94">
        <f t="shared" si="118"/>
        <v>0</v>
      </c>
      <c r="DX30" s="94">
        <f t="shared" si="118"/>
        <v>2610611.25</v>
      </c>
      <c r="DY30" s="94">
        <f t="shared" si="118"/>
        <v>1134611</v>
      </c>
      <c r="DZ30" s="94">
        <f t="shared" si="118"/>
        <v>0</v>
      </c>
      <c r="EA30" s="94">
        <f t="shared" si="118"/>
        <v>0</v>
      </c>
      <c r="EB30" s="94">
        <f t="shared" si="118"/>
        <v>0</v>
      </c>
      <c r="EC30" s="94">
        <f t="shared" si="118"/>
        <v>0</v>
      </c>
      <c r="ED30" s="94">
        <f t="shared" si="118"/>
        <v>0</v>
      </c>
      <c r="EE30" s="94">
        <f t="shared" si="118"/>
        <v>0</v>
      </c>
      <c r="EF30" s="94">
        <f t="shared" si="118"/>
        <v>-1476000.25</v>
      </c>
      <c r="EH30" s="94">
        <f t="shared" ref="EH30:ES30" si="119">SUM(EH31)</f>
        <v>11667432.6</v>
      </c>
      <c r="EI30" s="94">
        <f t="shared" si="119"/>
        <v>8445710.4000000004</v>
      </c>
      <c r="EJ30" s="94">
        <f t="shared" si="119"/>
        <v>0</v>
      </c>
      <c r="EK30" s="94">
        <f t="shared" si="119"/>
        <v>20113143</v>
      </c>
      <c r="EL30" s="94">
        <f t="shared" si="119"/>
        <v>12509729</v>
      </c>
      <c r="EM30" s="94">
        <f t="shared" si="119"/>
        <v>0</v>
      </c>
      <c r="EN30" s="94">
        <f t="shared" si="119"/>
        <v>0</v>
      </c>
      <c r="EO30" s="94">
        <f t="shared" si="119"/>
        <v>0</v>
      </c>
      <c r="EP30" s="94">
        <f t="shared" si="119"/>
        <v>0</v>
      </c>
      <c r="EQ30" s="94">
        <f t="shared" si="119"/>
        <v>0</v>
      </c>
      <c r="ER30" s="94">
        <f t="shared" si="119"/>
        <v>0</v>
      </c>
      <c r="ES30" s="94">
        <f t="shared" si="119"/>
        <v>-7603414</v>
      </c>
      <c r="EU30" s="194">
        <f t="shared" si="23"/>
        <v>0</v>
      </c>
      <c r="EW30" s="194">
        <f t="shared" si="24"/>
        <v>-7603414</v>
      </c>
      <c r="EX30" s="194">
        <f t="shared" si="21"/>
        <v>0</v>
      </c>
    </row>
    <row r="31" spans="1:154" ht="38.25" x14ac:dyDescent="0.25">
      <c r="B31" s="43"/>
      <c r="C31" s="100"/>
      <c r="D31" s="193" t="str">
        <f>'Incremental_Cost Year 1'!D99</f>
        <v xml:space="preserve">01110 Planifikimi, Menaxhimi dhe Administrimi </v>
      </c>
      <c r="E31" s="193" t="str">
        <f>'Incremental_Cost Year 1'!E99</f>
        <v>2.2.1 Rishikimi dhe vlerësimi i mekanizmave të konsultimit publik në lidhje me ofruesit e shërbimeve shëndetësore nëse këto kanë ofruar angazhim të rëndësishëm dhe me ndikim tek palët e interesuara</v>
      </c>
      <c r="F31" s="96">
        <f>'Incremental_Cost Year 1'!F99</f>
        <v>2022</v>
      </c>
      <c r="G31" s="96">
        <f>'Incremental_Cost Year 1'!G99</f>
        <v>2030</v>
      </c>
      <c r="H31" s="52">
        <f>'Incremental_Cost Year 1'!AQ99</f>
        <v>0</v>
      </c>
      <c r="I31" s="92">
        <f>'Incremental_Cost Year 1'!AR99</f>
        <v>0</v>
      </c>
      <c r="J31" s="92">
        <f>'Incremental_Cost Year 1'!AS99</f>
        <v>0</v>
      </c>
      <c r="K31" s="92">
        <f>'Incremental_Cost Year 1'!AT99</f>
        <v>0</v>
      </c>
      <c r="L31" s="92">
        <f>'Incremental_Cost Year 1'!AU99</f>
        <v>0</v>
      </c>
      <c r="M31" s="92">
        <f>'Incremental_Cost Year 1'!AV99</f>
        <v>0</v>
      </c>
      <c r="N31" s="92">
        <f>'Incremental_Cost Year 1'!AW99</f>
        <v>0</v>
      </c>
      <c r="O31" s="92">
        <f>'Incremental_Cost Year 1'!AX99</f>
        <v>0</v>
      </c>
      <c r="P31" s="92">
        <f>'Incremental_Cost Year 1'!AY99</f>
        <v>0</v>
      </c>
      <c r="Q31" s="92">
        <f>'Incremental_Cost Year 1'!AZ99</f>
        <v>0</v>
      </c>
      <c r="R31" s="92">
        <f>'Incremental_Cost Year 1'!BA99</f>
        <v>0</v>
      </c>
      <c r="S31" s="92">
        <f>'Incremental_Cost Year 1'!BB99</f>
        <v>0</v>
      </c>
      <c r="U31" s="92">
        <f>'Incremental_Cost Year 2'!AQ99</f>
        <v>647918.4</v>
      </c>
      <c r="V31" s="92">
        <f>'Incremental_Cost Year 2'!AR99</f>
        <v>1222800</v>
      </c>
      <c r="W31" s="92">
        <f>'Incremental_Cost Year 2'!AS99</f>
        <v>0</v>
      </c>
      <c r="X31" s="92">
        <f>'Incremental_Cost Year 2'!AT99</f>
        <v>1870718.4</v>
      </c>
      <c r="Y31" s="92">
        <f>'Incremental_Cost Year 2'!AU99</f>
        <v>93307</v>
      </c>
      <c r="Z31" s="92">
        <f>'Incremental_Cost Year 2'!AV99</f>
        <v>0</v>
      </c>
      <c r="AA31" s="92">
        <f>'Incremental_Cost Year 2'!AW99</f>
        <v>0</v>
      </c>
      <c r="AB31" s="92">
        <f>'Incremental_Cost Year 2'!AX99</f>
        <v>0</v>
      </c>
      <c r="AC31" s="92">
        <f>'Incremental_Cost Year 2'!AY99</f>
        <v>0</v>
      </c>
      <c r="AD31" s="92">
        <f>'Incremental_Cost Year 2'!AZ99</f>
        <v>0</v>
      </c>
      <c r="AE31" s="92">
        <f>'Incremental_Cost Year 2'!BA99</f>
        <v>0</v>
      </c>
      <c r="AF31" s="92">
        <f>'Incremental_Cost Year 2'!BB99</f>
        <v>-1777411.4</v>
      </c>
      <c r="AH31" s="92">
        <f>'Incremental_Cost Year 3'!AQ99</f>
        <v>123760.34999999999</v>
      </c>
      <c r="AI31" s="92">
        <f>'Incremental_Cost Year 3'!AR99</f>
        <v>1186800</v>
      </c>
      <c r="AJ31" s="92">
        <f>'Incremental_Cost Year 3'!AS99</f>
        <v>0</v>
      </c>
      <c r="AK31" s="92">
        <f>'Incremental_Cost Year 3'!AT99</f>
        <v>1310560.3499999999</v>
      </c>
      <c r="AL31" s="92">
        <f>'Incremental_Cost Year 3'!AU99</f>
        <v>170560</v>
      </c>
      <c r="AM31" s="92">
        <f>'Incremental_Cost Year 3'!AV99</f>
        <v>0</v>
      </c>
      <c r="AN31" s="92">
        <f>'Incremental_Cost Year 3'!AW99</f>
        <v>0</v>
      </c>
      <c r="AO31" s="92">
        <f>'Incremental_Cost Year 3'!AX99</f>
        <v>0</v>
      </c>
      <c r="AP31" s="92">
        <f>'Incremental_Cost Year 3'!AY99</f>
        <v>0</v>
      </c>
      <c r="AQ31" s="92">
        <f>'Incremental_Cost Year 3'!AZ99</f>
        <v>0</v>
      </c>
      <c r="AR31" s="92">
        <f>'Incremental_Cost Year 3'!BA99</f>
        <v>0</v>
      </c>
      <c r="AS31" s="92">
        <f>'Incremental_Cost Year 3'!BB99</f>
        <v>-1140000.3499999999</v>
      </c>
      <c r="AU31" s="92">
        <f>'Incremental_Cost Year 4'!AQ99</f>
        <v>123760.34999999999</v>
      </c>
      <c r="AV31" s="92">
        <f>'Incremental_Cost Year 4'!AR99</f>
        <v>262800</v>
      </c>
      <c r="AW31" s="92">
        <f>'Incremental_Cost Year 4'!AS99</f>
        <v>0</v>
      </c>
      <c r="AX31" s="92">
        <f>'Incremental_Cost Year 4'!AT99</f>
        <v>386560.35000000003</v>
      </c>
      <c r="AY31" s="92">
        <f>'Incremental_Cost Year 4'!AU99</f>
        <v>170560</v>
      </c>
      <c r="AZ31" s="92">
        <f>'Incremental_Cost Year 4'!AV99</f>
        <v>0</v>
      </c>
      <c r="BA31" s="92">
        <f>'Incremental_Cost Year 4'!AW99</f>
        <v>0</v>
      </c>
      <c r="BB31" s="92">
        <f>'Incremental_Cost Year 4'!AX99</f>
        <v>0</v>
      </c>
      <c r="BC31" s="92">
        <f>'Incremental_Cost Year 4'!AY99</f>
        <v>0</v>
      </c>
      <c r="BD31" s="92">
        <f>'Incremental_Cost Year 4'!AZ99</f>
        <v>0</v>
      </c>
      <c r="BE31" s="92">
        <f>'Incremental_Cost Year 4'!BA99</f>
        <v>0</v>
      </c>
      <c r="BF31" s="92">
        <f>'Incremental_Cost Year 4'!BB99</f>
        <v>-216000.35000000003</v>
      </c>
      <c r="BH31" s="92">
        <f>'Incremental_Cost Year 5'!AQ99</f>
        <v>2159941.9500000002</v>
      </c>
      <c r="BI31" s="92">
        <f>'Incremental_Cost Year 5'!AR99</f>
        <v>356738.4</v>
      </c>
      <c r="BJ31" s="92">
        <f>'Incremental_Cost Year 5'!AS99</f>
        <v>0</v>
      </c>
      <c r="BK31" s="92">
        <f>'Incremental_Cost Year 5'!AT99</f>
        <v>2516680.35</v>
      </c>
      <c r="BL31" s="92">
        <f>'Incremental_Cost Year 5'!AU99</f>
        <v>2486680</v>
      </c>
      <c r="BM31" s="92">
        <f>'Incremental_Cost Year 5'!AV99</f>
        <v>0</v>
      </c>
      <c r="BN31" s="92">
        <f>'Incremental_Cost Year 5'!AW99</f>
        <v>0</v>
      </c>
      <c r="BO31" s="92">
        <f>'Incremental_Cost Year 5'!AX99</f>
        <v>0</v>
      </c>
      <c r="BP31" s="92">
        <f>'Incremental_Cost Year 5'!AY99</f>
        <v>0</v>
      </c>
      <c r="BQ31" s="92">
        <f>'Incremental_Cost Year 5'!AZ99</f>
        <v>0</v>
      </c>
      <c r="BR31" s="92">
        <f>'Incremental_Cost Year 5'!BA99</f>
        <v>0</v>
      </c>
      <c r="BS31" s="92">
        <f>'Incremental_Cost Year 5'!BB99</f>
        <v>-30000.350000000093</v>
      </c>
      <c r="BU31" s="92">
        <f>'Incremental_Cost Year 6'!AQ99</f>
        <v>2159941.9500000002</v>
      </c>
      <c r="BV31" s="92">
        <f>'Incremental_Cost Year 6'!AR99</f>
        <v>362738.4</v>
      </c>
      <c r="BW31" s="92">
        <f>'Incremental_Cost Year 6'!AS99</f>
        <v>0</v>
      </c>
      <c r="BX31" s="92">
        <f>'Incremental_Cost Year 6'!AT99</f>
        <v>2522680.35</v>
      </c>
      <c r="BY31" s="92">
        <f>'Incremental_Cost Year 6'!AU99</f>
        <v>2522680</v>
      </c>
      <c r="BZ31" s="92">
        <f>'Incremental_Cost Year 6'!AV99</f>
        <v>0</v>
      </c>
      <c r="CA31" s="92">
        <f>'Incremental_Cost Year 6'!AW99</f>
        <v>0</v>
      </c>
      <c r="CB31" s="92">
        <f>'Incremental_Cost Year 6'!AX99</f>
        <v>0</v>
      </c>
      <c r="CC31" s="92">
        <f>'Incremental_Cost Year 6'!AY99</f>
        <v>0</v>
      </c>
      <c r="CD31" s="92">
        <f>'Incremental_Cost Year 6'!AZ99</f>
        <v>0</v>
      </c>
      <c r="CE31" s="92">
        <f>'Incremental_Cost Year 6'!BA99</f>
        <v>0</v>
      </c>
      <c r="CF31" s="92">
        <f>'Incremental_Cost Year 6'!BB99</f>
        <v>-0.35000000009313226</v>
      </c>
      <c r="CH31" s="92">
        <f>'Incremental_Cost Year 7'!AQ99</f>
        <v>2159941.9500000002</v>
      </c>
      <c r="CI31" s="92">
        <f>'Incremental_Cost Year 7'!AR99</f>
        <v>1025138.4</v>
      </c>
      <c r="CJ31" s="92">
        <f>'Incremental_Cost Year 7'!AS99</f>
        <v>0</v>
      </c>
      <c r="CK31" s="92">
        <f>'Incremental_Cost Year 7'!AT99</f>
        <v>3185080.35</v>
      </c>
      <c r="CL31" s="92">
        <f>'Incremental_Cost Year 7'!AU99</f>
        <v>2387080</v>
      </c>
      <c r="CM31" s="92">
        <f>'Incremental_Cost Year 7'!AV99</f>
        <v>0</v>
      </c>
      <c r="CN31" s="92">
        <f>'Incremental_Cost Year 7'!AW99</f>
        <v>0</v>
      </c>
      <c r="CO31" s="92">
        <f>'Incremental_Cost Year 7'!AX99</f>
        <v>0</v>
      </c>
      <c r="CP31" s="92">
        <f>'Incremental_Cost Year 7'!AY99</f>
        <v>0</v>
      </c>
      <c r="CQ31" s="92">
        <f>'Incremental_Cost Year 7'!AZ99</f>
        <v>0</v>
      </c>
      <c r="CR31" s="92">
        <f>'Incremental_Cost Year 7'!BA99</f>
        <v>0</v>
      </c>
      <c r="CS31" s="92">
        <f>'Incremental_Cost Year 7'!BB99</f>
        <v>-798000.35000000009</v>
      </c>
      <c r="CU31" s="92">
        <f>'Incremental_Cost Year 8'!AQ99</f>
        <v>2159941.9500000002</v>
      </c>
      <c r="CV31" s="92">
        <f>'Incremental_Cost Year 8'!AR99</f>
        <v>1047698.4</v>
      </c>
      <c r="CW31" s="92">
        <f>'Incremental_Cost Year 8'!AS99</f>
        <v>0</v>
      </c>
      <c r="CX31" s="92">
        <f>'Incremental_Cost Year 8'!AT99</f>
        <v>3207640.35</v>
      </c>
      <c r="CY31" s="92">
        <f>'Incremental_Cost Year 8'!AU99</f>
        <v>2409640</v>
      </c>
      <c r="CZ31" s="92">
        <f>'Incremental_Cost Year 8'!AV99</f>
        <v>0</v>
      </c>
      <c r="DA31" s="92">
        <f>'Incremental_Cost Year 8'!AW99</f>
        <v>0</v>
      </c>
      <c r="DB31" s="92">
        <f>'Incremental_Cost Year 8'!AX99</f>
        <v>0</v>
      </c>
      <c r="DC31" s="92">
        <f>'Incremental_Cost Year 8'!AY99</f>
        <v>0</v>
      </c>
      <c r="DD31" s="92">
        <f>'Incremental_Cost Year 8'!AZ99</f>
        <v>0</v>
      </c>
      <c r="DE31" s="92">
        <f>'Incremental_Cost Year 8'!BA99</f>
        <v>0</v>
      </c>
      <c r="DF31" s="92">
        <f>'Incremental_Cost Year 8'!BB99</f>
        <v>-798000.35000000009</v>
      </c>
      <c r="DH31" s="92">
        <f>'Incremental_Cost Year 9'!AQ99</f>
        <v>1066112.8500000001</v>
      </c>
      <c r="DI31" s="92">
        <f>'Incremental_Cost Year 9'!AR99</f>
        <v>1436498.4</v>
      </c>
      <c r="DJ31" s="92">
        <f>'Incremental_Cost Year 9'!AS99</f>
        <v>0</v>
      </c>
      <c r="DK31" s="92">
        <f>'Incremental_Cost Year 9'!AT99</f>
        <v>2502611.25</v>
      </c>
      <c r="DL31" s="92">
        <f>'Incremental_Cost Year 9'!AU99</f>
        <v>1134611</v>
      </c>
      <c r="DM31" s="92">
        <f>'Incremental_Cost Year 9'!AV99</f>
        <v>0</v>
      </c>
      <c r="DN31" s="92">
        <f>'Incremental_Cost Year 9'!AW99</f>
        <v>0</v>
      </c>
      <c r="DO31" s="92">
        <f>'Incremental_Cost Year 9'!AX99</f>
        <v>0</v>
      </c>
      <c r="DP31" s="92">
        <f>'Incremental_Cost Year 9'!AY99</f>
        <v>0</v>
      </c>
      <c r="DQ31" s="92">
        <f>'Incremental_Cost Year 9'!AZ99</f>
        <v>0</v>
      </c>
      <c r="DR31" s="92">
        <f>'Incremental_Cost Year 9'!BA99</f>
        <v>0</v>
      </c>
      <c r="DS31" s="92">
        <f>'Incremental_Cost Year 9'!BB99</f>
        <v>-1368000.25</v>
      </c>
      <c r="DU31" s="92">
        <f>'Incremental_Cost Year 10'!AQ99</f>
        <v>1066112.8500000001</v>
      </c>
      <c r="DV31" s="92">
        <f>'Incremental_Cost Year 10'!AR99</f>
        <v>1544498.4</v>
      </c>
      <c r="DW31" s="92">
        <f>'Incremental_Cost Year 10'!AS99</f>
        <v>0</v>
      </c>
      <c r="DX31" s="92">
        <f>'Incremental_Cost Year 10'!AT99</f>
        <v>2610611.25</v>
      </c>
      <c r="DY31" s="92">
        <f>'Incremental_Cost Year 10'!AU99</f>
        <v>1134611</v>
      </c>
      <c r="DZ31" s="92">
        <f>'Incremental_Cost Year 10'!AV99</f>
        <v>0</v>
      </c>
      <c r="EA31" s="92">
        <f>'Incremental_Cost Year 10'!AW99</f>
        <v>0</v>
      </c>
      <c r="EB31" s="92">
        <f>'Incremental_Cost Year 10'!AX99</f>
        <v>0</v>
      </c>
      <c r="EC31" s="92">
        <f>'Incremental_Cost Year 10'!AY99</f>
        <v>0</v>
      </c>
      <c r="ED31" s="92">
        <f>'Incremental_Cost Year 10'!AZ99</f>
        <v>0</v>
      </c>
      <c r="EE31" s="92">
        <f>'Incremental_Cost Year 10'!BA99</f>
        <v>0</v>
      </c>
      <c r="EF31" s="92">
        <f>'Incremental_Cost Year 10'!BB99</f>
        <v>-1476000.25</v>
      </c>
      <c r="EH31" s="52">
        <f>H31+U31+AH31+AU31+BH31+BU31+CH31+CU31+DH31+DU31</f>
        <v>11667432.6</v>
      </c>
      <c r="EI31" s="52">
        <f t="shared" ref="EI31:ES31" si="120">I31+V31+AI31+AV31+BI31+BV31+CI31+CV31+DI31+DV31</f>
        <v>8445710.4000000004</v>
      </c>
      <c r="EJ31" s="52">
        <f t="shared" si="120"/>
        <v>0</v>
      </c>
      <c r="EK31" s="52">
        <f t="shared" si="120"/>
        <v>20113143</v>
      </c>
      <c r="EL31" s="52">
        <f t="shared" si="120"/>
        <v>12509729</v>
      </c>
      <c r="EM31" s="52">
        <f t="shared" si="120"/>
        <v>0</v>
      </c>
      <c r="EN31" s="52">
        <f t="shared" si="120"/>
        <v>0</v>
      </c>
      <c r="EO31" s="52">
        <f t="shared" si="120"/>
        <v>0</v>
      </c>
      <c r="EP31" s="52">
        <f t="shared" si="120"/>
        <v>0</v>
      </c>
      <c r="EQ31" s="52">
        <f t="shared" si="120"/>
        <v>0</v>
      </c>
      <c r="ER31" s="52">
        <f t="shared" si="120"/>
        <v>0</v>
      </c>
      <c r="ES31" s="52">
        <f t="shared" si="120"/>
        <v>-7603414</v>
      </c>
      <c r="EU31" s="194">
        <f t="shared" si="23"/>
        <v>0</v>
      </c>
      <c r="EW31" s="194">
        <f t="shared" si="24"/>
        <v>-7603414</v>
      </c>
      <c r="EX31" s="194">
        <f t="shared" si="21"/>
        <v>0</v>
      </c>
    </row>
    <row r="32" spans="1:154" x14ac:dyDescent="0.25">
      <c r="A32" s="42"/>
      <c r="B32" s="48"/>
      <c r="C32" s="421" t="str">
        <f>'Incremental_Cost Year 1'!C100:E100</f>
        <v>2.3 Objektivi Specifik :Mekanizma dhe shërbime të specializuara dhe të integruara për adresimin e formave të rënda të dhunës, përfshirë abuzimin seksual dhe abuzimin dhe shfrytëzimin online</v>
      </c>
      <c r="D32" s="421"/>
      <c r="E32" s="422"/>
      <c r="F32" s="67"/>
      <c r="G32" s="67"/>
      <c r="H32" s="54">
        <f>SUM(H33)</f>
        <v>0</v>
      </c>
      <c r="I32" s="94">
        <f t="shared" ref="I32:S32" si="121">SUM(I33)</f>
        <v>0</v>
      </c>
      <c r="J32" s="94">
        <f t="shared" si="121"/>
        <v>0</v>
      </c>
      <c r="K32" s="94">
        <f t="shared" si="121"/>
        <v>0</v>
      </c>
      <c r="L32" s="94">
        <f t="shared" si="121"/>
        <v>0</v>
      </c>
      <c r="M32" s="94">
        <f t="shared" si="121"/>
        <v>0</v>
      </c>
      <c r="N32" s="94">
        <f t="shared" si="121"/>
        <v>0</v>
      </c>
      <c r="O32" s="94">
        <f t="shared" si="121"/>
        <v>0</v>
      </c>
      <c r="P32" s="94">
        <f t="shared" si="121"/>
        <v>0</v>
      </c>
      <c r="Q32" s="94">
        <f t="shared" si="121"/>
        <v>0</v>
      </c>
      <c r="R32" s="94">
        <f t="shared" si="121"/>
        <v>0</v>
      </c>
      <c r="S32" s="94">
        <f t="shared" si="121"/>
        <v>0</v>
      </c>
      <c r="U32" s="94">
        <f>SUM(U33)</f>
        <v>0</v>
      </c>
      <c r="V32" s="94">
        <f t="shared" ref="V32:AF32" si="122">SUM(V33)</f>
        <v>0</v>
      </c>
      <c r="W32" s="94">
        <f t="shared" si="122"/>
        <v>0</v>
      </c>
      <c r="X32" s="94">
        <f t="shared" si="122"/>
        <v>0</v>
      </c>
      <c r="Y32" s="94">
        <f t="shared" si="122"/>
        <v>0</v>
      </c>
      <c r="Z32" s="94">
        <f t="shared" si="122"/>
        <v>0</v>
      </c>
      <c r="AA32" s="94">
        <f t="shared" si="122"/>
        <v>0</v>
      </c>
      <c r="AB32" s="94">
        <f t="shared" si="122"/>
        <v>0</v>
      </c>
      <c r="AC32" s="94">
        <f t="shared" si="122"/>
        <v>0</v>
      </c>
      <c r="AD32" s="94">
        <f t="shared" si="122"/>
        <v>0</v>
      </c>
      <c r="AE32" s="94">
        <f t="shared" si="122"/>
        <v>0</v>
      </c>
      <c r="AF32" s="94">
        <f t="shared" si="122"/>
        <v>0</v>
      </c>
      <c r="AH32" s="94">
        <f>SUM(AH33)</f>
        <v>2940840</v>
      </c>
      <c r="AI32" s="94">
        <f t="shared" ref="AI32:AS32" si="123">SUM(AI33)</f>
        <v>431310</v>
      </c>
      <c r="AJ32" s="94">
        <f t="shared" si="123"/>
        <v>0</v>
      </c>
      <c r="AK32" s="94">
        <f t="shared" si="123"/>
        <v>3372150</v>
      </c>
      <c r="AL32" s="94">
        <f t="shared" si="123"/>
        <v>3372149</v>
      </c>
      <c r="AM32" s="94">
        <f t="shared" si="123"/>
        <v>0</v>
      </c>
      <c r="AN32" s="94">
        <f t="shared" si="123"/>
        <v>0</v>
      </c>
      <c r="AO32" s="94">
        <f t="shared" si="123"/>
        <v>0</v>
      </c>
      <c r="AP32" s="94">
        <f t="shared" si="123"/>
        <v>0</v>
      </c>
      <c r="AQ32" s="94">
        <f t="shared" si="123"/>
        <v>0</v>
      </c>
      <c r="AR32" s="94">
        <f t="shared" si="123"/>
        <v>0</v>
      </c>
      <c r="AS32" s="94">
        <f t="shared" si="123"/>
        <v>-0.99999999982537702</v>
      </c>
      <c r="AU32" s="94">
        <f>SUM(AU33)</f>
        <v>3999542.4</v>
      </c>
      <c r="AV32" s="94">
        <f t="shared" ref="AV32:BF32" si="124">SUM(AV33)</f>
        <v>575334</v>
      </c>
      <c r="AW32" s="94">
        <f t="shared" si="124"/>
        <v>0</v>
      </c>
      <c r="AX32" s="94">
        <f t="shared" si="124"/>
        <v>4574876.4000000004</v>
      </c>
      <c r="AY32" s="94">
        <f t="shared" si="124"/>
        <v>4574875</v>
      </c>
      <c r="AZ32" s="94">
        <f t="shared" si="124"/>
        <v>0</v>
      </c>
      <c r="BA32" s="94">
        <f t="shared" si="124"/>
        <v>0</v>
      </c>
      <c r="BB32" s="94">
        <f t="shared" si="124"/>
        <v>0</v>
      </c>
      <c r="BC32" s="94">
        <f t="shared" si="124"/>
        <v>0</v>
      </c>
      <c r="BD32" s="94">
        <f t="shared" si="124"/>
        <v>0</v>
      </c>
      <c r="BE32" s="94">
        <f t="shared" si="124"/>
        <v>0</v>
      </c>
      <c r="BF32" s="94">
        <f t="shared" si="124"/>
        <v>-1.3999999997322448</v>
      </c>
      <c r="BH32" s="94">
        <f>SUM(BH33)</f>
        <v>2940840</v>
      </c>
      <c r="BI32" s="94">
        <f t="shared" ref="BI32:BS32" si="125">SUM(BI33)</f>
        <v>431334</v>
      </c>
      <c r="BJ32" s="94">
        <f t="shared" si="125"/>
        <v>0</v>
      </c>
      <c r="BK32" s="94">
        <f t="shared" si="125"/>
        <v>3372174</v>
      </c>
      <c r="BL32" s="94">
        <f t="shared" si="125"/>
        <v>3372173</v>
      </c>
      <c r="BM32" s="94">
        <f t="shared" si="125"/>
        <v>0</v>
      </c>
      <c r="BN32" s="94">
        <f t="shared" si="125"/>
        <v>0</v>
      </c>
      <c r="BO32" s="94">
        <f t="shared" si="125"/>
        <v>0</v>
      </c>
      <c r="BP32" s="94">
        <f t="shared" si="125"/>
        <v>0</v>
      </c>
      <c r="BQ32" s="94">
        <f t="shared" si="125"/>
        <v>0</v>
      </c>
      <c r="BR32" s="94">
        <f t="shared" si="125"/>
        <v>0</v>
      </c>
      <c r="BS32" s="94">
        <f t="shared" si="125"/>
        <v>-0.99999999982537702</v>
      </c>
      <c r="BU32" s="94">
        <f>SUM(BU33)</f>
        <v>2940840</v>
      </c>
      <c r="BV32" s="94">
        <f t="shared" ref="BV32:CF32" si="126">SUM(BV33)</f>
        <v>431310</v>
      </c>
      <c r="BW32" s="94">
        <f t="shared" si="126"/>
        <v>0</v>
      </c>
      <c r="BX32" s="94">
        <f t="shared" si="126"/>
        <v>3372150</v>
      </c>
      <c r="BY32" s="94">
        <f t="shared" si="126"/>
        <v>3372149</v>
      </c>
      <c r="BZ32" s="94">
        <f t="shared" si="126"/>
        <v>0</v>
      </c>
      <c r="CA32" s="94">
        <f t="shared" si="126"/>
        <v>0</v>
      </c>
      <c r="CB32" s="94">
        <f t="shared" si="126"/>
        <v>0</v>
      </c>
      <c r="CC32" s="94">
        <f t="shared" si="126"/>
        <v>0</v>
      </c>
      <c r="CD32" s="94">
        <f t="shared" si="126"/>
        <v>0</v>
      </c>
      <c r="CE32" s="94">
        <f t="shared" si="126"/>
        <v>0</v>
      </c>
      <c r="CF32" s="94">
        <f t="shared" si="126"/>
        <v>-0.99999999982537702</v>
      </c>
      <c r="CH32" s="94">
        <f>SUM(CH33)</f>
        <v>2940840</v>
      </c>
      <c r="CI32" s="94">
        <f t="shared" ref="CI32:CS32" si="127">SUM(CI33)</f>
        <v>431310</v>
      </c>
      <c r="CJ32" s="94">
        <f t="shared" si="127"/>
        <v>0</v>
      </c>
      <c r="CK32" s="94">
        <f t="shared" si="127"/>
        <v>3372150</v>
      </c>
      <c r="CL32" s="94">
        <f t="shared" si="127"/>
        <v>3372149</v>
      </c>
      <c r="CM32" s="94">
        <f t="shared" si="127"/>
        <v>0</v>
      </c>
      <c r="CN32" s="94">
        <f t="shared" si="127"/>
        <v>0</v>
      </c>
      <c r="CO32" s="94">
        <f t="shared" si="127"/>
        <v>0</v>
      </c>
      <c r="CP32" s="94">
        <f t="shared" si="127"/>
        <v>0</v>
      </c>
      <c r="CQ32" s="94">
        <f t="shared" si="127"/>
        <v>0</v>
      </c>
      <c r="CR32" s="94">
        <f t="shared" si="127"/>
        <v>0</v>
      </c>
      <c r="CS32" s="94">
        <f t="shared" si="127"/>
        <v>-0.99999999982537702</v>
      </c>
      <c r="CU32" s="94">
        <f>SUM(CU33)</f>
        <v>2940840</v>
      </c>
      <c r="CV32" s="94">
        <f t="shared" ref="CV32:DF32" si="128">SUM(CV33)</f>
        <v>431310</v>
      </c>
      <c r="CW32" s="94">
        <f t="shared" si="128"/>
        <v>0</v>
      </c>
      <c r="CX32" s="94">
        <f t="shared" si="128"/>
        <v>3372150</v>
      </c>
      <c r="CY32" s="94">
        <f t="shared" si="128"/>
        <v>3372149</v>
      </c>
      <c r="CZ32" s="94">
        <f t="shared" si="128"/>
        <v>0</v>
      </c>
      <c r="DA32" s="94">
        <f t="shared" si="128"/>
        <v>0</v>
      </c>
      <c r="DB32" s="94">
        <f t="shared" si="128"/>
        <v>0</v>
      </c>
      <c r="DC32" s="94">
        <f t="shared" si="128"/>
        <v>0</v>
      </c>
      <c r="DD32" s="94">
        <f t="shared" si="128"/>
        <v>0</v>
      </c>
      <c r="DE32" s="94">
        <f t="shared" si="128"/>
        <v>0</v>
      </c>
      <c r="DF32" s="94">
        <f t="shared" si="128"/>
        <v>-0.99999999982537702</v>
      </c>
      <c r="DH32" s="94">
        <f>SUM(DH33)</f>
        <v>2940840</v>
      </c>
      <c r="DI32" s="94">
        <f t="shared" ref="DI32:DS32" si="129">SUM(DI33)</f>
        <v>431310</v>
      </c>
      <c r="DJ32" s="94">
        <f t="shared" si="129"/>
        <v>0</v>
      </c>
      <c r="DK32" s="94">
        <f t="shared" si="129"/>
        <v>3372150</v>
      </c>
      <c r="DL32" s="94">
        <f t="shared" si="129"/>
        <v>3372149</v>
      </c>
      <c r="DM32" s="94">
        <f t="shared" si="129"/>
        <v>0</v>
      </c>
      <c r="DN32" s="94">
        <f t="shared" si="129"/>
        <v>0</v>
      </c>
      <c r="DO32" s="94">
        <f t="shared" si="129"/>
        <v>0</v>
      </c>
      <c r="DP32" s="94">
        <f t="shared" si="129"/>
        <v>0</v>
      </c>
      <c r="DQ32" s="94">
        <f t="shared" si="129"/>
        <v>0</v>
      </c>
      <c r="DR32" s="94">
        <f t="shared" si="129"/>
        <v>0</v>
      </c>
      <c r="DS32" s="94">
        <f t="shared" si="129"/>
        <v>-0.99999999982537702</v>
      </c>
      <c r="DU32" s="94">
        <f>SUM(DU33)</f>
        <v>2940840</v>
      </c>
      <c r="DV32" s="94">
        <f t="shared" ref="DV32:EF32" si="130">SUM(DV33)</f>
        <v>431310</v>
      </c>
      <c r="DW32" s="94">
        <f t="shared" si="130"/>
        <v>0</v>
      </c>
      <c r="DX32" s="94">
        <f t="shared" si="130"/>
        <v>3372150</v>
      </c>
      <c r="DY32" s="94">
        <f t="shared" si="130"/>
        <v>3372149</v>
      </c>
      <c r="DZ32" s="94">
        <f t="shared" si="130"/>
        <v>0</v>
      </c>
      <c r="EA32" s="94">
        <f t="shared" si="130"/>
        <v>0</v>
      </c>
      <c r="EB32" s="94">
        <f t="shared" si="130"/>
        <v>0</v>
      </c>
      <c r="EC32" s="94">
        <f t="shared" si="130"/>
        <v>0</v>
      </c>
      <c r="ED32" s="94">
        <f t="shared" si="130"/>
        <v>0</v>
      </c>
      <c r="EE32" s="94">
        <f t="shared" si="130"/>
        <v>0</v>
      </c>
      <c r="EF32" s="94">
        <f t="shared" si="130"/>
        <v>-0.99999999982537702</v>
      </c>
      <c r="EH32" s="94">
        <f t="shared" ref="EH32:ES32" si="131">SUM(EH33)</f>
        <v>24585422.399999999</v>
      </c>
      <c r="EI32" s="94">
        <f t="shared" si="131"/>
        <v>3594528</v>
      </c>
      <c r="EJ32" s="94">
        <f t="shared" si="131"/>
        <v>0</v>
      </c>
      <c r="EK32" s="94">
        <f t="shared" si="131"/>
        <v>28179950.399999999</v>
      </c>
      <c r="EL32" s="94">
        <f t="shared" si="131"/>
        <v>28179942</v>
      </c>
      <c r="EM32" s="94">
        <f t="shared" si="131"/>
        <v>0</v>
      </c>
      <c r="EN32" s="94">
        <f t="shared" si="131"/>
        <v>0</v>
      </c>
      <c r="EO32" s="94">
        <f t="shared" si="131"/>
        <v>0</v>
      </c>
      <c r="EP32" s="94">
        <f t="shared" si="131"/>
        <v>0</v>
      </c>
      <c r="EQ32" s="94">
        <f t="shared" si="131"/>
        <v>0</v>
      </c>
      <c r="ER32" s="94">
        <f t="shared" si="131"/>
        <v>0</v>
      </c>
      <c r="ES32" s="94">
        <f t="shared" si="131"/>
        <v>-8.3999999985098839</v>
      </c>
      <c r="EU32" s="194">
        <f t="shared" si="23"/>
        <v>0</v>
      </c>
      <c r="EW32" s="194">
        <f t="shared" si="24"/>
        <v>-8.3999999985098839</v>
      </c>
      <c r="EX32" s="194">
        <f t="shared" si="21"/>
        <v>0</v>
      </c>
    </row>
    <row r="33" spans="1:154" ht="38.25" x14ac:dyDescent="0.25">
      <c r="B33" s="43"/>
      <c r="C33" s="68"/>
      <c r="D33" s="193" t="str">
        <f>'Incremental_Cost Year 1'!D105</f>
        <v xml:space="preserve">01110 Planifikimi, Menaxhimi dhe Administrimi </v>
      </c>
      <c r="E33" s="193" t="str">
        <f>'Incremental_Cost Year 1'!E105</f>
        <v xml:space="preserve">2.3.1. Vlerësimi dhe përditësimi i qeverisjes aktuale në sektorin e shëndetësisë </v>
      </c>
      <c r="F33" s="96">
        <f>'Incremental_Cost Year 1'!F105</f>
        <v>2023</v>
      </c>
      <c r="G33" s="96">
        <f>'Incremental_Cost Year 1'!G105</f>
        <v>2030</v>
      </c>
      <c r="H33" s="52">
        <f>'Incremental_Cost Year 1'!AQ105</f>
        <v>0</v>
      </c>
      <c r="I33" s="92">
        <f>'Incremental_Cost Year 1'!AR105</f>
        <v>0</v>
      </c>
      <c r="J33" s="92">
        <f>'Incremental_Cost Year 1'!AS105</f>
        <v>0</v>
      </c>
      <c r="K33" s="92">
        <f>'Incremental_Cost Year 1'!AT105</f>
        <v>0</v>
      </c>
      <c r="L33" s="92">
        <f>'Incremental_Cost Year 1'!AU105</f>
        <v>0</v>
      </c>
      <c r="M33" s="92">
        <f>'Incremental_Cost Year 1'!AV105</f>
        <v>0</v>
      </c>
      <c r="N33" s="92">
        <f>'Incremental_Cost Year 1'!AW105</f>
        <v>0</v>
      </c>
      <c r="O33" s="92">
        <f>'Incremental_Cost Year 1'!AX105</f>
        <v>0</v>
      </c>
      <c r="P33" s="92">
        <f>'Incremental_Cost Year 1'!AY105</f>
        <v>0</v>
      </c>
      <c r="Q33" s="92">
        <f>'Incremental_Cost Year 1'!AZ105</f>
        <v>0</v>
      </c>
      <c r="R33" s="92">
        <f>'Incremental_Cost Year 1'!BA105</f>
        <v>0</v>
      </c>
      <c r="S33" s="92">
        <f>'Incremental_Cost Year 1'!BB105</f>
        <v>0</v>
      </c>
      <c r="U33" s="92">
        <f>'Incremental_Cost Year 2'!AQ105</f>
        <v>0</v>
      </c>
      <c r="V33" s="92">
        <f>'Incremental_Cost Year 2'!AR105</f>
        <v>0</v>
      </c>
      <c r="W33" s="92">
        <f>'Incremental_Cost Year 2'!AS105</f>
        <v>0</v>
      </c>
      <c r="X33" s="92">
        <f>'Incremental_Cost Year 2'!AT105</f>
        <v>0</v>
      </c>
      <c r="Y33" s="92">
        <f>'Incremental_Cost Year 2'!AU105</f>
        <v>0</v>
      </c>
      <c r="Z33" s="92">
        <f>'Incremental_Cost Year 2'!AV105</f>
        <v>0</v>
      </c>
      <c r="AA33" s="92">
        <f>'Incremental_Cost Year 2'!AW105</f>
        <v>0</v>
      </c>
      <c r="AB33" s="92">
        <f>'Incremental_Cost Year 2'!AX105</f>
        <v>0</v>
      </c>
      <c r="AC33" s="92">
        <f>'Incremental_Cost Year 2'!AY105</f>
        <v>0</v>
      </c>
      <c r="AD33" s="92">
        <f>'Incremental_Cost Year 2'!AZ105</f>
        <v>0</v>
      </c>
      <c r="AE33" s="92">
        <f>'Incremental_Cost Year 2'!BA105</f>
        <v>0</v>
      </c>
      <c r="AF33" s="92">
        <f>'Incremental_Cost Year 2'!BB105</f>
        <v>0</v>
      </c>
      <c r="AH33" s="92">
        <f>'Incremental_Cost Year 3'!AQ105</f>
        <v>2940840</v>
      </c>
      <c r="AI33" s="92">
        <f>'Incremental_Cost Year 3'!AR105</f>
        <v>431310</v>
      </c>
      <c r="AJ33" s="92">
        <f>'Incremental_Cost Year 3'!AS105</f>
        <v>0</v>
      </c>
      <c r="AK33" s="92">
        <f>'Incremental_Cost Year 3'!AT105</f>
        <v>3372150</v>
      </c>
      <c r="AL33" s="92">
        <f>'Incremental_Cost Year 3'!AU105</f>
        <v>3372149</v>
      </c>
      <c r="AM33" s="92">
        <f>'Incremental_Cost Year 3'!AV105</f>
        <v>0</v>
      </c>
      <c r="AN33" s="92">
        <f>'Incremental_Cost Year 3'!AW105</f>
        <v>0</v>
      </c>
      <c r="AO33" s="92">
        <f>'Incremental_Cost Year 3'!AX105</f>
        <v>0</v>
      </c>
      <c r="AP33" s="92">
        <f>'Incremental_Cost Year 3'!AY105</f>
        <v>0</v>
      </c>
      <c r="AQ33" s="92">
        <f>'Incremental_Cost Year 3'!AZ105</f>
        <v>0</v>
      </c>
      <c r="AR33" s="92">
        <f>'Incremental_Cost Year 3'!BA105</f>
        <v>0</v>
      </c>
      <c r="AS33" s="92">
        <f>'Incremental_Cost Year 3'!BB105</f>
        <v>-0.99999999982537702</v>
      </c>
      <c r="AU33" s="92">
        <f>'Incremental_Cost Year 4'!AQ105</f>
        <v>3999542.4</v>
      </c>
      <c r="AV33" s="92">
        <f>'Incremental_Cost Year 4'!AR105</f>
        <v>575334</v>
      </c>
      <c r="AW33" s="92">
        <f>'Incremental_Cost Year 4'!AS105</f>
        <v>0</v>
      </c>
      <c r="AX33" s="92">
        <f>'Incremental_Cost Year 4'!AT105</f>
        <v>4574876.4000000004</v>
      </c>
      <c r="AY33" s="92">
        <f>'Incremental_Cost Year 4'!AU105</f>
        <v>4574875</v>
      </c>
      <c r="AZ33" s="92">
        <f>'Incremental_Cost Year 4'!AV105</f>
        <v>0</v>
      </c>
      <c r="BA33" s="92">
        <f>'Incremental_Cost Year 4'!AW105</f>
        <v>0</v>
      </c>
      <c r="BB33" s="92">
        <f>'Incremental_Cost Year 4'!AX105</f>
        <v>0</v>
      </c>
      <c r="BC33" s="92">
        <f>'Incremental_Cost Year 4'!AY105</f>
        <v>0</v>
      </c>
      <c r="BD33" s="92">
        <f>'Incremental_Cost Year 4'!AZ105</f>
        <v>0</v>
      </c>
      <c r="BE33" s="92">
        <f>'Incremental_Cost Year 4'!BA105</f>
        <v>0</v>
      </c>
      <c r="BF33" s="92">
        <f>'Incremental_Cost Year 4'!BB105</f>
        <v>-1.3999999997322448</v>
      </c>
      <c r="BH33" s="92">
        <f>'Incremental_Cost Year 5'!AQ105</f>
        <v>2940840</v>
      </c>
      <c r="BI33" s="92">
        <f>'Incremental_Cost Year 5'!AR105</f>
        <v>431334</v>
      </c>
      <c r="BJ33" s="92">
        <f>'Incremental_Cost Year 5'!AS105</f>
        <v>0</v>
      </c>
      <c r="BK33" s="92">
        <f>'Incremental_Cost Year 5'!AT105</f>
        <v>3372174</v>
      </c>
      <c r="BL33" s="92">
        <f>'Incremental_Cost Year 5'!AU105</f>
        <v>3372173</v>
      </c>
      <c r="BM33" s="92">
        <f>'Incremental_Cost Year 5'!AV105</f>
        <v>0</v>
      </c>
      <c r="BN33" s="92">
        <f>'Incremental_Cost Year 5'!AW105</f>
        <v>0</v>
      </c>
      <c r="BO33" s="92">
        <f>'Incremental_Cost Year 5'!AX105</f>
        <v>0</v>
      </c>
      <c r="BP33" s="92">
        <f>'Incremental_Cost Year 5'!AY105</f>
        <v>0</v>
      </c>
      <c r="BQ33" s="92">
        <f>'Incremental_Cost Year 5'!AZ105</f>
        <v>0</v>
      </c>
      <c r="BR33" s="92">
        <f>'Incremental_Cost Year 5'!BA105</f>
        <v>0</v>
      </c>
      <c r="BS33" s="92">
        <f>'Incremental_Cost Year 5'!BB105</f>
        <v>-0.99999999982537702</v>
      </c>
      <c r="BU33" s="92">
        <f>'Incremental_Cost Year 6'!AQ105</f>
        <v>2940840</v>
      </c>
      <c r="BV33" s="92">
        <f>'Incremental_Cost Year 6'!AR105</f>
        <v>431310</v>
      </c>
      <c r="BW33" s="92">
        <f>'Incremental_Cost Year 6'!AS105</f>
        <v>0</v>
      </c>
      <c r="BX33" s="92">
        <f>'Incremental_Cost Year 6'!AT105</f>
        <v>3372150</v>
      </c>
      <c r="BY33" s="92">
        <f>'Incremental_Cost Year 6'!AU105</f>
        <v>3372149</v>
      </c>
      <c r="BZ33" s="92">
        <f>'Incremental_Cost Year 6'!AV105</f>
        <v>0</v>
      </c>
      <c r="CA33" s="92">
        <f>'Incremental_Cost Year 6'!AW105</f>
        <v>0</v>
      </c>
      <c r="CB33" s="92">
        <f>'Incremental_Cost Year 6'!AX105</f>
        <v>0</v>
      </c>
      <c r="CC33" s="92">
        <f>'Incremental_Cost Year 6'!AY105</f>
        <v>0</v>
      </c>
      <c r="CD33" s="92">
        <f>'Incremental_Cost Year 6'!AZ105</f>
        <v>0</v>
      </c>
      <c r="CE33" s="92">
        <f>'Incremental_Cost Year 6'!BA105</f>
        <v>0</v>
      </c>
      <c r="CF33" s="92">
        <f>'Incremental_Cost Year 6'!BB105</f>
        <v>-0.99999999982537702</v>
      </c>
      <c r="CH33" s="92">
        <f>'Incremental_Cost Year 7'!AQ105</f>
        <v>2940840</v>
      </c>
      <c r="CI33" s="92">
        <f>'Incremental_Cost Year 7'!AR105</f>
        <v>431310</v>
      </c>
      <c r="CJ33" s="92">
        <f>'Incremental_Cost Year 7'!AS105</f>
        <v>0</v>
      </c>
      <c r="CK33" s="92">
        <f>'Incremental_Cost Year 7'!AT105</f>
        <v>3372150</v>
      </c>
      <c r="CL33" s="92">
        <f>'Incremental_Cost Year 7'!AU105</f>
        <v>3372149</v>
      </c>
      <c r="CM33" s="92">
        <f>'Incremental_Cost Year 7'!AV105</f>
        <v>0</v>
      </c>
      <c r="CN33" s="92">
        <f>'Incremental_Cost Year 7'!AW105</f>
        <v>0</v>
      </c>
      <c r="CO33" s="92">
        <f>'Incremental_Cost Year 7'!AX105</f>
        <v>0</v>
      </c>
      <c r="CP33" s="92">
        <f>'Incremental_Cost Year 7'!AY105</f>
        <v>0</v>
      </c>
      <c r="CQ33" s="92">
        <f>'Incremental_Cost Year 7'!AZ105</f>
        <v>0</v>
      </c>
      <c r="CR33" s="92">
        <f>'Incremental_Cost Year 7'!BA105</f>
        <v>0</v>
      </c>
      <c r="CS33" s="92">
        <f>'Incremental_Cost Year 7'!BB105</f>
        <v>-0.99999999982537702</v>
      </c>
      <c r="CU33" s="92">
        <f>'Incremental_Cost Year 8'!AQ105</f>
        <v>2940840</v>
      </c>
      <c r="CV33" s="92">
        <f>'Incremental_Cost Year 8'!AR105</f>
        <v>431310</v>
      </c>
      <c r="CW33" s="92">
        <f>'Incremental_Cost Year 8'!AS105</f>
        <v>0</v>
      </c>
      <c r="CX33" s="92">
        <f>'Incremental_Cost Year 8'!AT105</f>
        <v>3372150</v>
      </c>
      <c r="CY33" s="92">
        <f>'Incremental_Cost Year 8'!AU105</f>
        <v>3372149</v>
      </c>
      <c r="CZ33" s="92">
        <f>'Incremental_Cost Year 8'!AV105</f>
        <v>0</v>
      </c>
      <c r="DA33" s="92">
        <f>'Incremental_Cost Year 8'!AW105</f>
        <v>0</v>
      </c>
      <c r="DB33" s="92">
        <f>'Incremental_Cost Year 8'!AX105</f>
        <v>0</v>
      </c>
      <c r="DC33" s="92">
        <f>'Incremental_Cost Year 8'!AY105</f>
        <v>0</v>
      </c>
      <c r="DD33" s="92">
        <f>'Incremental_Cost Year 8'!AZ105</f>
        <v>0</v>
      </c>
      <c r="DE33" s="92">
        <f>'Incremental_Cost Year 8'!BA105</f>
        <v>0</v>
      </c>
      <c r="DF33" s="92">
        <f>'Incremental_Cost Year 8'!BB105</f>
        <v>-0.99999999982537702</v>
      </c>
      <c r="DH33" s="92">
        <f>'Incremental_Cost Year 9'!AQ105</f>
        <v>2940840</v>
      </c>
      <c r="DI33" s="92">
        <f>'Incremental_Cost Year 9'!AR105</f>
        <v>431310</v>
      </c>
      <c r="DJ33" s="92">
        <f>'Incremental_Cost Year 9'!AS105</f>
        <v>0</v>
      </c>
      <c r="DK33" s="92">
        <f>'Incremental_Cost Year 9'!AT105</f>
        <v>3372150</v>
      </c>
      <c r="DL33" s="92">
        <f>'Incremental_Cost Year 9'!AU105</f>
        <v>3372149</v>
      </c>
      <c r="DM33" s="92">
        <f>'Incremental_Cost Year 9'!AV105</f>
        <v>0</v>
      </c>
      <c r="DN33" s="92">
        <f>'Incremental_Cost Year 9'!AW105</f>
        <v>0</v>
      </c>
      <c r="DO33" s="92">
        <f>'Incremental_Cost Year 9'!AX105</f>
        <v>0</v>
      </c>
      <c r="DP33" s="92">
        <f>'Incremental_Cost Year 9'!AY105</f>
        <v>0</v>
      </c>
      <c r="DQ33" s="92">
        <f>'Incremental_Cost Year 9'!AZ105</f>
        <v>0</v>
      </c>
      <c r="DR33" s="92">
        <f>'Incremental_Cost Year 9'!BA105</f>
        <v>0</v>
      </c>
      <c r="DS33" s="92">
        <f>'Incremental_Cost Year 9'!BB105</f>
        <v>-0.99999999982537702</v>
      </c>
      <c r="DU33" s="92">
        <f>'Incremental_Cost Year 10'!AQ105</f>
        <v>2940840</v>
      </c>
      <c r="DV33" s="92">
        <f>'Incremental_Cost Year 10'!AR105</f>
        <v>431310</v>
      </c>
      <c r="DW33" s="92">
        <f>'Incremental_Cost Year 10'!AS105</f>
        <v>0</v>
      </c>
      <c r="DX33" s="92">
        <f>'Incremental_Cost Year 10'!AT105</f>
        <v>3372150</v>
      </c>
      <c r="DY33" s="92">
        <f>'Incremental_Cost Year 10'!AU105</f>
        <v>3372149</v>
      </c>
      <c r="DZ33" s="92">
        <f>'Incremental_Cost Year 10'!AV105</f>
        <v>0</v>
      </c>
      <c r="EA33" s="92">
        <f>'Incremental_Cost Year 10'!AW105</f>
        <v>0</v>
      </c>
      <c r="EB33" s="92">
        <f>'Incremental_Cost Year 10'!AX105</f>
        <v>0</v>
      </c>
      <c r="EC33" s="92">
        <f>'Incremental_Cost Year 10'!AY105</f>
        <v>0</v>
      </c>
      <c r="ED33" s="92">
        <f>'Incremental_Cost Year 10'!AZ105</f>
        <v>0</v>
      </c>
      <c r="EE33" s="92">
        <f>'Incremental_Cost Year 10'!BA105</f>
        <v>0</v>
      </c>
      <c r="EF33" s="92">
        <f>'Incremental_Cost Year 10'!BB105</f>
        <v>-0.99999999982537702</v>
      </c>
      <c r="EH33" s="52">
        <f>H33+U33+AH33+AU33+BH33+BU33+CH33+CU33+DH33+DU33</f>
        <v>24585422.399999999</v>
      </c>
      <c r="EI33" s="52">
        <f t="shared" ref="EI33:ES33" si="132">I33+V33+AI33+AV33+BI33+BV33+CI33+CV33+DI33+DV33</f>
        <v>3594528</v>
      </c>
      <c r="EJ33" s="52">
        <f t="shared" si="132"/>
        <v>0</v>
      </c>
      <c r="EK33" s="52">
        <f t="shared" si="132"/>
        <v>28179950.399999999</v>
      </c>
      <c r="EL33" s="52">
        <f t="shared" si="132"/>
        <v>28179942</v>
      </c>
      <c r="EM33" s="52">
        <f t="shared" si="132"/>
        <v>0</v>
      </c>
      <c r="EN33" s="52">
        <f t="shared" si="132"/>
        <v>0</v>
      </c>
      <c r="EO33" s="52">
        <f t="shared" si="132"/>
        <v>0</v>
      </c>
      <c r="EP33" s="52">
        <f t="shared" si="132"/>
        <v>0</v>
      </c>
      <c r="EQ33" s="52">
        <f t="shared" si="132"/>
        <v>0</v>
      </c>
      <c r="ER33" s="52">
        <f t="shared" si="132"/>
        <v>0</v>
      </c>
      <c r="ES33" s="52">
        <f t="shared" si="132"/>
        <v>-8.3999999985098839</v>
      </c>
      <c r="EU33" s="194">
        <f t="shared" si="23"/>
        <v>0</v>
      </c>
      <c r="EW33" s="194">
        <f t="shared" si="24"/>
        <v>-8.3999999985098839</v>
      </c>
      <c r="EX33" s="194">
        <f t="shared" si="21"/>
        <v>0</v>
      </c>
    </row>
    <row r="34" spans="1:154" s="77" customFormat="1" x14ac:dyDescent="0.25">
      <c r="A34" s="87"/>
      <c r="B34" s="90"/>
      <c r="C34" s="421" t="str">
        <f>'Incremental_Cost Year 1'!C106:E106</f>
        <v>2.4 Objektivi Specifik: Fuqizimi i sistemit shëndetësor për të adresuar nevojat shëndetësore specifike të popullatës dhe barrierat për barazi gjatë gjithë ciklit të jetës</v>
      </c>
      <c r="D34" s="421"/>
      <c r="E34" s="422"/>
      <c r="F34" s="99"/>
      <c r="G34" s="99"/>
      <c r="H34" s="94">
        <f>SUM(H35)</f>
        <v>0</v>
      </c>
      <c r="I34" s="94">
        <f t="shared" ref="I34:S34" si="133">SUM(I35)</f>
        <v>0</v>
      </c>
      <c r="J34" s="94">
        <f t="shared" si="133"/>
        <v>0</v>
      </c>
      <c r="K34" s="94">
        <f t="shared" si="133"/>
        <v>0</v>
      </c>
      <c r="L34" s="94">
        <f t="shared" si="133"/>
        <v>0</v>
      </c>
      <c r="M34" s="94">
        <f t="shared" si="133"/>
        <v>0</v>
      </c>
      <c r="N34" s="94">
        <f t="shared" si="133"/>
        <v>0</v>
      </c>
      <c r="O34" s="94">
        <f t="shared" si="133"/>
        <v>0</v>
      </c>
      <c r="P34" s="94">
        <f t="shared" si="133"/>
        <v>0</v>
      </c>
      <c r="Q34" s="94">
        <f t="shared" si="133"/>
        <v>0</v>
      </c>
      <c r="R34" s="94">
        <f t="shared" si="133"/>
        <v>0</v>
      </c>
      <c r="S34" s="94">
        <f t="shared" si="133"/>
        <v>0</v>
      </c>
      <c r="T34" s="70"/>
      <c r="U34" s="94">
        <f>SUM(U35)</f>
        <v>0</v>
      </c>
      <c r="V34" s="94">
        <f t="shared" ref="V34:AF34" si="134">SUM(V35)</f>
        <v>0</v>
      </c>
      <c r="W34" s="94">
        <f t="shared" si="134"/>
        <v>0</v>
      </c>
      <c r="X34" s="94">
        <f t="shared" si="134"/>
        <v>0</v>
      </c>
      <c r="Y34" s="94">
        <f t="shared" si="134"/>
        <v>0</v>
      </c>
      <c r="Z34" s="94">
        <f t="shared" si="134"/>
        <v>0</v>
      </c>
      <c r="AA34" s="94">
        <f t="shared" si="134"/>
        <v>0</v>
      </c>
      <c r="AB34" s="94">
        <f t="shared" si="134"/>
        <v>0</v>
      </c>
      <c r="AC34" s="94">
        <f t="shared" si="134"/>
        <v>0</v>
      </c>
      <c r="AD34" s="94">
        <f t="shared" si="134"/>
        <v>0</v>
      </c>
      <c r="AE34" s="94">
        <f t="shared" si="134"/>
        <v>0</v>
      </c>
      <c r="AF34" s="94">
        <f t="shared" si="134"/>
        <v>0</v>
      </c>
      <c r="AG34" s="70"/>
      <c r="AH34" s="94">
        <f>SUM(AH35)</f>
        <v>0</v>
      </c>
      <c r="AI34" s="94">
        <f t="shared" ref="AI34:AS34" si="135">SUM(AI35)</f>
        <v>0</v>
      </c>
      <c r="AJ34" s="94">
        <f t="shared" si="135"/>
        <v>0</v>
      </c>
      <c r="AK34" s="94">
        <f t="shared" si="135"/>
        <v>0</v>
      </c>
      <c r="AL34" s="94">
        <f t="shared" si="135"/>
        <v>0</v>
      </c>
      <c r="AM34" s="94">
        <f t="shared" si="135"/>
        <v>0</v>
      </c>
      <c r="AN34" s="94">
        <f t="shared" si="135"/>
        <v>0</v>
      </c>
      <c r="AO34" s="94">
        <f t="shared" si="135"/>
        <v>0</v>
      </c>
      <c r="AP34" s="94">
        <f t="shared" si="135"/>
        <v>0</v>
      </c>
      <c r="AQ34" s="94">
        <f t="shared" si="135"/>
        <v>0</v>
      </c>
      <c r="AR34" s="94">
        <f t="shared" si="135"/>
        <v>0</v>
      </c>
      <c r="AS34" s="94">
        <f t="shared" si="135"/>
        <v>0</v>
      </c>
      <c r="AT34" s="70"/>
      <c r="AU34" s="94">
        <f>SUM(AU35)</f>
        <v>0</v>
      </c>
      <c r="AV34" s="94">
        <f t="shared" ref="AV34:BF34" si="136">SUM(AV35)</f>
        <v>0</v>
      </c>
      <c r="AW34" s="94">
        <f t="shared" si="136"/>
        <v>0</v>
      </c>
      <c r="AX34" s="94">
        <f t="shared" si="136"/>
        <v>0</v>
      </c>
      <c r="AY34" s="94">
        <f t="shared" si="136"/>
        <v>0</v>
      </c>
      <c r="AZ34" s="94">
        <f t="shared" si="136"/>
        <v>0</v>
      </c>
      <c r="BA34" s="94">
        <f t="shared" si="136"/>
        <v>0</v>
      </c>
      <c r="BB34" s="94">
        <f t="shared" si="136"/>
        <v>0</v>
      </c>
      <c r="BC34" s="94">
        <f t="shared" si="136"/>
        <v>0</v>
      </c>
      <c r="BD34" s="94">
        <f t="shared" si="136"/>
        <v>0</v>
      </c>
      <c r="BE34" s="94">
        <f t="shared" si="136"/>
        <v>0</v>
      </c>
      <c r="BF34" s="94">
        <f t="shared" si="136"/>
        <v>0</v>
      </c>
      <c r="BG34" s="70"/>
      <c r="BH34" s="94">
        <f>SUM(BH35)</f>
        <v>1932435.3</v>
      </c>
      <c r="BI34" s="94">
        <f t="shared" ref="BI34:BS34" si="137">SUM(BI35)</f>
        <v>1671720</v>
      </c>
      <c r="BJ34" s="94">
        <f t="shared" si="137"/>
        <v>0</v>
      </c>
      <c r="BK34" s="94">
        <f t="shared" si="137"/>
        <v>3604155.3</v>
      </c>
      <c r="BL34" s="94">
        <f t="shared" si="137"/>
        <v>2236156</v>
      </c>
      <c r="BM34" s="94">
        <f t="shared" si="137"/>
        <v>0</v>
      </c>
      <c r="BN34" s="94">
        <f t="shared" si="137"/>
        <v>0</v>
      </c>
      <c r="BO34" s="94">
        <f t="shared" si="137"/>
        <v>0</v>
      </c>
      <c r="BP34" s="94">
        <f t="shared" si="137"/>
        <v>0</v>
      </c>
      <c r="BQ34" s="94">
        <f t="shared" si="137"/>
        <v>0</v>
      </c>
      <c r="BR34" s="94">
        <f t="shared" si="137"/>
        <v>0</v>
      </c>
      <c r="BS34" s="94">
        <f t="shared" si="137"/>
        <v>-1367999.3</v>
      </c>
      <c r="BT34" s="70"/>
      <c r="BU34" s="94">
        <f>SUM(BU35)</f>
        <v>1932435.3</v>
      </c>
      <c r="BV34" s="94">
        <f t="shared" ref="BV34:CF34" si="138">SUM(BV35)</f>
        <v>1671720</v>
      </c>
      <c r="BW34" s="94">
        <f t="shared" si="138"/>
        <v>0</v>
      </c>
      <c r="BX34" s="94">
        <f t="shared" si="138"/>
        <v>3604155.3</v>
      </c>
      <c r="BY34" s="94">
        <f t="shared" si="138"/>
        <v>2236156</v>
      </c>
      <c r="BZ34" s="94">
        <f t="shared" si="138"/>
        <v>0</v>
      </c>
      <c r="CA34" s="94">
        <f t="shared" si="138"/>
        <v>0</v>
      </c>
      <c r="CB34" s="94">
        <f t="shared" si="138"/>
        <v>0</v>
      </c>
      <c r="CC34" s="94">
        <f t="shared" si="138"/>
        <v>0</v>
      </c>
      <c r="CD34" s="94">
        <f t="shared" si="138"/>
        <v>0</v>
      </c>
      <c r="CE34" s="94">
        <f t="shared" si="138"/>
        <v>0</v>
      </c>
      <c r="CF34" s="94">
        <f t="shared" si="138"/>
        <v>-1367999.3</v>
      </c>
      <c r="CG34" s="70"/>
      <c r="CH34" s="94">
        <f>SUM(CH35)</f>
        <v>1932435.3</v>
      </c>
      <c r="CI34" s="94">
        <f t="shared" ref="CI34:CS34" si="139">SUM(CI35)</f>
        <v>1671720</v>
      </c>
      <c r="CJ34" s="94">
        <f t="shared" si="139"/>
        <v>0</v>
      </c>
      <c r="CK34" s="94">
        <f t="shared" si="139"/>
        <v>3604155.3</v>
      </c>
      <c r="CL34" s="94">
        <f t="shared" si="139"/>
        <v>2236156</v>
      </c>
      <c r="CM34" s="94">
        <f t="shared" si="139"/>
        <v>0</v>
      </c>
      <c r="CN34" s="94">
        <f t="shared" si="139"/>
        <v>0</v>
      </c>
      <c r="CO34" s="94">
        <f t="shared" si="139"/>
        <v>0</v>
      </c>
      <c r="CP34" s="94">
        <f t="shared" si="139"/>
        <v>0</v>
      </c>
      <c r="CQ34" s="94">
        <f t="shared" si="139"/>
        <v>0</v>
      </c>
      <c r="CR34" s="94">
        <f t="shared" si="139"/>
        <v>0</v>
      </c>
      <c r="CS34" s="94">
        <f t="shared" si="139"/>
        <v>-1367999.3</v>
      </c>
      <c r="CT34" s="70"/>
      <c r="CU34" s="94">
        <f>SUM(CU35)</f>
        <v>1932435.3</v>
      </c>
      <c r="CV34" s="94">
        <f t="shared" ref="CV34:DF34" si="140">SUM(CV35)</f>
        <v>1671720</v>
      </c>
      <c r="CW34" s="94">
        <f t="shared" si="140"/>
        <v>0</v>
      </c>
      <c r="CX34" s="94">
        <f t="shared" si="140"/>
        <v>3604155.3</v>
      </c>
      <c r="CY34" s="94">
        <f t="shared" si="140"/>
        <v>2236156</v>
      </c>
      <c r="CZ34" s="94">
        <f t="shared" si="140"/>
        <v>0</v>
      </c>
      <c r="DA34" s="94">
        <f t="shared" si="140"/>
        <v>0</v>
      </c>
      <c r="DB34" s="94">
        <f t="shared" si="140"/>
        <v>0</v>
      </c>
      <c r="DC34" s="94">
        <f t="shared" si="140"/>
        <v>0</v>
      </c>
      <c r="DD34" s="94">
        <f t="shared" si="140"/>
        <v>0</v>
      </c>
      <c r="DE34" s="94">
        <f t="shared" si="140"/>
        <v>0</v>
      </c>
      <c r="DF34" s="94">
        <f t="shared" si="140"/>
        <v>-1367999.3</v>
      </c>
      <c r="DG34" s="70"/>
      <c r="DH34" s="94">
        <f>SUM(DH35)</f>
        <v>1932435.3</v>
      </c>
      <c r="DI34" s="94">
        <f t="shared" ref="DI34:DS34" si="141">SUM(DI35)</f>
        <v>1671720</v>
      </c>
      <c r="DJ34" s="94">
        <f t="shared" si="141"/>
        <v>0</v>
      </c>
      <c r="DK34" s="94">
        <f t="shared" si="141"/>
        <v>3604155.3</v>
      </c>
      <c r="DL34" s="94">
        <f t="shared" si="141"/>
        <v>2236156</v>
      </c>
      <c r="DM34" s="94">
        <f t="shared" si="141"/>
        <v>0</v>
      </c>
      <c r="DN34" s="94">
        <f t="shared" si="141"/>
        <v>0</v>
      </c>
      <c r="DO34" s="94">
        <f t="shared" si="141"/>
        <v>0</v>
      </c>
      <c r="DP34" s="94">
        <f t="shared" si="141"/>
        <v>0</v>
      </c>
      <c r="DQ34" s="94">
        <f t="shared" si="141"/>
        <v>0</v>
      </c>
      <c r="DR34" s="94">
        <f t="shared" si="141"/>
        <v>0</v>
      </c>
      <c r="DS34" s="94">
        <f t="shared" si="141"/>
        <v>-1367999.3</v>
      </c>
      <c r="DT34" s="70"/>
      <c r="DU34" s="94">
        <f>SUM(DU35)</f>
        <v>1932435.3</v>
      </c>
      <c r="DV34" s="94">
        <f t="shared" ref="DV34:EF34" si="142">SUM(DV35)</f>
        <v>1671720</v>
      </c>
      <c r="DW34" s="94">
        <f t="shared" si="142"/>
        <v>0</v>
      </c>
      <c r="DX34" s="94">
        <f t="shared" si="142"/>
        <v>3604155.3</v>
      </c>
      <c r="DY34" s="94">
        <f t="shared" si="142"/>
        <v>2236156</v>
      </c>
      <c r="DZ34" s="94">
        <f t="shared" si="142"/>
        <v>0</v>
      </c>
      <c r="EA34" s="94">
        <f t="shared" si="142"/>
        <v>0</v>
      </c>
      <c r="EB34" s="94">
        <f t="shared" si="142"/>
        <v>0</v>
      </c>
      <c r="EC34" s="94">
        <f t="shared" si="142"/>
        <v>0</v>
      </c>
      <c r="ED34" s="94">
        <f t="shared" si="142"/>
        <v>0</v>
      </c>
      <c r="EE34" s="94">
        <f t="shared" si="142"/>
        <v>0</v>
      </c>
      <c r="EF34" s="94">
        <f t="shared" si="142"/>
        <v>-1367999.3</v>
      </c>
      <c r="EG34" s="70"/>
      <c r="EH34" s="94">
        <f t="shared" ref="EH34:ES34" si="143">SUM(EH35)</f>
        <v>11594611.800000001</v>
      </c>
      <c r="EI34" s="94">
        <f t="shared" si="143"/>
        <v>10030320</v>
      </c>
      <c r="EJ34" s="94">
        <f t="shared" si="143"/>
        <v>0</v>
      </c>
      <c r="EK34" s="94">
        <f t="shared" si="143"/>
        <v>21624931.800000001</v>
      </c>
      <c r="EL34" s="94">
        <f t="shared" si="143"/>
        <v>13416936</v>
      </c>
      <c r="EM34" s="94">
        <f t="shared" si="143"/>
        <v>0</v>
      </c>
      <c r="EN34" s="94">
        <f t="shared" si="143"/>
        <v>0</v>
      </c>
      <c r="EO34" s="94">
        <f t="shared" si="143"/>
        <v>0</v>
      </c>
      <c r="EP34" s="94">
        <f t="shared" si="143"/>
        <v>0</v>
      </c>
      <c r="EQ34" s="94">
        <f t="shared" si="143"/>
        <v>0</v>
      </c>
      <c r="ER34" s="94">
        <f t="shared" si="143"/>
        <v>0</v>
      </c>
      <c r="ES34" s="94">
        <f t="shared" si="143"/>
        <v>-8207995.7999999998</v>
      </c>
      <c r="EU34" s="194">
        <f t="shared" si="23"/>
        <v>0</v>
      </c>
      <c r="EW34" s="194">
        <f t="shared" si="24"/>
        <v>-8207995.8000000007</v>
      </c>
      <c r="EX34" s="194">
        <f t="shared" si="21"/>
        <v>0</v>
      </c>
    </row>
    <row r="35" spans="1:154" s="77" customFormat="1" ht="38.25" x14ac:dyDescent="0.25">
      <c r="A35" s="82"/>
      <c r="B35" s="88"/>
      <c r="C35" s="100"/>
      <c r="D35" s="193" t="str">
        <f>'Incremental_Cost Year 1'!D110</f>
        <v xml:space="preserve">01110 Planifikimi, Menaxhimi dhe Administrimi </v>
      </c>
      <c r="E35" s="193" t="str">
        <f>'Incremental_Cost Year 1'!E110</f>
        <v>2.4.1. Sigurimi i përfshirjes së objektivave të barazisë dhe nevojave të grupeve të ndryshme të popullatës në proçesin e zhvillimit të politikave shëndetësore</v>
      </c>
      <c r="F35" s="96">
        <f>'Incremental_Cost Year 1'!F110</f>
        <v>2025</v>
      </c>
      <c r="G35" s="96">
        <f>'Incremental_Cost Year 1'!G110</f>
        <v>2030</v>
      </c>
      <c r="H35" s="92">
        <f>'Incremental_Cost Year 1'!AQ110</f>
        <v>0</v>
      </c>
      <c r="I35" s="92">
        <f>'Incremental_Cost Year 1'!AR110</f>
        <v>0</v>
      </c>
      <c r="J35" s="92">
        <f>'Incremental_Cost Year 1'!AS110</f>
        <v>0</v>
      </c>
      <c r="K35" s="92">
        <f>'Incremental_Cost Year 1'!AT110</f>
        <v>0</v>
      </c>
      <c r="L35" s="92">
        <f>'Incremental_Cost Year 1'!AU110</f>
        <v>0</v>
      </c>
      <c r="M35" s="92">
        <f>'Incremental_Cost Year 1'!AV110</f>
        <v>0</v>
      </c>
      <c r="N35" s="92">
        <f>'Incremental_Cost Year 1'!AW110</f>
        <v>0</v>
      </c>
      <c r="O35" s="92">
        <f>'Incremental_Cost Year 1'!AX110</f>
        <v>0</v>
      </c>
      <c r="P35" s="92">
        <f>'Incremental_Cost Year 1'!AY110</f>
        <v>0</v>
      </c>
      <c r="Q35" s="92">
        <f>'Incremental_Cost Year 1'!AZ110</f>
        <v>0</v>
      </c>
      <c r="R35" s="92">
        <f>'Incremental_Cost Year 1'!BA110</f>
        <v>0</v>
      </c>
      <c r="S35" s="92">
        <f>'Incremental_Cost Year 1'!BB110</f>
        <v>0</v>
      </c>
      <c r="T35" s="70"/>
      <c r="U35" s="92">
        <f>'Incremental_Cost Year 2'!AQ110</f>
        <v>0</v>
      </c>
      <c r="V35" s="92">
        <f>'Incremental_Cost Year 2'!AR110</f>
        <v>0</v>
      </c>
      <c r="W35" s="92">
        <f>'Incremental_Cost Year 2'!AS110</f>
        <v>0</v>
      </c>
      <c r="X35" s="92">
        <f>'Incremental_Cost Year 2'!AT110</f>
        <v>0</v>
      </c>
      <c r="Y35" s="92">
        <f>'Incremental_Cost Year 2'!AU110</f>
        <v>0</v>
      </c>
      <c r="Z35" s="92">
        <f>'Incremental_Cost Year 2'!AV110</f>
        <v>0</v>
      </c>
      <c r="AA35" s="92">
        <f>'Incremental_Cost Year 2'!AW110</f>
        <v>0</v>
      </c>
      <c r="AB35" s="92">
        <f>'Incremental_Cost Year 2'!AX110</f>
        <v>0</v>
      </c>
      <c r="AC35" s="92">
        <f>'Incremental_Cost Year 2'!AY110</f>
        <v>0</v>
      </c>
      <c r="AD35" s="92">
        <f>'Incremental_Cost Year 2'!AZ110</f>
        <v>0</v>
      </c>
      <c r="AE35" s="92">
        <f>'Incremental_Cost Year 2'!BA110</f>
        <v>0</v>
      </c>
      <c r="AF35" s="92">
        <f>'Incremental_Cost Year 2'!BB110</f>
        <v>0</v>
      </c>
      <c r="AG35" s="70"/>
      <c r="AH35" s="92">
        <f>'Incremental_Cost Year 3'!AQ110</f>
        <v>0</v>
      </c>
      <c r="AI35" s="92">
        <f>'Incremental_Cost Year 3'!AR110</f>
        <v>0</v>
      </c>
      <c r="AJ35" s="92">
        <f>'Incremental_Cost Year 3'!AS110</f>
        <v>0</v>
      </c>
      <c r="AK35" s="92">
        <f>'Incremental_Cost Year 3'!AT110</f>
        <v>0</v>
      </c>
      <c r="AL35" s="92">
        <f>'Incremental_Cost Year 3'!AU110</f>
        <v>0</v>
      </c>
      <c r="AM35" s="92">
        <f>'Incremental_Cost Year 3'!AV110</f>
        <v>0</v>
      </c>
      <c r="AN35" s="92">
        <f>'Incremental_Cost Year 3'!AW110</f>
        <v>0</v>
      </c>
      <c r="AO35" s="92">
        <f>'Incremental_Cost Year 3'!AX110</f>
        <v>0</v>
      </c>
      <c r="AP35" s="92">
        <f>'Incremental_Cost Year 3'!AY110</f>
        <v>0</v>
      </c>
      <c r="AQ35" s="92">
        <f>'Incremental_Cost Year 3'!AZ110</f>
        <v>0</v>
      </c>
      <c r="AR35" s="92">
        <f>'Incremental_Cost Year 3'!BA110</f>
        <v>0</v>
      </c>
      <c r="AS35" s="92">
        <f>'Incremental_Cost Year 3'!BB110</f>
        <v>0</v>
      </c>
      <c r="AT35" s="70"/>
      <c r="AU35" s="92">
        <f>'Incremental_Cost Year 4'!AQ110</f>
        <v>0</v>
      </c>
      <c r="AV35" s="92">
        <f>'Incremental_Cost Year 4'!AR110</f>
        <v>0</v>
      </c>
      <c r="AW35" s="92">
        <f>'Incremental_Cost Year 4'!AS110</f>
        <v>0</v>
      </c>
      <c r="AX35" s="92">
        <f>'Incremental_Cost Year 4'!AT110</f>
        <v>0</v>
      </c>
      <c r="AY35" s="92">
        <f>'Incremental_Cost Year 4'!AU110</f>
        <v>0</v>
      </c>
      <c r="AZ35" s="92">
        <f>'Incremental_Cost Year 4'!AV110</f>
        <v>0</v>
      </c>
      <c r="BA35" s="92">
        <f>'Incremental_Cost Year 4'!AW110</f>
        <v>0</v>
      </c>
      <c r="BB35" s="92">
        <f>'Incremental_Cost Year 4'!AX110</f>
        <v>0</v>
      </c>
      <c r="BC35" s="92">
        <f>'Incremental_Cost Year 4'!AY110</f>
        <v>0</v>
      </c>
      <c r="BD35" s="92">
        <f>'Incremental_Cost Year 4'!AZ110</f>
        <v>0</v>
      </c>
      <c r="BE35" s="92">
        <f>'Incremental_Cost Year 4'!BA110</f>
        <v>0</v>
      </c>
      <c r="BF35" s="92">
        <f>'Incremental_Cost Year 4'!BB110</f>
        <v>0</v>
      </c>
      <c r="BG35" s="70"/>
      <c r="BH35" s="92">
        <f>'Incremental_Cost Year 5'!AQ110</f>
        <v>1932435.3</v>
      </c>
      <c r="BI35" s="92">
        <f>'Incremental_Cost Year 5'!AR110</f>
        <v>1671720</v>
      </c>
      <c r="BJ35" s="92">
        <f>'Incremental_Cost Year 5'!AS110</f>
        <v>0</v>
      </c>
      <c r="BK35" s="92">
        <f>'Incremental_Cost Year 5'!AT110</f>
        <v>3604155.3</v>
      </c>
      <c r="BL35" s="92">
        <f>'Incremental_Cost Year 5'!AU110</f>
        <v>2236156</v>
      </c>
      <c r="BM35" s="92">
        <f>'Incremental_Cost Year 5'!AV110</f>
        <v>0</v>
      </c>
      <c r="BN35" s="92">
        <f>'Incremental_Cost Year 5'!AW110</f>
        <v>0</v>
      </c>
      <c r="BO35" s="92">
        <f>'Incremental_Cost Year 5'!AX110</f>
        <v>0</v>
      </c>
      <c r="BP35" s="92">
        <f>'Incremental_Cost Year 5'!AY110</f>
        <v>0</v>
      </c>
      <c r="BQ35" s="92">
        <f>'Incremental_Cost Year 5'!AZ110</f>
        <v>0</v>
      </c>
      <c r="BR35" s="92">
        <f>'Incremental_Cost Year 5'!BA110</f>
        <v>0</v>
      </c>
      <c r="BS35" s="92">
        <f>'Incremental_Cost Year 5'!BB110</f>
        <v>-1367999.3</v>
      </c>
      <c r="BT35" s="70"/>
      <c r="BU35" s="92">
        <f>'Incremental_Cost Year 6'!AQ110</f>
        <v>1932435.3</v>
      </c>
      <c r="BV35" s="92">
        <f>'Incremental_Cost Year 6'!AR110</f>
        <v>1671720</v>
      </c>
      <c r="BW35" s="92">
        <f>'Incremental_Cost Year 6'!AS110</f>
        <v>0</v>
      </c>
      <c r="BX35" s="92">
        <f>'Incremental_Cost Year 6'!AT110</f>
        <v>3604155.3</v>
      </c>
      <c r="BY35" s="92">
        <f>'Incremental_Cost Year 6'!AU110</f>
        <v>2236156</v>
      </c>
      <c r="BZ35" s="92">
        <f>'Incremental_Cost Year 6'!AV110</f>
        <v>0</v>
      </c>
      <c r="CA35" s="92">
        <f>'Incremental_Cost Year 6'!AW110</f>
        <v>0</v>
      </c>
      <c r="CB35" s="92">
        <f>'Incremental_Cost Year 6'!AX110</f>
        <v>0</v>
      </c>
      <c r="CC35" s="92">
        <f>'Incremental_Cost Year 6'!AY110</f>
        <v>0</v>
      </c>
      <c r="CD35" s="92">
        <f>'Incremental_Cost Year 6'!AZ110</f>
        <v>0</v>
      </c>
      <c r="CE35" s="92">
        <f>'Incremental_Cost Year 6'!BA110</f>
        <v>0</v>
      </c>
      <c r="CF35" s="92">
        <f>'Incremental_Cost Year 6'!BB110</f>
        <v>-1367999.3</v>
      </c>
      <c r="CG35" s="70"/>
      <c r="CH35" s="92">
        <f>'Incremental_Cost Year 7'!AQ110</f>
        <v>1932435.3</v>
      </c>
      <c r="CI35" s="92">
        <f>'Incremental_Cost Year 7'!AR110</f>
        <v>1671720</v>
      </c>
      <c r="CJ35" s="92">
        <f>'Incremental_Cost Year 7'!AS110</f>
        <v>0</v>
      </c>
      <c r="CK35" s="92">
        <f>'Incremental_Cost Year 7'!AT110</f>
        <v>3604155.3</v>
      </c>
      <c r="CL35" s="92">
        <f>'Incremental_Cost Year 7'!AU110</f>
        <v>2236156</v>
      </c>
      <c r="CM35" s="92">
        <f>'Incremental_Cost Year 7'!AV110</f>
        <v>0</v>
      </c>
      <c r="CN35" s="92">
        <f>'Incremental_Cost Year 7'!AW110</f>
        <v>0</v>
      </c>
      <c r="CO35" s="92">
        <f>'Incremental_Cost Year 7'!AX110</f>
        <v>0</v>
      </c>
      <c r="CP35" s="92">
        <f>'Incremental_Cost Year 7'!AY110</f>
        <v>0</v>
      </c>
      <c r="CQ35" s="92">
        <f>'Incremental_Cost Year 7'!AZ110</f>
        <v>0</v>
      </c>
      <c r="CR35" s="92">
        <f>'Incremental_Cost Year 7'!BA110</f>
        <v>0</v>
      </c>
      <c r="CS35" s="92">
        <f>'Incremental_Cost Year 7'!BB110</f>
        <v>-1367999.3</v>
      </c>
      <c r="CT35" s="70"/>
      <c r="CU35" s="92">
        <f>'Incremental_Cost Year 8'!AQ110</f>
        <v>1932435.3</v>
      </c>
      <c r="CV35" s="92">
        <f>'Incremental_Cost Year 8'!AR110</f>
        <v>1671720</v>
      </c>
      <c r="CW35" s="92">
        <f>'Incremental_Cost Year 8'!AS110</f>
        <v>0</v>
      </c>
      <c r="CX35" s="92">
        <f>'Incremental_Cost Year 8'!AT110</f>
        <v>3604155.3</v>
      </c>
      <c r="CY35" s="92">
        <f>'Incremental_Cost Year 8'!AU110</f>
        <v>2236156</v>
      </c>
      <c r="CZ35" s="92">
        <f>'Incremental_Cost Year 8'!AV110</f>
        <v>0</v>
      </c>
      <c r="DA35" s="92">
        <f>'Incremental_Cost Year 8'!AW110</f>
        <v>0</v>
      </c>
      <c r="DB35" s="92">
        <f>'Incremental_Cost Year 8'!AX110</f>
        <v>0</v>
      </c>
      <c r="DC35" s="92">
        <f>'Incremental_Cost Year 8'!AY110</f>
        <v>0</v>
      </c>
      <c r="DD35" s="92">
        <f>'Incremental_Cost Year 8'!AZ110</f>
        <v>0</v>
      </c>
      <c r="DE35" s="92">
        <f>'Incremental_Cost Year 8'!BA110</f>
        <v>0</v>
      </c>
      <c r="DF35" s="92">
        <f>'Incremental_Cost Year 8'!BB110</f>
        <v>-1367999.3</v>
      </c>
      <c r="DG35" s="70"/>
      <c r="DH35" s="92">
        <f>'Incremental_Cost Year 9'!AQ110</f>
        <v>1932435.3</v>
      </c>
      <c r="DI35" s="92">
        <f>'Incremental_Cost Year 9'!AR110</f>
        <v>1671720</v>
      </c>
      <c r="DJ35" s="92">
        <f>'Incremental_Cost Year 9'!AS110</f>
        <v>0</v>
      </c>
      <c r="DK35" s="92">
        <f>'Incremental_Cost Year 9'!AT110</f>
        <v>3604155.3</v>
      </c>
      <c r="DL35" s="92">
        <f>'Incremental_Cost Year 9'!AU110</f>
        <v>2236156</v>
      </c>
      <c r="DM35" s="92">
        <f>'Incremental_Cost Year 9'!AV110</f>
        <v>0</v>
      </c>
      <c r="DN35" s="92">
        <f>'Incremental_Cost Year 9'!AW110</f>
        <v>0</v>
      </c>
      <c r="DO35" s="92">
        <f>'Incremental_Cost Year 9'!AX110</f>
        <v>0</v>
      </c>
      <c r="DP35" s="92">
        <f>'Incremental_Cost Year 9'!AY110</f>
        <v>0</v>
      </c>
      <c r="DQ35" s="92">
        <f>'Incremental_Cost Year 9'!AZ110</f>
        <v>0</v>
      </c>
      <c r="DR35" s="92">
        <f>'Incremental_Cost Year 9'!BA110</f>
        <v>0</v>
      </c>
      <c r="DS35" s="92">
        <f>'Incremental_Cost Year 9'!BB110</f>
        <v>-1367999.3</v>
      </c>
      <c r="DT35" s="70"/>
      <c r="DU35" s="92">
        <f>'Incremental_Cost Year 10'!AQ110</f>
        <v>1932435.3</v>
      </c>
      <c r="DV35" s="92">
        <f>'Incremental_Cost Year 10'!AR110</f>
        <v>1671720</v>
      </c>
      <c r="DW35" s="92">
        <f>'Incremental_Cost Year 10'!AS110</f>
        <v>0</v>
      </c>
      <c r="DX35" s="92">
        <f>'Incremental_Cost Year 10'!AT110</f>
        <v>3604155.3</v>
      </c>
      <c r="DY35" s="92">
        <f>'Incremental_Cost Year 10'!AU110</f>
        <v>2236156</v>
      </c>
      <c r="DZ35" s="92">
        <f>'Incremental_Cost Year 10'!AV110</f>
        <v>0</v>
      </c>
      <c r="EA35" s="92">
        <f>'Incremental_Cost Year 10'!AW110</f>
        <v>0</v>
      </c>
      <c r="EB35" s="92">
        <f>'Incremental_Cost Year 10'!AX110</f>
        <v>0</v>
      </c>
      <c r="EC35" s="92">
        <f>'Incremental_Cost Year 10'!AY110</f>
        <v>0</v>
      </c>
      <c r="ED35" s="92">
        <f>'Incremental_Cost Year 10'!AZ110</f>
        <v>0</v>
      </c>
      <c r="EE35" s="92">
        <f>'Incremental_Cost Year 10'!BA110</f>
        <v>0</v>
      </c>
      <c r="EF35" s="92">
        <f>'Incremental_Cost Year 10'!BB110</f>
        <v>-1367999.3</v>
      </c>
      <c r="EG35" s="70"/>
      <c r="EH35" s="92">
        <f t="shared" ref="EH35:ES35" si="144">H35+U35+AH35+AU35+BH35+BU35+CH35+CU35+DH35+DU35</f>
        <v>11594611.800000001</v>
      </c>
      <c r="EI35" s="92">
        <f t="shared" si="144"/>
        <v>10030320</v>
      </c>
      <c r="EJ35" s="92">
        <f t="shared" si="144"/>
        <v>0</v>
      </c>
      <c r="EK35" s="92">
        <f t="shared" si="144"/>
        <v>21624931.800000001</v>
      </c>
      <c r="EL35" s="92">
        <f t="shared" si="144"/>
        <v>13416936</v>
      </c>
      <c r="EM35" s="92">
        <f t="shared" si="144"/>
        <v>0</v>
      </c>
      <c r="EN35" s="92">
        <f t="shared" si="144"/>
        <v>0</v>
      </c>
      <c r="EO35" s="92">
        <f t="shared" si="144"/>
        <v>0</v>
      </c>
      <c r="EP35" s="92">
        <f t="shared" si="144"/>
        <v>0</v>
      </c>
      <c r="EQ35" s="92">
        <f t="shared" si="144"/>
        <v>0</v>
      </c>
      <c r="ER35" s="92">
        <f t="shared" si="144"/>
        <v>0</v>
      </c>
      <c r="ES35" s="92">
        <f t="shared" si="144"/>
        <v>-8207995.7999999998</v>
      </c>
      <c r="EU35" s="194">
        <f t="shared" si="23"/>
        <v>0</v>
      </c>
      <c r="EW35" s="194">
        <f t="shared" si="24"/>
        <v>-8207995.8000000007</v>
      </c>
      <c r="EX35" s="194">
        <f t="shared" si="21"/>
        <v>0</v>
      </c>
    </row>
    <row r="36" spans="1:154" s="77" customFormat="1" x14ac:dyDescent="0.25">
      <c r="A36" s="87"/>
      <c r="B36" s="90"/>
      <c r="C36" s="421" t="str">
        <f>'Incremental_Cost Year 1'!C111:E111</f>
        <v>2.5 Objektivi Specifik: Fuqizimi i sistemit shëndetësor për të adresuar nevojat shëndetësore specifike të popullatës dhe barrierat për barazi gjatë gjithë ciklit të jetës</v>
      </c>
      <c r="D36" s="421"/>
      <c r="E36" s="422"/>
      <c r="F36" s="99"/>
      <c r="G36" s="99"/>
      <c r="H36" s="94">
        <f>SUM(H37)</f>
        <v>4636841.0999999996</v>
      </c>
      <c r="I36" s="94">
        <f t="shared" ref="I36:S36" si="145">SUM(I37)</f>
        <v>636160</v>
      </c>
      <c r="J36" s="94">
        <f t="shared" si="145"/>
        <v>0</v>
      </c>
      <c r="K36" s="94">
        <f t="shared" si="145"/>
        <v>5273001.0999999996</v>
      </c>
      <c r="L36" s="94">
        <f t="shared" si="145"/>
        <v>5273002</v>
      </c>
      <c r="M36" s="94">
        <f t="shared" si="145"/>
        <v>0</v>
      </c>
      <c r="N36" s="94">
        <f t="shared" si="145"/>
        <v>0</v>
      </c>
      <c r="O36" s="94">
        <f t="shared" si="145"/>
        <v>0</v>
      </c>
      <c r="P36" s="94">
        <f t="shared" si="145"/>
        <v>0</v>
      </c>
      <c r="Q36" s="94">
        <f t="shared" si="145"/>
        <v>0</v>
      </c>
      <c r="R36" s="94">
        <f t="shared" si="145"/>
        <v>0</v>
      </c>
      <c r="S36" s="94">
        <f t="shared" si="145"/>
        <v>0.89999999990686774</v>
      </c>
      <c r="T36" s="70"/>
      <c r="U36" s="94">
        <f>SUM(U37)</f>
        <v>4636841.0999999996</v>
      </c>
      <c r="V36" s="94">
        <f t="shared" ref="V36:AF36" si="146">SUM(V37)</f>
        <v>1237824</v>
      </c>
      <c r="W36" s="94">
        <f t="shared" si="146"/>
        <v>0</v>
      </c>
      <c r="X36" s="94">
        <f t="shared" si="146"/>
        <v>5874665.0999999996</v>
      </c>
      <c r="Y36" s="94">
        <f t="shared" si="146"/>
        <v>5304666</v>
      </c>
      <c r="Z36" s="94">
        <f t="shared" si="146"/>
        <v>0</v>
      </c>
      <c r="AA36" s="94">
        <f t="shared" si="146"/>
        <v>0</v>
      </c>
      <c r="AB36" s="94">
        <f t="shared" si="146"/>
        <v>0</v>
      </c>
      <c r="AC36" s="94">
        <f t="shared" si="146"/>
        <v>0</v>
      </c>
      <c r="AD36" s="94">
        <f t="shared" si="146"/>
        <v>0</v>
      </c>
      <c r="AE36" s="94">
        <f t="shared" si="146"/>
        <v>0</v>
      </c>
      <c r="AF36" s="94">
        <f t="shared" si="146"/>
        <v>-569999.10000000009</v>
      </c>
      <c r="AG36" s="70"/>
      <c r="AH36" s="94">
        <f>SUM(AH37)</f>
        <v>2989970.7</v>
      </c>
      <c r="AI36" s="94">
        <f t="shared" ref="AI36:AS36" si="147">SUM(AI37)</f>
        <v>1000704</v>
      </c>
      <c r="AJ36" s="94">
        <f t="shared" si="147"/>
        <v>0</v>
      </c>
      <c r="AK36" s="94">
        <f t="shared" si="147"/>
        <v>3990674.7</v>
      </c>
      <c r="AL36" s="94">
        <f t="shared" si="147"/>
        <v>3420675</v>
      </c>
      <c r="AM36" s="94">
        <f t="shared" si="147"/>
        <v>0</v>
      </c>
      <c r="AN36" s="94">
        <f t="shared" si="147"/>
        <v>0</v>
      </c>
      <c r="AO36" s="94">
        <f t="shared" si="147"/>
        <v>0</v>
      </c>
      <c r="AP36" s="94">
        <f t="shared" si="147"/>
        <v>0</v>
      </c>
      <c r="AQ36" s="94">
        <f t="shared" si="147"/>
        <v>0</v>
      </c>
      <c r="AR36" s="94">
        <f t="shared" si="147"/>
        <v>0</v>
      </c>
      <c r="AS36" s="94">
        <f t="shared" si="147"/>
        <v>-569999.69999999995</v>
      </c>
      <c r="AT36" s="70"/>
      <c r="AU36" s="94">
        <f>SUM(AU37)</f>
        <v>2989970.7</v>
      </c>
      <c r="AV36" s="94">
        <f t="shared" ref="AV36:BF36" si="148">SUM(AV37)</f>
        <v>1000704</v>
      </c>
      <c r="AW36" s="94">
        <f t="shared" si="148"/>
        <v>0</v>
      </c>
      <c r="AX36" s="94">
        <f t="shared" si="148"/>
        <v>3990674.7</v>
      </c>
      <c r="AY36" s="94">
        <f t="shared" si="148"/>
        <v>3420675</v>
      </c>
      <c r="AZ36" s="94">
        <f t="shared" si="148"/>
        <v>0</v>
      </c>
      <c r="BA36" s="94">
        <f t="shared" si="148"/>
        <v>0</v>
      </c>
      <c r="BB36" s="94">
        <f t="shared" si="148"/>
        <v>0</v>
      </c>
      <c r="BC36" s="94">
        <f t="shared" si="148"/>
        <v>0</v>
      </c>
      <c r="BD36" s="94">
        <f t="shared" si="148"/>
        <v>0</v>
      </c>
      <c r="BE36" s="94">
        <f t="shared" si="148"/>
        <v>0</v>
      </c>
      <c r="BF36" s="94">
        <f t="shared" si="148"/>
        <v>-569999.69999999995</v>
      </c>
      <c r="BG36" s="70"/>
      <c r="BH36" s="94">
        <f>SUM(BH37)</f>
        <v>2989970.7</v>
      </c>
      <c r="BI36" s="94">
        <f t="shared" ref="BI36:BS36" si="149">SUM(BI37)</f>
        <v>1000704</v>
      </c>
      <c r="BJ36" s="94">
        <f t="shared" si="149"/>
        <v>0</v>
      </c>
      <c r="BK36" s="94">
        <f t="shared" si="149"/>
        <v>3990674.7</v>
      </c>
      <c r="BL36" s="94">
        <f t="shared" si="149"/>
        <v>3420675</v>
      </c>
      <c r="BM36" s="94">
        <f t="shared" si="149"/>
        <v>0</v>
      </c>
      <c r="BN36" s="94">
        <f t="shared" si="149"/>
        <v>0</v>
      </c>
      <c r="BO36" s="94">
        <f t="shared" si="149"/>
        <v>0</v>
      </c>
      <c r="BP36" s="94">
        <f t="shared" si="149"/>
        <v>0</v>
      </c>
      <c r="BQ36" s="94">
        <f t="shared" si="149"/>
        <v>0</v>
      </c>
      <c r="BR36" s="94">
        <f t="shared" si="149"/>
        <v>0</v>
      </c>
      <c r="BS36" s="94">
        <f t="shared" si="149"/>
        <v>-569999.69999999995</v>
      </c>
      <c r="BT36" s="70"/>
      <c r="BU36" s="94">
        <f>SUM(BU37)</f>
        <v>2989970.7</v>
      </c>
      <c r="BV36" s="94">
        <f t="shared" ref="BV36:CF36" si="150">SUM(BV37)</f>
        <v>1000704</v>
      </c>
      <c r="BW36" s="94">
        <f t="shared" si="150"/>
        <v>0</v>
      </c>
      <c r="BX36" s="94">
        <f t="shared" si="150"/>
        <v>3990674.7</v>
      </c>
      <c r="BY36" s="94">
        <f t="shared" si="150"/>
        <v>3420675</v>
      </c>
      <c r="BZ36" s="94">
        <f t="shared" si="150"/>
        <v>0</v>
      </c>
      <c r="CA36" s="94">
        <f t="shared" si="150"/>
        <v>0</v>
      </c>
      <c r="CB36" s="94">
        <f t="shared" si="150"/>
        <v>0</v>
      </c>
      <c r="CC36" s="94">
        <f t="shared" si="150"/>
        <v>0</v>
      </c>
      <c r="CD36" s="94">
        <f t="shared" si="150"/>
        <v>0</v>
      </c>
      <c r="CE36" s="94">
        <f t="shared" si="150"/>
        <v>0</v>
      </c>
      <c r="CF36" s="94">
        <f t="shared" si="150"/>
        <v>-569999.69999999995</v>
      </c>
      <c r="CG36" s="70"/>
      <c r="CH36" s="94">
        <f>SUM(CH37)</f>
        <v>2989970.7</v>
      </c>
      <c r="CI36" s="94">
        <f t="shared" ref="CI36:CS36" si="151">SUM(CI37)</f>
        <v>1000704</v>
      </c>
      <c r="CJ36" s="94">
        <f t="shared" si="151"/>
        <v>0</v>
      </c>
      <c r="CK36" s="94">
        <f t="shared" si="151"/>
        <v>3990674.7</v>
      </c>
      <c r="CL36" s="94">
        <f t="shared" si="151"/>
        <v>3420675</v>
      </c>
      <c r="CM36" s="94">
        <f t="shared" si="151"/>
        <v>0</v>
      </c>
      <c r="CN36" s="94">
        <f t="shared" si="151"/>
        <v>0</v>
      </c>
      <c r="CO36" s="94">
        <f t="shared" si="151"/>
        <v>0</v>
      </c>
      <c r="CP36" s="94">
        <f t="shared" si="151"/>
        <v>0</v>
      </c>
      <c r="CQ36" s="94">
        <f t="shared" si="151"/>
        <v>0</v>
      </c>
      <c r="CR36" s="94">
        <f t="shared" si="151"/>
        <v>0</v>
      </c>
      <c r="CS36" s="94">
        <f t="shared" si="151"/>
        <v>-569999.69999999995</v>
      </c>
      <c r="CT36" s="70"/>
      <c r="CU36" s="94">
        <f>SUM(CU37)</f>
        <v>2989970.7</v>
      </c>
      <c r="CV36" s="94">
        <f t="shared" ref="CV36:DF36" si="152">SUM(CV37)</f>
        <v>1000704</v>
      </c>
      <c r="CW36" s="94">
        <f t="shared" si="152"/>
        <v>0</v>
      </c>
      <c r="CX36" s="94">
        <f t="shared" si="152"/>
        <v>3990674.7</v>
      </c>
      <c r="CY36" s="94">
        <f t="shared" si="152"/>
        <v>3420675</v>
      </c>
      <c r="CZ36" s="94">
        <f t="shared" si="152"/>
        <v>0</v>
      </c>
      <c r="DA36" s="94">
        <f t="shared" si="152"/>
        <v>0</v>
      </c>
      <c r="DB36" s="94">
        <f t="shared" si="152"/>
        <v>0</v>
      </c>
      <c r="DC36" s="94">
        <f t="shared" si="152"/>
        <v>0</v>
      </c>
      <c r="DD36" s="94">
        <f t="shared" si="152"/>
        <v>0</v>
      </c>
      <c r="DE36" s="94">
        <f t="shared" si="152"/>
        <v>0</v>
      </c>
      <c r="DF36" s="94">
        <f t="shared" si="152"/>
        <v>-569999.69999999995</v>
      </c>
      <c r="DG36" s="70"/>
      <c r="DH36" s="94">
        <f>SUM(DH37)</f>
        <v>2989970.7</v>
      </c>
      <c r="DI36" s="94">
        <f t="shared" ref="DI36:DS36" si="153">SUM(DI37)</f>
        <v>1000704</v>
      </c>
      <c r="DJ36" s="94">
        <f t="shared" si="153"/>
        <v>0</v>
      </c>
      <c r="DK36" s="94">
        <f t="shared" si="153"/>
        <v>3990674.7</v>
      </c>
      <c r="DL36" s="94">
        <f t="shared" si="153"/>
        <v>3420675</v>
      </c>
      <c r="DM36" s="94">
        <f t="shared" si="153"/>
        <v>0</v>
      </c>
      <c r="DN36" s="94">
        <f t="shared" si="153"/>
        <v>0</v>
      </c>
      <c r="DO36" s="94">
        <f t="shared" si="153"/>
        <v>0</v>
      </c>
      <c r="DP36" s="94">
        <f t="shared" si="153"/>
        <v>0</v>
      </c>
      <c r="DQ36" s="94">
        <f t="shared" si="153"/>
        <v>0</v>
      </c>
      <c r="DR36" s="94">
        <f t="shared" si="153"/>
        <v>0</v>
      </c>
      <c r="DS36" s="94">
        <f t="shared" si="153"/>
        <v>-569999.69999999995</v>
      </c>
      <c r="DT36" s="70"/>
      <c r="DU36" s="94">
        <f>SUM(DU37)</f>
        <v>2989970.7</v>
      </c>
      <c r="DV36" s="94">
        <f t="shared" ref="DV36:EF36" si="154">SUM(DV37)</f>
        <v>1000704</v>
      </c>
      <c r="DW36" s="94">
        <f t="shared" si="154"/>
        <v>0</v>
      </c>
      <c r="DX36" s="94">
        <f t="shared" si="154"/>
        <v>3990674.7</v>
      </c>
      <c r="DY36" s="94">
        <f t="shared" si="154"/>
        <v>3420675</v>
      </c>
      <c r="DZ36" s="94">
        <f t="shared" si="154"/>
        <v>0</v>
      </c>
      <c r="EA36" s="94">
        <f t="shared" si="154"/>
        <v>0</v>
      </c>
      <c r="EB36" s="94">
        <f t="shared" si="154"/>
        <v>0</v>
      </c>
      <c r="EC36" s="94">
        <f t="shared" si="154"/>
        <v>0</v>
      </c>
      <c r="ED36" s="94">
        <f t="shared" si="154"/>
        <v>0</v>
      </c>
      <c r="EE36" s="94">
        <f t="shared" si="154"/>
        <v>0</v>
      </c>
      <c r="EF36" s="94">
        <f t="shared" si="154"/>
        <v>-569999.69999999995</v>
      </c>
      <c r="EG36" s="70"/>
      <c r="EH36" s="94">
        <f t="shared" ref="EH36:ES36" si="155">SUM(EH37)</f>
        <v>33193447.799999993</v>
      </c>
      <c r="EI36" s="94">
        <f t="shared" si="155"/>
        <v>9879616</v>
      </c>
      <c r="EJ36" s="94">
        <f t="shared" si="155"/>
        <v>0</v>
      </c>
      <c r="EK36" s="94">
        <f t="shared" si="155"/>
        <v>43073063.800000004</v>
      </c>
      <c r="EL36" s="94">
        <f t="shared" si="155"/>
        <v>37943068</v>
      </c>
      <c r="EM36" s="94">
        <f t="shared" si="155"/>
        <v>0</v>
      </c>
      <c r="EN36" s="94">
        <f t="shared" si="155"/>
        <v>0</v>
      </c>
      <c r="EO36" s="94">
        <f t="shared" si="155"/>
        <v>0</v>
      </c>
      <c r="EP36" s="94">
        <f t="shared" si="155"/>
        <v>0</v>
      </c>
      <c r="EQ36" s="94">
        <f t="shared" si="155"/>
        <v>0</v>
      </c>
      <c r="ER36" s="94">
        <f t="shared" si="155"/>
        <v>0</v>
      </c>
      <c r="ES36" s="94">
        <f t="shared" si="155"/>
        <v>-5129995.8000000007</v>
      </c>
      <c r="EU36" s="194">
        <f t="shared" si="23"/>
        <v>0</v>
      </c>
      <c r="EW36" s="194">
        <f t="shared" si="24"/>
        <v>-5129995.8000000045</v>
      </c>
      <c r="EX36" s="194">
        <f t="shared" si="21"/>
        <v>0</v>
      </c>
    </row>
    <row r="37" spans="1:154" s="77" customFormat="1" ht="38.25" x14ac:dyDescent="0.25">
      <c r="A37" s="82"/>
      <c r="B37" s="88"/>
      <c r="C37" s="100"/>
      <c r="D37" s="193" t="str">
        <f>'Incremental_Cost Year 1'!D117</f>
        <v xml:space="preserve">01110 Planifikimi, Menaxhimi dhe Administrimi </v>
      </c>
      <c r="E37" s="193" t="str">
        <f>'Incremental_Cost Year 1'!E117</f>
        <v xml:space="preserve">2.5.1 Rritja e buxhetit të shëndetësisë </v>
      </c>
      <c r="F37" s="96">
        <f>'Incremental_Cost Year 1'!F117</f>
        <v>2021</v>
      </c>
      <c r="G37" s="96">
        <f>'Incremental_Cost Year 1'!G117</f>
        <v>2030</v>
      </c>
      <c r="H37" s="92">
        <f>'Incremental_Cost Year 1'!AQ117</f>
        <v>4636841.0999999996</v>
      </c>
      <c r="I37" s="92">
        <f>'Incremental_Cost Year 1'!AR117</f>
        <v>636160</v>
      </c>
      <c r="J37" s="92">
        <f>'Incremental_Cost Year 1'!AS117</f>
        <v>0</v>
      </c>
      <c r="K37" s="92">
        <f>'Incremental_Cost Year 1'!AT117</f>
        <v>5273001.0999999996</v>
      </c>
      <c r="L37" s="92">
        <f>'Incremental_Cost Year 1'!AU117</f>
        <v>5273002</v>
      </c>
      <c r="M37" s="92">
        <f>'Incremental_Cost Year 1'!AV117</f>
        <v>0</v>
      </c>
      <c r="N37" s="92">
        <f>'Incremental_Cost Year 1'!AW117</f>
        <v>0</v>
      </c>
      <c r="O37" s="92">
        <f>'Incremental_Cost Year 1'!AX117</f>
        <v>0</v>
      </c>
      <c r="P37" s="92">
        <f>'Incremental_Cost Year 1'!AY117</f>
        <v>0</v>
      </c>
      <c r="Q37" s="92">
        <f>'Incremental_Cost Year 1'!AZ117</f>
        <v>0</v>
      </c>
      <c r="R37" s="92">
        <f>'Incremental_Cost Year 1'!BA117</f>
        <v>0</v>
      </c>
      <c r="S37" s="92">
        <f>'Incremental_Cost Year 1'!BB117</f>
        <v>0.89999999990686774</v>
      </c>
      <c r="T37" s="70"/>
      <c r="U37" s="92">
        <f>'Incremental_Cost Year 2'!AQ117</f>
        <v>4636841.0999999996</v>
      </c>
      <c r="V37" s="92">
        <f>'Incremental_Cost Year 2'!AR117</f>
        <v>1237824</v>
      </c>
      <c r="W37" s="92">
        <f>'Incremental_Cost Year 2'!AS117</f>
        <v>0</v>
      </c>
      <c r="X37" s="92">
        <f>'Incremental_Cost Year 2'!AT117</f>
        <v>5874665.0999999996</v>
      </c>
      <c r="Y37" s="92">
        <f>'Incremental_Cost Year 2'!AU117</f>
        <v>5304666</v>
      </c>
      <c r="Z37" s="92">
        <f>'Incremental_Cost Year 2'!AV117</f>
        <v>0</v>
      </c>
      <c r="AA37" s="92">
        <f>'Incremental_Cost Year 2'!AW117</f>
        <v>0</v>
      </c>
      <c r="AB37" s="92">
        <f>'Incremental_Cost Year 2'!AX117</f>
        <v>0</v>
      </c>
      <c r="AC37" s="92">
        <f>'Incremental_Cost Year 2'!AY117</f>
        <v>0</v>
      </c>
      <c r="AD37" s="92">
        <f>'Incremental_Cost Year 2'!AZ117</f>
        <v>0</v>
      </c>
      <c r="AE37" s="92">
        <f>'Incremental_Cost Year 2'!BA117</f>
        <v>0</v>
      </c>
      <c r="AF37" s="92">
        <f>'Incremental_Cost Year 2'!BB117</f>
        <v>-569999.10000000009</v>
      </c>
      <c r="AG37" s="70"/>
      <c r="AH37" s="92">
        <f>'Incremental_Cost Year 3'!AQ117</f>
        <v>2989970.7</v>
      </c>
      <c r="AI37" s="92">
        <f>'Incremental_Cost Year 3'!AR117</f>
        <v>1000704</v>
      </c>
      <c r="AJ37" s="92">
        <f>'Incremental_Cost Year 3'!AS117</f>
        <v>0</v>
      </c>
      <c r="AK37" s="92">
        <f>'Incremental_Cost Year 3'!AT117</f>
        <v>3990674.7</v>
      </c>
      <c r="AL37" s="92">
        <f>'Incremental_Cost Year 3'!AU117</f>
        <v>3420675</v>
      </c>
      <c r="AM37" s="92">
        <f>'Incremental_Cost Year 3'!AV117</f>
        <v>0</v>
      </c>
      <c r="AN37" s="92">
        <f>'Incremental_Cost Year 3'!AW117</f>
        <v>0</v>
      </c>
      <c r="AO37" s="92">
        <f>'Incremental_Cost Year 3'!AX117</f>
        <v>0</v>
      </c>
      <c r="AP37" s="92">
        <f>'Incremental_Cost Year 3'!AY117</f>
        <v>0</v>
      </c>
      <c r="AQ37" s="92">
        <f>'Incremental_Cost Year 3'!AZ117</f>
        <v>0</v>
      </c>
      <c r="AR37" s="92">
        <f>'Incremental_Cost Year 3'!BA117</f>
        <v>0</v>
      </c>
      <c r="AS37" s="92">
        <f>'Incremental_Cost Year 3'!BB117</f>
        <v>-569999.69999999995</v>
      </c>
      <c r="AT37" s="70"/>
      <c r="AU37" s="92">
        <f>'Incremental_Cost Year 4'!AQ117</f>
        <v>2989970.7</v>
      </c>
      <c r="AV37" s="92">
        <f>'Incremental_Cost Year 4'!AR117</f>
        <v>1000704</v>
      </c>
      <c r="AW37" s="92">
        <f>'Incremental_Cost Year 4'!AS117</f>
        <v>0</v>
      </c>
      <c r="AX37" s="92">
        <f>'Incremental_Cost Year 4'!AT117</f>
        <v>3990674.7</v>
      </c>
      <c r="AY37" s="92">
        <f>'Incremental_Cost Year 4'!AU117</f>
        <v>3420675</v>
      </c>
      <c r="AZ37" s="92">
        <f>'Incremental_Cost Year 4'!AV117</f>
        <v>0</v>
      </c>
      <c r="BA37" s="92">
        <f>'Incremental_Cost Year 4'!AW117</f>
        <v>0</v>
      </c>
      <c r="BB37" s="92">
        <f>'Incremental_Cost Year 4'!AX117</f>
        <v>0</v>
      </c>
      <c r="BC37" s="92">
        <f>'Incremental_Cost Year 4'!AY117</f>
        <v>0</v>
      </c>
      <c r="BD37" s="92">
        <f>'Incremental_Cost Year 4'!AZ117</f>
        <v>0</v>
      </c>
      <c r="BE37" s="92">
        <f>'Incremental_Cost Year 4'!BA117</f>
        <v>0</v>
      </c>
      <c r="BF37" s="92">
        <f>'Incremental_Cost Year 4'!BB117</f>
        <v>-569999.69999999995</v>
      </c>
      <c r="BG37" s="70"/>
      <c r="BH37" s="92">
        <f>'Incremental_Cost Year 5'!AQ117</f>
        <v>2989970.7</v>
      </c>
      <c r="BI37" s="92">
        <f>'Incremental_Cost Year 5'!AR117</f>
        <v>1000704</v>
      </c>
      <c r="BJ37" s="92">
        <f>'Incremental_Cost Year 5'!AS117</f>
        <v>0</v>
      </c>
      <c r="BK37" s="92">
        <f>'Incremental_Cost Year 5'!AT117</f>
        <v>3990674.7</v>
      </c>
      <c r="BL37" s="92">
        <f>'Incremental_Cost Year 5'!AU117</f>
        <v>3420675</v>
      </c>
      <c r="BM37" s="92">
        <f>'Incremental_Cost Year 5'!AV117</f>
        <v>0</v>
      </c>
      <c r="BN37" s="92">
        <f>'Incremental_Cost Year 5'!AW117</f>
        <v>0</v>
      </c>
      <c r="BO37" s="92">
        <f>'Incremental_Cost Year 5'!AX117</f>
        <v>0</v>
      </c>
      <c r="BP37" s="92">
        <f>'Incremental_Cost Year 5'!AY117</f>
        <v>0</v>
      </c>
      <c r="BQ37" s="92">
        <f>'Incremental_Cost Year 5'!AZ117</f>
        <v>0</v>
      </c>
      <c r="BR37" s="92">
        <f>'Incremental_Cost Year 5'!BA117</f>
        <v>0</v>
      </c>
      <c r="BS37" s="92">
        <f>'Incremental_Cost Year 5'!BB117</f>
        <v>-569999.69999999995</v>
      </c>
      <c r="BT37" s="70"/>
      <c r="BU37" s="92">
        <f>'Incremental_Cost Year 6'!AQ117</f>
        <v>2989970.7</v>
      </c>
      <c r="BV37" s="92">
        <f>'Incremental_Cost Year 6'!AR117</f>
        <v>1000704</v>
      </c>
      <c r="BW37" s="92">
        <f>'Incremental_Cost Year 6'!AS117</f>
        <v>0</v>
      </c>
      <c r="BX37" s="92">
        <f>'Incremental_Cost Year 6'!AT117</f>
        <v>3990674.7</v>
      </c>
      <c r="BY37" s="92">
        <f>'Incremental_Cost Year 6'!AU117</f>
        <v>3420675</v>
      </c>
      <c r="BZ37" s="92">
        <f>'Incremental_Cost Year 6'!AV117</f>
        <v>0</v>
      </c>
      <c r="CA37" s="92">
        <f>'Incremental_Cost Year 6'!AW117</f>
        <v>0</v>
      </c>
      <c r="CB37" s="92">
        <f>'Incremental_Cost Year 6'!AX117</f>
        <v>0</v>
      </c>
      <c r="CC37" s="92">
        <f>'Incremental_Cost Year 6'!AY117</f>
        <v>0</v>
      </c>
      <c r="CD37" s="92">
        <f>'Incremental_Cost Year 6'!AZ117</f>
        <v>0</v>
      </c>
      <c r="CE37" s="92">
        <f>'Incremental_Cost Year 6'!BA117</f>
        <v>0</v>
      </c>
      <c r="CF37" s="92">
        <f>'Incremental_Cost Year 6'!BB117</f>
        <v>-569999.69999999995</v>
      </c>
      <c r="CG37" s="70"/>
      <c r="CH37" s="92">
        <f>'Incremental_Cost Year 7'!AQ117</f>
        <v>2989970.7</v>
      </c>
      <c r="CI37" s="92">
        <f>'Incremental_Cost Year 7'!AR117</f>
        <v>1000704</v>
      </c>
      <c r="CJ37" s="92">
        <f>'Incremental_Cost Year 7'!AS117</f>
        <v>0</v>
      </c>
      <c r="CK37" s="92">
        <f>'Incremental_Cost Year 7'!AT117</f>
        <v>3990674.7</v>
      </c>
      <c r="CL37" s="92">
        <f>'Incremental_Cost Year 7'!AU117</f>
        <v>3420675</v>
      </c>
      <c r="CM37" s="92">
        <f>'Incremental_Cost Year 7'!AV117</f>
        <v>0</v>
      </c>
      <c r="CN37" s="92">
        <f>'Incremental_Cost Year 7'!AW117</f>
        <v>0</v>
      </c>
      <c r="CO37" s="92">
        <f>'Incremental_Cost Year 7'!AX117</f>
        <v>0</v>
      </c>
      <c r="CP37" s="92">
        <f>'Incremental_Cost Year 7'!AY117</f>
        <v>0</v>
      </c>
      <c r="CQ37" s="92">
        <f>'Incremental_Cost Year 7'!AZ117</f>
        <v>0</v>
      </c>
      <c r="CR37" s="92">
        <f>'Incremental_Cost Year 7'!BA117</f>
        <v>0</v>
      </c>
      <c r="CS37" s="92">
        <f>'Incremental_Cost Year 7'!BB117</f>
        <v>-569999.69999999995</v>
      </c>
      <c r="CT37" s="70"/>
      <c r="CU37" s="92">
        <f>'Incremental_Cost Year 8'!AQ117</f>
        <v>2989970.7</v>
      </c>
      <c r="CV37" s="92">
        <f>'Incremental_Cost Year 8'!AR117</f>
        <v>1000704</v>
      </c>
      <c r="CW37" s="92">
        <f>'Incremental_Cost Year 8'!AS117</f>
        <v>0</v>
      </c>
      <c r="CX37" s="92">
        <f>'Incremental_Cost Year 8'!AT117</f>
        <v>3990674.7</v>
      </c>
      <c r="CY37" s="92">
        <f>'Incremental_Cost Year 8'!AU117</f>
        <v>3420675</v>
      </c>
      <c r="CZ37" s="92">
        <f>'Incremental_Cost Year 8'!AV117</f>
        <v>0</v>
      </c>
      <c r="DA37" s="92">
        <f>'Incremental_Cost Year 8'!AW117</f>
        <v>0</v>
      </c>
      <c r="DB37" s="92">
        <f>'Incremental_Cost Year 8'!AX117</f>
        <v>0</v>
      </c>
      <c r="DC37" s="92">
        <f>'Incremental_Cost Year 8'!AY117</f>
        <v>0</v>
      </c>
      <c r="DD37" s="92">
        <f>'Incremental_Cost Year 8'!AZ117</f>
        <v>0</v>
      </c>
      <c r="DE37" s="92">
        <f>'Incremental_Cost Year 8'!BA117</f>
        <v>0</v>
      </c>
      <c r="DF37" s="92">
        <f>'Incremental_Cost Year 8'!BB117</f>
        <v>-569999.69999999995</v>
      </c>
      <c r="DG37" s="70"/>
      <c r="DH37" s="92">
        <f>'Incremental_Cost Year 9'!AQ117</f>
        <v>2989970.7</v>
      </c>
      <c r="DI37" s="92">
        <f>'Incremental_Cost Year 9'!AR117</f>
        <v>1000704</v>
      </c>
      <c r="DJ37" s="92">
        <f>'Incremental_Cost Year 9'!AS117</f>
        <v>0</v>
      </c>
      <c r="DK37" s="92">
        <f>'Incremental_Cost Year 9'!AT117</f>
        <v>3990674.7</v>
      </c>
      <c r="DL37" s="92">
        <f>'Incremental_Cost Year 9'!AU117</f>
        <v>3420675</v>
      </c>
      <c r="DM37" s="92">
        <f>'Incremental_Cost Year 9'!AV117</f>
        <v>0</v>
      </c>
      <c r="DN37" s="92">
        <f>'Incremental_Cost Year 9'!AW117</f>
        <v>0</v>
      </c>
      <c r="DO37" s="92">
        <f>'Incremental_Cost Year 9'!AX117</f>
        <v>0</v>
      </c>
      <c r="DP37" s="92">
        <f>'Incremental_Cost Year 9'!AY117</f>
        <v>0</v>
      </c>
      <c r="DQ37" s="92">
        <f>'Incremental_Cost Year 9'!AZ117</f>
        <v>0</v>
      </c>
      <c r="DR37" s="92">
        <f>'Incremental_Cost Year 9'!BA117</f>
        <v>0</v>
      </c>
      <c r="DS37" s="92">
        <f>'Incremental_Cost Year 9'!BB117</f>
        <v>-569999.69999999995</v>
      </c>
      <c r="DT37" s="70"/>
      <c r="DU37" s="92">
        <f>'Incremental_Cost Year 10'!AQ117</f>
        <v>2989970.7</v>
      </c>
      <c r="DV37" s="92">
        <f>'Incremental_Cost Year 10'!AR117</f>
        <v>1000704</v>
      </c>
      <c r="DW37" s="92">
        <f>'Incremental_Cost Year 10'!AS117</f>
        <v>0</v>
      </c>
      <c r="DX37" s="92">
        <f>'Incremental_Cost Year 10'!AT117</f>
        <v>3990674.7</v>
      </c>
      <c r="DY37" s="92">
        <f>'Incremental_Cost Year 10'!AU117</f>
        <v>3420675</v>
      </c>
      <c r="DZ37" s="92">
        <f>'Incremental_Cost Year 10'!AV117</f>
        <v>0</v>
      </c>
      <c r="EA37" s="92">
        <f>'Incremental_Cost Year 10'!AW117</f>
        <v>0</v>
      </c>
      <c r="EB37" s="92">
        <f>'Incremental_Cost Year 10'!AX117</f>
        <v>0</v>
      </c>
      <c r="EC37" s="92">
        <f>'Incremental_Cost Year 10'!AY117</f>
        <v>0</v>
      </c>
      <c r="ED37" s="92">
        <f>'Incremental_Cost Year 10'!AZ117</f>
        <v>0</v>
      </c>
      <c r="EE37" s="92">
        <f>'Incremental_Cost Year 10'!BA117</f>
        <v>0</v>
      </c>
      <c r="EF37" s="92">
        <f>'Incremental_Cost Year 10'!BB117</f>
        <v>-569999.69999999995</v>
      </c>
      <c r="EG37" s="70"/>
      <c r="EH37" s="92">
        <f t="shared" ref="EH37:ES37" si="156">H37+U37+AH37+AU37+BH37+BU37+CH37+CU37+DH37+DU37</f>
        <v>33193447.799999993</v>
      </c>
      <c r="EI37" s="92">
        <f t="shared" si="156"/>
        <v>9879616</v>
      </c>
      <c r="EJ37" s="92">
        <f t="shared" si="156"/>
        <v>0</v>
      </c>
      <c r="EK37" s="92">
        <f t="shared" si="156"/>
        <v>43073063.800000004</v>
      </c>
      <c r="EL37" s="92">
        <f t="shared" si="156"/>
        <v>37943068</v>
      </c>
      <c r="EM37" s="92">
        <f t="shared" si="156"/>
        <v>0</v>
      </c>
      <c r="EN37" s="92">
        <f t="shared" si="156"/>
        <v>0</v>
      </c>
      <c r="EO37" s="92">
        <f t="shared" si="156"/>
        <v>0</v>
      </c>
      <c r="EP37" s="92">
        <f t="shared" si="156"/>
        <v>0</v>
      </c>
      <c r="EQ37" s="92">
        <f t="shared" si="156"/>
        <v>0</v>
      </c>
      <c r="ER37" s="92">
        <f t="shared" si="156"/>
        <v>0</v>
      </c>
      <c r="ES37" s="92">
        <f t="shared" si="156"/>
        <v>-5129995.8000000007</v>
      </c>
      <c r="EU37" s="194">
        <f t="shared" si="23"/>
        <v>0</v>
      </c>
      <c r="EW37" s="194">
        <f t="shared" si="24"/>
        <v>-5129995.8000000045</v>
      </c>
      <c r="EX37" s="194">
        <f t="shared" si="21"/>
        <v>0</v>
      </c>
    </row>
    <row r="38" spans="1:154" s="77" customFormat="1" x14ac:dyDescent="0.25">
      <c r="A38" s="87"/>
      <c r="B38" s="90"/>
      <c r="C38" s="421" t="str">
        <f>'Incremental_Cost Year 1'!C118:E118</f>
        <v>2.6 Objektivi Specifik: Fuqizimi i sistemit shëndetësor për të adresuar nevojat shëndetësore specifike të popullatës dhe barrierat për barazi gjatë gjithë ciklit të jetës</v>
      </c>
      <c r="D38" s="421"/>
      <c r="E38" s="422"/>
      <c r="F38" s="99"/>
      <c r="G38" s="99"/>
      <c r="H38" s="94">
        <f>SUM(H39)</f>
        <v>0</v>
      </c>
      <c r="I38" s="94">
        <f t="shared" ref="I38:S38" si="157">SUM(I39)</f>
        <v>0</v>
      </c>
      <c r="J38" s="94">
        <f t="shared" si="157"/>
        <v>0</v>
      </c>
      <c r="K38" s="94">
        <f t="shared" si="157"/>
        <v>0</v>
      </c>
      <c r="L38" s="94">
        <f t="shared" si="157"/>
        <v>0</v>
      </c>
      <c r="M38" s="94">
        <f t="shared" si="157"/>
        <v>0</v>
      </c>
      <c r="N38" s="94">
        <f t="shared" si="157"/>
        <v>0</v>
      </c>
      <c r="O38" s="94">
        <f t="shared" si="157"/>
        <v>0</v>
      </c>
      <c r="P38" s="94">
        <f t="shared" si="157"/>
        <v>0</v>
      </c>
      <c r="Q38" s="94">
        <f t="shared" si="157"/>
        <v>0</v>
      </c>
      <c r="R38" s="94">
        <f t="shared" si="157"/>
        <v>0</v>
      </c>
      <c r="S38" s="94">
        <f t="shared" si="157"/>
        <v>0</v>
      </c>
      <c r="T38" s="70"/>
      <c r="U38" s="94">
        <f>SUM(U39)</f>
        <v>2940840</v>
      </c>
      <c r="V38" s="94">
        <f t="shared" ref="V38:AF38" si="158">SUM(V39)</f>
        <v>2592252</v>
      </c>
      <c r="W38" s="94">
        <f t="shared" si="158"/>
        <v>0</v>
      </c>
      <c r="X38" s="94">
        <f t="shared" si="158"/>
        <v>5533092</v>
      </c>
      <c r="Y38" s="94">
        <f t="shared" si="158"/>
        <v>3538092</v>
      </c>
      <c r="Z38" s="94">
        <f t="shared" si="158"/>
        <v>0</v>
      </c>
      <c r="AA38" s="94">
        <f t="shared" si="158"/>
        <v>0</v>
      </c>
      <c r="AB38" s="94">
        <f t="shared" si="158"/>
        <v>0</v>
      </c>
      <c r="AC38" s="94">
        <f t="shared" si="158"/>
        <v>0</v>
      </c>
      <c r="AD38" s="94">
        <f t="shared" si="158"/>
        <v>0</v>
      </c>
      <c r="AE38" s="94">
        <f t="shared" si="158"/>
        <v>0</v>
      </c>
      <c r="AF38" s="94">
        <f t="shared" si="158"/>
        <v>-1995000</v>
      </c>
      <c r="AG38" s="70"/>
      <c r="AH38" s="94">
        <f>SUM(AH39)</f>
        <v>2940840</v>
      </c>
      <c r="AI38" s="94">
        <f t="shared" ref="AI38:AS38" si="159">SUM(AI39)</f>
        <v>2592252</v>
      </c>
      <c r="AJ38" s="94">
        <f t="shared" si="159"/>
        <v>0</v>
      </c>
      <c r="AK38" s="94">
        <f t="shared" si="159"/>
        <v>5533092</v>
      </c>
      <c r="AL38" s="94">
        <f t="shared" si="159"/>
        <v>3538092</v>
      </c>
      <c r="AM38" s="94">
        <f t="shared" si="159"/>
        <v>0</v>
      </c>
      <c r="AN38" s="94">
        <f t="shared" si="159"/>
        <v>0</v>
      </c>
      <c r="AO38" s="94">
        <f t="shared" si="159"/>
        <v>0</v>
      </c>
      <c r="AP38" s="94">
        <f t="shared" si="159"/>
        <v>0</v>
      </c>
      <c r="AQ38" s="94">
        <f t="shared" si="159"/>
        <v>0</v>
      </c>
      <c r="AR38" s="94">
        <f t="shared" si="159"/>
        <v>0</v>
      </c>
      <c r="AS38" s="94">
        <f t="shared" si="159"/>
        <v>-1995000</v>
      </c>
      <c r="AT38" s="70"/>
      <c r="AU38" s="94">
        <f>SUM(AU39)</f>
        <v>1764504</v>
      </c>
      <c r="AV38" s="94">
        <f t="shared" ref="AV38:BF38" si="160">SUM(AV39)</f>
        <v>3678000</v>
      </c>
      <c r="AW38" s="94">
        <f t="shared" si="160"/>
        <v>0</v>
      </c>
      <c r="AX38" s="94">
        <f t="shared" si="160"/>
        <v>5442504</v>
      </c>
      <c r="AY38" s="94">
        <f t="shared" si="160"/>
        <v>2082504</v>
      </c>
      <c r="AZ38" s="94">
        <f t="shared" si="160"/>
        <v>0</v>
      </c>
      <c r="BA38" s="94">
        <f t="shared" si="160"/>
        <v>0</v>
      </c>
      <c r="BB38" s="94">
        <f t="shared" si="160"/>
        <v>0</v>
      </c>
      <c r="BC38" s="94">
        <f t="shared" si="160"/>
        <v>0</v>
      </c>
      <c r="BD38" s="94">
        <f t="shared" si="160"/>
        <v>0</v>
      </c>
      <c r="BE38" s="94">
        <f t="shared" si="160"/>
        <v>0</v>
      </c>
      <c r="BF38" s="94">
        <f t="shared" si="160"/>
        <v>-3360000</v>
      </c>
      <c r="BG38" s="70"/>
      <c r="BH38" s="94">
        <f>SUM(BH39)</f>
        <v>1764504</v>
      </c>
      <c r="BI38" s="94">
        <f t="shared" ref="BI38:BS38" si="161">SUM(BI39)</f>
        <v>318000</v>
      </c>
      <c r="BJ38" s="94">
        <f t="shared" si="161"/>
        <v>0</v>
      </c>
      <c r="BK38" s="94">
        <f t="shared" si="161"/>
        <v>2082504</v>
      </c>
      <c r="BL38" s="94">
        <f t="shared" si="161"/>
        <v>2082504</v>
      </c>
      <c r="BM38" s="94">
        <f t="shared" si="161"/>
        <v>0</v>
      </c>
      <c r="BN38" s="94">
        <f t="shared" si="161"/>
        <v>0</v>
      </c>
      <c r="BO38" s="94">
        <f t="shared" si="161"/>
        <v>0</v>
      </c>
      <c r="BP38" s="94">
        <f t="shared" si="161"/>
        <v>0</v>
      </c>
      <c r="BQ38" s="94">
        <f t="shared" si="161"/>
        <v>0</v>
      </c>
      <c r="BR38" s="94">
        <f t="shared" si="161"/>
        <v>0</v>
      </c>
      <c r="BS38" s="94">
        <f t="shared" si="161"/>
        <v>0</v>
      </c>
      <c r="BT38" s="70"/>
      <c r="BU38" s="94">
        <f>SUM(BU39)</f>
        <v>0</v>
      </c>
      <c r="BV38" s="94">
        <f t="shared" ref="BV38:CF38" si="162">SUM(BV39)</f>
        <v>0</v>
      </c>
      <c r="BW38" s="94">
        <f t="shared" si="162"/>
        <v>0</v>
      </c>
      <c r="BX38" s="94">
        <f t="shared" si="162"/>
        <v>0</v>
      </c>
      <c r="BY38" s="94">
        <f t="shared" si="162"/>
        <v>0</v>
      </c>
      <c r="BZ38" s="94">
        <f t="shared" si="162"/>
        <v>0</v>
      </c>
      <c r="CA38" s="94">
        <f t="shared" si="162"/>
        <v>0</v>
      </c>
      <c r="CB38" s="94">
        <f t="shared" si="162"/>
        <v>0</v>
      </c>
      <c r="CC38" s="94">
        <f t="shared" si="162"/>
        <v>0</v>
      </c>
      <c r="CD38" s="94">
        <f t="shared" si="162"/>
        <v>0</v>
      </c>
      <c r="CE38" s="94">
        <f t="shared" si="162"/>
        <v>0</v>
      </c>
      <c r="CF38" s="94">
        <f t="shared" si="162"/>
        <v>0</v>
      </c>
      <c r="CG38" s="70"/>
      <c r="CH38" s="94">
        <f>SUM(CH39)</f>
        <v>0</v>
      </c>
      <c r="CI38" s="94">
        <f t="shared" ref="CI38:CS38" si="163">SUM(CI39)</f>
        <v>0</v>
      </c>
      <c r="CJ38" s="94">
        <f t="shared" si="163"/>
        <v>0</v>
      </c>
      <c r="CK38" s="94">
        <f t="shared" si="163"/>
        <v>0</v>
      </c>
      <c r="CL38" s="94">
        <f t="shared" si="163"/>
        <v>0</v>
      </c>
      <c r="CM38" s="94">
        <f t="shared" si="163"/>
        <v>0</v>
      </c>
      <c r="CN38" s="94">
        <f t="shared" si="163"/>
        <v>0</v>
      </c>
      <c r="CO38" s="94">
        <f t="shared" si="163"/>
        <v>0</v>
      </c>
      <c r="CP38" s="94">
        <f t="shared" si="163"/>
        <v>0</v>
      </c>
      <c r="CQ38" s="94">
        <f t="shared" si="163"/>
        <v>0</v>
      </c>
      <c r="CR38" s="94">
        <f t="shared" si="163"/>
        <v>0</v>
      </c>
      <c r="CS38" s="94">
        <f t="shared" si="163"/>
        <v>0</v>
      </c>
      <c r="CT38" s="70"/>
      <c r="CU38" s="94">
        <f>SUM(CU39)</f>
        <v>0</v>
      </c>
      <c r="CV38" s="94">
        <f t="shared" ref="CV38:DF38" si="164">SUM(CV39)</f>
        <v>0</v>
      </c>
      <c r="CW38" s="94">
        <f t="shared" si="164"/>
        <v>0</v>
      </c>
      <c r="CX38" s="94">
        <f t="shared" si="164"/>
        <v>0</v>
      </c>
      <c r="CY38" s="94">
        <f t="shared" si="164"/>
        <v>0</v>
      </c>
      <c r="CZ38" s="94">
        <f t="shared" si="164"/>
        <v>0</v>
      </c>
      <c r="DA38" s="94">
        <f t="shared" si="164"/>
        <v>0</v>
      </c>
      <c r="DB38" s="94">
        <f t="shared" si="164"/>
        <v>0</v>
      </c>
      <c r="DC38" s="94">
        <f t="shared" si="164"/>
        <v>0</v>
      </c>
      <c r="DD38" s="94">
        <f t="shared" si="164"/>
        <v>0</v>
      </c>
      <c r="DE38" s="94">
        <f t="shared" si="164"/>
        <v>0</v>
      </c>
      <c r="DF38" s="94">
        <f t="shared" si="164"/>
        <v>0</v>
      </c>
      <c r="DG38" s="70"/>
      <c r="DH38" s="94">
        <f>SUM(DH39)</f>
        <v>0</v>
      </c>
      <c r="DI38" s="94">
        <f t="shared" ref="DI38:DS38" si="165">SUM(DI39)</f>
        <v>0</v>
      </c>
      <c r="DJ38" s="94">
        <f t="shared" si="165"/>
        <v>0</v>
      </c>
      <c r="DK38" s="94">
        <f t="shared" si="165"/>
        <v>0</v>
      </c>
      <c r="DL38" s="94">
        <f t="shared" si="165"/>
        <v>0</v>
      </c>
      <c r="DM38" s="94">
        <f t="shared" si="165"/>
        <v>0</v>
      </c>
      <c r="DN38" s="94">
        <f t="shared" si="165"/>
        <v>0</v>
      </c>
      <c r="DO38" s="94">
        <f t="shared" si="165"/>
        <v>0</v>
      </c>
      <c r="DP38" s="94">
        <f t="shared" si="165"/>
        <v>0</v>
      </c>
      <c r="DQ38" s="94">
        <f t="shared" si="165"/>
        <v>0</v>
      </c>
      <c r="DR38" s="94">
        <f t="shared" si="165"/>
        <v>0</v>
      </c>
      <c r="DS38" s="94">
        <f t="shared" si="165"/>
        <v>0</v>
      </c>
      <c r="DT38" s="70"/>
      <c r="DU38" s="94">
        <f>SUM(DU39)</f>
        <v>0</v>
      </c>
      <c r="DV38" s="94">
        <f t="shared" ref="DV38:EF38" si="166">SUM(DV39)</f>
        <v>0</v>
      </c>
      <c r="DW38" s="94">
        <f t="shared" si="166"/>
        <v>0</v>
      </c>
      <c r="DX38" s="94">
        <f t="shared" si="166"/>
        <v>0</v>
      </c>
      <c r="DY38" s="94">
        <f t="shared" si="166"/>
        <v>0</v>
      </c>
      <c r="DZ38" s="94">
        <f t="shared" si="166"/>
        <v>0</v>
      </c>
      <c r="EA38" s="94">
        <f t="shared" si="166"/>
        <v>0</v>
      </c>
      <c r="EB38" s="94">
        <f t="shared" si="166"/>
        <v>0</v>
      </c>
      <c r="EC38" s="94">
        <f t="shared" si="166"/>
        <v>0</v>
      </c>
      <c r="ED38" s="94">
        <f t="shared" si="166"/>
        <v>0</v>
      </c>
      <c r="EE38" s="94">
        <f t="shared" si="166"/>
        <v>0</v>
      </c>
      <c r="EF38" s="94">
        <f t="shared" si="166"/>
        <v>0</v>
      </c>
      <c r="EG38" s="70"/>
      <c r="EH38" s="94">
        <f t="shared" ref="EH38:ER38" si="167">SUM(EH39)</f>
        <v>9410688</v>
      </c>
      <c r="EI38" s="94">
        <f t="shared" si="167"/>
        <v>9180504</v>
      </c>
      <c r="EJ38" s="94">
        <f t="shared" si="167"/>
        <v>0</v>
      </c>
      <c r="EK38" s="94">
        <f t="shared" si="167"/>
        <v>18591192</v>
      </c>
      <c r="EL38" s="94">
        <f t="shared" si="167"/>
        <v>11241192</v>
      </c>
      <c r="EM38" s="94">
        <f t="shared" si="167"/>
        <v>0</v>
      </c>
      <c r="EN38" s="94">
        <f t="shared" si="167"/>
        <v>0</v>
      </c>
      <c r="EO38" s="94">
        <f t="shared" si="167"/>
        <v>0</v>
      </c>
      <c r="EP38" s="94">
        <f t="shared" si="167"/>
        <v>0</v>
      </c>
      <c r="EQ38" s="94">
        <f t="shared" si="167"/>
        <v>0</v>
      </c>
      <c r="ER38" s="94">
        <f t="shared" si="167"/>
        <v>0</v>
      </c>
      <c r="ES38" s="94">
        <f>SUM(ES39)</f>
        <v>-7350000</v>
      </c>
      <c r="EU38" s="194">
        <f t="shared" si="23"/>
        <v>0</v>
      </c>
      <c r="EW38" s="194">
        <f t="shared" si="24"/>
        <v>-7350000</v>
      </c>
      <c r="EX38" s="194">
        <f t="shared" si="21"/>
        <v>0</v>
      </c>
    </row>
    <row r="39" spans="1:154" s="77" customFormat="1" ht="38.25" x14ac:dyDescent="0.25">
      <c r="A39" s="82"/>
      <c r="B39" s="88"/>
      <c r="C39" s="100"/>
      <c r="D39" s="193" t="str">
        <f>'Incremental_Cost Year 1'!D122</f>
        <v xml:space="preserve">01110 Planifikimi, Menaxhimi dhe Administrimi </v>
      </c>
      <c r="E39" s="193" t="str">
        <f>'Incremental_Cost Year 1'!E122</f>
        <v>2.6.1. Zhvillimi i politikave shëndetësore me qëllim për të lëvizur drejt blerjes së shërbimeve dhe qeverisjes së financimit të kujdesit shëndetësor</v>
      </c>
      <c r="F39" s="96">
        <f>'Incremental_Cost Year 1'!F122</f>
        <v>2022</v>
      </c>
      <c r="G39" s="96">
        <f>'Incremental_Cost Year 1'!G122</f>
        <v>2025</v>
      </c>
      <c r="H39" s="92">
        <f>'Incremental_Cost Year 1'!AQ122</f>
        <v>0</v>
      </c>
      <c r="I39" s="92">
        <f>'Incremental_Cost Year 1'!AR122</f>
        <v>0</v>
      </c>
      <c r="J39" s="92">
        <f>'Incremental_Cost Year 1'!AS122</f>
        <v>0</v>
      </c>
      <c r="K39" s="92">
        <f>'Incremental_Cost Year 1'!AT122</f>
        <v>0</v>
      </c>
      <c r="L39" s="92">
        <f>'Incremental_Cost Year 1'!AU122</f>
        <v>0</v>
      </c>
      <c r="M39" s="92">
        <f>'Incremental_Cost Year 1'!AV122</f>
        <v>0</v>
      </c>
      <c r="N39" s="92">
        <f>'Incremental_Cost Year 1'!AW122</f>
        <v>0</v>
      </c>
      <c r="O39" s="92">
        <f>'Incremental_Cost Year 1'!AX122</f>
        <v>0</v>
      </c>
      <c r="P39" s="92">
        <f>'Incremental_Cost Year 1'!AY122</f>
        <v>0</v>
      </c>
      <c r="Q39" s="92">
        <f>'Incremental_Cost Year 1'!AZ122</f>
        <v>0</v>
      </c>
      <c r="R39" s="92">
        <f>'Incremental_Cost Year 1'!BA122</f>
        <v>0</v>
      </c>
      <c r="S39" s="92">
        <f>'Incremental_Cost Year 1'!BB122</f>
        <v>0</v>
      </c>
      <c r="T39" s="70"/>
      <c r="U39" s="92">
        <f>'Incremental_Cost Year 2'!AQ122</f>
        <v>2940840</v>
      </c>
      <c r="V39" s="92">
        <f>'Incremental_Cost Year 2'!AR122</f>
        <v>2592252</v>
      </c>
      <c r="W39" s="92">
        <f>'Incremental_Cost Year 2'!AS122</f>
        <v>0</v>
      </c>
      <c r="X39" s="92">
        <f>'Incremental_Cost Year 2'!AT122</f>
        <v>5533092</v>
      </c>
      <c r="Y39" s="92">
        <f>'Incremental_Cost Year 2'!AU122</f>
        <v>3538092</v>
      </c>
      <c r="Z39" s="92">
        <f>'Incremental_Cost Year 2'!AV122</f>
        <v>0</v>
      </c>
      <c r="AA39" s="92">
        <f>'Incremental_Cost Year 2'!AW122</f>
        <v>0</v>
      </c>
      <c r="AB39" s="92">
        <f>'Incremental_Cost Year 2'!AX122</f>
        <v>0</v>
      </c>
      <c r="AC39" s="92">
        <f>'Incremental_Cost Year 2'!AY122</f>
        <v>0</v>
      </c>
      <c r="AD39" s="92">
        <f>'Incremental_Cost Year 2'!AZ122</f>
        <v>0</v>
      </c>
      <c r="AE39" s="92">
        <f>'Incremental_Cost Year 2'!BA122</f>
        <v>0</v>
      </c>
      <c r="AF39" s="92">
        <f>'Incremental_Cost Year 2'!BB122</f>
        <v>-1995000</v>
      </c>
      <c r="AG39" s="70"/>
      <c r="AH39" s="92">
        <f>'Incremental_Cost Year 3'!AQ122</f>
        <v>2940840</v>
      </c>
      <c r="AI39" s="92">
        <f>'Incremental_Cost Year 3'!AR122</f>
        <v>2592252</v>
      </c>
      <c r="AJ39" s="92">
        <f>'Incremental_Cost Year 3'!AS122</f>
        <v>0</v>
      </c>
      <c r="AK39" s="92">
        <f>'Incremental_Cost Year 3'!AT122</f>
        <v>5533092</v>
      </c>
      <c r="AL39" s="92">
        <f>'Incremental_Cost Year 3'!AU122</f>
        <v>3538092</v>
      </c>
      <c r="AM39" s="92">
        <f>'Incremental_Cost Year 3'!AV122</f>
        <v>0</v>
      </c>
      <c r="AN39" s="92">
        <f>'Incremental_Cost Year 3'!AW122</f>
        <v>0</v>
      </c>
      <c r="AO39" s="92">
        <f>'Incremental_Cost Year 3'!AX122</f>
        <v>0</v>
      </c>
      <c r="AP39" s="92">
        <f>'Incremental_Cost Year 3'!AY122</f>
        <v>0</v>
      </c>
      <c r="AQ39" s="92">
        <f>'Incremental_Cost Year 3'!AZ122</f>
        <v>0</v>
      </c>
      <c r="AR39" s="92">
        <f>'Incremental_Cost Year 3'!BA122</f>
        <v>0</v>
      </c>
      <c r="AS39" s="92">
        <f>'Incremental_Cost Year 3'!BB122</f>
        <v>-1995000</v>
      </c>
      <c r="AT39" s="70"/>
      <c r="AU39" s="92">
        <f>'Incremental_Cost Year 4'!AQ122</f>
        <v>1764504</v>
      </c>
      <c r="AV39" s="92">
        <f>'Incremental_Cost Year 4'!AR122</f>
        <v>3678000</v>
      </c>
      <c r="AW39" s="92">
        <f>'Incremental_Cost Year 4'!AS122</f>
        <v>0</v>
      </c>
      <c r="AX39" s="92">
        <f>'Incremental_Cost Year 4'!AT122</f>
        <v>5442504</v>
      </c>
      <c r="AY39" s="92">
        <f>'Incremental_Cost Year 4'!AU122</f>
        <v>2082504</v>
      </c>
      <c r="AZ39" s="92">
        <f>'Incremental_Cost Year 4'!AV122</f>
        <v>0</v>
      </c>
      <c r="BA39" s="92">
        <f>'Incremental_Cost Year 4'!AW122</f>
        <v>0</v>
      </c>
      <c r="BB39" s="92">
        <f>'Incremental_Cost Year 4'!AX122</f>
        <v>0</v>
      </c>
      <c r="BC39" s="92">
        <f>'Incremental_Cost Year 4'!AY122</f>
        <v>0</v>
      </c>
      <c r="BD39" s="92">
        <f>'Incremental_Cost Year 4'!AZ122</f>
        <v>0</v>
      </c>
      <c r="BE39" s="92">
        <f>'Incremental_Cost Year 4'!BA122</f>
        <v>0</v>
      </c>
      <c r="BF39" s="92">
        <f>'Incremental_Cost Year 4'!BB122</f>
        <v>-3360000</v>
      </c>
      <c r="BG39" s="70"/>
      <c r="BH39" s="92">
        <f>'Incremental_Cost Year 5'!AQ122</f>
        <v>1764504</v>
      </c>
      <c r="BI39" s="92">
        <f>'Incremental_Cost Year 5'!AR122</f>
        <v>318000</v>
      </c>
      <c r="BJ39" s="92">
        <f>'Incremental_Cost Year 5'!AS122</f>
        <v>0</v>
      </c>
      <c r="BK39" s="92">
        <f>'Incremental_Cost Year 5'!AT122</f>
        <v>2082504</v>
      </c>
      <c r="BL39" s="92">
        <f>'Incremental_Cost Year 5'!AU122</f>
        <v>2082504</v>
      </c>
      <c r="BM39" s="92">
        <f>'Incremental_Cost Year 5'!AV122</f>
        <v>0</v>
      </c>
      <c r="BN39" s="92">
        <f>'Incremental_Cost Year 5'!AW122</f>
        <v>0</v>
      </c>
      <c r="BO39" s="92">
        <f>'Incremental_Cost Year 5'!AX122</f>
        <v>0</v>
      </c>
      <c r="BP39" s="92">
        <f>'Incremental_Cost Year 5'!AY122</f>
        <v>0</v>
      </c>
      <c r="BQ39" s="92">
        <f>'Incremental_Cost Year 5'!AZ122</f>
        <v>0</v>
      </c>
      <c r="BR39" s="92">
        <f>'Incremental_Cost Year 5'!BA122</f>
        <v>0</v>
      </c>
      <c r="BS39" s="92">
        <f>'Incremental_Cost Year 5'!BB122</f>
        <v>0</v>
      </c>
      <c r="BT39" s="70"/>
      <c r="BU39" s="92">
        <f>'Incremental_Cost Year 6'!AQ122</f>
        <v>0</v>
      </c>
      <c r="BV39" s="92">
        <f>'Incremental_Cost Year 6'!AR122</f>
        <v>0</v>
      </c>
      <c r="BW39" s="92">
        <f>'Incremental_Cost Year 6'!AS122</f>
        <v>0</v>
      </c>
      <c r="BX39" s="92">
        <f>'Incremental_Cost Year 6'!AT122</f>
        <v>0</v>
      </c>
      <c r="BY39" s="92">
        <f>'Incremental_Cost Year 6'!AU122</f>
        <v>0</v>
      </c>
      <c r="BZ39" s="92">
        <f>'Incremental_Cost Year 6'!AV122</f>
        <v>0</v>
      </c>
      <c r="CA39" s="92">
        <f>'Incremental_Cost Year 6'!AW122</f>
        <v>0</v>
      </c>
      <c r="CB39" s="92">
        <f>'Incremental_Cost Year 6'!AX122</f>
        <v>0</v>
      </c>
      <c r="CC39" s="92">
        <f>'Incremental_Cost Year 6'!AY122</f>
        <v>0</v>
      </c>
      <c r="CD39" s="92">
        <f>'Incremental_Cost Year 6'!AZ122</f>
        <v>0</v>
      </c>
      <c r="CE39" s="92">
        <f>'Incremental_Cost Year 6'!BA122</f>
        <v>0</v>
      </c>
      <c r="CF39" s="92">
        <f>'Incremental_Cost Year 6'!BB122</f>
        <v>0</v>
      </c>
      <c r="CG39" s="70"/>
      <c r="CH39" s="92">
        <f>'Incremental_Cost Year 7'!AQ122</f>
        <v>0</v>
      </c>
      <c r="CI39" s="92">
        <f>'Incremental_Cost Year 7'!AR122</f>
        <v>0</v>
      </c>
      <c r="CJ39" s="92">
        <f>'Incremental_Cost Year 7'!AS122</f>
        <v>0</v>
      </c>
      <c r="CK39" s="92">
        <f>'Incremental_Cost Year 7'!AT122</f>
        <v>0</v>
      </c>
      <c r="CL39" s="92">
        <f>'Incremental_Cost Year 7'!AU122</f>
        <v>0</v>
      </c>
      <c r="CM39" s="92">
        <f>'Incremental_Cost Year 7'!AV122</f>
        <v>0</v>
      </c>
      <c r="CN39" s="92">
        <f>'Incremental_Cost Year 7'!AW122</f>
        <v>0</v>
      </c>
      <c r="CO39" s="92">
        <f>'Incremental_Cost Year 7'!AX122</f>
        <v>0</v>
      </c>
      <c r="CP39" s="92">
        <f>'Incremental_Cost Year 7'!AY122</f>
        <v>0</v>
      </c>
      <c r="CQ39" s="92">
        <f>'Incremental_Cost Year 7'!AZ122</f>
        <v>0</v>
      </c>
      <c r="CR39" s="92">
        <f>'Incremental_Cost Year 7'!BA122</f>
        <v>0</v>
      </c>
      <c r="CS39" s="92">
        <f>'Incremental_Cost Year 7'!BB122</f>
        <v>0</v>
      </c>
      <c r="CT39" s="70"/>
      <c r="CU39" s="92">
        <f>'Incremental_Cost Year 8'!AQ122</f>
        <v>0</v>
      </c>
      <c r="CV39" s="92">
        <f>'Incremental_Cost Year 8'!AR122</f>
        <v>0</v>
      </c>
      <c r="CW39" s="92">
        <f>'Incremental_Cost Year 8'!AS122</f>
        <v>0</v>
      </c>
      <c r="CX39" s="92">
        <f>'Incremental_Cost Year 8'!AT122</f>
        <v>0</v>
      </c>
      <c r="CY39" s="92">
        <f>'Incremental_Cost Year 8'!AU122</f>
        <v>0</v>
      </c>
      <c r="CZ39" s="92">
        <f>'Incremental_Cost Year 8'!AV122</f>
        <v>0</v>
      </c>
      <c r="DA39" s="92">
        <f>'Incremental_Cost Year 8'!AW122</f>
        <v>0</v>
      </c>
      <c r="DB39" s="92">
        <f>'Incremental_Cost Year 8'!AX122</f>
        <v>0</v>
      </c>
      <c r="DC39" s="92">
        <f>'Incremental_Cost Year 8'!AY122</f>
        <v>0</v>
      </c>
      <c r="DD39" s="92">
        <f>'Incremental_Cost Year 8'!AZ122</f>
        <v>0</v>
      </c>
      <c r="DE39" s="92">
        <f>'Incremental_Cost Year 8'!BA122</f>
        <v>0</v>
      </c>
      <c r="DF39" s="92">
        <f>'Incremental_Cost Year 8'!BB122</f>
        <v>0</v>
      </c>
      <c r="DG39" s="70"/>
      <c r="DH39" s="92">
        <f>'Incremental_Cost Year 9'!AQ122</f>
        <v>0</v>
      </c>
      <c r="DI39" s="92">
        <f>'Incremental_Cost Year 9'!AR122</f>
        <v>0</v>
      </c>
      <c r="DJ39" s="92">
        <f>'Incremental_Cost Year 9'!AS122</f>
        <v>0</v>
      </c>
      <c r="DK39" s="92">
        <f>'Incremental_Cost Year 9'!AT122</f>
        <v>0</v>
      </c>
      <c r="DL39" s="92">
        <f>'Incremental_Cost Year 9'!AU122</f>
        <v>0</v>
      </c>
      <c r="DM39" s="92">
        <f>'Incremental_Cost Year 9'!AV122</f>
        <v>0</v>
      </c>
      <c r="DN39" s="92">
        <f>'Incremental_Cost Year 9'!AW122</f>
        <v>0</v>
      </c>
      <c r="DO39" s="92">
        <f>'Incremental_Cost Year 9'!AX122</f>
        <v>0</v>
      </c>
      <c r="DP39" s="92">
        <f>'Incremental_Cost Year 9'!AY122</f>
        <v>0</v>
      </c>
      <c r="DQ39" s="92">
        <f>'Incremental_Cost Year 9'!AZ122</f>
        <v>0</v>
      </c>
      <c r="DR39" s="92">
        <f>'Incremental_Cost Year 9'!BA122</f>
        <v>0</v>
      </c>
      <c r="DS39" s="92">
        <f>'Incremental_Cost Year 9'!BB122</f>
        <v>0</v>
      </c>
      <c r="DT39" s="70"/>
      <c r="DU39" s="92">
        <f>'Incremental_Cost Year 10'!AQ122</f>
        <v>0</v>
      </c>
      <c r="DV39" s="92">
        <f>'Incremental_Cost Year 10'!AR122</f>
        <v>0</v>
      </c>
      <c r="DW39" s="92">
        <f>'Incremental_Cost Year 10'!AS122</f>
        <v>0</v>
      </c>
      <c r="DX39" s="92">
        <f>'Incremental_Cost Year 10'!AT122</f>
        <v>0</v>
      </c>
      <c r="DY39" s="92">
        <f>'Incremental_Cost Year 10'!AU122</f>
        <v>0</v>
      </c>
      <c r="DZ39" s="92">
        <f>'Incremental_Cost Year 10'!AV122</f>
        <v>0</v>
      </c>
      <c r="EA39" s="92">
        <f>'Incremental_Cost Year 10'!AW122</f>
        <v>0</v>
      </c>
      <c r="EB39" s="92">
        <f>'Incremental_Cost Year 10'!AX122</f>
        <v>0</v>
      </c>
      <c r="EC39" s="92">
        <f>'Incremental_Cost Year 10'!AY122</f>
        <v>0</v>
      </c>
      <c r="ED39" s="92">
        <f>'Incremental_Cost Year 10'!AZ122</f>
        <v>0</v>
      </c>
      <c r="EE39" s="92">
        <f>'Incremental_Cost Year 10'!BA122</f>
        <v>0</v>
      </c>
      <c r="EF39" s="92">
        <f>'Incremental_Cost Year 10'!BB122</f>
        <v>0</v>
      </c>
      <c r="EG39" s="70"/>
      <c r="EH39" s="92">
        <f t="shared" ref="EH39:ES39" si="168">H39+U39+AH39+AU39+BH39+BU39+CH39+CU39+DH39+DU39</f>
        <v>9410688</v>
      </c>
      <c r="EI39" s="92">
        <f t="shared" si="168"/>
        <v>9180504</v>
      </c>
      <c r="EJ39" s="92">
        <f t="shared" si="168"/>
        <v>0</v>
      </c>
      <c r="EK39" s="92">
        <f t="shared" si="168"/>
        <v>18591192</v>
      </c>
      <c r="EL39" s="92">
        <f t="shared" si="168"/>
        <v>11241192</v>
      </c>
      <c r="EM39" s="92">
        <f t="shared" si="168"/>
        <v>0</v>
      </c>
      <c r="EN39" s="92">
        <f t="shared" si="168"/>
        <v>0</v>
      </c>
      <c r="EO39" s="92">
        <f t="shared" si="168"/>
        <v>0</v>
      </c>
      <c r="EP39" s="92">
        <f t="shared" si="168"/>
        <v>0</v>
      </c>
      <c r="EQ39" s="92">
        <f t="shared" si="168"/>
        <v>0</v>
      </c>
      <c r="ER39" s="92">
        <f t="shared" si="168"/>
        <v>0</v>
      </c>
      <c r="ES39" s="92">
        <f t="shared" si="168"/>
        <v>-7350000</v>
      </c>
      <c r="EU39" s="194">
        <f t="shared" si="23"/>
        <v>0</v>
      </c>
      <c r="EW39" s="194">
        <f t="shared" si="24"/>
        <v>-7350000</v>
      </c>
      <c r="EX39" s="194">
        <f t="shared" si="21"/>
        <v>0</v>
      </c>
    </row>
    <row r="40" spans="1:154" s="77" customFormat="1" x14ac:dyDescent="0.25">
      <c r="A40" s="87"/>
      <c r="B40" s="90"/>
      <c r="C40" s="421" t="str">
        <f>'Incremental_Cost Year 1'!C123:E123</f>
        <v>2.7 Objektivi Specifik:  Përmirësimi i aksesit në barna, vaksina, diagnostifikime dhe pajisje të sigurta e cilësore</v>
      </c>
      <c r="D40" s="421"/>
      <c r="E40" s="422"/>
      <c r="F40" s="99"/>
      <c r="G40" s="99"/>
      <c r="H40" s="94">
        <f>SUM(H41)</f>
        <v>4189113.2142857146</v>
      </c>
      <c r="I40" s="94">
        <f t="shared" ref="I40:S40" si="169">SUM(I41)</f>
        <v>2413172</v>
      </c>
      <c r="J40" s="94">
        <f t="shared" si="169"/>
        <v>0</v>
      </c>
      <c r="K40" s="94">
        <f t="shared" si="169"/>
        <v>6602285.2142857146</v>
      </c>
      <c r="L40" s="94">
        <f t="shared" si="169"/>
        <v>6602285</v>
      </c>
      <c r="M40" s="94">
        <f t="shared" si="169"/>
        <v>0</v>
      </c>
      <c r="N40" s="94">
        <f t="shared" si="169"/>
        <v>0</v>
      </c>
      <c r="O40" s="94">
        <f t="shared" si="169"/>
        <v>0</v>
      </c>
      <c r="P40" s="94">
        <f t="shared" si="169"/>
        <v>0</v>
      </c>
      <c r="Q40" s="94">
        <f t="shared" si="169"/>
        <v>0</v>
      </c>
      <c r="R40" s="94">
        <f t="shared" si="169"/>
        <v>0</v>
      </c>
      <c r="S40" s="94">
        <f t="shared" si="169"/>
        <v>-0.21428571478463709</v>
      </c>
      <c r="T40" s="70"/>
      <c r="U40" s="94">
        <f>SUM(U41)</f>
        <v>28847489.785714284</v>
      </c>
      <c r="V40" s="94">
        <f t="shared" ref="V40:AF40" si="170">SUM(V41)</f>
        <v>5576654.4000000004</v>
      </c>
      <c r="W40" s="94">
        <f t="shared" si="170"/>
        <v>0</v>
      </c>
      <c r="X40" s="94">
        <f t="shared" si="170"/>
        <v>34424144.18571429</v>
      </c>
      <c r="Y40" s="94">
        <f t="shared" si="170"/>
        <v>33626145</v>
      </c>
      <c r="Z40" s="94">
        <f t="shared" si="170"/>
        <v>0</v>
      </c>
      <c r="AA40" s="94">
        <f t="shared" si="170"/>
        <v>0</v>
      </c>
      <c r="AB40" s="94">
        <f t="shared" si="170"/>
        <v>0</v>
      </c>
      <c r="AC40" s="94">
        <f t="shared" si="170"/>
        <v>0</v>
      </c>
      <c r="AD40" s="94">
        <f t="shared" si="170"/>
        <v>0</v>
      </c>
      <c r="AE40" s="94">
        <f t="shared" si="170"/>
        <v>0</v>
      </c>
      <c r="AF40" s="94">
        <f t="shared" si="170"/>
        <v>-797999.18571428582</v>
      </c>
      <c r="AG40" s="70"/>
      <c r="AH40" s="94">
        <f>SUM(AH41)</f>
        <v>25134679.285714284</v>
      </c>
      <c r="AI40" s="94">
        <f t="shared" ref="AI40:AS40" si="171">SUM(AI41)</f>
        <v>3800654.4</v>
      </c>
      <c r="AJ40" s="94">
        <f t="shared" si="171"/>
        <v>0</v>
      </c>
      <c r="AK40" s="94">
        <f t="shared" si="171"/>
        <v>28935333.68571429</v>
      </c>
      <c r="AL40" s="94">
        <f t="shared" si="171"/>
        <v>28935334</v>
      </c>
      <c r="AM40" s="94">
        <f t="shared" si="171"/>
        <v>0</v>
      </c>
      <c r="AN40" s="94">
        <f t="shared" si="171"/>
        <v>0</v>
      </c>
      <c r="AO40" s="94">
        <f t="shared" si="171"/>
        <v>0</v>
      </c>
      <c r="AP40" s="94">
        <f t="shared" si="171"/>
        <v>0</v>
      </c>
      <c r="AQ40" s="94">
        <f t="shared" si="171"/>
        <v>0</v>
      </c>
      <c r="AR40" s="94">
        <f t="shared" si="171"/>
        <v>0</v>
      </c>
      <c r="AS40" s="94">
        <f t="shared" si="171"/>
        <v>0.31428571417927742</v>
      </c>
      <c r="AT40" s="70"/>
      <c r="AU40" s="94">
        <f>SUM(AU41)</f>
        <v>25134679.285714284</v>
      </c>
      <c r="AV40" s="94">
        <f t="shared" ref="AV40:BF40" si="172">SUM(AV41)</f>
        <v>3800654.4</v>
      </c>
      <c r="AW40" s="94">
        <f t="shared" si="172"/>
        <v>0</v>
      </c>
      <c r="AX40" s="94">
        <f t="shared" si="172"/>
        <v>28935333.68571429</v>
      </c>
      <c r="AY40" s="94">
        <f t="shared" si="172"/>
        <v>28935334</v>
      </c>
      <c r="AZ40" s="94">
        <f t="shared" si="172"/>
        <v>0</v>
      </c>
      <c r="BA40" s="94">
        <f t="shared" si="172"/>
        <v>0</v>
      </c>
      <c r="BB40" s="94">
        <f t="shared" si="172"/>
        <v>0</v>
      </c>
      <c r="BC40" s="94">
        <f t="shared" si="172"/>
        <v>0</v>
      </c>
      <c r="BD40" s="94">
        <f t="shared" si="172"/>
        <v>0</v>
      </c>
      <c r="BE40" s="94">
        <f t="shared" si="172"/>
        <v>0</v>
      </c>
      <c r="BF40" s="94">
        <f t="shared" si="172"/>
        <v>0.31428571417927742</v>
      </c>
      <c r="BG40" s="70"/>
      <c r="BH40" s="94">
        <f>SUM(BH41)</f>
        <v>74827973.314285725</v>
      </c>
      <c r="BI40" s="94">
        <f t="shared" ref="BI40:BS40" si="173">SUM(BI41)</f>
        <v>13047063.6</v>
      </c>
      <c r="BJ40" s="94">
        <f t="shared" si="173"/>
        <v>0</v>
      </c>
      <c r="BK40" s="94">
        <f t="shared" si="173"/>
        <v>87875036.914285704</v>
      </c>
      <c r="BL40" s="94">
        <f t="shared" si="173"/>
        <v>87875038</v>
      </c>
      <c r="BM40" s="94">
        <f t="shared" si="173"/>
        <v>0</v>
      </c>
      <c r="BN40" s="94">
        <f t="shared" si="173"/>
        <v>0</v>
      </c>
      <c r="BO40" s="94">
        <f t="shared" si="173"/>
        <v>0</v>
      </c>
      <c r="BP40" s="94">
        <f t="shared" si="173"/>
        <v>0</v>
      </c>
      <c r="BQ40" s="94">
        <f t="shared" si="173"/>
        <v>0</v>
      </c>
      <c r="BR40" s="94">
        <f t="shared" si="173"/>
        <v>0</v>
      </c>
      <c r="BS40" s="94">
        <f t="shared" si="173"/>
        <v>1.0857142880558968</v>
      </c>
      <c r="BT40" s="70"/>
      <c r="BU40" s="94">
        <f>SUM(BU41)</f>
        <v>74827973.314285725</v>
      </c>
      <c r="BV40" s="94">
        <f t="shared" ref="BV40:CF40" si="174">SUM(BV41)</f>
        <v>13047063.6</v>
      </c>
      <c r="BW40" s="94">
        <f t="shared" si="174"/>
        <v>0</v>
      </c>
      <c r="BX40" s="94">
        <f t="shared" si="174"/>
        <v>87875036.914285704</v>
      </c>
      <c r="BY40" s="94">
        <f t="shared" si="174"/>
        <v>87875038</v>
      </c>
      <c r="BZ40" s="94">
        <f t="shared" si="174"/>
        <v>0</v>
      </c>
      <c r="CA40" s="94">
        <f t="shared" si="174"/>
        <v>0</v>
      </c>
      <c r="CB40" s="94">
        <f t="shared" si="174"/>
        <v>0</v>
      </c>
      <c r="CC40" s="94">
        <f t="shared" si="174"/>
        <v>0</v>
      </c>
      <c r="CD40" s="94">
        <f t="shared" si="174"/>
        <v>0</v>
      </c>
      <c r="CE40" s="94">
        <f t="shared" si="174"/>
        <v>0</v>
      </c>
      <c r="CF40" s="94">
        <f t="shared" si="174"/>
        <v>1.0857142880558968</v>
      </c>
      <c r="CG40" s="70"/>
      <c r="CH40" s="94">
        <f>SUM(CH41)</f>
        <v>74827973.314285725</v>
      </c>
      <c r="CI40" s="94">
        <f t="shared" ref="CI40:CS40" si="175">SUM(CI41)</f>
        <v>13047063.6</v>
      </c>
      <c r="CJ40" s="94">
        <f t="shared" si="175"/>
        <v>0</v>
      </c>
      <c r="CK40" s="94">
        <f t="shared" si="175"/>
        <v>87875036.914285704</v>
      </c>
      <c r="CL40" s="94">
        <f t="shared" si="175"/>
        <v>87875038</v>
      </c>
      <c r="CM40" s="94">
        <f t="shared" si="175"/>
        <v>0</v>
      </c>
      <c r="CN40" s="94">
        <f t="shared" si="175"/>
        <v>0</v>
      </c>
      <c r="CO40" s="94">
        <f t="shared" si="175"/>
        <v>0</v>
      </c>
      <c r="CP40" s="94">
        <f t="shared" si="175"/>
        <v>0</v>
      </c>
      <c r="CQ40" s="94">
        <f t="shared" si="175"/>
        <v>0</v>
      </c>
      <c r="CR40" s="94">
        <f t="shared" si="175"/>
        <v>0</v>
      </c>
      <c r="CS40" s="94">
        <f t="shared" si="175"/>
        <v>1.0857142880558968</v>
      </c>
      <c r="CT40" s="70"/>
      <c r="CU40" s="94">
        <f>SUM(CU41)</f>
        <v>74827973.314285725</v>
      </c>
      <c r="CV40" s="94">
        <f t="shared" ref="CV40:DF40" si="176">SUM(CV41)</f>
        <v>13047063.6</v>
      </c>
      <c r="CW40" s="94">
        <f t="shared" si="176"/>
        <v>0</v>
      </c>
      <c r="CX40" s="94">
        <f t="shared" si="176"/>
        <v>87875036.914285704</v>
      </c>
      <c r="CY40" s="94">
        <f t="shared" si="176"/>
        <v>87875038</v>
      </c>
      <c r="CZ40" s="94">
        <f t="shared" si="176"/>
        <v>0</v>
      </c>
      <c r="DA40" s="94">
        <f t="shared" si="176"/>
        <v>0</v>
      </c>
      <c r="DB40" s="94">
        <f t="shared" si="176"/>
        <v>0</v>
      </c>
      <c r="DC40" s="94">
        <f t="shared" si="176"/>
        <v>0</v>
      </c>
      <c r="DD40" s="94">
        <f t="shared" si="176"/>
        <v>0</v>
      </c>
      <c r="DE40" s="94">
        <f t="shared" si="176"/>
        <v>0</v>
      </c>
      <c r="DF40" s="94">
        <f t="shared" si="176"/>
        <v>1.0857142880558968</v>
      </c>
      <c r="DG40" s="70"/>
      <c r="DH40" s="94">
        <f>SUM(DH41)</f>
        <v>74827973.314285725</v>
      </c>
      <c r="DI40" s="94">
        <f t="shared" ref="DI40:DS40" si="177">SUM(DI41)</f>
        <v>13047063.6</v>
      </c>
      <c r="DJ40" s="94">
        <f t="shared" si="177"/>
        <v>0</v>
      </c>
      <c r="DK40" s="94">
        <f t="shared" si="177"/>
        <v>87875036.914285704</v>
      </c>
      <c r="DL40" s="94">
        <f t="shared" si="177"/>
        <v>87875038</v>
      </c>
      <c r="DM40" s="94">
        <f t="shared" si="177"/>
        <v>0</v>
      </c>
      <c r="DN40" s="94">
        <f t="shared" si="177"/>
        <v>0</v>
      </c>
      <c r="DO40" s="94">
        <f t="shared" si="177"/>
        <v>0</v>
      </c>
      <c r="DP40" s="94">
        <f t="shared" si="177"/>
        <v>0</v>
      </c>
      <c r="DQ40" s="94">
        <f t="shared" si="177"/>
        <v>0</v>
      </c>
      <c r="DR40" s="94">
        <f t="shared" si="177"/>
        <v>0</v>
      </c>
      <c r="DS40" s="94">
        <f t="shared" si="177"/>
        <v>1.0857142880558968</v>
      </c>
      <c r="DT40" s="70"/>
      <c r="DU40" s="94">
        <f>SUM(DU41)</f>
        <v>74827973.314285725</v>
      </c>
      <c r="DV40" s="94">
        <f t="shared" ref="DV40:EF40" si="178">SUM(DV41)</f>
        <v>13047063.6</v>
      </c>
      <c r="DW40" s="94">
        <f t="shared" si="178"/>
        <v>0</v>
      </c>
      <c r="DX40" s="94">
        <f t="shared" si="178"/>
        <v>87875036.914285704</v>
      </c>
      <c r="DY40" s="94">
        <f t="shared" si="178"/>
        <v>87875038</v>
      </c>
      <c r="DZ40" s="94">
        <f t="shared" si="178"/>
        <v>0</v>
      </c>
      <c r="EA40" s="94">
        <f t="shared" si="178"/>
        <v>0</v>
      </c>
      <c r="EB40" s="94">
        <f t="shared" si="178"/>
        <v>0</v>
      </c>
      <c r="EC40" s="94">
        <f t="shared" si="178"/>
        <v>0</v>
      </c>
      <c r="ED40" s="94">
        <f t="shared" si="178"/>
        <v>0</v>
      </c>
      <c r="EE40" s="94">
        <f t="shared" si="178"/>
        <v>0</v>
      </c>
      <c r="EF40" s="94">
        <f t="shared" si="178"/>
        <v>1.0857142880558968</v>
      </c>
      <c r="EG40" s="70"/>
      <c r="EH40" s="94">
        <f t="shared" ref="EH40:ES40" si="179">SUM(EH41)</f>
        <v>532273801.45714295</v>
      </c>
      <c r="EI40" s="94">
        <f t="shared" si="179"/>
        <v>93873516.799999982</v>
      </c>
      <c r="EJ40" s="94">
        <f t="shared" si="179"/>
        <v>0</v>
      </c>
      <c r="EK40" s="94">
        <f t="shared" si="179"/>
        <v>626147318.25714278</v>
      </c>
      <c r="EL40" s="94">
        <f t="shared" si="179"/>
        <v>625349326</v>
      </c>
      <c r="EM40" s="94">
        <f t="shared" si="179"/>
        <v>0</v>
      </c>
      <c r="EN40" s="94">
        <f t="shared" si="179"/>
        <v>0</v>
      </c>
      <c r="EO40" s="94">
        <f t="shared" si="179"/>
        <v>0</v>
      </c>
      <c r="EP40" s="94">
        <f t="shared" si="179"/>
        <v>0</v>
      </c>
      <c r="EQ40" s="94">
        <f t="shared" si="179"/>
        <v>0</v>
      </c>
      <c r="ER40" s="94">
        <f t="shared" si="179"/>
        <v>0</v>
      </c>
      <c r="ES40" s="94">
        <f t="shared" si="179"/>
        <v>-797992.25714284391</v>
      </c>
      <c r="EU40" s="194">
        <f t="shared" si="23"/>
        <v>0</v>
      </c>
      <c r="EW40" s="194">
        <f t="shared" si="24"/>
        <v>-797992.25714278221</v>
      </c>
      <c r="EX40" s="194">
        <f t="shared" si="21"/>
        <v>-6.1700120568275452E-8</v>
      </c>
    </row>
    <row r="41" spans="1:154" s="77" customFormat="1" ht="89.25" x14ac:dyDescent="0.25">
      <c r="A41" s="82"/>
      <c r="B41" s="88"/>
      <c r="C41" s="100"/>
      <c r="D41" s="193" t="str">
        <f>'Incremental_Cost Year 1'!D133</f>
        <v>01110 Planifikimi, Menaxhimi dhe Administrimi/07330 Shërbime të Kujdesit Shëndetësor Dytësor /AKSHI/Axhenda e digitaizimit</v>
      </c>
      <c r="E41" s="193" t="str">
        <f>'Incremental_Cost Year 1'!E133</f>
        <v>2.7.1 Fuqizimi i qeverisjes së tregut farmaceutik duke përfshirë vaksinat, diagnostifikimet dhe pajisjet</v>
      </c>
      <c r="F41" s="96">
        <f>'Incremental_Cost Year 1'!F133</f>
        <v>2021</v>
      </c>
      <c r="G41" s="96">
        <f>'Incremental_Cost Year 1'!G133</f>
        <v>2030</v>
      </c>
      <c r="H41" s="92">
        <f>'Incremental_Cost Year 1'!AQ133</f>
        <v>4189113.2142857146</v>
      </c>
      <c r="I41" s="92">
        <f>'Incremental_Cost Year 1'!AR133</f>
        <v>2413172</v>
      </c>
      <c r="J41" s="92">
        <f>'Incremental_Cost Year 1'!AS133</f>
        <v>0</v>
      </c>
      <c r="K41" s="92">
        <f>'Incremental_Cost Year 1'!AT133</f>
        <v>6602285.2142857146</v>
      </c>
      <c r="L41" s="92">
        <f>'Incremental_Cost Year 1'!AU133</f>
        <v>6602285</v>
      </c>
      <c r="M41" s="92">
        <f>'Incremental_Cost Year 1'!AV133</f>
        <v>0</v>
      </c>
      <c r="N41" s="92">
        <f>'Incremental_Cost Year 1'!AW133</f>
        <v>0</v>
      </c>
      <c r="O41" s="92">
        <f>'Incremental_Cost Year 1'!AX133</f>
        <v>0</v>
      </c>
      <c r="P41" s="92">
        <f>'Incremental_Cost Year 1'!AY133</f>
        <v>0</v>
      </c>
      <c r="Q41" s="92">
        <f>'Incremental_Cost Year 1'!AZ133</f>
        <v>0</v>
      </c>
      <c r="R41" s="92">
        <f>'Incremental_Cost Year 1'!BA133</f>
        <v>0</v>
      </c>
      <c r="S41" s="92">
        <f>'Incremental_Cost Year 1'!BB133</f>
        <v>-0.21428571478463709</v>
      </c>
      <c r="T41" s="70"/>
      <c r="U41" s="92">
        <f>'Incremental_Cost Year 2'!AQ133</f>
        <v>28847489.785714284</v>
      </c>
      <c r="V41" s="92">
        <f>'Incremental_Cost Year 2'!AR133</f>
        <v>5576654.4000000004</v>
      </c>
      <c r="W41" s="92">
        <f>'Incremental_Cost Year 2'!AS133</f>
        <v>0</v>
      </c>
      <c r="X41" s="92">
        <f>'Incremental_Cost Year 2'!AT133</f>
        <v>34424144.18571429</v>
      </c>
      <c r="Y41" s="92">
        <f>'Incremental_Cost Year 2'!AU133</f>
        <v>33626145</v>
      </c>
      <c r="Z41" s="92">
        <f>'Incremental_Cost Year 2'!AV133</f>
        <v>0</v>
      </c>
      <c r="AA41" s="92">
        <f>'Incremental_Cost Year 2'!AW133</f>
        <v>0</v>
      </c>
      <c r="AB41" s="92">
        <f>'Incremental_Cost Year 2'!AX133</f>
        <v>0</v>
      </c>
      <c r="AC41" s="92">
        <f>'Incremental_Cost Year 2'!AY133</f>
        <v>0</v>
      </c>
      <c r="AD41" s="92">
        <f>'Incremental_Cost Year 2'!AZ133</f>
        <v>0</v>
      </c>
      <c r="AE41" s="92">
        <f>'Incremental_Cost Year 2'!BA133</f>
        <v>0</v>
      </c>
      <c r="AF41" s="92">
        <f>'Incremental_Cost Year 2'!BB133</f>
        <v>-797999.18571428582</v>
      </c>
      <c r="AG41" s="70"/>
      <c r="AH41" s="92">
        <f>'Incremental_Cost Year 3'!AQ133</f>
        <v>25134679.285714284</v>
      </c>
      <c r="AI41" s="92">
        <f>'Incremental_Cost Year 3'!AR133</f>
        <v>3800654.4</v>
      </c>
      <c r="AJ41" s="92">
        <f>'Incremental_Cost Year 3'!AS133</f>
        <v>0</v>
      </c>
      <c r="AK41" s="92">
        <f>'Incremental_Cost Year 3'!AT133</f>
        <v>28935333.68571429</v>
      </c>
      <c r="AL41" s="92">
        <f>'Incremental_Cost Year 3'!AU133</f>
        <v>28935334</v>
      </c>
      <c r="AM41" s="92">
        <f>'Incremental_Cost Year 3'!AV133</f>
        <v>0</v>
      </c>
      <c r="AN41" s="92">
        <f>'Incremental_Cost Year 3'!AW133</f>
        <v>0</v>
      </c>
      <c r="AO41" s="92">
        <f>'Incremental_Cost Year 3'!AX133</f>
        <v>0</v>
      </c>
      <c r="AP41" s="92">
        <f>'Incremental_Cost Year 3'!AY133</f>
        <v>0</v>
      </c>
      <c r="AQ41" s="92">
        <f>'Incremental_Cost Year 3'!AZ133</f>
        <v>0</v>
      </c>
      <c r="AR41" s="92">
        <f>'Incremental_Cost Year 3'!BA133</f>
        <v>0</v>
      </c>
      <c r="AS41" s="92">
        <f>'Incremental_Cost Year 3'!BB133</f>
        <v>0.31428571417927742</v>
      </c>
      <c r="AT41" s="70"/>
      <c r="AU41" s="92">
        <f>'Incremental_Cost Year 4'!AQ133</f>
        <v>25134679.285714284</v>
      </c>
      <c r="AV41" s="92">
        <f>'Incremental_Cost Year 4'!AR133</f>
        <v>3800654.4</v>
      </c>
      <c r="AW41" s="92">
        <f>'Incremental_Cost Year 4'!AS133</f>
        <v>0</v>
      </c>
      <c r="AX41" s="92">
        <f>'Incremental_Cost Year 4'!AT133</f>
        <v>28935333.68571429</v>
      </c>
      <c r="AY41" s="92">
        <f>'Incremental_Cost Year 4'!AU133</f>
        <v>28935334</v>
      </c>
      <c r="AZ41" s="92">
        <f>'Incremental_Cost Year 4'!AV133</f>
        <v>0</v>
      </c>
      <c r="BA41" s="92">
        <f>'Incremental_Cost Year 4'!AW133</f>
        <v>0</v>
      </c>
      <c r="BB41" s="92">
        <f>'Incremental_Cost Year 4'!AX133</f>
        <v>0</v>
      </c>
      <c r="BC41" s="92">
        <f>'Incremental_Cost Year 4'!AY133</f>
        <v>0</v>
      </c>
      <c r="BD41" s="92">
        <f>'Incremental_Cost Year 4'!AZ133</f>
        <v>0</v>
      </c>
      <c r="BE41" s="92">
        <f>'Incremental_Cost Year 4'!BA133</f>
        <v>0</v>
      </c>
      <c r="BF41" s="92">
        <f>'Incremental_Cost Year 4'!BB133</f>
        <v>0.31428571417927742</v>
      </c>
      <c r="BG41" s="70"/>
      <c r="BH41" s="92">
        <f>'Incremental_Cost Year 5'!AQ133</f>
        <v>74827973.314285725</v>
      </c>
      <c r="BI41" s="92">
        <f>'Incremental_Cost Year 5'!AR133</f>
        <v>13047063.6</v>
      </c>
      <c r="BJ41" s="92">
        <f>'Incremental_Cost Year 5'!AS133</f>
        <v>0</v>
      </c>
      <c r="BK41" s="92">
        <f>'Incremental_Cost Year 5'!AT133</f>
        <v>87875036.914285704</v>
      </c>
      <c r="BL41" s="92">
        <f>'Incremental_Cost Year 5'!AU133</f>
        <v>87875038</v>
      </c>
      <c r="BM41" s="92">
        <f>'Incremental_Cost Year 5'!AV133</f>
        <v>0</v>
      </c>
      <c r="BN41" s="92">
        <f>'Incremental_Cost Year 5'!AW133</f>
        <v>0</v>
      </c>
      <c r="BO41" s="92">
        <f>'Incremental_Cost Year 5'!AX133</f>
        <v>0</v>
      </c>
      <c r="BP41" s="92">
        <f>'Incremental_Cost Year 5'!AY133</f>
        <v>0</v>
      </c>
      <c r="BQ41" s="92">
        <f>'Incremental_Cost Year 5'!AZ133</f>
        <v>0</v>
      </c>
      <c r="BR41" s="92">
        <f>'Incremental_Cost Year 5'!BA133</f>
        <v>0</v>
      </c>
      <c r="BS41" s="92">
        <f>'Incremental_Cost Year 5'!BB133</f>
        <v>1.0857142880558968</v>
      </c>
      <c r="BT41" s="70"/>
      <c r="BU41" s="92">
        <f>'Incremental_Cost Year 6'!AQ133</f>
        <v>74827973.314285725</v>
      </c>
      <c r="BV41" s="92">
        <f>'Incremental_Cost Year 6'!AR133</f>
        <v>13047063.6</v>
      </c>
      <c r="BW41" s="92">
        <f>'Incremental_Cost Year 6'!AS133</f>
        <v>0</v>
      </c>
      <c r="BX41" s="92">
        <f>'Incremental_Cost Year 6'!AT133</f>
        <v>87875036.914285704</v>
      </c>
      <c r="BY41" s="92">
        <f>'Incremental_Cost Year 6'!AU133</f>
        <v>87875038</v>
      </c>
      <c r="BZ41" s="92">
        <f>'Incremental_Cost Year 6'!AV133</f>
        <v>0</v>
      </c>
      <c r="CA41" s="92">
        <f>'Incremental_Cost Year 6'!AW133</f>
        <v>0</v>
      </c>
      <c r="CB41" s="92">
        <f>'Incremental_Cost Year 6'!AX133</f>
        <v>0</v>
      </c>
      <c r="CC41" s="92">
        <f>'Incremental_Cost Year 6'!AY133</f>
        <v>0</v>
      </c>
      <c r="CD41" s="92">
        <f>'Incremental_Cost Year 6'!AZ133</f>
        <v>0</v>
      </c>
      <c r="CE41" s="92">
        <f>'Incremental_Cost Year 6'!BA133</f>
        <v>0</v>
      </c>
      <c r="CF41" s="92">
        <f>'Incremental_Cost Year 6'!BB133</f>
        <v>1.0857142880558968</v>
      </c>
      <c r="CG41" s="70"/>
      <c r="CH41" s="92">
        <f>'Incremental_Cost Year 7'!AQ133</f>
        <v>74827973.314285725</v>
      </c>
      <c r="CI41" s="92">
        <f>'Incremental_Cost Year 7'!AR133</f>
        <v>13047063.6</v>
      </c>
      <c r="CJ41" s="92">
        <f>'Incremental_Cost Year 7'!AS133</f>
        <v>0</v>
      </c>
      <c r="CK41" s="92">
        <f>'Incremental_Cost Year 7'!AT133</f>
        <v>87875036.914285704</v>
      </c>
      <c r="CL41" s="92">
        <f>'Incremental_Cost Year 7'!AU133</f>
        <v>87875038</v>
      </c>
      <c r="CM41" s="92">
        <f>'Incremental_Cost Year 7'!AV133</f>
        <v>0</v>
      </c>
      <c r="CN41" s="92">
        <f>'Incremental_Cost Year 7'!AW133</f>
        <v>0</v>
      </c>
      <c r="CO41" s="92">
        <f>'Incremental_Cost Year 7'!AX133</f>
        <v>0</v>
      </c>
      <c r="CP41" s="92">
        <f>'Incremental_Cost Year 7'!AY133</f>
        <v>0</v>
      </c>
      <c r="CQ41" s="92">
        <f>'Incremental_Cost Year 7'!AZ133</f>
        <v>0</v>
      </c>
      <c r="CR41" s="92">
        <f>'Incremental_Cost Year 7'!BA133</f>
        <v>0</v>
      </c>
      <c r="CS41" s="92">
        <f>'Incremental_Cost Year 7'!BB133</f>
        <v>1.0857142880558968</v>
      </c>
      <c r="CT41" s="70"/>
      <c r="CU41" s="92">
        <f>'Incremental_Cost Year 8'!AQ133</f>
        <v>74827973.314285725</v>
      </c>
      <c r="CV41" s="92">
        <f>'Incremental_Cost Year 8'!AR133</f>
        <v>13047063.6</v>
      </c>
      <c r="CW41" s="92">
        <f>'Incremental_Cost Year 8'!AS133</f>
        <v>0</v>
      </c>
      <c r="CX41" s="92">
        <f>'Incremental_Cost Year 8'!AT133</f>
        <v>87875036.914285704</v>
      </c>
      <c r="CY41" s="92">
        <f>'Incremental_Cost Year 8'!AU133</f>
        <v>87875038</v>
      </c>
      <c r="CZ41" s="92">
        <f>'Incremental_Cost Year 8'!AV133</f>
        <v>0</v>
      </c>
      <c r="DA41" s="92">
        <f>'Incremental_Cost Year 8'!AW133</f>
        <v>0</v>
      </c>
      <c r="DB41" s="92">
        <f>'Incremental_Cost Year 8'!AX133</f>
        <v>0</v>
      </c>
      <c r="DC41" s="92">
        <f>'Incremental_Cost Year 8'!AY133</f>
        <v>0</v>
      </c>
      <c r="DD41" s="92">
        <f>'Incremental_Cost Year 8'!AZ133</f>
        <v>0</v>
      </c>
      <c r="DE41" s="92">
        <f>'Incremental_Cost Year 8'!BA133</f>
        <v>0</v>
      </c>
      <c r="DF41" s="92">
        <f>'Incremental_Cost Year 8'!BB133</f>
        <v>1.0857142880558968</v>
      </c>
      <c r="DG41" s="70"/>
      <c r="DH41" s="92">
        <f>'Incremental_Cost Year 9'!AQ133</f>
        <v>74827973.314285725</v>
      </c>
      <c r="DI41" s="92">
        <f>'Incremental_Cost Year 9'!AR133</f>
        <v>13047063.6</v>
      </c>
      <c r="DJ41" s="92">
        <f>'Incremental_Cost Year 9'!AS133</f>
        <v>0</v>
      </c>
      <c r="DK41" s="92">
        <f>'Incremental_Cost Year 9'!AT133</f>
        <v>87875036.914285704</v>
      </c>
      <c r="DL41" s="92">
        <f>'Incremental_Cost Year 9'!AU133</f>
        <v>87875038</v>
      </c>
      <c r="DM41" s="92">
        <f>'Incremental_Cost Year 9'!AV133</f>
        <v>0</v>
      </c>
      <c r="DN41" s="92">
        <f>'Incremental_Cost Year 9'!AW133</f>
        <v>0</v>
      </c>
      <c r="DO41" s="92">
        <f>'Incremental_Cost Year 9'!AX133</f>
        <v>0</v>
      </c>
      <c r="DP41" s="92">
        <f>'Incremental_Cost Year 9'!AY133</f>
        <v>0</v>
      </c>
      <c r="DQ41" s="92">
        <f>'Incremental_Cost Year 9'!AZ133</f>
        <v>0</v>
      </c>
      <c r="DR41" s="92">
        <f>'Incremental_Cost Year 9'!BA133</f>
        <v>0</v>
      </c>
      <c r="DS41" s="92">
        <f>'Incremental_Cost Year 9'!BB133</f>
        <v>1.0857142880558968</v>
      </c>
      <c r="DT41" s="70"/>
      <c r="DU41" s="92">
        <f>'Incremental_Cost Year 10'!AQ133</f>
        <v>74827973.314285725</v>
      </c>
      <c r="DV41" s="92">
        <f>'Incremental_Cost Year 10'!AR133</f>
        <v>13047063.6</v>
      </c>
      <c r="DW41" s="92">
        <f>'Incremental_Cost Year 10'!AS133</f>
        <v>0</v>
      </c>
      <c r="DX41" s="92">
        <f>'Incremental_Cost Year 10'!AT133</f>
        <v>87875036.914285704</v>
      </c>
      <c r="DY41" s="92">
        <f>'Incremental_Cost Year 10'!AU133</f>
        <v>87875038</v>
      </c>
      <c r="DZ41" s="92">
        <f>'Incremental_Cost Year 10'!AV133</f>
        <v>0</v>
      </c>
      <c r="EA41" s="92">
        <f>'Incremental_Cost Year 10'!AW133</f>
        <v>0</v>
      </c>
      <c r="EB41" s="92">
        <f>'Incremental_Cost Year 10'!AX133</f>
        <v>0</v>
      </c>
      <c r="EC41" s="92">
        <f>'Incremental_Cost Year 10'!AY133</f>
        <v>0</v>
      </c>
      <c r="ED41" s="92">
        <f>'Incremental_Cost Year 10'!AZ133</f>
        <v>0</v>
      </c>
      <c r="EE41" s="92">
        <f>'Incremental_Cost Year 10'!BA133</f>
        <v>0</v>
      </c>
      <c r="EF41" s="92">
        <f>'Incremental_Cost Year 10'!BB133</f>
        <v>1.0857142880558968</v>
      </c>
      <c r="EG41" s="70"/>
      <c r="EH41" s="92">
        <f t="shared" ref="EH41:ES41" si="180">H41+U41+AH41+AU41+BH41+BU41+CH41+CU41+DH41+DU41</f>
        <v>532273801.45714295</v>
      </c>
      <c r="EI41" s="92">
        <f t="shared" si="180"/>
        <v>93873516.799999982</v>
      </c>
      <c r="EJ41" s="92">
        <f t="shared" si="180"/>
        <v>0</v>
      </c>
      <c r="EK41" s="92">
        <f t="shared" si="180"/>
        <v>626147318.25714278</v>
      </c>
      <c r="EL41" s="92">
        <f t="shared" si="180"/>
        <v>625349326</v>
      </c>
      <c r="EM41" s="92">
        <f t="shared" si="180"/>
        <v>0</v>
      </c>
      <c r="EN41" s="92">
        <f t="shared" si="180"/>
        <v>0</v>
      </c>
      <c r="EO41" s="92">
        <f t="shared" si="180"/>
        <v>0</v>
      </c>
      <c r="EP41" s="92">
        <f t="shared" si="180"/>
        <v>0</v>
      </c>
      <c r="EQ41" s="92">
        <f t="shared" si="180"/>
        <v>0</v>
      </c>
      <c r="ER41" s="92">
        <f t="shared" si="180"/>
        <v>0</v>
      </c>
      <c r="ES41" s="92">
        <f t="shared" si="180"/>
        <v>-797992.25714284391</v>
      </c>
      <c r="EU41" s="194">
        <f t="shared" si="23"/>
        <v>0</v>
      </c>
      <c r="EW41" s="194">
        <f t="shared" si="24"/>
        <v>-797992.25714278221</v>
      </c>
      <c r="EX41" s="194">
        <f t="shared" si="21"/>
        <v>-6.1700120568275452E-8</v>
      </c>
    </row>
    <row r="42" spans="1:154" s="77" customFormat="1" x14ac:dyDescent="0.25">
      <c r="A42" s="87"/>
      <c r="B42" s="90"/>
      <c r="C42" s="421" t="str">
        <f>'Incremental_Cost Year 1'!C134:E134</f>
        <v>2.8 Objektivi Specifik: Rishikimi dhe zgjerimi i politikave dhe rregullave të rimbursimi të barnave si dhe mekanizmat e shpërndarjes së tyre</v>
      </c>
      <c r="D42" s="421"/>
      <c r="E42" s="422"/>
      <c r="F42" s="99"/>
      <c r="G42" s="99"/>
      <c r="H42" s="94">
        <f>SUM(H43)</f>
        <v>0</v>
      </c>
      <c r="I42" s="94">
        <f t="shared" ref="I42:S42" si="181">SUM(I43)</f>
        <v>1243844750</v>
      </c>
      <c r="J42" s="94">
        <f t="shared" si="181"/>
        <v>0</v>
      </c>
      <c r="K42" s="94">
        <f t="shared" si="181"/>
        <v>1243844750</v>
      </c>
      <c r="L42" s="94">
        <f t="shared" si="181"/>
        <v>1243844750</v>
      </c>
      <c r="M42" s="94">
        <f t="shared" si="181"/>
        <v>0</v>
      </c>
      <c r="N42" s="94">
        <f t="shared" si="181"/>
        <v>0</v>
      </c>
      <c r="O42" s="94">
        <f t="shared" si="181"/>
        <v>0</v>
      </c>
      <c r="P42" s="94">
        <f t="shared" si="181"/>
        <v>0</v>
      </c>
      <c r="Q42" s="94">
        <f t="shared" si="181"/>
        <v>0</v>
      </c>
      <c r="R42" s="94">
        <f t="shared" si="181"/>
        <v>0</v>
      </c>
      <c r="S42" s="94">
        <f t="shared" si="181"/>
        <v>0</v>
      </c>
      <c r="T42" s="70"/>
      <c r="U42" s="94">
        <f>SUM(U43)</f>
        <v>1980165.6</v>
      </c>
      <c r="V42" s="94">
        <f t="shared" ref="V42:AF42" si="182">SUM(V43)</f>
        <v>11032240000</v>
      </c>
      <c r="W42" s="94">
        <f t="shared" si="182"/>
        <v>0</v>
      </c>
      <c r="X42" s="94">
        <f t="shared" si="182"/>
        <v>11034220165.6</v>
      </c>
      <c r="Y42" s="94">
        <f t="shared" si="182"/>
        <v>11034220166</v>
      </c>
      <c r="Z42" s="94">
        <f t="shared" si="182"/>
        <v>0</v>
      </c>
      <c r="AA42" s="94">
        <f t="shared" si="182"/>
        <v>0</v>
      </c>
      <c r="AB42" s="94">
        <f t="shared" si="182"/>
        <v>0</v>
      </c>
      <c r="AC42" s="94">
        <f t="shared" si="182"/>
        <v>0</v>
      </c>
      <c r="AD42" s="94">
        <f t="shared" si="182"/>
        <v>0</v>
      </c>
      <c r="AE42" s="94">
        <f t="shared" si="182"/>
        <v>0</v>
      </c>
      <c r="AF42" s="94">
        <f t="shared" si="182"/>
        <v>0.40000000037252903</v>
      </c>
      <c r="AG42" s="70"/>
      <c r="AH42" s="94">
        <f>SUM(AH43)</f>
        <v>1980165.6</v>
      </c>
      <c r="AI42" s="94">
        <f t="shared" ref="AI42:AS42" si="183">SUM(AI43)</f>
        <v>11032240000</v>
      </c>
      <c r="AJ42" s="94">
        <f t="shared" si="183"/>
        <v>0</v>
      </c>
      <c r="AK42" s="94">
        <f t="shared" si="183"/>
        <v>11034220165.6</v>
      </c>
      <c r="AL42" s="94">
        <f t="shared" si="183"/>
        <v>11034220166</v>
      </c>
      <c r="AM42" s="94">
        <f t="shared" si="183"/>
        <v>0</v>
      </c>
      <c r="AN42" s="94">
        <f t="shared" si="183"/>
        <v>0</v>
      </c>
      <c r="AO42" s="94">
        <f t="shared" si="183"/>
        <v>0</v>
      </c>
      <c r="AP42" s="94">
        <f t="shared" si="183"/>
        <v>0</v>
      </c>
      <c r="AQ42" s="94">
        <f t="shared" si="183"/>
        <v>0</v>
      </c>
      <c r="AR42" s="94">
        <f t="shared" si="183"/>
        <v>0</v>
      </c>
      <c r="AS42" s="94">
        <f t="shared" si="183"/>
        <v>0.40000000037252903</v>
      </c>
      <c r="AT42" s="70"/>
      <c r="AU42" s="94">
        <f>SUM(AU43)</f>
        <v>1980165.6</v>
      </c>
      <c r="AV42" s="94">
        <f t="shared" ref="AV42:BF42" si="184">SUM(AV43)</f>
        <v>12152240000</v>
      </c>
      <c r="AW42" s="94">
        <f t="shared" si="184"/>
        <v>0</v>
      </c>
      <c r="AX42" s="94">
        <f t="shared" si="184"/>
        <v>12154220165.6</v>
      </c>
      <c r="AY42" s="94">
        <f t="shared" si="184"/>
        <v>12154220166</v>
      </c>
      <c r="AZ42" s="94">
        <f t="shared" si="184"/>
        <v>0</v>
      </c>
      <c r="BA42" s="94">
        <f t="shared" si="184"/>
        <v>0</v>
      </c>
      <c r="BB42" s="94">
        <f t="shared" si="184"/>
        <v>0</v>
      </c>
      <c r="BC42" s="94">
        <f t="shared" si="184"/>
        <v>0</v>
      </c>
      <c r="BD42" s="94">
        <f t="shared" si="184"/>
        <v>0</v>
      </c>
      <c r="BE42" s="94">
        <f t="shared" si="184"/>
        <v>0</v>
      </c>
      <c r="BF42" s="94">
        <f t="shared" si="184"/>
        <v>0.40000000037252903</v>
      </c>
      <c r="BG42" s="70"/>
      <c r="BH42" s="94">
        <f>SUM(BH43)</f>
        <v>7071319.8000000007</v>
      </c>
      <c r="BI42" s="94">
        <f t="shared" ref="BI42:BS42" si="185">SUM(BI43)</f>
        <v>12154203128</v>
      </c>
      <c r="BJ42" s="94">
        <f t="shared" si="185"/>
        <v>0</v>
      </c>
      <c r="BK42" s="94">
        <f t="shared" si="185"/>
        <v>12161274447.800001</v>
      </c>
      <c r="BL42" s="94">
        <f t="shared" si="185"/>
        <v>12159839448</v>
      </c>
      <c r="BM42" s="94">
        <f t="shared" si="185"/>
        <v>0</v>
      </c>
      <c r="BN42" s="94">
        <f t="shared" si="185"/>
        <v>0</v>
      </c>
      <c r="BO42" s="94">
        <f t="shared" si="185"/>
        <v>0</v>
      </c>
      <c r="BP42" s="94">
        <f t="shared" si="185"/>
        <v>0</v>
      </c>
      <c r="BQ42" s="94">
        <f t="shared" si="185"/>
        <v>0</v>
      </c>
      <c r="BR42" s="94">
        <f t="shared" si="185"/>
        <v>0</v>
      </c>
      <c r="BS42" s="94">
        <f t="shared" si="185"/>
        <v>-1434999.7999999998</v>
      </c>
      <c r="BT42" s="70"/>
      <c r="BU42" s="94">
        <f>SUM(BU43)</f>
        <v>6317437.8000000007</v>
      </c>
      <c r="BV42" s="94">
        <f t="shared" ref="BV42:CF42" si="186">SUM(BV43)</f>
        <v>12152864576</v>
      </c>
      <c r="BW42" s="94">
        <f t="shared" si="186"/>
        <v>0</v>
      </c>
      <c r="BX42" s="94">
        <f t="shared" si="186"/>
        <v>12159182013.800001</v>
      </c>
      <c r="BY42" s="94">
        <f t="shared" si="186"/>
        <v>12159182014</v>
      </c>
      <c r="BZ42" s="94">
        <f t="shared" si="186"/>
        <v>0</v>
      </c>
      <c r="CA42" s="94">
        <f t="shared" si="186"/>
        <v>0</v>
      </c>
      <c r="CB42" s="94">
        <f t="shared" si="186"/>
        <v>0</v>
      </c>
      <c r="CC42" s="94">
        <f t="shared" si="186"/>
        <v>0</v>
      </c>
      <c r="CD42" s="94">
        <f t="shared" si="186"/>
        <v>0</v>
      </c>
      <c r="CE42" s="94">
        <f t="shared" si="186"/>
        <v>0</v>
      </c>
      <c r="CF42" s="94">
        <f t="shared" si="186"/>
        <v>0.20000000018626451</v>
      </c>
      <c r="CG42" s="70"/>
      <c r="CH42" s="94">
        <f>SUM(CH43)</f>
        <v>7307520.5999999996</v>
      </c>
      <c r="CI42" s="94">
        <f t="shared" ref="CI42:CS42" si="187">SUM(CI43)</f>
        <v>12153007148</v>
      </c>
      <c r="CJ42" s="94">
        <f t="shared" si="187"/>
        <v>0</v>
      </c>
      <c r="CK42" s="94">
        <f t="shared" si="187"/>
        <v>12160314668.6</v>
      </c>
      <c r="CL42" s="94">
        <f t="shared" si="187"/>
        <v>12160314669</v>
      </c>
      <c r="CM42" s="94">
        <f t="shared" si="187"/>
        <v>0</v>
      </c>
      <c r="CN42" s="94">
        <f t="shared" si="187"/>
        <v>0</v>
      </c>
      <c r="CO42" s="94">
        <f t="shared" si="187"/>
        <v>0</v>
      </c>
      <c r="CP42" s="94">
        <f t="shared" si="187"/>
        <v>0</v>
      </c>
      <c r="CQ42" s="94">
        <f t="shared" si="187"/>
        <v>0</v>
      </c>
      <c r="CR42" s="94">
        <f t="shared" si="187"/>
        <v>0</v>
      </c>
      <c r="CS42" s="94">
        <f t="shared" si="187"/>
        <v>0.40000000037252903</v>
      </c>
      <c r="CT42" s="70"/>
      <c r="CU42" s="94">
        <f>SUM(CU43)</f>
        <v>6317437.8000000007</v>
      </c>
      <c r="CV42" s="94">
        <f t="shared" ref="CV42:DF42" si="188">SUM(CV43)</f>
        <v>12152864576</v>
      </c>
      <c r="CW42" s="94">
        <f t="shared" si="188"/>
        <v>0</v>
      </c>
      <c r="CX42" s="94">
        <f t="shared" si="188"/>
        <v>12159182013.800001</v>
      </c>
      <c r="CY42" s="94">
        <f t="shared" si="188"/>
        <v>12159182014</v>
      </c>
      <c r="CZ42" s="94">
        <f t="shared" si="188"/>
        <v>0</v>
      </c>
      <c r="DA42" s="94">
        <f t="shared" si="188"/>
        <v>0</v>
      </c>
      <c r="DB42" s="94">
        <f t="shared" si="188"/>
        <v>0</v>
      </c>
      <c r="DC42" s="94">
        <f t="shared" si="188"/>
        <v>0</v>
      </c>
      <c r="DD42" s="94">
        <f t="shared" si="188"/>
        <v>0</v>
      </c>
      <c r="DE42" s="94">
        <f t="shared" si="188"/>
        <v>0</v>
      </c>
      <c r="DF42" s="94">
        <f t="shared" si="188"/>
        <v>0.20000000018626451</v>
      </c>
      <c r="DG42" s="70"/>
      <c r="DH42" s="94">
        <f>SUM(DH43)</f>
        <v>6317437.8000000007</v>
      </c>
      <c r="DI42" s="94">
        <f t="shared" ref="DI42:DS42" si="189">SUM(DI43)</f>
        <v>12152864576</v>
      </c>
      <c r="DJ42" s="94">
        <f t="shared" si="189"/>
        <v>0</v>
      </c>
      <c r="DK42" s="94">
        <f t="shared" si="189"/>
        <v>12159182013.800001</v>
      </c>
      <c r="DL42" s="94">
        <f t="shared" si="189"/>
        <v>12159182014</v>
      </c>
      <c r="DM42" s="94">
        <f t="shared" si="189"/>
        <v>0</v>
      </c>
      <c r="DN42" s="94">
        <f t="shared" si="189"/>
        <v>0</v>
      </c>
      <c r="DO42" s="94">
        <f t="shared" si="189"/>
        <v>0</v>
      </c>
      <c r="DP42" s="94">
        <f t="shared" si="189"/>
        <v>0</v>
      </c>
      <c r="DQ42" s="94">
        <f t="shared" si="189"/>
        <v>0</v>
      </c>
      <c r="DR42" s="94">
        <f t="shared" si="189"/>
        <v>0</v>
      </c>
      <c r="DS42" s="94">
        <f t="shared" si="189"/>
        <v>0.20000000018626451</v>
      </c>
      <c r="DT42" s="70"/>
      <c r="DU42" s="94">
        <f>SUM(DU43)</f>
        <v>7307520.5999999996</v>
      </c>
      <c r="DV42" s="94">
        <f t="shared" ref="DV42:EF42" si="190">SUM(DV43)</f>
        <v>12153007148</v>
      </c>
      <c r="DW42" s="94">
        <f t="shared" si="190"/>
        <v>0</v>
      </c>
      <c r="DX42" s="94">
        <f t="shared" si="190"/>
        <v>12160314668.6</v>
      </c>
      <c r="DY42" s="94">
        <f t="shared" si="190"/>
        <v>12160314669</v>
      </c>
      <c r="DZ42" s="94">
        <f t="shared" si="190"/>
        <v>0</v>
      </c>
      <c r="EA42" s="94">
        <f t="shared" si="190"/>
        <v>0</v>
      </c>
      <c r="EB42" s="94">
        <f t="shared" si="190"/>
        <v>0</v>
      </c>
      <c r="EC42" s="94">
        <f t="shared" si="190"/>
        <v>0</v>
      </c>
      <c r="ED42" s="94">
        <f t="shared" si="190"/>
        <v>0</v>
      </c>
      <c r="EE42" s="94">
        <f t="shared" si="190"/>
        <v>0</v>
      </c>
      <c r="EF42" s="94">
        <f t="shared" si="190"/>
        <v>0.40000000037252903</v>
      </c>
      <c r="EG42" s="70"/>
      <c r="EH42" s="94">
        <f t="shared" ref="EH42:ES42" si="191">SUM(EH43)</f>
        <v>46579171.200000003</v>
      </c>
      <c r="EI42" s="94">
        <f t="shared" si="191"/>
        <v>108379375902</v>
      </c>
      <c r="EJ42" s="94">
        <f t="shared" si="191"/>
        <v>0</v>
      </c>
      <c r="EK42" s="94">
        <f t="shared" si="191"/>
        <v>108425955073.20003</v>
      </c>
      <c r="EL42" s="94">
        <f t="shared" si="191"/>
        <v>108424520076</v>
      </c>
      <c r="EM42" s="94">
        <f t="shared" si="191"/>
        <v>0</v>
      </c>
      <c r="EN42" s="94">
        <f t="shared" si="191"/>
        <v>0</v>
      </c>
      <c r="EO42" s="94">
        <f t="shared" si="191"/>
        <v>0</v>
      </c>
      <c r="EP42" s="94">
        <f t="shared" si="191"/>
        <v>0</v>
      </c>
      <c r="EQ42" s="94">
        <f t="shared" si="191"/>
        <v>0</v>
      </c>
      <c r="ER42" s="94">
        <f t="shared" si="191"/>
        <v>0</v>
      </c>
      <c r="ES42" s="94">
        <f t="shared" si="191"/>
        <v>-1434997.1999999974</v>
      </c>
      <c r="EU42" s="194">
        <f t="shared" si="23"/>
        <v>0</v>
      </c>
      <c r="EW42" s="194">
        <f t="shared" si="24"/>
        <v>-1434997.2000274658</v>
      </c>
      <c r="EX42" s="194">
        <f t="shared" si="21"/>
        <v>2.7468428015708923E-5</v>
      </c>
    </row>
    <row r="43" spans="1:154" s="77" customFormat="1" ht="25.5" x14ac:dyDescent="0.25">
      <c r="A43" s="82"/>
      <c r="B43" s="88"/>
      <c r="C43" s="100"/>
      <c r="D43" s="193" t="str">
        <f>'Incremental_Cost Year 1'!D139</f>
        <v>07220 Shërbime të Kujdesit Shëndetësor Parësor</v>
      </c>
      <c r="E43" s="193" t="str">
        <f>'Incremental_Cost Year 1'!E139</f>
        <v xml:space="preserve">2.8.1. Zgjerimi i gamës së mbulimit me barna në rrjetin e hapur ambulator </v>
      </c>
      <c r="F43" s="96">
        <f>'Incremental_Cost Year 1'!F139</f>
        <v>2022</v>
      </c>
      <c r="G43" s="96">
        <f>'Incremental_Cost Year 1'!G139</f>
        <v>2030</v>
      </c>
      <c r="H43" s="92">
        <f>'Incremental_Cost Year 1'!AQ139</f>
        <v>0</v>
      </c>
      <c r="I43" s="92">
        <f>'Incremental_Cost Year 1'!AR139</f>
        <v>1243844750</v>
      </c>
      <c r="J43" s="92">
        <f>'Incremental_Cost Year 1'!AS139</f>
        <v>0</v>
      </c>
      <c r="K43" s="92">
        <f>'Incremental_Cost Year 1'!AT139</f>
        <v>1243844750</v>
      </c>
      <c r="L43" s="92">
        <f>'Incremental_Cost Year 1'!AU139</f>
        <v>1243844750</v>
      </c>
      <c r="M43" s="92">
        <f>'Incremental_Cost Year 1'!AV139</f>
        <v>0</v>
      </c>
      <c r="N43" s="92">
        <f>'Incremental_Cost Year 1'!AW139</f>
        <v>0</v>
      </c>
      <c r="O43" s="92">
        <f>'Incremental_Cost Year 1'!AX139</f>
        <v>0</v>
      </c>
      <c r="P43" s="92">
        <f>'Incremental_Cost Year 1'!AY139</f>
        <v>0</v>
      </c>
      <c r="Q43" s="92">
        <f>'Incremental_Cost Year 1'!AZ139</f>
        <v>0</v>
      </c>
      <c r="R43" s="92">
        <f>'Incremental_Cost Year 1'!BA139</f>
        <v>0</v>
      </c>
      <c r="S43" s="92">
        <f>'Incremental_Cost Year 1'!BB139</f>
        <v>0</v>
      </c>
      <c r="T43" s="70"/>
      <c r="U43" s="92">
        <f>'Incremental_Cost Year 2'!AQ139</f>
        <v>1980165.6</v>
      </c>
      <c r="V43" s="92">
        <f>'Incremental_Cost Year 2'!AR139</f>
        <v>11032240000</v>
      </c>
      <c r="W43" s="92">
        <f>'Incremental_Cost Year 2'!AS139</f>
        <v>0</v>
      </c>
      <c r="X43" s="92">
        <f>'Incremental_Cost Year 2'!AT139</f>
        <v>11034220165.6</v>
      </c>
      <c r="Y43" s="92">
        <f>'Incremental_Cost Year 2'!AU139</f>
        <v>11034220166</v>
      </c>
      <c r="Z43" s="92">
        <f>'Incremental_Cost Year 2'!AV139</f>
        <v>0</v>
      </c>
      <c r="AA43" s="92">
        <f>'Incremental_Cost Year 2'!AW139</f>
        <v>0</v>
      </c>
      <c r="AB43" s="92">
        <f>'Incremental_Cost Year 2'!AX139</f>
        <v>0</v>
      </c>
      <c r="AC43" s="92">
        <f>'Incremental_Cost Year 2'!AY139</f>
        <v>0</v>
      </c>
      <c r="AD43" s="92">
        <f>'Incremental_Cost Year 2'!AZ139</f>
        <v>0</v>
      </c>
      <c r="AE43" s="92">
        <f>'Incremental_Cost Year 2'!BA139</f>
        <v>0</v>
      </c>
      <c r="AF43" s="92">
        <f>'Incremental_Cost Year 2'!BB139</f>
        <v>0.40000000037252903</v>
      </c>
      <c r="AG43" s="70"/>
      <c r="AH43" s="92">
        <f>'Incremental_Cost Year 3'!AQ139</f>
        <v>1980165.6</v>
      </c>
      <c r="AI43" s="92">
        <f>'Incremental_Cost Year 3'!AR139</f>
        <v>11032240000</v>
      </c>
      <c r="AJ43" s="92">
        <f>'Incremental_Cost Year 3'!AS139</f>
        <v>0</v>
      </c>
      <c r="AK43" s="92">
        <f>'Incremental_Cost Year 3'!AT139</f>
        <v>11034220165.6</v>
      </c>
      <c r="AL43" s="92">
        <f>'Incremental_Cost Year 3'!AU139</f>
        <v>11034220166</v>
      </c>
      <c r="AM43" s="92">
        <f>'Incremental_Cost Year 3'!AV139</f>
        <v>0</v>
      </c>
      <c r="AN43" s="92">
        <f>'Incremental_Cost Year 3'!AW139</f>
        <v>0</v>
      </c>
      <c r="AO43" s="92">
        <f>'Incremental_Cost Year 3'!AX139</f>
        <v>0</v>
      </c>
      <c r="AP43" s="92">
        <f>'Incremental_Cost Year 3'!AY139</f>
        <v>0</v>
      </c>
      <c r="AQ43" s="92">
        <f>'Incremental_Cost Year 3'!AZ139</f>
        <v>0</v>
      </c>
      <c r="AR43" s="92">
        <f>'Incremental_Cost Year 3'!BA139</f>
        <v>0</v>
      </c>
      <c r="AS43" s="92">
        <f>'Incremental_Cost Year 3'!BB139</f>
        <v>0.40000000037252903</v>
      </c>
      <c r="AT43" s="70"/>
      <c r="AU43" s="92">
        <f>'Incremental_Cost Year 4'!AQ139</f>
        <v>1980165.6</v>
      </c>
      <c r="AV43" s="92">
        <f>'Incremental_Cost Year 4'!AR139</f>
        <v>12152240000</v>
      </c>
      <c r="AW43" s="92">
        <f>'Incremental_Cost Year 4'!AS139</f>
        <v>0</v>
      </c>
      <c r="AX43" s="92">
        <f>'Incremental_Cost Year 4'!AT139</f>
        <v>12154220165.6</v>
      </c>
      <c r="AY43" s="92">
        <f>'Incremental_Cost Year 4'!AU139</f>
        <v>12154220166</v>
      </c>
      <c r="AZ43" s="92">
        <f>'Incremental_Cost Year 4'!AV139</f>
        <v>0</v>
      </c>
      <c r="BA43" s="92">
        <f>'Incremental_Cost Year 4'!AW139</f>
        <v>0</v>
      </c>
      <c r="BB43" s="92">
        <f>'Incremental_Cost Year 4'!AX139</f>
        <v>0</v>
      </c>
      <c r="BC43" s="92">
        <f>'Incremental_Cost Year 4'!AY139</f>
        <v>0</v>
      </c>
      <c r="BD43" s="92">
        <f>'Incremental_Cost Year 4'!AZ139</f>
        <v>0</v>
      </c>
      <c r="BE43" s="92">
        <f>'Incremental_Cost Year 4'!BA139</f>
        <v>0</v>
      </c>
      <c r="BF43" s="92">
        <f>'Incremental_Cost Year 4'!BB139</f>
        <v>0.40000000037252903</v>
      </c>
      <c r="BG43" s="70"/>
      <c r="BH43" s="92">
        <f>'Incremental_Cost Year 5'!AQ139</f>
        <v>7071319.8000000007</v>
      </c>
      <c r="BI43" s="92">
        <f>'Incremental_Cost Year 5'!AR139</f>
        <v>12154203128</v>
      </c>
      <c r="BJ43" s="92">
        <f>'Incremental_Cost Year 5'!AS139</f>
        <v>0</v>
      </c>
      <c r="BK43" s="92">
        <f>'Incremental_Cost Year 5'!AT139</f>
        <v>12161274447.800001</v>
      </c>
      <c r="BL43" s="92">
        <f>'Incremental_Cost Year 5'!AU139</f>
        <v>12159839448</v>
      </c>
      <c r="BM43" s="92">
        <f>'Incremental_Cost Year 5'!AV139</f>
        <v>0</v>
      </c>
      <c r="BN43" s="92">
        <f>'Incremental_Cost Year 5'!AW139</f>
        <v>0</v>
      </c>
      <c r="BO43" s="92">
        <f>'Incremental_Cost Year 5'!AX139</f>
        <v>0</v>
      </c>
      <c r="BP43" s="92">
        <f>'Incremental_Cost Year 5'!AY139</f>
        <v>0</v>
      </c>
      <c r="BQ43" s="92">
        <f>'Incremental_Cost Year 5'!AZ139</f>
        <v>0</v>
      </c>
      <c r="BR43" s="92">
        <f>'Incremental_Cost Year 5'!BA139</f>
        <v>0</v>
      </c>
      <c r="BS43" s="92">
        <f>'Incremental_Cost Year 5'!BB139</f>
        <v>-1434999.7999999998</v>
      </c>
      <c r="BT43" s="70"/>
      <c r="BU43" s="92">
        <f>'Incremental_Cost Year 6'!AQ139</f>
        <v>6317437.8000000007</v>
      </c>
      <c r="BV43" s="92">
        <f>'Incremental_Cost Year 6'!AR139</f>
        <v>12152864576</v>
      </c>
      <c r="BW43" s="92">
        <f>'Incremental_Cost Year 6'!AS139</f>
        <v>0</v>
      </c>
      <c r="BX43" s="92">
        <f>'Incremental_Cost Year 6'!AT139</f>
        <v>12159182013.800001</v>
      </c>
      <c r="BY43" s="92">
        <f>'Incremental_Cost Year 6'!AU139</f>
        <v>12159182014</v>
      </c>
      <c r="BZ43" s="92">
        <f>'Incremental_Cost Year 6'!AV139</f>
        <v>0</v>
      </c>
      <c r="CA43" s="92">
        <f>'Incremental_Cost Year 6'!AW139</f>
        <v>0</v>
      </c>
      <c r="CB43" s="92">
        <f>'Incremental_Cost Year 6'!AX139</f>
        <v>0</v>
      </c>
      <c r="CC43" s="92">
        <f>'Incremental_Cost Year 6'!AY139</f>
        <v>0</v>
      </c>
      <c r="CD43" s="92">
        <f>'Incremental_Cost Year 6'!AZ139</f>
        <v>0</v>
      </c>
      <c r="CE43" s="92">
        <f>'Incremental_Cost Year 6'!BA139</f>
        <v>0</v>
      </c>
      <c r="CF43" s="92">
        <f>'Incremental_Cost Year 6'!BB139</f>
        <v>0.20000000018626451</v>
      </c>
      <c r="CG43" s="70"/>
      <c r="CH43" s="92">
        <f>'Incremental_Cost Year 7'!AQ139</f>
        <v>7307520.5999999996</v>
      </c>
      <c r="CI43" s="92">
        <f>'Incremental_Cost Year 7'!AR139</f>
        <v>12153007148</v>
      </c>
      <c r="CJ43" s="92">
        <f>'Incremental_Cost Year 7'!AS139</f>
        <v>0</v>
      </c>
      <c r="CK43" s="92">
        <f>'Incremental_Cost Year 7'!AT139</f>
        <v>12160314668.6</v>
      </c>
      <c r="CL43" s="92">
        <f>'Incremental_Cost Year 7'!AU139</f>
        <v>12160314669</v>
      </c>
      <c r="CM43" s="92">
        <f>'Incremental_Cost Year 7'!AV139</f>
        <v>0</v>
      </c>
      <c r="CN43" s="92">
        <f>'Incremental_Cost Year 7'!AW139</f>
        <v>0</v>
      </c>
      <c r="CO43" s="92">
        <f>'Incremental_Cost Year 7'!AX139</f>
        <v>0</v>
      </c>
      <c r="CP43" s="92">
        <f>'Incremental_Cost Year 7'!AY139</f>
        <v>0</v>
      </c>
      <c r="CQ43" s="92">
        <f>'Incremental_Cost Year 7'!AZ139</f>
        <v>0</v>
      </c>
      <c r="CR43" s="92">
        <f>'Incremental_Cost Year 7'!BA139</f>
        <v>0</v>
      </c>
      <c r="CS43" s="92">
        <f>'Incremental_Cost Year 7'!BB139</f>
        <v>0.40000000037252903</v>
      </c>
      <c r="CT43" s="70"/>
      <c r="CU43" s="92">
        <f>'Incremental_Cost Year 8'!AQ139</f>
        <v>6317437.8000000007</v>
      </c>
      <c r="CV43" s="92">
        <f>'Incremental_Cost Year 8'!AR139</f>
        <v>12152864576</v>
      </c>
      <c r="CW43" s="92">
        <f>'Incremental_Cost Year 8'!AS139</f>
        <v>0</v>
      </c>
      <c r="CX43" s="92">
        <f>'Incremental_Cost Year 8'!AT139</f>
        <v>12159182013.800001</v>
      </c>
      <c r="CY43" s="92">
        <f>'Incremental_Cost Year 8'!AU139</f>
        <v>12159182014</v>
      </c>
      <c r="CZ43" s="92">
        <f>'Incremental_Cost Year 8'!AV139</f>
        <v>0</v>
      </c>
      <c r="DA43" s="92">
        <f>'Incremental_Cost Year 8'!AW139</f>
        <v>0</v>
      </c>
      <c r="DB43" s="92">
        <f>'Incremental_Cost Year 8'!AX139</f>
        <v>0</v>
      </c>
      <c r="DC43" s="92">
        <f>'Incremental_Cost Year 8'!AY139</f>
        <v>0</v>
      </c>
      <c r="DD43" s="92">
        <f>'Incremental_Cost Year 8'!AZ139</f>
        <v>0</v>
      </c>
      <c r="DE43" s="92">
        <f>'Incremental_Cost Year 8'!BA139</f>
        <v>0</v>
      </c>
      <c r="DF43" s="92">
        <f>'Incremental_Cost Year 8'!BB139</f>
        <v>0.20000000018626451</v>
      </c>
      <c r="DG43" s="70"/>
      <c r="DH43" s="92">
        <f>'Incremental_Cost Year 9'!AQ139</f>
        <v>6317437.8000000007</v>
      </c>
      <c r="DI43" s="92">
        <f>'Incremental_Cost Year 9'!AR139</f>
        <v>12152864576</v>
      </c>
      <c r="DJ43" s="92">
        <f>'Incremental_Cost Year 9'!AS139</f>
        <v>0</v>
      </c>
      <c r="DK43" s="92">
        <f>'Incremental_Cost Year 9'!AT139</f>
        <v>12159182013.800001</v>
      </c>
      <c r="DL43" s="92">
        <f>'Incremental_Cost Year 9'!AU139</f>
        <v>12159182014</v>
      </c>
      <c r="DM43" s="92">
        <f>'Incremental_Cost Year 9'!AV139</f>
        <v>0</v>
      </c>
      <c r="DN43" s="92">
        <f>'Incremental_Cost Year 9'!AW139</f>
        <v>0</v>
      </c>
      <c r="DO43" s="92">
        <f>'Incremental_Cost Year 9'!AX139</f>
        <v>0</v>
      </c>
      <c r="DP43" s="92">
        <f>'Incremental_Cost Year 9'!AY139</f>
        <v>0</v>
      </c>
      <c r="DQ43" s="92">
        <f>'Incremental_Cost Year 9'!AZ139</f>
        <v>0</v>
      </c>
      <c r="DR43" s="92">
        <f>'Incremental_Cost Year 9'!BA139</f>
        <v>0</v>
      </c>
      <c r="DS43" s="92">
        <f>'Incremental_Cost Year 9'!BB139</f>
        <v>0.20000000018626451</v>
      </c>
      <c r="DT43" s="70"/>
      <c r="DU43" s="92">
        <f>'Incremental_Cost Year 10'!AQ139</f>
        <v>7307520.5999999996</v>
      </c>
      <c r="DV43" s="92">
        <f>'Incremental_Cost Year 10'!AR139</f>
        <v>12153007148</v>
      </c>
      <c r="DW43" s="92">
        <f>'Incremental_Cost Year 10'!AS139</f>
        <v>0</v>
      </c>
      <c r="DX43" s="92">
        <f>'Incremental_Cost Year 10'!AT139</f>
        <v>12160314668.6</v>
      </c>
      <c r="DY43" s="92">
        <f>'Incremental_Cost Year 10'!AU139</f>
        <v>12160314669</v>
      </c>
      <c r="DZ43" s="92">
        <f>'Incremental_Cost Year 10'!AV139</f>
        <v>0</v>
      </c>
      <c r="EA43" s="92">
        <f>'Incremental_Cost Year 10'!AW139</f>
        <v>0</v>
      </c>
      <c r="EB43" s="92">
        <f>'Incremental_Cost Year 10'!AX139</f>
        <v>0</v>
      </c>
      <c r="EC43" s="92">
        <f>'Incremental_Cost Year 10'!AY139</f>
        <v>0</v>
      </c>
      <c r="ED43" s="92">
        <f>'Incremental_Cost Year 10'!AZ139</f>
        <v>0</v>
      </c>
      <c r="EE43" s="92">
        <f>'Incremental_Cost Year 10'!BA139</f>
        <v>0</v>
      </c>
      <c r="EF43" s="92">
        <f>'Incremental_Cost Year 10'!BB139</f>
        <v>0.40000000037252903</v>
      </c>
      <c r="EG43" s="70"/>
      <c r="EH43" s="92">
        <f t="shared" ref="EH43:ES43" si="192">H43+U43+AH43+AU43+BH43+BU43+CH43+CU43+DH43+DU43</f>
        <v>46579171.200000003</v>
      </c>
      <c r="EI43" s="92">
        <f t="shared" si="192"/>
        <v>108379375902</v>
      </c>
      <c r="EJ43" s="92">
        <f t="shared" si="192"/>
        <v>0</v>
      </c>
      <c r="EK43" s="92">
        <f t="shared" si="192"/>
        <v>108425955073.20003</v>
      </c>
      <c r="EL43" s="92">
        <f t="shared" si="192"/>
        <v>108424520076</v>
      </c>
      <c r="EM43" s="92">
        <f t="shared" si="192"/>
        <v>0</v>
      </c>
      <c r="EN43" s="92">
        <f t="shared" si="192"/>
        <v>0</v>
      </c>
      <c r="EO43" s="92">
        <f t="shared" si="192"/>
        <v>0</v>
      </c>
      <c r="EP43" s="92">
        <f t="shared" si="192"/>
        <v>0</v>
      </c>
      <c r="EQ43" s="92">
        <f t="shared" si="192"/>
        <v>0</v>
      </c>
      <c r="ER43" s="92">
        <f t="shared" si="192"/>
        <v>0</v>
      </c>
      <c r="ES43" s="92">
        <f t="shared" si="192"/>
        <v>-1434997.1999999974</v>
      </c>
      <c r="EU43" s="194">
        <f t="shared" si="23"/>
        <v>0</v>
      </c>
      <c r="EW43" s="194">
        <f t="shared" si="24"/>
        <v>-1434997.2000274658</v>
      </c>
      <c r="EX43" s="194">
        <f t="shared" si="21"/>
        <v>2.7468428015708923E-5</v>
      </c>
    </row>
    <row r="44" spans="1:154" s="77" customFormat="1" x14ac:dyDescent="0.25">
      <c r="A44" s="87"/>
      <c r="B44" s="90"/>
      <c r="C44" s="421" t="str">
        <f>'Incremental_Cost Year 1'!C140:E140</f>
        <v>2.9 Objektivi Specifik:  Adresimi i masave për rezistencën antimikrobike (AMR)</v>
      </c>
      <c r="D44" s="421"/>
      <c r="E44" s="422"/>
      <c r="F44" s="99"/>
      <c r="G44" s="99"/>
      <c r="H44" s="94">
        <f>SUM(H45)</f>
        <v>0</v>
      </c>
      <c r="I44" s="94">
        <f t="shared" ref="I44:S44" si="193">SUM(I45)</f>
        <v>0</v>
      </c>
      <c r="J44" s="94">
        <f t="shared" si="193"/>
        <v>0</v>
      </c>
      <c r="K44" s="94">
        <f t="shared" si="193"/>
        <v>0</v>
      </c>
      <c r="L44" s="94">
        <f t="shared" si="193"/>
        <v>0</v>
      </c>
      <c r="M44" s="94">
        <f t="shared" si="193"/>
        <v>0</v>
      </c>
      <c r="N44" s="94">
        <f t="shared" si="193"/>
        <v>0</v>
      </c>
      <c r="O44" s="94">
        <f t="shared" si="193"/>
        <v>0</v>
      </c>
      <c r="P44" s="94">
        <f t="shared" si="193"/>
        <v>0</v>
      </c>
      <c r="Q44" s="94">
        <f t="shared" si="193"/>
        <v>0</v>
      </c>
      <c r="R44" s="94">
        <f t="shared" si="193"/>
        <v>0</v>
      </c>
      <c r="S44" s="94">
        <f t="shared" si="193"/>
        <v>0</v>
      </c>
      <c r="T44" s="70"/>
      <c r="U44" s="94">
        <f>SUM(U45)</f>
        <v>0</v>
      </c>
      <c r="V44" s="94">
        <f t="shared" ref="V44:AF44" si="194">SUM(V45)</f>
        <v>0</v>
      </c>
      <c r="W44" s="94">
        <f t="shared" si="194"/>
        <v>0</v>
      </c>
      <c r="X44" s="94">
        <f t="shared" si="194"/>
        <v>0</v>
      </c>
      <c r="Y44" s="94">
        <f t="shared" si="194"/>
        <v>0</v>
      </c>
      <c r="Z44" s="94">
        <f t="shared" si="194"/>
        <v>0</v>
      </c>
      <c r="AA44" s="94">
        <f t="shared" si="194"/>
        <v>0</v>
      </c>
      <c r="AB44" s="94">
        <f t="shared" si="194"/>
        <v>0</v>
      </c>
      <c r="AC44" s="94">
        <f t="shared" si="194"/>
        <v>0</v>
      </c>
      <c r="AD44" s="94">
        <f t="shared" si="194"/>
        <v>0</v>
      </c>
      <c r="AE44" s="94">
        <f t="shared" si="194"/>
        <v>0</v>
      </c>
      <c r="AF44" s="94">
        <f t="shared" si="194"/>
        <v>0</v>
      </c>
      <c r="AG44" s="70"/>
      <c r="AH44" s="94">
        <f>SUM(AH45)</f>
        <v>0</v>
      </c>
      <c r="AI44" s="94">
        <f t="shared" ref="AI44:AS44" si="195">SUM(AI45)</f>
        <v>0</v>
      </c>
      <c r="AJ44" s="94">
        <f t="shared" si="195"/>
        <v>0</v>
      </c>
      <c r="AK44" s="94">
        <f t="shared" si="195"/>
        <v>0</v>
      </c>
      <c r="AL44" s="94">
        <f t="shared" si="195"/>
        <v>0</v>
      </c>
      <c r="AM44" s="94">
        <f t="shared" si="195"/>
        <v>0</v>
      </c>
      <c r="AN44" s="94">
        <f t="shared" si="195"/>
        <v>0</v>
      </c>
      <c r="AO44" s="94">
        <f t="shared" si="195"/>
        <v>0</v>
      </c>
      <c r="AP44" s="94">
        <f t="shared" si="195"/>
        <v>0</v>
      </c>
      <c r="AQ44" s="94">
        <f t="shared" si="195"/>
        <v>0</v>
      </c>
      <c r="AR44" s="94">
        <f t="shared" si="195"/>
        <v>0</v>
      </c>
      <c r="AS44" s="94">
        <f t="shared" si="195"/>
        <v>0</v>
      </c>
      <c r="AT44" s="70"/>
      <c r="AU44" s="94">
        <f>SUM(AU45)</f>
        <v>2117404.7999999998</v>
      </c>
      <c r="AV44" s="94">
        <f t="shared" ref="AV44:BF44" si="196">SUM(AV45)</f>
        <v>1687305.6</v>
      </c>
      <c r="AW44" s="94">
        <f t="shared" si="196"/>
        <v>0</v>
      </c>
      <c r="AX44" s="94">
        <f t="shared" si="196"/>
        <v>3804710.4</v>
      </c>
      <c r="AY44" s="94">
        <f t="shared" si="196"/>
        <v>2436710</v>
      </c>
      <c r="AZ44" s="94">
        <f t="shared" si="196"/>
        <v>0</v>
      </c>
      <c r="BA44" s="94">
        <f t="shared" si="196"/>
        <v>0</v>
      </c>
      <c r="BB44" s="94">
        <f t="shared" si="196"/>
        <v>0</v>
      </c>
      <c r="BC44" s="94">
        <f t="shared" si="196"/>
        <v>0</v>
      </c>
      <c r="BD44" s="94">
        <f t="shared" si="196"/>
        <v>0</v>
      </c>
      <c r="BE44" s="94">
        <f t="shared" si="196"/>
        <v>0</v>
      </c>
      <c r="BF44" s="94">
        <f t="shared" si="196"/>
        <v>-1368000.4</v>
      </c>
      <c r="BG44" s="70"/>
      <c r="BH44" s="94">
        <f>SUM(BH45)</f>
        <v>15170649.9</v>
      </c>
      <c r="BI44" s="94">
        <f t="shared" ref="BI44:BS44" si="197">SUM(BI45)</f>
        <v>6535852.7999999998</v>
      </c>
      <c r="BJ44" s="94">
        <f t="shared" si="197"/>
        <v>34500000</v>
      </c>
      <c r="BK44" s="94">
        <f t="shared" si="197"/>
        <v>56206502.700000003</v>
      </c>
      <c r="BL44" s="94">
        <f t="shared" si="197"/>
        <v>18545702.5</v>
      </c>
      <c r="BM44" s="94">
        <f t="shared" si="197"/>
        <v>0</v>
      </c>
      <c r="BN44" s="94">
        <f t="shared" si="197"/>
        <v>0</v>
      </c>
      <c r="BO44" s="94">
        <f t="shared" si="197"/>
        <v>0</v>
      </c>
      <c r="BP44" s="94">
        <f t="shared" si="197"/>
        <v>0</v>
      </c>
      <c r="BQ44" s="94">
        <f t="shared" si="197"/>
        <v>0</v>
      </c>
      <c r="BR44" s="94">
        <f t="shared" si="197"/>
        <v>0</v>
      </c>
      <c r="BS44" s="94">
        <f t="shared" si="197"/>
        <v>-37660800.200000003</v>
      </c>
      <c r="BT44" s="70"/>
      <c r="BU44" s="94">
        <f>SUM(BU45)</f>
        <v>13523779.5</v>
      </c>
      <c r="BV44" s="94">
        <f t="shared" ref="BV44:CF44" si="198">SUM(BV45)</f>
        <v>6284304</v>
      </c>
      <c r="BW44" s="94">
        <f t="shared" si="198"/>
        <v>23000000</v>
      </c>
      <c r="BX44" s="94">
        <f t="shared" si="198"/>
        <v>42808083.5</v>
      </c>
      <c r="BY44" s="94">
        <f t="shared" si="198"/>
        <v>16647283.5</v>
      </c>
      <c r="BZ44" s="94">
        <f t="shared" si="198"/>
        <v>0</v>
      </c>
      <c r="CA44" s="94">
        <f t="shared" si="198"/>
        <v>0</v>
      </c>
      <c r="CB44" s="94">
        <f t="shared" si="198"/>
        <v>0</v>
      </c>
      <c r="CC44" s="94">
        <f t="shared" si="198"/>
        <v>0</v>
      </c>
      <c r="CD44" s="94">
        <f t="shared" si="198"/>
        <v>0</v>
      </c>
      <c r="CE44" s="94">
        <f t="shared" si="198"/>
        <v>0</v>
      </c>
      <c r="CF44" s="94">
        <f t="shared" si="198"/>
        <v>-26160800</v>
      </c>
      <c r="CG44" s="70"/>
      <c r="CH44" s="94">
        <f>SUM(CH45)</f>
        <v>13523779.5</v>
      </c>
      <c r="CI44" s="94">
        <f t="shared" ref="CI44:CS44" si="199">SUM(CI45)</f>
        <v>6284304</v>
      </c>
      <c r="CJ44" s="94">
        <f t="shared" si="199"/>
        <v>11500000</v>
      </c>
      <c r="CK44" s="94">
        <f t="shared" si="199"/>
        <v>31308083.5</v>
      </c>
      <c r="CL44" s="94">
        <f t="shared" si="199"/>
        <v>16647283.5</v>
      </c>
      <c r="CM44" s="94">
        <f t="shared" si="199"/>
        <v>0</v>
      </c>
      <c r="CN44" s="94">
        <f t="shared" si="199"/>
        <v>0</v>
      </c>
      <c r="CO44" s="94">
        <f t="shared" si="199"/>
        <v>0</v>
      </c>
      <c r="CP44" s="94">
        <f t="shared" si="199"/>
        <v>0</v>
      </c>
      <c r="CQ44" s="94">
        <f t="shared" si="199"/>
        <v>0</v>
      </c>
      <c r="CR44" s="94">
        <f t="shared" si="199"/>
        <v>0</v>
      </c>
      <c r="CS44" s="94">
        <f t="shared" si="199"/>
        <v>-14660800</v>
      </c>
      <c r="CT44" s="70"/>
      <c r="CU44" s="94">
        <f>SUM(CU45)</f>
        <v>13523779.5</v>
      </c>
      <c r="CV44" s="94">
        <f t="shared" ref="CV44:DF44" si="200">SUM(CV45)</f>
        <v>6284304</v>
      </c>
      <c r="CW44" s="94">
        <f t="shared" si="200"/>
        <v>0</v>
      </c>
      <c r="CX44" s="94">
        <f t="shared" si="200"/>
        <v>19808083.5</v>
      </c>
      <c r="CY44" s="94">
        <f t="shared" si="200"/>
        <v>16647283.5</v>
      </c>
      <c r="CZ44" s="94">
        <f t="shared" si="200"/>
        <v>0</v>
      </c>
      <c r="DA44" s="94">
        <f t="shared" si="200"/>
        <v>0</v>
      </c>
      <c r="DB44" s="94">
        <f t="shared" si="200"/>
        <v>0</v>
      </c>
      <c r="DC44" s="94">
        <f t="shared" si="200"/>
        <v>0</v>
      </c>
      <c r="DD44" s="94">
        <f t="shared" si="200"/>
        <v>0</v>
      </c>
      <c r="DE44" s="94">
        <f t="shared" si="200"/>
        <v>0</v>
      </c>
      <c r="DF44" s="94">
        <f t="shared" si="200"/>
        <v>-3160800</v>
      </c>
      <c r="DG44" s="70"/>
      <c r="DH44" s="94">
        <f>SUM(DH45)</f>
        <v>13523779.5</v>
      </c>
      <c r="DI44" s="94">
        <f t="shared" ref="DI44:DS44" si="201">SUM(DI45)</f>
        <v>6284304</v>
      </c>
      <c r="DJ44" s="94">
        <f t="shared" si="201"/>
        <v>0</v>
      </c>
      <c r="DK44" s="94">
        <f t="shared" si="201"/>
        <v>19808083.5</v>
      </c>
      <c r="DL44" s="94">
        <f t="shared" si="201"/>
        <v>16647283.5</v>
      </c>
      <c r="DM44" s="94">
        <f t="shared" si="201"/>
        <v>0</v>
      </c>
      <c r="DN44" s="94">
        <f t="shared" si="201"/>
        <v>0</v>
      </c>
      <c r="DO44" s="94">
        <f t="shared" si="201"/>
        <v>0</v>
      </c>
      <c r="DP44" s="94">
        <f t="shared" si="201"/>
        <v>0</v>
      </c>
      <c r="DQ44" s="94">
        <f t="shared" si="201"/>
        <v>0</v>
      </c>
      <c r="DR44" s="94">
        <f t="shared" si="201"/>
        <v>0</v>
      </c>
      <c r="DS44" s="94">
        <f t="shared" si="201"/>
        <v>-3160800</v>
      </c>
      <c r="DT44" s="70"/>
      <c r="DU44" s="94">
        <f>SUM(DU45)</f>
        <v>11759275.5</v>
      </c>
      <c r="DV44" s="94">
        <f t="shared" ref="DV44:EF44" si="202">SUM(DV45)</f>
        <v>5345880</v>
      </c>
      <c r="DW44" s="94">
        <f t="shared" si="202"/>
        <v>0</v>
      </c>
      <c r="DX44" s="94">
        <f t="shared" si="202"/>
        <v>17105155.5</v>
      </c>
      <c r="DY44" s="94">
        <f t="shared" si="202"/>
        <v>14742355.5</v>
      </c>
      <c r="DZ44" s="94">
        <f t="shared" si="202"/>
        <v>0</v>
      </c>
      <c r="EA44" s="94">
        <f t="shared" si="202"/>
        <v>0</v>
      </c>
      <c r="EB44" s="94">
        <f t="shared" si="202"/>
        <v>0</v>
      </c>
      <c r="EC44" s="94">
        <f t="shared" si="202"/>
        <v>0</v>
      </c>
      <c r="ED44" s="94">
        <f t="shared" si="202"/>
        <v>0</v>
      </c>
      <c r="EE44" s="94">
        <f t="shared" si="202"/>
        <v>0</v>
      </c>
      <c r="EF44" s="94">
        <f t="shared" si="202"/>
        <v>-2362800</v>
      </c>
      <c r="EG44" s="70"/>
      <c r="EH44" s="94">
        <f t="shared" ref="EH44:ES44" si="203">SUM(EH45)</f>
        <v>83142448.200000003</v>
      </c>
      <c r="EI44" s="94">
        <f t="shared" si="203"/>
        <v>38706254.399999999</v>
      </c>
      <c r="EJ44" s="94">
        <f t="shared" si="203"/>
        <v>69000000</v>
      </c>
      <c r="EK44" s="94">
        <f t="shared" si="203"/>
        <v>190848702.59999999</v>
      </c>
      <c r="EL44" s="94">
        <f t="shared" si="203"/>
        <v>102313902</v>
      </c>
      <c r="EM44" s="94">
        <f t="shared" si="203"/>
        <v>0</v>
      </c>
      <c r="EN44" s="94">
        <f t="shared" si="203"/>
        <v>0</v>
      </c>
      <c r="EO44" s="94">
        <f t="shared" si="203"/>
        <v>0</v>
      </c>
      <c r="EP44" s="94">
        <f t="shared" si="203"/>
        <v>0</v>
      </c>
      <c r="EQ44" s="94">
        <f t="shared" si="203"/>
        <v>0</v>
      </c>
      <c r="ER44" s="94">
        <f t="shared" si="203"/>
        <v>0</v>
      </c>
      <c r="ES44" s="94">
        <f t="shared" si="203"/>
        <v>-88534800.599999994</v>
      </c>
      <c r="EU44" s="194">
        <f t="shared" si="23"/>
        <v>0</v>
      </c>
      <c r="EW44" s="194">
        <f t="shared" si="24"/>
        <v>-88534800.599999994</v>
      </c>
      <c r="EX44" s="194">
        <f t="shared" si="21"/>
        <v>0</v>
      </c>
    </row>
    <row r="45" spans="1:154" s="77" customFormat="1" ht="114.75" x14ac:dyDescent="0.25">
      <c r="A45" s="82"/>
      <c r="B45" s="88"/>
      <c r="C45" s="100"/>
      <c r="D45" s="193" t="str">
        <f>'Incremental_Cost Year 1'!D149</f>
        <v>01110 Planifikimi, Menaxhimi dhe Administrimi/07450 Shërbime të Shëndetit Publik/07330 Shërbime të Kujdesit Shëndetësor Dytësor/07220 Shërbime të Kujdesit Shëndetësor Parësor</v>
      </c>
      <c r="E45" s="193" t="str">
        <f>'Incremental_Cost Year 1'!E149</f>
        <v>2.9.1 Miratimi dhe zbatimi i Plan Veprimit për Rezistencën Antimikrobike Kombëtare (AMR)</v>
      </c>
      <c r="F45" s="96">
        <f>'Incremental_Cost Year 1'!F149</f>
        <v>2024</v>
      </c>
      <c r="G45" s="96">
        <f>'Incremental_Cost Year 1'!G149</f>
        <v>2030</v>
      </c>
      <c r="H45" s="92">
        <f>'Incremental_Cost Year 1'!AQ149</f>
        <v>0</v>
      </c>
      <c r="I45" s="92">
        <f>'Incremental_Cost Year 1'!AR149</f>
        <v>0</v>
      </c>
      <c r="J45" s="92">
        <f>'Incremental_Cost Year 1'!AS149</f>
        <v>0</v>
      </c>
      <c r="K45" s="92">
        <f>'Incremental_Cost Year 1'!AT149</f>
        <v>0</v>
      </c>
      <c r="L45" s="92">
        <f>'Incremental_Cost Year 1'!AU149</f>
        <v>0</v>
      </c>
      <c r="M45" s="92">
        <f>'Incremental_Cost Year 1'!AV149</f>
        <v>0</v>
      </c>
      <c r="N45" s="92">
        <f>'Incremental_Cost Year 1'!AW149</f>
        <v>0</v>
      </c>
      <c r="O45" s="92">
        <f>'Incremental_Cost Year 1'!AX149</f>
        <v>0</v>
      </c>
      <c r="P45" s="92">
        <f>'Incremental_Cost Year 1'!AY149</f>
        <v>0</v>
      </c>
      <c r="Q45" s="92">
        <f>'Incremental_Cost Year 1'!AZ149</f>
        <v>0</v>
      </c>
      <c r="R45" s="92">
        <f>'Incremental_Cost Year 1'!BA149</f>
        <v>0</v>
      </c>
      <c r="S45" s="92">
        <f>'Incremental_Cost Year 1'!BB149</f>
        <v>0</v>
      </c>
      <c r="T45" s="70"/>
      <c r="U45" s="92">
        <f>'Incremental_Cost Year 2'!AQ149</f>
        <v>0</v>
      </c>
      <c r="V45" s="92">
        <f>'Incremental_Cost Year 2'!AR149</f>
        <v>0</v>
      </c>
      <c r="W45" s="92">
        <f>'Incremental_Cost Year 2'!AS149</f>
        <v>0</v>
      </c>
      <c r="X45" s="92">
        <f>'Incremental_Cost Year 2'!AT149</f>
        <v>0</v>
      </c>
      <c r="Y45" s="92">
        <f>'Incremental_Cost Year 2'!AU149</f>
        <v>0</v>
      </c>
      <c r="Z45" s="92">
        <f>'Incremental_Cost Year 2'!AV149</f>
        <v>0</v>
      </c>
      <c r="AA45" s="92">
        <f>'Incremental_Cost Year 2'!AW149</f>
        <v>0</v>
      </c>
      <c r="AB45" s="92">
        <f>'Incremental_Cost Year 2'!AX149</f>
        <v>0</v>
      </c>
      <c r="AC45" s="92">
        <f>'Incremental_Cost Year 2'!AY149</f>
        <v>0</v>
      </c>
      <c r="AD45" s="92">
        <f>'Incremental_Cost Year 2'!AZ149</f>
        <v>0</v>
      </c>
      <c r="AE45" s="92">
        <f>'Incremental_Cost Year 2'!BA149</f>
        <v>0</v>
      </c>
      <c r="AF45" s="92">
        <f>'Incremental_Cost Year 2'!BB149</f>
        <v>0</v>
      </c>
      <c r="AG45" s="70"/>
      <c r="AH45" s="92">
        <f>'Incremental_Cost Year 3'!AQ149</f>
        <v>0</v>
      </c>
      <c r="AI45" s="92">
        <f>'Incremental_Cost Year 3'!AR149</f>
        <v>0</v>
      </c>
      <c r="AJ45" s="92">
        <f>'Incremental_Cost Year 3'!AS149</f>
        <v>0</v>
      </c>
      <c r="AK45" s="92">
        <f>'Incremental_Cost Year 3'!AT149</f>
        <v>0</v>
      </c>
      <c r="AL45" s="92">
        <f>'Incremental_Cost Year 3'!AU149</f>
        <v>0</v>
      </c>
      <c r="AM45" s="92">
        <f>'Incremental_Cost Year 3'!AV149</f>
        <v>0</v>
      </c>
      <c r="AN45" s="92">
        <f>'Incremental_Cost Year 3'!AW149</f>
        <v>0</v>
      </c>
      <c r="AO45" s="92">
        <f>'Incremental_Cost Year 3'!AX149</f>
        <v>0</v>
      </c>
      <c r="AP45" s="92">
        <f>'Incremental_Cost Year 3'!AY149</f>
        <v>0</v>
      </c>
      <c r="AQ45" s="92">
        <f>'Incremental_Cost Year 3'!AZ149</f>
        <v>0</v>
      </c>
      <c r="AR45" s="92">
        <f>'Incremental_Cost Year 3'!BA149</f>
        <v>0</v>
      </c>
      <c r="AS45" s="92">
        <f>'Incremental_Cost Year 3'!BB149</f>
        <v>0</v>
      </c>
      <c r="AT45" s="70"/>
      <c r="AU45" s="92">
        <f>'Incremental_Cost Year 4'!AQ149</f>
        <v>2117404.7999999998</v>
      </c>
      <c r="AV45" s="92">
        <f>'Incremental_Cost Year 4'!AR149</f>
        <v>1687305.6</v>
      </c>
      <c r="AW45" s="92">
        <f>'Incremental_Cost Year 4'!AS149</f>
        <v>0</v>
      </c>
      <c r="AX45" s="92">
        <f>'Incremental_Cost Year 4'!AT149</f>
        <v>3804710.4</v>
      </c>
      <c r="AY45" s="92">
        <f>'Incremental_Cost Year 4'!AU149</f>
        <v>2436710</v>
      </c>
      <c r="AZ45" s="92">
        <f>'Incremental_Cost Year 4'!AV149</f>
        <v>0</v>
      </c>
      <c r="BA45" s="92">
        <f>'Incremental_Cost Year 4'!AW149</f>
        <v>0</v>
      </c>
      <c r="BB45" s="92">
        <f>'Incremental_Cost Year 4'!AX149</f>
        <v>0</v>
      </c>
      <c r="BC45" s="92">
        <f>'Incremental_Cost Year 4'!AY149</f>
        <v>0</v>
      </c>
      <c r="BD45" s="92">
        <f>'Incremental_Cost Year 4'!AZ149</f>
        <v>0</v>
      </c>
      <c r="BE45" s="92">
        <f>'Incremental_Cost Year 4'!BA149</f>
        <v>0</v>
      </c>
      <c r="BF45" s="92">
        <f>'Incremental_Cost Year 4'!BB149</f>
        <v>-1368000.4</v>
      </c>
      <c r="BG45" s="70"/>
      <c r="BH45" s="92">
        <f>'Incremental_Cost Year 5'!AQ149</f>
        <v>15170649.9</v>
      </c>
      <c r="BI45" s="92">
        <f>'Incremental_Cost Year 5'!AR149</f>
        <v>6535852.7999999998</v>
      </c>
      <c r="BJ45" s="92">
        <f>'Incremental_Cost Year 5'!AS149</f>
        <v>34500000</v>
      </c>
      <c r="BK45" s="92">
        <f>'Incremental_Cost Year 5'!AT149</f>
        <v>56206502.700000003</v>
      </c>
      <c r="BL45" s="92">
        <f>'Incremental_Cost Year 5'!AU149</f>
        <v>18545702.5</v>
      </c>
      <c r="BM45" s="92">
        <f>'Incremental_Cost Year 5'!AV149</f>
        <v>0</v>
      </c>
      <c r="BN45" s="92">
        <f>'Incremental_Cost Year 5'!AW149</f>
        <v>0</v>
      </c>
      <c r="BO45" s="92">
        <f>'Incremental_Cost Year 5'!AX149</f>
        <v>0</v>
      </c>
      <c r="BP45" s="92">
        <f>'Incremental_Cost Year 5'!AY149</f>
        <v>0</v>
      </c>
      <c r="BQ45" s="92">
        <f>'Incremental_Cost Year 5'!AZ149</f>
        <v>0</v>
      </c>
      <c r="BR45" s="92">
        <f>'Incremental_Cost Year 5'!BA149</f>
        <v>0</v>
      </c>
      <c r="BS45" s="92">
        <f>'Incremental_Cost Year 5'!BB149</f>
        <v>-37660800.200000003</v>
      </c>
      <c r="BT45" s="70"/>
      <c r="BU45" s="92">
        <f>'Incremental_Cost Year 6'!AQ149</f>
        <v>13523779.5</v>
      </c>
      <c r="BV45" s="92">
        <f>'Incremental_Cost Year 6'!AR149</f>
        <v>6284304</v>
      </c>
      <c r="BW45" s="92">
        <f>'Incremental_Cost Year 6'!AS149</f>
        <v>23000000</v>
      </c>
      <c r="BX45" s="92">
        <f>'Incremental_Cost Year 6'!AT149</f>
        <v>42808083.5</v>
      </c>
      <c r="BY45" s="92">
        <f>'Incremental_Cost Year 6'!AU149</f>
        <v>16647283.5</v>
      </c>
      <c r="BZ45" s="92">
        <f>'Incremental_Cost Year 6'!AV149</f>
        <v>0</v>
      </c>
      <c r="CA45" s="92">
        <f>'Incremental_Cost Year 6'!AW149</f>
        <v>0</v>
      </c>
      <c r="CB45" s="92">
        <f>'Incremental_Cost Year 6'!AX149</f>
        <v>0</v>
      </c>
      <c r="CC45" s="92">
        <f>'Incremental_Cost Year 6'!AY149</f>
        <v>0</v>
      </c>
      <c r="CD45" s="92">
        <f>'Incremental_Cost Year 6'!AZ149</f>
        <v>0</v>
      </c>
      <c r="CE45" s="92">
        <f>'Incremental_Cost Year 6'!BA149</f>
        <v>0</v>
      </c>
      <c r="CF45" s="92">
        <f>'Incremental_Cost Year 6'!BB149</f>
        <v>-26160800</v>
      </c>
      <c r="CG45" s="70"/>
      <c r="CH45" s="92">
        <f>'Incremental_Cost Year 7'!AQ149</f>
        <v>13523779.5</v>
      </c>
      <c r="CI45" s="92">
        <f>'Incremental_Cost Year 7'!AR149</f>
        <v>6284304</v>
      </c>
      <c r="CJ45" s="92">
        <f>'Incremental_Cost Year 7'!AS149</f>
        <v>11500000</v>
      </c>
      <c r="CK45" s="92">
        <f>'Incremental_Cost Year 7'!AT149</f>
        <v>31308083.5</v>
      </c>
      <c r="CL45" s="92">
        <f>'Incremental_Cost Year 7'!AU149</f>
        <v>16647283.5</v>
      </c>
      <c r="CM45" s="92">
        <f>'Incremental_Cost Year 7'!AV149</f>
        <v>0</v>
      </c>
      <c r="CN45" s="92">
        <f>'Incremental_Cost Year 7'!AW149</f>
        <v>0</v>
      </c>
      <c r="CO45" s="92">
        <f>'Incremental_Cost Year 7'!AX149</f>
        <v>0</v>
      </c>
      <c r="CP45" s="92">
        <f>'Incremental_Cost Year 7'!AY149</f>
        <v>0</v>
      </c>
      <c r="CQ45" s="92">
        <f>'Incremental_Cost Year 7'!AZ149</f>
        <v>0</v>
      </c>
      <c r="CR45" s="92">
        <f>'Incremental_Cost Year 7'!BA149</f>
        <v>0</v>
      </c>
      <c r="CS45" s="92">
        <f>'Incremental_Cost Year 7'!BB149</f>
        <v>-14660800</v>
      </c>
      <c r="CT45" s="70"/>
      <c r="CU45" s="92">
        <f>'Incremental_Cost Year 8'!AQ149</f>
        <v>13523779.5</v>
      </c>
      <c r="CV45" s="92">
        <f>'Incremental_Cost Year 8'!AR149</f>
        <v>6284304</v>
      </c>
      <c r="CW45" s="92">
        <f>'Incremental_Cost Year 8'!AS149</f>
        <v>0</v>
      </c>
      <c r="CX45" s="92">
        <f>'Incremental_Cost Year 8'!AT149</f>
        <v>19808083.5</v>
      </c>
      <c r="CY45" s="92">
        <f>'Incremental_Cost Year 8'!AU149</f>
        <v>16647283.5</v>
      </c>
      <c r="CZ45" s="92">
        <f>'Incremental_Cost Year 8'!AV149</f>
        <v>0</v>
      </c>
      <c r="DA45" s="92">
        <f>'Incremental_Cost Year 8'!AW149</f>
        <v>0</v>
      </c>
      <c r="DB45" s="92">
        <f>'Incremental_Cost Year 8'!AX149</f>
        <v>0</v>
      </c>
      <c r="DC45" s="92">
        <f>'Incremental_Cost Year 8'!AY149</f>
        <v>0</v>
      </c>
      <c r="DD45" s="92">
        <f>'Incremental_Cost Year 8'!AZ149</f>
        <v>0</v>
      </c>
      <c r="DE45" s="92">
        <f>'Incremental_Cost Year 8'!BA149</f>
        <v>0</v>
      </c>
      <c r="DF45" s="92">
        <f>'Incremental_Cost Year 8'!BB149</f>
        <v>-3160800</v>
      </c>
      <c r="DG45" s="70"/>
      <c r="DH45" s="92">
        <f>'Incremental_Cost Year 9'!AQ149</f>
        <v>13523779.5</v>
      </c>
      <c r="DI45" s="92">
        <f>'Incremental_Cost Year 9'!AR149</f>
        <v>6284304</v>
      </c>
      <c r="DJ45" s="92">
        <f>'Incremental_Cost Year 9'!AS149</f>
        <v>0</v>
      </c>
      <c r="DK45" s="92">
        <f>'Incremental_Cost Year 9'!AT149</f>
        <v>19808083.5</v>
      </c>
      <c r="DL45" s="92">
        <f>'Incremental_Cost Year 9'!AU149</f>
        <v>16647283.5</v>
      </c>
      <c r="DM45" s="92">
        <f>'Incremental_Cost Year 9'!AV149</f>
        <v>0</v>
      </c>
      <c r="DN45" s="92">
        <f>'Incremental_Cost Year 9'!AW149</f>
        <v>0</v>
      </c>
      <c r="DO45" s="92">
        <f>'Incremental_Cost Year 9'!AX149</f>
        <v>0</v>
      </c>
      <c r="DP45" s="92">
        <f>'Incremental_Cost Year 9'!AY149</f>
        <v>0</v>
      </c>
      <c r="DQ45" s="92">
        <f>'Incremental_Cost Year 9'!AZ149</f>
        <v>0</v>
      </c>
      <c r="DR45" s="92">
        <f>'Incremental_Cost Year 9'!BA149</f>
        <v>0</v>
      </c>
      <c r="DS45" s="92">
        <f>'Incremental_Cost Year 9'!BB149</f>
        <v>-3160800</v>
      </c>
      <c r="DT45" s="70"/>
      <c r="DU45" s="92">
        <f>'Incremental_Cost Year 10'!AQ149</f>
        <v>11759275.5</v>
      </c>
      <c r="DV45" s="92">
        <f>'Incremental_Cost Year 10'!AR149</f>
        <v>5345880</v>
      </c>
      <c r="DW45" s="92">
        <f>'Incremental_Cost Year 10'!AS149</f>
        <v>0</v>
      </c>
      <c r="DX45" s="92">
        <f>'Incremental_Cost Year 10'!AT149</f>
        <v>17105155.5</v>
      </c>
      <c r="DY45" s="92">
        <f>'Incremental_Cost Year 10'!AU149</f>
        <v>14742355.5</v>
      </c>
      <c r="DZ45" s="92">
        <f>'Incremental_Cost Year 10'!AV149</f>
        <v>0</v>
      </c>
      <c r="EA45" s="92">
        <f>'Incremental_Cost Year 10'!AW149</f>
        <v>0</v>
      </c>
      <c r="EB45" s="92">
        <f>'Incremental_Cost Year 10'!AX149</f>
        <v>0</v>
      </c>
      <c r="EC45" s="92">
        <f>'Incremental_Cost Year 10'!AY149</f>
        <v>0</v>
      </c>
      <c r="ED45" s="92">
        <f>'Incremental_Cost Year 10'!AZ149</f>
        <v>0</v>
      </c>
      <c r="EE45" s="92">
        <f>'Incremental_Cost Year 10'!BA149</f>
        <v>0</v>
      </c>
      <c r="EF45" s="92">
        <f>'Incremental_Cost Year 10'!BB149</f>
        <v>-2362800</v>
      </c>
      <c r="EG45" s="70"/>
      <c r="EH45" s="92">
        <f t="shared" ref="EH45:ES45" si="204">H45+U45+AH45+AU45+BH45+BU45+CH45+CU45+DH45+DU45</f>
        <v>83142448.200000003</v>
      </c>
      <c r="EI45" s="92">
        <f t="shared" si="204"/>
        <v>38706254.399999999</v>
      </c>
      <c r="EJ45" s="92">
        <f t="shared" si="204"/>
        <v>69000000</v>
      </c>
      <c r="EK45" s="92">
        <f t="shared" si="204"/>
        <v>190848702.59999999</v>
      </c>
      <c r="EL45" s="92">
        <f t="shared" si="204"/>
        <v>102313902</v>
      </c>
      <c r="EM45" s="92">
        <f t="shared" si="204"/>
        <v>0</v>
      </c>
      <c r="EN45" s="92">
        <f t="shared" si="204"/>
        <v>0</v>
      </c>
      <c r="EO45" s="92">
        <f t="shared" si="204"/>
        <v>0</v>
      </c>
      <c r="EP45" s="92">
        <f t="shared" si="204"/>
        <v>0</v>
      </c>
      <c r="EQ45" s="92">
        <f t="shared" si="204"/>
        <v>0</v>
      </c>
      <c r="ER45" s="92">
        <f t="shared" si="204"/>
        <v>0</v>
      </c>
      <c r="ES45" s="92">
        <f t="shared" si="204"/>
        <v>-88534800.599999994</v>
      </c>
      <c r="EU45" s="194">
        <f t="shared" si="23"/>
        <v>0</v>
      </c>
      <c r="EW45" s="194">
        <f t="shared" si="24"/>
        <v>-88534800.599999994</v>
      </c>
      <c r="EX45" s="194">
        <f t="shared" si="21"/>
        <v>0</v>
      </c>
    </row>
    <row r="46" spans="1:154" x14ac:dyDescent="0.25">
      <c r="B46" s="399" t="str">
        <f>'Incremental_Cost Year 1'!B150:E150</f>
        <v xml:space="preserve">3.Qellimi I Politikes ( Kodi, Emertimi)  Fuqizimi i sistemit të interguar shëndetësor me qëllim përmirësimin e ofrimit të kujdesit shëndetësor  </v>
      </c>
      <c r="C46" s="408"/>
      <c r="D46" s="408"/>
      <c r="E46" s="409"/>
      <c r="F46" s="50"/>
      <c r="G46" s="50"/>
      <c r="H46" s="53">
        <f>H47+H51+H55</f>
        <v>1858739308.3499999</v>
      </c>
      <c r="I46" s="93">
        <f t="shared" ref="I46:S46" si="205">I47+I51+I55</f>
        <v>4065539881</v>
      </c>
      <c r="J46" s="93">
        <f t="shared" si="205"/>
        <v>943528667.33333325</v>
      </c>
      <c r="K46" s="93">
        <f t="shared" si="205"/>
        <v>6867807856.6833324</v>
      </c>
      <c r="L46" s="93">
        <f t="shared" si="205"/>
        <v>6579978690.4666672</v>
      </c>
      <c r="M46" s="93">
        <f t="shared" si="205"/>
        <v>45200000</v>
      </c>
      <c r="N46" s="93">
        <f t="shared" si="205"/>
        <v>55200000</v>
      </c>
      <c r="O46" s="93">
        <f t="shared" si="205"/>
        <v>0</v>
      </c>
      <c r="P46" s="93">
        <f t="shared" si="205"/>
        <v>0</v>
      </c>
      <c r="Q46" s="93">
        <f t="shared" si="205"/>
        <v>186745167</v>
      </c>
      <c r="R46" s="93">
        <f t="shared" si="205"/>
        <v>0</v>
      </c>
      <c r="S46" s="93">
        <f t="shared" si="205"/>
        <v>-683999.21666656912</v>
      </c>
      <c r="U46" s="93">
        <f>U47+U51+U55</f>
        <v>12126183777.660002</v>
      </c>
      <c r="V46" s="93">
        <f t="shared" ref="V46:AF46" si="206">V47+V51+V55</f>
        <v>14819658106</v>
      </c>
      <c r="W46" s="93">
        <f t="shared" si="206"/>
        <v>2037081850</v>
      </c>
      <c r="X46" s="93">
        <f t="shared" si="206"/>
        <v>28982923733.66</v>
      </c>
      <c r="Y46" s="93">
        <f t="shared" si="206"/>
        <v>28126106607.599998</v>
      </c>
      <c r="Z46" s="93">
        <f t="shared" si="206"/>
        <v>115000000</v>
      </c>
      <c r="AA46" s="93">
        <f t="shared" si="206"/>
        <v>272000000</v>
      </c>
      <c r="AB46" s="93">
        <f t="shared" si="206"/>
        <v>0</v>
      </c>
      <c r="AC46" s="93">
        <f t="shared" si="206"/>
        <v>0</v>
      </c>
      <c r="AD46" s="93">
        <f t="shared" si="206"/>
        <v>212700000</v>
      </c>
      <c r="AE46" s="93">
        <f t="shared" si="206"/>
        <v>0</v>
      </c>
      <c r="AF46" s="93">
        <f t="shared" si="206"/>
        <v>-257117126.05999848</v>
      </c>
      <c r="AH46" s="93">
        <f>AH47+AH51+AH55</f>
        <v>12525140215.110001</v>
      </c>
      <c r="AI46" s="93">
        <f t="shared" ref="AI46:AS46" si="207">AI47+AI51+AI55</f>
        <v>15303672306</v>
      </c>
      <c r="AJ46" s="93">
        <f t="shared" si="207"/>
        <v>2967794950</v>
      </c>
      <c r="AK46" s="93">
        <f t="shared" si="207"/>
        <v>30796607471.109997</v>
      </c>
      <c r="AL46" s="93">
        <f t="shared" si="207"/>
        <v>28244899603.200001</v>
      </c>
      <c r="AM46" s="93">
        <f t="shared" si="207"/>
        <v>100000000</v>
      </c>
      <c r="AN46" s="93">
        <f t="shared" si="207"/>
        <v>602000000</v>
      </c>
      <c r="AO46" s="93">
        <f t="shared" si="207"/>
        <v>0</v>
      </c>
      <c r="AP46" s="93">
        <f t="shared" si="207"/>
        <v>0</v>
      </c>
      <c r="AQ46" s="93">
        <f t="shared" si="207"/>
        <v>299300000</v>
      </c>
      <c r="AR46" s="93">
        <f t="shared" si="207"/>
        <v>0</v>
      </c>
      <c r="AS46" s="93">
        <f t="shared" si="207"/>
        <v>-1550407867.9099982</v>
      </c>
      <c r="AU46" s="93">
        <f>AU47+AU51+AU55</f>
        <v>12821145048.960001</v>
      </c>
      <c r="AV46" s="93">
        <f t="shared" ref="AV46:BF46" si="208">AV47+AV51+AV55</f>
        <v>16024922606</v>
      </c>
      <c r="AW46" s="93">
        <f t="shared" si="208"/>
        <v>2953773000</v>
      </c>
      <c r="AX46" s="93">
        <f t="shared" si="208"/>
        <v>31799840654.959999</v>
      </c>
      <c r="AY46" s="93">
        <f t="shared" si="208"/>
        <v>28903081787.200001</v>
      </c>
      <c r="AZ46" s="93">
        <f t="shared" si="208"/>
        <v>200000000</v>
      </c>
      <c r="BA46" s="93">
        <f t="shared" si="208"/>
        <v>602000000</v>
      </c>
      <c r="BB46" s="93">
        <f t="shared" si="208"/>
        <v>0</v>
      </c>
      <c r="BC46" s="93">
        <f t="shared" si="208"/>
        <v>0</v>
      </c>
      <c r="BD46" s="93">
        <f t="shared" si="208"/>
        <v>208000000</v>
      </c>
      <c r="BE46" s="93">
        <f t="shared" si="208"/>
        <v>0</v>
      </c>
      <c r="BF46" s="93">
        <f t="shared" si="208"/>
        <v>-1886758867.7599983</v>
      </c>
      <c r="BH46" s="93">
        <f>BH47+BH51+BH55</f>
        <v>13119754218.360001</v>
      </c>
      <c r="BI46" s="93">
        <f t="shared" ref="BI46:BS46" si="209">BI47+BI51+BI55</f>
        <v>16314054781</v>
      </c>
      <c r="BJ46" s="93">
        <f t="shared" si="209"/>
        <v>500026900</v>
      </c>
      <c r="BK46" s="93">
        <f t="shared" si="209"/>
        <v>29933835899.359997</v>
      </c>
      <c r="BL46" s="93">
        <f t="shared" si="209"/>
        <v>28068567000.200001</v>
      </c>
      <c r="BM46" s="93">
        <f t="shared" si="209"/>
        <v>0</v>
      </c>
      <c r="BN46" s="93">
        <f t="shared" si="209"/>
        <v>0</v>
      </c>
      <c r="BO46" s="93">
        <f t="shared" si="209"/>
        <v>0</v>
      </c>
      <c r="BP46" s="93">
        <f t="shared" si="209"/>
        <v>0</v>
      </c>
      <c r="BQ46" s="93">
        <f t="shared" si="209"/>
        <v>0</v>
      </c>
      <c r="BR46" s="93">
        <f t="shared" si="209"/>
        <v>0</v>
      </c>
      <c r="BS46" s="93">
        <f t="shared" si="209"/>
        <v>-1865268899.1599982</v>
      </c>
      <c r="BU46" s="93">
        <f>BU47+BU51+BU55</f>
        <v>12851256072</v>
      </c>
      <c r="BV46" s="93">
        <f t="shared" ref="BV46:CF46" si="210">BV47+BV51+BV55</f>
        <v>16614265425</v>
      </c>
      <c r="BW46" s="93">
        <f t="shared" si="210"/>
        <v>0</v>
      </c>
      <c r="BX46" s="93">
        <f t="shared" si="210"/>
        <v>29465521496.999996</v>
      </c>
      <c r="BY46" s="93">
        <f t="shared" si="210"/>
        <v>27665521497.200001</v>
      </c>
      <c r="BZ46" s="93">
        <f t="shared" si="210"/>
        <v>0</v>
      </c>
      <c r="CA46" s="93">
        <f t="shared" si="210"/>
        <v>0</v>
      </c>
      <c r="CB46" s="93">
        <f t="shared" si="210"/>
        <v>0</v>
      </c>
      <c r="CC46" s="93">
        <f t="shared" si="210"/>
        <v>0</v>
      </c>
      <c r="CD46" s="93">
        <f t="shared" si="210"/>
        <v>0</v>
      </c>
      <c r="CE46" s="93">
        <f t="shared" si="210"/>
        <v>0</v>
      </c>
      <c r="CF46" s="93">
        <f t="shared" si="210"/>
        <v>-1799999999.7999997</v>
      </c>
      <c r="CH46" s="93">
        <f>CH47+CH51+CH55</f>
        <v>12850100975.4</v>
      </c>
      <c r="CI46" s="93">
        <f t="shared" ref="CI46:CS46" si="211">CI47+CI51+CI55</f>
        <v>16915600751</v>
      </c>
      <c r="CJ46" s="93">
        <f t="shared" si="211"/>
        <v>0</v>
      </c>
      <c r="CK46" s="93">
        <f t="shared" si="211"/>
        <v>29765701726.399998</v>
      </c>
      <c r="CL46" s="93">
        <f t="shared" si="211"/>
        <v>27965701726.200001</v>
      </c>
      <c r="CM46" s="93">
        <f t="shared" si="211"/>
        <v>0</v>
      </c>
      <c r="CN46" s="93">
        <f t="shared" si="211"/>
        <v>0</v>
      </c>
      <c r="CO46" s="93">
        <f t="shared" si="211"/>
        <v>0</v>
      </c>
      <c r="CP46" s="93">
        <f t="shared" si="211"/>
        <v>0</v>
      </c>
      <c r="CQ46" s="93">
        <f t="shared" si="211"/>
        <v>0</v>
      </c>
      <c r="CR46" s="93">
        <f t="shared" si="211"/>
        <v>0</v>
      </c>
      <c r="CS46" s="93">
        <f t="shared" si="211"/>
        <v>-1800000000.1999998</v>
      </c>
      <c r="CU46" s="93">
        <f>CU47+CU51+CU55</f>
        <v>12850100975.4</v>
      </c>
      <c r="CV46" s="93">
        <f t="shared" ref="CV46:DF46" si="212">CV47+CV51+CV55</f>
        <v>17223057750.400002</v>
      </c>
      <c r="CW46" s="93">
        <f t="shared" si="212"/>
        <v>0</v>
      </c>
      <c r="CX46" s="93">
        <f t="shared" si="212"/>
        <v>30073158725.799999</v>
      </c>
      <c r="CY46" s="93">
        <f t="shared" si="212"/>
        <v>28273158726.200001</v>
      </c>
      <c r="CZ46" s="93">
        <f t="shared" si="212"/>
        <v>0</v>
      </c>
      <c r="DA46" s="93">
        <f t="shared" si="212"/>
        <v>0</v>
      </c>
      <c r="DB46" s="93">
        <f t="shared" si="212"/>
        <v>0</v>
      </c>
      <c r="DC46" s="93">
        <f t="shared" si="212"/>
        <v>0</v>
      </c>
      <c r="DD46" s="93">
        <f t="shared" si="212"/>
        <v>0</v>
      </c>
      <c r="DE46" s="93">
        <f t="shared" si="212"/>
        <v>0</v>
      </c>
      <c r="DF46" s="93">
        <f t="shared" si="212"/>
        <v>-1799999999.5999999</v>
      </c>
      <c r="DH46" s="93">
        <f>DH47+DH51+DH55</f>
        <v>12844443359.4</v>
      </c>
      <c r="DI46" s="93">
        <f t="shared" ref="DI46:DS46" si="213">DI47+DI51+DI55</f>
        <v>17531139307</v>
      </c>
      <c r="DJ46" s="93">
        <f t="shared" si="213"/>
        <v>0</v>
      </c>
      <c r="DK46" s="93">
        <f t="shared" si="213"/>
        <v>30375582666.399998</v>
      </c>
      <c r="DL46" s="93">
        <f t="shared" si="213"/>
        <v>28575582665.900002</v>
      </c>
      <c r="DM46" s="93">
        <f t="shared" si="213"/>
        <v>0</v>
      </c>
      <c r="DN46" s="93">
        <f t="shared" si="213"/>
        <v>0</v>
      </c>
      <c r="DO46" s="93">
        <f t="shared" si="213"/>
        <v>0</v>
      </c>
      <c r="DP46" s="93">
        <f t="shared" si="213"/>
        <v>0</v>
      </c>
      <c r="DQ46" s="93">
        <f t="shared" si="213"/>
        <v>0</v>
      </c>
      <c r="DR46" s="93">
        <f t="shared" si="213"/>
        <v>0</v>
      </c>
      <c r="DS46" s="93">
        <f t="shared" si="213"/>
        <v>-1800000000.5</v>
      </c>
      <c r="DU46" s="93">
        <f>DU47+DU51+DU55</f>
        <v>12850100975.4</v>
      </c>
      <c r="DV46" s="93">
        <f t="shared" ref="DV46:EF46" si="214">DV47+DV51+DV55</f>
        <v>17604319072</v>
      </c>
      <c r="DW46" s="93">
        <f t="shared" si="214"/>
        <v>0</v>
      </c>
      <c r="DX46" s="93">
        <f t="shared" si="214"/>
        <v>30454420047.399998</v>
      </c>
      <c r="DY46" s="93">
        <f t="shared" si="214"/>
        <v>28654420047.200001</v>
      </c>
      <c r="DZ46" s="93">
        <f t="shared" si="214"/>
        <v>0</v>
      </c>
      <c r="EA46" s="93">
        <f t="shared" si="214"/>
        <v>0</v>
      </c>
      <c r="EB46" s="93">
        <f t="shared" si="214"/>
        <v>0</v>
      </c>
      <c r="EC46" s="93">
        <f t="shared" si="214"/>
        <v>0</v>
      </c>
      <c r="ED46" s="93">
        <f t="shared" si="214"/>
        <v>0</v>
      </c>
      <c r="EE46" s="93">
        <f t="shared" si="214"/>
        <v>0</v>
      </c>
      <c r="EF46" s="93">
        <f t="shared" si="214"/>
        <v>-1800000000.1999998</v>
      </c>
      <c r="EH46" s="93">
        <f t="shared" ref="EH46:ES46" si="215">EH47+EH51+EH55</f>
        <v>116696964926.03998</v>
      </c>
      <c r="EI46" s="93">
        <f t="shared" si="215"/>
        <v>152416229985.39999</v>
      </c>
      <c r="EJ46" s="93">
        <f t="shared" si="215"/>
        <v>9402205367.333334</v>
      </c>
      <c r="EK46" s="93">
        <f t="shared" si="215"/>
        <v>278515400278.77332</v>
      </c>
      <c r="EL46" s="93">
        <f t="shared" si="215"/>
        <v>261057018351.36667</v>
      </c>
      <c r="EM46" s="93">
        <f t="shared" si="215"/>
        <v>460200000</v>
      </c>
      <c r="EN46" s="93">
        <f t="shared" si="215"/>
        <v>1531200000</v>
      </c>
      <c r="EO46" s="93">
        <f t="shared" si="215"/>
        <v>0</v>
      </c>
      <c r="EP46" s="93">
        <f t="shared" si="215"/>
        <v>0</v>
      </c>
      <c r="EQ46" s="93">
        <f t="shared" si="215"/>
        <v>906745167</v>
      </c>
      <c r="ER46" s="93">
        <f t="shared" si="215"/>
        <v>0</v>
      </c>
      <c r="ES46" s="93">
        <f t="shared" si="215"/>
        <v>-14560236760.406662</v>
      </c>
      <c r="EU46" s="194">
        <f t="shared" si="23"/>
        <v>2898145167</v>
      </c>
      <c r="EW46" s="194">
        <f t="shared" si="24"/>
        <v>-14560236760.406647</v>
      </c>
      <c r="EX46" s="194">
        <f t="shared" si="21"/>
        <v>-1.52587890625E-5</v>
      </c>
    </row>
    <row r="47" spans="1:154" x14ac:dyDescent="0.25">
      <c r="A47" s="42"/>
      <c r="B47" s="48"/>
      <c r="C47" s="421" t="str">
        <f>'Incremental_Cost Year 1'!C151:E151</f>
        <v>3.1 Objektivi Specifik: Fuqizimi i mëtejshëm i kujdesit shëndetësor parësor, si porta e parë hyrëse e qytetarit.</v>
      </c>
      <c r="D47" s="421"/>
      <c r="E47" s="422"/>
      <c r="F47" s="67"/>
      <c r="G47" s="67"/>
      <c r="H47" s="54">
        <f>SUM(H48:H50)</f>
        <v>2145179.4</v>
      </c>
      <c r="I47" s="94">
        <f t="shared" ref="I47:S47" si="216">SUM(I48:I50)</f>
        <v>7260000</v>
      </c>
      <c r="J47" s="94">
        <f t="shared" si="216"/>
        <v>495349833.33333331</v>
      </c>
      <c r="K47" s="94">
        <f t="shared" si="216"/>
        <v>504755012.73333329</v>
      </c>
      <c r="L47" s="94">
        <f t="shared" si="216"/>
        <v>318009845.66666669</v>
      </c>
      <c r="M47" s="94">
        <f t="shared" si="216"/>
        <v>0</v>
      </c>
      <c r="N47" s="94">
        <f t="shared" si="216"/>
        <v>0</v>
      </c>
      <c r="O47" s="94">
        <f t="shared" si="216"/>
        <v>0</v>
      </c>
      <c r="P47" s="94">
        <f t="shared" si="216"/>
        <v>0</v>
      </c>
      <c r="Q47" s="94">
        <f t="shared" si="216"/>
        <v>186745167</v>
      </c>
      <c r="R47" s="94">
        <f t="shared" si="216"/>
        <v>0</v>
      </c>
      <c r="S47" s="94">
        <f t="shared" si="216"/>
        <v>-6.6666664555668831E-2</v>
      </c>
      <c r="U47" s="94">
        <f>SUM(U48:U50)</f>
        <v>13318971</v>
      </c>
      <c r="V47" s="94">
        <f t="shared" ref="V47:AF47" si="217">SUM(V48:V50)</f>
        <v>22915800</v>
      </c>
      <c r="W47" s="94">
        <f t="shared" si="217"/>
        <v>450418800</v>
      </c>
      <c r="X47" s="94">
        <f t="shared" si="217"/>
        <v>486653571</v>
      </c>
      <c r="Y47" s="94">
        <f t="shared" si="217"/>
        <v>233051943.40000001</v>
      </c>
      <c r="Z47" s="94">
        <f t="shared" si="217"/>
        <v>0</v>
      </c>
      <c r="AA47" s="94">
        <f t="shared" si="217"/>
        <v>0</v>
      </c>
      <c r="AB47" s="94">
        <f t="shared" si="217"/>
        <v>0</v>
      </c>
      <c r="AC47" s="94">
        <f t="shared" si="217"/>
        <v>0</v>
      </c>
      <c r="AD47" s="94">
        <f t="shared" si="217"/>
        <v>202700000</v>
      </c>
      <c r="AE47" s="94">
        <f t="shared" si="217"/>
        <v>0</v>
      </c>
      <c r="AF47" s="94">
        <f t="shared" si="217"/>
        <v>-50901627.600000001</v>
      </c>
      <c r="AH47" s="94">
        <f>SUM(AH48:AH50)</f>
        <v>15346283.4</v>
      </c>
      <c r="AI47" s="94">
        <f t="shared" ref="AI47:AS47" si="218">SUM(AI48:AI50)</f>
        <v>17647800</v>
      </c>
      <c r="AJ47" s="94">
        <f t="shared" si="218"/>
        <v>452500000</v>
      </c>
      <c r="AK47" s="94">
        <f t="shared" si="218"/>
        <v>485494083.40000004</v>
      </c>
      <c r="AL47" s="94">
        <f t="shared" si="218"/>
        <v>140808214</v>
      </c>
      <c r="AM47" s="94">
        <f t="shared" si="218"/>
        <v>0</v>
      </c>
      <c r="AN47" s="94">
        <f t="shared" si="218"/>
        <v>0</v>
      </c>
      <c r="AO47" s="94">
        <f t="shared" si="218"/>
        <v>0</v>
      </c>
      <c r="AP47" s="94">
        <f t="shared" si="218"/>
        <v>0</v>
      </c>
      <c r="AQ47" s="94">
        <f t="shared" si="218"/>
        <v>299300000</v>
      </c>
      <c r="AR47" s="94">
        <f t="shared" si="218"/>
        <v>0</v>
      </c>
      <c r="AS47" s="94">
        <f t="shared" si="218"/>
        <v>-45385869.399999999</v>
      </c>
      <c r="AU47" s="94">
        <f>SUM(AU48:AU50)</f>
        <v>13931879.4</v>
      </c>
      <c r="AV47" s="94">
        <f t="shared" ref="AV47:BF47" si="219">SUM(AV48:AV50)</f>
        <v>11427300</v>
      </c>
      <c r="AW47" s="94">
        <f t="shared" si="219"/>
        <v>337500000</v>
      </c>
      <c r="AX47" s="94">
        <f t="shared" si="219"/>
        <v>362859179.40000004</v>
      </c>
      <c r="AY47" s="94">
        <f t="shared" si="219"/>
        <v>109401310</v>
      </c>
      <c r="AZ47" s="94">
        <f t="shared" si="219"/>
        <v>0</v>
      </c>
      <c r="BA47" s="94">
        <f t="shared" si="219"/>
        <v>0</v>
      </c>
      <c r="BB47" s="94">
        <f t="shared" si="219"/>
        <v>0</v>
      </c>
      <c r="BC47" s="94">
        <f t="shared" si="219"/>
        <v>0</v>
      </c>
      <c r="BD47" s="94">
        <f t="shared" si="219"/>
        <v>208000000</v>
      </c>
      <c r="BE47" s="94">
        <f t="shared" si="219"/>
        <v>0</v>
      </c>
      <c r="BF47" s="94">
        <f t="shared" si="219"/>
        <v>-45457869.399999999</v>
      </c>
      <c r="BH47" s="94">
        <f>SUM(BH48:BH50)</f>
        <v>12871076.4</v>
      </c>
      <c r="BI47" s="94">
        <f t="shared" ref="BI47:BS47" si="220">SUM(BI48:BI50)</f>
        <v>3472875</v>
      </c>
      <c r="BJ47" s="94">
        <f t="shared" si="220"/>
        <v>0</v>
      </c>
      <c r="BK47" s="94">
        <f t="shared" si="220"/>
        <v>16343951.4</v>
      </c>
      <c r="BL47" s="94">
        <f t="shared" si="220"/>
        <v>16343951</v>
      </c>
      <c r="BM47" s="94">
        <f t="shared" si="220"/>
        <v>0</v>
      </c>
      <c r="BN47" s="94">
        <f t="shared" si="220"/>
        <v>0</v>
      </c>
      <c r="BO47" s="94">
        <f t="shared" si="220"/>
        <v>0</v>
      </c>
      <c r="BP47" s="94">
        <f t="shared" si="220"/>
        <v>0</v>
      </c>
      <c r="BQ47" s="94">
        <f t="shared" si="220"/>
        <v>0</v>
      </c>
      <c r="BR47" s="94">
        <f t="shared" si="220"/>
        <v>0</v>
      </c>
      <c r="BS47" s="94">
        <f t="shared" si="220"/>
        <v>-0.40000000037252903</v>
      </c>
      <c r="BU47" s="94">
        <f>SUM(BU48:BU50)</f>
        <v>12871076.4</v>
      </c>
      <c r="BV47" s="94">
        <f t="shared" ref="BV47:CF47" si="221">SUM(BV48:BV50)</f>
        <v>3646519</v>
      </c>
      <c r="BW47" s="94">
        <f t="shared" si="221"/>
        <v>0</v>
      </c>
      <c r="BX47" s="94">
        <f t="shared" si="221"/>
        <v>16517595.4</v>
      </c>
      <c r="BY47" s="94">
        <f t="shared" si="221"/>
        <v>16517595</v>
      </c>
      <c r="BZ47" s="94">
        <f t="shared" si="221"/>
        <v>0</v>
      </c>
      <c r="CA47" s="94">
        <f t="shared" si="221"/>
        <v>0</v>
      </c>
      <c r="CB47" s="94">
        <f t="shared" si="221"/>
        <v>0</v>
      </c>
      <c r="CC47" s="94">
        <f t="shared" si="221"/>
        <v>0</v>
      </c>
      <c r="CD47" s="94">
        <f t="shared" si="221"/>
        <v>0</v>
      </c>
      <c r="CE47" s="94">
        <f t="shared" si="221"/>
        <v>0</v>
      </c>
      <c r="CF47" s="94">
        <f t="shared" si="221"/>
        <v>-0.40000000037252903</v>
      </c>
      <c r="CH47" s="94">
        <f>SUM(CH48:CH50)</f>
        <v>12871076.4</v>
      </c>
      <c r="CI47" s="94">
        <f t="shared" ref="CI47:CS47" si="222">SUM(CI48:CI50)</f>
        <v>3828845</v>
      </c>
      <c r="CJ47" s="94">
        <f t="shared" si="222"/>
        <v>0</v>
      </c>
      <c r="CK47" s="94">
        <f t="shared" si="222"/>
        <v>16699921.4</v>
      </c>
      <c r="CL47" s="94">
        <f t="shared" si="222"/>
        <v>16699921</v>
      </c>
      <c r="CM47" s="94">
        <f t="shared" si="222"/>
        <v>0</v>
      </c>
      <c r="CN47" s="94">
        <f t="shared" si="222"/>
        <v>0</v>
      </c>
      <c r="CO47" s="94">
        <f t="shared" si="222"/>
        <v>0</v>
      </c>
      <c r="CP47" s="94">
        <f t="shared" si="222"/>
        <v>0</v>
      </c>
      <c r="CQ47" s="94">
        <f t="shared" si="222"/>
        <v>0</v>
      </c>
      <c r="CR47" s="94">
        <f t="shared" si="222"/>
        <v>0</v>
      </c>
      <c r="CS47" s="94">
        <f t="shared" si="222"/>
        <v>-0.40000000037252903</v>
      </c>
      <c r="CU47" s="94">
        <f>SUM(CU48:CU50)</f>
        <v>12871076.4</v>
      </c>
      <c r="CV47" s="94">
        <f t="shared" ref="CV47:DF47" si="223">SUM(CV48:CV50)</f>
        <v>4824344.4000000004</v>
      </c>
      <c r="CW47" s="94">
        <f t="shared" si="223"/>
        <v>0</v>
      </c>
      <c r="CX47" s="94">
        <f t="shared" si="223"/>
        <v>17695420.800000001</v>
      </c>
      <c r="CY47" s="94">
        <f t="shared" si="223"/>
        <v>17695421</v>
      </c>
      <c r="CZ47" s="94">
        <f t="shared" si="223"/>
        <v>0</v>
      </c>
      <c r="DA47" s="94">
        <f t="shared" si="223"/>
        <v>0</v>
      </c>
      <c r="DB47" s="94">
        <f t="shared" si="223"/>
        <v>0</v>
      </c>
      <c r="DC47" s="94">
        <f t="shared" si="223"/>
        <v>0</v>
      </c>
      <c r="DD47" s="94">
        <f t="shared" si="223"/>
        <v>0</v>
      </c>
      <c r="DE47" s="94">
        <f t="shared" si="223"/>
        <v>0</v>
      </c>
      <c r="DF47" s="94">
        <f t="shared" si="223"/>
        <v>0.19999999925494194</v>
      </c>
      <c r="DH47" s="94">
        <f>SUM(DH48:DH50)</f>
        <v>12871076.4</v>
      </c>
      <c r="DI47" s="94">
        <f t="shared" ref="DI47:DS47" si="224">SUM(DI48:DI50)</f>
        <v>4221301</v>
      </c>
      <c r="DJ47" s="94">
        <f t="shared" si="224"/>
        <v>0</v>
      </c>
      <c r="DK47" s="94">
        <f t="shared" si="224"/>
        <v>17092377.399999999</v>
      </c>
      <c r="DL47" s="94">
        <f t="shared" si="224"/>
        <v>17092377</v>
      </c>
      <c r="DM47" s="94">
        <f t="shared" si="224"/>
        <v>0</v>
      </c>
      <c r="DN47" s="94">
        <f t="shared" si="224"/>
        <v>0</v>
      </c>
      <c r="DO47" s="94">
        <f t="shared" si="224"/>
        <v>0</v>
      </c>
      <c r="DP47" s="94">
        <f t="shared" si="224"/>
        <v>0</v>
      </c>
      <c r="DQ47" s="94">
        <f t="shared" si="224"/>
        <v>0</v>
      </c>
      <c r="DR47" s="94">
        <f t="shared" si="224"/>
        <v>0</v>
      </c>
      <c r="DS47" s="94">
        <f t="shared" si="224"/>
        <v>-0.39999999850988388</v>
      </c>
      <c r="DU47" s="94">
        <f>SUM(DU48:DU50)</f>
        <v>12871076.4</v>
      </c>
      <c r="DV47" s="94">
        <f t="shared" ref="DV47:EF47" si="225">SUM(DV48:DV50)</f>
        <v>4432366</v>
      </c>
      <c r="DW47" s="94">
        <f t="shared" si="225"/>
        <v>0</v>
      </c>
      <c r="DX47" s="94">
        <f t="shared" si="225"/>
        <v>17303442.399999999</v>
      </c>
      <c r="DY47" s="94">
        <f t="shared" si="225"/>
        <v>17303442</v>
      </c>
      <c r="DZ47" s="94">
        <f t="shared" si="225"/>
        <v>0</v>
      </c>
      <c r="EA47" s="94">
        <f t="shared" si="225"/>
        <v>0</v>
      </c>
      <c r="EB47" s="94">
        <f t="shared" si="225"/>
        <v>0</v>
      </c>
      <c r="EC47" s="94">
        <f t="shared" si="225"/>
        <v>0</v>
      </c>
      <c r="ED47" s="94">
        <f t="shared" si="225"/>
        <v>0</v>
      </c>
      <c r="EE47" s="94">
        <f t="shared" si="225"/>
        <v>0</v>
      </c>
      <c r="EF47" s="94">
        <f t="shared" si="225"/>
        <v>-0.39999999850988388</v>
      </c>
      <c r="EH47" s="94">
        <f t="shared" ref="EH47:ES47" si="226">SUM(EH48:EH50)</f>
        <v>121968771.60000002</v>
      </c>
      <c r="EI47" s="94">
        <f t="shared" si="226"/>
        <v>83677150.400000006</v>
      </c>
      <c r="EJ47" s="94">
        <f t="shared" si="226"/>
        <v>1735768633.3333333</v>
      </c>
      <c r="EK47" s="94">
        <f t="shared" si="226"/>
        <v>1941414555.3333335</v>
      </c>
      <c r="EL47" s="94">
        <f t="shared" si="226"/>
        <v>902924020.0666666</v>
      </c>
      <c r="EM47" s="94">
        <f t="shared" si="226"/>
        <v>0</v>
      </c>
      <c r="EN47" s="94">
        <f t="shared" si="226"/>
        <v>0</v>
      </c>
      <c r="EO47" s="94">
        <f t="shared" si="226"/>
        <v>0</v>
      </c>
      <c r="EP47" s="94">
        <f t="shared" si="226"/>
        <v>0</v>
      </c>
      <c r="EQ47" s="94">
        <f t="shared" si="226"/>
        <v>896745167</v>
      </c>
      <c r="ER47" s="94">
        <f t="shared" si="226"/>
        <v>0</v>
      </c>
      <c r="ES47" s="94">
        <f t="shared" si="226"/>
        <v>-141745368.26666668</v>
      </c>
      <c r="EU47" s="194">
        <f t="shared" si="23"/>
        <v>896745167</v>
      </c>
      <c r="EW47" s="194">
        <f t="shared" si="24"/>
        <v>-141745368.26666689</v>
      </c>
      <c r="EX47" s="194">
        <f t="shared" si="21"/>
        <v>0</v>
      </c>
    </row>
    <row r="48" spans="1:154" ht="25.5" x14ac:dyDescent="0.25">
      <c r="B48" s="43"/>
      <c r="C48" s="68"/>
      <c r="D48" s="193" t="str">
        <f>'Incremental_Cost Year 1'!D156</f>
        <v>07220 Shërbime të Kujdesit Shëndetësor Parësor</v>
      </c>
      <c r="E48" s="193" t="str">
        <f>'Incremental_Cost Year 1'!E156</f>
        <v>3.1.1.Forcimi i shërbimeve dhe rritja e aksesit në kujdesin shëndetësor parësor</v>
      </c>
      <c r="F48" s="96">
        <f>'Incremental_Cost Year 1'!F156</f>
        <v>2021</v>
      </c>
      <c r="G48" s="96">
        <f>'Incremental_Cost Year 1'!G156</f>
        <v>2025</v>
      </c>
      <c r="H48" s="52">
        <f>'Incremental_Cost Year 1'!AQ156</f>
        <v>0</v>
      </c>
      <c r="I48" s="92">
        <f>'Incremental_Cost Year 1'!AR156</f>
        <v>5160000</v>
      </c>
      <c r="J48" s="92">
        <f>'Incremental_Cost Year 1'!AS156</f>
        <v>467898000</v>
      </c>
      <c r="K48" s="92">
        <f>'Incremental_Cost Year 1'!AT156</f>
        <v>473058000</v>
      </c>
      <c r="L48" s="92">
        <f>'Incremental_Cost Year 1'!AU156</f>
        <v>309898000</v>
      </c>
      <c r="M48" s="92">
        <f>'Incremental_Cost Year 1'!AV156</f>
        <v>0</v>
      </c>
      <c r="N48" s="92">
        <f>'Incremental_Cost Year 1'!AW156</f>
        <v>0</v>
      </c>
      <c r="O48" s="92">
        <f>'Incremental_Cost Year 1'!AX156</f>
        <v>0</v>
      </c>
      <c r="P48" s="92">
        <f>'Incremental_Cost Year 1'!AY156</f>
        <v>0</v>
      </c>
      <c r="Q48" s="92">
        <f>'Incremental_Cost Year 1'!AZ156</f>
        <v>163160000</v>
      </c>
      <c r="R48" s="92">
        <f>'Incremental_Cost Year 1'!BA156</f>
        <v>0</v>
      </c>
      <c r="S48" s="92">
        <f>'Incremental_Cost Year 1'!BB156</f>
        <v>0</v>
      </c>
      <c r="U48" s="92">
        <f>'Incremental_Cost Year 2'!AQ156</f>
        <v>447894.6</v>
      </c>
      <c r="V48" s="92">
        <f>'Incremental_Cost Year 2'!AR156</f>
        <v>19915800</v>
      </c>
      <c r="W48" s="92">
        <f>'Incremental_Cost Year 2'!AS156</f>
        <v>350809800</v>
      </c>
      <c r="X48" s="92">
        <f>'Incremental_Cost Year 2'!AT156</f>
        <v>371173494.60000002</v>
      </c>
      <c r="Y48" s="92">
        <f>'Incremental_Cost Year 2'!AU156</f>
        <v>147571867</v>
      </c>
      <c r="Z48" s="92">
        <f>'Incremental_Cost Year 2'!AV156</f>
        <v>0</v>
      </c>
      <c r="AA48" s="92">
        <f>'Incremental_Cost Year 2'!AW156</f>
        <v>0</v>
      </c>
      <c r="AB48" s="92">
        <f>'Incremental_Cost Year 2'!AX156</f>
        <v>0</v>
      </c>
      <c r="AC48" s="92">
        <f>'Incremental_Cost Year 2'!AY156</f>
        <v>0</v>
      </c>
      <c r="AD48" s="92">
        <f>'Incremental_Cost Year 2'!AZ156</f>
        <v>172700000</v>
      </c>
      <c r="AE48" s="92">
        <f>'Incremental_Cost Year 2'!BA156</f>
        <v>0</v>
      </c>
      <c r="AF48" s="92">
        <f>'Incremental_Cost Year 2'!BB156</f>
        <v>-50901627.600000001</v>
      </c>
      <c r="AH48" s="92">
        <f>'Incremental_Cost Year 3'!AQ156</f>
        <v>1980165.6</v>
      </c>
      <c r="AI48" s="92">
        <f>'Incremental_Cost Year 3'!AR156</f>
        <v>13411800</v>
      </c>
      <c r="AJ48" s="92">
        <f>'Incremental_Cost Year 3'!AS156</f>
        <v>287500000</v>
      </c>
      <c r="AK48" s="92">
        <f>'Incremental_Cost Year 3'!AT156</f>
        <v>302891965.60000002</v>
      </c>
      <c r="AL48" s="92">
        <f>'Incremental_Cost Year 3'!AU156</f>
        <v>94232138</v>
      </c>
      <c r="AM48" s="92">
        <f>'Incremental_Cost Year 3'!AV156</f>
        <v>0</v>
      </c>
      <c r="AN48" s="92">
        <f>'Incremental_Cost Year 3'!AW156</f>
        <v>0</v>
      </c>
      <c r="AO48" s="92">
        <f>'Incremental_Cost Year 3'!AX156</f>
        <v>0</v>
      </c>
      <c r="AP48" s="92">
        <f>'Incremental_Cost Year 3'!AY156</f>
        <v>0</v>
      </c>
      <c r="AQ48" s="92">
        <f>'Incremental_Cost Year 3'!AZ156</f>
        <v>164300000</v>
      </c>
      <c r="AR48" s="92">
        <f>'Incremental_Cost Year 3'!BA156</f>
        <v>0</v>
      </c>
      <c r="AS48" s="92">
        <f>'Incremental_Cost Year 3'!BB156</f>
        <v>-44359827.600000001</v>
      </c>
      <c r="AU48" s="92">
        <f>'Incremental_Cost Year 4'!AQ156</f>
        <v>565761.6</v>
      </c>
      <c r="AV48" s="92">
        <f>'Incremental_Cost Year 4'!AR156</f>
        <v>6613800</v>
      </c>
      <c r="AW48" s="92">
        <f>'Incremental_Cost Year 4'!AS156</f>
        <v>287500000</v>
      </c>
      <c r="AX48" s="92">
        <f>'Incremental_Cost Year 4'!AT156</f>
        <v>294679561.60000002</v>
      </c>
      <c r="AY48" s="92">
        <f>'Incremental_Cost Year 4'!AU156</f>
        <v>92667734</v>
      </c>
      <c r="AZ48" s="92">
        <f>'Incremental_Cost Year 4'!AV156</f>
        <v>0</v>
      </c>
      <c r="BA48" s="92">
        <f>'Incremental_Cost Year 4'!AW156</f>
        <v>0</v>
      </c>
      <c r="BB48" s="92">
        <f>'Incremental_Cost Year 4'!AX156</f>
        <v>0</v>
      </c>
      <c r="BC48" s="92">
        <f>'Incremental_Cost Year 4'!AY156</f>
        <v>0</v>
      </c>
      <c r="BD48" s="92">
        <f>'Incremental_Cost Year 4'!AZ156</f>
        <v>158000000</v>
      </c>
      <c r="BE48" s="92">
        <f>'Incremental_Cost Year 4'!BA156</f>
        <v>0</v>
      </c>
      <c r="BF48" s="92">
        <f>'Incremental_Cost Year 4'!BB156</f>
        <v>-44011827.600000001</v>
      </c>
      <c r="BH48" s="92">
        <f>'Incremental_Cost Year 5'!AQ156</f>
        <v>0</v>
      </c>
      <c r="BI48" s="92">
        <f>'Incremental_Cost Year 5'!AR156</f>
        <v>0</v>
      </c>
      <c r="BJ48" s="92">
        <f>'Incremental_Cost Year 5'!AS156</f>
        <v>0</v>
      </c>
      <c r="BK48" s="92">
        <f>'Incremental_Cost Year 5'!AT156</f>
        <v>0</v>
      </c>
      <c r="BL48" s="92">
        <f>'Incremental_Cost Year 5'!AU156</f>
        <v>0</v>
      </c>
      <c r="BM48" s="92">
        <f>'Incremental_Cost Year 5'!AV156</f>
        <v>0</v>
      </c>
      <c r="BN48" s="92">
        <f>'Incremental_Cost Year 5'!AW156</f>
        <v>0</v>
      </c>
      <c r="BO48" s="92">
        <f>'Incremental_Cost Year 5'!AX156</f>
        <v>0</v>
      </c>
      <c r="BP48" s="92">
        <f>'Incremental_Cost Year 5'!AY156</f>
        <v>0</v>
      </c>
      <c r="BQ48" s="92">
        <f>'Incremental_Cost Year 5'!AZ156</f>
        <v>0</v>
      </c>
      <c r="BR48" s="92">
        <f>'Incremental_Cost Year 5'!BA156</f>
        <v>0</v>
      </c>
      <c r="BS48" s="92">
        <f>'Incremental_Cost Year 5'!BB156</f>
        <v>0</v>
      </c>
      <c r="BU48" s="92">
        <f>'Incremental_Cost Year 6'!AQ156</f>
        <v>0</v>
      </c>
      <c r="BV48" s="92">
        <f>'Incremental_Cost Year 6'!AR156</f>
        <v>0</v>
      </c>
      <c r="BW48" s="92">
        <f>'Incremental_Cost Year 6'!AS156</f>
        <v>0</v>
      </c>
      <c r="BX48" s="92">
        <f>'Incremental_Cost Year 6'!AT156</f>
        <v>0</v>
      </c>
      <c r="BY48" s="92">
        <f>'Incremental_Cost Year 6'!AU156</f>
        <v>0</v>
      </c>
      <c r="BZ48" s="92">
        <f>'Incremental_Cost Year 6'!AV156</f>
        <v>0</v>
      </c>
      <c r="CA48" s="92">
        <f>'Incremental_Cost Year 6'!AW156</f>
        <v>0</v>
      </c>
      <c r="CB48" s="92">
        <f>'Incremental_Cost Year 6'!AX156</f>
        <v>0</v>
      </c>
      <c r="CC48" s="92">
        <f>'Incremental_Cost Year 6'!AY156</f>
        <v>0</v>
      </c>
      <c r="CD48" s="92">
        <f>'Incremental_Cost Year 6'!AZ156</f>
        <v>0</v>
      </c>
      <c r="CE48" s="92">
        <f>'Incremental_Cost Year 6'!BA156</f>
        <v>0</v>
      </c>
      <c r="CF48" s="92">
        <f>'Incremental_Cost Year 6'!BB156</f>
        <v>0</v>
      </c>
      <c r="CH48" s="92">
        <f>'Incremental_Cost Year 7'!AQ156</f>
        <v>0</v>
      </c>
      <c r="CI48" s="92">
        <f>'Incremental_Cost Year 7'!AR156</f>
        <v>0</v>
      </c>
      <c r="CJ48" s="92">
        <f>'Incremental_Cost Year 7'!AS156</f>
        <v>0</v>
      </c>
      <c r="CK48" s="92">
        <f>'Incremental_Cost Year 7'!AT156</f>
        <v>0</v>
      </c>
      <c r="CL48" s="92">
        <f>'Incremental_Cost Year 7'!AU156</f>
        <v>0</v>
      </c>
      <c r="CM48" s="92">
        <f>'Incremental_Cost Year 7'!AV156</f>
        <v>0</v>
      </c>
      <c r="CN48" s="92">
        <f>'Incremental_Cost Year 7'!AW156</f>
        <v>0</v>
      </c>
      <c r="CO48" s="92">
        <f>'Incremental_Cost Year 7'!AX156</f>
        <v>0</v>
      </c>
      <c r="CP48" s="92">
        <f>'Incremental_Cost Year 7'!AY156</f>
        <v>0</v>
      </c>
      <c r="CQ48" s="92">
        <f>'Incremental_Cost Year 7'!AZ156</f>
        <v>0</v>
      </c>
      <c r="CR48" s="92">
        <f>'Incremental_Cost Year 7'!BA156</f>
        <v>0</v>
      </c>
      <c r="CS48" s="92">
        <f>'Incremental_Cost Year 7'!BB156</f>
        <v>0</v>
      </c>
      <c r="CU48" s="92">
        <f>'Incremental_Cost Year 8'!AQ156</f>
        <v>0</v>
      </c>
      <c r="CV48" s="92">
        <f>'Incremental_Cost Year 8'!AR156</f>
        <v>0</v>
      </c>
      <c r="CW48" s="92">
        <f>'Incremental_Cost Year 8'!AS156</f>
        <v>0</v>
      </c>
      <c r="CX48" s="92">
        <f>'Incremental_Cost Year 8'!AT156</f>
        <v>0</v>
      </c>
      <c r="CY48" s="92">
        <f>'Incremental_Cost Year 8'!AU156</f>
        <v>0</v>
      </c>
      <c r="CZ48" s="92">
        <f>'Incremental_Cost Year 8'!AV156</f>
        <v>0</v>
      </c>
      <c r="DA48" s="92">
        <f>'Incremental_Cost Year 8'!AW156</f>
        <v>0</v>
      </c>
      <c r="DB48" s="92">
        <f>'Incremental_Cost Year 8'!AX156</f>
        <v>0</v>
      </c>
      <c r="DC48" s="92">
        <f>'Incremental_Cost Year 8'!AY156</f>
        <v>0</v>
      </c>
      <c r="DD48" s="92">
        <f>'Incremental_Cost Year 8'!AZ156</f>
        <v>0</v>
      </c>
      <c r="DE48" s="92">
        <f>'Incremental_Cost Year 8'!BA156</f>
        <v>0</v>
      </c>
      <c r="DF48" s="92">
        <f>'Incremental_Cost Year 8'!BB156</f>
        <v>0</v>
      </c>
      <c r="DH48" s="92">
        <f>'Incremental_Cost Year 9'!AQ156</f>
        <v>0</v>
      </c>
      <c r="DI48" s="92">
        <f>'Incremental_Cost Year 9'!AR156</f>
        <v>0</v>
      </c>
      <c r="DJ48" s="92">
        <f>'Incremental_Cost Year 9'!AS156</f>
        <v>0</v>
      </c>
      <c r="DK48" s="92">
        <f>'Incremental_Cost Year 9'!AT156</f>
        <v>0</v>
      </c>
      <c r="DL48" s="92">
        <f>'Incremental_Cost Year 9'!AU156</f>
        <v>0</v>
      </c>
      <c r="DM48" s="92">
        <f>'Incremental_Cost Year 9'!AV156</f>
        <v>0</v>
      </c>
      <c r="DN48" s="92">
        <f>'Incremental_Cost Year 9'!AW156</f>
        <v>0</v>
      </c>
      <c r="DO48" s="92">
        <f>'Incremental_Cost Year 9'!AX156</f>
        <v>0</v>
      </c>
      <c r="DP48" s="92">
        <f>'Incremental_Cost Year 9'!AY156</f>
        <v>0</v>
      </c>
      <c r="DQ48" s="92">
        <f>'Incremental_Cost Year 9'!AZ156</f>
        <v>0</v>
      </c>
      <c r="DR48" s="92">
        <f>'Incremental_Cost Year 9'!BA156</f>
        <v>0</v>
      </c>
      <c r="DS48" s="92">
        <f>'Incremental_Cost Year 9'!BB156</f>
        <v>0</v>
      </c>
      <c r="DU48" s="92">
        <f>'Incremental_Cost Year 10'!AQ156</f>
        <v>0</v>
      </c>
      <c r="DV48" s="92">
        <f>'Incremental_Cost Year 10'!AR156</f>
        <v>0</v>
      </c>
      <c r="DW48" s="92">
        <f>'Incremental_Cost Year 10'!AS156</f>
        <v>0</v>
      </c>
      <c r="DX48" s="92">
        <f>'Incremental_Cost Year 10'!AT156</f>
        <v>0</v>
      </c>
      <c r="DY48" s="92">
        <f>'Incremental_Cost Year 10'!AU156</f>
        <v>0</v>
      </c>
      <c r="DZ48" s="92">
        <f>'Incremental_Cost Year 10'!AV156</f>
        <v>0</v>
      </c>
      <c r="EA48" s="92">
        <f>'Incremental_Cost Year 10'!AW156</f>
        <v>0</v>
      </c>
      <c r="EB48" s="92">
        <f>'Incremental_Cost Year 10'!AX156</f>
        <v>0</v>
      </c>
      <c r="EC48" s="92">
        <f>'Incremental_Cost Year 10'!AY156</f>
        <v>0</v>
      </c>
      <c r="ED48" s="92">
        <f>'Incremental_Cost Year 10'!AZ156</f>
        <v>0</v>
      </c>
      <c r="EE48" s="92">
        <f>'Incremental_Cost Year 10'!BA156</f>
        <v>0</v>
      </c>
      <c r="EF48" s="92">
        <f>'Incremental_Cost Year 10'!BB156</f>
        <v>0</v>
      </c>
      <c r="EH48" s="52">
        <f>H48+U48+AH48+AU48+BH48+BU48+CH48+CU48+DH48+DU48</f>
        <v>2993821.8000000003</v>
      </c>
      <c r="EI48" s="52">
        <f t="shared" ref="EI48:ES50" si="227">I48+V48+AI48+AV48+BI48+BV48+CI48+CV48+DI48+DV48</f>
        <v>45101400</v>
      </c>
      <c r="EJ48" s="52">
        <f t="shared" si="227"/>
        <v>1393707800</v>
      </c>
      <c r="EK48" s="52">
        <f t="shared" si="227"/>
        <v>1441803021.8000002</v>
      </c>
      <c r="EL48" s="52">
        <f t="shared" si="227"/>
        <v>644369739</v>
      </c>
      <c r="EM48" s="52">
        <f t="shared" si="227"/>
        <v>0</v>
      </c>
      <c r="EN48" s="52">
        <f t="shared" si="227"/>
        <v>0</v>
      </c>
      <c r="EO48" s="52">
        <f t="shared" si="227"/>
        <v>0</v>
      </c>
      <c r="EP48" s="52">
        <f t="shared" si="227"/>
        <v>0</v>
      </c>
      <c r="EQ48" s="52">
        <f t="shared" si="227"/>
        <v>658160000</v>
      </c>
      <c r="ER48" s="52">
        <f t="shared" si="227"/>
        <v>0</v>
      </c>
      <c r="ES48" s="52">
        <f t="shared" si="227"/>
        <v>-139273282.80000001</v>
      </c>
      <c r="EU48" s="194">
        <f t="shared" si="23"/>
        <v>658160000</v>
      </c>
      <c r="EW48" s="194">
        <f t="shared" si="24"/>
        <v>-139273282.80000019</v>
      </c>
      <c r="EX48" s="194">
        <f t="shared" si="21"/>
        <v>0</v>
      </c>
    </row>
    <row r="49" spans="1:154" ht="51" x14ac:dyDescent="0.25">
      <c r="B49" s="43"/>
      <c r="C49" s="68"/>
      <c r="D49" s="193" t="str">
        <f>'Incremental_Cost Year 1'!D159</f>
        <v>07450 Shërbime të Shëndetit Publik/07330 Shërbime të Kujdesit Shëndetësor Dytësor</v>
      </c>
      <c r="E49" s="193" t="str">
        <f>'Incremental_Cost Year 1'!E159</f>
        <v>3.1.2 Integrimi dhe bashkëpunimi ndërmjet KSHP dhe shërbimeve të shëndetit public për të rritur aksesin në programet e depistimit</v>
      </c>
      <c r="F49" s="96">
        <f>'Incremental_Cost Year 1'!F159</f>
        <v>2021</v>
      </c>
      <c r="G49" s="96">
        <f>'Incremental_Cost Year 1'!G159</f>
        <v>2030</v>
      </c>
      <c r="H49" s="52">
        <f>'Incremental_Cost Year 1'!AQ159</f>
        <v>0</v>
      </c>
      <c r="I49" s="92">
        <f>'Incremental_Cost Year 1'!AR159</f>
        <v>0</v>
      </c>
      <c r="J49" s="92">
        <f>'Incremental_Cost Year 1'!AS159</f>
        <v>27451833.333333332</v>
      </c>
      <c r="K49" s="92">
        <f>'Incremental_Cost Year 1'!AT159</f>
        <v>27451833.333333332</v>
      </c>
      <c r="L49" s="92">
        <f>'Incremental_Cost Year 1'!AU159</f>
        <v>3866666.6666666665</v>
      </c>
      <c r="M49" s="92">
        <f>'Incremental_Cost Year 1'!AV159</f>
        <v>0</v>
      </c>
      <c r="N49" s="92">
        <f>'Incremental_Cost Year 1'!AW159</f>
        <v>0</v>
      </c>
      <c r="O49" s="92">
        <f>'Incremental_Cost Year 1'!AX159</f>
        <v>0</v>
      </c>
      <c r="P49" s="92">
        <f>'Incremental_Cost Year 1'!AY159</f>
        <v>0</v>
      </c>
      <c r="Q49" s="92">
        <f>'Incremental_Cost Year 1'!AZ159</f>
        <v>23585167</v>
      </c>
      <c r="R49" s="92">
        <f>'Incremental_Cost Year 1'!BA159</f>
        <v>0</v>
      </c>
      <c r="S49" s="92">
        <f>'Incremental_Cost Year 1'!BB159</f>
        <v>0.3333333358168602</v>
      </c>
      <c r="U49" s="92">
        <f>'Incremental_Cost Year 2'!AQ159</f>
        <v>0</v>
      </c>
      <c r="V49" s="92">
        <f>'Incremental_Cost Year 2'!AR159</f>
        <v>0</v>
      </c>
      <c r="W49" s="92">
        <f>'Incremental_Cost Year 2'!AS159</f>
        <v>99609000</v>
      </c>
      <c r="X49" s="92">
        <f>'Incremental_Cost Year 2'!AT159</f>
        <v>99609000</v>
      </c>
      <c r="Y49" s="92">
        <f>'Incremental_Cost Year 2'!AU159</f>
        <v>69609000</v>
      </c>
      <c r="Z49" s="92">
        <f>'Incremental_Cost Year 2'!AV159</f>
        <v>0</v>
      </c>
      <c r="AA49" s="92">
        <f>'Incremental_Cost Year 2'!AW159</f>
        <v>0</v>
      </c>
      <c r="AB49" s="92">
        <f>'Incremental_Cost Year 2'!AX159</f>
        <v>0</v>
      </c>
      <c r="AC49" s="92">
        <f>'Incremental_Cost Year 2'!AY159</f>
        <v>0</v>
      </c>
      <c r="AD49" s="92">
        <f>'Incremental_Cost Year 2'!AZ159</f>
        <v>30000000</v>
      </c>
      <c r="AE49" s="92">
        <f>'Incremental_Cost Year 2'!BA159</f>
        <v>0</v>
      </c>
      <c r="AF49" s="92">
        <f>'Incremental_Cost Year 2'!BB159</f>
        <v>0</v>
      </c>
      <c r="AH49" s="92">
        <f>'Incremental_Cost Year 3'!AQ159</f>
        <v>0</v>
      </c>
      <c r="AI49" s="92">
        <f>'Incremental_Cost Year 3'!AR159</f>
        <v>0</v>
      </c>
      <c r="AJ49" s="92">
        <f>'Incremental_Cost Year 3'!AS159</f>
        <v>165000000</v>
      </c>
      <c r="AK49" s="92">
        <f>'Incremental_Cost Year 3'!AT159</f>
        <v>165000000</v>
      </c>
      <c r="AL49" s="92">
        <f>'Incremental_Cost Year 3'!AU159</f>
        <v>30000000</v>
      </c>
      <c r="AM49" s="92">
        <f>'Incremental_Cost Year 3'!AV159</f>
        <v>0</v>
      </c>
      <c r="AN49" s="92">
        <f>'Incremental_Cost Year 3'!AW159</f>
        <v>0</v>
      </c>
      <c r="AO49" s="92">
        <f>'Incremental_Cost Year 3'!AX159</f>
        <v>0</v>
      </c>
      <c r="AP49" s="92">
        <f>'Incremental_Cost Year 3'!AY159</f>
        <v>0</v>
      </c>
      <c r="AQ49" s="92">
        <f>'Incremental_Cost Year 3'!AZ159</f>
        <v>135000000</v>
      </c>
      <c r="AR49" s="92">
        <f>'Incremental_Cost Year 3'!BA159</f>
        <v>0</v>
      </c>
      <c r="AS49" s="92">
        <f>'Incremental_Cost Year 3'!BB159</f>
        <v>0</v>
      </c>
      <c r="AU49" s="92">
        <f>'Incremental_Cost Year 4'!AQ159</f>
        <v>0</v>
      </c>
      <c r="AV49" s="92">
        <f>'Incremental_Cost Year 4'!AR159</f>
        <v>0</v>
      </c>
      <c r="AW49" s="92">
        <f>'Incremental_Cost Year 4'!AS159</f>
        <v>50000000</v>
      </c>
      <c r="AX49" s="92">
        <f>'Incremental_Cost Year 4'!AT159</f>
        <v>50000000</v>
      </c>
      <c r="AY49" s="92">
        <f>'Incremental_Cost Year 4'!AU159</f>
        <v>0</v>
      </c>
      <c r="AZ49" s="92">
        <f>'Incremental_Cost Year 4'!AV159</f>
        <v>0</v>
      </c>
      <c r="BA49" s="92">
        <f>'Incremental_Cost Year 4'!AW159</f>
        <v>0</v>
      </c>
      <c r="BB49" s="92">
        <f>'Incremental_Cost Year 4'!AX159</f>
        <v>0</v>
      </c>
      <c r="BC49" s="92">
        <f>'Incremental_Cost Year 4'!AY159</f>
        <v>0</v>
      </c>
      <c r="BD49" s="92">
        <f>'Incremental_Cost Year 4'!AZ159</f>
        <v>50000000</v>
      </c>
      <c r="BE49" s="92">
        <f>'Incremental_Cost Year 4'!BA159</f>
        <v>0</v>
      </c>
      <c r="BF49" s="92">
        <f>'Incremental_Cost Year 4'!BB159</f>
        <v>0</v>
      </c>
      <c r="BH49" s="92">
        <f>'Incremental_Cost Year 5'!AQ159</f>
        <v>0</v>
      </c>
      <c r="BI49" s="92">
        <f>'Incremental_Cost Year 5'!AR159</f>
        <v>0</v>
      </c>
      <c r="BJ49" s="92">
        <f>'Incremental_Cost Year 5'!AS159</f>
        <v>0</v>
      </c>
      <c r="BK49" s="92">
        <f>'Incremental_Cost Year 5'!AT159</f>
        <v>0</v>
      </c>
      <c r="BL49" s="92">
        <f>'Incremental_Cost Year 5'!AU159</f>
        <v>0</v>
      </c>
      <c r="BM49" s="92">
        <f>'Incremental_Cost Year 5'!AV159</f>
        <v>0</v>
      </c>
      <c r="BN49" s="92">
        <f>'Incremental_Cost Year 5'!AW159</f>
        <v>0</v>
      </c>
      <c r="BO49" s="92">
        <f>'Incremental_Cost Year 5'!AX159</f>
        <v>0</v>
      </c>
      <c r="BP49" s="92">
        <f>'Incremental_Cost Year 5'!AY159</f>
        <v>0</v>
      </c>
      <c r="BQ49" s="92">
        <f>'Incremental_Cost Year 5'!AZ159</f>
        <v>0</v>
      </c>
      <c r="BR49" s="92">
        <f>'Incremental_Cost Year 5'!BA159</f>
        <v>0</v>
      </c>
      <c r="BS49" s="92">
        <f>'Incremental_Cost Year 5'!BB159</f>
        <v>0</v>
      </c>
      <c r="BU49" s="92">
        <f>'Incremental_Cost Year 6'!AQ159</f>
        <v>0</v>
      </c>
      <c r="BV49" s="92">
        <f>'Incremental_Cost Year 6'!AR159</f>
        <v>0</v>
      </c>
      <c r="BW49" s="92">
        <f>'Incremental_Cost Year 6'!AS159</f>
        <v>0</v>
      </c>
      <c r="BX49" s="92">
        <f>'Incremental_Cost Year 6'!AT159</f>
        <v>0</v>
      </c>
      <c r="BY49" s="92">
        <f>'Incremental_Cost Year 6'!AU159</f>
        <v>0</v>
      </c>
      <c r="BZ49" s="92">
        <f>'Incremental_Cost Year 6'!AV159</f>
        <v>0</v>
      </c>
      <c r="CA49" s="92">
        <f>'Incremental_Cost Year 6'!AW159</f>
        <v>0</v>
      </c>
      <c r="CB49" s="92">
        <f>'Incremental_Cost Year 6'!AX159</f>
        <v>0</v>
      </c>
      <c r="CC49" s="92">
        <f>'Incremental_Cost Year 6'!AY159</f>
        <v>0</v>
      </c>
      <c r="CD49" s="92">
        <f>'Incremental_Cost Year 6'!AZ159</f>
        <v>0</v>
      </c>
      <c r="CE49" s="92">
        <f>'Incremental_Cost Year 6'!BA159</f>
        <v>0</v>
      </c>
      <c r="CF49" s="92">
        <f>'Incremental_Cost Year 6'!BB159</f>
        <v>0</v>
      </c>
      <c r="CH49" s="92">
        <f>'Incremental_Cost Year 7'!AQ159</f>
        <v>0</v>
      </c>
      <c r="CI49" s="92">
        <f>'Incremental_Cost Year 7'!AR159</f>
        <v>0</v>
      </c>
      <c r="CJ49" s="92">
        <f>'Incremental_Cost Year 7'!AS159</f>
        <v>0</v>
      </c>
      <c r="CK49" s="92">
        <f>'Incremental_Cost Year 7'!AT159</f>
        <v>0</v>
      </c>
      <c r="CL49" s="92">
        <f>'Incremental_Cost Year 7'!AU159</f>
        <v>0</v>
      </c>
      <c r="CM49" s="92">
        <f>'Incremental_Cost Year 7'!AV159</f>
        <v>0</v>
      </c>
      <c r="CN49" s="92">
        <f>'Incremental_Cost Year 7'!AW159</f>
        <v>0</v>
      </c>
      <c r="CO49" s="92">
        <f>'Incremental_Cost Year 7'!AX159</f>
        <v>0</v>
      </c>
      <c r="CP49" s="92">
        <f>'Incremental_Cost Year 7'!AY159</f>
        <v>0</v>
      </c>
      <c r="CQ49" s="92">
        <f>'Incremental_Cost Year 7'!AZ159</f>
        <v>0</v>
      </c>
      <c r="CR49" s="92">
        <f>'Incremental_Cost Year 7'!BA159</f>
        <v>0</v>
      </c>
      <c r="CS49" s="92">
        <f>'Incremental_Cost Year 7'!BB159</f>
        <v>0</v>
      </c>
      <c r="CU49" s="92">
        <f>'Incremental_Cost Year 8'!AQ159</f>
        <v>0</v>
      </c>
      <c r="CV49" s="92">
        <f>'Incremental_Cost Year 8'!AR159</f>
        <v>0</v>
      </c>
      <c r="CW49" s="92">
        <f>'Incremental_Cost Year 8'!AS159</f>
        <v>0</v>
      </c>
      <c r="CX49" s="92">
        <f>'Incremental_Cost Year 8'!AT159</f>
        <v>0</v>
      </c>
      <c r="CY49" s="92">
        <f>'Incremental_Cost Year 8'!AU159</f>
        <v>0</v>
      </c>
      <c r="CZ49" s="92">
        <f>'Incremental_Cost Year 8'!AV159</f>
        <v>0</v>
      </c>
      <c r="DA49" s="92">
        <f>'Incremental_Cost Year 8'!AW159</f>
        <v>0</v>
      </c>
      <c r="DB49" s="92">
        <f>'Incremental_Cost Year 8'!AX159</f>
        <v>0</v>
      </c>
      <c r="DC49" s="92">
        <f>'Incremental_Cost Year 8'!AY159</f>
        <v>0</v>
      </c>
      <c r="DD49" s="92">
        <f>'Incremental_Cost Year 8'!AZ159</f>
        <v>0</v>
      </c>
      <c r="DE49" s="92">
        <f>'Incremental_Cost Year 8'!BA159</f>
        <v>0</v>
      </c>
      <c r="DF49" s="92">
        <f>'Incremental_Cost Year 8'!BB159</f>
        <v>0</v>
      </c>
      <c r="DH49" s="92">
        <f>'Incremental_Cost Year 9'!AQ159</f>
        <v>0</v>
      </c>
      <c r="DI49" s="92">
        <f>'Incremental_Cost Year 9'!AR159</f>
        <v>0</v>
      </c>
      <c r="DJ49" s="92">
        <f>'Incremental_Cost Year 9'!AS159</f>
        <v>0</v>
      </c>
      <c r="DK49" s="92">
        <f>'Incremental_Cost Year 9'!AT159</f>
        <v>0</v>
      </c>
      <c r="DL49" s="92">
        <f>'Incremental_Cost Year 9'!AU159</f>
        <v>0</v>
      </c>
      <c r="DM49" s="92">
        <f>'Incremental_Cost Year 9'!AV159</f>
        <v>0</v>
      </c>
      <c r="DN49" s="92">
        <f>'Incremental_Cost Year 9'!AW159</f>
        <v>0</v>
      </c>
      <c r="DO49" s="92">
        <f>'Incremental_Cost Year 9'!AX159</f>
        <v>0</v>
      </c>
      <c r="DP49" s="92">
        <f>'Incremental_Cost Year 9'!AY159</f>
        <v>0</v>
      </c>
      <c r="DQ49" s="92">
        <f>'Incremental_Cost Year 9'!AZ159</f>
        <v>0</v>
      </c>
      <c r="DR49" s="92">
        <f>'Incremental_Cost Year 9'!BA159</f>
        <v>0</v>
      </c>
      <c r="DS49" s="92">
        <f>'Incremental_Cost Year 9'!BB159</f>
        <v>0</v>
      </c>
      <c r="DU49" s="92">
        <f>'Incremental_Cost Year 10'!AQ159</f>
        <v>0</v>
      </c>
      <c r="DV49" s="92">
        <f>'Incremental_Cost Year 10'!AR159</f>
        <v>0</v>
      </c>
      <c r="DW49" s="92">
        <f>'Incremental_Cost Year 10'!AS159</f>
        <v>0</v>
      </c>
      <c r="DX49" s="92">
        <f>'Incremental_Cost Year 10'!AT159</f>
        <v>0</v>
      </c>
      <c r="DY49" s="92">
        <f>'Incremental_Cost Year 10'!AU159</f>
        <v>0</v>
      </c>
      <c r="DZ49" s="92">
        <f>'Incremental_Cost Year 10'!AV159</f>
        <v>0</v>
      </c>
      <c r="EA49" s="92">
        <f>'Incremental_Cost Year 10'!AW159</f>
        <v>0</v>
      </c>
      <c r="EB49" s="92">
        <f>'Incremental_Cost Year 10'!AX159</f>
        <v>0</v>
      </c>
      <c r="EC49" s="92">
        <f>'Incremental_Cost Year 10'!AY159</f>
        <v>0</v>
      </c>
      <c r="ED49" s="92">
        <f>'Incremental_Cost Year 10'!AZ159</f>
        <v>0</v>
      </c>
      <c r="EE49" s="92">
        <f>'Incremental_Cost Year 10'!BA159</f>
        <v>0</v>
      </c>
      <c r="EF49" s="92">
        <f>'Incremental_Cost Year 10'!BB159</f>
        <v>0</v>
      </c>
      <c r="EH49" s="52">
        <f>H49+U49+AH49+AU49+BH49+BU49+CH49+CU49+DH49+DU49</f>
        <v>0</v>
      </c>
      <c r="EI49" s="52">
        <f t="shared" si="227"/>
        <v>0</v>
      </c>
      <c r="EJ49" s="52">
        <f t="shared" si="227"/>
        <v>342060833.33333331</v>
      </c>
      <c r="EK49" s="52">
        <f t="shared" si="227"/>
        <v>342060833.33333331</v>
      </c>
      <c r="EL49" s="52">
        <f t="shared" si="227"/>
        <v>103475666.66666667</v>
      </c>
      <c r="EM49" s="52">
        <f t="shared" si="227"/>
        <v>0</v>
      </c>
      <c r="EN49" s="52">
        <f t="shared" si="227"/>
        <v>0</v>
      </c>
      <c r="EO49" s="52">
        <f t="shared" si="227"/>
        <v>0</v>
      </c>
      <c r="EP49" s="52">
        <f t="shared" si="227"/>
        <v>0</v>
      </c>
      <c r="EQ49" s="52">
        <f t="shared" si="227"/>
        <v>238585167</v>
      </c>
      <c r="ER49" s="52">
        <f t="shared" si="227"/>
        <v>0</v>
      </c>
      <c r="ES49" s="52">
        <f t="shared" si="227"/>
        <v>0.3333333358168602</v>
      </c>
      <c r="EU49" s="194">
        <f t="shared" si="23"/>
        <v>238585167</v>
      </c>
      <c r="EW49" s="194">
        <f t="shared" si="24"/>
        <v>0.33333337306976318</v>
      </c>
      <c r="EX49" s="194">
        <f t="shared" si="21"/>
        <v>-3.7252902984619141E-8</v>
      </c>
    </row>
    <row r="50" spans="1:154" ht="25.5" x14ac:dyDescent="0.25">
      <c r="B50" s="43"/>
      <c r="C50" s="68"/>
      <c r="D50" s="193" t="str">
        <f>'Incremental_Cost Year 1'!D162</f>
        <v>07220 Shërbime të Kujdesit Shëndetësor Parësor</v>
      </c>
      <c r="E50" s="193" t="str">
        <f>'Incremental_Cost Year 1'!E162</f>
        <v>3.1.3 Përmirësimi I vazhdueshëm i cilësisë së shërbimeve të KSHP-së dhe vlerësimi i treguesve të performances</v>
      </c>
      <c r="F50" s="96">
        <f>'Incremental_Cost Year 1'!F162</f>
        <v>2021</v>
      </c>
      <c r="G50" s="96">
        <f>'Incremental_Cost Year 1'!G162</f>
        <v>2030</v>
      </c>
      <c r="H50" s="52">
        <f>'Incremental_Cost Year 1'!AQ162</f>
        <v>2145179.4</v>
      </c>
      <c r="I50" s="92">
        <f>'Incremental_Cost Year 1'!AR162</f>
        <v>2100000</v>
      </c>
      <c r="J50" s="92">
        <f>'Incremental_Cost Year 1'!AS162</f>
        <v>0</v>
      </c>
      <c r="K50" s="92">
        <f>'Incremental_Cost Year 1'!AT162</f>
        <v>4245179.4000000004</v>
      </c>
      <c r="L50" s="92">
        <f>'Incremental_Cost Year 1'!AU162</f>
        <v>4245179</v>
      </c>
      <c r="M50" s="92">
        <f>'Incremental_Cost Year 1'!AV162</f>
        <v>0</v>
      </c>
      <c r="N50" s="92">
        <f>'Incremental_Cost Year 1'!AW162</f>
        <v>0</v>
      </c>
      <c r="O50" s="92">
        <f>'Incremental_Cost Year 1'!AX162</f>
        <v>0</v>
      </c>
      <c r="P50" s="92">
        <f>'Incremental_Cost Year 1'!AY162</f>
        <v>0</v>
      </c>
      <c r="Q50" s="92">
        <f>'Incremental_Cost Year 1'!AZ162</f>
        <v>0</v>
      </c>
      <c r="R50" s="92">
        <f>'Incremental_Cost Year 1'!BA162</f>
        <v>0</v>
      </c>
      <c r="S50" s="92">
        <f>'Incremental_Cost Year 1'!BB162</f>
        <v>-0.40000000037252903</v>
      </c>
      <c r="U50" s="92">
        <f>'Incremental_Cost Year 2'!AQ162</f>
        <v>12871076.4</v>
      </c>
      <c r="V50" s="92">
        <f>'Incremental_Cost Year 2'!AR162</f>
        <v>3000000</v>
      </c>
      <c r="W50" s="92">
        <f>'Incremental_Cost Year 2'!AS162</f>
        <v>0</v>
      </c>
      <c r="X50" s="92">
        <f>'Incremental_Cost Year 2'!AT162</f>
        <v>15871076.4</v>
      </c>
      <c r="Y50" s="92">
        <f>'Incremental_Cost Year 2'!AU162</f>
        <v>15871076.4</v>
      </c>
      <c r="Z50" s="92">
        <f>'Incremental_Cost Year 2'!AV162</f>
        <v>0</v>
      </c>
      <c r="AA50" s="92">
        <f>'Incremental_Cost Year 2'!AW162</f>
        <v>0</v>
      </c>
      <c r="AB50" s="92">
        <f>'Incremental_Cost Year 2'!AX162</f>
        <v>0</v>
      </c>
      <c r="AC50" s="92">
        <f>'Incremental_Cost Year 2'!AY162</f>
        <v>0</v>
      </c>
      <c r="AD50" s="92">
        <f>'Incremental_Cost Year 2'!AZ162</f>
        <v>0</v>
      </c>
      <c r="AE50" s="92">
        <f>'Incremental_Cost Year 2'!BA162</f>
        <v>0</v>
      </c>
      <c r="AF50" s="92">
        <f>'Incremental_Cost Year 2'!BB162</f>
        <v>0</v>
      </c>
      <c r="AH50" s="92">
        <f>'Incremental_Cost Year 3'!AQ162</f>
        <v>13366117.800000001</v>
      </c>
      <c r="AI50" s="92">
        <f>'Incremental_Cost Year 3'!AR162</f>
        <v>4236000</v>
      </c>
      <c r="AJ50" s="92">
        <f>'Incremental_Cost Year 3'!AS162</f>
        <v>0</v>
      </c>
      <c r="AK50" s="92">
        <f>'Incremental_Cost Year 3'!AT162</f>
        <v>17602117.800000001</v>
      </c>
      <c r="AL50" s="92">
        <f>'Incremental_Cost Year 3'!AU162</f>
        <v>16576076</v>
      </c>
      <c r="AM50" s="92">
        <f>'Incremental_Cost Year 3'!AV162</f>
        <v>0</v>
      </c>
      <c r="AN50" s="92">
        <f>'Incremental_Cost Year 3'!AW162</f>
        <v>0</v>
      </c>
      <c r="AO50" s="92">
        <f>'Incremental_Cost Year 3'!AX162</f>
        <v>0</v>
      </c>
      <c r="AP50" s="92">
        <f>'Incremental_Cost Year 3'!AY162</f>
        <v>0</v>
      </c>
      <c r="AQ50" s="92">
        <f>'Incremental_Cost Year 3'!AZ162</f>
        <v>0</v>
      </c>
      <c r="AR50" s="92">
        <f>'Incremental_Cost Year 3'!BA162</f>
        <v>0</v>
      </c>
      <c r="AS50" s="92">
        <f>'Incremental_Cost Year 3'!BB162</f>
        <v>-1026041.8000000003</v>
      </c>
      <c r="AU50" s="92">
        <f>'Incremental_Cost Year 4'!AQ162</f>
        <v>13366117.800000001</v>
      </c>
      <c r="AV50" s="92">
        <f>'Incremental_Cost Year 4'!AR162</f>
        <v>4813500</v>
      </c>
      <c r="AW50" s="92">
        <f>'Incremental_Cost Year 4'!AS162</f>
        <v>0</v>
      </c>
      <c r="AX50" s="92">
        <f>'Incremental_Cost Year 4'!AT162</f>
        <v>18179617.800000001</v>
      </c>
      <c r="AY50" s="92">
        <f>'Incremental_Cost Year 4'!AU162</f>
        <v>16733576</v>
      </c>
      <c r="AZ50" s="92">
        <f>'Incremental_Cost Year 4'!AV162</f>
        <v>0</v>
      </c>
      <c r="BA50" s="92">
        <f>'Incremental_Cost Year 4'!AW162</f>
        <v>0</v>
      </c>
      <c r="BB50" s="92">
        <f>'Incremental_Cost Year 4'!AX162</f>
        <v>0</v>
      </c>
      <c r="BC50" s="92">
        <f>'Incremental_Cost Year 4'!AY162</f>
        <v>0</v>
      </c>
      <c r="BD50" s="92">
        <f>'Incremental_Cost Year 4'!AZ162</f>
        <v>0</v>
      </c>
      <c r="BE50" s="92">
        <f>'Incremental_Cost Year 4'!BA162</f>
        <v>0</v>
      </c>
      <c r="BF50" s="92">
        <f>'Incremental_Cost Year 4'!BB162</f>
        <v>-1446041.8000000003</v>
      </c>
      <c r="BH50" s="92">
        <f>'Incremental_Cost Year 5'!AQ162</f>
        <v>12871076.4</v>
      </c>
      <c r="BI50" s="92">
        <f>'Incremental_Cost Year 5'!AR162</f>
        <v>3472875</v>
      </c>
      <c r="BJ50" s="92">
        <f>'Incremental_Cost Year 5'!AS162</f>
        <v>0</v>
      </c>
      <c r="BK50" s="92">
        <f>'Incremental_Cost Year 5'!AT162</f>
        <v>16343951.4</v>
      </c>
      <c r="BL50" s="92">
        <f>'Incremental_Cost Year 5'!AU162</f>
        <v>16343951</v>
      </c>
      <c r="BM50" s="92">
        <f>'Incremental_Cost Year 5'!AV162</f>
        <v>0</v>
      </c>
      <c r="BN50" s="92">
        <f>'Incremental_Cost Year 5'!AW162</f>
        <v>0</v>
      </c>
      <c r="BO50" s="92">
        <f>'Incremental_Cost Year 5'!AX162</f>
        <v>0</v>
      </c>
      <c r="BP50" s="92">
        <f>'Incremental_Cost Year 5'!AY162</f>
        <v>0</v>
      </c>
      <c r="BQ50" s="92">
        <f>'Incremental_Cost Year 5'!AZ162</f>
        <v>0</v>
      </c>
      <c r="BR50" s="92">
        <f>'Incremental_Cost Year 5'!BA162</f>
        <v>0</v>
      </c>
      <c r="BS50" s="92">
        <f>'Incremental_Cost Year 5'!BB162</f>
        <v>-0.40000000037252903</v>
      </c>
      <c r="BU50" s="92">
        <f>'Incremental_Cost Year 6'!AQ162</f>
        <v>12871076.4</v>
      </c>
      <c r="BV50" s="92">
        <f>'Incremental_Cost Year 6'!AR162</f>
        <v>3646519</v>
      </c>
      <c r="BW50" s="92">
        <f>'Incremental_Cost Year 6'!AS162</f>
        <v>0</v>
      </c>
      <c r="BX50" s="92">
        <f>'Incremental_Cost Year 6'!AT162</f>
        <v>16517595.4</v>
      </c>
      <c r="BY50" s="92">
        <f>'Incremental_Cost Year 6'!AU162</f>
        <v>16517595</v>
      </c>
      <c r="BZ50" s="92">
        <f>'Incremental_Cost Year 6'!AV162</f>
        <v>0</v>
      </c>
      <c r="CA50" s="92">
        <f>'Incremental_Cost Year 6'!AW162</f>
        <v>0</v>
      </c>
      <c r="CB50" s="92">
        <f>'Incremental_Cost Year 6'!AX162</f>
        <v>0</v>
      </c>
      <c r="CC50" s="92">
        <f>'Incremental_Cost Year 6'!AY162</f>
        <v>0</v>
      </c>
      <c r="CD50" s="92">
        <f>'Incremental_Cost Year 6'!AZ162</f>
        <v>0</v>
      </c>
      <c r="CE50" s="92">
        <f>'Incremental_Cost Year 6'!BA162</f>
        <v>0</v>
      </c>
      <c r="CF50" s="92">
        <f>'Incremental_Cost Year 6'!BB162</f>
        <v>-0.40000000037252903</v>
      </c>
      <c r="CH50" s="92">
        <f>'Incremental_Cost Year 7'!AQ162</f>
        <v>12871076.4</v>
      </c>
      <c r="CI50" s="92">
        <f>'Incremental_Cost Year 7'!AR162</f>
        <v>3828845</v>
      </c>
      <c r="CJ50" s="92">
        <f>'Incremental_Cost Year 7'!AS162</f>
        <v>0</v>
      </c>
      <c r="CK50" s="92">
        <f>'Incremental_Cost Year 7'!AT162</f>
        <v>16699921.4</v>
      </c>
      <c r="CL50" s="92">
        <f>'Incremental_Cost Year 7'!AU162</f>
        <v>16699921</v>
      </c>
      <c r="CM50" s="92">
        <f>'Incremental_Cost Year 7'!AV162</f>
        <v>0</v>
      </c>
      <c r="CN50" s="92">
        <f>'Incremental_Cost Year 7'!AW162</f>
        <v>0</v>
      </c>
      <c r="CO50" s="92">
        <f>'Incremental_Cost Year 7'!AX162</f>
        <v>0</v>
      </c>
      <c r="CP50" s="92">
        <f>'Incremental_Cost Year 7'!AY162</f>
        <v>0</v>
      </c>
      <c r="CQ50" s="92">
        <f>'Incremental_Cost Year 7'!AZ162</f>
        <v>0</v>
      </c>
      <c r="CR50" s="92">
        <f>'Incremental_Cost Year 7'!BA162</f>
        <v>0</v>
      </c>
      <c r="CS50" s="92">
        <f>'Incremental_Cost Year 7'!BB162</f>
        <v>-0.40000000037252903</v>
      </c>
      <c r="CU50" s="92">
        <f>'Incremental_Cost Year 8'!AQ162</f>
        <v>12871076.4</v>
      </c>
      <c r="CV50" s="92">
        <f>'Incremental_Cost Year 8'!AR162</f>
        <v>4824344.4000000004</v>
      </c>
      <c r="CW50" s="92">
        <f>'Incremental_Cost Year 8'!AS162</f>
        <v>0</v>
      </c>
      <c r="CX50" s="92">
        <f>'Incremental_Cost Year 8'!AT162</f>
        <v>17695420.800000001</v>
      </c>
      <c r="CY50" s="92">
        <f>'Incremental_Cost Year 8'!AU162</f>
        <v>17695421</v>
      </c>
      <c r="CZ50" s="92">
        <f>'Incremental_Cost Year 8'!AV162</f>
        <v>0</v>
      </c>
      <c r="DA50" s="92">
        <f>'Incremental_Cost Year 8'!AW162</f>
        <v>0</v>
      </c>
      <c r="DB50" s="92">
        <f>'Incremental_Cost Year 8'!AX162</f>
        <v>0</v>
      </c>
      <c r="DC50" s="92">
        <f>'Incremental_Cost Year 8'!AY162</f>
        <v>0</v>
      </c>
      <c r="DD50" s="92">
        <f>'Incremental_Cost Year 8'!AZ162</f>
        <v>0</v>
      </c>
      <c r="DE50" s="92">
        <f>'Incremental_Cost Year 8'!BA162</f>
        <v>0</v>
      </c>
      <c r="DF50" s="92">
        <f>'Incremental_Cost Year 8'!BB162</f>
        <v>0.19999999925494194</v>
      </c>
      <c r="DH50" s="92">
        <f>'Incremental_Cost Year 9'!AQ162</f>
        <v>12871076.4</v>
      </c>
      <c r="DI50" s="92">
        <f>'Incremental_Cost Year 9'!AR162</f>
        <v>4221301</v>
      </c>
      <c r="DJ50" s="92">
        <f>'Incremental_Cost Year 9'!AS162</f>
        <v>0</v>
      </c>
      <c r="DK50" s="92">
        <f>'Incremental_Cost Year 9'!AT162</f>
        <v>17092377.399999999</v>
      </c>
      <c r="DL50" s="92">
        <f>'Incremental_Cost Year 9'!AU162</f>
        <v>17092377</v>
      </c>
      <c r="DM50" s="92">
        <f>'Incremental_Cost Year 9'!AV162</f>
        <v>0</v>
      </c>
      <c r="DN50" s="92">
        <f>'Incremental_Cost Year 9'!AW162</f>
        <v>0</v>
      </c>
      <c r="DO50" s="92">
        <f>'Incremental_Cost Year 9'!AX162</f>
        <v>0</v>
      </c>
      <c r="DP50" s="92">
        <f>'Incremental_Cost Year 9'!AY162</f>
        <v>0</v>
      </c>
      <c r="DQ50" s="92">
        <f>'Incremental_Cost Year 9'!AZ162</f>
        <v>0</v>
      </c>
      <c r="DR50" s="92">
        <f>'Incremental_Cost Year 9'!BA162</f>
        <v>0</v>
      </c>
      <c r="DS50" s="92">
        <f>'Incremental_Cost Year 9'!BB162</f>
        <v>-0.39999999850988388</v>
      </c>
      <c r="DU50" s="92">
        <f>'Incremental_Cost Year 10'!AQ162</f>
        <v>12871076.4</v>
      </c>
      <c r="DV50" s="92">
        <f>'Incremental_Cost Year 10'!AR162</f>
        <v>4432366</v>
      </c>
      <c r="DW50" s="92">
        <f>'Incremental_Cost Year 10'!AS162</f>
        <v>0</v>
      </c>
      <c r="DX50" s="92">
        <f>'Incremental_Cost Year 10'!AT162</f>
        <v>17303442.399999999</v>
      </c>
      <c r="DY50" s="92">
        <f>'Incremental_Cost Year 10'!AU162</f>
        <v>17303442</v>
      </c>
      <c r="DZ50" s="92">
        <f>'Incremental_Cost Year 10'!AV162</f>
        <v>0</v>
      </c>
      <c r="EA50" s="92">
        <f>'Incremental_Cost Year 10'!AW162</f>
        <v>0</v>
      </c>
      <c r="EB50" s="92">
        <f>'Incremental_Cost Year 10'!AX162</f>
        <v>0</v>
      </c>
      <c r="EC50" s="92">
        <f>'Incremental_Cost Year 10'!AY162</f>
        <v>0</v>
      </c>
      <c r="ED50" s="92">
        <f>'Incremental_Cost Year 10'!AZ162</f>
        <v>0</v>
      </c>
      <c r="EE50" s="92">
        <f>'Incremental_Cost Year 10'!BA162</f>
        <v>0</v>
      </c>
      <c r="EF50" s="92">
        <f>'Incremental_Cost Year 10'!BB162</f>
        <v>-0.39999999850988388</v>
      </c>
      <c r="EH50" s="52">
        <f>H50+U50+AH50+AU50+BH50+BU50+CH50+CU50+DH50+DU50</f>
        <v>118974949.80000003</v>
      </c>
      <c r="EI50" s="52">
        <f t="shared" si="227"/>
        <v>38575750.399999999</v>
      </c>
      <c r="EJ50" s="52">
        <f t="shared" si="227"/>
        <v>0</v>
      </c>
      <c r="EK50" s="52">
        <f t="shared" si="227"/>
        <v>157550700.20000002</v>
      </c>
      <c r="EL50" s="52">
        <f t="shared" si="227"/>
        <v>155078614.40000001</v>
      </c>
      <c r="EM50" s="52">
        <f t="shared" si="227"/>
        <v>0</v>
      </c>
      <c r="EN50" s="52">
        <f t="shared" si="227"/>
        <v>0</v>
      </c>
      <c r="EO50" s="52">
        <f t="shared" si="227"/>
        <v>0</v>
      </c>
      <c r="EP50" s="52">
        <f t="shared" si="227"/>
        <v>0</v>
      </c>
      <c r="EQ50" s="52">
        <f t="shared" si="227"/>
        <v>0</v>
      </c>
      <c r="ER50" s="52">
        <f t="shared" si="227"/>
        <v>0</v>
      </c>
      <c r="ES50" s="52">
        <f t="shared" si="227"/>
        <v>-2472085.7999999998</v>
      </c>
      <c r="EU50" s="194">
        <f t="shared" si="23"/>
        <v>0</v>
      </c>
      <c r="EW50" s="194">
        <f t="shared" si="24"/>
        <v>-2472085.8000000119</v>
      </c>
      <c r="EX50" s="194">
        <f t="shared" si="21"/>
        <v>1.2107193470001221E-8</v>
      </c>
    </row>
    <row r="51" spans="1:154" x14ac:dyDescent="0.25">
      <c r="A51" s="42"/>
      <c r="B51" s="48"/>
      <c r="C51" s="421" t="str">
        <f>'Incremental_Cost Year 1'!C163:E163</f>
        <v>3.2 Objektivi Specifik: Garantimi i efeciensës së shërbimit për sistemin spitalor nëpërmjet zhvillimit të 4 Poleve Rajonalë Referencialë të specializuar.</v>
      </c>
      <c r="D51" s="421"/>
      <c r="E51" s="422"/>
      <c r="F51" s="67"/>
      <c r="G51" s="67"/>
      <c r="H51" s="54">
        <f>SUM(H52:H54)</f>
        <v>56046050.25</v>
      </c>
      <c r="I51" s="94">
        <f t="shared" ref="I51:S51" si="228">SUM(I52:I54)</f>
        <v>2693124881</v>
      </c>
      <c r="J51" s="94">
        <f t="shared" si="228"/>
        <v>448178834</v>
      </c>
      <c r="K51" s="94">
        <f t="shared" si="228"/>
        <v>3197349765.25</v>
      </c>
      <c r="L51" s="94">
        <f t="shared" si="228"/>
        <v>3096265765.8000002</v>
      </c>
      <c r="M51" s="94">
        <f t="shared" si="228"/>
        <v>45200000</v>
      </c>
      <c r="N51" s="94">
        <f t="shared" si="228"/>
        <v>55200000</v>
      </c>
      <c r="O51" s="94">
        <f t="shared" si="228"/>
        <v>0</v>
      </c>
      <c r="P51" s="94">
        <f t="shared" si="228"/>
        <v>0</v>
      </c>
      <c r="Q51" s="94">
        <f t="shared" si="228"/>
        <v>0</v>
      </c>
      <c r="R51" s="94">
        <f t="shared" si="228"/>
        <v>0</v>
      </c>
      <c r="S51" s="94">
        <f t="shared" si="228"/>
        <v>-683999.45</v>
      </c>
      <c r="U51" s="94">
        <f>SUM(U52:U54)</f>
        <v>514009642.94999999</v>
      </c>
      <c r="V51" s="94">
        <f t="shared" ref="V51:AF51" si="229">SUM(V52:V54)</f>
        <v>4948870306</v>
      </c>
      <c r="W51" s="94">
        <f t="shared" si="229"/>
        <v>1586663050</v>
      </c>
      <c r="X51" s="94">
        <f t="shared" si="229"/>
        <v>7049542998.9499998</v>
      </c>
      <c r="Y51" s="94">
        <f t="shared" si="229"/>
        <v>6447705500.1999998</v>
      </c>
      <c r="Z51" s="94">
        <f t="shared" si="229"/>
        <v>115000000</v>
      </c>
      <c r="AA51" s="94">
        <f t="shared" si="229"/>
        <v>272000000</v>
      </c>
      <c r="AB51" s="94">
        <f t="shared" si="229"/>
        <v>0</v>
      </c>
      <c r="AC51" s="94">
        <f t="shared" si="229"/>
        <v>0</v>
      </c>
      <c r="AD51" s="94">
        <f t="shared" si="229"/>
        <v>10000000</v>
      </c>
      <c r="AE51" s="94">
        <f t="shared" si="229"/>
        <v>0</v>
      </c>
      <c r="AF51" s="94">
        <f t="shared" si="229"/>
        <v>-204837498.75</v>
      </c>
      <c r="AH51" s="94">
        <f>SUM(AH52:AH54)</f>
        <v>511741111.64999998</v>
      </c>
      <c r="AI51" s="94">
        <f t="shared" ref="AI51:AS51" si="230">SUM(AI52:AI54)</f>
        <v>5077368906</v>
      </c>
      <c r="AJ51" s="94">
        <f t="shared" si="230"/>
        <v>2515294950</v>
      </c>
      <c r="AK51" s="94">
        <f t="shared" si="230"/>
        <v>8104404967.6499996</v>
      </c>
      <c r="AL51" s="94">
        <f t="shared" si="230"/>
        <v>7099206968.1999998</v>
      </c>
      <c r="AM51" s="94">
        <f t="shared" si="230"/>
        <v>100000000</v>
      </c>
      <c r="AN51" s="94">
        <f t="shared" si="230"/>
        <v>602000000</v>
      </c>
      <c r="AO51" s="94">
        <f t="shared" si="230"/>
        <v>0</v>
      </c>
      <c r="AP51" s="94">
        <f t="shared" si="230"/>
        <v>0</v>
      </c>
      <c r="AQ51" s="94">
        <f t="shared" si="230"/>
        <v>0</v>
      </c>
      <c r="AR51" s="94">
        <f t="shared" si="230"/>
        <v>0</v>
      </c>
      <c r="AS51" s="94">
        <f t="shared" si="230"/>
        <v>-303197999.44999999</v>
      </c>
      <c r="AU51" s="94">
        <f>SUM(AU52:AU54)</f>
        <v>509902911.59999996</v>
      </c>
      <c r="AV51" s="94">
        <f t="shared" ref="AV51:BF51" si="231">SUM(AV52:AV54)</f>
        <v>5206421906</v>
      </c>
      <c r="AW51" s="94">
        <f t="shared" si="231"/>
        <v>2616273000</v>
      </c>
      <c r="AX51" s="94">
        <f t="shared" si="231"/>
        <v>8332597817.5999994</v>
      </c>
      <c r="AY51" s="94">
        <f t="shared" si="231"/>
        <v>7189344818.1999998</v>
      </c>
      <c r="AZ51" s="94">
        <f t="shared" si="231"/>
        <v>200000000</v>
      </c>
      <c r="BA51" s="94">
        <f t="shared" si="231"/>
        <v>602000000</v>
      </c>
      <c r="BB51" s="94">
        <f t="shared" si="231"/>
        <v>0</v>
      </c>
      <c r="BC51" s="94">
        <f t="shared" si="231"/>
        <v>0</v>
      </c>
      <c r="BD51" s="94">
        <f t="shared" si="231"/>
        <v>0</v>
      </c>
      <c r="BE51" s="94">
        <f t="shared" si="231"/>
        <v>0</v>
      </c>
      <c r="BF51" s="94">
        <f t="shared" si="231"/>
        <v>-341252999.39999998</v>
      </c>
      <c r="BH51" s="94">
        <f>SUM(BH52:BH54)</f>
        <v>509655390.89999998</v>
      </c>
      <c r="BI51" s="94">
        <f t="shared" ref="BI51:BS51" si="232">SUM(BI52:BI54)</f>
        <v>5263191906</v>
      </c>
      <c r="BJ51" s="94">
        <f t="shared" si="232"/>
        <v>500026900</v>
      </c>
      <c r="BK51" s="94">
        <f t="shared" si="232"/>
        <v>6272874196.8999996</v>
      </c>
      <c r="BL51" s="94">
        <f t="shared" si="232"/>
        <v>6207653297.1999998</v>
      </c>
      <c r="BM51" s="94">
        <f t="shared" si="232"/>
        <v>0</v>
      </c>
      <c r="BN51" s="94">
        <f t="shared" si="232"/>
        <v>0</v>
      </c>
      <c r="BO51" s="94">
        <f t="shared" si="232"/>
        <v>0</v>
      </c>
      <c r="BP51" s="94">
        <f t="shared" si="232"/>
        <v>0</v>
      </c>
      <c r="BQ51" s="94">
        <f t="shared" si="232"/>
        <v>0</v>
      </c>
      <c r="BR51" s="94">
        <f t="shared" si="232"/>
        <v>0</v>
      </c>
      <c r="BS51" s="94">
        <f t="shared" si="232"/>
        <v>-65220899.700000003</v>
      </c>
      <c r="BU51" s="94">
        <f>SUM(BU52:BU54)</f>
        <v>509655390.89999998</v>
      </c>
      <c r="BV51" s="94">
        <f t="shared" ref="BV51:CF51" si="233">SUM(BV52:BV54)</f>
        <v>5323031906</v>
      </c>
      <c r="BW51" s="94">
        <f t="shared" si="233"/>
        <v>0</v>
      </c>
      <c r="BX51" s="94">
        <f t="shared" si="233"/>
        <v>5832687296.8999996</v>
      </c>
      <c r="BY51" s="94">
        <f t="shared" si="233"/>
        <v>5832687297.1999998</v>
      </c>
      <c r="BZ51" s="94">
        <f t="shared" si="233"/>
        <v>0</v>
      </c>
      <c r="CA51" s="94">
        <f t="shared" si="233"/>
        <v>0</v>
      </c>
      <c r="CB51" s="94">
        <f t="shared" si="233"/>
        <v>0</v>
      </c>
      <c r="CC51" s="94">
        <f t="shared" si="233"/>
        <v>0</v>
      </c>
      <c r="CD51" s="94">
        <f t="shared" si="233"/>
        <v>0</v>
      </c>
      <c r="CE51" s="94">
        <f t="shared" si="233"/>
        <v>0</v>
      </c>
      <c r="CF51" s="94">
        <f t="shared" si="233"/>
        <v>0.30000000004656613</v>
      </c>
      <c r="CH51" s="94">
        <f>SUM(CH52:CH54)</f>
        <v>509655390.89999998</v>
      </c>
      <c r="CI51" s="94">
        <f t="shared" ref="CI51:CS51" si="234">SUM(CI52:CI54)</f>
        <v>5383963906</v>
      </c>
      <c r="CJ51" s="94">
        <f t="shared" si="234"/>
        <v>0</v>
      </c>
      <c r="CK51" s="94">
        <f t="shared" si="234"/>
        <v>5893619296.8999996</v>
      </c>
      <c r="CL51" s="94">
        <f t="shared" si="234"/>
        <v>5893619297.1999998</v>
      </c>
      <c r="CM51" s="94">
        <f t="shared" si="234"/>
        <v>0</v>
      </c>
      <c r="CN51" s="94">
        <f t="shared" si="234"/>
        <v>0</v>
      </c>
      <c r="CO51" s="94">
        <f t="shared" si="234"/>
        <v>0</v>
      </c>
      <c r="CP51" s="94">
        <f t="shared" si="234"/>
        <v>0</v>
      </c>
      <c r="CQ51" s="94">
        <f t="shared" si="234"/>
        <v>0</v>
      </c>
      <c r="CR51" s="94">
        <f t="shared" si="234"/>
        <v>0</v>
      </c>
      <c r="CS51" s="94">
        <f t="shared" si="234"/>
        <v>0.30000000004656613</v>
      </c>
      <c r="CU51" s="94">
        <f>SUM(CU52:CU54)</f>
        <v>509655390.89999998</v>
      </c>
      <c r="CV51" s="94">
        <f t="shared" ref="CV51:DF51" si="235">SUM(CV52:CV54)</f>
        <v>5450042406</v>
      </c>
      <c r="CW51" s="94">
        <f t="shared" si="235"/>
        <v>0</v>
      </c>
      <c r="CX51" s="94">
        <f t="shared" si="235"/>
        <v>5959697796.8999996</v>
      </c>
      <c r="CY51" s="94">
        <f t="shared" si="235"/>
        <v>5959697797.1999998</v>
      </c>
      <c r="CZ51" s="94">
        <f t="shared" si="235"/>
        <v>0</v>
      </c>
      <c r="DA51" s="94">
        <f t="shared" si="235"/>
        <v>0</v>
      </c>
      <c r="DB51" s="94">
        <f t="shared" si="235"/>
        <v>0</v>
      </c>
      <c r="DC51" s="94">
        <f t="shared" si="235"/>
        <v>0</v>
      </c>
      <c r="DD51" s="94">
        <f t="shared" si="235"/>
        <v>0</v>
      </c>
      <c r="DE51" s="94">
        <f t="shared" si="235"/>
        <v>0</v>
      </c>
      <c r="DF51" s="94">
        <f t="shared" si="235"/>
        <v>0.30000000004656613</v>
      </c>
      <c r="DH51" s="94">
        <f>SUM(DH52:DH54)</f>
        <v>509655390.89999998</v>
      </c>
      <c r="DI51" s="94">
        <f t="shared" ref="DI51:DS51" si="236">SUM(DI52:DI54)</f>
        <v>5518325006</v>
      </c>
      <c r="DJ51" s="94">
        <f t="shared" si="236"/>
        <v>0</v>
      </c>
      <c r="DK51" s="94">
        <f t="shared" si="236"/>
        <v>6027980396.8999996</v>
      </c>
      <c r="DL51" s="94">
        <f t="shared" si="236"/>
        <v>6027980396.8999996</v>
      </c>
      <c r="DM51" s="94">
        <f t="shared" si="236"/>
        <v>0</v>
      </c>
      <c r="DN51" s="94">
        <f t="shared" si="236"/>
        <v>0</v>
      </c>
      <c r="DO51" s="94">
        <f t="shared" si="236"/>
        <v>0</v>
      </c>
      <c r="DP51" s="94">
        <f t="shared" si="236"/>
        <v>0</v>
      </c>
      <c r="DQ51" s="94">
        <f t="shared" si="236"/>
        <v>0</v>
      </c>
      <c r="DR51" s="94">
        <f t="shared" si="236"/>
        <v>0</v>
      </c>
      <c r="DS51" s="94">
        <f t="shared" si="236"/>
        <v>0</v>
      </c>
      <c r="DU51" s="94">
        <f>SUM(DU52:DU54)</f>
        <v>509655390.89999998</v>
      </c>
      <c r="DV51" s="94">
        <f t="shared" ref="DV51:EF51" si="237">SUM(DV52:DV54)</f>
        <v>5590871706</v>
      </c>
      <c r="DW51" s="94">
        <f t="shared" si="237"/>
        <v>0</v>
      </c>
      <c r="DX51" s="94">
        <f t="shared" si="237"/>
        <v>6100527096.8999996</v>
      </c>
      <c r="DY51" s="94">
        <f t="shared" si="237"/>
        <v>6100527097.1999998</v>
      </c>
      <c r="DZ51" s="94">
        <f t="shared" si="237"/>
        <v>0</v>
      </c>
      <c r="EA51" s="94">
        <f t="shared" si="237"/>
        <v>0</v>
      </c>
      <c r="EB51" s="94">
        <f t="shared" si="237"/>
        <v>0</v>
      </c>
      <c r="EC51" s="94">
        <f t="shared" si="237"/>
        <v>0</v>
      </c>
      <c r="ED51" s="94">
        <f t="shared" si="237"/>
        <v>0</v>
      </c>
      <c r="EE51" s="94">
        <f t="shared" si="237"/>
        <v>0</v>
      </c>
      <c r="EF51" s="94">
        <f t="shared" si="237"/>
        <v>0.30000000004656613</v>
      </c>
      <c r="EH51" s="94">
        <f t="shared" ref="EH51:ES51" si="238">SUM(EH52:EH54)</f>
        <v>4649632061.8500004</v>
      </c>
      <c r="EI51" s="94">
        <f t="shared" si="238"/>
        <v>50455212835</v>
      </c>
      <c r="EJ51" s="94">
        <f t="shared" si="238"/>
        <v>7666436734</v>
      </c>
      <c r="EK51" s="94">
        <f t="shared" si="238"/>
        <v>62771281630.850006</v>
      </c>
      <c r="EL51" s="94">
        <f t="shared" si="238"/>
        <v>59854688235.299995</v>
      </c>
      <c r="EM51" s="94">
        <f t="shared" si="238"/>
        <v>460200000</v>
      </c>
      <c r="EN51" s="94">
        <f t="shared" si="238"/>
        <v>1531200000</v>
      </c>
      <c r="EO51" s="94">
        <f t="shared" si="238"/>
        <v>0</v>
      </c>
      <c r="EP51" s="94">
        <f t="shared" si="238"/>
        <v>0</v>
      </c>
      <c r="EQ51" s="94">
        <f t="shared" si="238"/>
        <v>10000000</v>
      </c>
      <c r="ER51" s="94">
        <f t="shared" si="238"/>
        <v>0</v>
      </c>
      <c r="ES51" s="94">
        <f t="shared" si="238"/>
        <v>-915193395.55000019</v>
      </c>
      <c r="EU51" s="194">
        <f t="shared" si="23"/>
        <v>2001400000</v>
      </c>
      <c r="EW51" s="194">
        <f t="shared" si="24"/>
        <v>-915193395.55001068</v>
      </c>
      <c r="EX51" s="194">
        <f t="shared" si="21"/>
        <v>1.049041748046875E-5</v>
      </c>
    </row>
    <row r="52" spans="1:154" ht="63.75" x14ac:dyDescent="0.25">
      <c r="B52" s="43"/>
      <c r="C52" s="68"/>
      <c r="D52" s="193" t="str">
        <f>'Incremental_Cost Year 1'!D168</f>
        <v>01110 Planifikimi, Menaxhimi dhe Administrimi/07330 Shërbime të Kujdesit Shëndetësor Dytësor</v>
      </c>
      <c r="E52" s="193" t="str">
        <f>'Incremental_Cost Year 1'!E168</f>
        <v>3.2.1 Krijimi i 4 Poleve Rajonalë Referencialë të Specializuar</v>
      </c>
      <c r="F52" s="96">
        <f>'Incremental_Cost Year 1'!F168</f>
        <v>2021</v>
      </c>
      <c r="G52" s="96">
        <f>'Incremental_Cost Year 1'!G168</f>
        <v>2030</v>
      </c>
      <c r="H52" s="52">
        <f>'Incremental_Cost Year 1'!AQ168</f>
        <v>40992333.75</v>
      </c>
      <c r="I52" s="92">
        <f>'Incremental_Cost Year 1'!AR168</f>
        <v>78864000</v>
      </c>
      <c r="J52" s="92">
        <f>'Incremental_Cost Year 1'!AS168</f>
        <v>0</v>
      </c>
      <c r="K52" s="92">
        <f>'Incremental_Cost Year 1'!AT168</f>
        <v>119856333.75</v>
      </c>
      <c r="L52" s="92">
        <f>'Incremental_Cost Year 1'!AU168</f>
        <v>119172334</v>
      </c>
      <c r="M52" s="92">
        <f>'Incremental_Cost Year 1'!AV168</f>
        <v>0</v>
      </c>
      <c r="N52" s="92">
        <f>'Incremental_Cost Year 1'!AW168</f>
        <v>0</v>
      </c>
      <c r="O52" s="92">
        <f>'Incremental_Cost Year 1'!AX168</f>
        <v>0</v>
      </c>
      <c r="P52" s="92">
        <f>'Incremental_Cost Year 1'!AY168</f>
        <v>0</v>
      </c>
      <c r="Q52" s="92">
        <f>'Incremental_Cost Year 1'!AZ168</f>
        <v>0</v>
      </c>
      <c r="R52" s="92">
        <f>'Incremental_Cost Year 1'!BA168</f>
        <v>0</v>
      </c>
      <c r="S52" s="92">
        <f>'Incremental_Cost Year 1'!BB168</f>
        <v>-683999.75</v>
      </c>
      <c r="U52" s="92">
        <f>'Incremental_Cost Year 2'!AQ168</f>
        <v>453184202.55000001</v>
      </c>
      <c r="V52" s="92">
        <f>'Incremental_Cost Year 2'!AR168</f>
        <v>655276000</v>
      </c>
      <c r="W52" s="92">
        <f>'Incremental_Cost Year 2'!AS168</f>
        <v>0</v>
      </c>
      <c r="X52" s="92">
        <f>'Incremental_Cost Year 2'!AT168</f>
        <v>1108460202.55</v>
      </c>
      <c r="Y52" s="92">
        <f>'Incremental_Cost Year 2'!AU168</f>
        <v>1093544203</v>
      </c>
      <c r="Z52" s="92">
        <f>'Incremental_Cost Year 2'!AV168</f>
        <v>0</v>
      </c>
      <c r="AA52" s="92">
        <f>'Incremental_Cost Year 2'!AW168</f>
        <v>0</v>
      </c>
      <c r="AB52" s="92">
        <f>'Incremental_Cost Year 2'!AX168</f>
        <v>0</v>
      </c>
      <c r="AC52" s="92">
        <f>'Incremental_Cost Year 2'!AY168</f>
        <v>0</v>
      </c>
      <c r="AD52" s="92">
        <f>'Incremental_Cost Year 2'!AZ168</f>
        <v>10000000</v>
      </c>
      <c r="AE52" s="92">
        <f>'Incremental_Cost Year 2'!BA168</f>
        <v>0</v>
      </c>
      <c r="AF52" s="92">
        <f>'Incremental_Cost Year 2'!BB168</f>
        <v>-4915999.5500000007</v>
      </c>
      <c r="AH52" s="92">
        <f>'Incremental_Cost Year 3'!AQ168</f>
        <v>450915671.25</v>
      </c>
      <c r="AI52" s="92">
        <f>'Incremental_Cost Year 3'!AR168</f>
        <v>680864000</v>
      </c>
      <c r="AJ52" s="92">
        <f>'Incremental_Cost Year 3'!AS168</f>
        <v>0</v>
      </c>
      <c r="AK52" s="92">
        <f>'Incremental_Cost Year 3'!AT168</f>
        <v>1131779671.25</v>
      </c>
      <c r="AL52" s="92">
        <f>'Incremental_Cost Year 3'!AU168</f>
        <v>1131095671</v>
      </c>
      <c r="AM52" s="92">
        <f>'Incremental_Cost Year 3'!AV168</f>
        <v>0</v>
      </c>
      <c r="AN52" s="92">
        <f>'Incremental_Cost Year 3'!AW168</f>
        <v>0</v>
      </c>
      <c r="AO52" s="92">
        <f>'Incremental_Cost Year 3'!AX168</f>
        <v>0</v>
      </c>
      <c r="AP52" s="92">
        <f>'Incremental_Cost Year 3'!AY168</f>
        <v>0</v>
      </c>
      <c r="AQ52" s="92">
        <f>'Incremental_Cost Year 3'!AZ168</f>
        <v>0</v>
      </c>
      <c r="AR52" s="92">
        <f>'Incremental_Cost Year 3'!BA168</f>
        <v>0</v>
      </c>
      <c r="AS52" s="92">
        <f>'Incremental_Cost Year 3'!BB168</f>
        <v>-684000.25</v>
      </c>
      <c r="AU52" s="92">
        <f>'Incremental_Cost Year 4'!AQ168</f>
        <v>450067554</v>
      </c>
      <c r="AV52" s="92">
        <f>'Incremental_Cost Year 4'!AR168</f>
        <v>714000000</v>
      </c>
      <c r="AW52" s="92">
        <f>'Incremental_Cost Year 4'!AS168</f>
        <v>0</v>
      </c>
      <c r="AX52" s="92">
        <f>'Incremental_Cost Year 4'!AT168</f>
        <v>1164067554</v>
      </c>
      <c r="AY52" s="92">
        <f>'Incremental_Cost Year 4'!AU168</f>
        <v>1164067554</v>
      </c>
      <c r="AZ52" s="92">
        <f>'Incremental_Cost Year 4'!AV168</f>
        <v>0</v>
      </c>
      <c r="BA52" s="92">
        <f>'Incremental_Cost Year 4'!AW168</f>
        <v>0</v>
      </c>
      <c r="BB52" s="92">
        <f>'Incremental_Cost Year 4'!AX168</f>
        <v>0</v>
      </c>
      <c r="BC52" s="92">
        <f>'Incremental_Cost Year 4'!AY168</f>
        <v>0</v>
      </c>
      <c r="BD52" s="92">
        <f>'Incremental_Cost Year 4'!AZ168</f>
        <v>0</v>
      </c>
      <c r="BE52" s="92">
        <f>'Incremental_Cost Year 4'!BA168</f>
        <v>0</v>
      </c>
      <c r="BF52" s="92">
        <f>'Incremental_Cost Year 4'!BB168</f>
        <v>0</v>
      </c>
      <c r="BH52" s="92">
        <f>'Incremental_Cost Year 5'!AQ168</f>
        <v>450067554</v>
      </c>
      <c r="BI52" s="92">
        <f>'Incremental_Cost Year 5'!AR168</f>
        <v>750000000</v>
      </c>
      <c r="BJ52" s="92">
        <f>'Incremental_Cost Year 5'!AS168</f>
        <v>0</v>
      </c>
      <c r="BK52" s="92">
        <f>'Incremental_Cost Year 5'!AT168</f>
        <v>1200067554</v>
      </c>
      <c r="BL52" s="92">
        <f>'Incremental_Cost Year 5'!AU168</f>
        <v>1200067554</v>
      </c>
      <c r="BM52" s="92">
        <f>'Incremental_Cost Year 5'!AV168</f>
        <v>0</v>
      </c>
      <c r="BN52" s="92">
        <f>'Incremental_Cost Year 5'!AW168</f>
        <v>0</v>
      </c>
      <c r="BO52" s="92">
        <f>'Incremental_Cost Year 5'!AX168</f>
        <v>0</v>
      </c>
      <c r="BP52" s="92">
        <f>'Incremental_Cost Year 5'!AY168</f>
        <v>0</v>
      </c>
      <c r="BQ52" s="92">
        <f>'Incremental_Cost Year 5'!AZ168</f>
        <v>0</v>
      </c>
      <c r="BR52" s="92">
        <f>'Incremental_Cost Year 5'!BA168</f>
        <v>0</v>
      </c>
      <c r="BS52" s="92">
        <f>'Incremental_Cost Year 5'!BB168</f>
        <v>0</v>
      </c>
      <c r="BU52" s="92">
        <f>'Incremental_Cost Year 6'!AQ168</f>
        <v>450067554</v>
      </c>
      <c r="BV52" s="92">
        <f>'Incremental_Cost Year 6'!AR168</f>
        <v>788000000</v>
      </c>
      <c r="BW52" s="92">
        <f>'Incremental_Cost Year 6'!AS168</f>
        <v>0</v>
      </c>
      <c r="BX52" s="92">
        <f>'Incremental_Cost Year 6'!AT168</f>
        <v>1238067554</v>
      </c>
      <c r="BY52" s="92">
        <f>'Incremental_Cost Year 6'!AU168</f>
        <v>1238067554</v>
      </c>
      <c r="BZ52" s="92">
        <f>'Incremental_Cost Year 6'!AV168</f>
        <v>0</v>
      </c>
      <c r="CA52" s="92">
        <f>'Incremental_Cost Year 6'!AW168</f>
        <v>0</v>
      </c>
      <c r="CB52" s="92">
        <f>'Incremental_Cost Year 6'!AX168</f>
        <v>0</v>
      </c>
      <c r="CC52" s="92">
        <f>'Incremental_Cost Year 6'!AY168</f>
        <v>0</v>
      </c>
      <c r="CD52" s="92">
        <f>'Incremental_Cost Year 6'!AZ168</f>
        <v>0</v>
      </c>
      <c r="CE52" s="92">
        <f>'Incremental_Cost Year 6'!BA168</f>
        <v>0</v>
      </c>
      <c r="CF52" s="92">
        <f>'Incremental_Cost Year 6'!BB168</f>
        <v>0</v>
      </c>
      <c r="CH52" s="92">
        <f>'Incremental_Cost Year 7'!AQ168</f>
        <v>450067554</v>
      </c>
      <c r="CI52" s="92">
        <f>'Incremental_Cost Year 7'!AR168</f>
        <v>826000000</v>
      </c>
      <c r="CJ52" s="92">
        <f>'Incremental_Cost Year 7'!AS168</f>
        <v>0</v>
      </c>
      <c r="CK52" s="92">
        <f>'Incremental_Cost Year 7'!AT168</f>
        <v>1276067554</v>
      </c>
      <c r="CL52" s="92">
        <f>'Incremental_Cost Year 7'!AU168</f>
        <v>1276067554</v>
      </c>
      <c r="CM52" s="92">
        <f>'Incremental_Cost Year 7'!AV168</f>
        <v>0</v>
      </c>
      <c r="CN52" s="92">
        <f>'Incremental_Cost Year 7'!AW168</f>
        <v>0</v>
      </c>
      <c r="CO52" s="92">
        <f>'Incremental_Cost Year 7'!AX168</f>
        <v>0</v>
      </c>
      <c r="CP52" s="92">
        <f>'Incremental_Cost Year 7'!AY168</f>
        <v>0</v>
      </c>
      <c r="CQ52" s="92">
        <f>'Incremental_Cost Year 7'!AZ168</f>
        <v>0</v>
      </c>
      <c r="CR52" s="92">
        <f>'Incremental_Cost Year 7'!BA168</f>
        <v>0</v>
      </c>
      <c r="CS52" s="92">
        <f>'Incremental_Cost Year 7'!BB168</f>
        <v>0</v>
      </c>
      <c r="CU52" s="92">
        <f>'Incremental_Cost Year 8'!AQ168</f>
        <v>450067554</v>
      </c>
      <c r="CV52" s="92">
        <f>'Incremental_Cost Year 8'!AR168</f>
        <v>868000000</v>
      </c>
      <c r="CW52" s="92">
        <f>'Incremental_Cost Year 8'!AS168</f>
        <v>0</v>
      </c>
      <c r="CX52" s="92">
        <f>'Incremental_Cost Year 8'!AT168</f>
        <v>1318067554</v>
      </c>
      <c r="CY52" s="92">
        <f>'Incremental_Cost Year 8'!AU168</f>
        <v>1318067554</v>
      </c>
      <c r="CZ52" s="92">
        <f>'Incremental_Cost Year 8'!AV168</f>
        <v>0</v>
      </c>
      <c r="DA52" s="92">
        <f>'Incremental_Cost Year 8'!AW168</f>
        <v>0</v>
      </c>
      <c r="DB52" s="92">
        <f>'Incremental_Cost Year 8'!AX168</f>
        <v>0</v>
      </c>
      <c r="DC52" s="92">
        <f>'Incremental_Cost Year 8'!AY168</f>
        <v>0</v>
      </c>
      <c r="DD52" s="92">
        <f>'Incremental_Cost Year 8'!AZ168</f>
        <v>0</v>
      </c>
      <c r="DE52" s="92">
        <f>'Incremental_Cost Year 8'!BA168</f>
        <v>0</v>
      </c>
      <c r="DF52" s="92">
        <f>'Incremental_Cost Year 8'!BB168</f>
        <v>0</v>
      </c>
      <c r="DH52" s="92">
        <f>'Incremental_Cost Year 9'!AQ168</f>
        <v>450067554</v>
      </c>
      <c r="DI52" s="92">
        <f>'Incremental_Cost Year 9'!AR168</f>
        <v>911000000</v>
      </c>
      <c r="DJ52" s="92">
        <f>'Incremental_Cost Year 9'!AS168</f>
        <v>0</v>
      </c>
      <c r="DK52" s="92">
        <f>'Incremental_Cost Year 9'!AT168</f>
        <v>1361067554</v>
      </c>
      <c r="DL52" s="92">
        <f>'Incremental_Cost Year 9'!AU168</f>
        <v>1361067554</v>
      </c>
      <c r="DM52" s="92">
        <f>'Incremental_Cost Year 9'!AV168</f>
        <v>0</v>
      </c>
      <c r="DN52" s="92">
        <f>'Incremental_Cost Year 9'!AW168</f>
        <v>0</v>
      </c>
      <c r="DO52" s="92">
        <f>'Incremental_Cost Year 9'!AX168</f>
        <v>0</v>
      </c>
      <c r="DP52" s="92">
        <f>'Incremental_Cost Year 9'!AY168</f>
        <v>0</v>
      </c>
      <c r="DQ52" s="92">
        <f>'Incremental_Cost Year 9'!AZ168</f>
        <v>0</v>
      </c>
      <c r="DR52" s="92">
        <f>'Incremental_Cost Year 9'!BA168</f>
        <v>0</v>
      </c>
      <c r="DS52" s="92">
        <f>'Incremental_Cost Year 9'!BB168</f>
        <v>0</v>
      </c>
      <c r="DU52" s="92">
        <f>'Incremental_Cost Year 10'!AQ168</f>
        <v>450067554</v>
      </c>
      <c r="DV52" s="92">
        <f>'Incremental_Cost Year 10'!AR168</f>
        <v>957000000</v>
      </c>
      <c r="DW52" s="92">
        <f>'Incremental_Cost Year 10'!AS168</f>
        <v>0</v>
      </c>
      <c r="DX52" s="92">
        <f>'Incremental_Cost Year 10'!AT168</f>
        <v>1407067554</v>
      </c>
      <c r="DY52" s="92">
        <f>'Incremental_Cost Year 10'!AU168</f>
        <v>1407067554</v>
      </c>
      <c r="DZ52" s="92">
        <f>'Incremental_Cost Year 10'!AV168</f>
        <v>0</v>
      </c>
      <c r="EA52" s="92">
        <f>'Incremental_Cost Year 10'!AW168</f>
        <v>0</v>
      </c>
      <c r="EB52" s="92">
        <f>'Incremental_Cost Year 10'!AX168</f>
        <v>0</v>
      </c>
      <c r="EC52" s="92">
        <f>'Incremental_Cost Year 10'!AY168</f>
        <v>0</v>
      </c>
      <c r="ED52" s="92">
        <f>'Incremental_Cost Year 10'!AZ168</f>
        <v>0</v>
      </c>
      <c r="EE52" s="92">
        <f>'Incremental_Cost Year 10'!BA168</f>
        <v>0</v>
      </c>
      <c r="EF52" s="92">
        <f>'Incremental_Cost Year 10'!BB168</f>
        <v>0</v>
      </c>
      <c r="EH52" s="52">
        <f>H52+U52+AH52+AU52+BH52+BU52+CH52+CU52+DH52+DU52</f>
        <v>4095565085.5500002</v>
      </c>
      <c r="EI52" s="52">
        <f t="shared" ref="EI52:ES54" si="239">I52+V52+AI52+AV52+BI52+BV52+CI52+CV52+DI52+DV52</f>
        <v>7229004000</v>
      </c>
      <c r="EJ52" s="52">
        <f t="shared" si="239"/>
        <v>0</v>
      </c>
      <c r="EK52" s="52">
        <f t="shared" si="239"/>
        <v>11324569085.549999</v>
      </c>
      <c r="EL52" s="52">
        <f t="shared" si="239"/>
        <v>11308285086</v>
      </c>
      <c r="EM52" s="52">
        <f t="shared" si="239"/>
        <v>0</v>
      </c>
      <c r="EN52" s="52">
        <f t="shared" si="239"/>
        <v>0</v>
      </c>
      <c r="EO52" s="52">
        <f t="shared" si="239"/>
        <v>0</v>
      </c>
      <c r="EP52" s="52">
        <f t="shared" si="239"/>
        <v>0</v>
      </c>
      <c r="EQ52" s="52">
        <f t="shared" si="239"/>
        <v>10000000</v>
      </c>
      <c r="ER52" s="52">
        <f t="shared" si="239"/>
        <v>0</v>
      </c>
      <c r="ES52" s="52">
        <f t="shared" si="239"/>
        <v>-6283999.5500000007</v>
      </c>
      <c r="EU52" s="194">
        <f t="shared" si="23"/>
        <v>10000000</v>
      </c>
      <c r="EW52" s="194">
        <f t="shared" si="24"/>
        <v>-6283999.5499992371</v>
      </c>
      <c r="EX52" s="194">
        <f t="shared" si="21"/>
        <v>-7.6368451118469238E-7</v>
      </c>
    </row>
    <row r="53" spans="1:154" s="77" customFormat="1" ht="51" x14ac:dyDescent="0.25">
      <c r="A53" s="82"/>
      <c r="B53" s="88"/>
      <c r="C53" s="100"/>
      <c r="D53" s="193" t="str">
        <f>'Incremental_Cost Year 1'!D178</f>
        <v>07330 Shërbime të Kujdesit Shëndetësor Dytësor/07220 Shërbime të Kujdesit Shëndetësor Parësor</v>
      </c>
      <c r="E53" s="193" t="str">
        <f>'Incremental_Cost Year 1'!E178</f>
        <v>3.2.2 Fuqizimi i efikasitetit të rrjetit spitalor dhe kujdesit të specializuar</v>
      </c>
      <c r="F53" s="96">
        <f>'Incremental_Cost Year 1'!F178</f>
        <v>2021</v>
      </c>
      <c r="G53" s="96">
        <f>'Incremental_Cost Year 1'!G178</f>
        <v>2030</v>
      </c>
      <c r="H53" s="92">
        <f>'Incremental_Cost Year 1'!AQ178</f>
        <v>15053716.5</v>
      </c>
      <c r="I53" s="92">
        <f>'Incremental_Cost Year 1'!AR178</f>
        <v>2614260881</v>
      </c>
      <c r="J53" s="92">
        <f>'Incremental_Cost Year 1'!AS178</f>
        <v>448178834</v>
      </c>
      <c r="K53" s="92">
        <f>'Incremental_Cost Year 1'!AT178</f>
        <v>3077493431.5</v>
      </c>
      <c r="L53" s="92">
        <f>'Incremental_Cost Year 1'!AU178</f>
        <v>2977093431.8000002</v>
      </c>
      <c r="M53" s="92">
        <f>'Incremental_Cost Year 1'!AV178</f>
        <v>45200000</v>
      </c>
      <c r="N53" s="92">
        <f>'Incremental_Cost Year 1'!AW178</f>
        <v>55200000</v>
      </c>
      <c r="O53" s="92">
        <f>'Incremental_Cost Year 1'!AX178</f>
        <v>0</v>
      </c>
      <c r="P53" s="92">
        <f>'Incremental_Cost Year 1'!AY178</f>
        <v>0</v>
      </c>
      <c r="Q53" s="92">
        <f>'Incremental_Cost Year 1'!AZ178</f>
        <v>0</v>
      </c>
      <c r="R53" s="92">
        <f>'Incremental_Cost Year 1'!BA178</f>
        <v>0</v>
      </c>
      <c r="S53" s="92">
        <f>'Incremental_Cost Year 1'!BB178</f>
        <v>0.30000000004656613</v>
      </c>
      <c r="T53" s="70"/>
      <c r="U53" s="92">
        <f>'Incremental_Cost Year 2'!AQ178</f>
        <v>60742933.500000007</v>
      </c>
      <c r="V53" s="92">
        <f>'Incremental_Cost Year 2'!AR178</f>
        <v>4293126306</v>
      </c>
      <c r="W53" s="92">
        <f>'Incremental_Cost Year 2'!AS178</f>
        <v>1586663050</v>
      </c>
      <c r="X53" s="92">
        <f>'Incremental_Cost Year 2'!AT178</f>
        <v>5940532289.5</v>
      </c>
      <c r="Y53" s="92">
        <f>'Incremental_Cost Year 2'!AU178</f>
        <v>5354066790.1999998</v>
      </c>
      <c r="Z53" s="92">
        <f>'Incremental_Cost Year 2'!AV178</f>
        <v>115000000</v>
      </c>
      <c r="AA53" s="92">
        <f>'Incremental_Cost Year 2'!AW178</f>
        <v>272000000</v>
      </c>
      <c r="AB53" s="92">
        <f>'Incremental_Cost Year 2'!AX178</f>
        <v>0</v>
      </c>
      <c r="AC53" s="92">
        <f>'Incremental_Cost Year 2'!AY178</f>
        <v>0</v>
      </c>
      <c r="AD53" s="92">
        <f>'Incremental_Cost Year 2'!AZ178</f>
        <v>0</v>
      </c>
      <c r="AE53" s="92">
        <f>'Incremental_Cost Year 2'!BA178</f>
        <v>0</v>
      </c>
      <c r="AF53" s="92">
        <f>'Incremental_Cost Year 2'!BB178</f>
        <v>-199465499.29999998</v>
      </c>
      <c r="AG53" s="70"/>
      <c r="AH53" s="92">
        <f>'Incremental_Cost Year 3'!AQ178</f>
        <v>60742933.500000007</v>
      </c>
      <c r="AI53" s="92">
        <f>'Incremental_Cost Year 3'!AR178</f>
        <v>4396015306</v>
      </c>
      <c r="AJ53" s="92">
        <f>'Incremental_Cost Year 3'!AS178</f>
        <v>2515294950</v>
      </c>
      <c r="AK53" s="92">
        <f>'Incremental_Cost Year 3'!AT178</f>
        <v>6972053189.5</v>
      </c>
      <c r="AL53" s="92">
        <f>'Incremental_Cost Year 3'!AU178</f>
        <v>5967995190.1999998</v>
      </c>
      <c r="AM53" s="92">
        <f>'Incremental_Cost Year 3'!AV178</f>
        <v>100000000</v>
      </c>
      <c r="AN53" s="92">
        <f>'Incremental_Cost Year 3'!AW178</f>
        <v>602000000</v>
      </c>
      <c r="AO53" s="92">
        <f>'Incremental_Cost Year 3'!AX178</f>
        <v>0</v>
      </c>
      <c r="AP53" s="92">
        <f>'Incremental_Cost Year 3'!AY178</f>
        <v>0</v>
      </c>
      <c r="AQ53" s="92">
        <f>'Incremental_Cost Year 3'!AZ178</f>
        <v>0</v>
      </c>
      <c r="AR53" s="92">
        <f>'Incremental_Cost Year 3'!BA178</f>
        <v>0</v>
      </c>
      <c r="AS53" s="92">
        <f>'Incremental_Cost Year 3'!BB178</f>
        <v>-302057999.30000001</v>
      </c>
      <c r="AT53" s="70"/>
      <c r="AU53" s="92">
        <f>'Incremental_Cost Year 4'!AQ178</f>
        <v>59587836.900000006</v>
      </c>
      <c r="AV53" s="92">
        <f>'Incremental_Cost Year 4'!AR178</f>
        <v>4492391906</v>
      </c>
      <c r="AW53" s="92">
        <f>'Incremental_Cost Year 4'!AS178</f>
        <v>2616273000</v>
      </c>
      <c r="AX53" s="92">
        <f>'Incremental_Cost Year 4'!AT178</f>
        <v>7168252742.8999996</v>
      </c>
      <c r="AY53" s="92">
        <f>'Incremental_Cost Year 4'!AU178</f>
        <v>6024999743.1999998</v>
      </c>
      <c r="AZ53" s="92">
        <f>'Incremental_Cost Year 4'!AV178</f>
        <v>200000000</v>
      </c>
      <c r="BA53" s="92">
        <f>'Incremental_Cost Year 4'!AW178</f>
        <v>602000000</v>
      </c>
      <c r="BB53" s="92">
        <f>'Incremental_Cost Year 4'!AX178</f>
        <v>0</v>
      </c>
      <c r="BC53" s="92">
        <f>'Incremental_Cost Year 4'!AY178</f>
        <v>0</v>
      </c>
      <c r="BD53" s="92">
        <f>'Incremental_Cost Year 4'!AZ178</f>
        <v>0</v>
      </c>
      <c r="BE53" s="92">
        <f>'Incremental_Cost Year 4'!BA178</f>
        <v>0</v>
      </c>
      <c r="BF53" s="92">
        <f>'Incremental_Cost Year 4'!BB178</f>
        <v>-341252999.69999999</v>
      </c>
      <c r="BG53" s="70"/>
      <c r="BH53" s="92">
        <f>'Incremental_Cost Year 5'!AQ178</f>
        <v>59587836.900000006</v>
      </c>
      <c r="BI53" s="92">
        <f>'Incremental_Cost Year 5'!AR178</f>
        <v>4513191906</v>
      </c>
      <c r="BJ53" s="92">
        <f>'Incremental_Cost Year 5'!AS178</f>
        <v>500026900</v>
      </c>
      <c r="BK53" s="92">
        <f>'Incremental_Cost Year 5'!AT178</f>
        <v>5072806642.8999996</v>
      </c>
      <c r="BL53" s="92">
        <f>'Incremental_Cost Year 5'!AU178</f>
        <v>5007585743.1999998</v>
      </c>
      <c r="BM53" s="92">
        <f>'Incremental_Cost Year 5'!AV178</f>
        <v>0</v>
      </c>
      <c r="BN53" s="92">
        <f>'Incremental_Cost Year 5'!AW178</f>
        <v>0</v>
      </c>
      <c r="BO53" s="92">
        <f>'Incremental_Cost Year 5'!AX178</f>
        <v>0</v>
      </c>
      <c r="BP53" s="92">
        <f>'Incremental_Cost Year 5'!AY178</f>
        <v>0</v>
      </c>
      <c r="BQ53" s="92">
        <f>'Incremental_Cost Year 5'!AZ178</f>
        <v>0</v>
      </c>
      <c r="BR53" s="92">
        <f>'Incremental_Cost Year 5'!BA178</f>
        <v>0</v>
      </c>
      <c r="BS53" s="92">
        <f>'Incremental_Cost Year 5'!BB178</f>
        <v>-65220899.700000003</v>
      </c>
      <c r="BT53" s="70"/>
      <c r="BU53" s="92">
        <f>'Incremental_Cost Year 6'!AQ178</f>
        <v>59587836.900000006</v>
      </c>
      <c r="BV53" s="92">
        <f>'Incremental_Cost Year 6'!AR178</f>
        <v>4535031906</v>
      </c>
      <c r="BW53" s="92">
        <f>'Incremental_Cost Year 6'!AS178</f>
        <v>0</v>
      </c>
      <c r="BX53" s="92">
        <f>'Incremental_Cost Year 6'!AT178</f>
        <v>4594619742.8999996</v>
      </c>
      <c r="BY53" s="92">
        <f>'Incremental_Cost Year 6'!AU178</f>
        <v>4594619743.1999998</v>
      </c>
      <c r="BZ53" s="92">
        <f>'Incremental_Cost Year 6'!AV178</f>
        <v>0</v>
      </c>
      <c r="CA53" s="92">
        <f>'Incremental_Cost Year 6'!AW178</f>
        <v>0</v>
      </c>
      <c r="CB53" s="92">
        <f>'Incremental_Cost Year 6'!AX178</f>
        <v>0</v>
      </c>
      <c r="CC53" s="92">
        <f>'Incremental_Cost Year 6'!AY178</f>
        <v>0</v>
      </c>
      <c r="CD53" s="92">
        <f>'Incremental_Cost Year 6'!AZ178</f>
        <v>0</v>
      </c>
      <c r="CE53" s="92">
        <f>'Incremental_Cost Year 6'!BA178</f>
        <v>0</v>
      </c>
      <c r="CF53" s="92">
        <f>'Incremental_Cost Year 6'!BB178</f>
        <v>0.30000000004656613</v>
      </c>
      <c r="CG53" s="70"/>
      <c r="CH53" s="92">
        <f>'Incremental_Cost Year 7'!AQ178</f>
        <v>59587836.900000006</v>
      </c>
      <c r="CI53" s="92">
        <f>'Incremental_Cost Year 7'!AR178</f>
        <v>4557963906</v>
      </c>
      <c r="CJ53" s="92">
        <f>'Incremental_Cost Year 7'!AS178</f>
        <v>0</v>
      </c>
      <c r="CK53" s="92">
        <f>'Incremental_Cost Year 7'!AT178</f>
        <v>4617551742.8999996</v>
      </c>
      <c r="CL53" s="92">
        <f>'Incremental_Cost Year 7'!AU178</f>
        <v>4617551743.1999998</v>
      </c>
      <c r="CM53" s="92">
        <f>'Incremental_Cost Year 7'!AV178</f>
        <v>0</v>
      </c>
      <c r="CN53" s="92">
        <f>'Incremental_Cost Year 7'!AW178</f>
        <v>0</v>
      </c>
      <c r="CO53" s="92">
        <f>'Incremental_Cost Year 7'!AX178</f>
        <v>0</v>
      </c>
      <c r="CP53" s="92">
        <f>'Incremental_Cost Year 7'!AY178</f>
        <v>0</v>
      </c>
      <c r="CQ53" s="92">
        <f>'Incremental_Cost Year 7'!AZ178</f>
        <v>0</v>
      </c>
      <c r="CR53" s="92">
        <f>'Incremental_Cost Year 7'!BA178</f>
        <v>0</v>
      </c>
      <c r="CS53" s="92">
        <f>'Incremental_Cost Year 7'!BB178</f>
        <v>0.30000000004656613</v>
      </c>
      <c r="CT53" s="70"/>
      <c r="CU53" s="92">
        <f>'Incremental_Cost Year 8'!AQ178</f>
        <v>59587836.900000006</v>
      </c>
      <c r="CV53" s="92">
        <f>'Incremental_Cost Year 8'!AR178</f>
        <v>4582042406</v>
      </c>
      <c r="CW53" s="92">
        <f>'Incremental_Cost Year 8'!AS178</f>
        <v>0</v>
      </c>
      <c r="CX53" s="92">
        <f>'Incremental_Cost Year 8'!AT178</f>
        <v>4641630242.8999996</v>
      </c>
      <c r="CY53" s="92">
        <f>'Incremental_Cost Year 8'!AU178</f>
        <v>4641630243.1999998</v>
      </c>
      <c r="CZ53" s="92">
        <f>'Incremental_Cost Year 8'!AV178</f>
        <v>0</v>
      </c>
      <c r="DA53" s="92">
        <f>'Incremental_Cost Year 8'!AW178</f>
        <v>0</v>
      </c>
      <c r="DB53" s="92">
        <f>'Incremental_Cost Year 8'!AX178</f>
        <v>0</v>
      </c>
      <c r="DC53" s="92">
        <f>'Incremental_Cost Year 8'!AY178</f>
        <v>0</v>
      </c>
      <c r="DD53" s="92">
        <f>'Incremental_Cost Year 8'!AZ178</f>
        <v>0</v>
      </c>
      <c r="DE53" s="92">
        <f>'Incremental_Cost Year 8'!BA178</f>
        <v>0</v>
      </c>
      <c r="DF53" s="92">
        <f>'Incremental_Cost Year 8'!BB178</f>
        <v>0.30000000004656613</v>
      </c>
      <c r="DG53" s="70"/>
      <c r="DH53" s="92">
        <f>'Incremental_Cost Year 9'!AQ178</f>
        <v>59587836.900000006</v>
      </c>
      <c r="DI53" s="92">
        <f>'Incremental_Cost Year 9'!AR178</f>
        <v>4607325006</v>
      </c>
      <c r="DJ53" s="92">
        <f>'Incremental_Cost Year 9'!AS178</f>
        <v>0</v>
      </c>
      <c r="DK53" s="92">
        <f>'Incremental_Cost Year 9'!AT178</f>
        <v>4666912842.8999996</v>
      </c>
      <c r="DL53" s="92">
        <f>'Incremental_Cost Year 9'!AU178</f>
        <v>4666912842.8999996</v>
      </c>
      <c r="DM53" s="92">
        <f>'Incremental_Cost Year 9'!AV178</f>
        <v>0</v>
      </c>
      <c r="DN53" s="92">
        <f>'Incremental_Cost Year 9'!AW178</f>
        <v>0</v>
      </c>
      <c r="DO53" s="92">
        <f>'Incremental_Cost Year 9'!AX178</f>
        <v>0</v>
      </c>
      <c r="DP53" s="92">
        <f>'Incremental_Cost Year 9'!AY178</f>
        <v>0</v>
      </c>
      <c r="DQ53" s="92">
        <f>'Incremental_Cost Year 9'!AZ178</f>
        <v>0</v>
      </c>
      <c r="DR53" s="92">
        <f>'Incremental_Cost Year 9'!BA178</f>
        <v>0</v>
      </c>
      <c r="DS53" s="92">
        <f>'Incremental_Cost Year 9'!BB178</f>
        <v>0</v>
      </c>
      <c r="DT53" s="70"/>
      <c r="DU53" s="92">
        <f>'Incremental_Cost Year 10'!AQ178</f>
        <v>59587836.900000006</v>
      </c>
      <c r="DV53" s="92">
        <f>'Incremental_Cost Year 10'!AR178</f>
        <v>4633871706</v>
      </c>
      <c r="DW53" s="92">
        <f>'Incremental_Cost Year 10'!AS178</f>
        <v>0</v>
      </c>
      <c r="DX53" s="92">
        <f>'Incremental_Cost Year 10'!AT178</f>
        <v>4693459542.8999996</v>
      </c>
      <c r="DY53" s="92">
        <f>'Incremental_Cost Year 10'!AU178</f>
        <v>4693459543.1999998</v>
      </c>
      <c r="DZ53" s="92">
        <f>'Incremental_Cost Year 10'!AV178</f>
        <v>0</v>
      </c>
      <c r="EA53" s="92">
        <f>'Incremental_Cost Year 10'!AW178</f>
        <v>0</v>
      </c>
      <c r="EB53" s="92">
        <f>'Incremental_Cost Year 10'!AX178</f>
        <v>0</v>
      </c>
      <c r="EC53" s="92">
        <f>'Incremental_Cost Year 10'!AY178</f>
        <v>0</v>
      </c>
      <c r="ED53" s="92">
        <f>'Incremental_Cost Year 10'!AZ178</f>
        <v>0</v>
      </c>
      <c r="EE53" s="92">
        <f>'Incremental_Cost Year 10'!BA178</f>
        <v>0</v>
      </c>
      <c r="EF53" s="92">
        <f>'Incremental_Cost Year 10'!BB178</f>
        <v>0.30000000004656613</v>
      </c>
      <c r="EG53" s="70"/>
      <c r="EH53" s="92">
        <f>H53+U53+AH53+AU53+BH53+BU53+CH53+CU53+DH53+DU53</f>
        <v>553654441.79999995</v>
      </c>
      <c r="EI53" s="92">
        <f t="shared" ref="EI53:ES53" si="240">I53+V53+AI53+AV53+BI53+BV53+CI53+CV53+DI53+DV53</f>
        <v>43225221235</v>
      </c>
      <c r="EJ53" s="92">
        <f t="shared" si="240"/>
        <v>7666436734</v>
      </c>
      <c r="EK53" s="92">
        <f t="shared" si="240"/>
        <v>51445312410.800011</v>
      </c>
      <c r="EL53" s="92">
        <f t="shared" si="240"/>
        <v>48545915014.299995</v>
      </c>
      <c r="EM53" s="92">
        <f t="shared" si="240"/>
        <v>460200000</v>
      </c>
      <c r="EN53" s="92">
        <f t="shared" si="240"/>
        <v>1531200000</v>
      </c>
      <c r="EO53" s="92">
        <f t="shared" si="240"/>
        <v>0</v>
      </c>
      <c r="EP53" s="92">
        <f t="shared" si="240"/>
        <v>0</v>
      </c>
      <c r="EQ53" s="92">
        <f t="shared" si="240"/>
        <v>0</v>
      </c>
      <c r="ER53" s="92">
        <f t="shared" si="240"/>
        <v>0</v>
      </c>
      <c r="ES53" s="92">
        <f t="shared" si="240"/>
        <v>-907997396.50000024</v>
      </c>
      <c r="EU53" s="194">
        <f t="shared" si="23"/>
        <v>1991400000</v>
      </c>
      <c r="EW53" s="194">
        <f t="shared" si="24"/>
        <v>-907997396.50001526</v>
      </c>
      <c r="EX53" s="194">
        <f t="shared" si="21"/>
        <v>1.5020370483398438E-5</v>
      </c>
    </row>
    <row r="54" spans="1:154" ht="38.25" x14ac:dyDescent="0.25">
      <c r="B54" s="43"/>
      <c r="C54" s="68"/>
      <c r="D54" s="193" t="str">
        <f>'Incremental_Cost Year 1'!D181</f>
        <v>09450 Arsimi i lartë/01110 Planifikimi, Menaxhimi dhe Administrimi</v>
      </c>
      <c r="E54" s="193" t="str">
        <f>'Incremental_Cost Year 1'!E181</f>
        <v>3.2.3  Garantimi i mbulimit të nevojave me mjekë në sistemin shëndetësor</v>
      </c>
      <c r="F54" s="96">
        <f>'Incremental_Cost Year 1'!F181</f>
        <v>2022</v>
      </c>
      <c r="G54" s="96">
        <f>'Incremental_Cost Year 1'!G181</f>
        <v>2025</v>
      </c>
      <c r="H54" s="52">
        <f>'Incremental_Cost Year 1'!AQ181</f>
        <v>0</v>
      </c>
      <c r="I54" s="92">
        <f>'Incremental_Cost Year 1'!AR181</f>
        <v>0</v>
      </c>
      <c r="J54" s="92">
        <f>'Incremental_Cost Year 1'!AS181</f>
        <v>0</v>
      </c>
      <c r="K54" s="92">
        <f>'Incremental_Cost Year 1'!AT181</f>
        <v>0</v>
      </c>
      <c r="L54" s="92">
        <f>'Incremental_Cost Year 1'!AU181</f>
        <v>0</v>
      </c>
      <c r="M54" s="92">
        <f>'Incremental_Cost Year 1'!AV181</f>
        <v>0</v>
      </c>
      <c r="N54" s="92">
        <f>'Incremental_Cost Year 1'!AW181</f>
        <v>0</v>
      </c>
      <c r="O54" s="92">
        <f>'Incremental_Cost Year 1'!AX181</f>
        <v>0</v>
      </c>
      <c r="P54" s="92">
        <f>'Incremental_Cost Year 1'!AY181</f>
        <v>0</v>
      </c>
      <c r="Q54" s="92">
        <f>'Incremental_Cost Year 1'!AZ181</f>
        <v>0</v>
      </c>
      <c r="R54" s="92">
        <f>'Incremental_Cost Year 1'!BA181</f>
        <v>0</v>
      </c>
      <c r="S54" s="92">
        <f>'Incremental_Cost Year 1'!BB181</f>
        <v>0</v>
      </c>
      <c r="U54" s="92">
        <f>'Incremental_Cost Year 2'!AQ181</f>
        <v>82506.899999999994</v>
      </c>
      <c r="V54" s="92">
        <f>'Incremental_Cost Year 2'!AR181</f>
        <v>468000</v>
      </c>
      <c r="W54" s="92">
        <f>'Incremental_Cost Year 2'!AS181</f>
        <v>0</v>
      </c>
      <c r="X54" s="92">
        <f>'Incremental_Cost Year 2'!AT181</f>
        <v>550506.9</v>
      </c>
      <c r="Y54" s="92">
        <f>'Incremental_Cost Year 2'!AU181</f>
        <v>94507</v>
      </c>
      <c r="Z54" s="92">
        <f>'Incremental_Cost Year 2'!AV181</f>
        <v>0</v>
      </c>
      <c r="AA54" s="92">
        <f>'Incremental_Cost Year 2'!AW181</f>
        <v>0</v>
      </c>
      <c r="AB54" s="92">
        <f>'Incremental_Cost Year 2'!AX181</f>
        <v>0</v>
      </c>
      <c r="AC54" s="92">
        <f>'Incremental_Cost Year 2'!AY181</f>
        <v>0</v>
      </c>
      <c r="AD54" s="92">
        <f>'Incremental_Cost Year 2'!AZ181</f>
        <v>0</v>
      </c>
      <c r="AE54" s="92">
        <f>'Incremental_Cost Year 2'!BA181</f>
        <v>0</v>
      </c>
      <c r="AF54" s="92">
        <f>'Incremental_Cost Year 2'!BB181</f>
        <v>-455999.9</v>
      </c>
      <c r="AH54" s="92">
        <f>'Incremental_Cost Year 3'!AQ181</f>
        <v>82506.899999999994</v>
      </c>
      <c r="AI54" s="92">
        <f>'Incremental_Cost Year 3'!AR181</f>
        <v>489600</v>
      </c>
      <c r="AJ54" s="92">
        <f>'Incremental_Cost Year 3'!AS181</f>
        <v>0</v>
      </c>
      <c r="AK54" s="92">
        <f>'Incremental_Cost Year 3'!AT181</f>
        <v>572106.9</v>
      </c>
      <c r="AL54" s="92">
        <f>'Incremental_Cost Year 3'!AU181</f>
        <v>116107</v>
      </c>
      <c r="AM54" s="92">
        <f>'Incremental_Cost Year 3'!AV181</f>
        <v>0</v>
      </c>
      <c r="AN54" s="92">
        <f>'Incremental_Cost Year 3'!AW181</f>
        <v>0</v>
      </c>
      <c r="AO54" s="92">
        <f>'Incremental_Cost Year 3'!AX181</f>
        <v>0</v>
      </c>
      <c r="AP54" s="92">
        <f>'Incremental_Cost Year 3'!AY181</f>
        <v>0</v>
      </c>
      <c r="AQ54" s="92">
        <f>'Incremental_Cost Year 3'!AZ181</f>
        <v>0</v>
      </c>
      <c r="AR54" s="92">
        <f>'Incremental_Cost Year 3'!BA181</f>
        <v>0</v>
      </c>
      <c r="AS54" s="92">
        <f>'Incremental_Cost Year 3'!BB181</f>
        <v>-455999.9</v>
      </c>
      <c r="AU54" s="92">
        <f>'Incremental_Cost Year 4'!AQ181</f>
        <v>247520.7</v>
      </c>
      <c r="AV54" s="92">
        <f>'Incremental_Cost Year 4'!AR181</f>
        <v>30000</v>
      </c>
      <c r="AW54" s="92">
        <f>'Incremental_Cost Year 4'!AS181</f>
        <v>0</v>
      </c>
      <c r="AX54" s="92">
        <f>'Incremental_Cost Year 4'!AT181</f>
        <v>277520.7</v>
      </c>
      <c r="AY54" s="92">
        <f>'Incremental_Cost Year 4'!AU181</f>
        <v>277521</v>
      </c>
      <c r="AZ54" s="92">
        <f>'Incremental_Cost Year 4'!AV181</f>
        <v>0</v>
      </c>
      <c r="BA54" s="92">
        <f>'Incremental_Cost Year 4'!AW181</f>
        <v>0</v>
      </c>
      <c r="BB54" s="92">
        <f>'Incremental_Cost Year 4'!AX181</f>
        <v>0</v>
      </c>
      <c r="BC54" s="92">
        <f>'Incremental_Cost Year 4'!AY181</f>
        <v>0</v>
      </c>
      <c r="BD54" s="92">
        <f>'Incremental_Cost Year 4'!AZ181</f>
        <v>0</v>
      </c>
      <c r="BE54" s="92">
        <f>'Incremental_Cost Year 4'!BA181</f>
        <v>0</v>
      </c>
      <c r="BF54" s="92">
        <f>'Incremental_Cost Year 4'!BB181</f>
        <v>0.29999999998835847</v>
      </c>
      <c r="BH54" s="92">
        <f>'Incremental_Cost Year 5'!AQ181</f>
        <v>0</v>
      </c>
      <c r="BI54" s="92">
        <f>'Incremental_Cost Year 5'!AR181</f>
        <v>0</v>
      </c>
      <c r="BJ54" s="92">
        <f>'Incremental_Cost Year 5'!AS181</f>
        <v>0</v>
      </c>
      <c r="BK54" s="92">
        <f>'Incremental_Cost Year 5'!AT181</f>
        <v>0</v>
      </c>
      <c r="BL54" s="92">
        <f>'Incremental_Cost Year 5'!AU181</f>
        <v>0</v>
      </c>
      <c r="BM54" s="92">
        <f>'Incremental_Cost Year 5'!AV181</f>
        <v>0</v>
      </c>
      <c r="BN54" s="92">
        <f>'Incremental_Cost Year 5'!AW181</f>
        <v>0</v>
      </c>
      <c r="BO54" s="92">
        <f>'Incremental_Cost Year 5'!AX181</f>
        <v>0</v>
      </c>
      <c r="BP54" s="92">
        <f>'Incremental_Cost Year 5'!AY181</f>
        <v>0</v>
      </c>
      <c r="BQ54" s="92">
        <f>'Incremental_Cost Year 5'!AZ181</f>
        <v>0</v>
      </c>
      <c r="BR54" s="92">
        <f>'Incremental_Cost Year 5'!BA181</f>
        <v>0</v>
      </c>
      <c r="BS54" s="92">
        <f>'Incremental_Cost Year 5'!BB181</f>
        <v>0</v>
      </c>
      <c r="BU54" s="92">
        <f>'Incremental_Cost Year 6'!AQ181</f>
        <v>0</v>
      </c>
      <c r="BV54" s="92">
        <f>'Incremental_Cost Year 6'!AR181</f>
        <v>0</v>
      </c>
      <c r="BW54" s="92">
        <f>'Incremental_Cost Year 6'!AS181</f>
        <v>0</v>
      </c>
      <c r="BX54" s="92">
        <f>'Incremental_Cost Year 6'!AT181</f>
        <v>0</v>
      </c>
      <c r="BY54" s="92">
        <f>'Incremental_Cost Year 6'!AU181</f>
        <v>0</v>
      </c>
      <c r="BZ54" s="92">
        <f>'Incremental_Cost Year 6'!AV181</f>
        <v>0</v>
      </c>
      <c r="CA54" s="92">
        <f>'Incremental_Cost Year 6'!AW181</f>
        <v>0</v>
      </c>
      <c r="CB54" s="92">
        <f>'Incremental_Cost Year 6'!AX181</f>
        <v>0</v>
      </c>
      <c r="CC54" s="92">
        <f>'Incremental_Cost Year 6'!AY181</f>
        <v>0</v>
      </c>
      <c r="CD54" s="92">
        <f>'Incremental_Cost Year 6'!AZ181</f>
        <v>0</v>
      </c>
      <c r="CE54" s="92">
        <f>'Incremental_Cost Year 6'!BA181</f>
        <v>0</v>
      </c>
      <c r="CF54" s="92">
        <f>'Incremental_Cost Year 6'!BB181</f>
        <v>0</v>
      </c>
      <c r="CH54" s="92">
        <f>'Incremental_Cost Year 7'!AQ181</f>
        <v>0</v>
      </c>
      <c r="CI54" s="92">
        <f>'Incremental_Cost Year 7'!AR181</f>
        <v>0</v>
      </c>
      <c r="CJ54" s="92">
        <f>'Incremental_Cost Year 7'!AS181</f>
        <v>0</v>
      </c>
      <c r="CK54" s="92">
        <f>'Incremental_Cost Year 7'!AT181</f>
        <v>0</v>
      </c>
      <c r="CL54" s="92">
        <f>'Incremental_Cost Year 7'!AU181</f>
        <v>0</v>
      </c>
      <c r="CM54" s="92">
        <f>'Incremental_Cost Year 7'!AV181</f>
        <v>0</v>
      </c>
      <c r="CN54" s="92">
        <f>'Incremental_Cost Year 7'!AW181</f>
        <v>0</v>
      </c>
      <c r="CO54" s="92">
        <f>'Incremental_Cost Year 7'!AX181</f>
        <v>0</v>
      </c>
      <c r="CP54" s="92">
        <f>'Incremental_Cost Year 7'!AY181</f>
        <v>0</v>
      </c>
      <c r="CQ54" s="92">
        <f>'Incremental_Cost Year 7'!AZ181</f>
        <v>0</v>
      </c>
      <c r="CR54" s="92">
        <f>'Incremental_Cost Year 7'!BA181</f>
        <v>0</v>
      </c>
      <c r="CS54" s="92">
        <f>'Incremental_Cost Year 7'!BB181</f>
        <v>0</v>
      </c>
      <c r="CU54" s="92">
        <f>'Incremental_Cost Year 8'!AQ181</f>
        <v>0</v>
      </c>
      <c r="CV54" s="92">
        <f>'Incremental_Cost Year 8'!AR181</f>
        <v>0</v>
      </c>
      <c r="CW54" s="92">
        <f>'Incremental_Cost Year 8'!AS181</f>
        <v>0</v>
      </c>
      <c r="CX54" s="92">
        <f>'Incremental_Cost Year 8'!AT181</f>
        <v>0</v>
      </c>
      <c r="CY54" s="92">
        <f>'Incremental_Cost Year 8'!AU181</f>
        <v>0</v>
      </c>
      <c r="CZ54" s="92">
        <f>'Incremental_Cost Year 8'!AV181</f>
        <v>0</v>
      </c>
      <c r="DA54" s="92">
        <f>'Incremental_Cost Year 8'!AW181</f>
        <v>0</v>
      </c>
      <c r="DB54" s="92">
        <f>'Incremental_Cost Year 8'!AX181</f>
        <v>0</v>
      </c>
      <c r="DC54" s="92">
        <f>'Incremental_Cost Year 8'!AY181</f>
        <v>0</v>
      </c>
      <c r="DD54" s="92">
        <f>'Incremental_Cost Year 8'!AZ181</f>
        <v>0</v>
      </c>
      <c r="DE54" s="92">
        <f>'Incremental_Cost Year 8'!BA181</f>
        <v>0</v>
      </c>
      <c r="DF54" s="92">
        <f>'Incremental_Cost Year 8'!BB181</f>
        <v>0</v>
      </c>
      <c r="DH54" s="92">
        <f>'Incremental_Cost Year 9'!AQ181</f>
        <v>0</v>
      </c>
      <c r="DI54" s="92">
        <f>'Incremental_Cost Year 9'!AR181</f>
        <v>0</v>
      </c>
      <c r="DJ54" s="92">
        <f>'Incremental_Cost Year 9'!AS181</f>
        <v>0</v>
      </c>
      <c r="DK54" s="92">
        <f>'Incremental_Cost Year 9'!AT181</f>
        <v>0</v>
      </c>
      <c r="DL54" s="92">
        <f>'Incremental_Cost Year 9'!AU181</f>
        <v>0</v>
      </c>
      <c r="DM54" s="92">
        <f>'Incremental_Cost Year 9'!AV181</f>
        <v>0</v>
      </c>
      <c r="DN54" s="92">
        <f>'Incremental_Cost Year 9'!AW181</f>
        <v>0</v>
      </c>
      <c r="DO54" s="92">
        <f>'Incremental_Cost Year 9'!AX181</f>
        <v>0</v>
      </c>
      <c r="DP54" s="92">
        <f>'Incremental_Cost Year 9'!AY181</f>
        <v>0</v>
      </c>
      <c r="DQ54" s="92">
        <f>'Incremental_Cost Year 9'!AZ181</f>
        <v>0</v>
      </c>
      <c r="DR54" s="92">
        <f>'Incremental_Cost Year 9'!BA181</f>
        <v>0</v>
      </c>
      <c r="DS54" s="92">
        <f>'Incremental_Cost Year 9'!BB181</f>
        <v>0</v>
      </c>
      <c r="DU54" s="92">
        <f>'Incremental_Cost Year 10'!AQ181</f>
        <v>0</v>
      </c>
      <c r="DV54" s="92">
        <f>'Incremental_Cost Year 10'!AR181</f>
        <v>0</v>
      </c>
      <c r="DW54" s="92">
        <f>'Incremental_Cost Year 10'!AS181</f>
        <v>0</v>
      </c>
      <c r="DX54" s="92">
        <f>'Incremental_Cost Year 10'!AT181</f>
        <v>0</v>
      </c>
      <c r="DY54" s="92">
        <f>'Incremental_Cost Year 10'!AU181</f>
        <v>0</v>
      </c>
      <c r="DZ54" s="92">
        <f>'Incremental_Cost Year 10'!AV181</f>
        <v>0</v>
      </c>
      <c r="EA54" s="92">
        <f>'Incremental_Cost Year 10'!AW181</f>
        <v>0</v>
      </c>
      <c r="EB54" s="92">
        <f>'Incremental_Cost Year 10'!AX181</f>
        <v>0</v>
      </c>
      <c r="EC54" s="92">
        <f>'Incremental_Cost Year 10'!AY181</f>
        <v>0</v>
      </c>
      <c r="ED54" s="92">
        <f>'Incremental_Cost Year 10'!AZ181</f>
        <v>0</v>
      </c>
      <c r="EE54" s="92">
        <f>'Incremental_Cost Year 10'!BA181</f>
        <v>0</v>
      </c>
      <c r="EF54" s="92">
        <f>'Incremental_Cost Year 10'!BB181</f>
        <v>0</v>
      </c>
      <c r="EH54" s="52">
        <f>H54+U54+AH54+AU54+BH54+BU54+CH54+CU54+DH54+DU54</f>
        <v>412534.5</v>
      </c>
      <c r="EI54" s="52">
        <f t="shared" si="239"/>
        <v>987600</v>
      </c>
      <c r="EJ54" s="52">
        <f t="shared" si="239"/>
        <v>0</v>
      </c>
      <c r="EK54" s="52">
        <f t="shared" si="239"/>
        <v>1400134.5</v>
      </c>
      <c r="EL54" s="52">
        <f t="shared" si="239"/>
        <v>488135</v>
      </c>
      <c r="EM54" s="52">
        <f t="shared" si="239"/>
        <v>0</v>
      </c>
      <c r="EN54" s="52">
        <f t="shared" si="239"/>
        <v>0</v>
      </c>
      <c r="EO54" s="52">
        <f t="shared" si="239"/>
        <v>0</v>
      </c>
      <c r="EP54" s="52">
        <f t="shared" si="239"/>
        <v>0</v>
      </c>
      <c r="EQ54" s="52">
        <f t="shared" si="239"/>
        <v>0</v>
      </c>
      <c r="ER54" s="52">
        <f t="shared" si="239"/>
        <v>0</v>
      </c>
      <c r="ES54" s="52">
        <f t="shared" si="239"/>
        <v>-911999.5</v>
      </c>
      <c r="EU54" s="194">
        <f t="shared" si="23"/>
        <v>0</v>
      </c>
      <c r="EW54" s="194">
        <f t="shared" si="24"/>
        <v>-911999.5</v>
      </c>
      <c r="EX54" s="194">
        <f t="shared" si="21"/>
        <v>0</v>
      </c>
    </row>
    <row r="55" spans="1:154" x14ac:dyDescent="0.25">
      <c r="A55" s="42"/>
      <c r="B55" s="48"/>
      <c r="C55" s="421" t="str">
        <f>'Incremental_Cost Year 1'!C182:E182</f>
        <v xml:space="preserve">3.3 Objektivi Specifik: Rishikimi dhe fuqizimi i politikave shëndetësore për rritjen e kapaciteteve të burimeve njerëzore </v>
      </c>
      <c r="D55" s="421"/>
      <c r="E55" s="422"/>
      <c r="F55" s="67"/>
      <c r="G55" s="67"/>
      <c r="H55" s="54">
        <f>SUM(H56:H58)</f>
        <v>1800548078.6999998</v>
      </c>
      <c r="I55" s="192">
        <f t="shared" ref="I55:BS55" si="241">SUM(I56:I58)</f>
        <v>1365155000</v>
      </c>
      <c r="J55" s="192">
        <f t="shared" si="241"/>
        <v>0</v>
      </c>
      <c r="K55" s="192">
        <f t="shared" si="241"/>
        <v>3165703078.6999998</v>
      </c>
      <c r="L55" s="192">
        <f t="shared" si="241"/>
        <v>3165703079</v>
      </c>
      <c r="M55" s="192">
        <f t="shared" si="241"/>
        <v>0</v>
      </c>
      <c r="N55" s="192">
        <f t="shared" si="241"/>
        <v>0</v>
      </c>
      <c r="O55" s="192">
        <f t="shared" si="241"/>
        <v>0</v>
      </c>
      <c r="P55" s="192">
        <f t="shared" si="241"/>
        <v>0</v>
      </c>
      <c r="Q55" s="192">
        <f t="shared" si="241"/>
        <v>0</v>
      </c>
      <c r="R55" s="192">
        <f t="shared" si="241"/>
        <v>0</v>
      </c>
      <c r="S55" s="192">
        <f t="shared" si="241"/>
        <v>0.3000000953907147</v>
      </c>
      <c r="U55" s="192">
        <f>SUM(U56:U58)</f>
        <v>11598855163.710001</v>
      </c>
      <c r="V55" s="192">
        <f t="shared" si="241"/>
        <v>9847872000</v>
      </c>
      <c r="W55" s="192">
        <f t="shared" si="241"/>
        <v>0</v>
      </c>
      <c r="X55" s="192">
        <f t="shared" si="241"/>
        <v>21446727163.709999</v>
      </c>
      <c r="Y55" s="192">
        <f t="shared" si="241"/>
        <v>21445349164</v>
      </c>
      <c r="Z55" s="192">
        <f t="shared" si="241"/>
        <v>0</v>
      </c>
      <c r="AA55" s="192">
        <f t="shared" si="241"/>
        <v>0</v>
      </c>
      <c r="AB55" s="192">
        <f t="shared" si="241"/>
        <v>0</v>
      </c>
      <c r="AC55" s="192">
        <f t="shared" si="241"/>
        <v>0</v>
      </c>
      <c r="AD55" s="192">
        <f t="shared" si="241"/>
        <v>0</v>
      </c>
      <c r="AE55" s="192">
        <f t="shared" si="241"/>
        <v>0</v>
      </c>
      <c r="AF55" s="192">
        <f t="shared" si="241"/>
        <v>-1377999.709998474</v>
      </c>
      <c r="AH55" s="192">
        <f t="shared" si="241"/>
        <v>11998052820.060001</v>
      </c>
      <c r="AI55" s="192">
        <f t="shared" si="241"/>
        <v>10208655600</v>
      </c>
      <c r="AJ55" s="192">
        <f t="shared" si="241"/>
        <v>0</v>
      </c>
      <c r="AK55" s="192">
        <f t="shared" si="241"/>
        <v>22206708420.059998</v>
      </c>
      <c r="AL55" s="192">
        <f t="shared" si="241"/>
        <v>21004884421</v>
      </c>
      <c r="AM55" s="192">
        <f t="shared" si="241"/>
        <v>0</v>
      </c>
      <c r="AN55" s="192">
        <f t="shared" si="241"/>
        <v>0</v>
      </c>
      <c r="AO55" s="192">
        <f t="shared" si="241"/>
        <v>0</v>
      </c>
      <c r="AP55" s="192">
        <f t="shared" si="241"/>
        <v>0</v>
      </c>
      <c r="AQ55" s="192">
        <f t="shared" si="241"/>
        <v>0</v>
      </c>
      <c r="AR55" s="192">
        <f t="shared" si="241"/>
        <v>0</v>
      </c>
      <c r="AS55" s="192">
        <f t="shared" si="241"/>
        <v>-1201823999.0599983</v>
      </c>
      <c r="AU55" s="192">
        <f t="shared" si="241"/>
        <v>12297310257.960001</v>
      </c>
      <c r="AV55" s="192">
        <f t="shared" si="241"/>
        <v>10807073400</v>
      </c>
      <c r="AW55" s="192">
        <f t="shared" si="241"/>
        <v>0</v>
      </c>
      <c r="AX55" s="192">
        <f t="shared" si="241"/>
        <v>23104383657.959999</v>
      </c>
      <c r="AY55" s="192">
        <f t="shared" si="241"/>
        <v>21604335659</v>
      </c>
      <c r="AZ55" s="192">
        <f t="shared" si="241"/>
        <v>0</v>
      </c>
      <c r="BA55" s="192">
        <f t="shared" si="241"/>
        <v>0</v>
      </c>
      <c r="BB55" s="192">
        <f t="shared" si="241"/>
        <v>0</v>
      </c>
      <c r="BC55" s="192">
        <f t="shared" si="241"/>
        <v>0</v>
      </c>
      <c r="BD55" s="192">
        <f t="shared" si="241"/>
        <v>0</v>
      </c>
      <c r="BE55" s="192">
        <f t="shared" si="241"/>
        <v>0</v>
      </c>
      <c r="BF55" s="192">
        <f t="shared" si="241"/>
        <v>-1500047998.9599984</v>
      </c>
      <c r="BH55" s="192">
        <f t="shared" si="241"/>
        <v>12597227751.060001</v>
      </c>
      <c r="BI55" s="192">
        <f t="shared" si="241"/>
        <v>11047390000</v>
      </c>
      <c r="BJ55" s="192">
        <f t="shared" si="241"/>
        <v>0</v>
      </c>
      <c r="BK55" s="192">
        <f t="shared" si="241"/>
        <v>23644617751.059998</v>
      </c>
      <c r="BL55" s="192">
        <f t="shared" si="241"/>
        <v>21844569752</v>
      </c>
      <c r="BM55" s="192">
        <f t="shared" si="241"/>
        <v>0</v>
      </c>
      <c r="BN55" s="192">
        <f t="shared" si="241"/>
        <v>0</v>
      </c>
      <c r="BO55" s="192">
        <f t="shared" si="241"/>
        <v>0</v>
      </c>
      <c r="BP55" s="192">
        <f t="shared" si="241"/>
        <v>0</v>
      </c>
      <c r="BQ55" s="192">
        <f t="shared" si="241"/>
        <v>0</v>
      </c>
      <c r="BR55" s="192">
        <f t="shared" si="241"/>
        <v>0</v>
      </c>
      <c r="BS55" s="192">
        <f t="shared" si="241"/>
        <v>-1800047999.0599983</v>
      </c>
      <c r="BU55" s="192">
        <f t="shared" ref="BU55:EF55" si="242">SUM(BU56:BU58)</f>
        <v>12328729604.700001</v>
      </c>
      <c r="BV55" s="192">
        <f t="shared" si="242"/>
        <v>11287587000</v>
      </c>
      <c r="BW55" s="192">
        <f t="shared" si="242"/>
        <v>0</v>
      </c>
      <c r="BX55" s="192">
        <f t="shared" si="242"/>
        <v>23616316604.699997</v>
      </c>
      <c r="BY55" s="192">
        <f t="shared" si="242"/>
        <v>21816316605</v>
      </c>
      <c r="BZ55" s="192">
        <f t="shared" si="242"/>
        <v>0</v>
      </c>
      <c r="CA55" s="192">
        <f t="shared" si="242"/>
        <v>0</v>
      </c>
      <c r="CB55" s="192">
        <f t="shared" si="242"/>
        <v>0</v>
      </c>
      <c r="CC55" s="192">
        <f t="shared" si="242"/>
        <v>0</v>
      </c>
      <c r="CD55" s="192">
        <f t="shared" si="242"/>
        <v>0</v>
      </c>
      <c r="CE55" s="192">
        <f t="shared" si="242"/>
        <v>0</v>
      </c>
      <c r="CF55" s="192">
        <f t="shared" si="242"/>
        <v>-1799999999.6999998</v>
      </c>
      <c r="CH55" s="192">
        <f t="shared" si="242"/>
        <v>12327574508.1</v>
      </c>
      <c r="CI55" s="192">
        <f t="shared" si="242"/>
        <v>11527808000</v>
      </c>
      <c r="CJ55" s="192">
        <f t="shared" si="242"/>
        <v>0</v>
      </c>
      <c r="CK55" s="192">
        <f t="shared" si="242"/>
        <v>23855382508.099998</v>
      </c>
      <c r="CL55" s="192">
        <f t="shared" si="242"/>
        <v>22055382508</v>
      </c>
      <c r="CM55" s="192">
        <f t="shared" si="242"/>
        <v>0</v>
      </c>
      <c r="CN55" s="192">
        <f t="shared" si="242"/>
        <v>0</v>
      </c>
      <c r="CO55" s="192">
        <f t="shared" si="242"/>
        <v>0</v>
      </c>
      <c r="CP55" s="192">
        <f t="shared" si="242"/>
        <v>0</v>
      </c>
      <c r="CQ55" s="192">
        <f t="shared" si="242"/>
        <v>0</v>
      </c>
      <c r="CR55" s="192">
        <f t="shared" si="242"/>
        <v>0</v>
      </c>
      <c r="CS55" s="192">
        <f t="shared" si="242"/>
        <v>-1800000000.0999999</v>
      </c>
      <c r="CU55" s="192">
        <f t="shared" si="242"/>
        <v>12327574508.1</v>
      </c>
      <c r="CV55" s="192">
        <f t="shared" si="242"/>
        <v>11768191000</v>
      </c>
      <c r="CW55" s="192">
        <f t="shared" si="242"/>
        <v>0</v>
      </c>
      <c r="CX55" s="192">
        <f t="shared" si="242"/>
        <v>24095765508.099998</v>
      </c>
      <c r="CY55" s="192">
        <f t="shared" si="242"/>
        <v>22295765508</v>
      </c>
      <c r="CZ55" s="192">
        <f t="shared" si="242"/>
        <v>0</v>
      </c>
      <c r="DA55" s="192">
        <f t="shared" si="242"/>
        <v>0</v>
      </c>
      <c r="DB55" s="192">
        <f t="shared" si="242"/>
        <v>0</v>
      </c>
      <c r="DC55" s="192">
        <f t="shared" si="242"/>
        <v>0</v>
      </c>
      <c r="DD55" s="192">
        <f t="shared" si="242"/>
        <v>0</v>
      </c>
      <c r="DE55" s="192">
        <f t="shared" si="242"/>
        <v>0</v>
      </c>
      <c r="DF55" s="192">
        <f t="shared" si="242"/>
        <v>-1800000000.0999999</v>
      </c>
      <c r="DH55" s="192">
        <f t="shared" si="242"/>
        <v>12321916892.1</v>
      </c>
      <c r="DI55" s="192">
        <f t="shared" si="242"/>
        <v>12008593000</v>
      </c>
      <c r="DJ55" s="192">
        <f t="shared" si="242"/>
        <v>0</v>
      </c>
      <c r="DK55" s="192">
        <f t="shared" si="242"/>
        <v>24330509892.099998</v>
      </c>
      <c r="DL55" s="192">
        <f t="shared" si="242"/>
        <v>22530509892</v>
      </c>
      <c r="DM55" s="192">
        <f t="shared" si="242"/>
        <v>0</v>
      </c>
      <c r="DN55" s="192">
        <f t="shared" si="242"/>
        <v>0</v>
      </c>
      <c r="DO55" s="192">
        <f t="shared" si="242"/>
        <v>0</v>
      </c>
      <c r="DP55" s="192">
        <f t="shared" si="242"/>
        <v>0</v>
      </c>
      <c r="DQ55" s="192">
        <f t="shared" si="242"/>
        <v>0</v>
      </c>
      <c r="DR55" s="192">
        <f t="shared" si="242"/>
        <v>0</v>
      </c>
      <c r="DS55" s="192">
        <f t="shared" si="242"/>
        <v>-1800000000.0999999</v>
      </c>
      <c r="DU55" s="192">
        <f t="shared" si="242"/>
        <v>12327574508.1</v>
      </c>
      <c r="DV55" s="192">
        <f t="shared" si="242"/>
        <v>12009015000</v>
      </c>
      <c r="DW55" s="192">
        <f t="shared" si="242"/>
        <v>0</v>
      </c>
      <c r="DX55" s="192">
        <f t="shared" si="242"/>
        <v>24336589508.099998</v>
      </c>
      <c r="DY55" s="192">
        <f t="shared" si="242"/>
        <v>22536589508</v>
      </c>
      <c r="DZ55" s="192">
        <f t="shared" si="242"/>
        <v>0</v>
      </c>
      <c r="EA55" s="192">
        <f t="shared" si="242"/>
        <v>0</v>
      </c>
      <c r="EB55" s="192">
        <f t="shared" si="242"/>
        <v>0</v>
      </c>
      <c r="EC55" s="192">
        <f t="shared" si="242"/>
        <v>0</v>
      </c>
      <c r="ED55" s="192">
        <f t="shared" si="242"/>
        <v>0</v>
      </c>
      <c r="EE55" s="192">
        <f t="shared" si="242"/>
        <v>0</v>
      </c>
      <c r="EF55" s="192">
        <f t="shared" si="242"/>
        <v>-1800000000.0999999</v>
      </c>
      <c r="EH55" s="192">
        <f t="shared" ref="EH55:ES55" si="243">SUM(EH56:EH58)</f>
        <v>111925364092.58998</v>
      </c>
      <c r="EI55" s="192">
        <f t="shared" si="243"/>
        <v>101877340000</v>
      </c>
      <c r="EJ55" s="192">
        <f t="shared" si="243"/>
        <v>0</v>
      </c>
      <c r="EK55" s="192">
        <f t="shared" si="243"/>
        <v>213802704092.59</v>
      </c>
      <c r="EL55" s="192">
        <f t="shared" si="243"/>
        <v>200299406096</v>
      </c>
      <c r="EM55" s="192">
        <f t="shared" si="243"/>
        <v>0</v>
      </c>
      <c r="EN55" s="192">
        <f t="shared" si="243"/>
        <v>0</v>
      </c>
      <c r="EO55" s="192">
        <f t="shared" si="243"/>
        <v>0</v>
      </c>
      <c r="EP55" s="192">
        <f t="shared" si="243"/>
        <v>0</v>
      </c>
      <c r="EQ55" s="192">
        <f t="shared" si="243"/>
        <v>0</v>
      </c>
      <c r="ER55" s="192">
        <f t="shared" si="243"/>
        <v>0</v>
      </c>
      <c r="ES55" s="192">
        <f t="shared" si="243"/>
        <v>-13503297996.589994</v>
      </c>
      <c r="EU55" s="194">
        <f t="shared" si="23"/>
        <v>0</v>
      </c>
      <c r="EW55" s="194">
        <f t="shared" si="24"/>
        <v>-13503297996.589996</v>
      </c>
      <c r="EX55" s="194">
        <f t="shared" si="21"/>
        <v>0</v>
      </c>
    </row>
    <row r="56" spans="1:154" s="77" customFormat="1" x14ac:dyDescent="0.25">
      <c r="A56" s="82"/>
      <c r="B56" s="88"/>
      <c r="C56" s="100"/>
      <c r="D56" s="193">
        <f>'Incremental_Cost Year 1'!D190</f>
        <v>0</v>
      </c>
      <c r="E56" s="193">
        <f>'Incremental_Cost Year 1'!E190</f>
        <v>0</v>
      </c>
      <c r="F56" s="96">
        <f>'Incremental_Cost Year 1'!F190</f>
        <v>0</v>
      </c>
      <c r="G56" s="96">
        <f>'Incremental_Cost Year 1'!G190</f>
        <v>0</v>
      </c>
      <c r="H56" s="92">
        <f>'Incremental_Cost Year 1'!AQ190</f>
        <v>1796505240.5999999</v>
      </c>
      <c r="I56" s="92">
        <f>'Incremental_Cost Year 1'!AR190</f>
        <v>1364065000</v>
      </c>
      <c r="J56" s="92">
        <f>'Incremental_Cost Year 1'!AS190</f>
        <v>0</v>
      </c>
      <c r="K56" s="92">
        <f>'Incremental_Cost Year 1'!AT190</f>
        <v>3160570240.5999999</v>
      </c>
      <c r="L56" s="92">
        <f>'Incremental_Cost Year 1'!AU190</f>
        <v>3160570241</v>
      </c>
      <c r="M56" s="92">
        <f>'Incremental_Cost Year 1'!AV190</f>
        <v>0</v>
      </c>
      <c r="N56" s="92">
        <f>'Incremental_Cost Year 1'!AW190</f>
        <v>0</v>
      </c>
      <c r="O56" s="92">
        <f>'Incremental_Cost Year 1'!AX190</f>
        <v>0</v>
      </c>
      <c r="P56" s="92">
        <f>'Incremental_Cost Year 1'!AY190</f>
        <v>0</v>
      </c>
      <c r="Q56" s="92">
        <f>'Incremental_Cost Year 1'!AZ190</f>
        <v>0</v>
      </c>
      <c r="R56" s="92">
        <f>'Incremental_Cost Year 1'!BA190</f>
        <v>0</v>
      </c>
      <c r="S56" s="92">
        <f>'Incremental_Cost Year 1'!BB190</f>
        <v>0.40000009536743164</v>
      </c>
      <c r="T56" s="70"/>
      <c r="U56" s="92">
        <f>'Incremental_Cost Year 2'!AQ190</f>
        <v>11576863538.85</v>
      </c>
      <c r="V56" s="92">
        <f>'Incremental_Cost Year 2'!AR190</f>
        <v>9841572000</v>
      </c>
      <c r="W56" s="92">
        <f>'Incremental_Cost Year 2'!AS190</f>
        <v>0</v>
      </c>
      <c r="X56" s="92">
        <f>'Incremental_Cost Year 2'!AT190</f>
        <v>21418435538.849998</v>
      </c>
      <c r="Y56" s="92">
        <f>'Incremental_Cost Year 2'!AU190</f>
        <v>21417105539</v>
      </c>
      <c r="Z56" s="92">
        <f>'Incremental_Cost Year 2'!AV190</f>
        <v>0</v>
      </c>
      <c r="AA56" s="92">
        <f>'Incremental_Cost Year 2'!AW190</f>
        <v>0</v>
      </c>
      <c r="AB56" s="92">
        <f>'Incremental_Cost Year 2'!AX190</f>
        <v>0</v>
      </c>
      <c r="AC56" s="92">
        <f>'Incremental_Cost Year 2'!AY190</f>
        <v>0</v>
      </c>
      <c r="AD56" s="92">
        <f>'Incremental_Cost Year 2'!AZ190</f>
        <v>0</v>
      </c>
      <c r="AE56" s="92">
        <f>'Incremental_Cost Year 2'!BA190</f>
        <v>0</v>
      </c>
      <c r="AF56" s="92">
        <f>'Incremental_Cost Year 2'!BB190</f>
        <v>-1329999.8499984741</v>
      </c>
      <c r="AG56" s="70"/>
      <c r="AH56" s="92">
        <f>'Incremental_Cost Year 3'!AQ190</f>
        <v>11976061195.200001</v>
      </c>
      <c r="AI56" s="92">
        <f>'Incremental_Cost Year 3'!AR190</f>
        <v>10202055600</v>
      </c>
      <c r="AJ56" s="92">
        <f>'Incremental_Cost Year 3'!AS190</f>
        <v>0</v>
      </c>
      <c r="AK56" s="92">
        <f>'Incremental_Cost Year 3'!AT190</f>
        <v>22178116795.199997</v>
      </c>
      <c r="AL56" s="92">
        <f>'Incremental_Cost Year 3'!AU190</f>
        <v>20976340796</v>
      </c>
      <c r="AM56" s="92">
        <f>'Incremental_Cost Year 3'!AV190</f>
        <v>0</v>
      </c>
      <c r="AN56" s="92">
        <f>'Incremental_Cost Year 3'!AW190</f>
        <v>0</v>
      </c>
      <c r="AO56" s="92">
        <f>'Incremental_Cost Year 3'!AX190</f>
        <v>0</v>
      </c>
      <c r="AP56" s="92">
        <f>'Incremental_Cost Year 3'!AY190</f>
        <v>0</v>
      </c>
      <c r="AQ56" s="92">
        <f>'Incremental_Cost Year 3'!AZ190</f>
        <v>0</v>
      </c>
      <c r="AR56" s="92">
        <f>'Incremental_Cost Year 3'!BA190</f>
        <v>0</v>
      </c>
      <c r="AS56" s="92">
        <f>'Incremental_Cost Year 3'!BB190</f>
        <v>-1201775999.1999984</v>
      </c>
      <c r="AT56" s="70"/>
      <c r="AU56" s="92">
        <f>'Incremental_Cost Year 4'!AQ190</f>
        <v>12275318633.1</v>
      </c>
      <c r="AV56" s="92">
        <f>'Incremental_Cost Year 4'!AR190</f>
        <v>10800158400</v>
      </c>
      <c r="AW56" s="92">
        <f>'Incremental_Cost Year 4'!AS190</f>
        <v>0</v>
      </c>
      <c r="AX56" s="92">
        <f>'Incremental_Cost Year 4'!AT190</f>
        <v>23075477033.099998</v>
      </c>
      <c r="AY56" s="92">
        <f>'Incremental_Cost Year 4'!AU190</f>
        <v>21575477034</v>
      </c>
      <c r="AZ56" s="92">
        <f>'Incremental_Cost Year 4'!AV190</f>
        <v>0</v>
      </c>
      <c r="BA56" s="92">
        <f>'Incremental_Cost Year 4'!AW190</f>
        <v>0</v>
      </c>
      <c r="BB56" s="92">
        <f>'Incremental_Cost Year 4'!AX190</f>
        <v>0</v>
      </c>
      <c r="BC56" s="92">
        <f>'Incremental_Cost Year 4'!AY190</f>
        <v>0</v>
      </c>
      <c r="BD56" s="92">
        <f>'Incremental_Cost Year 4'!AZ190</f>
        <v>0</v>
      </c>
      <c r="BE56" s="92">
        <f>'Incremental_Cost Year 4'!BA190</f>
        <v>0</v>
      </c>
      <c r="BF56" s="92">
        <f>'Incremental_Cost Year 4'!BB190</f>
        <v>-1499999999.0999985</v>
      </c>
      <c r="BG56" s="70"/>
      <c r="BH56" s="92">
        <f>'Incremental_Cost Year 5'!AQ190</f>
        <v>12575236126.200001</v>
      </c>
      <c r="BI56" s="92">
        <f>'Incremental_Cost Year 5'!AR190</f>
        <v>11040144000</v>
      </c>
      <c r="BJ56" s="92">
        <f>'Incremental_Cost Year 5'!AS190</f>
        <v>0</v>
      </c>
      <c r="BK56" s="92">
        <f>'Incremental_Cost Year 5'!AT190</f>
        <v>23615380126.199997</v>
      </c>
      <c r="BL56" s="92">
        <f>'Incremental_Cost Year 5'!AU190</f>
        <v>21815380127</v>
      </c>
      <c r="BM56" s="92">
        <f>'Incremental_Cost Year 5'!AV190</f>
        <v>0</v>
      </c>
      <c r="BN56" s="92">
        <f>'Incremental_Cost Year 5'!AW190</f>
        <v>0</v>
      </c>
      <c r="BO56" s="92">
        <f>'Incremental_Cost Year 5'!AX190</f>
        <v>0</v>
      </c>
      <c r="BP56" s="92">
        <f>'Incremental_Cost Year 5'!AY190</f>
        <v>0</v>
      </c>
      <c r="BQ56" s="92">
        <f>'Incremental_Cost Year 5'!AZ190</f>
        <v>0</v>
      </c>
      <c r="BR56" s="92">
        <f>'Incremental_Cost Year 5'!BA190</f>
        <v>0</v>
      </c>
      <c r="BS56" s="92">
        <f>'Incremental_Cost Year 5'!BB190</f>
        <v>-1799999999.1999984</v>
      </c>
      <c r="BT56" s="70"/>
      <c r="BU56" s="92">
        <f>'Incremental_Cost Year 6'!AQ190</f>
        <v>12306770982.6</v>
      </c>
      <c r="BV56" s="92">
        <f>'Incremental_Cost Year 6'!AR190</f>
        <v>11280144000</v>
      </c>
      <c r="BW56" s="92">
        <f>'Incremental_Cost Year 6'!AS190</f>
        <v>0</v>
      </c>
      <c r="BX56" s="92">
        <f>'Incremental_Cost Year 6'!AT190</f>
        <v>23586914982.599998</v>
      </c>
      <c r="BY56" s="92">
        <f>'Incremental_Cost Year 6'!AU190</f>
        <v>21786914983</v>
      </c>
      <c r="BZ56" s="92">
        <f>'Incremental_Cost Year 6'!AV190</f>
        <v>0</v>
      </c>
      <c r="CA56" s="92">
        <f>'Incremental_Cost Year 6'!AW190</f>
        <v>0</v>
      </c>
      <c r="CB56" s="92">
        <f>'Incremental_Cost Year 6'!AX190</f>
        <v>0</v>
      </c>
      <c r="CC56" s="92">
        <f>'Incremental_Cost Year 6'!AY190</f>
        <v>0</v>
      </c>
      <c r="CD56" s="92">
        <f>'Incremental_Cost Year 6'!AZ190</f>
        <v>0</v>
      </c>
      <c r="CE56" s="92">
        <f>'Incremental_Cost Year 6'!BA190</f>
        <v>0</v>
      </c>
      <c r="CF56" s="92">
        <f>'Incremental_Cost Year 6'!BB190</f>
        <v>-1799999999.5999999</v>
      </c>
      <c r="CG56" s="70"/>
      <c r="CH56" s="92">
        <f>'Incremental_Cost Year 7'!AQ190</f>
        <v>12305615886</v>
      </c>
      <c r="CI56" s="92">
        <f>'Incremental_Cost Year 7'!AR190</f>
        <v>11520000000</v>
      </c>
      <c r="CJ56" s="92">
        <f>'Incremental_Cost Year 7'!AS190</f>
        <v>0</v>
      </c>
      <c r="CK56" s="92">
        <f>'Incremental_Cost Year 7'!AT190</f>
        <v>23825615886</v>
      </c>
      <c r="CL56" s="92">
        <f>'Incremental_Cost Year 7'!AU190</f>
        <v>22025615886</v>
      </c>
      <c r="CM56" s="92">
        <f>'Incremental_Cost Year 7'!AV190</f>
        <v>0</v>
      </c>
      <c r="CN56" s="92">
        <f>'Incremental_Cost Year 7'!AW190</f>
        <v>0</v>
      </c>
      <c r="CO56" s="92">
        <f>'Incremental_Cost Year 7'!AX190</f>
        <v>0</v>
      </c>
      <c r="CP56" s="92">
        <f>'Incremental_Cost Year 7'!AY190</f>
        <v>0</v>
      </c>
      <c r="CQ56" s="92">
        <f>'Incremental_Cost Year 7'!AZ190</f>
        <v>0</v>
      </c>
      <c r="CR56" s="92">
        <f>'Incremental_Cost Year 7'!BA190</f>
        <v>0</v>
      </c>
      <c r="CS56" s="92">
        <f>'Incremental_Cost Year 7'!BB190</f>
        <v>-1800000000</v>
      </c>
      <c r="CT56" s="70"/>
      <c r="CU56" s="92">
        <f>'Incremental_Cost Year 8'!AQ190</f>
        <v>12305615886</v>
      </c>
      <c r="CV56" s="92">
        <f>'Incremental_Cost Year 8'!AR190</f>
        <v>11760000000</v>
      </c>
      <c r="CW56" s="92">
        <f>'Incremental_Cost Year 8'!AS190</f>
        <v>0</v>
      </c>
      <c r="CX56" s="92">
        <f>'Incremental_Cost Year 8'!AT190</f>
        <v>24065615886</v>
      </c>
      <c r="CY56" s="92">
        <f>'Incremental_Cost Year 8'!AU190</f>
        <v>22265615886</v>
      </c>
      <c r="CZ56" s="92">
        <f>'Incremental_Cost Year 8'!AV190</f>
        <v>0</v>
      </c>
      <c r="DA56" s="92">
        <f>'Incremental_Cost Year 8'!AW190</f>
        <v>0</v>
      </c>
      <c r="DB56" s="92">
        <f>'Incremental_Cost Year 8'!AX190</f>
        <v>0</v>
      </c>
      <c r="DC56" s="92">
        <f>'Incremental_Cost Year 8'!AY190</f>
        <v>0</v>
      </c>
      <c r="DD56" s="92">
        <f>'Incremental_Cost Year 8'!AZ190</f>
        <v>0</v>
      </c>
      <c r="DE56" s="92">
        <f>'Incremental_Cost Year 8'!BA190</f>
        <v>0</v>
      </c>
      <c r="DF56" s="92">
        <f>'Incremental_Cost Year 8'!BB190</f>
        <v>-1800000000</v>
      </c>
      <c r="DG56" s="70"/>
      <c r="DH56" s="92">
        <f>'Incremental_Cost Year 9'!AQ190</f>
        <v>12305615886</v>
      </c>
      <c r="DI56" s="92">
        <f>'Incremental_Cost Year 9'!AR190</f>
        <v>12000000000</v>
      </c>
      <c r="DJ56" s="92">
        <f>'Incremental_Cost Year 9'!AS190</f>
        <v>0</v>
      </c>
      <c r="DK56" s="92">
        <f>'Incremental_Cost Year 9'!AT190</f>
        <v>24305615886</v>
      </c>
      <c r="DL56" s="92">
        <f>'Incremental_Cost Year 9'!AU190</f>
        <v>22505615886</v>
      </c>
      <c r="DM56" s="92">
        <f>'Incremental_Cost Year 9'!AV190</f>
        <v>0</v>
      </c>
      <c r="DN56" s="92">
        <f>'Incremental_Cost Year 9'!AW190</f>
        <v>0</v>
      </c>
      <c r="DO56" s="92">
        <f>'Incremental_Cost Year 9'!AX190</f>
        <v>0</v>
      </c>
      <c r="DP56" s="92">
        <f>'Incremental_Cost Year 9'!AY190</f>
        <v>0</v>
      </c>
      <c r="DQ56" s="92">
        <f>'Incremental_Cost Year 9'!AZ190</f>
        <v>0</v>
      </c>
      <c r="DR56" s="92">
        <f>'Incremental_Cost Year 9'!BA190</f>
        <v>0</v>
      </c>
      <c r="DS56" s="92">
        <f>'Incremental_Cost Year 9'!BB190</f>
        <v>-1800000000</v>
      </c>
      <c r="DT56" s="70"/>
      <c r="DU56" s="92">
        <f>'Incremental_Cost Year 10'!AQ190</f>
        <v>12305615886</v>
      </c>
      <c r="DV56" s="92">
        <f>'Incremental_Cost Year 10'!AR190</f>
        <v>12000000000</v>
      </c>
      <c r="DW56" s="92">
        <f>'Incremental_Cost Year 10'!AS190</f>
        <v>0</v>
      </c>
      <c r="DX56" s="92">
        <f>'Incremental_Cost Year 10'!AT190</f>
        <v>24305615886</v>
      </c>
      <c r="DY56" s="92">
        <f>'Incremental_Cost Year 10'!AU190</f>
        <v>22505615886</v>
      </c>
      <c r="DZ56" s="92">
        <f>'Incremental_Cost Year 10'!AV190</f>
        <v>0</v>
      </c>
      <c r="EA56" s="92">
        <f>'Incremental_Cost Year 10'!AW190</f>
        <v>0</v>
      </c>
      <c r="EB56" s="92">
        <f>'Incremental_Cost Year 10'!AX190</f>
        <v>0</v>
      </c>
      <c r="EC56" s="92">
        <f>'Incremental_Cost Year 10'!AY190</f>
        <v>0</v>
      </c>
      <c r="ED56" s="92">
        <f>'Incremental_Cost Year 10'!AZ190</f>
        <v>0</v>
      </c>
      <c r="EE56" s="92">
        <f>'Incremental_Cost Year 10'!BA190</f>
        <v>0</v>
      </c>
      <c r="EF56" s="92">
        <f>'Incremental_Cost Year 10'!BB190</f>
        <v>-1800000000</v>
      </c>
      <c r="EG56" s="70"/>
      <c r="EH56" s="92">
        <f t="shared" ref="EH56:ES57" si="244">H56+U56+AH56+AU56+BH56+BU56+CH56+CU56+DH56+DU56</f>
        <v>111729219260.54999</v>
      </c>
      <c r="EI56" s="92">
        <f t="shared" si="244"/>
        <v>101808139000</v>
      </c>
      <c r="EJ56" s="92">
        <f t="shared" si="244"/>
        <v>0</v>
      </c>
      <c r="EK56" s="92">
        <f t="shared" si="244"/>
        <v>213537358260.54999</v>
      </c>
      <c r="EL56" s="92">
        <f t="shared" si="244"/>
        <v>200034252264</v>
      </c>
      <c r="EM56" s="92">
        <f t="shared" si="244"/>
        <v>0</v>
      </c>
      <c r="EN56" s="92">
        <f t="shared" si="244"/>
        <v>0</v>
      </c>
      <c r="EO56" s="92">
        <f t="shared" si="244"/>
        <v>0</v>
      </c>
      <c r="EP56" s="92">
        <f t="shared" si="244"/>
        <v>0</v>
      </c>
      <c r="EQ56" s="92">
        <f t="shared" si="244"/>
        <v>0</v>
      </c>
      <c r="ER56" s="92">
        <f t="shared" si="244"/>
        <v>0</v>
      </c>
      <c r="ES56" s="92">
        <f t="shared" si="244"/>
        <v>-13503105996.549994</v>
      </c>
      <c r="EU56" s="194">
        <f t="shared" si="23"/>
        <v>0</v>
      </c>
      <c r="EW56" s="194">
        <f t="shared" si="24"/>
        <v>-13503105996.549988</v>
      </c>
      <c r="EX56" s="194">
        <f t="shared" si="21"/>
        <v>0</v>
      </c>
    </row>
    <row r="57" spans="1:154" s="77" customFormat="1" x14ac:dyDescent="0.25">
      <c r="A57" s="82"/>
      <c r="B57" s="88"/>
      <c r="C57" s="100"/>
      <c r="D57" s="193">
        <f>'Incremental_Cost Year 1'!D193</f>
        <v>0</v>
      </c>
      <c r="E57" s="193">
        <f>'Incremental_Cost Year 1'!E193</f>
        <v>0</v>
      </c>
      <c r="F57" s="96">
        <f>'Incremental_Cost Year 1'!F193</f>
        <v>0</v>
      </c>
      <c r="G57" s="96">
        <f>'Incremental_Cost Year 1'!G193</f>
        <v>0</v>
      </c>
      <c r="H57" s="92">
        <f>'Incremental_Cost Year 1'!AQ193</f>
        <v>3300276</v>
      </c>
      <c r="I57" s="92">
        <f>'Incremental_Cost Year 1'!AR193</f>
        <v>1000000</v>
      </c>
      <c r="J57" s="92">
        <f>'Incremental_Cost Year 1'!AS193</f>
        <v>0</v>
      </c>
      <c r="K57" s="92">
        <f>'Incremental_Cost Year 1'!AT193</f>
        <v>4300276</v>
      </c>
      <c r="L57" s="92">
        <f>'Incremental_Cost Year 1'!AU193</f>
        <v>4300276</v>
      </c>
      <c r="M57" s="92">
        <f>'Incremental_Cost Year 1'!AV193</f>
        <v>0</v>
      </c>
      <c r="N57" s="92">
        <f>'Incremental_Cost Year 1'!AW193</f>
        <v>0</v>
      </c>
      <c r="O57" s="92">
        <f>'Incremental_Cost Year 1'!AX193</f>
        <v>0</v>
      </c>
      <c r="P57" s="92">
        <f>'Incremental_Cost Year 1'!AY193</f>
        <v>0</v>
      </c>
      <c r="Q57" s="92">
        <f>'Incremental_Cost Year 1'!AZ193</f>
        <v>0</v>
      </c>
      <c r="R57" s="92">
        <f>'Incremental_Cost Year 1'!BA193</f>
        <v>0</v>
      </c>
      <c r="S57" s="92">
        <f>'Incremental_Cost Year 1'!BB193</f>
        <v>0</v>
      </c>
      <c r="T57" s="70"/>
      <c r="U57" s="92">
        <f>'Incremental_Cost Year 2'!AQ193</f>
        <v>21216060</v>
      </c>
      <c r="V57" s="92">
        <f>'Incremental_Cost Year 2'!AR193</f>
        <v>6060000</v>
      </c>
      <c r="W57" s="92">
        <f>'Incremental_Cost Year 2'!AS193</f>
        <v>0</v>
      </c>
      <c r="X57" s="92">
        <f>'Incremental_Cost Year 2'!AT193</f>
        <v>27276060</v>
      </c>
      <c r="Y57" s="92">
        <f>'Incremental_Cost Year 2'!AU193</f>
        <v>27276060</v>
      </c>
      <c r="Z57" s="92">
        <f>'Incremental_Cost Year 2'!AV193</f>
        <v>0</v>
      </c>
      <c r="AA57" s="92">
        <f>'Incremental_Cost Year 2'!AW193</f>
        <v>0</v>
      </c>
      <c r="AB57" s="92">
        <f>'Incremental_Cost Year 2'!AX193</f>
        <v>0</v>
      </c>
      <c r="AC57" s="92">
        <f>'Incremental_Cost Year 2'!AY193</f>
        <v>0</v>
      </c>
      <c r="AD57" s="92">
        <f>'Incremental_Cost Year 2'!AZ193</f>
        <v>0</v>
      </c>
      <c r="AE57" s="92">
        <f>'Incremental_Cost Year 2'!BA193</f>
        <v>0</v>
      </c>
      <c r="AF57" s="92">
        <f>'Incremental_Cost Year 2'!BB193</f>
        <v>0</v>
      </c>
      <c r="AG57" s="70"/>
      <c r="AH57" s="92">
        <f>'Incremental_Cost Year 3'!AQ193</f>
        <v>21216060</v>
      </c>
      <c r="AI57" s="92">
        <f>'Incremental_Cost Year 3'!AR193</f>
        <v>6360000</v>
      </c>
      <c r="AJ57" s="92">
        <f>'Incremental_Cost Year 3'!AS193</f>
        <v>0</v>
      </c>
      <c r="AK57" s="92">
        <f>'Incremental_Cost Year 3'!AT193</f>
        <v>27576060</v>
      </c>
      <c r="AL57" s="92">
        <f>'Incremental_Cost Year 3'!AU193</f>
        <v>27576060</v>
      </c>
      <c r="AM57" s="92">
        <f>'Incremental_Cost Year 3'!AV193</f>
        <v>0</v>
      </c>
      <c r="AN57" s="92">
        <f>'Incremental_Cost Year 3'!AW193</f>
        <v>0</v>
      </c>
      <c r="AO57" s="92">
        <f>'Incremental_Cost Year 3'!AX193</f>
        <v>0</v>
      </c>
      <c r="AP57" s="92">
        <f>'Incremental_Cost Year 3'!AY193</f>
        <v>0</v>
      </c>
      <c r="AQ57" s="92">
        <f>'Incremental_Cost Year 3'!AZ193</f>
        <v>0</v>
      </c>
      <c r="AR57" s="92">
        <f>'Incremental_Cost Year 3'!BA193</f>
        <v>0</v>
      </c>
      <c r="AS57" s="92">
        <f>'Incremental_Cost Year 3'!BB193</f>
        <v>0</v>
      </c>
      <c r="AT57" s="70"/>
      <c r="AU57" s="92">
        <f>'Incremental_Cost Year 4'!AQ193</f>
        <v>21216060</v>
      </c>
      <c r="AV57" s="92">
        <f>'Incremental_Cost Year 4'!AR193</f>
        <v>6675000</v>
      </c>
      <c r="AW57" s="92">
        <f>'Incremental_Cost Year 4'!AS193</f>
        <v>0</v>
      </c>
      <c r="AX57" s="92">
        <f>'Incremental_Cost Year 4'!AT193</f>
        <v>27891060</v>
      </c>
      <c r="AY57" s="92">
        <f>'Incremental_Cost Year 4'!AU193</f>
        <v>27891060</v>
      </c>
      <c r="AZ57" s="92">
        <f>'Incremental_Cost Year 4'!AV193</f>
        <v>0</v>
      </c>
      <c r="BA57" s="92">
        <f>'Incremental_Cost Year 4'!AW193</f>
        <v>0</v>
      </c>
      <c r="BB57" s="92">
        <f>'Incremental_Cost Year 4'!AX193</f>
        <v>0</v>
      </c>
      <c r="BC57" s="92">
        <f>'Incremental_Cost Year 4'!AY193</f>
        <v>0</v>
      </c>
      <c r="BD57" s="92">
        <f>'Incremental_Cost Year 4'!AZ193</f>
        <v>0</v>
      </c>
      <c r="BE57" s="92">
        <f>'Incremental_Cost Year 4'!BA193</f>
        <v>0</v>
      </c>
      <c r="BF57" s="92">
        <f>'Incremental_Cost Year 4'!BB193</f>
        <v>0</v>
      </c>
      <c r="BG57" s="70"/>
      <c r="BH57" s="92">
        <f>'Incremental_Cost Year 5'!AQ193</f>
        <v>21216060</v>
      </c>
      <c r="BI57" s="92">
        <f>'Incremental_Cost Year 5'!AR193</f>
        <v>7006000</v>
      </c>
      <c r="BJ57" s="92">
        <f>'Incremental_Cost Year 5'!AS193</f>
        <v>0</v>
      </c>
      <c r="BK57" s="92">
        <f>'Incremental_Cost Year 5'!AT193</f>
        <v>28222060</v>
      </c>
      <c r="BL57" s="92">
        <f>'Incremental_Cost Year 5'!AU193</f>
        <v>28222060</v>
      </c>
      <c r="BM57" s="92">
        <f>'Incremental_Cost Year 5'!AV193</f>
        <v>0</v>
      </c>
      <c r="BN57" s="92">
        <f>'Incremental_Cost Year 5'!AW193</f>
        <v>0</v>
      </c>
      <c r="BO57" s="92">
        <f>'Incremental_Cost Year 5'!AX193</f>
        <v>0</v>
      </c>
      <c r="BP57" s="92">
        <f>'Incremental_Cost Year 5'!AY193</f>
        <v>0</v>
      </c>
      <c r="BQ57" s="92">
        <f>'Incremental_Cost Year 5'!AZ193</f>
        <v>0</v>
      </c>
      <c r="BR57" s="92">
        <f>'Incremental_Cost Year 5'!BA193</f>
        <v>0</v>
      </c>
      <c r="BS57" s="92">
        <f>'Incremental_Cost Year 5'!BB193</f>
        <v>0</v>
      </c>
      <c r="BT57" s="70"/>
      <c r="BU57" s="92">
        <f>'Incremental_Cost Year 6'!AQ193</f>
        <v>21216060</v>
      </c>
      <c r="BV57" s="92">
        <f>'Incremental_Cost Year 6'!AR193</f>
        <v>7353000</v>
      </c>
      <c r="BW57" s="92">
        <f>'Incremental_Cost Year 6'!AS193</f>
        <v>0</v>
      </c>
      <c r="BX57" s="92">
        <f>'Incremental_Cost Year 6'!AT193</f>
        <v>28569060</v>
      </c>
      <c r="BY57" s="92">
        <f>'Incremental_Cost Year 6'!AU193</f>
        <v>28569060</v>
      </c>
      <c r="BZ57" s="92">
        <f>'Incremental_Cost Year 6'!AV193</f>
        <v>0</v>
      </c>
      <c r="CA57" s="92">
        <f>'Incremental_Cost Year 6'!AW193</f>
        <v>0</v>
      </c>
      <c r="CB57" s="92">
        <f>'Incremental_Cost Year 6'!AX193</f>
        <v>0</v>
      </c>
      <c r="CC57" s="92">
        <f>'Incremental_Cost Year 6'!AY193</f>
        <v>0</v>
      </c>
      <c r="CD57" s="92">
        <f>'Incremental_Cost Year 6'!AZ193</f>
        <v>0</v>
      </c>
      <c r="CE57" s="92">
        <f>'Incremental_Cost Year 6'!BA193</f>
        <v>0</v>
      </c>
      <c r="CF57" s="92">
        <f>'Incremental_Cost Year 6'!BB193</f>
        <v>0</v>
      </c>
      <c r="CG57" s="70"/>
      <c r="CH57" s="92">
        <f>'Incremental_Cost Year 7'!AQ193</f>
        <v>21216060</v>
      </c>
      <c r="CI57" s="92">
        <f>'Incremental_Cost Year 7'!AR193</f>
        <v>7718000</v>
      </c>
      <c r="CJ57" s="92">
        <f>'Incremental_Cost Year 7'!AS193</f>
        <v>0</v>
      </c>
      <c r="CK57" s="92">
        <f>'Incremental_Cost Year 7'!AT193</f>
        <v>28934060</v>
      </c>
      <c r="CL57" s="92">
        <f>'Incremental_Cost Year 7'!AU193</f>
        <v>28934060</v>
      </c>
      <c r="CM57" s="92">
        <f>'Incremental_Cost Year 7'!AV193</f>
        <v>0</v>
      </c>
      <c r="CN57" s="92">
        <f>'Incremental_Cost Year 7'!AW193</f>
        <v>0</v>
      </c>
      <c r="CO57" s="92">
        <f>'Incremental_Cost Year 7'!AX193</f>
        <v>0</v>
      </c>
      <c r="CP57" s="92">
        <f>'Incremental_Cost Year 7'!AY193</f>
        <v>0</v>
      </c>
      <c r="CQ57" s="92">
        <f>'Incremental_Cost Year 7'!AZ193</f>
        <v>0</v>
      </c>
      <c r="CR57" s="92">
        <f>'Incremental_Cost Year 7'!BA193</f>
        <v>0</v>
      </c>
      <c r="CS57" s="92">
        <f>'Incremental_Cost Year 7'!BB193</f>
        <v>0</v>
      </c>
      <c r="CT57" s="70"/>
      <c r="CU57" s="92">
        <f>'Incremental_Cost Year 8'!AQ193</f>
        <v>21216060</v>
      </c>
      <c r="CV57" s="92">
        <f>'Incremental_Cost Year 8'!AR193</f>
        <v>8101000</v>
      </c>
      <c r="CW57" s="92">
        <f>'Incremental_Cost Year 8'!AS193</f>
        <v>0</v>
      </c>
      <c r="CX57" s="92">
        <f>'Incremental_Cost Year 8'!AT193</f>
        <v>29317060</v>
      </c>
      <c r="CY57" s="92">
        <f>'Incremental_Cost Year 8'!AU193</f>
        <v>29317060</v>
      </c>
      <c r="CZ57" s="92">
        <f>'Incremental_Cost Year 8'!AV193</f>
        <v>0</v>
      </c>
      <c r="DA57" s="92">
        <f>'Incremental_Cost Year 8'!AW193</f>
        <v>0</v>
      </c>
      <c r="DB57" s="92">
        <f>'Incremental_Cost Year 8'!AX193</f>
        <v>0</v>
      </c>
      <c r="DC57" s="92">
        <f>'Incremental_Cost Year 8'!AY193</f>
        <v>0</v>
      </c>
      <c r="DD57" s="92">
        <f>'Incremental_Cost Year 8'!AZ193</f>
        <v>0</v>
      </c>
      <c r="DE57" s="92">
        <f>'Incremental_Cost Year 8'!BA193</f>
        <v>0</v>
      </c>
      <c r="DF57" s="92">
        <f>'Incremental_Cost Year 8'!BB193</f>
        <v>0</v>
      </c>
      <c r="DG57" s="70"/>
      <c r="DH57" s="92">
        <f>'Incremental_Cost Year 9'!AQ193</f>
        <v>15558444</v>
      </c>
      <c r="DI57" s="92">
        <f>'Incremental_Cost Year 9'!AR193</f>
        <v>8503000</v>
      </c>
      <c r="DJ57" s="92">
        <f>'Incremental_Cost Year 9'!AS193</f>
        <v>0</v>
      </c>
      <c r="DK57" s="92">
        <f>'Incremental_Cost Year 9'!AT193</f>
        <v>24061444</v>
      </c>
      <c r="DL57" s="92">
        <f>'Incremental_Cost Year 9'!AU193</f>
        <v>24061444</v>
      </c>
      <c r="DM57" s="92">
        <f>'Incremental_Cost Year 9'!AV193</f>
        <v>0</v>
      </c>
      <c r="DN57" s="92">
        <f>'Incremental_Cost Year 9'!AW193</f>
        <v>0</v>
      </c>
      <c r="DO57" s="92">
        <f>'Incremental_Cost Year 9'!AX193</f>
        <v>0</v>
      </c>
      <c r="DP57" s="92">
        <f>'Incremental_Cost Year 9'!AY193</f>
        <v>0</v>
      </c>
      <c r="DQ57" s="92">
        <f>'Incremental_Cost Year 9'!AZ193</f>
        <v>0</v>
      </c>
      <c r="DR57" s="92">
        <f>'Incremental_Cost Year 9'!BA193</f>
        <v>0</v>
      </c>
      <c r="DS57" s="92">
        <f>'Incremental_Cost Year 9'!BB193</f>
        <v>0</v>
      </c>
      <c r="DT57" s="70"/>
      <c r="DU57" s="92">
        <f>'Incremental_Cost Year 10'!AQ193</f>
        <v>21216060</v>
      </c>
      <c r="DV57" s="92">
        <f>'Incremental_Cost Year 10'!AR193</f>
        <v>8925000</v>
      </c>
      <c r="DW57" s="92">
        <f>'Incremental_Cost Year 10'!AS193</f>
        <v>0</v>
      </c>
      <c r="DX57" s="92">
        <f>'Incremental_Cost Year 10'!AT193</f>
        <v>30141060</v>
      </c>
      <c r="DY57" s="92">
        <f>'Incremental_Cost Year 10'!AU193</f>
        <v>30141060</v>
      </c>
      <c r="DZ57" s="92">
        <f>'Incremental_Cost Year 10'!AV193</f>
        <v>0</v>
      </c>
      <c r="EA57" s="92">
        <f>'Incremental_Cost Year 10'!AW193</f>
        <v>0</v>
      </c>
      <c r="EB57" s="92">
        <f>'Incremental_Cost Year 10'!AX193</f>
        <v>0</v>
      </c>
      <c r="EC57" s="92">
        <f>'Incremental_Cost Year 10'!AY193</f>
        <v>0</v>
      </c>
      <c r="ED57" s="92">
        <f>'Incremental_Cost Year 10'!AZ193</f>
        <v>0</v>
      </c>
      <c r="EE57" s="92">
        <f>'Incremental_Cost Year 10'!BA193</f>
        <v>0</v>
      </c>
      <c r="EF57" s="92">
        <f>'Incremental_Cost Year 10'!BB193</f>
        <v>0</v>
      </c>
      <c r="EG57" s="70"/>
      <c r="EH57" s="92">
        <f t="shared" si="244"/>
        <v>188587200</v>
      </c>
      <c r="EI57" s="92">
        <f t="shared" si="244"/>
        <v>67701000</v>
      </c>
      <c r="EJ57" s="92">
        <f t="shared" si="244"/>
        <v>0</v>
      </c>
      <c r="EK57" s="92">
        <f t="shared" si="244"/>
        <v>256288200</v>
      </c>
      <c r="EL57" s="92">
        <f t="shared" si="244"/>
        <v>256288200</v>
      </c>
      <c r="EM57" s="92">
        <f t="shared" si="244"/>
        <v>0</v>
      </c>
      <c r="EN57" s="92">
        <f t="shared" si="244"/>
        <v>0</v>
      </c>
      <c r="EO57" s="92">
        <f t="shared" si="244"/>
        <v>0</v>
      </c>
      <c r="EP57" s="92">
        <f t="shared" si="244"/>
        <v>0</v>
      </c>
      <c r="EQ57" s="92">
        <f t="shared" si="244"/>
        <v>0</v>
      </c>
      <c r="ER57" s="92">
        <f t="shared" si="244"/>
        <v>0</v>
      </c>
      <c r="ES57" s="92">
        <f t="shared" si="244"/>
        <v>0</v>
      </c>
      <c r="EU57" s="194">
        <f t="shared" si="23"/>
        <v>0</v>
      </c>
      <c r="EW57" s="194">
        <f t="shared" si="24"/>
        <v>0</v>
      </c>
      <c r="EX57" s="194">
        <f t="shared" si="21"/>
        <v>0</v>
      </c>
    </row>
    <row r="58" spans="1:154" ht="38.25" x14ac:dyDescent="0.25">
      <c r="B58" s="43"/>
      <c r="C58" s="68"/>
      <c r="D58" s="193" t="str">
        <f>'Incremental_Cost Year 1'!D196</f>
        <v>01110 Planifikimi, Menaxhimi dhe Administrimi</v>
      </c>
      <c r="E58" s="193" t="str">
        <f>'Incremental_Cost Year 1'!E196</f>
        <v xml:space="preserve">3.3.3. Zhvillimi dhe zbatimi i programeve dhe instrumentave për mbledhjen e të dhënave vjetore mbi burimet njerëzore në shëndetësi </v>
      </c>
      <c r="F58" s="96">
        <f>'Incremental_Cost Year 1'!F196</f>
        <v>2021</v>
      </c>
      <c r="G58" s="96">
        <f>'Incremental_Cost Year 1'!G196</f>
        <v>2030</v>
      </c>
      <c r="H58" s="52">
        <f>'Incremental_Cost Year 1'!AQ196</f>
        <v>742562.1</v>
      </c>
      <c r="I58" s="92">
        <f>'Incremental_Cost Year 1'!AR196</f>
        <v>90000</v>
      </c>
      <c r="J58" s="92">
        <f>'Incremental_Cost Year 1'!AS196</f>
        <v>0</v>
      </c>
      <c r="K58" s="92">
        <f>'Incremental_Cost Year 1'!AT196</f>
        <v>832562.1</v>
      </c>
      <c r="L58" s="92">
        <f>'Incremental_Cost Year 1'!AU196</f>
        <v>832562</v>
      </c>
      <c r="M58" s="92">
        <f>'Incremental_Cost Year 1'!AV196</f>
        <v>0</v>
      </c>
      <c r="N58" s="92">
        <f>'Incremental_Cost Year 1'!AW196</f>
        <v>0</v>
      </c>
      <c r="O58" s="92">
        <f>'Incremental_Cost Year 1'!AX196</f>
        <v>0</v>
      </c>
      <c r="P58" s="92">
        <f>'Incremental_Cost Year 1'!AY196</f>
        <v>0</v>
      </c>
      <c r="Q58" s="92">
        <f>'Incremental_Cost Year 1'!AZ196</f>
        <v>0</v>
      </c>
      <c r="R58" s="92">
        <f>'Incremental_Cost Year 1'!BA196</f>
        <v>0</v>
      </c>
      <c r="S58" s="92">
        <f>'Incremental_Cost Year 1'!BB196</f>
        <v>-9.9999999976716936E-2</v>
      </c>
      <c r="U58" s="92">
        <f>'Incremental_Cost Year 2'!AQ196</f>
        <v>775564.86</v>
      </c>
      <c r="V58" s="92">
        <f>'Incremental_Cost Year 2'!AR196</f>
        <v>240000</v>
      </c>
      <c r="W58" s="92">
        <f>'Incremental_Cost Year 2'!AS196</f>
        <v>0</v>
      </c>
      <c r="X58" s="92">
        <f>'Incremental_Cost Year 2'!AT196</f>
        <v>1015564.86</v>
      </c>
      <c r="Y58" s="92">
        <f>'Incremental_Cost Year 2'!AU196</f>
        <v>967565</v>
      </c>
      <c r="Z58" s="92">
        <f>'Incremental_Cost Year 2'!AV196</f>
        <v>0</v>
      </c>
      <c r="AA58" s="92">
        <f>'Incremental_Cost Year 2'!AW196</f>
        <v>0</v>
      </c>
      <c r="AB58" s="92">
        <f>'Incremental_Cost Year 2'!AX196</f>
        <v>0</v>
      </c>
      <c r="AC58" s="92">
        <f>'Incremental_Cost Year 2'!AY196</f>
        <v>0</v>
      </c>
      <c r="AD58" s="92">
        <f>'Incremental_Cost Year 2'!AZ196</f>
        <v>0</v>
      </c>
      <c r="AE58" s="92">
        <f>'Incremental_Cost Year 2'!BA196</f>
        <v>0</v>
      </c>
      <c r="AF58" s="92">
        <f>'Incremental_Cost Year 2'!BB196</f>
        <v>-47999.859999999986</v>
      </c>
      <c r="AH58" s="92">
        <f>'Incremental_Cost Year 3'!AQ196</f>
        <v>775564.86</v>
      </c>
      <c r="AI58" s="92">
        <f>'Incremental_Cost Year 3'!AR196</f>
        <v>240000</v>
      </c>
      <c r="AJ58" s="92">
        <f>'Incremental_Cost Year 3'!AS196</f>
        <v>0</v>
      </c>
      <c r="AK58" s="92">
        <f>'Incremental_Cost Year 3'!AT196</f>
        <v>1015564.86</v>
      </c>
      <c r="AL58" s="92">
        <f>'Incremental_Cost Year 3'!AU196</f>
        <v>967565</v>
      </c>
      <c r="AM58" s="92">
        <f>'Incremental_Cost Year 3'!AV196</f>
        <v>0</v>
      </c>
      <c r="AN58" s="92">
        <f>'Incremental_Cost Year 3'!AW196</f>
        <v>0</v>
      </c>
      <c r="AO58" s="92">
        <f>'Incremental_Cost Year 3'!AX196</f>
        <v>0</v>
      </c>
      <c r="AP58" s="92">
        <f>'Incremental_Cost Year 3'!AY196</f>
        <v>0</v>
      </c>
      <c r="AQ58" s="92">
        <f>'Incremental_Cost Year 3'!AZ196</f>
        <v>0</v>
      </c>
      <c r="AR58" s="92">
        <f>'Incremental_Cost Year 3'!BA196</f>
        <v>0</v>
      </c>
      <c r="AS58" s="92">
        <f>'Incremental_Cost Year 3'!BB196</f>
        <v>-47999.859999999986</v>
      </c>
      <c r="AU58" s="92">
        <f>'Incremental_Cost Year 4'!AQ196</f>
        <v>775564.86</v>
      </c>
      <c r="AV58" s="92">
        <f>'Incremental_Cost Year 4'!AR196</f>
        <v>240000</v>
      </c>
      <c r="AW58" s="92">
        <f>'Incremental_Cost Year 4'!AS196</f>
        <v>0</v>
      </c>
      <c r="AX58" s="92">
        <f>'Incremental_Cost Year 4'!AT196</f>
        <v>1015564.86</v>
      </c>
      <c r="AY58" s="92">
        <f>'Incremental_Cost Year 4'!AU196</f>
        <v>967565</v>
      </c>
      <c r="AZ58" s="92">
        <f>'Incremental_Cost Year 4'!AV196</f>
        <v>0</v>
      </c>
      <c r="BA58" s="92">
        <f>'Incremental_Cost Year 4'!AW196</f>
        <v>0</v>
      </c>
      <c r="BB58" s="92">
        <f>'Incremental_Cost Year 4'!AX196</f>
        <v>0</v>
      </c>
      <c r="BC58" s="92">
        <f>'Incremental_Cost Year 4'!AY196</f>
        <v>0</v>
      </c>
      <c r="BD58" s="92">
        <f>'Incremental_Cost Year 4'!AZ196</f>
        <v>0</v>
      </c>
      <c r="BE58" s="92">
        <f>'Incremental_Cost Year 4'!BA196</f>
        <v>0</v>
      </c>
      <c r="BF58" s="92">
        <f>'Incremental_Cost Year 4'!BB196</f>
        <v>-47999.859999999986</v>
      </c>
      <c r="BH58" s="92">
        <f>'Incremental_Cost Year 5'!AQ196</f>
        <v>775564.86</v>
      </c>
      <c r="BI58" s="92">
        <f>'Incremental_Cost Year 5'!AR196</f>
        <v>240000</v>
      </c>
      <c r="BJ58" s="92">
        <f>'Incremental_Cost Year 5'!AS196</f>
        <v>0</v>
      </c>
      <c r="BK58" s="92">
        <f>'Incremental_Cost Year 5'!AT196</f>
        <v>1015564.86</v>
      </c>
      <c r="BL58" s="92">
        <f>'Incremental_Cost Year 5'!AU196</f>
        <v>967565</v>
      </c>
      <c r="BM58" s="92">
        <f>'Incremental_Cost Year 5'!AV196</f>
        <v>0</v>
      </c>
      <c r="BN58" s="92">
        <f>'Incremental_Cost Year 5'!AW196</f>
        <v>0</v>
      </c>
      <c r="BO58" s="92">
        <f>'Incremental_Cost Year 5'!AX196</f>
        <v>0</v>
      </c>
      <c r="BP58" s="92">
        <f>'Incremental_Cost Year 5'!AY196</f>
        <v>0</v>
      </c>
      <c r="BQ58" s="92">
        <f>'Incremental_Cost Year 5'!AZ196</f>
        <v>0</v>
      </c>
      <c r="BR58" s="92">
        <f>'Incremental_Cost Year 5'!BA196</f>
        <v>0</v>
      </c>
      <c r="BS58" s="92">
        <f>'Incremental_Cost Year 5'!BB196</f>
        <v>-47999.859999999986</v>
      </c>
      <c r="BU58" s="92">
        <f>'Incremental_Cost Year 6'!AQ196</f>
        <v>742562.1</v>
      </c>
      <c r="BV58" s="92">
        <f>'Incremental_Cost Year 6'!AR196</f>
        <v>90000</v>
      </c>
      <c r="BW58" s="92">
        <f>'Incremental_Cost Year 6'!AS196</f>
        <v>0</v>
      </c>
      <c r="BX58" s="92">
        <f>'Incremental_Cost Year 6'!AT196</f>
        <v>832562.1</v>
      </c>
      <c r="BY58" s="92">
        <f>'Incremental_Cost Year 6'!AU196</f>
        <v>832562</v>
      </c>
      <c r="BZ58" s="92">
        <f>'Incremental_Cost Year 6'!AV196</f>
        <v>0</v>
      </c>
      <c r="CA58" s="92">
        <f>'Incremental_Cost Year 6'!AW196</f>
        <v>0</v>
      </c>
      <c r="CB58" s="92">
        <f>'Incremental_Cost Year 6'!AX196</f>
        <v>0</v>
      </c>
      <c r="CC58" s="92">
        <f>'Incremental_Cost Year 6'!AY196</f>
        <v>0</v>
      </c>
      <c r="CD58" s="92">
        <f>'Incremental_Cost Year 6'!AZ196</f>
        <v>0</v>
      </c>
      <c r="CE58" s="92">
        <f>'Incremental_Cost Year 6'!BA196</f>
        <v>0</v>
      </c>
      <c r="CF58" s="92">
        <f>'Incremental_Cost Year 6'!BB196</f>
        <v>-9.9999999976716936E-2</v>
      </c>
      <c r="CH58" s="92">
        <f>'Incremental_Cost Year 7'!AQ196</f>
        <v>742562.1</v>
      </c>
      <c r="CI58" s="92">
        <f>'Incremental_Cost Year 7'!AR196</f>
        <v>90000</v>
      </c>
      <c r="CJ58" s="92">
        <f>'Incremental_Cost Year 7'!AS196</f>
        <v>0</v>
      </c>
      <c r="CK58" s="92">
        <f>'Incremental_Cost Year 7'!AT196</f>
        <v>832562.1</v>
      </c>
      <c r="CL58" s="92">
        <f>'Incremental_Cost Year 7'!AU196</f>
        <v>832562</v>
      </c>
      <c r="CM58" s="92">
        <f>'Incremental_Cost Year 7'!AV196</f>
        <v>0</v>
      </c>
      <c r="CN58" s="92">
        <f>'Incremental_Cost Year 7'!AW196</f>
        <v>0</v>
      </c>
      <c r="CO58" s="92">
        <f>'Incremental_Cost Year 7'!AX196</f>
        <v>0</v>
      </c>
      <c r="CP58" s="92">
        <f>'Incremental_Cost Year 7'!AY196</f>
        <v>0</v>
      </c>
      <c r="CQ58" s="92">
        <f>'Incremental_Cost Year 7'!AZ196</f>
        <v>0</v>
      </c>
      <c r="CR58" s="92">
        <f>'Incremental_Cost Year 7'!BA196</f>
        <v>0</v>
      </c>
      <c r="CS58" s="92">
        <f>'Incremental_Cost Year 7'!BB196</f>
        <v>-9.9999999976716936E-2</v>
      </c>
      <c r="CU58" s="92">
        <f>'Incremental_Cost Year 8'!AQ196</f>
        <v>742562.1</v>
      </c>
      <c r="CV58" s="92">
        <f>'Incremental_Cost Year 8'!AR196</f>
        <v>90000</v>
      </c>
      <c r="CW58" s="92">
        <f>'Incremental_Cost Year 8'!AS196</f>
        <v>0</v>
      </c>
      <c r="CX58" s="92">
        <f>'Incremental_Cost Year 8'!AT196</f>
        <v>832562.1</v>
      </c>
      <c r="CY58" s="92">
        <f>'Incremental_Cost Year 8'!AU196</f>
        <v>832562</v>
      </c>
      <c r="CZ58" s="92">
        <f>'Incremental_Cost Year 8'!AV196</f>
        <v>0</v>
      </c>
      <c r="DA58" s="92">
        <f>'Incremental_Cost Year 8'!AW196</f>
        <v>0</v>
      </c>
      <c r="DB58" s="92">
        <f>'Incremental_Cost Year 8'!AX196</f>
        <v>0</v>
      </c>
      <c r="DC58" s="92">
        <f>'Incremental_Cost Year 8'!AY196</f>
        <v>0</v>
      </c>
      <c r="DD58" s="92">
        <f>'Incremental_Cost Year 8'!AZ196</f>
        <v>0</v>
      </c>
      <c r="DE58" s="92">
        <f>'Incremental_Cost Year 8'!BA196</f>
        <v>0</v>
      </c>
      <c r="DF58" s="92">
        <f>'Incremental_Cost Year 8'!BB196</f>
        <v>-9.9999999976716936E-2</v>
      </c>
      <c r="DH58" s="92">
        <f>'Incremental_Cost Year 9'!AQ196</f>
        <v>742562.1</v>
      </c>
      <c r="DI58" s="92">
        <f>'Incremental_Cost Year 9'!AR196</f>
        <v>90000</v>
      </c>
      <c r="DJ58" s="92">
        <f>'Incremental_Cost Year 9'!AS196</f>
        <v>0</v>
      </c>
      <c r="DK58" s="92">
        <f>'Incremental_Cost Year 9'!AT196</f>
        <v>832562.1</v>
      </c>
      <c r="DL58" s="92">
        <f>'Incremental_Cost Year 9'!AU196</f>
        <v>832562</v>
      </c>
      <c r="DM58" s="92">
        <f>'Incremental_Cost Year 9'!AV196</f>
        <v>0</v>
      </c>
      <c r="DN58" s="92">
        <f>'Incremental_Cost Year 9'!AW196</f>
        <v>0</v>
      </c>
      <c r="DO58" s="92">
        <f>'Incremental_Cost Year 9'!AX196</f>
        <v>0</v>
      </c>
      <c r="DP58" s="92">
        <f>'Incremental_Cost Year 9'!AY196</f>
        <v>0</v>
      </c>
      <c r="DQ58" s="92">
        <f>'Incremental_Cost Year 9'!AZ196</f>
        <v>0</v>
      </c>
      <c r="DR58" s="92">
        <f>'Incremental_Cost Year 9'!BA196</f>
        <v>0</v>
      </c>
      <c r="DS58" s="92">
        <f>'Incremental_Cost Year 9'!BB196</f>
        <v>-9.9999999976716936E-2</v>
      </c>
      <c r="DU58" s="92">
        <f>'Incremental_Cost Year 10'!AQ196</f>
        <v>742562.1</v>
      </c>
      <c r="DV58" s="92">
        <f>'Incremental_Cost Year 10'!AR196</f>
        <v>90000</v>
      </c>
      <c r="DW58" s="92">
        <f>'Incremental_Cost Year 10'!AS196</f>
        <v>0</v>
      </c>
      <c r="DX58" s="92">
        <f>'Incremental_Cost Year 10'!AT196</f>
        <v>832562.1</v>
      </c>
      <c r="DY58" s="92">
        <f>'Incremental_Cost Year 10'!AU196</f>
        <v>832562</v>
      </c>
      <c r="DZ58" s="92">
        <f>'Incremental_Cost Year 10'!AV196</f>
        <v>0</v>
      </c>
      <c r="EA58" s="92">
        <f>'Incremental_Cost Year 10'!AW196</f>
        <v>0</v>
      </c>
      <c r="EB58" s="92">
        <f>'Incremental_Cost Year 10'!AX196</f>
        <v>0</v>
      </c>
      <c r="EC58" s="92">
        <f>'Incremental_Cost Year 10'!AY196</f>
        <v>0</v>
      </c>
      <c r="ED58" s="92">
        <f>'Incremental_Cost Year 10'!AZ196</f>
        <v>0</v>
      </c>
      <c r="EE58" s="92">
        <f>'Incremental_Cost Year 10'!BA196</f>
        <v>0</v>
      </c>
      <c r="EF58" s="92">
        <f>'Incremental_Cost Year 10'!BB196</f>
        <v>-9.9999999976716936E-2</v>
      </c>
      <c r="EH58" s="52">
        <f>H58+U58+AH58+AU58+BH58+BU58+CH58+CU58+DH58+DU58</f>
        <v>7557632.0399999982</v>
      </c>
      <c r="EI58" s="52">
        <f t="shared" ref="EI58:ES58" si="245">I58+V58+AI58+AV58+BI58+BV58+CI58+CV58+DI58+DV58</f>
        <v>1500000</v>
      </c>
      <c r="EJ58" s="52">
        <f t="shared" si="245"/>
        <v>0</v>
      </c>
      <c r="EK58" s="52">
        <f t="shared" si="245"/>
        <v>9057632.0399999991</v>
      </c>
      <c r="EL58" s="52">
        <f t="shared" si="245"/>
        <v>8865632</v>
      </c>
      <c r="EM58" s="52">
        <f t="shared" si="245"/>
        <v>0</v>
      </c>
      <c r="EN58" s="52">
        <f t="shared" si="245"/>
        <v>0</v>
      </c>
      <c r="EO58" s="52">
        <f t="shared" si="245"/>
        <v>0</v>
      </c>
      <c r="EP58" s="52">
        <f t="shared" si="245"/>
        <v>0</v>
      </c>
      <c r="EQ58" s="52">
        <f t="shared" si="245"/>
        <v>0</v>
      </c>
      <c r="ER58" s="52">
        <f t="shared" si="245"/>
        <v>0</v>
      </c>
      <c r="ES58" s="52">
        <f t="shared" si="245"/>
        <v>-192000.0399999998</v>
      </c>
      <c r="EU58" s="194">
        <f t="shared" si="23"/>
        <v>0</v>
      </c>
      <c r="EW58" s="194">
        <f t="shared" si="24"/>
        <v>-192000.03999999911</v>
      </c>
      <c r="EX58" s="194">
        <f t="shared" si="21"/>
        <v>-6.9849193096160889E-10</v>
      </c>
    </row>
    <row r="59" spans="1:154" x14ac:dyDescent="0.25">
      <c r="B59" s="399" t="str">
        <f>'Incremental_Cost Year 1'!B197:E197</f>
        <v xml:space="preserve">4.Qellimi I Politikes ( Kodi, Emertimi)   Fuqizimi i reagimit të sistemit ndaj emergjencave </v>
      </c>
      <c r="C59" s="408"/>
      <c r="D59" s="408"/>
      <c r="E59" s="409"/>
      <c r="F59" s="50"/>
      <c r="G59" s="50"/>
      <c r="H59" s="53">
        <f>H60+H64+H66+H68+H70+H72</f>
        <v>255784277.01428574</v>
      </c>
      <c r="I59" s="93">
        <f t="shared" ref="I59:S59" si="246">I60+I64+I66+I68+I70+I72</f>
        <v>286270466.66666669</v>
      </c>
      <c r="J59" s="93">
        <f t="shared" si="246"/>
        <v>223000000</v>
      </c>
      <c r="K59" s="93">
        <f t="shared" si="246"/>
        <v>765054743.68095243</v>
      </c>
      <c r="L59" s="93">
        <f t="shared" si="246"/>
        <v>539973943.68095243</v>
      </c>
      <c r="M59" s="93">
        <f t="shared" si="246"/>
        <v>0</v>
      </c>
      <c r="N59" s="93">
        <f t="shared" si="246"/>
        <v>223000000</v>
      </c>
      <c r="O59" s="93">
        <f t="shared" si="246"/>
        <v>0</v>
      </c>
      <c r="P59" s="93">
        <f t="shared" si="246"/>
        <v>2080800</v>
      </c>
      <c r="Q59" s="93">
        <f t="shared" si="246"/>
        <v>0</v>
      </c>
      <c r="R59" s="93">
        <f t="shared" si="246"/>
        <v>0</v>
      </c>
      <c r="S59" s="93">
        <f t="shared" si="246"/>
        <v>0</v>
      </c>
      <c r="U59" s="93">
        <f>U60+U64+U66+U68+U70+U72</f>
        <v>1285889005.2514286</v>
      </c>
      <c r="V59" s="93">
        <f t="shared" ref="V59:AF59" si="247">V60+V64+V66+V68+V70+V72</f>
        <v>1698929400</v>
      </c>
      <c r="W59" s="93">
        <f t="shared" si="247"/>
        <v>727232000</v>
      </c>
      <c r="X59" s="93">
        <f t="shared" si="247"/>
        <v>3712050405.2514291</v>
      </c>
      <c r="Y59" s="93">
        <f t="shared" si="247"/>
        <v>2991692005.2514286</v>
      </c>
      <c r="Z59" s="93">
        <f t="shared" si="247"/>
        <v>0</v>
      </c>
      <c r="AA59" s="93">
        <f t="shared" si="247"/>
        <v>710000000</v>
      </c>
      <c r="AB59" s="93">
        <f t="shared" si="247"/>
        <v>0</v>
      </c>
      <c r="AC59" s="93">
        <f t="shared" si="247"/>
        <v>0</v>
      </c>
      <c r="AD59" s="93">
        <f t="shared" si="247"/>
        <v>0</v>
      </c>
      <c r="AE59" s="93">
        <f t="shared" si="247"/>
        <v>0</v>
      </c>
      <c r="AF59" s="93">
        <f t="shared" si="247"/>
        <v>-10358400</v>
      </c>
      <c r="AH59" s="93">
        <f>AH60+AH64+AH66+AH68+AH70+AH72</f>
        <v>1248948203.7514284</v>
      </c>
      <c r="AI59" s="93">
        <f t="shared" ref="AI59:AS59" si="248">AI60+AI64+AI66+AI68+AI70+AI72</f>
        <v>1704166200</v>
      </c>
      <c r="AJ59" s="93">
        <f t="shared" si="248"/>
        <v>216982000</v>
      </c>
      <c r="AK59" s="93">
        <f t="shared" si="248"/>
        <v>3170096403.7514286</v>
      </c>
      <c r="AL59" s="93">
        <f t="shared" si="248"/>
        <v>3158749203.7514286</v>
      </c>
      <c r="AM59" s="93">
        <f t="shared" si="248"/>
        <v>0</v>
      </c>
      <c r="AN59" s="93">
        <f t="shared" si="248"/>
        <v>0</v>
      </c>
      <c r="AO59" s="93">
        <f t="shared" si="248"/>
        <v>0</v>
      </c>
      <c r="AP59" s="93">
        <f t="shared" si="248"/>
        <v>0</v>
      </c>
      <c r="AQ59" s="93">
        <f t="shared" si="248"/>
        <v>0</v>
      </c>
      <c r="AR59" s="93">
        <f t="shared" si="248"/>
        <v>0</v>
      </c>
      <c r="AS59" s="93">
        <f t="shared" si="248"/>
        <v>-11347200</v>
      </c>
      <c r="AU59" s="93">
        <f>AU60+AU64+AU66+AU68+AU70+AU72</f>
        <v>1248405732.1371429</v>
      </c>
      <c r="AV59" s="93">
        <f t="shared" ref="AV59:BF59" si="249">AV60+AV64+AV66+AV68+AV70+AV72</f>
        <v>1701425400</v>
      </c>
      <c r="AW59" s="93">
        <f t="shared" si="249"/>
        <v>245732000</v>
      </c>
      <c r="AX59" s="93">
        <f t="shared" si="249"/>
        <v>3195563132.1371431</v>
      </c>
      <c r="AY59" s="93">
        <f t="shared" si="249"/>
        <v>3166754732.1371431</v>
      </c>
      <c r="AZ59" s="93">
        <f t="shared" si="249"/>
        <v>0</v>
      </c>
      <c r="BA59" s="93">
        <f t="shared" si="249"/>
        <v>0</v>
      </c>
      <c r="BB59" s="93">
        <f t="shared" si="249"/>
        <v>0</v>
      </c>
      <c r="BC59" s="93">
        <f t="shared" si="249"/>
        <v>0</v>
      </c>
      <c r="BD59" s="93">
        <f t="shared" si="249"/>
        <v>0</v>
      </c>
      <c r="BE59" s="93">
        <f t="shared" si="249"/>
        <v>0</v>
      </c>
      <c r="BF59" s="93">
        <f t="shared" si="249"/>
        <v>-28808400</v>
      </c>
      <c r="BH59" s="93">
        <f>BH60+BH64+BH66+BH68+BH70+BH72</f>
        <v>1241230082.537143</v>
      </c>
      <c r="BI59" s="93">
        <f t="shared" ref="BI59:BS59" si="250">BI60+BI64+BI66+BI68+BI70+BI72</f>
        <v>1700729400</v>
      </c>
      <c r="BJ59" s="93">
        <f t="shared" si="250"/>
        <v>253661250</v>
      </c>
      <c r="BK59" s="93">
        <f t="shared" si="250"/>
        <v>3195620732.5371432</v>
      </c>
      <c r="BL59" s="93">
        <f t="shared" si="250"/>
        <v>3158278082.5371432</v>
      </c>
      <c r="BM59" s="93">
        <f t="shared" si="250"/>
        <v>0</v>
      </c>
      <c r="BN59" s="93">
        <f t="shared" si="250"/>
        <v>0</v>
      </c>
      <c r="BO59" s="93">
        <f t="shared" si="250"/>
        <v>0</v>
      </c>
      <c r="BP59" s="93">
        <f t="shared" si="250"/>
        <v>0</v>
      </c>
      <c r="BQ59" s="93">
        <f t="shared" si="250"/>
        <v>0</v>
      </c>
      <c r="BR59" s="93">
        <f t="shared" si="250"/>
        <v>0</v>
      </c>
      <c r="BS59" s="93">
        <f t="shared" si="250"/>
        <v>-37342650</v>
      </c>
      <c r="BU59" s="93">
        <f>BU60+BU64+BU66+BU68+BU70+BU72</f>
        <v>1065598669.8</v>
      </c>
      <c r="BV59" s="93">
        <f t="shared" ref="BV59:CF59" si="251">BV60+BV64+BV66+BV68+BV70+BV72</f>
        <v>1444603800</v>
      </c>
      <c r="BW59" s="93">
        <f t="shared" si="251"/>
        <v>0</v>
      </c>
      <c r="BX59" s="93">
        <f t="shared" si="251"/>
        <v>2510202469.8000002</v>
      </c>
      <c r="BY59" s="93">
        <f t="shared" si="251"/>
        <v>2508121669.8000002</v>
      </c>
      <c r="BZ59" s="93">
        <f t="shared" si="251"/>
        <v>0</v>
      </c>
      <c r="CA59" s="93">
        <f t="shared" si="251"/>
        <v>0</v>
      </c>
      <c r="CB59" s="93">
        <f t="shared" si="251"/>
        <v>0</v>
      </c>
      <c r="CC59" s="93">
        <f t="shared" si="251"/>
        <v>0</v>
      </c>
      <c r="CD59" s="93">
        <f t="shared" si="251"/>
        <v>0</v>
      </c>
      <c r="CE59" s="93">
        <f t="shared" si="251"/>
        <v>0</v>
      </c>
      <c r="CF59" s="93">
        <f t="shared" si="251"/>
        <v>-2080800</v>
      </c>
      <c r="CH59" s="93">
        <f>CH60+CH64+CH66+CH68+CH70+CH72</f>
        <v>1065598669.8</v>
      </c>
      <c r="CI59" s="93">
        <f t="shared" ref="CI59:CS59" si="252">CI60+CI64+CI66+CI68+CI70+CI72</f>
        <v>1444603800</v>
      </c>
      <c r="CJ59" s="93">
        <f t="shared" si="252"/>
        <v>0</v>
      </c>
      <c r="CK59" s="93">
        <f t="shared" si="252"/>
        <v>2510202469.8000002</v>
      </c>
      <c r="CL59" s="93">
        <f t="shared" si="252"/>
        <v>2508121669.8000002</v>
      </c>
      <c r="CM59" s="93">
        <f t="shared" si="252"/>
        <v>0</v>
      </c>
      <c r="CN59" s="93">
        <f t="shared" si="252"/>
        <v>0</v>
      </c>
      <c r="CO59" s="93">
        <f t="shared" si="252"/>
        <v>0</v>
      </c>
      <c r="CP59" s="93">
        <f t="shared" si="252"/>
        <v>0</v>
      </c>
      <c r="CQ59" s="93">
        <f t="shared" si="252"/>
        <v>0</v>
      </c>
      <c r="CR59" s="93">
        <f t="shared" si="252"/>
        <v>0</v>
      </c>
      <c r="CS59" s="93">
        <f t="shared" si="252"/>
        <v>-2080800</v>
      </c>
      <c r="CU59" s="93">
        <f>CU60+CU64+CU66+CU68+CU70+CU72</f>
        <v>1065598669.8</v>
      </c>
      <c r="CV59" s="93">
        <f t="shared" ref="CV59:DF59" si="253">CV60+CV64+CV66+CV68+CV70+CV72</f>
        <v>1444603800</v>
      </c>
      <c r="CW59" s="93">
        <f t="shared" si="253"/>
        <v>0</v>
      </c>
      <c r="CX59" s="93">
        <f t="shared" si="253"/>
        <v>2510202469.8000002</v>
      </c>
      <c r="CY59" s="93">
        <f t="shared" si="253"/>
        <v>2508121669.8000002</v>
      </c>
      <c r="CZ59" s="93">
        <f t="shared" si="253"/>
        <v>0</v>
      </c>
      <c r="DA59" s="93">
        <f t="shared" si="253"/>
        <v>0</v>
      </c>
      <c r="DB59" s="93">
        <f t="shared" si="253"/>
        <v>0</v>
      </c>
      <c r="DC59" s="93">
        <f t="shared" si="253"/>
        <v>0</v>
      </c>
      <c r="DD59" s="93">
        <f t="shared" si="253"/>
        <v>0</v>
      </c>
      <c r="DE59" s="93">
        <f t="shared" si="253"/>
        <v>0</v>
      </c>
      <c r="DF59" s="93">
        <f t="shared" si="253"/>
        <v>-2080800</v>
      </c>
      <c r="DH59" s="93">
        <f>DH60+DH64+DH66+DH68+DH70+DH72</f>
        <v>1065598669.8</v>
      </c>
      <c r="DI59" s="93">
        <f t="shared" ref="DI59:DS59" si="254">DI60+DI64+DI66+DI68+DI70+DI72</f>
        <v>1444603800</v>
      </c>
      <c r="DJ59" s="93">
        <f t="shared" si="254"/>
        <v>0</v>
      </c>
      <c r="DK59" s="93">
        <f t="shared" si="254"/>
        <v>2510202469.8000002</v>
      </c>
      <c r="DL59" s="93">
        <f t="shared" si="254"/>
        <v>2508121669.8000002</v>
      </c>
      <c r="DM59" s="93">
        <f t="shared" si="254"/>
        <v>0</v>
      </c>
      <c r="DN59" s="93">
        <f t="shared" si="254"/>
        <v>0</v>
      </c>
      <c r="DO59" s="93">
        <f t="shared" si="254"/>
        <v>0</v>
      </c>
      <c r="DP59" s="93">
        <f t="shared" si="254"/>
        <v>0</v>
      </c>
      <c r="DQ59" s="93">
        <f t="shared" si="254"/>
        <v>0</v>
      </c>
      <c r="DR59" s="93">
        <f t="shared" si="254"/>
        <v>0</v>
      </c>
      <c r="DS59" s="93">
        <f t="shared" si="254"/>
        <v>-2080800</v>
      </c>
      <c r="DU59" s="93">
        <f>DU60+DU64+DU66+DU68+DU70+DU72</f>
        <v>1065598669.8</v>
      </c>
      <c r="DV59" s="93">
        <f t="shared" ref="DV59:EF59" si="255">DV60+DV64+DV66+DV68+DV70+DV72</f>
        <v>1444603800</v>
      </c>
      <c r="DW59" s="93">
        <f t="shared" si="255"/>
        <v>0</v>
      </c>
      <c r="DX59" s="93">
        <f t="shared" si="255"/>
        <v>2510202469.8000002</v>
      </c>
      <c r="DY59" s="93">
        <f t="shared" si="255"/>
        <v>2508121669.8000002</v>
      </c>
      <c r="DZ59" s="93">
        <f t="shared" si="255"/>
        <v>0</v>
      </c>
      <c r="EA59" s="93">
        <f t="shared" si="255"/>
        <v>0</v>
      </c>
      <c r="EB59" s="93">
        <f t="shared" si="255"/>
        <v>0</v>
      </c>
      <c r="EC59" s="93">
        <f t="shared" si="255"/>
        <v>0</v>
      </c>
      <c r="ED59" s="93">
        <f t="shared" si="255"/>
        <v>0</v>
      </c>
      <c r="EE59" s="93">
        <f t="shared" si="255"/>
        <v>0</v>
      </c>
      <c r="EF59" s="93">
        <f t="shared" si="255"/>
        <v>-2080800</v>
      </c>
      <c r="EH59" s="93">
        <f t="shared" ref="EH59:ES59" si="256">EH60+EH64+EH66+EH68+EH70+EH72</f>
        <v>10608250649.691429</v>
      </c>
      <c r="EI59" s="93">
        <f t="shared" si="256"/>
        <v>14314539866.666668</v>
      </c>
      <c r="EJ59" s="93">
        <f t="shared" si="256"/>
        <v>1666607250</v>
      </c>
      <c r="EK59" s="93">
        <f t="shared" si="256"/>
        <v>26589397766.358101</v>
      </c>
      <c r="EL59" s="93">
        <f t="shared" si="256"/>
        <v>25556056316.358101</v>
      </c>
      <c r="EM59" s="93">
        <f t="shared" si="256"/>
        <v>0</v>
      </c>
      <c r="EN59" s="93">
        <f t="shared" si="256"/>
        <v>933000000</v>
      </c>
      <c r="EO59" s="93">
        <f t="shared" si="256"/>
        <v>0</v>
      </c>
      <c r="EP59" s="93">
        <f t="shared" si="256"/>
        <v>2080800</v>
      </c>
      <c r="EQ59" s="93">
        <f t="shared" si="256"/>
        <v>0</v>
      </c>
      <c r="ER59" s="93">
        <f t="shared" si="256"/>
        <v>0</v>
      </c>
      <c r="ES59" s="93">
        <f t="shared" si="256"/>
        <v>-98260650</v>
      </c>
      <c r="EU59" s="194">
        <f t="shared" si="23"/>
        <v>935080800</v>
      </c>
      <c r="EW59" s="194">
        <f t="shared" si="24"/>
        <v>-98260650</v>
      </c>
      <c r="EX59" s="194">
        <f t="shared" si="21"/>
        <v>0</v>
      </c>
    </row>
    <row r="60" spans="1:154" x14ac:dyDescent="0.25">
      <c r="A60" s="42"/>
      <c r="B60" s="48"/>
      <c r="C60" s="421" t="str">
        <f>'Incremental_Cost Year 1'!C198:E198</f>
        <v>4.1 Objektivi Specifik: Fuqizimi i politikave, procedurave dhe kapaciteteve për të parandaluar epidemitë, pandemitë dhe emergjencat</v>
      </c>
      <c r="D60" s="421"/>
      <c r="E60" s="422"/>
      <c r="F60" s="67"/>
      <c r="G60" s="67"/>
      <c r="H60" s="54">
        <f>SUM(H61:H63)</f>
        <v>6541785.2142857146</v>
      </c>
      <c r="I60" s="94">
        <f t="shared" ref="I60:S60" si="257">SUM(I61:I63)</f>
        <v>2080800</v>
      </c>
      <c r="J60" s="94">
        <f t="shared" si="257"/>
        <v>223000000</v>
      </c>
      <c r="K60" s="94">
        <f t="shared" si="257"/>
        <v>231622585.2142857</v>
      </c>
      <c r="L60" s="94">
        <f>SUM(L61:L63)</f>
        <v>6541785.2142857146</v>
      </c>
      <c r="M60" s="94">
        <f t="shared" si="257"/>
        <v>0</v>
      </c>
      <c r="N60" s="94">
        <f t="shared" si="257"/>
        <v>223000000</v>
      </c>
      <c r="O60" s="94">
        <f t="shared" si="257"/>
        <v>0</v>
      </c>
      <c r="P60" s="94">
        <f t="shared" si="257"/>
        <v>2080800</v>
      </c>
      <c r="Q60" s="94">
        <f t="shared" si="257"/>
        <v>0</v>
      </c>
      <c r="R60" s="94">
        <f t="shared" si="257"/>
        <v>0</v>
      </c>
      <c r="S60" s="94">
        <f t="shared" si="257"/>
        <v>0</v>
      </c>
      <c r="U60" s="94">
        <f>SUM(U61:U63)</f>
        <v>174527013.95142856</v>
      </c>
      <c r="V60" s="94">
        <f t="shared" ref="V60:AF60" si="258">SUM(V61:V63)</f>
        <v>256406400</v>
      </c>
      <c r="W60" s="94">
        <f t="shared" si="258"/>
        <v>727232000</v>
      </c>
      <c r="X60" s="94">
        <f t="shared" si="258"/>
        <v>1158165413.9514287</v>
      </c>
      <c r="Y60" s="94">
        <f t="shared" si="258"/>
        <v>437807013.95142859</v>
      </c>
      <c r="Z60" s="94">
        <f t="shared" si="258"/>
        <v>0</v>
      </c>
      <c r="AA60" s="94">
        <f t="shared" si="258"/>
        <v>710000000</v>
      </c>
      <c r="AB60" s="94">
        <f t="shared" si="258"/>
        <v>0</v>
      </c>
      <c r="AC60" s="94">
        <f t="shared" si="258"/>
        <v>0</v>
      </c>
      <c r="AD60" s="94">
        <f t="shared" si="258"/>
        <v>0</v>
      </c>
      <c r="AE60" s="94">
        <f t="shared" si="258"/>
        <v>0</v>
      </c>
      <c r="AF60" s="94">
        <f t="shared" si="258"/>
        <v>-10358400</v>
      </c>
      <c r="AH60" s="94">
        <f>SUM(AH61:AH63)</f>
        <v>174527013.95142856</v>
      </c>
      <c r="AI60" s="94">
        <f t="shared" ref="AI60:AS60" si="259">SUM(AI61:AI63)</f>
        <v>256406400</v>
      </c>
      <c r="AJ60" s="94">
        <f t="shared" si="259"/>
        <v>15732000</v>
      </c>
      <c r="AK60" s="94">
        <f t="shared" si="259"/>
        <v>446665413.95142859</v>
      </c>
      <c r="AL60" s="94">
        <f t="shared" si="259"/>
        <v>439859013.95142859</v>
      </c>
      <c r="AM60" s="94">
        <f t="shared" si="259"/>
        <v>0</v>
      </c>
      <c r="AN60" s="94">
        <f t="shared" si="259"/>
        <v>0</v>
      </c>
      <c r="AO60" s="94">
        <f t="shared" si="259"/>
        <v>0</v>
      </c>
      <c r="AP60" s="94">
        <f t="shared" si="259"/>
        <v>0</v>
      </c>
      <c r="AQ60" s="94">
        <f t="shared" si="259"/>
        <v>0</v>
      </c>
      <c r="AR60" s="94">
        <f t="shared" si="259"/>
        <v>0</v>
      </c>
      <c r="AS60" s="94">
        <f t="shared" si="259"/>
        <v>-6806400</v>
      </c>
      <c r="AU60" s="94">
        <f>SUM(AU61:AU63)</f>
        <v>167985228.73714286</v>
      </c>
      <c r="AV60" s="94">
        <f t="shared" ref="AV60:BF60" si="260">SUM(AV61:AV63)</f>
        <v>256406400</v>
      </c>
      <c r="AW60" s="94">
        <f t="shared" si="260"/>
        <v>15732000</v>
      </c>
      <c r="AX60" s="94">
        <f t="shared" si="260"/>
        <v>440123628.73714286</v>
      </c>
      <c r="AY60" s="94">
        <f t="shared" si="260"/>
        <v>431265228.73714286</v>
      </c>
      <c r="AZ60" s="94">
        <f t="shared" si="260"/>
        <v>0</v>
      </c>
      <c r="BA60" s="94">
        <f t="shared" si="260"/>
        <v>0</v>
      </c>
      <c r="BB60" s="94">
        <f t="shared" si="260"/>
        <v>0</v>
      </c>
      <c r="BC60" s="94">
        <f t="shared" si="260"/>
        <v>0</v>
      </c>
      <c r="BD60" s="94">
        <f t="shared" si="260"/>
        <v>0</v>
      </c>
      <c r="BE60" s="94">
        <f t="shared" si="260"/>
        <v>0</v>
      </c>
      <c r="BF60" s="94">
        <f t="shared" si="260"/>
        <v>-8858400</v>
      </c>
      <c r="BH60" s="94">
        <f>SUM(BH61:BH63)</f>
        <v>167985228.73714286</v>
      </c>
      <c r="BI60" s="94">
        <f t="shared" ref="BI60:BS60" si="261">SUM(BI61:BI63)</f>
        <v>256406400</v>
      </c>
      <c r="BJ60" s="94">
        <f t="shared" si="261"/>
        <v>224911250</v>
      </c>
      <c r="BK60" s="94">
        <f t="shared" si="261"/>
        <v>649302878.7371428</v>
      </c>
      <c r="BL60" s="94">
        <f t="shared" si="261"/>
        <v>613160228.7371428</v>
      </c>
      <c r="BM60" s="94">
        <f t="shared" si="261"/>
        <v>0</v>
      </c>
      <c r="BN60" s="94">
        <f t="shared" si="261"/>
        <v>0</v>
      </c>
      <c r="BO60" s="94">
        <f t="shared" si="261"/>
        <v>0</v>
      </c>
      <c r="BP60" s="94">
        <f t="shared" si="261"/>
        <v>0</v>
      </c>
      <c r="BQ60" s="94">
        <f t="shared" si="261"/>
        <v>0</v>
      </c>
      <c r="BR60" s="94">
        <f t="shared" si="261"/>
        <v>0</v>
      </c>
      <c r="BS60" s="94">
        <f t="shared" si="261"/>
        <v>-36142650</v>
      </c>
      <c r="BU60" s="94">
        <f>SUM(BU61:BU63)</f>
        <v>0</v>
      </c>
      <c r="BV60" s="94">
        <f t="shared" ref="BV60:CF60" si="262">SUM(BV61:BV63)</f>
        <v>2080800</v>
      </c>
      <c r="BW60" s="94">
        <f t="shared" si="262"/>
        <v>0</v>
      </c>
      <c r="BX60" s="94">
        <f t="shared" si="262"/>
        <v>2080800</v>
      </c>
      <c r="BY60" s="94">
        <f t="shared" si="262"/>
        <v>0</v>
      </c>
      <c r="BZ60" s="94">
        <f t="shared" si="262"/>
        <v>0</v>
      </c>
      <c r="CA60" s="94">
        <f t="shared" si="262"/>
        <v>0</v>
      </c>
      <c r="CB60" s="94">
        <f t="shared" si="262"/>
        <v>0</v>
      </c>
      <c r="CC60" s="94">
        <f t="shared" si="262"/>
        <v>0</v>
      </c>
      <c r="CD60" s="94">
        <f t="shared" si="262"/>
        <v>0</v>
      </c>
      <c r="CE60" s="94">
        <f t="shared" si="262"/>
        <v>0</v>
      </c>
      <c r="CF60" s="94">
        <f t="shared" si="262"/>
        <v>-2080800</v>
      </c>
      <c r="CH60" s="94">
        <f>SUM(CH61:CH63)</f>
        <v>0</v>
      </c>
      <c r="CI60" s="94">
        <f t="shared" ref="CI60:CS60" si="263">SUM(CI61:CI63)</f>
        <v>2080800</v>
      </c>
      <c r="CJ60" s="94">
        <f t="shared" si="263"/>
        <v>0</v>
      </c>
      <c r="CK60" s="94">
        <f t="shared" si="263"/>
        <v>2080800</v>
      </c>
      <c r="CL60" s="94">
        <f t="shared" si="263"/>
        <v>0</v>
      </c>
      <c r="CM60" s="94">
        <f t="shared" si="263"/>
        <v>0</v>
      </c>
      <c r="CN60" s="94">
        <f t="shared" si="263"/>
        <v>0</v>
      </c>
      <c r="CO60" s="94">
        <f t="shared" si="263"/>
        <v>0</v>
      </c>
      <c r="CP60" s="94">
        <f t="shared" si="263"/>
        <v>0</v>
      </c>
      <c r="CQ60" s="94">
        <f t="shared" si="263"/>
        <v>0</v>
      </c>
      <c r="CR60" s="94">
        <f t="shared" si="263"/>
        <v>0</v>
      </c>
      <c r="CS60" s="94">
        <f t="shared" si="263"/>
        <v>-2080800</v>
      </c>
      <c r="CU60" s="94">
        <f>SUM(CU61:CU63)</f>
        <v>0</v>
      </c>
      <c r="CV60" s="94">
        <f t="shared" ref="CV60:DF60" si="264">SUM(CV61:CV63)</f>
        <v>2080800</v>
      </c>
      <c r="CW60" s="94">
        <f t="shared" si="264"/>
        <v>0</v>
      </c>
      <c r="CX60" s="94">
        <f t="shared" si="264"/>
        <v>2080800</v>
      </c>
      <c r="CY60" s="94">
        <f t="shared" si="264"/>
        <v>0</v>
      </c>
      <c r="CZ60" s="94">
        <f t="shared" si="264"/>
        <v>0</v>
      </c>
      <c r="DA60" s="94">
        <f t="shared" si="264"/>
        <v>0</v>
      </c>
      <c r="DB60" s="94">
        <f t="shared" si="264"/>
        <v>0</v>
      </c>
      <c r="DC60" s="94">
        <f t="shared" si="264"/>
        <v>0</v>
      </c>
      <c r="DD60" s="94">
        <f t="shared" si="264"/>
        <v>0</v>
      </c>
      <c r="DE60" s="94">
        <f t="shared" si="264"/>
        <v>0</v>
      </c>
      <c r="DF60" s="94">
        <f t="shared" si="264"/>
        <v>-2080800</v>
      </c>
      <c r="DH60" s="94">
        <f>SUM(DH61:DH63)</f>
        <v>0</v>
      </c>
      <c r="DI60" s="94">
        <f t="shared" ref="DI60:DS60" si="265">SUM(DI61:DI63)</f>
        <v>2080800</v>
      </c>
      <c r="DJ60" s="94">
        <f t="shared" si="265"/>
        <v>0</v>
      </c>
      <c r="DK60" s="94">
        <f t="shared" si="265"/>
        <v>2080800</v>
      </c>
      <c r="DL60" s="94">
        <f t="shared" si="265"/>
        <v>0</v>
      </c>
      <c r="DM60" s="94">
        <f t="shared" si="265"/>
        <v>0</v>
      </c>
      <c r="DN60" s="94">
        <f t="shared" si="265"/>
        <v>0</v>
      </c>
      <c r="DO60" s="94">
        <f t="shared" si="265"/>
        <v>0</v>
      </c>
      <c r="DP60" s="94">
        <f t="shared" si="265"/>
        <v>0</v>
      </c>
      <c r="DQ60" s="94">
        <f t="shared" si="265"/>
        <v>0</v>
      </c>
      <c r="DR60" s="94">
        <f t="shared" si="265"/>
        <v>0</v>
      </c>
      <c r="DS60" s="94">
        <f t="shared" si="265"/>
        <v>-2080800</v>
      </c>
      <c r="DU60" s="94">
        <f>SUM(DU61:DU63)</f>
        <v>0</v>
      </c>
      <c r="DV60" s="94">
        <f t="shared" ref="DV60:EF60" si="266">SUM(DV61:DV63)</f>
        <v>2080800</v>
      </c>
      <c r="DW60" s="94">
        <f t="shared" si="266"/>
        <v>0</v>
      </c>
      <c r="DX60" s="94">
        <f t="shared" si="266"/>
        <v>2080800</v>
      </c>
      <c r="DY60" s="94">
        <f t="shared" si="266"/>
        <v>0</v>
      </c>
      <c r="DZ60" s="94">
        <f t="shared" si="266"/>
        <v>0</v>
      </c>
      <c r="EA60" s="94">
        <f t="shared" si="266"/>
        <v>0</v>
      </c>
      <c r="EB60" s="94">
        <f t="shared" si="266"/>
        <v>0</v>
      </c>
      <c r="EC60" s="94">
        <f t="shared" si="266"/>
        <v>0</v>
      </c>
      <c r="ED60" s="94">
        <f t="shared" si="266"/>
        <v>0</v>
      </c>
      <c r="EE60" s="94">
        <f t="shared" si="266"/>
        <v>0</v>
      </c>
      <c r="EF60" s="94">
        <f t="shared" si="266"/>
        <v>-2080800</v>
      </c>
      <c r="EH60" s="94">
        <f t="shared" ref="EH60:ES60" si="267">SUM(EH61:EH63)</f>
        <v>691566270.59142864</v>
      </c>
      <c r="EI60" s="94">
        <f t="shared" si="267"/>
        <v>1038110400</v>
      </c>
      <c r="EJ60" s="94">
        <f t="shared" si="267"/>
        <v>1206607250</v>
      </c>
      <c r="EK60" s="94">
        <f t="shared" si="267"/>
        <v>2936283920.5914283</v>
      </c>
      <c r="EL60" s="94">
        <f t="shared" si="267"/>
        <v>1928633270.5914285</v>
      </c>
      <c r="EM60" s="94">
        <f t="shared" si="267"/>
        <v>0</v>
      </c>
      <c r="EN60" s="94">
        <f t="shared" si="267"/>
        <v>933000000</v>
      </c>
      <c r="EO60" s="94">
        <f t="shared" si="267"/>
        <v>0</v>
      </c>
      <c r="EP60" s="94">
        <f t="shared" si="267"/>
        <v>2080800</v>
      </c>
      <c r="EQ60" s="94">
        <f t="shared" si="267"/>
        <v>0</v>
      </c>
      <c r="ER60" s="94">
        <f t="shared" si="267"/>
        <v>0</v>
      </c>
      <c r="ES60" s="94">
        <f t="shared" si="267"/>
        <v>-72569850</v>
      </c>
      <c r="EU60" s="194">
        <f t="shared" si="23"/>
        <v>935080800</v>
      </c>
      <c r="EW60" s="194">
        <f t="shared" si="24"/>
        <v>-72569849.999999523</v>
      </c>
      <c r="EX60" s="194">
        <f t="shared" si="21"/>
        <v>-4.76837158203125E-7</v>
      </c>
    </row>
    <row r="61" spans="1:154" ht="38.25" x14ac:dyDescent="0.25">
      <c r="B61" s="43"/>
      <c r="C61" s="68"/>
      <c r="D61" s="193" t="str">
        <f>'Incremental_Cost Year 1'!D203</f>
        <v>01110 Planifikimi, Menaxhimi dhe Administrimi</v>
      </c>
      <c r="E61" s="193" t="str">
        <f>'Incremental_Cost Year 1'!E203</f>
        <v>4.1.1 Fuqizimi i sistemit shëndetësor në përgjigje të pandemisë COVID 19</v>
      </c>
      <c r="F61" s="96">
        <f>'Incremental_Cost Year 1'!F203</f>
        <v>2021</v>
      </c>
      <c r="G61" s="96">
        <f>'Incremental_Cost Year 1'!G203</f>
        <v>2025</v>
      </c>
      <c r="H61" s="52">
        <f>'Incremental_Cost Year 1'!AQ203</f>
        <v>6541785.2142857146</v>
      </c>
      <c r="I61" s="92">
        <f>'Incremental_Cost Year 1'!AR203</f>
        <v>2080800</v>
      </c>
      <c r="J61" s="92">
        <f>'Incremental_Cost Year 1'!AS203</f>
        <v>200000000</v>
      </c>
      <c r="K61" s="92">
        <f>'Incremental_Cost Year 1'!AT203</f>
        <v>208622585.2142857</v>
      </c>
      <c r="L61" s="92">
        <f>'Incremental_Cost Year 1'!AU203</f>
        <v>6541785.2142857146</v>
      </c>
      <c r="M61" s="92">
        <f>'Incremental_Cost Year 1'!AV203</f>
        <v>0</v>
      </c>
      <c r="N61" s="92">
        <f>'Incremental_Cost Year 1'!AW203</f>
        <v>200000000</v>
      </c>
      <c r="O61" s="92">
        <f>'Incremental_Cost Year 1'!AX203</f>
        <v>0</v>
      </c>
      <c r="P61" s="92">
        <f>'Incremental_Cost Year 1'!AY203</f>
        <v>2080800</v>
      </c>
      <c r="Q61" s="92">
        <f>'Incremental_Cost Year 1'!AZ203</f>
        <v>0</v>
      </c>
      <c r="R61" s="92">
        <f>'Incremental_Cost Year 1'!BA203</f>
        <v>0</v>
      </c>
      <c r="S61" s="92">
        <f>'Incremental_Cost Year 1'!BB203</f>
        <v>0</v>
      </c>
      <c r="U61" s="92">
        <f>'Incremental_Cost Year 2'!AQ203</f>
        <v>6541785.2142857146</v>
      </c>
      <c r="V61" s="92">
        <f>'Incremental_Cost Year 2'!AR203</f>
        <v>2080800</v>
      </c>
      <c r="W61" s="92">
        <f>'Incremental_Cost Year 2'!AS203</f>
        <v>700000000</v>
      </c>
      <c r="X61" s="92">
        <f>'Incremental_Cost Year 2'!AT203</f>
        <v>708622585.21428573</v>
      </c>
      <c r="Y61" s="92">
        <f>'Incremental_Cost Year 2'!AU203</f>
        <v>6541785.2142857146</v>
      </c>
      <c r="Z61" s="92">
        <f>'Incremental_Cost Year 2'!AV203</f>
        <v>0</v>
      </c>
      <c r="AA61" s="92">
        <f>'Incremental_Cost Year 2'!AW203</f>
        <v>700000000</v>
      </c>
      <c r="AB61" s="92">
        <f>'Incremental_Cost Year 2'!AX203</f>
        <v>0</v>
      </c>
      <c r="AC61" s="92">
        <f>'Incremental_Cost Year 2'!AY203</f>
        <v>0</v>
      </c>
      <c r="AD61" s="92">
        <f>'Incremental_Cost Year 2'!AZ203</f>
        <v>0</v>
      </c>
      <c r="AE61" s="92">
        <f>'Incremental_Cost Year 2'!BA203</f>
        <v>0</v>
      </c>
      <c r="AF61" s="92">
        <f>'Incremental_Cost Year 2'!BB203</f>
        <v>-2080800</v>
      </c>
      <c r="AH61" s="92">
        <f>'Incremental_Cost Year 3'!AQ203</f>
        <v>6541785.2142857146</v>
      </c>
      <c r="AI61" s="92">
        <f>'Incremental_Cost Year 3'!AR203</f>
        <v>2080800</v>
      </c>
      <c r="AJ61" s="92">
        <f>'Incremental_Cost Year 3'!AS203</f>
        <v>0</v>
      </c>
      <c r="AK61" s="92">
        <f>'Incremental_Cost Year 3'!AT203</f>
        <v>8622585.2142857146</v>
      </c>
      <c r="AL61" s="92">
        <f>'Incremental_Cost Year 3'!AU203</f>
        <v>6541785.2142857146</v>
      </c>
      <c r="AM61" s="92">
        <f>'Incremental_Cost Year 3'!AV203</f>
        <v>0</v>
      </c>
      <c r="AN61" s="92">
        <f>'Incremental_Cost Year 3'!AW203</f>
        <v>0</v>
      </c>
      <c r="AO61" s="92">
        <f>'Incremental_Cost Year 3'!AX203</f>
        <v>0</v>
      </c>
      <c r="AP61" s="92">
        <f>'Incremental_Cost Year 3'!AY203</f>
        <v>0</v>
      </c>
      <c r="AQ61" s="92">
        <f>'Incremental_Cost Year 3'!AZ203</f>
        <v>0</v>
      </c>
      <c r="AR61" s="92">
        <f>'Incremental_Cost Year 3'!BA203</f>
        <v>0</v>
      </c>
      <c r="AS61" s="92">
        <f>'Incremental_Cost Year 3'!BB203</f>
        <v>-2080800</v>
      </c>
      <c r="AU61" s="92">
        <f>'Incremental_Cost Year 4'!AQ203</f>
        <v>0</v>
      </c>
      <c r="AV61" s="92">
        <f>'Incremental_Cost Year 4'!AR203</f>
        <v>2080800</v>
      </c>
      <c r="AW61" s="92">
        <f>'Incremental_Cost Year 4'!AS203</f>
        <v>0</v>
      </c>
      <c r="AX61" s="92">
        <f>'Incremental_Cost Year 4'!AT203</f>
        <v>2080800</v>
      </c>
      <c r="AY61" s="92">
        <f>'Incremental_Cost Year 4'!AU203</f>
        <v>0</v>
      </c>
      <c r="AZ61" s="92">
        <f>'Incremental_Cost Year 4'!AV203</f>
        <v>0</v>
      </c>
      <c r="BA61" s="92">
        <f>'Incremental_Cost Year 4'!AW203</f>
        <v>0</v>
      </c>
      <c r="BB61" s="92">
        <f>'Incremental_Cost Year 4'!AX203</f>
        <v>0</v>
      </c>
      <c r="BC61" s="92">
        <f>'Incremental_Cost Year 4'!AY203</f>
        <v>0</v>
      </c>
      <c r="BD61" s="92">
        <f>'Incremental_Cost Year 4'!AZ203</f>
        <v>0</v>
      </c>
      <c r="BE61" s="92">
        <f>'Incremental_Cost Year 4'!BA203</f>
        <v>0</v>
      </c>
      <c r="BF61" s="92">
        <f>'Incremental_Cost Year 4'!BB203</f>
        <v>-2080800</v>
      </c>
      <c r="BH61" s="92">
        <f>'Incremental_Cost Year 5'!AQ203</f>
        <v>0</v>
      </c>
      <c r="BI61" s="92">
        <f>'Incremental_Cost Year 5'!AR203</f>
        <v>2080800</v>
      </c>
      <c r="BJ61" s="92">
        <f>'Incremental_Cost Year 5'!AS203</f>
        <v>0</v>
      </c>
      <c r="BK61" s="92">
        <f>'Incremental_Cost Year 5'!AT203</f>
        <v>2080800</v>
      </c>
      <c r="BL61" s="92">
        <f>'Incremental_Cost Year 5'!AU203</f>
        <v>0</v>
      </c>
      <c r="BM61" s="92">
        <f>'Incremental_Cost Year 5'!AV203</f>
        <v>0</v>
      </c>
      <c r="BN61" s="92">
        <f>'Incremental_Cost Year 5'!AW203</f>
        <v>0</v>
      </c>
      <c r="BO61" s="92">
        <f>'Incremental_Cost Year 5'!AX203</f>
        <v>0</v>
      </c>
      <c r="BP61" s="92">
        <f>'Incremental_Cost Year 5'!AY203</f>
        <v>0</v>
      </c>
      <c r="BQ61" s="92">
        <f>'Incremental_Cost Year 5'!AZ203</f>
        <v>0</v>
      </c>
      <c r="BR61" s="92">
        <f>'Incremental_Cost Year 5'!BA203</f>
        <v>0</v>
      </c>
      <c r="BS61" s="92">
        <f>'Incremental_Cost Year 5'!BB203</f>
        <v>-2080800</v>
      </c>
      <c r="BU61" s="92">
        <f>'Incremental_Cost Year 6'!AQ203</f>
        <v>0</v>
      </c>
      <c r="BV61" s="92">
        <f>'Incremental_Cost Year 6'!AR203</f>
        <v>2080800</v>
      </c>
      <c r="BW61" s="92">
        <f>'Incremental_Cost Year 6'!AS203</f>
        <v>0</v>
      </c>
      <c r="BX61" s="92">
        <f>'Incremental_Cost Year 6'!AT203</f>
        <v>2080800</v>
      </c>
      <c r="BY61" s="92">
        <f>'Incremental_Cost Year 6'!AU203</f>
        <v>0</v>
      </c>
      <c r="BZ61" s="92">
        <f>'Incremental_Cost Year 6'!AV203</f>
        <v>0</v>
      </c>
      <c r="CA61" s="92">
        <f>'Incremental_Cost Year 6'!AW203</f>
        <v>0</v>
      </c>
      <c r="CB61" s="92">
        <f>'Incremental_Cost Year 6'!AX203</f>
        <v>0</v>
      </c>
      <c r="CC61" s="92">
        <f>'Incremental_Cost Year 6'!AY203</f>
        <v>0</v>
      </c>
      <c r="CD61" s="92">
        <f>'Incremental_Cost Year 6'!AZ203</f>
        <v>0</v>
      </c>
      <c r="CE61" s="92">
        <f>'Incremental_Cost Year 6'!BA203</f>
        <v>0</v>
      </c>
      <c r="CF61" s="92">
        <f>'Incremental_Cost Year 6'!BB203</f>
        <v>-2080800</v>
      </c>
      <c r="CH61" s="92">
        <f>'Incremental_Cost Year 7'!AQ203</f>
        <v>0</v>
      </c>
      <c r="CI61" s="92">
        <f>'Incremental_Cost Year 7'!AR203</f>
        <v>2080800</v>
      </c>
      <c r="CJ61" s="92">
        <f>'Incremental_Cost Year 7'!AS203</f>
        <v>0</v>
      </c>
      <c r="CK61" s="92">
        <f>'Incremental_Cost Year 7'!AT203</f>
        <v>2080800</v>
      </c>
      <c r="CL61" s="92">
        <f>'Incremental_Cost Year 7'!AU203</f>
        <v>0</v>
      </c>
      <c r="CM61" s="92">
        <f>'Incremental_Cost Year 7'!AV203</f>
        <v>0</v>
      </c>
      <c r="CN61" s="92">
        <f>'Incremental_Cost Year 7'!AW203</f>
        <v>0</v>
      </c>
      <c r="CO61" s="92">
        <f>'Incremental_Cost Year 7'!AX203</f>
        <v>0</v>
      </c>
      <c r="CP61" s="92">
        <f>'Incremental_Cost Year 7'!AY203</f>
        <v>0</v>
      </c>
      <c r="CQ61" s="92">
        <f>'Incremental_Cost Year 7'!AZ203</f>
        <v>0</v>
      </c>
      <c r="CR61" s="92">
        <f>'Incremental_Cost Year 7'!BA203</f>
        <v>0</v>
      </c>
      <c r="CS61" s="92">
        <f>'Incremental_Cost Year 7'!BB203</f>
        <v>-2080800</v>
      </c>
      <c r="CU61" s="92">
        <f>'Incremental_Cost Year 8'!AQ203</f>
        <v>0</v>
      </c>
      <c r="CV61" s="92">
        <f>'Incremental_Cost Year 8'!AR203</f>
        <v>2080800</v>
      </c>
      <c r="CW61" s="92">
        <f>'Incremental_Cost Year 8'!AS203</f>
        <v>0</v>
      </c>
      <c r="CX61" s="92">
        <f>'Incremental_Cost Year 8'!AT203</f>
        <v>2080800</v>
      </c>
      <c r="CY61" s="92">
        <f>'Incremental_Cost Year 8'!AU203</f>
        <v>0</v>
      </c>
      <c r="CZ61" s="92">
        <f>'Incremental_Cost Year 8'!AV203</f>
        <v>0</v>
      </c>
      <c r="DA61" s="92">
        <f>'Incremental_Cost Year 8'!AW203</f>
        <v>0</v>
      </c>
      <c r="DB61" s="92">
        <f>'Incremental_Cost Year 8'!AX203</f>
        <v>0</v>
      </c>
      <c r="DC61" s="92">
        <f>'Incremental_Cost Year 8'!AY203</f>
        <v>0</v>
      </c>
      <c r="DD61" s="92">
        <f>'Incremental_Cost Year 8'!AZ203</f>
        <v>0</v>
      </c>
      <c r="DE61" s="92">
        <f>'Incremental_Cost Year 8'!BA203</f>
        <v>0</v>
      </c>
      <c r="DF61" s="92">
        <f>'Incremental_Cost Year 8'!BB203</f>
        <v>-2080800</v>
      </c>
      <c r="DH61" s="92">
        <f>'Incremental_Cost Year 9'!AQ203</f>
        <v>0</v>
      </c>
      <c r="DI61" s="92">
        <f>'Incremental_Cost Year 9'!AR203</f>
        <v>2080800</v>
      </c>
      <c r="DJ61" s="92">
        <f>'Incremental_Cost Year 9'!AS203</f>
        <v>0</v>
      </c>
      <c r="DK61" s="92">
        <f>'Incremental_Cost Year 9'!AT203</f>
        <v>2080800</v>
      </c>
      <c r="DL61" s="92">
        <f>'Incremental_Cost Year 9'!AU203</f>
        <v>0</v>
      </c>
      <c r="DM61" s="92">
        <f>'Incremental_Cost Year 9'!AV203</f>
        <v>0</v>
      </c>
      <c r="DN61" s="92">
        <f>'Incremental_Cost Year 9'!AW203</f>
        <v>0</v>
      </c>
      <c r="DO61" s="92">
        <f>'Incremental_Cost Year 9'!AX203</f>
        <v>0</v>
      </c>
      <c r="DP61" s="92">
        <f>'Incremental_Cost Year 9'!AY203</f>
        <v>0</v>
      </c>
      <c r="DQ61" s="92">
        <f>'Incremental_Cost Year 9'!AZ203</f>
        <v>0</v>
      </c>
      <c r="DR61" s="92">
        <f>'Incremental_Cost Year 9'!BA203</f>
        <v>0</v>
      </c>
      <c r="DS61" s="92">
        <f>'Incremental_Cost Year 9'!BB203</f>
        <v>-2080800</v>
      </c>
      <c r="DU61" s="92">
        <f>'Incremental_Cost Year 10'!AQ203</f>
        <v>0</v>
      </c>
      <c r="DV61" s="92">
        <f>'Incremental_Cost Year 10'!AR203</f>
        <v>2080800</v>
      </c>
      <c r="DW61" s="92">
        <f>'Incremental_Cost Year 10'!AS203</f>
        <v>0</v>
      </c>
      <c r="DX61" s="92">
        <f>'Incremental_Cost Year 10'!AT203</f>
        <v>2080800</v>
      </c>
      <c r="DY61" s="92">
        <f>'Incremental_Cost Year 10'!AU203</f>
        <v>0</v>
      </c>
      <c r="DZ61" s="92">
        <f>'Incremental_Cost Year 10'!AV203</f>
        <v>0</v>
      </c>
      <c r="EA61" s="92">
        <f>'Incremental_Cost Year 10'!AW203</f>
        <v>0</v>
      </c>
      <c r="EB61" s="92">
        <f>'Incremental_Cost Year 10'!AX203</f>
        <v>0</v>
      </c>
      <c r="EC61" s="92">
        <f>'Incremental_Cost Year 10'!AY203</f>
        <v>0</v>
      </c>
      <c r="ED61" s="92">
        <f>'Incremental_Cost Year 10'!AZ203</f>
        <v>0</v>
      </c>
      <c r="EE61" s="92">
        <f>'Incremental_Cost Year 10'!BA203</f>
        <v>0</v>
      </c>
      <c r="EF61" s="92">
        <f>'Incremental_Cost Year 10'!BB203</f>
        <v>-2080800</v>
      </c>
      <c r="EH61" s="52">
        <f>H61+U61+AH61+AU61+BH61+BU61+CH61+CU61+DH61+DU61</f>
        <v>19625355.642857142</v>
      </c>
      <c r="EI61" s="52">
        <f t="shared" ref="EI61:ES63" si="268">I61+V61+AI61+AV61+BI61+BV61+CI61+CV61+DI61+DV61</f>
        <v>20808000</v>
      </c>
      <c r="EJ61" s="52">
        <f t="shared" si="268"/>
        <v>900000000</v>
      </c>
      <c r="EK61" s="52">
        <f t="shared" si="268"/>
        <v>940433355.64285719</v>
      </c>
      <c r="EL61" s="52">
        <f t="shared" si="268"/>
        <v>19625355.642857142</v>
      </c>
      <c r="EM61" s="52">
        <f t="shared" si="268"/>
        <v>0</v>
      </c>
      <c r="EN61" s="52">
        <f t="shared" si="268"/>
        <v>900000000</v>
      </c>
      <c r="EO61" s="52">
        <f t="shared" si="268"/>
        <v>0</v>
      </c>
      <c r="EP61" s="52">
        <f t="shared" si="268"/>
        <v>2080800</v>
      </c>
      <c r="EQ61" s="52">
        <f t="shared" si="268"/>
        <v>0</v>
      </c>
      <c r="ER61" s="52">
        <f t="shared" si="268"/>
        <v>0</v>
      </c>
      <c r="ES61" s="52">
        <f t="shared" si="268"/>
        <v>-18727200</v>
      </c>
      <c r="EU61" s="194">
        <f t="shared" si="23"/>
        <v>902080800</v>
      </c>
      <c r="EW61" s="194">
        <f t="shared" si="24"/>
        <v>-18727200</v>
      </c>
      <c r="EX61" s="194">
        <f t="shared" si="21"/>
        <v>0</v>
      </c>
    </row>
    <row r="62" spans="1:154" ht="38.25" x14ac:dyDescent="0.25">
      <c r="B62" s="43"/>
      <c r="C62" s="68"/>
      <c r="D62" s="193" t="str">
        <f>'Incremental_Cost Year 1'!D209</f>
        <v>07220 Shërbime të Kujdesit Shëndetësor Parësor/07450 Shërbime të Shëndetit Publik</v>
      </c>
      <c r="E62" s="193" t="str">
        <f>'Incremental_Cost Year 1'!E209</f>
        <v>4.1.2.Forcimi i sistemit të shëndetit publik dhe rritja e kapaciteteve të laboratoreve të ISHP</v>
      </c>
      <c r="F62" s="96">
        <f>'Incremental_Cost Year 1'!F209</f>
        <v>2021</v>
      </c>
      <c r="G62" s="96">
        <f>'Incremental_Cost Year 1'!G209</f>
        <v>2025</v>
      </c>
      <c r="H62" s="52">
        <f>'Incremental_Cost Year 1'!AQ209</f>
        <v>0</v>
      </c>
      <c r="I62" s="92">
        <f>'Incremental_Cost Year 1'!AR209</f>
        <v>0</v>
      </c>
      <c r="J62" s="92">
        <f>'Incremental_Cost Year 1'!AS209</f>
        <v>23000000</v>
      </c>
      <c r="K62" s="92">
        <f>'Incremental_Cost Year 1'!AT209</f>
        <v>23000000</v>
      </c>
      <c r="L62" s="92">
        <f>'Incremental_Cost Year 1'!AU209</f>
        <v>0</v>
      </c>
      <c r="M62" s="92">
        <f>'Incremental_Cost Year 1'!AV209</f>
        <v>0</v>
      </c>
      <c r="N62" s="92">
        <f>'Incremental_Cost Year 1'!AW209</f>
        <v>23000000</v>
      </c>
      <c r="O62" s="92">
        <f>'Incremental_Cost Year 1'!AX209</f>
        <v>0</v>
      </c>
      <c r="P62" s="92">
        <f>'Incremental_Cost Year 1'!AY209</f>
        <v>0</v>
      </c>
      <c r="Q62" s="92">
        <f>'Incremental_Cost Year 1'!AZ209</f>
        <v>0</v>
      </c>
      <c r="R62" s="92">
        <f>'Incremental_Cost Year 1'!BA209</f>
        <v>0</v>
      </c>
      <c r="S62" s="92">
        <f>'Incremental_Cost Year 1'!BB209</f>
        <v>0</v>
      </c>
      <c r="U62" s="92">
        <f>'Incremental_Cost Year 2'!AQ209</f>
        <v>167180919</v>
      </c>
      <c r="V62" s="92">
        <f>'Incremental_Cost Year 2'!AR209</f>
        <v>249600000</v>
      </c>
      <c r="W62" s="92">
        <f>'Incremental_Cost Year 2'!AS209</f>
        <v>27232000</v>
      </c>
      <c r="X62" s="92">
        <f>'Incremental_Cost Year 2'!AT209</f>
        <v>444012919</v>
      </c>
      <c r="Y62" s="92">
        <f>'Incremental_Cost Year 2'!AU209</f>
        <v>430460919</v>
      </c>
      <c r="Z62" s="92">
        <f>'Incremental_Cost Year 2'!AV209</f>
        <v>0</v>
      </c>
      <c r="AA62" s="92">
        <f>'Incremental_Cost Year 2'!AW209</f>
        <v>10000000</v>
      </c>
      <c r="AB62" s="92">
        <f>'Incremental_Cost Year 2'!AX209</f>
        <v>0</v>
      </c>
      <c r="AC62" s="92">
        <f>'Incremental_Cost Year 2'!AY209</f>
        <v>0</v>
      </c>
      <c r="AD62" s="92">
        <f>'Incremental_Cost Year 2'!AZ209</f>
        <v>0</v>
      </c>
      <c r="AE62" s="92">
        <f>'Incremental_Cost Year 2'!BA209</f>
        <v>0</v>
      </c>
      <c r="AF62" s="92">
        <f>'Incremental_Cost Year 2'!BB209</f>
        <v>-3552000</v>
      </c>
      <c r="AH62" s="92">
        <f>'Incremental_Cost Year 3'!AQ209</f>
        <v>167180919</v>
      </c>
      <c r="AI62" s="92">
        <f>'Incremental_Cost Year 3'!AR209</f>
        <v>249600000</v>
      </c>
      <c r="AJ62" s="92">
        <f>'Incremental_Cost Year 3'!AS209</f>
        <v>15732000</v>
      </c>
      <c r="AK62" s="92">
        <f>'Incremental_Cost Year 3'!AT209</f>
        <v>432512919</v>
      </c>
      <c r="AL62" s="92">
        <f>'Incremental_Cost Year 3'!AU209</f>
        <v>432512919</v>
      </c>
      <c r="AM62" s="92">
        <f>'Incremental_Cost Year 3'!AV209</f>
        <v>0</v>
      </c>
      <c r="AN62" s="92">
        <f>'Incremental_Cost Year 3'!AW209</f>
        <v>0</v>
      </c>
      <c r="AO62" s="92">
        <f>'Incremental_Cost Year 3'!AX209</f>
        <v>0</v>
      </c>
      <c r="AP62" s="92">
        <f>'Incremental_Cost Year 3'!AY209</f>
        <v>0</v>
      </c>
      <c r="AQ62" s="92">
        <f>'Incremental_Cost Year 3'!AZ209</f>
        <v>0</v>
      </c>
      <c r="AR62" s="92">
        <f>'Incremental_Cost Year 3'!BA209</f>
        <v>0</v>
      </c>
      <c r="AS62" s="92">
        <f>'Incremental_Cost Year 3'!BB209</f>
        <v>0</v>
      </c>
      <c r="AU62" s="92">
        <f>'Incremental_Cost Year 4'!AQ209</f>
        <v>167180919</v>
      </c>
      <c r="AV62" s="92">
        <f>'Incremental_Cost Year 4'!AR209</f>
        <v>249600000</v>
      </c>
      <c r="AW62" s="92">
        <f>'Incremental_Cost Year 4'!AS209</f>
        <v>15732000</v>
      </c>
      <c r="AX62" s="92">
        <f>'Incremental_Cost Year 4'!AT209</f>
        <v>432512919</v>
      </c>
      <c r="AY62" s="92">
        <f>'Incremental_Cost Year 4'!AU209</f>
        <v>430460919</v>
      </c>
      <c r="AZ62" s="92">
        <f>'Incremental_Cost Year 4'!AV209</f>
        <v>0</v>
      </c>
      <c r="BA62" s="92">
        <f>'Incremental_Cost Year 4'!AW209</f>
        <v>0</v>
      </c>
      <c r="BB62" s="92">
        <f>'Incremental_Cost Year 4'!AX209</f>
        <v>0</v>
      </c>
      <c r="BC62" s="92">
        <f>'Incremental_Cost Year 4'!AY209</f>
        <v>0</v>
      </c>
      <c r="BD62" s="92">
        <f>'Incremental_Cost Year 4'!AZ209</f>
        <v>0</v>
      </c>
      <c r="BE62" s="92">
        <f>'Incremental_Cost Year 4'!BA209</f>
        <v>0</v>
      </c>
      <c r="BF62" s="92">
        <f>'Incremental_Cost Year 4'!BB209</f>
        <v>-2052000</v>
      </c>
      <c r="BH62" s="92">
        <f>'Incremental_Cost Year 5'!AQ209</f>
        <v>167180919</v>
      </c>
      <c r="BI62" s="92">
        <f>'Incremental_Cost Year 5'!AR209</f>
        <v>249600000</v>
      </c>
      <c r="BJ62" s="92">
        <f>'Incremental_Cost Year 5'!AS209</f>
        <v>224911250</v>
      </c>
      <c r="BK62" s="92">
        <f>'Incremental_Cost Year 5'!AT209</f>
        <v>641692169</v>
      </c>
      <c r="BL62" s="92">
        <f>'Incremental_Cost Year 5'!AU209</f>
        <v>612355919</v>
      </c>
      <c r="BM62" s="92">
        <f>'Incremental_Cost Year 5'!AV209</f>
        <v>0</v>
      </c>
      <c r="BN62" s="92">
        <f>'Incremental_Cost Year 5'!AW209</f>
        <v>0</v>
      </c>
      <c r="BO62" s="92">
        <f>'Incremental_Cost Year 5'!AX209</f>
        <v>0</v>
      </c>
      <c r="BP62" s="92">
        <f>'Incremental_Cost Year 5'!AY209</f>
        <v>0</v>
      </c>
      <c r="BQ62" s="92">
        <f>'Incremental_Cost Year 5'!AZ209</f>
        <v>0</v>
      </c>
      <c r="BR62" s="92">
        <f>'Incremental_Cost Year 5'!BA209</f>
        <v>0</v>
      </c>
      <c r="BS62" s="92">
        <f>'Incremental_Cost Year 5'!BB209</f>
        <v>-29336250</v>
      </c>
      <c r="BU62" s="92">
        <f>'Incremental_Cost Year 6'!AQ209</f>
        <v>0</v>
      </c>
      <c r="BV62" s="92">
        <f>'Incremental_Cost Year 6'!AR209</f>
        <v>0</v>
      </c>
      <c r="BW62" s="92">
        <f>'Incremental_Cost Year 6'!AS209</f>
        <v>0</v>
      </c>
      <c r="BX62" s="92">
        <f>'Incremental_Cost Year 6'!AT209</f>
        <v>0</v>
      </c>
      <c r="BY62" s="92">
        <f>'Incremental_Cost Year 6'!AU209</f>
        <v>0</v>
      </c>
      <c r="BZ62" s="92">
        <f>'Incremental_Cost Year 6'!AV209</f>
        <v>0</v>
      </c>
      <c r="CA62" s="92">
        <f>'Incremental_Cost Year 6'!AW209</f>
        <v>0</v>
      </c>
      <c r="CB62" s="92">
        <f>'Incremental_Cost Year 6'!AX209</f>
        <v>0</v>
      </c>
      <c r="CC62" s="92">
        <f>'Incremental_Cost Year 6'!AY209</f>
        <v>0</v>
      </c>
      <c r="CD62" s="92">
        <f>'Incremental_Cost Year 6'!AZ209</f>
        <v>0</v>
      </c>
      <c r="CE62" s="92">
        <f>'Incremental_Cost Year 6'!BA209</f>
        <v>0</v>
      </c>
      <c r="CF62" s="92">
        <f>'Incremental_Cost Year 6'!BB209</f>
        <v>0</v>
      </c>
      <c r="CH62" s="92">
        <f>'Incremental_Cost Year 7'!AQ209</f>
        <v>0</v>
      </c>
      <c r="CI62" s="92">
        <f>'Incremental_Cost Year 7'!AR209</f>
        <v>0</v>
      </c>
      <c r="CJ62" s="92">
        <f>'Incremental_Cost Year 7'!AS209</f>
        <v>0</v>
      </c>
      <c r="CK62" s="92">
        <f>'Incremental_Cost Year 7'!AT209</f>
        <v>0</v>
      </c>
      <c r="CL62" s="92">
        <f>'Incremental_Cost Year 7'!AU209</f>
        <v>0</v>
      </c>
      <c r="CM62" s="92">
        <f>'Incremental_Cost Year 7'!AV209</f>
        <v>0</v>
      </c>
      <c r="CN62" s="92">
        <f>'Incremental_Cost Year 7'!AW209</f>
        <v>0</v>
      </c>
      <c r="CO62" s="92">
        <f>'Incremental_Cost Year 7'!AX209</f>
        <v>0</v>
      </c>
      <c r="CP62" s="92">
        <f>'Incremental_Cost Year 7'!AY209</f>
        <v>0</v>
      </c>
      <c r="CQ62" s="92">
        <f>'Incremental_Cost Year 7'!AZ209</f>
        <v>0</v>
      </c>
      <c r="CR62" s="92">
        <f>'Incremental_Cost Year 7'!BA209</f>
        <v>0</v>
      </c>
      <c r="CS62" s="92">
        <f>'Incremental_Cost Year 7'!BB209</f>
        <v>0</v>
      </c>
      <c r="CU62" s="92">
        <f>'Incremental_Cost Year 8'!AQ209</f>
        <v>0</v>
      </c>
      <c r="CV62" s="92">
        <f>'Incremental_Cost Year 8'!AR209</f>
        <v>0</v>
      </c>
      <c r="CW62" s="92">
        <f>'Incremental_Cost Year 8'!AS209</f>
        <v>0</v>
      </c>
      <c r="CX62" s="92">
        <f>'Incremental_Cost Year 8'!AT209</f>
        <v>0</v>
      </c>
      <c r="CY62" s="92">
        <f>'Incremental_Cost Year 8'!AU209</f>
        <v>0</v>
      </c>
      <c r="CZ62" s="92">
        <f>'Incremental_Cost Year 8'!AV209</f>
        <v>0</v>
      </c>
      <c r="DA62" s="92">
        <f>'Incremental_Cost Year 8'!AW209</f>
        <v>0</v>
      </c>
      <c r="DB62" s="92">
        <f>'Incremental_Cost Year 8'!AX209</f>
        <v>0</v>
      </c>
      <c r="DC62" s="92">
        <f>'Incremental_Cost Year 8'!AY209</f>
        <v>0</v>
      </c>
      <c r="DD62" s="92">
        <f>'Incremental_Cost Year 8'!AZ209</f>
        <v>0</v>
      </c>
      <c r="DE62" s="92">
        <f>'Incremental_Cost Year 8'!BA209</f>
        <v>0</v>
      </c>
      <c r="DF62" s="92">
        <f>'Incremental_Cost Year 8'!BB209</f>
        <v>0</v>
      </c>
      <c r="DH62" s="92">
        <f>'Incremental_Cost Year 9'!AQ209</f>
        <v>0</v>
      </c>
      <c r="DI62" s="92">
        <f>'Incremental_Cost Year 9'!AR209</f>
        <v>0</v>
      </c>
      <c r="DJ62" s="92">
        <f>'Incremental_Cost Year 9'!AS209</f>
        <v>0</v>
      </c>
      <c r="DK62" s="92">
        <f>'Incremental_Cost Year 9'!AT209</f>
        <v>0</v>
      </c>
      <c r="DL62" s="92">
        <f>'Incremental_Cost Year 9'!AU209</f>
        <v>0</v>
      </c>
      <c r="DM62" s="92">
        <f>'Incremental_Cost Year 9'!AV209</f>
        <v>0</v>
      </c>
      <c r="DN62" s="92">
        <f>'Incremental_Cost Year 9'!AW209</f>
        <v>0</v>
      </c>
      <c r="DO62" s="92">
        <f>'Incremental_Cost Year 9'!AX209</f>
        <v>0</v>
      </c>
      <c r="DP62" s="92">
        <f>'Incremental_Cost Year 9'!AY209</f>
        <v>0</v>
      </c>
      <c r="DQ62" s="92">
        <f>'Incremental_Cost Year 9'!AZ209</f>
        <v>0</v>
      </c>
      <c r="DR62" s="92">
        <f>'Incremental_Cost Year 9'!BA209</f>
        <v>0</v>
      </c>
      <c r="DS62" s="92">
        <f>'Incremental_Cost Year 9'!BB209</f>
        <v>0</v>
      </c>
      <c r="DU62" s="92">
        <f>'Incremental_Cost Year 10'!AQ209</f>
        <v>0</v>
      </c>
      <c r="DV62" s="92">
        <f>'Incremental_Cost Year 10'!AR209</f>
        <v>0</v>
      </c>
      <c r="DW62" s="92">
        <f>'Incremental_Cost Year 10'!AS209</f>
        <v>0</v>
      </c>
      <c r="DX62" s="92">
        <f>'Incremental_Cost Year 10'!AT209</f>
        <v>0</v>
      </c>
      <c r="DY62" s="92">
        <f>'Incremental_Cost Year 10'!AU209</f>
        <v>0</v>
      </c>
      <c r="DZ62" s="92">
        <f>'Incremental_Cost Year 10'!AV209</f>
        <v>0</v>
      </c>
      <c r="EA62" s="92">
        <f>'Incremental_Cost Year 10'!AW209</f>
        <v>0</v>
      </c>
      <c r="EB62" s="92">
        <f>'Incremental_Cost Year 10'!AX209</f>
        <v>0</v>
      </c>
      <c r="EC62" s="92">
        <f>'Incremental_Cost Year 10'!AY209</f>
        <v>0</v>
      </c>
      <c r="ED62" s="92">
        <f>'Incremental_Cost Year 10'!AZ209</f>
        <v>0</v>
      </c>
      <c r="EE62" s="92">
        <f>'Incremental_Cost Year 10'!BA209</f>
        <v>0</v>
      </c>
      <c r="EF62" s="92">
        <f>'Incremental_Cost Year 10'!BB209</f>
        <v>0</v>
      </c>
      <c r="EH62" s="52">
        <f>H62+U62+AH62+AU62+BH62+BU62+CH62+CU62+DH62+DU62</f>
        <v>668723676</v>
      </c>
      <c r="EI62" s="52">
        <f t="shared" si="268"/>
        <v>998400000</v>
      </c>
      <c r="EJ62" s="52">
        <f t="shared" si="268"/>
        <v>306607250</v>
      </c>
      <c r="EK62" s="52">
        <f t="shared" si="268"/>
        <v>1973730926</v>
      </c>
      <c r="EL62" s="52">
        <f t="shared" si="268"/>
        <v>1905790676</v>
      </c>
      <c r="EM62" s="52">
        <f t="shared" si="268"/>
        <v>0</v>
      </c>
      <c r="EN62" s="52">
        <f t="shared" si="268"/>
        <v>33000000</v>
      </c>
      <c r="EO62" s="52">
        <f t="shared" si="268"/>
        <v>0</v>
      </c>
      <c r="EP62" s="52">
        <f t="shared" si="268"/>
        <v>0</v>
      </c>
      <c r="EQ62" s="52">
        <f t="shared" si="268"/>
        <v>0</v>
      </c>
      <c r="ER62" s="52">
        <f t="shared" si="268"/>
        <v>0</v>
      </c>
      <c r="ES62" s="52">
        <f t="shared" si="268"/>
        <v>-34940250</v>
      </c>
      <c r="EU62" s="194">
        <f t="shared" si="23"/>
        <v>33000000</v>
      </c>
      <c r="EW62" s="194">
        <f t="shared" si="24"/>
        <v>-34940250</v>
      </c>
      <c r="EX62" s="194">
        <f t="shared" si="21"/>
        <v>0</v>
      </c>
    </row>
    <row r="63" spans="1:154" ht="25.5" x14ac:dyDescent="0.25">
      <c r="B63" s="43"/>
      <c r="C63" s="64"/>
      <c r="D63" s="193" t="str">
        <f>'Incremental_Cost Year 1'!D212</f>
        <v>07220 Shërbime të Kujdesit Shëndetësor Parësor</v>
      </c>
      <c r="E63" s="193" t="str">
        <f>'Incremental_Cost Year 1'!E212</f>
        <v xml:space="preserve">4.1.3 Vazhdimi i fuqizimit të kapaciteteve të burimeve njerëzore  </v>
      </c>
      <c r="F63" s="96">
        <f>'Incremental_Cost Year 1'!F212</f>
        <v>2022</v>
      </c>
      <c r="G63" s="96">
        <f>'Incremental_Cost Year 1'!G212</f>
        <v>2025</v>
      </c>
      <c r="H63" s="52">
        <f>'Incremental_Cost Year 1'!AQ212</f>
        <v>0</v>
      </c>
      <c r="I63" s="92">
        <f>'Incremental_Cost Year 1'!AR212</f>
        <v>0</v>
      </c>
      <c r="J63" s="92">
        <f>'Incremental_Cost Year 1'!AS212</f>
        <v>0</v>
      </c>
      <c r="K63" s="92">
        <f>'Incremental_Cost Year 1'!AT212</f>
        <v>0</v>
      </c>
      <c r="L63" s="92">
        <f>'Incremental_Cost Year 1'!AU212</f>
        <v>0</v>
      </c>
      <c r="M63" s="92">
        <f>'Incremental_Cost Year 1'!AV212</f>
        <v>0</v>
      </c>
      <c r="N63" s="92">
        <f>'Incremental_Cost Year 1'!AW212</f>
        <v>0</v>
      </c>
      <c r="O63" s="92">
        <f>'Incremental_Cost Year 1'!AX212</f>
        <v>0</v>
      </c>
      <c r="P63" s="92">
        <f>'Incremental_Cost Year 1'!AY212</f>
        <v>0</v>
      </c>
      <c r="Q63" s="92">
        <f>'Incremental_Cost Year 1'!AZ212</f>
        <v>0</v>
      </c>
      <c r="R63" s="92">
        <f>'Incremental_Cost Year 1'!BA212</f>
        <v>0</v>
      </c>
      <c r="S63" s="92">
        <f>'Incremental_Cost Year 1'!BB212</f>
        <v>0</v>
      </c>
      <c r="U63" s="92">
        <f>'Incremental_Cost Year 2'!AQ212</f>
        <v>804309.73714285716</v>
      </c>
      <c r="V63" s="92">
        <f>'Incremental_Cost Year 2'!AR212</f>
        <v>4725600</v>
      </c>
      <c r="W63" s="92">
        <f>'Incremental_Cost Year 2'!AS212</f>
        <v>0</v>
      </c>
      <c r="X63" s="92">
        <f>'Incremental_Cost Year 2'!AT212</f>
        <v>5529909.7371428572</v>
      </c>
      <c r="Y63" s="92">
        <f>'Incremental_Cost Year 2'!AU212</f>
        <v>804309.73714285716</v>
      </c>
      <c r="Z63" s="92">
        <f>'Incremental_Cost Year 2'!AV212</f>
        <v>0</v>
      </c>
      <c r="AA63" s="92">
        <f>'Incremental_Cost Year 2'!AW212</f>
        <v>0</v>
      </c>
      <c r="AB63" s="92">
        <f>'Incremental_Cost Year 2'!AX212</f>
        <v>0</v>
      </c>
      <c r="AC63" s="92">
        <f>'Incremental_Cost Year 2'!AY212</f>
        <v>0</v>
      </c>
      <c r="AD63" s="92">
        <f>'Incremental_Cost Year 2'!AZ212</f>
        <v>0</v>
      </c>
      <c r="AE63" s="92">
        <f>'Incremental_Cost Year 2'!BA212</f>
        <v>0</v>
      </c>
      <c r="AF63" s="92">
        <f>'Incremental_Cost Year 2'!BB212</f>
        <v>-4725600</v>
      </c>
      <c r="AH63" s="92">
        <f>'Incremental_Cost Year 3'!AQ212</f>
        <v>804309.73714285716</v>
      </c>
      <c r="AI63" s="92">
        <f>'Incremental_Cost Year 3'!AR212</f>
        <v>4725600</v>
      </c>
      <c r="AJ63" s="92">
        <f>'Incremental_Cost Year 3'!AS212</f>
        <v>0</v>
      </c>
      <c r="AK63" s="92">
        <f>'Incremental_Cost Year 3'!AT212</f>
        <v>5529909.7371428572</v>
      </c>
      <c r="AL63" s="92">
        <f>'Incremental_Cost Year 3'!AU212</f>
        <v>804309.73714285716</v>
      </c>
      <c r="AM63" s="92">
        <f>'Incremental_Cost Year 3'!AV212</f>
        <v>0</v>
      </c>
      <c r="AN63" s="92">
        <f>'Incremental_Cost Year 3'!AW212</f>
        <v>0</v>
      </c>
      <c r="AO63" s="92">
        <f>'Incremental_Cost Year 3'!AX212</f>
        <v>0</v>
      </c>
      <c r="AP63" s="92">
        <f>'Incremental_Cost Year 3'!AY212</f>
        <v>0</v>
      </c>
      <c r="AQ63" s="92">
        <f>'Incremental_Cost Year 3'!AZ212</f>
        <v>0</v>
      </c>
      <c r="AR63" s="92">
        <f>'Incremental_Cost Year 3'!BA212</f>
        <v>0</v>
      </c>
      <c r="AS63" s="92">
        <f>'Incremental_Cost Year 3'!BB212</f>
        <v>-4725600</v>
      </c>
      <c r="AU63" s="92">
        <f>'Incremental_Cost Year 4'!AQ212</f>
        <v>804309.73714285716</v>
      </c>
      <c r="AV63" s="92">
        <f>'Incremental_Cost Year 4'!AR212</f>
        <v>4725600</v>
      </c>
      <c r="AW63" s="92">
        <f>'Incremental_Cost Year 4'!AS212</f>
        <v>0</v>
      </c>
      <c r="AX63" s="92">
        <f>'Incremental_Cost Year 4'!AT212</f>
        <v>5529909.7371428572</v>
      </c>
      <c r="AY63" s="92">
        <f>'Incremental_Cost Year 4'!AU212</f>
        <v>804309.73714285716</v>
      </c>
      <c r="AZ63" s="92">
        <f>'Incremental_Cost Year 4'!AV212</f>
        <v>0</v>
      </c>
      <c r="BA63" s="92">
        <f>'Incremental_Cost Year 4'!AW212</f>
        <v>0</v>
      </c>
      <c r="BB63" s="92">
        <f>'Incremental_Cost Year 4'!AX212</f>
        <v>0</v>
      </c>
      <c r="BC63" s="92">
        <f>'Incremental_Cost Year 4'!AY212</f>
        <v>0</v>
      </c>
      <c r="BD63" s="92">
        <f>'Incremental_Cost Year 4'!AZ212</f>
        <v>0</v>
      </c>
      <c r="BE63" s="92">
        <f>'Incremental_Cost Year 4'!BA212</f>
        <v>0</v>
      </c>
      <c r="BF63" s="92">
        <f>'Incremental_Cost Year 4'!BB212</f>
        <v>-4725600</v>
      </c>
      <c r="BH63" s="92">
        <f>'Incremental_Cost Year 5'!AQ212</f>
        <v>804309.73714285716</v>
      </c>
      <c r="BI63" s="92">
        <f>'Incremental_Cost Year 5'!AR212</f>
        <v>4725600</v>
      </c>
      <c r="BJ63" s="92">
        <f>'Incremental_Cost Year 5'!AS212</f>
        <v>0</v>
      </c>
      <c r="BK63" s="92">
        <f>'Incremental_Cost Year 5'!AT212</f>
        <v>5529909.7371428572</v>
      </c>
      <c r="BL63" s="92">
        <f>'Incremental_Cost Year 5'!AU212</f>
        <v>804309.73714285716</v>
      </c>
      <c r="BM63" s="92">
        <f>'Incremental_Cost Year 5'!AV212</f>
        <v>0</v>
      </c>
      <c r="BN63" s="92">
        <f>'Incremental_Cost Year 5'!AW212</f>
        <v>0</v>
      </c>
      <c r="BO63" s="92">
        <f>'Incremental_Cost Year 5'!AX212</f>
        <v>0</v>
      </c>
      <c r="BP63" s="92">
        <f>'Incremental_Cost Year 5'!AY212</f>
        <v>0</v>
      </c>
      <c r="BQ63" s="92">
        <f>'Incremental_Cost Year 5'!AZ212</f>
        <v>0</v>
      </c>
      <c r="BR63" s="92">
        <f>'Incremental_Cost Year 5'!BA212</f>
        <v>0</v>
      </c>
      <c r="BS63" s="92">
        <f>'Incremental_Cost Year 5'!BB212</f>
        <v>-4725600</v>
      </c>
      <c r="BU63" s="92">
        <f>'Incremental_Cost Year 6'!AQ212</f>
        <v>0</v>
      </c>
      <c r="BV63" s="92">
        <f>'Incremental_Cost Year 6'!AR212</f>
        <v>0</v>
      </c>
      <c r="BW63" s="92">
        <f>'Incremental_Cost Year 6'!AS212</f>
        <v>0</v>
      </c>
      <c r="BX63" s="92">
        <f>'Incremental_Cost Year 6'!AT212</f>
        <v>0</v>
      </c>
      <c r="BY63" s="92">
        <f>'Incremental_Cost Year 6'!AU212</f>
        <v>0</v>
      </c>
      <c r="BZ63" s="92">
        <f>'Incremental_Cost Year 6'!AV212</f>
        <v>0</v>
      </c>
      <c r="CA63" s="92">
        <f>'Incremental_Cost Year 6'!AW212</f>
        <v>0</v>
      </c>
      <c r="CB63" s="92">
        <f>'Incremental_Cost Year 6'!AX212</f>
        <v>0</v>
      </c>
      <c r="CC63" s="92">
        <f>'Incremental_Cost Year 6'!AY212</f>
        <v>0</v>
      </c>
      <c r="CD63" s="92">
        <f>'Incremental_Cost Year 6'!AZ212</f>
        <v>0</v>
      </c>
      <c r="CE63" s="92">
        <f>'Incremental_Cost Year 6'!BA212</f>
        <v>0</v>
      </c>
      <c r="CF63" s="92">
        <f>'Incremental_Cost Year 6'!BB212</f>
        <v>0</v>
      </c>
      <c r="CH63" s="92">
        <f>'Incremental_Cost Year 7'!AQ212</f>
        <v>0</v>
      </c>
      <c r="CI63" s="92">
        <f>'Incremental_Cost Year 7'!AR212</f>
        <v>0</v>
      </c>
      <c r="CJ63" s="92">
        <f>'Incremental_Cost Year 7'!AS212</f>
        <v>0</v>
      </c>
      <c r="CK63" s="92">
        <f>'Incremental_Cost Year 7'!AT212</f>
        <v>0</v>
      </c>
      <c r="CL63" s="92">
        <f>'Incremental_Cost Year 7'!AU212</f>
        <v>0</v>
      </c>
      <c r="CM63" s="92">
        <f>'Incremental_Cost Year 7'!AV212</f>
        <v>0</v>
      </c>
      <c r="CN63" s="92">
        <f>'Incremental_Cost Year 7'!AW212</f>
        <v>0</v>
      </c>
      <c r="CO63" s="92">
        <f>'Incremental_Cost Year 7'!AX212</f>
        <v>0</v>
      </c>
      <c r="CP63" s="92">
        <f>'Incremental_Cost Year 7'!AY212</f>
        <v>0</v>
      </c>
      <c r="CQ63" s="92">
        <f>'Incremental_Cost Year 7'!AZ212</f>
        <v>0</v>
      </c>
      <c r="CR63" s="92">
        <f>'Incremental_Cost Year 7'!BA212</f>
        <v>0</v>
      </c>
      <c r="CS63" s="92">
        <f>'Incremental_Cost Year 7'!BB212</f>
        <v>0</v>
      </c>
      <c r="CU63" s="92">
        <f>'Incremental_Cost Year 8'!AQ212</f>
        <v>0</v>
      </c>
      <c r="CV63" s="92">
        <f>'Incremental_Cost Year 8'!AR212</f>
        <v>0</v>
      </c>
      <c r="CW63" s="92">
        <f>'Incremental_Cost Year 8'!AS212</f>
        <v>0</v>
      </c>
      <c r="CX63" s="92">
        <f>'Incremental_Cost Year 8'!AT212</f>
        <v>0</v>
      </c>
      <c r="CY63" s="92">
        <f>'Incremental_Cost Year 8'!AU212</f>
        <v>0</v>
      </c>
      <c r="CZ63" s="92">
        <f>'Incremental_Cost Year 8'!AV212</f>
        <v>0</v>
      </c>
      <c r="DA63" s="92">
        <f>'Incremental_Cost Year 8'!AW212</f>
        <v>0</v>
      </c>
      <c r="DB63" s="92">
        <f>'Incremental_Cost Year 8'!AX212</f>
        <v>0</v>
      </c>
      <c r="DC63" s="92">
        <f>'Incremental_Cost Year 8'!AY212</f>
        <v>0</v>
      </c>
      <c r="DD63" s="92">
        <f>'Incremental_Cost Year 8'!AZ212</f>
        <v>0</v>
      </c>
      <c r="DE63" s="92">
        <f>'Incremental_Cost Year 8'!BA212</f>
        <v>0</v>
      </c>
      <c r="DF63" s="92">
        <f>'Incremental_Cost Year 8'!BB212</f>
        <v>0</v>
      </c>
      <c r="DH63" s="92">
        <f>'Incremental_Cost Year 9'!AQ212</f>
        <v>0</v>
      </c>
      <c r="DI63" s="92">
        <f>'Incremental_Cost Year 9'!AR212</f>
        <v>0</v>
      </c>
      <c r="DJ63" s="92">
        <f>'Incremental_Cost Year 9'!AS212</f>
        <v>0</v>
      </c>
      <c r="DK63" s="92">
        <f>'Incremental_Cost Year 9'!AT212</f>
        <v>0</v>
      </c>
      <c r="DL63" s="92">
        <f>'Incremental_Cost Year 9'!AU212</f>
        <v>0</v>
      </c>
      <c r="DM63" s="92">
        <f>'Incremental_Cost Year 9'!AV212</f>
        <v>0</v>
      </c>
      <c r="DN63" s="92">
        <f>'Incremental_Cost Year 9'!AW212</f>
        <v>0</v>
      </c>
      <c r="DO63" s="92">
        <f>'Incremental_Cost Year 9'!AX212</f>
        <v>0</v>
      </c>
      <c r="DP63" s="92">
        <f>'Incremental_Cost Year 9'!AY212</f>
        <v>0</v>
      </c>
      <c r="DQ63" s="92">
        <f>'Incremental_Cost Year 9'!AZ212</f>
        <v>0</v>
      </c>
      <c r="DR63" s="92">
        <f>'Incremental_Cost Year 9'!BA212</f>
        <v>0</v>
      </c>
      <c r="DS63" s="92">
        <f>'Incremental_Cost Year 9'!BB212</f>
        <v>0</v>
      </c>
      <c r="DU63" s="92">
        <f>'Incremental_Cost Year 10'!AQ212</f>
        <v>0</v>
      </c>
      <c r="DV63" s="92">
        <f>'Incremental_Cost Year 10'!AR212</f>
        <v>0</v>
      </c>
      <c r="DW63" s="92">
        <f>'Incremental_Cost Year 10'!AS212</f>
        <v>0</v>
      </c>
      <c r="DX63" s="92">
        <f>'Incremental_Cost Year 10'!AT212</f>
        <v>0</v>
      </c>
      <c r="DY63" s="92">
        <f>'Incremental_Cost Year 10'!AU212</f>
        <v>0</v>
      </c>
      <c r="DZ63" s="92">
        <f>'Incremental_Cost Year 10'!AV212</f>
        <v>0</v>
      </c>
      <c r="EA63" s="92">
        <f>'Incremental_Cost Year 10'!AW212</f>
        <v>0</v>
      </c>
      <c r="EB63" s="92">
        <f>'Incremental_Cost Year 10'!AX212</f>
        <v>0</v>
      </c>
      <c r="EC63" s="92">
        <f>'Incremental_Cost Year 10'!AY212</f>
        <v>0</v>
      </c>
      <c r="ED63" s="92">
        <f>'Incremental_Cost Year 10'!AZ212</f>
        <v>0</v>
      </c>
      <c r="EE63" s="92">
        <f>'Incremental_Cost Year 10'!BA212</f>
        <v>0</v>
      </c>
      <c r="EF63" s="92">
        <f>'Incremental_Cost Year 10'!BB212</f>
        <v>0</v>
      </c>
      <c r="EH63" s="52">
        <f>H63+U63+AH63+AU63+BH63+BU63+CH63+CU63+DH63+DU63</f>
        <v>3217238.9485714287</v>
      </c>
      <c r="EI63" s="52">
        <f t="shared" si="268"/>
        <v>18902400</v>
      </c>
      <c r="EJ63" s="52">
        <f t="shared" si="268"/>
        <v>0</v>
      </c>
      <c r="EK63" s="52">
        <f t="shared" si="268"/>
        <v>22119638.948571429</v>
      </c>
      <c r="EL63" s="52">
        <f t="shared" si="268"/>
        <v>3217238.9485714287</v>
      </c>
      <c r="EM63" s="52">
        <f t="shared" si="268"/>
        <v>0</v>
      </c>
      <c r="EN63" s="52">
        <f t="shared" si="268"/>
        <v>0</v>
      </c>
      <c r="EO63" s="52">
        <f t="shared" si="268"/>
        <v>0</v>
      </c>
      <c r="EP63" s="52">
        <f t="shared" si="268"/>
        <v>0</v>
      </c>
      <c r="EQ63" s="52">
        <f t="shared" si="268"/>
        <v>0</v>
      </c>
      <c r="ER63" s="52">
        <f t="shared" si="268"/>
        <v>0</v>
      </c>
      <c r="ES63" s="52">
        <f t="shared" si="268"/>
        <v>-18902400</v>
      </c>
      <c r="EU63" s="194">
        <f t="shared" si="23"/>
        <v>0</v>
      </c>
      <c r="EW63" s="194">
        <f t="shared" si="24"/>
        <v>-18902400</v>
      </c>
      <c r="EX63" s="194">
        <f t="shared" si="21"/>
        <v>0</v>
      </c>
    </row>
    <row r="64" spans="1:154" s="77" customFormat="1" x14ac:dyDescent="0.25">
      <c r="A64" s="87"/>
      <c r="B64" s="90"/>
      <c r="C64" s="421" t="str">
        <f>'Incremental_Cost Year 1'!C213:E213</f>
        <v>4.2 Objektivi Specifik: Sigurimi i gatishmërisë kombëtare dhe rajonale për reagimin e koordinuar ndaj emergjencave shëndetësore</v>
      </c>
      <c r="D64" s="421"/>
      <c r="E64" s="422"/>
      <c r="F64" s="99"/>
      <c r="G64" s="99"/>
      <c r="H64" s="94">
        <f>SUM(H65:H65)</f>
        <v>189738878.95714289</v>
      </c>
      <c r="I64" s="94">
        <f t="shared" ref="I64:S64" si="269">SUM(I65:I65)</f>
        <v>283829666.66666669</v>
      </c>
      <c r="J64" s="94">
        <f t="shared" si="269"/>
        <v>0</v>
      </c>
      <c r="K64" s="94">
        <f t="shared" si="269"/>
        <v>473568545.62380958</v>
      </c>
      <c r="L64" s="94">
        <f t="shared" si="269"/>
        <v>473568545.62380958</v>
      </c>
      <c r="M64" s="94">
        <f t="shared" si="269"/>
        <v>0</v>
      </c>
      <c r="N64" s="94">
        <f t="shared" si="269"/>
        <v>0</v>
      </c>
      <c r="O64" s="94">
        <f t="shared" si="269"/>
        <v>0</v>
      </c>
      <c r="P64" s="94">
        <f t="shared" si="269"/>
        <v>0</v>
      </c>
      <c r="Q64" s="94">
        <f t="shared" si="269"/>
        <v>0</v>
      </c>
      <c r="R64" s="94">
        <f t="shared" si="269"/>
        <v>0</v>
      </c>
      <c r="S64" s="94">
        <f t="shared" si="269"/>
        <v>0</v>
      </c>
      <c r="T64" s="70"/>
      <c r="U64" s="94">
        <f>SUM(U65:U65)</f>
        <v>983156921.7428571</v>
      </c>
      <c r="V64" s="94">
        <f t="shared" ref="V64:AF64" si="270">SUM(V65:V65)</f>
        <v>1442163000</v>
      </c>
      <c r="W64" s="94">
        <f t="shared" si="270"/>
        <v>0</v>
      </c>
      <c r="X64" s="94">
        <f t="shared" si="270"/>
        <v>2425319921.7428575</v>
      </c>
      <c r="Y64" s="94">
        <f t="shared" si="270"/>
        <v>2425319921.7428575</v>
      </c>
      <c r="Z64" s="94">
        <f t="shared" si="270"/>
        <v>0</v>
      </c>
      <c r="AA64" s="94">
        <f t="shared" si="270"/>
        <v>0</v>
      </c>
      <c r="AB64" s="94">
        <f t="shared" si="270"/>
        <v>0</v>
      </c>
      <c r="AC64" s="94">
        <f t="shared" si="270"/>
        <v>0</v>
      </c>
      <c r="AD64" s="94">
        <f t="shared" si="270"/>
        <v>0</v>
      </c>
      <c r="AE64" s="94">
        <f t="shared" si="270"/>
        <v>0</v>
      </c>
      <c r="AF64" s="94">
        <f t="shared" si="270"/>
        <v>0</v>
      </c>
      <c r="AG64" s="70"/>
      <c r="AH64" s="94">
        <f>SUM(AH65:AH65)</f>
        <v>983156921.7428571</v>
      </c>
      <c r="AI64" s="94">
        <f t="shared" ref="AI64:AS64" si="271">SUM(AI65:AI65)</f>
        <v>1442163000</v>
      </c>
      <c r="AJ64" s="94">
        <f t="shared" si="271"/>
        <v>143750000</v>
      </c>
      <c r="AK64" s="94">
        <f t="shared" si="271"/>
        <v>2569069921.7428575</v>
      </c>
      <c r="AL64" s="94">
        <f t="shared" si="271"/>
        <v>2569069921.7428575</v>
      </c>
      <c r="AM64" s="94">
        <f t="shared" si="271"/>
        <v>0</v>
      </c>
      <c r="AN64" s="94">
        <f t="shared" si="271"/>
        <v>0</v>
      </c>
      <c r="AO64" s="94">
        <f t="shared" si="271"/>
        <v>0</v>
      </c>
      <c r="AP64" s="94">
        <f t="shared" si="271"/>
        <v>0</v>
      </c>
      <c r="AQ64" s="94">
        <f t="shared" si="271"/>
        <v>0</v>
      </c>
      <c r="AR64" s="94">
        <f t="shared" si="271"/>
        <v>0</v>
      </c>
      <c r="AS64" s="94">
        <f t="shared" si="271"/>
        <v>0</v>
      </c>
      <c r="AT64" s="70"/>
      <c r="AU64" s="94">
        <f>SUM(AU65:AU65)</f>
        <v>984568524.94285715</v>
      </c>
      <c r="AV64" s="94">
        <f t="shared" ref="AV64:BF64" si="272">SUM(AV65:AV65)</f>
        <v>1442163000</v>
      </c>
      <c r="AW64" s="94">
        <f t="shared" si="272"/>
        <v>143750000</v>
      </c>
      <c r="AX64" s="94">
        <f t="shared" si="272"/>
        <v>2570481524.9428573</v>
      </c>
      <c r="AY64" s="94">
        <f t="shared" si="272"/>
        <v>2551731524.9428573</v>
      </c>
      <c r="AZ64" s="94">
        <f t="shared" si="272"/>
        <v>0</v>
      </c>
      <c r="BA64" s="94">
        <f t="shared" si="272"/>
        <v>0</v>
      </c>
      <c r="BB64" s="94">
        <f t="shared" si="272"/>
        <v>0</v>
      </c>
      <c r="BC64" s="94">
        <f t="shared" si="272"/>
        <v>0</v>
      </c>
      <c r="BD64" s="94">
        <f t="shared" si="272"/>
        <v>0</v>
      </c>
      <c r="BE64" s="94">
        <f t="shared" si="272"/>
        <v>0</v>
      </c>
      <c r="BF64" s="94">
        <f t="shared" si="272"/>
        <v>-18750000</v>
      </c>
      <c r="BG64" s="70"/>
      <c r="BH64" s="94">
        <f>SUM(BH65:BH65)</f>
        <v>984568524.94285715</v>
      </c>
      <c r="BI64" s="94">
        <f t="shared" ref="BI64:BS64" si="273">SUM(BI65:BI65)</f>
        <v>1442163000</v>
      </c>
      <c r="BJ64" s="94">
        <f t="shared" si="273"/>
        <v>0</v>
      </c>
      <c r="BK64" s="94">
        <f t="shared" si="273"/>
        <v>2426731524.9428573</v>
      </c>
      <c r="BL64" s="94">
        <f t="shared" si="273"/>
        <v>2426731524.9428573</v>
      </c>
      <c r="BM64" s="94">
        <f t="shared" si="273"/>
        <v>0</v>
      </c>
      <c r="BN64" s="94">
        <f t="shared" si="273"/>
        <v>0</v>
      </c>
      <c r="BO64" s="94">
        <f t="shared" si="273"/>
        <v>0</v>
      </c>
      <c r="BP64" s="94">
        <f t="shared" si="273"/>
        <v>0</v>
      </c>
      <c r="BQ64" s="94">
        <f t="shared" si="273"/>
        <v>0</v>
      </c>
      <c r="BR64" s="94">
        <f t="shared" si="273"/>
        <v>0</v>
      </c>
      <c r="BS64" s="94">
        <f t="shared" si="273"/>
        <v>0</v>
      </c>
      <c r="BT64" s="70"/>
      <c r="BU64" s="94">
        <f>SUM(BU65:BU65)</f>
        <v>983156921.7428571</v>
      </c>
      <c r="BV64" s="94">
        <f t="shared" ref="BV64:CF64" si="274">SUM(BV65:BV65)</f>
        <v>1442163000</v>
      </c>
      <c r="BW64" s="94">
        <f t="shared" si="274"/>
        <v>0</v>
      </c>
      <c r="BX64" s="94">
        <f t="shared" si="274"/>
        <v>2425319921.7428575</v>
      </c>
      <c r="BY64" s="94">
        <f t="shared" si="274"/>
        <v>2425319921.7428575</v>
      </c>
      <c r="BZ64" s="94">
        <f t="shared" si="274"/>
        <v>0</v>
      </c>
      <c r="CA64" s="94">
        <f t="shared" si="274"/>
        <v>0</v>
      </c>
      <c r="CB64" s="94">
        <f t="shared" si="274"/>
        <v>0</v>
      </c>
      <c r="CC64" s="94">
        <f t="shared" si="274"/>
        <v>0</v>
      </c>
      <c r="CD64" s="94">
        <f t="shared" si="274"/>
        <v>0</v>
      </c>
      <c r="CE64" s="94">
        <f t="shared" si="274"/>
        <v>0</v>
      </c>
      <c r="CF64" s="94">
        <f t="shared" si="274"/>
        <v>0</v>
      </c>
      <c r="CG64" s="70"/>
      <c r="CH64" s="94">
        <f>SUM(CH65:CH65)</f>
        <v>983156921.7428571</v>
      </c>
      <c r="CI64" s="94">
        <f t="shared" ref="CI64:CS64" si="275">SUM(CI65:CI65)</f>
        <v>1442163000</v>
      </c>
      <c r="CJ64" s="94">
        <f t="shared" si="275"/>
        <v>0</v>
      </c>
      <c r="CK64" s="94">
        <f t="shared" si="275"/>
        <v>2425319921.7428575</v>
      </c>
      <c r="CL64" s="94">
        <f t="shared" si="275"/>
        <v>2425319921.7428575</v>
      </c>
      <c r="CM64" s="94">
        <f t="shared" si="275"/>
        <v>0</v>
      </c>
      <c r="CN64" s="94">
        <f t="shared" si="275"/>
        <v>0</v>
      </c>
      <c r="CO64" s="94">
        <f t="shared" si="275"/>
        <v>0</v>
      </c>
      <c r="CP64" s="94">
        <f t="shared" si="275"/>
        <v>0</v>
      </c>
      <c r="CQ64" s="94">
        <f t="shared" si="275"/>
        <v>0</v>
      </c>
      <c r="CR64" s="94">
        <f t="shared" si="275"/>
        <v>0</v>
      </c>
      <c r="CS64" s="94">
        <f t="shared" si="275"/>
        <v>0</v>
      </c>
      <c r="CT64" s="70"/>
      <c r="CU64" s="94">
        <f>SUM(CU65:CU65)</f>
        <v>983156921.7428571</v>
      </c>
      <c r="CV64" s="94">
        <f t="shared" ref="CV64:DF64" si="276">SUM(CV65:CV65)</f>
        <v>1442163000</v>
      </c>
      <c r="CW64" s="94">
        <f t="shared" si="276"/>
        <v>0</v>
      </c>
      <c r="CX64" s="94">
        <f t="shared" si="276"/>
        <v>2425319921.7428575</v>
      </c>
      <c r="CY64" s="94">
        <f t="shared" si="276"/>
        <v>2425319921.7428575</v>
      </c>
      <c r="CZ64" s="94">
        <f t="shared" si="276"/>
        <v>0</v>
      </c>
      <c r="DA64" s="94">
        <f t="shared" si="276"/>
        <v>0</v>
      </c>
      <c r="DB64" s="94">
        <f t="shared" si="276"/>
        <v>0</v>
      </c>
      <c r="DC64" s="94">
        <f t="shared" si="276"/>
        <v>0</v>
      </c>
      <c r="DD64" s="94">
        <f t="shared" si="276"/>
        <v>0</v>
      </c>
      <c r="DE64" s="94">
        <f t="shared" si="276"/>
        <v>0</v>
      </c>
      <c r="DF64" s="94">
        <f t="shared" si="276"/>
        <v>0</v>
      </c>
      <c r="DG64" s="70"/>
      <c r="DH64" s="94">
        <f>SUM(DH65:DH65)</f>
        <v>983156921.7428571</v>
      </c>
      <c r="DI64" s="94">
        <f t="shared" ref="DI64:DS64" si="277">SUM(DI65:DI65)</f>
        <v>1442163000</v>
      </c>
      <c r="DJ64" s="94">
        <f t="shared" si="277"/>
        <v>0</v>
      </c>
      <c r="DK64" s="94">
        <f t="shared" si="277"/>
        <v>2425319921.7428575</v>
      </c>
      <c r="DL64" s="94">
        <f t="shared" si="277"/>
        <v>2425319921.7428575</v>
      </c>
      <c r="DM64" s="94">
        <f t="shared" si="277"/>
        <v>0</v>
      </c>
      <c r="DN64" s="94">
        <f t="shared" si="277"/>
        <v>0</v>
      </c>
      <c r="DO64" s="94">
        <f t="shared" si="277"/>
        <v>0</v>
      </c>
      <c r="DP64" s="94">
        <f t="shared" si="277"/>
        <v>0</v>
      </c>
      <c r="DQ64" s="94">
        <f t="shared" si="277"/>
        <v>0</v>
      </c>
      <c r="DR64" s="94">
        <f t="shared" si="277"/>
        <v>0</v>
      </c>
      <c r="DS64" s="94">
        <f t="shared" si="277"/>
        <v>0</v>
      </c>
      <c r="DT64" s="70"/>
      <c r="DU64" s="94">
        <f>SUM(DU65:DU65)</f>
        <v>983156921.7428571</v>
      </c>
      <c r="DV64" s="94">
        <f t="shared" ref="DV64:EF64" si="278">SUM(DV65:DV65)</f>
        <v>1442163000</v>
      </c>
      <c r="DW64" s="94">
        <f t="shared" si="278"/>
        <v>0</v>
      </c>
      <c r="DX64" s="94">
        <f t="shared" si="278"/>
        <v>2425319921.7428575</v>
      </c>
      <c r="DY64" s="94">
        <f t="shared" si="278"/>
        <v>2425319921.7428575</v>
      </c>
      <c r="DZ64" s="94">
        <f t="shared" si="278"/>
        <v>0</v>
      </c>
      <c r="EA64" s="94">
        <f t="shared" si="278"/>
        <v>0</v>
      </c>
      <c r="EB64" s="94">
        <f t="shared" si="278"/>
        <v>0</v>
      </c>
      <c r="EC64" s="94">
        <f t="shared" si="278"/>
        <v>0</v>
      </c>
      <c r="ED64" s="94">
        <f t="shared" si="278"/>
        <v>0</v>
      </c>
      <c r="EE64" s="94">
        <f t="shared" si="278"/>
        <v>0</v>
      </c>
      <c r="EF64" s="94">
        <f t="shared" si="278"/>
        <v>0</v>
      </c>
      <c r="EG64" s="70"/>
      <c r="EH64" s="94">
        <f t="shared" ref="EH64:ES64" si="279">SUM(EH65:EH65)</f>
        <v>9040974381.0428581</v>
      </c>
      <c r="EI64" s="94">
        <f t="shared" si="279"/>
        <v>13263296666.666668</v>
      </c>
      <c r="EJ64" s="94">
        <f t="shared" si="279"/>
        <v>287500000</v>
      </c>
      <c r="EK64" s="94">
        <f t="shared" si="279"/>
        <v>22591771047.70953</v>
      </c>
      <c r="EL64" s="94">
        <f t="shared" si="279"/>
        <v>22573021047.70953</v>
      </c>
      <c r="EM64" s="94">
        <f t="shared" si="279"/>
        <v>0</v>
      </c>
      <c r="EN64" s="94">
        <f t="shared" si="279"/>
        <v>0</v>
      </c>
      <c r="EO64" s="94">
        <f t="shared" si="279"/>
        <v>0</v>
      </c>
      <c r="EP64" s="94">
        <f t="shared" si="279"/>
        <v>0</v>
      </c>
      <c r="EQ64" s="94">
        <f t="shared" si="279"/>
        <v>0</v>
      </c>
      <c r="ER64" s="94">
        <f t="shared" si="279"/>
        <v>0</v>
      </c>
      <c r="ES64" s="94">
        <f t="shared" si="279"/>
        <v>-18750000</v>
      </c>
      <c r="EU64" s="194">
        <f t="shared" si="23"/>
        <v>0</v>
      </c>
      <c r="EW64" s="194">
        <f t="shared" si="24"/>
        <v>-18750000</v>
      </c>
      <c r="EX64" s="194">
        <f t="shared" si="21"/>
        <v>0</v>
      </c>
    </row>
    <row r="65" spans="1:154" s="77" customFormat="1" ht="51" x14ac:dyDescent="0.25">
      <c r="A65" s="82"/>
      <c r="B65" s="88"/>
      <c r="C65" s="100"/>
      <c r="D65" s="193" t="str">
        <f>'Incremental_Cost Year 1'!D220</f>
        <v>07460 Shërbimi Kombëtar i Urgjencës, 07330 Shërbime të kujdesit shëndetësor dytësor</v>
      </c>
      <c r="E65" s="193" t="str">
        <f>'Incremental_Cost Year 1'!E220</f>
        <v>4.2.1 Fuqizimi i Qendrës Kombëtare të Urgjencës Mjekësore</v>
      </c>
      <c r="F65" s="96">
        <f>'Incremental_Cost Year 1'!F220</f>
        <v>2021</v>
      </c>
      <c r="G65" s="96">
        <f>'Incremental_Cost Year 1'!G220</f>
        <v>2030</v>
      </c>
      <c r="H65" s="92">
        <f>'Incremental_Cost Year 1'!AQ220</f>
        <v>189738878.95714289</v>
      </c>
      <c r="I65" s="92">
        <f>'Incremental_Cost Year 1'!AR220</f>
        <v>283829666.66666669</v>
      </c>
      <c r="J65" s="92">
        <f>'Incremental_Cost Year 1'!AS220</f>
        <v>0</v>
      </c>
      <c r="K65" s="92">
        <f>'Incremental_Cost Year 1'!AT220</f>
        <v>473568545.62380958</v>
      </c>
      <c r="L65" s="92">
        <f>'Incremental_Cost Year 1'!AU220</f>
        <v>473568545.62380958</v>
      </c>
      <c r="M65" s="92">
        <f>'Incremental_Cost Year 1'!AV220</f>
        <v>0</v>
      </c>
      <c r="N65" s="92">
        <f>'Incremental_Cost Year 1'!AW220</f>
        <v>0</v>
      </c>
      <c r="O65" s="92">
        <f>'Incremental_Cost Year 1'!AX220</f>
        <v>0</v>
      </c>
      <c r="P65" s="92">
        <f>'Incremental_Cost Year 1'!AY220</f>
        <v>0</v>
      </c>
      <c r="Q65" s="92">
        <f>'Incremental_Cost Year 1'!AZ220</f>
        <v>0</v>
      </c>
      <c r="R65" s="92">
        <f>'Incremental_Cost Year 1'!BA220</f>
        <v>0</v>
      </c>
      <c r="S65" s="92">
        <f>'Incremental_Cost Year 1'!BB220</f>
        <v>0</v>
      </c>
      <c r="T65" s="70"/>
      <c r="U65" s="92">
        <f>'Incremental_Cost Year 2'!AQ220</f>
        <v>983156921.7428571</v>
      </c>
      <c r="V65" s="92">
        <f>'Incremental_Cost Year 2'!AR220</f>
        <v>1442163000</v>
      </c>
      <c r="W65" s="92">
        <f>'Incremental_Cost Year 2'!AS220</f>
        <v>0</v>
      </c>
      <c r="X65" s="92">
        <f>'Incremental_Cost Year 2'!AT220</f>
        <v>2425319921.7428575</v>
      </c>
      <c r="Y65" s="92">
        <f>'Incremental_Cost Year 2'!AU220</f>
        <v>2425319921.7428575</v>
      </c>
      <c r="Z65" s="92">
        <f>'Incremental_Cost Year 2'!AV220</f>
        <v>0</v>
      </c>
      <c r="AA65" s="92">
        <f>'Incremental_Cost Year 2'!AW220</f>
        <v>0</v>
      </c>
      <c r="AB65" s="92">
        <f>'Incremental_Cost Year 2'!AX220</f>
        <v>0</v>
      </c>
      <c r="AC65" s="92">
        <f>'Incremental_Cost Year 2'!AY220</f>
        <v>0</v>
      </c>
      <c r="AD65" s="92">
        <f>'Incremental_Cost Year 2'!AZ220</f>
        <v>0</v>
      </c>
      <c r="AE65" s="92">
        <f>'Incremental_Cost Year 2'!BA220</f>
        <v>0</v>
      </c>
      <c r="AF65" s="92">
        <f>'Incremental_Cost Year 2'!BB220</f>
        <v>0</v>
      </c>
      <c r="AG65" s="70"/>
      <c r="AH65" s="92">
        <f>'Incremental_Cost Year 3'!AQ220</f>
        <v>983156921.7428571</v>
      </c>
      <c r="AI65" s="92">
        <f>'Incremental_Cost Year 3'!AR220</f>
        <v>1442163000</v>
      </c>
      <c r="AJ65" s="92">
        <f>'Incremental_Cost Year 3'!AS220</f>
        <v>143750000</v>
      </c>
      <c r="AK65" s="92">
        <f>'Incremental_Cost Year 3'!AT220</f>
        <v>2569069921.7428575</v>
      </c>
      <c r="AL65" s="92">
        <f>'Incremental_Cost Year 3'!AU220</f>
        <v>2569069921.7428575</v>
      </c>
      <c r="AM65" s="92">
        <f>'Incremental_Cost Year 3'!AV220</f>
        <v>0</v>
      </c>
      <c r="AN65" s="92">
        <f>'Incremental_Cost Year 3'!AW220</f>
        <v>0</v>
      </c>
      <c r="AO65" s="92">
        <f>'Incremental_Cost Year 3'!AX220</f>
        <v>0</v>
      </c>
      <c r="AP65" s="92">
        <f>'Incremental_Cost Year 3'!AY220</f>
        <v>0</v>
      </c>
      <c r="AQ65" s="92">
        <f>'Incremental_Cost Year 3'!AZ220</f>
        <v>0</v>
      </c>
      <c r="AR65" s="92">
        <f>'Incremental_Cost Year 3'!BA220</f>
        <v>0</v>
      </c>
      <c r="AS65" s="92">
        <f>'Incremental_Cost Year 3'!BB220</f>
        <v>0</v>
      </c>
      <c r="AT65" s="70"/>
      <c r="AU65" s="92">
        <f>'Incremental_Cost Year 4'!AQ220</f>
        <v>984568524.94285715</v>
      </c>
      <c r="AV65" s="92">
        <f>'Incremental_Cost Year 4'!AR220</f>
        <v>1442163000</v>
      </c>
      <c r="AW65" s="92">
        <f>'Incremental_Cost Year 4'!AS220</f>
        <v>143750000</v>
      </c>
      <c r="AX65" s="92">
        <f>'Incremental_Cost Year 4'!AT220</f>
        <v>2570481524.9428573</v>
      </c>
      <c r="AY65" s="92">
        <f>'Incremental_Cost Year 4'!AU220</f>
        <v>2551731524.9428573</v>
      </c>
      <c r="AZ65" s="92">
        <f>'Incremental_Cost Year 4'!AV220</f>
        <v>0</v>
      </c>
      <c r="BA65" s="92">
        <f>'Incremental_Cost Year 4'!AW220</f>
        <v>0</v>
      </c>
      <c r="BB65" s="92">
        <f>'Incremental_Cost Year 4'!AX220</f>
        <v>0</v>
      </c>
      <c r="BC65" s="92">
        <f>'Incremental_Cost Year 4'!AY220</f>
        <v>0</v>
      </c>
      <c r="BD65" s="92">
        <f>'Incremental_Cost Year 4'!AZ220</f>
        <v>0</v>
      </c>
      <c r="BE65" s="92">
        <f>'Incremental_Cost Year 4'!BA220</f>
        <v>0</v>
      </c>
      <c r="BF65" s="92">
        <f>'Incremental_Cost Year 4'!BB220</f>
        <v>-18750000</v>
      </c>
      <c r="BG65" s="70"/>
      <c r="BH65" s="92">
        <f>'Incremental_Cost Year 5'!AQ220</f>
        <v>984568524.94285715</v>
      </c>
      <c r="BI65" s="92">
        <f>'Incremental_Cost Year 5'!AR220</f>
        <v>1442163000</v>
      </c>
      <c r="BJ65" s="92">
        <f>'Incremental_Cost Year 5'!AS220</f>
        <v>0</v>
      </c>
      <c r="BK65" s="92">
        <f>'Incremental_Cost Year 5'!AT220</f>
        <v>2426731524.9428573</v>
      </c>
      <c r="BL65" s="92">
        <f>'Incremental_Cost Year 5'!AU220</f>
        <v>2426731524.9428573</v>
      </c>
      <c r="BM65" s="92">
        <f>'Incremental_Cost Year 5'!AV220</f>
        <v>0</v>
      </c>
      <c r="BN65" s="92">
        <f>'Incremental_Cost Year 5'!AW220</f>
        <v>0</v>
      </c>
      <c r="BO65" s="92">
        <f>'Incremental_Cost Year 5'!AX220</f>
        <v>0</v>
      </c>
      <c r="BP65" s="92">
        <f>'Incremental_Cost Year 5'!AY220</f>
        <v>0</v>
      </c>
      <c r="BQ65" s="92">
        <f>'Incremental_Cost Year 5'!AZ220</f>
        <v>0</v>
      </c>
      <c r="BR65" s="92">
        <f>'Incremental_Cost Year 5'!BA220</f>
        <v>0</v>
      </c>
      <c r="BS65" s="92">
        <f>'Incremental_Cost Year 5'!BB220</f>
        <v>0</v>
      </c>
      <c r="BT65" s="70"/>
      <c r="BU65" s="92">
        <f>'Incremental_Cost Year 6'!AQ220</f>
        <v>983156921.7428571</v>
      </c>
      <c r="BV65" s="92">
        <f>'Incremental_Cost Year 6'!AR220</f>
        <v>1442163000</v>
      </c>
      <c r="BW65" s="92">
        <f>'Incremental_Cost Year 6'!AS220</f>
        <v>0</v>
      </c>
      <c r="BX65" s="92">
        <f>'Incremental_Cost Year 6'!AT220</f>
        <v>2425319921.7428575</v>
      </c>
      <c r="BY65" s="92">
        <f>'Incremental_Cost Year 6'!AU220</f>
        <v>2425319921.7428575</v>
      </c>
      <c r="BZ65" s="92">
        <f>'Incremental_Cost Year 6'!AV220</f>
        <v>0</v>
      </c>
      <c r="CA65" s="92">
        <f>'Incremental_Cost Year 6'!AW220</f>
        <v>0</v>
      </c>
      <c r="CB65" s="92">
        <f>'Incremental_Cost Year 6'!AX220</f>
        <v>0</v>
      </c>
      <c r="CC65" s="92">
        <f>'Incremental_Cost Year 6'!AY220</f>
        <v>0</v>
      </c>
      <c r="CD65" s="92">
        <f>'Incremental_Cost Year 6'!AZ220</f>
        <v>0</v>
      </c>
      <c r="CE65" s="92">
        <f>'Incremental_Cost Year 6'!BA220</f>
        <v>0</v>
      </c>
      <c r="CF65" s="92">
        <f>'Incremental_Cost Year 6'!BB220</f>
        <v>0</v>
      </c>
      <c r="CG65" s="70"/>
      <c r="CH65" s="92">
        <f>'Incremental_Cost Year 7'!AQ220</f>
        <v>983156921.7428571</v>
      </c>
      <c r="CI65" s="92">
        <f>'Incremental_Cost Year 7'!AR220</f>
        <v>1442163000</v>
      </c>
      <c r="CJ65" s="92">
        <f>'Incremental_Cost Year 7'!AS220</f>
        <v>0</v>
      </c>
      <c r="CK65" s="92">
        <f>'Incremental_Cost Year 7'!AT220</f>
        <v>2425319921.7428575</v>
      </c>
      <c r="CL65" s="92">
        <f>'Incremental_Cost Year 7'!AU220</f>
        <v>2425319921.7428575</v>
      </c>
      <c r="CM65" s="92">
        <f>'Incremental_Cost Year 7'!AV220</f>
        <v>0</v>
      </c>
      <c r="CN65" s="92">
        <f>'Incremental_Cost Year 7'!AW220</f>
        <v>0</v>
      </c>
      <c r="CO65" s="92">
        <f>'Incremental_Cost Year 7'!AX220</f>
        <v>0</v>
      </c>
      <c r="CP65" s="92">
        <f>'Incremental_Cost Year 7'!AY220</f>
        <v>0</v>
      </c>
      <c r="CQ65" s="92">
        <f>'Incremental_Cost Year 7'!AZ220</f>
        <v>0</v>
      </c>
      <c r="CR65" s="92">
        <f>'Incremental_Cost Year 7'!BA220</f>
        <v>0</v>
      </c>
      <c r="CS65" s="92">
        <f>'Incremental_Cost Year 7'!BB220</f>
        <v>0</v>
      </c>
      <c r="CT65" s="70"/>
      <c r="CU65" s="92">
        <f>'Incremental_Cost Year 8'!AQ220</f>
        <v>983156921.7428571</v>
      </c>
      <c r="CV65" s="92">
        <f>'Incremental_Cost Year 8'!AR220</f>
        <v>1442163000</v>
      </c>
      <c r="CW65" s="92">
        <f>'Incremental_Cost Year 8'!AS220</f>
        <v>0</v>
      </c>
      <c r="CX65" s="92">
        <f>'Incremental_Cost Year 8'!AT220</f>
        <v>2425319921.7428575</v>
      </c>
      <c r="CY65" s="92">
        <f>'Incremental_Cost Year 8'!AU220</f>
        <v>2425319921.7428575</v>
      </c>
      <c r="CZ65" s="92">
        <f>'Incremental_Cost Year 8'!AV220</f>
        <v>0</v>
      </c>
      <c r="DA65" s="92">
        <f>'Incremental_Cost Year 8'!AW220</f>
        <v>0</v>
      </c>
      <c r="DB65" s="92">
        <f>'Incremental_Cost Year 8'!AX220</f>
        <v>0</v>
      </c>
      <c r="DC65" s="92">
        <f>'Incremental_Cost Year 8'!AY220</f>
        <v>0</v>
      </c>
      <c r="DD65" s="92">
        <f>'Incremental_Cost Year 8'!AZ220</f>
        <v>0</v>
      </c>
      <c r="DE65" s="92">
        <f>'Incremental_Cost Year 8'!BA220</f>
        <v>0</v>
      </c>
      <c r="DF65" s="92">
        <f>'Incremental_Cost Year 8'!BB220</f>
        <v>0</v>
      </c>
      <c r="DG65" s="70"/>
      <c r="DH65" s="92">
        <f>'Incremental_Cost Year 9'!AQ220</f>
        <v>983156921.7428571</v>
      </c>
      <c r="DI65" s="92">
        <f>'Incremental_Cost Year 9'!AR220</f>
        <v>1442163000</v>
      </c>
      <c r="DJ65" s="92">
        <f>'Incremental_Cost Year 9'!AS220</f>
        <v>0</v>
      </c>
      <c r="DK65" s="92">
        <f>'Incremental_Cost Year 9'!AT220</f>
        <v>2425319921.7428575</v>
      </c>
      <c r="DL65" s="92">
        <f>'Incremental_Cost Year 9'!AU220</f>
        <v>2425319921.7428575</v>
      </c>
      <c r="DM65" s="92">
        <f>'Incremental_Cost Year 9'!AV220</f>
        <v>0</v>
      </c>
      <c r="DN65" s="92">
        <f>'Incremental_Cost Year 9'!AW220</f>
        <v>0</v>
      </c>
      <c r="DO65" s="92">
        <f>'Incremental_Cost Year 9'!AX220</f>
        <v>0</v>
      </c>
      <c r="DP65" s="92">
        <f>'Incremental_Cost Year 9'!AY220</f>
        <v>0</v>
      </c>
      <c r="DQ65" s="92">
        <f>'Incremental_Cost Year 9'!AZ220</f>
        <v>0</v>
      </c>
      <c r="DR65" s="92">
        <f>'Incremental_Cost Year 9'!BA220</f>
        <v>0</v>
      </c>
      <c r="DS65" s="92">
        <f>'Incremental_Cost Year 9'!BB220</f>
        <v>0</v>
      </c>
      <c r="DT65" s="70"/>
      <c r="DU65" s="92">
        <f>'Incremental_Cost Year 10'!AQ220</f>
        <v>983156921.7428571</v>
      </c>
      <c r="DV65" s="92">
        <f>'Incremental_Cost Year 10'!AR220</f>
        <v>1442163000</v>
      </c>
      <c r="DW65" s="92">
        <f>'Incremental_Cost Year 10'!AS220</f>
        <v>0</v>
      </c>
      <c r="DX65" s="92">
        <f>'Incremental_Cost Year 10'!AT220</f>
        <v>2425319921.7428575</v>
      </c>
      <c r="DY65" s="92">
        <f>'Incremental_Cost Year 10'!AU220</f>
        <v>2425319921.7428575</v>
      </c>
      <c r="DZ65" s="92">
        <f>'Incremental_Cost Year 10'!AV220</f>
        <v>0</v>
      </c>
      <c r="EA65" s="92">
        <f>'Incremental_Cost Year 10'!AW220</f>
        <v>0</v>
      </c>
      <c r="EB65" s="92">
        <f>'Incremental_Cost Year 10'!AX220</f>
        <v>0</v>
      </c>
      <c r="EC65" s="92">
        <f>'Incremental_Cost Year 10'!AY220</f>
        <v>0</v>
      </c>
      <c r="ED65" s="92">
        <f>'Incremental_Cost Year 10'!AZ220</f>
        <v>0</v>
      </c>
      <c r="EE65" s="92">
        <f>'Incremental_Cost Year 10'!BA220</f>
        <v>0</v>
      </c>
      <c r="EF65" s="92">
        <f>'Incremental_Cost Year 10'!BB220</f>
        <v>0</v>
      </c>
      <c r="EG65" s="70"/>
      <c r="EH65" s="92">
        <f t="shared" ref="EH65:ES65" si="280">H65+U65+AH65+AU65+BH65+BU65+CH65+CU65+DH65+DU65</f>
        <v>9040974381.0428581</v>
      </c>
      <c r="EI65" s="92">
        <f t="shared" si="280"/>
        <v>13263296666.666668</v>
      </c>
      <c r="EJ65" s="92">
        <f t="shared" si="280"/>
        <v>287500000</v>
      </c>
      <c r="EK65" s="92">
        <f t="shared" si="280"/>
        <v>22591771047.70953</v>
      </c>
      <c r="EL65" s="92">
        <f t="shared" si="280"/>
        <v>22573021047.70953</v>
      </c>
      <c r="EM65" s="92">
        <f t="shared" si="280"/>
        <v>0</v>
      </c>
      <c r="EN65" s="92">
        <f t="shared" si="280"/>
        <v>0</v>
      </c>
      <c r="EO65" s="92">
        <f t="shared" si="280"/>
        <v>0</v>
      </c>
      <c r="EP65" s="92">
        <f t="shared" si="280"/>
        <v>0</v>
      </c>
      <c r="EQ65" s="92">
        <f t="shared" si="280"/>
        <v>0</v>
      </c>
      <c r="ER65" s="92">
        <f t="shared" si="280"/>
        <v>0</v>
      </c>
      <c r="ES65" s="92">
        <f t="shared" si="280"/>
        <v>-18750000</v>
      </c>
      <c r="EU65" s="194">
        <f t="shared" si="23"/>
        <v>0</v>
      </c>
      <c r="EW65" s="194">
        <f t="shared" si="24"/>
        <v>-18750000</v>
      </c>
      <c r="EX65" s="194">
        <f t="shared" si="21"/>
        <v>0</v>
      </c>
    </row>
    <row r="66" spans="1:154" s="77" customFormat="1" x14ac:dyDescent="0.25">
      <c r="A66" s="87"/>
      <c r="B66" s="90"/>
      <c r="C66" s="421" t="str">
        <f>'Incremental_Cost Year 1'!C221:E221</f>
        <v>4.3 Objektivi Specifik: Sigurimi i politikave, proçedurave, kapaciteteve për zbulimin dhe reagimin e shpejtë ndaj emergjencave në mënyrë të koordinuar</v>
      </c>
      <c r="D66" s="421"/>
      <c r="E66" s="422"/>
      <c r="F66" s="99"/>
      <c r="G66" s="99"/>
      <c r="H66" s="94">
        <f>SUM(H67:H67)</f>
        <v>40583592</v>
      </c>
      <c r="I66" s="94">
        <f t="shared" ref="I66:S66" si="281">SUM(I67:I67)</f>
        <v>0</v>
      </c>
      <c r="J66" s="94">
        <f t="shared" si="281"/>
        <v>0</v>
      </c>
      <c r="K66" s="94">
        <f t="shared" si="281"/>
        <v>40583592</v>
      </c>
      <c r="L66" s="94">
        <f t="shared" si="281"/>
        <v>40583592</v>
      </c>
      <c r="M66" s="94">
        <f t="shared" si="281"/>
        <v>0</v>
      </c>
      <c r="N66" s="94">
        <f t="shared" si="281"/>
        <v>0</v>
      </c>
      <c r="O66" s="94">
        <f t="shared" si="281"/>
        <v>0</v>
      </c>
      <c r="P66" s="94">
        <f t="shared" si="281"/>
        <v>0</v>
      </c>
      <c r="Q66" s="94">
        <f t="shared" si="281"/>
        <v>0</v>
      </c>
      <c r="R66" s="94">
        <f t="shared" si="281"/>
        <v>0</v>
      </c>
      <c r="S66" s="94">
        <f t="shared" si="281"/>
        <v>0</v>
      </c>
      <c r="T66" s="70"/>
      <c r="U66" s="94">
        <f>SUM(U67:U67)</f>
        <v>40583592</v>
      </c>
      <c r="V66" s="94">
        <f t="shared" ref="V66:AF66" si="282">SUM(V67:V67)</f>
        <v>0</v>
      </c>
      <c r="W66" s="94">
        <f t="shared" si="282"/>
        <v>0</v>
      </c>
      <c r="X66" s="94">
        <f t="shared" si="282"/>
        <v>40583592</v>
      </c>
      <c r="Y66" s="94">
        <f t="shared" si="282"/>
        <v>40583592</v>
      </c>
      <c r="Z66" s="94">
        <f t="shared" si="282"/>
        <v>0</v>
      </c>
      <c r="AA66" s="94">
        <f t="shared" si="282"/>
        <v>0</v>
      </c>
      <c r="AB66" s="94">
        <f t="shared" si="282"/>
        <v>0</v>
      </c>
      <c r="AC66" s="94">
        <f t="shared" si="282"/>
        <v>0</v>
      </c>
      <c r="AD66" s="94">
        <f t="shared" si="282"/>
        <v>0</v>
      </c>
      <c r="AE66" s="94">
        <f t="shared" si="282"/>
        <v>0</v>
      </c>
      <c r="AF66" s="94">
        <f t="shared" si="282"/>
        <v>0</v>
      </c>
      <c r="AG66" s="70"/>
      <c r="AH66" s="94">
        <f>SUM(AH67:AH67)</f>
        <v>0</v>
      </c>
      <c r="AI66" s="94">
        <f t="shared" ref="AI66:AS66" si="283">SUM(AI67:AI67)</f>
        <v>0</v>
      </c>
      <c r="AJ66" s="94">
        <f t="shared" si="283"/>
        <v>0</v>
      </c>
      <c r="AK66" s="94">
        <f t="shared" si="283"/>
        <v>0</v>
      </c>
      <c r="AL66" s="94">
        <f t="shared" si="283"/>
        <v>0</v>
      </c>
      <c r="AM66" s="94">
        <f t="shared" si="283"/>
        <v>0</v>
      </c>
      <c r="AN66" s="94">
        <f t="shared" si="283"/>
        <v>0</v>
      </c>
      <c r="AO66" s="94">
        <f t="shared" si="283"/>
        <v>0</v>
      </c>
      <c r="AP66" s="94">
        <f t="shared" si="283"/>
        <v>0</v>
      </c>
      <c r="AQ66" s="94">
        <f t="shared" si="283"/>
        <v>0</v>
      </c>
      <c r="AR66" s="94">
        <f t="shared" si="283"/>
        <v>0</v>
      </c>
      <c r="AS66" s="94">
        <f t="shared" si="283"/>
        <v>0</v>
      </c>
      <c r="AT66" s="70"/>
      <c r="AU66" s="94">
        <f>SUM(AU67:AU67)</f>
        <v>0</v>
      </c>
      <c r="AV66" s="94">
        <f t="shared" ref="AV66:BF66" si="284">SUM(AV67:AV67)</f>
        <v>0</v>
      </c>
      <c r="AW66" s="94">
        <f t="shared" si="284"/>
        <v>0</v>
      </c>
      <c r="AX66" s="94">
        <f t="shared" si="284"/>
        <v>0</v>
      </c>
      <c r="AY66" s="94">
        <f t="shared" si="284"/>
        <v>0</v>
      </c>
      <c r="AZ66" s="94">
        <f t="shared" si="284"/>
        <v>0</v>
      </c>
      <c r="BA66" s="94">
        <f t="shared" si="284"/>
        <v>0</v>
      </c>
      <c r="BB66" s="94">
        <f t="shared" si="284"/>
        <v>0</v>
      </c>
      <c r="BC66" s="94">
        <f t="shared" si="284"/>
        <v>0</v>
      </c>
      <c r="BD66" s="94">
        <f t="shared" si="284"/>
        <v>0</v>
      </c>
      <c r="BE66" s="94">
        <f t="shared" si="284"/>
        <v>0</v>
      </c>
      <c r="BF66" s="94">
        <f t="shared" si="284"/>
        <v>0</v>
      </c>
      <c r="BG66" s="70"/>
      <c r="BH66" s="94">
        <f>SUM(BH67:BH67)</f>
        <v>0</v>
      </c>
      <c r="BI66" s="94">
        <f t="shared" ref="BI66:BS66" si="285">SUM(BI67:BI67)</f>
        <v>0</v>
      </c>
      <c r="BJ66" s="94">
        <f t="shared" si="285"/>
        <v>0</v>
      </c>
      <c r="BK66" s="94">
        <f t="shared" si="285"/>
        <v>0</v>
      </c>
      <c r="BL66" s="94">
        <f t="shared" si="285"/>
        <v>0</v>
      </c>
      <c r="BM66" s="94">
        <f t="shared" si="285"/>
        <v>0</v>
      </c>
      <c r="BN66" s="94">
        <f t="shared" si="285"/>
        <v>0</v>
      </c>
      <c r="BO66" s="94">
        <f t="shared" si="285"/>
        <v>0</v>
      </c>
      <c r="BP66" s="94">
        <f t="shared" si="285"/>
        <v>0</v>
      </c>
      <c r="BQ66" s="94">
        <f t="shared" si="285"/>
        <v>0</v>
      </c>
      <c r="BR66" s="94">
        <f t="shared" si="285"/>
        <v>0</v>
      </c>
      <c r="BS66" s="94">
        <f t="shared" si="285"/>
        <v>0</v>
      </c>
      <c r="BT66" s="70"/>
      <c r="BU66" s="94">
        <f>SUM(BU67:BU67)</f>
        <v>0</v>
      </c>
      <c r="BV66" s="94">
        <f t="shared" ref="BV66:CF66" si="286">SUM(BV67:BV67)</f>
        <v>0</v>
      </c>
      <c r="BW66" s="94">
        <f t="shared" si="286"/>
        <v>0</v>
      </c>
      <c r="BX66" s="94">
        <f t="shared" si="286"/>
        <v>0</v>
      </c>
      <c r="BY66" s="94">
        <f t="shared" si="286"/>
        <v>0</v>
      </c>
      <c r="BZ66" s="94">
        <f t="shared" si="286"/>
        <v>0</v>
      </c>
      <c r="CA66" s="94">
        <f t="shared" si="286"/>
        <v>0</v>
      </c>
      <c r="CB66" s="94">
        <f t="shared" si="286"/>
        <v>0</v>
      </c>
      <c r="CC66" s="94">
        <f t="shared" si="286"/>
        <v>0</v>
      </c>
      <c r="CD66" s="94">
        <f t="shared" si="286"/>
        <v>0</v>
      </c>
      <c r="CE66" s="94">
        <f t="shared" si="286"/>
        <v>0</v>
      </c>
      <c r="CF66" s="94">
        <f t="shared" si="286"/>
        <v>0</v>
      </c>
      <c r="CG66" s="70"/>
      <c r="CH66" s="94">
        <f>SUM(CH67:CH67)</f>
        <v>0</v>
      </c>
      <c r="CI66" s="94">
        <f t="shared" ref="CI66:CS66" si="287">SUM(CI67:CI67)</f>
        <v>0</v>
      </c>
      <c r="CJ66" s="94">
        <f t="shared" si="287"/>
        <v>0</v>
      </c>
      <c r="CK66" s="94">
        <f t="shared" si="287"/>
        <v>0</v>
      </c>
      <c r="CL66" s="94">
        <f t="shared" si="287"/>
        <v>0</v>
      </c>
      <c r="CM66" s="94">
        <f t="shared" si="287"/>
        <v>0</v>
      </c>
      <c r="CN66" s="94">
        <f t="shared" si="287"/>
        <v>0</v>
      </c>
      <c r="CO66" s="94">
        <f t="shared" si="287"/>
        <v>0</v>
      </c>
      <c r="CP66" s="94">
        <f t="shared" si="287"/>
        <v>0</v>
      </c>
      <c r="CQ66" s="94">
        <f t="shared" si="287"/>
        <v>0</v>
      </c>
      <c r="CR66" s="94">
        <f t="shared" si="287"/>
        <v>0</v>
      </c>
      <c r="CS66" s="94">
        <f t="shared" si="287"/>
        <v>0</v>
      </c>
      <c r="CT66" s="70"/>
      <c r="CU66" s="94">
        <f>SUM(CU67:CU67)</f>
        <v>0</v>
      </c>
      <c r="CV66" s="94">
        <f t="shared" ref="CV66:DF66" si="288">SUM(CV67:CV67)</f>
        <v>0</v>
      </c>
      <c r="CW66" s="94">
        <f t="shared" si="288"/>
        <v>0</v>
      </c>
      <c r="CX66" s="94">
        <f t="shared" si="288"/>
        <v>0</v>
      </c>
      <c r="CY66" s="94">
        <f t="shared" si="288"/>
        <v>0</v>
      </c>
      <c r="CZ66" s="94">
        <f t="shared" si="288"/>
        <v>0</v>
      </c>
      <c r="DA66" s="94">
        <f t="shared" si="288"/>
        <v>0</v>
      </c>
      <c r="DB66" s="94">
        <f t="shared" si="288"/>
        <v>0</v>
      </c>
      <c r="DC66" s="94">
        <f t="shared" si="288"/>
        <v>0</v>
      </c>
      <c r="DD66" s="94">
        <f t="shared" si="288"/>
        <v>0</v>
      </c>
      <c r="DE66" s="94">
        <f t="shared" si="288"/>
        <v>0</v>
      </c>
      <c r="DF66" s="94">
        <f t="shared" si="288"/>
        <v>0</v>
      </c>
      <c r="DG66" s="70"/>
      <c r="DH66" s="94">
        <f>SUM(DH67:DH67)</f>
        <v>0</v>
      </c>
      <c r="DI66" s="94">
        <f t="shared" ref="DI66:DS66" si="289">SUM(DI67:DI67)</f>
        <v>0</v>
      </c>
      <c r="DJ66" s="94">
        <f t="shared" si="289"/>
        <v>0</v>
      </c>
      <c r="DK66" s="94">
        <f t="shared" si="289"/>
        <v>0</v>
      </c>
      <c r="DL66" s="94">
        <f t="shared" si="289"/>
        <v>0</v>
      </c>
      <c r="DM66" s="94">
        <f t="shared" si="289"/>
        <v>0</v>
      </c>
      <c r="DN66" s="94">
        <f t="shared" si="289"/>
        <v>0</v>
      </c>
      <c r="DO66" s="94">
        <f t="shared" si="289"/>
        <v>0</v>
      </c>
      <c r="DP66" s="94">
        <f t="shared" si="289"/>
        <v>0</v>
      </c>
      <c r="DQ66" s="94">
        <f t="shared" si="289"/>
        <v>0</v>
      </c>
      <c r="DR66" s="94">
        <f t="shared" si="289"/>
        <v>0</v>
      </c>
      <c r="DS66" s="94">
        <f t="shared" si="289"/>
        <v>0</v>
      </c>
      <c r="DT66" s="70"/>
      <c r="DU66" s="94">
        <f>SUM(DU67:DU67)</f>
        <v>0</v>
      </c>
      <c r="DV66" s="94">
        <f t="shared" ref="DV66:EF66" si="290">SUM(DV67:DV67)</f>
        <v>0</v>
      </c>
      <c r="DW66" s="94">
        <f t="shared" si="290"/>
        <v>0</v>
      </c>
      <c r="DX66" s="94">
        <f t="shared" si="290"/>
        <v>0</v>
      </c>
      <c r="DY66" s="94">
        <f t="shared" si="290"/>
        <v>0</v>
      </c>
      <c r="DZ66" s="94">
        <f t="shared" si="290"/>
        <v>0</v>
      </c>
      <c r="EA66" s="94">
        <f t="shared" si="290"/>
        <v>0</v>
      </c>
      <c r="EB66" s="94">
        <f t="shared" si="290"/>
        <v>0</v>
      </c>
      <c r="EC66" s="94">
        <f t="shared" si="290"/>
        <v>0</v>
      </c>
      <c r="ED66" s="94">
        <f t="shared" si="290"/>
        <v>0</v>
      </c>
      <c r="EE66" s="94">
        <f t="shared" si="290"/>
        <v>0</v>
      </c>
      <c r="EF66" s="94">
        <f t="shared" si="290"/>
        <v>0</v>
      </c>
      <c r="EG66" s="70"/>
      <c r="EH66" s="94">
        <f t="shared" ref="EH66:ES66" si="291">SUM(EH67:EH67)</f>
        <v>81167184</v>
      </c>
      <c r="EI66" s="94">
        <f t="shared" si="291"/>
        <v>0</v>
      </c>
      <c r="EJ66" s="94">
        <f t="shared" si="291"/>
        <v>0</v>
      </c>
      <c r="EK66" s="94">
        <f t="shared" si="291"/>
        <v>81167184</v>
      </c>
      <c r="EL66" s="94">
        <f t="shared" si="291"/>
        <v>81167184</v>
      </c>
      <c r="EM66" s="94">
        <f t="shared" si="291"/>
        <v>0</v>
      </c>
      <c r="EN66" s="94">
        <f t="shared" si="291"/>
        <v>0</v>
      </c>
      <c r="EO66" s="94">
        <f t="shared" si="291"/>
        <v>0</v>
      </c>
      <c r="EP66" s="94">
        <f t="shared" si="291"/>
        <v>0</v>
      </c>
      <c r="EQ66" s="94">
        <f t="shared" si="291"/>
        <v>0</v>
      </c>
      <c r="ER66" s="94">
        <f t="shared" si="291"/>
        <v>0</v>
      </c>
      <c r="ES66" s="94">
        <f t="shared" si="291"/>
        <v>0</v>
      </c>
      <c r="EU66" s="194">
        <f t="shared" si="23"/>
        <v>0</v>
      </c>
      <c r="EW66" s="194">
        <f t="shared" si="24"/>
        <v>0</v>
      </c>
      <c r="EX66" s="194">
        <f t="shared" si="21"/>
        <v>0</v>
      </c>
    </row>
    <row r="67" spans="1:154" s="77" customFormat="1" ht="38.25" x14ac:dyDescent="0.25">
      <c r="A67" s="82"/>
      <c r="B67" s="88"/>
      <c r="C67" s="100"/>
      <c r="D67" s="193" t="str">
        <f>'Incremental_Cost Year 1'!D225</f>
        <v>01110 Planifikimi, Menaxhimi dhe Administrimi</v>
      </c>
      <c r="E67" s="193" t="str">
        <f>'Incremental_Cost Year 1'!E225</f>
        <v>4.3.1 Qartësia e komunikimit të situatës emergjente dhe koordinimi i veprimeve nëpërmjet roleve</v>
      </c>
      <c r="F67" s="96">
        <f>'Incremental_Cost Year 1'!F225</f>
        <v>2021</v>
      </c>
      <c r="G67" s="96">
        <f>'Incremental_Cost Year 1'!G225</f>
        <v>2022</v>
      </c>
      <c r="H67" s="92">
        <f>'Incremental_Cost Year 1'!AQ225</f>
        <v>40583592</v>
      </c>
      <c r="I67" s="92">
        <f>'Incremental_Cost Year 1'!AR225</f>
        <v>0</v>
      </c>
      <c r="J67" s="92">
        <f>'Incremental_Cost Year 1'!AS225</f>
        <v>0</v>
      </c>
      <c r="K67" s="92">
        <f>'Incremental_Cost Year 1'!AT225</f>
        <v>40583592</v>
      </c>
      <c r="L67" s="92">
        <f>'Incremental_Cost Year 1'!AU225</f>
        <v>40583592</v>
      </c>
      <c r="M67" s="92">
        <f>'Incremental_Cost Year 1'!AV225</f>
        <v>0</v>
      </c>
      <c r="N67" s="92">
        <f>'Incremental_Cost Year 1'!AW225</f>
        <v>0</v>
      </c>
      <c r="O67" s="92">
        <f>'Incremental_Cost Year 1'!AX225</f>
        <v>0</v>
      </c>
      <c r="P67" s="92">
        <f>'Incremental_Cost Year 1'!AY225</f>
        <v>0</v>
      </c>
      <c r="Q67" s="92">
        <f>'Incremental_Cost Year 1'!AZ225</f>
        <v>0</v>
      </c>
      <c r="R67" s="92">
        <f>'Incremental_Cost Year 1'!BA225</f>
        <v>0</v>
      </c>
      <c r="S67" s="92">
        <f>'Incremental_Cost Year 1'!BB225</f>
        <v>0</v>
      </c>
      <c r="T67" s="70"/>
      <c r="U67" s="92">
        <f>'Incremental_Cost Year 2'!AQ225</f>
        <v>40583592</v>
      </c>
      <c r="V67" s="92">
        <f>'Incremental_Cost Year 2'!AR225</f>
        <v>0</v>
      </c>
      <c r="W67" s="92">
        <f>'Incremental_Cost Year 2'!AS225</f>
        <v>0</v>
      </c>
      <c r="X67" s="92">
        <f>'Incremental_Cost Year 2'!AT225</f>
        <v>40583592</v>
      </c>
      <c r="Y67" s="92">
        <f>'Incremental_Cost Year 2'!AU225</f>
        <v>40583592</v>
      </c>
      <c r="Z67" s="92">
        <f>'Incremental_Cost Year 2'!AV225</f>
        <v>0</v>
      </c>
      <c r="AA67" s="92">
        <f>'Incremental_Cost Year 2'!AW225</f>
        <v>0</v>
      </c>
      <c r="AB67" s="92">
        <f>'Incremental_Cost Year 2'!AX225</f>
        <v>0</v>
      </c>
      <c r="AC67" s="92">
        <f>'Incremental_Cost Year 2'!AY225</f>
        <v>0</v>
      </c>
      <c r="AD67" s="92">
        <f>'Incremental_Cost Year 2'!AZ225</f>
        <v>0</v>
      </c>
      <c r="AE67" s="92">
        <f>'Incremental_Cost Year 2'!BA225</f>
        <v>0</v>
      </c>
      <c r="AF67" s="92">
        <f>'Incremental_Cost Year 2'!BB225</f>
        <v>0</v>
      </c>
      <c r="AG67" s="70"/>
      <c r="AH67" s="92">
        <f>'Incremental_Cost Year 3'!AQ225</f>
        <v>0</v>
      </c>
      <c r="AI67" s="92">
        <f>'Incremental_Cost Year 3'!AR225</f>
        <v>0</v>
      </c>
      <c r="AJ67" s="92">
        <f>'Incremental_Cost Year 3'!AS225</f>
        <v>0</v>
      </c>
      <c r="AK67" s="92">
        <f>'Incremental_Cost Year 3'!AT225</f>
        <v>0</v>
      </c>
      <c r="AL67" s="92">
        <f>'Incremental_Cost Year 3'!AU225</f>
        <v>0</v>
      </c>
      <c r="AM67" s="92">
        <f>'Incremental_Cost Year 3'!AV225</f>
        <v>0</v>
      </c>
      <c r="AN67" s="92">
        <f>'Incremental_Cost Year 3'!AW225</f>
        <v>0</v>
      </c>
      <c r="AO67" s="92">
        <f>'Incremental_Cost Year 3'!AX225</f>
        <v>0</v>
      </c>
      <c r="AP67" s="92">
        <f>'Incremental_Cost Year 3'!AY225</f>
        <v>0</v>
      </c>
      <c r="AQ67" s="92">
        <f>'Incremental_Cost Year 3'!AZ225</f>
        <v>0</v>
      </c>
      <c r="AR67" s="92">
        <f>'Incremental_Cost Year 3'!BA225</f>
        <v>0</v>
      </c>
      <c r="AS67" s="92">
        <f>'Incremental_Cost Year 3'!BB225</f>
        <v>0</v>
      </c>
      <c r="AT67" s="70"/>
      <c r="AU67" s="92">
        <f>'Incremental_Cost Year 4'!AQ225</f>
        <v>0</v>
      </c>
      <c r="AV67" s="92">
        <f>'Incremental_Cost Year 4'!AR225</f>
        <v>0</v>
      </c>
      <c r="AW67" s="92">
        <f>'Incremental_Cost Year 4'!AS225</f>
        <v>0</v>
      </c>
      <c r="AX67" s="92">
        <f>'Incremental_Cost Year 4'!AT225</f>
        <v>0</v>
      </c>
      <c r="AY67" s="92">
        <f>'Incremental_Cost Year 4'!AU225</f>
        <v>0</v>
      </c>
      <c r="AZ67" s="92">
        <f>'Incremental_Cost Year 4'!AV225</f>
        <v>0</v>
      </c>
      <c r="BA67" s="92">
        <f>'Incremental_Cost Year 4'!AW225</f>
        <v>0</v>
      </c>
      <c r="BB67" s="92">
        <f>'Incremental_Cost Year 4'!AX225</f>
        <v>0</v>
      </c>
      <c r="BC67" s="92">
        <f>'Incremental_Cost Year 4'!AY225</f>
        <v>0</v>
      </c>
      <c r="BD67" s="92">
        <f>'Incremental_Cost Year 4'!AZ225</f>
        <v>0</v>
      </c>
      <c r="BE67" s="92">
        <f>'Incremental_Cost Year 4'!BA225</f>
        <v>0</v>
      </c>
      <c r="BF67" s="92">
        <f>'Incremental_Cost Year 4'!BB225</f>
        <v>0</v>
      </c>
      <c r="BG67" s="70"/>
      <c r="BH67" s="92">
        <f>'Incremental_Cost Year 5'!AQ225</f>
        <v>0</v>
      </c>
      <c r="BI67" s="92">
        <f>'Incremental_Cost Year 5'!AR225</f>
        <v>0</v>
      </c>
      <c r="BJ67" s="92">
        <f>'Incremental_Cost Year 5'!AS225</f>
        <v>0</v>
      </c>
      <c r="BK67" s="92">
        <f>'Incremental_Cost Year 5'!AT225</f>
        <v>0</v>
      </c>
      <c r="BL67" s="92">
        <f>'Incremental_Cost Year 5'!AU225</f>
        <v>0</v>
      </c>
      <c r="BM67" s="92">
        <f>'Incremental_Cost Year 5'!AV225</f>
        <v>0</v>
      </c>
      <c r="BN67" s="92">
        <f>'Incremental_Cost Year 5'!AW225</f>
        <v>0</v>
      </c>
      <c r="BO67" s="92">
        <f>'Incremental_Cost Year 5'!AX225</f>
        <v>0</v>
      </c>
      <c r="BP67" s="92">
        <f>'Incremental_Cost Year 5'!AY225</f>
        <v>0</v>
      </c>
      <c r="BQ67" s="92">
        <f>'Incremental_Cost Year 5'!AZ225</f>
        <v>0</v>
      </c>
      <c r="BR67" s="92">
        <f>'Incremental_Cost Year 5'!BA225</f>
        <v>0</v>
      </c>
      <c r="BS67" s="92">
        <f>'Incremental_Cost Year 5'!BB225</f>
        <v>0</v>
      </c>
      <c r="BT67" s="70"/>
      <c r="BU67" s="92">
        <f>'Incremental_Cost Year 6'!AQ225</f>
        <v>0</v>
      </c>
      <c r="BV67" s="92">
        <f>'Incremental_Cost Year 6'!AR225</f>
        <v>0</v>
      </c>
      <c r="BW67" s="92">
        <f>'Incremental_Cost Year 6'!AS225</f>
        <v>0</v>
      </c>
      <c r="BX67" s="92">
        <f>'Incremental_Cost Year 6'!AT225</f>
        <v>0</v>
      </c>
      <c r="BY67" s="92">
        <f>'Incremental_Cost Year 6'!AU225</f>
        <v>0</v>
      </c>
      <c r="BZ67" s="92">
        <f>'Incremental_Cost Year 6'!AV225</f>
        <v>0</v>
      </c>
      <c r="CA67" s="92">
        <f>'Incremental_Cost Year 6'!AW225</f>
        <v>0</v>
      </c>
      <c r="CB67" s="92">
        <f>'Incremental_Cost Year 6'!AX225</f>
        <v>0</v>
      </c>
      <c r="CC67" s="92">
        <f>'Incremental_Cost Year 6'!AY225</f>
        <v>0</v>
      </c>
      <c r="CD67" s="92">
        <f>'Incremental_Cost Year 6'!AZ225</f>
        <v>0</v>
      </c>
      <c r="CE67" s="92">
        <f>'Incremental_Cost Year 6'!BA225</f>
        <v>0</v>
      </c>
      <c r="CF67" s="92">
        <f>'Incremental_Cost Year 6'!BB225</f>
        <v>0</v>
      </c>
      <c r="CG67" s="70"/>
      <c r="CH67" s="92">
        <f>'Incremental_Cost Year 7'!AQ225</f>
        <v>0</v>
      </c>
      <c r="CI67" s="92">
        <f>'Incremental_Cost Year 7'!AR225</f>
        <v>0</v>
      </c>
      <c r="CJ67" s="92">
        <f>'Incremental_Cost Year 7'!AS225</f>
        <v>0</v>
      </c>
      <c r="CK67" s="92">
        <f>'Incremental_Cost Year 7'!AT225</f>
        <v>0</v>
      </c>
      <c r="CL67" s="92">
        <f>'Incremental_Cost Year 7'!AU225</f>
        <v>0</v>
      </c>
      <c r="CM67" s="92">
        <f>'Incremental_Cost Year 7'!AV225</f>
        <v>0</v>
      </c>
      <c r="CN67" s="92">
        <f>'Incremental_Cost Year 7'!AW225</f>
        <v>0</v>
      </c>
      <c r="CO67" s="92">
        <f>'Incremental_Cost Year 7'!AX225</f>
        <v>0</v>
      </c>
      <c r="CP67" s="92">
        <f>'Incremental_Cost Year 7'!AY225</f>
        <v>0</v>
      </c>
      <c r="CQ67" s="92">
        <f>'Incremental_Cost Year 7'!AZ225</f>
        <v>0</v>
      </c>
      <c r="CR67" s="92">
        <f>'Incremental_Cost Year 7'!BA225</f>
        <v>0</v>
      </c>
      <c r="CS67" s="92">
        <f>'Incremental_Cost Year 7'!BB225</f>
        <v>0</v>
      </c>
      <c r="CT67" s="70"/>
      <c r="CU67" s="92">
        <f>'Incremental_Cost Year 8'!AQ225</f>
        <v>0</v>
      </c>
      <c r="CV67" s="92">
        <f>'Incremental_Cost Year 8'!AR225</f>
        <v>0</v>
      </c>
      <c r="CW67" s="92">
        <f>'Incremental_Cost Year 8'!AS225</f>
        <v>0</v>
      </c>
      <c r="CX67" s="92">
        <f>'Incremental_Cost Year 8'!AT225</f>
        <v>0</v>
      </c>
      <c r="CY67" s="92">
        <f>'Incremental_Cost Year 8'!AU225</f>
        <v>0</v>
      </c>
      <c r="CZ67" s="92">
        <f>'Incremental_Cost Year 8'!AV225</f>
        <v>0</v>
      </c>
      <c r="DA67" s="92">
        <f>'Incremental_Cost Year 8'!AW225</f>
        <v>0</v>
      </c>
      <c r="DB67" s="92">
        <f>'Incremental_Cost Year 8'!AX225</f>
        <v>0</v>
      </c>
      <c r="DC67" s="92">
        <f>'Incremental_Cost Year 8'!AY225</f>
        <v>0</v>
      </c>
      <c r="DD67" s="92">
        <f>'Incremental_Cost Year 8'!AZ225</f>
        <v>0</v>
      </c>
      <c r="DE67" s="92">
        <f>'Incremental_Cost Year 8'!BA225</f>
        <v>0</v>
      </c>
      <c r="DF67" s="92">
        <f>'Incremental_Cost Year 8'!BB225</f>
        <v>0</v>
      </c>
      <c r="DG67" s="70"/>
      <c r="DH67" s="92">
        <f>'Incremental_Cost Year 9'!AQ225</f>
        <v>0</v>
      </c>
      <c r="DI67" s="92">
        <f>'Incremental_Cost Year 9'!AR225</f>
        <v>0</v>
      </c>
      <c r="DJ67" s="92">
        <f>'Incremental_Cost Year 9'!AS225</f>
        <v>0</v>
      </c>
      <c r="DK67" s="92">
        <f>'Incremental_Cost Year 9'!AT225</f>
        <v>0</v>
      </c>
      <c r="DL67" s="92">
        <f>'Incremental_Cost Year 9'!AU225</f>
        <v>0</v>
      </c>
      <c r="DM67" s="92">
        <f>'Incremental_Cost Year 9'!AV225</f>
        <v>0</v>
      </c>
      <c r="DN67" s="92">
        <f>'Incremental_Cost Year 9'!AW225</f>
        <v>0</v>
      </c>
      <c r="DO67" s="92">
        <f>'Incremental_Cost Year 9'!AX225</f>
        <v>0</v>
      </c>
      <c r="DP67" s="92">
        <f>'Incremental_Cost Year 9'!AY225</f>
        <v>0</v>
      </c>
      <c r="DQ67" s="92">
        <f>'Incremental_Cost Year 9'!AZ225</f>
        <v>0</v>
      </c>
      <c r="DR67" s="92">
        <f>'Incremental_Cost Year 9'!BA225</f>
        <v>0</v>
      </c>
      <c r="DS67" s="92">
        <f>'Incremental_Cost Year 9'!BB225</f>
        <v>0</v>
      </c>
      <c r="DT67" s="70"/>
      <c r="DU67" s="92">
        <f>'Incremental_Cost Year 10'!AQ225</f>
        <v>0</v>
      </c>
      <c r="DV67" s="92">
        <f>'Incremental_Cost Year 10'!AR225</f>
        <v>0</v>
      </c>
      <c r="DW67" s="92">
        <f>'Incremental_Cost Year 10'!AS225</f>
        <v>0</v>
      </c>
      <c r="DX67" s="92">
        <f>'Incremental_Cost Year 10'!AT225</f>
        <v>0</v>
      </c>
      <c r="DY67" s="92">
        <f>'Incremental_Cost Year 10'!AU225</f>
        <v>0</v>
      </c>
      <c r="DZ67" s="92">
        <f>'Incremental_Cost Year 10'!AV225</f>
        <v>0</v>
      </c>
      <c r="EA67" s="92">
        <f>'Incremental_Cost Year 10'!AW225</f>
        <v>0</v>
      </c>
      <c r="EB67" s="92">
        <f>'Incremental_Cost Year 10'!AX225</f>
        <v>0</v>
      </c>
      <c r="EC67" s="92">
        <f>'Incremental_Cost Year 10'!AY225</f>
        <v>0</v>
      </c>
      <c r="ED67" s="92">
        <f>'Incremental_Cost Year 10'!AZ225</f>
        <v>0</v>
      </c>
      <c r="EE67" s="92">
        <f>'Incremental_Cost Year 10'!BA225</f>
        <v>0</v>
      </c>
      <c r="EF67" s="92">
        <f>'Incremental_Cost Year 10'!BB225</f>
        <v>0</v>
      </c>
      <c r="EG67" s="70"/>
      <c r="EH67" s="92">
        <f t="shared" ref="EH67:ES67" si="292">H67+U67+AH67+AU67+BH67+BU67+CH67+CU67+DH67+DU67</f>
        <v>81167184</v>
      </c>
      <c r="EI67" s="92">
        <f t="shared" si="292"/>
        <v>0</v>
      </c>
      <c r="EJ67" s="92">
        <f t="shared" si="292"/>
        <v>0</v>
      </c>
      <c r="EK67" s="92">
        <f t="shared" si="292"/>
        <v>81167184</v>
      </c>
      <c r="EL67" s="92">
        <f t="shared" si="292"/>
        <v>81167184</v>
      </c>
      <c r="EM67" s="92">
        <f t="shared" si="292"/>
        <v>0</v>
      </c>
      <c r="EN67" s="92">
        <f t="shared" si="292"/>
        <v>0</v>
      </c>
      <c r="EO67" s="92">
        <f t="shared" si="292"/>
        <v>0</v>
      </c>
      <c r="EP67" s="92">
        <f t="shared" si="292"/>
        <v>0</v>
      </c>
      <c r="EQ67" s="92">
        <f t="shared" si="292"/>
        <v>0</v>
      </c>
      <c r="ER67" s="92">
        <f t="shared" si="292"/>
        <v>0</v>
      </c>
      <c r="ES67" s="92">
        <f t="shared" si="292"/>
        <v>0</v>
      </c>
      <c r="EU67" s="194">
        <f t="shared" si="23"/>
        <v>0</v>
      </c>
      <c r="EW67" s="194">
        <f t="shared" si="24"/>
        <v>0</v>
      </c>
      <c r="EX67" s="194">
        <f t="shared" si="21"/>
        <v>0</v>
      </c>
    </row>
    <row r="68" spans="1:154" s="77" customFormat="1" x14ac:dyDescent="0.25">
      <c r="A68" s="87"/>
      <c r="B68" s="90"/>
      <c r="C68" s="421" t="str">
        <f>'Incremental_Cost Year 1'!C226:E226</f>
        <v>4.4 Objektivi Specifik: Fuqizimi i fushave të sigurisë ushqimore, biologjike dhe kimike</v>
      </c>
      <c r="D68" s="421"/>
      <c r="E68" s="422"/>
      <c r="F68" s="99"/>
      <c r="G68" s="99"/>
      <c r="H68" s="94">
        <f>SUM(H69:H69)</f>
        <v>13740291.342857143</v>
      </c>
      <c r="I68" s="94">
        <f t="shared" ref="I68:S68" si="293">SUM(I69:I69)</f>
        <v>360000</v>
      </c>
      <c r="J68" s="94">
        <f t="shared" si="293"/>
        <v>0</v>
      </c>
      <c r="K68" s="94">
        <f t="shared" si="293"/>
        <v>14100291.342857143</v>
      </c>
      <c r="L68" s="94">
        <f t="shared" si="293"/>
        <v>14100291.342857143</v>
      </c>
      <c r="M68" s="94">
        <f t="shared" si="293"/>
        <v>0</v>
      </c>
      <c r="N68" s="94">
        <f t="shared" si="293"/>
        <v>0</v>
      </c>
      <c r="O68" s="94">
        <f t="shared" si="293"/>
        <v>0</v>
      </c>
      <c r="P68" s="94">
        <f t="shared" si="293"/>
        <v>0</v>
      </c>
      <c r="Q68" s="94">
        <f t="shared" si="293"/>
        <v>0</v>
      </c>
      <c r="R68" s="94">
        <f t="shared" si="293"/>
        <v>0</v>
      </c>
      <c r="S68" s="94">
        <f t="shared" si="293"/>
        <v>0</v>
      </c>
      <c r="T68" s="70"/>
      <c r="U68" s="94">
        <f>SUM(U69:U69)</f>
        <v>82441748.057142854</v>
      </c>
      <c r="V68" s="94">
        <f t="shared" ref="V68:AF68" si="294">SUM(V69:V69)</f>
        <v>360000</v>
      </c>
      <c r="W68" s="94">
        <f t="shared" si="294"/>
        <v>0</v>
      </c>
      <c r="X68" s="94">
        <f t="shared" si="294"/>
        <v>82801748.057142854</v>
      </c>
      <c r="Y68" s="94">
        <f t="shared" si="294"/>
        <v>82801748.057142854</v>
      </c>
      <c r="Z68" s="94">
        <f t="shared" si="294"/>
        <v>0</v>
      </c>
      <c r="AA68" s="94">
        <f t="shared" si="294"/>
        <v>0</v>
      </c>
      <c r="AB68" s="94">
        <f t="shared" si="294"/>
        <v>0</v>
      </c>
      <c r="AC68" s="94">
        <f t="shared" si="294"/>
        <v>0</v>
      </c>
      <c r="AD68" s="94">
        <f t="shared" si="294"/>
        <v>0</v>
      </c>
      <c r="AE68" s="94">
        <f t="shared" si="294"/>
        <v>0</v>
      </c>
      <c r="AF68" s="94">
        <f t="shared" si="294"/>
        <v>0</v>
      </c>
      <c r="AG68" s="70"/>
      <c r="AH68" s="94">
        <f>SUM(AH69:AH69)</f>
        <v>84088618.45714286</v>
      </c>
      <c r="AI68" s="94">
        <f t="shared" ref="AI68:AS68" si="295">SUM(AI69:AI69)</f>
        <v>4900800</v>
      </c>
      <c r="AJ68" s="94">
        <f t="shared" si="295"/>
        <v>0</v>
      </c>
      <c r="AK68" s="94">
        <f t="shared" si="295"/>
        <v>88989418.45714286</v>
      </c>
      <c r="AL68" s="94">
        <f t="shared" si="295"/>
        <v>84448618.45714286</v>
      </c>
      <c r="AM68" s="94">
        <f t="shared" si="295"/>
        <v>0</v>
      </c>
      <c r="AN68" s="94">
        <f t="shared" si="295"/>
        <v>0</v>
      </c>
      <c r="AO68" s="94">
        <f t="shared" si="295"/>
        <v>0</v>
      </c>
      <c r="AP68" s="94">
        <f t="shared" si="295"/>
        <v>0</v>
      </c>
      <c r="AQ68" s="94">
        <f t="shared" si="295"/>
        <v>0</v>
      </c>
      <c r="AR68" s="94">
        <f t="shared" si="295"/>
        <v>0</v>
      </c>
      <c r="AS68" s="94">
        <f t="shared" si="295"/>
        <v>-4540800</v>
      </c>
      <c r="AT68" s="70"/>
      <c r="AU68" s="94">
        <f>SUM(AU69:AU69)</f>
        <v>82912282.45714286</v>
      </c>
      <c r="AV68" s="94">
        <f t="shared" ref="AV68:BF68" si="296">SUM(AV69:AV69)</f>
        <v>1560000</v>
      </c>
      <c r="AW68" s="94">
        <f t="shared" si="296"/>
        <v>0</v>
      </c>
      <c r="AX68" s="94">
        <f t="shared" si="296"/>
        <v>84472282.45714286</v>
      </c>
      <c r="AY68" s="94">
        <f t="shared" si="296"/>
        <v>83272282.45714286</v>
      </c>
      <c r="AZ68" s="94">
        <f t="shared" si="296"/>
        <v>0</v>
      </c>
      <c r="BA68" s="94">
        <f t="shared" si="296"/>
        <v>0</v>
      </c>
      <c r="BB68" s="94">
        <f t="shared" si="296"/>
        <v>0</v>
      </c>
      <c r="BC68" s="94">
        <f t="shared" si="296"/>
        <v>0</v>
      </c>
      <c r="BD68" s="94">
        <f t="shared" si="296"/>
        <v>0</v>
      </c>
      <c r="BE68" s="94">
        <f t="shared" si="296"/>
        <v>0</v>
      </c>
      <c r="BF68" s="94">
        <f t="shared" si="296"/>
        <v>-1200000</v>
      </c>
      <c r="BG68" s="70"/>
      <c r="BH68" s="94">
        <f>SUM(BH69:BH69)</f>
        <v>82912282.45714286</v>
      </c>
      <c r="BI68" s="94">
        <f t="shared" ref="BI68:BS68" si="297">SUM(BI69:BI69)</f>
        <v>1560000</v>
      </c>
      <c r="BJ68" s="94">
        <f t="shared" si="297"/>
        <v>0</v>
      </c>
      <c r="BK68" s="94">
        <f t="shared" si="297"/>
        <v>84472282.45714286</v>
      </c>
      <c r="BL68" s="94">
        <f t="shared" si="297"/>
        <v>83272282.45714286</v>
      </c>
      <c r="BM68" s="94">
        <f t="shared" si="297"/>
        <v>0</v>
      </c>
      <c r="BN68" s="94">
        <f t="shared" si="297"/>
        <v>0</v>
      </c>
      <c r="BO68" s="94">
        <f t="shared" si="297"/>
        <v>0</v>
      </c>
      <c r="BP68" s="94">
        <f t="shared" si="297"/>
        <v>0</v>
      </c>
      <c r="BQ68" s="94">
        <f t="shared" si="297"/>
        <v>0</v>
      </c>
      <c r="BR68" s="94">
        <f t="shared" si="297"/>
        <v>0</v>
      </c>
      <c r="BS68" s="94">
        <f t="shared" si="297"/>
        <v>-1200000</v>
      </c>
      <c r="BT68" s="70"/>
      <c r="BU68" s="94">
        <f>SUM(BU69:BU69)</f>
        <v>82441748.057142854</v>
      </c>
      <c r="BV68" s="94">
        <f t="shared" ref="BV68:CF68" si="298">SUM(BV69:BV69)</f>
        <v>360000</v>
      </c>
      <c r="BW68" s="94">
        <f t="shared" si="298"/>
        <v>0</v>
      </c>
      <c r="BX68" s="94">
        <f t="shared" si="298"/>
        <v>82801748.057142854</v>
      </c>
      <c r="BY68" s="94">
        <f t="shared" si="298"/>
        <v>82801748.057142854</v>
      </c>
      <c r="BZ68" s="94">
        <f t="shared" si="298"/>
        <v>0</v>
      </c>
      <c r="CA68" s="94">
        <f t="shared" si="298"/>
        <v>0</v>
      </c>
      <c r="CB68" s="94">
        <f t="shared" si="298"/>
        <v>0</v>
      </c>
      <c r="CC68" s="94">
        <f t="shared" si="298"/>
        <v>0</v>
      </c>
      <c r="CD68" s="94">
        <f t="shared" si="298"/>
        <v>0</v>
      </c>
      <c r="CE68" s="94">
        <f t="shared" si="298"/>
        <v>0</v>
      </c>
      <c r="CF68" s="94">
        <f t="shared" si="298"/>
        <v>0</v>
      </c>
      <c r="CG68" s="70"/>
      <c r="CH68" s="94">
        <f>SUM(CH69:CH69)</f>
        <v>82441748.057142854</v>
      </c>
      <c r="CI68" s="94">
        <f t="shared" ref="CI68:CS68" si="299">SUM(CI69:CI69)</f>
        <v>360000</v>
      </c>
      <c r="CJ68" s="94">
        <f t="shared" si="299"/>
        <v>0</v>
      </c>
      <c r="CK68" s="94">
        <f t="shared" si="299"/>
        <v>82801748.057142854</v>
      </c>
      <c r="CL68" s="94">
        <f t="shared" si="299"/>
        <v>82801748.057142854</v>
      </c>
      <c r="CM68" s="94">
        <f t="shared" si="299"/>
        <v>0</v>
      </c>
      <c r="CN68" s="94">
        <f t="shared" si="299"/>
        <v>0</v>
      </c>
      <c r="CO68" s="94">
        <f t="shared" si="299"/>
        <v>0</v>
      </c>
      <c r="CP68" s="94">
        <f t="shared" si="299"/>
        <v>0</v>
      </c>
      <c r="CQ68" s="94">
        <f t="shared" si="299"/>
        <v>0</v>
      </c>
      <c r="CR68" s="94">
        <f t="shared" si="299"/>
        <v>0</v>
      </c>
      <c r="CS68" s="94">
        <f t="shared" si="299"/>
        <v>0</v>
      </c>
      <c r="CT68" s="70"/>
      <c r="CU68" s="94">
        <f>SUM(CU69:CU69)</f>
        <v>82441748.057142854</v>
      </c>
      <c r="CV68" s="94">
        <f t="shared" ref="CV68:DF68" si="300">SUM(CV69:CV69)</f>
        <v>360000</v>
      </c>
      <c r="CW68" s="94">
        <f t="shared" si="300"/>
        <v>0</v>
      </c>
      <c r="CX68" s="94">
        <f t="shared" si="300"/>
        <v>82801748.057142854</v>
      </c>
      <c r="CY68" s="94">
        <f t="shared" si="300"/>
        <v>82801748.057142854</v>
      </c>
      <c r="CZ68" s="94">
        <f t="shared" si="300"/>
        <v>0</v>
      </c>
      <c r="DA68" s="94">
        <f t="shared" si="300"/>
        <v>0</v>
      </c>
      <c r="DB68" s="94">
        <f t="shared" si="300"/>
        <v>0</v>
      </c>
      <c r="DC68" s="94">
        <f t="shared" si="300"/>
        <v>0</v>
      </c>
      <c r="DD68" s="94">
        <f t="shared" si="300"/>
        <v>0</v>
      </c>
      <c r="DE68" s="94">
        <f t="shared" si="300"/>
        <v>0</v>
      </c>
      <c r="DF68" s="94">
        <f t="shared" si="300"/>
        <v>0</v>
      </c>
      <c r="DG68" s="70"/>
      <c r="DH68" s="94">
        <f>SUM(DH69:DH69)</f>
        <v>82441748.057142854</v>
      </c>
      <c r="DI68" s="94">
        <f t="shared" ref="DI68:DS68" si="301">SUM(DI69:DI69)</f>
        <v>360000</v>
      </c>
      <c r="DJ68" s="94">
        <f t="shared" si="301"/>
        <v>0</v>
      </c>
      <c r="DK68" s="94">
        <f t="shared" si="301"/>
        <v>82801748.057142854</v>
      </c>
      <c r="DL68" s="94">
        <f t="shared" si="301"/>
        <v>82801748.057142854</v>
      </c>
      <c r="DM68" s="94">
        <f t="shared" si="301"/>
        <v>0</v>
      </c>
      <c r="DN68" s="94">
        <f t="shared" si="301"/>
        <v>0</v>
      </c>
      <c r="DO68" s="94">
        <f t="shared" si="301"/>
        <v>0</v>
      </c>
      <c r="DP68" s="94">
        <f t="shared" si="301"/>
        <v>0</v>
      </c>
      <c r="DQ68" s="94">
        <f t="shared" si="301"/>
        <v>0</v>
      </c>
      <c r="DR68" s="94">
        <f t="shared" si="301"/>
        <v>0</v>
      </c>
      <c r="DS68" s="94">
        <f t="shared" si="301"/>
        <v>0</v>
      </c>
      <c r="DT68" s="70"/>
      <c r="DU68" s="94">
        <f>SUM(DU69:DU69)</f>
        <v>82441748.057142854</v>
      </c>
      <c r="DV68" s="94">
        <f t="shared" ref="DV68:EF68" si="302">SUM(DV69:DV69)</f>
        <v>360000</v>
      </c>
      <c r="DW68" s="94">
        <f t="shared" si="302"/>
        <v>0</v>
      </c>
      <c r="DX68" s="94">
        <f t="shared" si="302"/>
        <v>82801748.057142854</v>
      </c>
      <c r="DY68" s="94">
        <f t="shared" si="302"/>
        <v>82801748.057142854</v>
      </c>
      <c r="DZ68" s="94">
        <f t="shared" si="302"/>
        <v>0</v>
      </c>
      <c r="EA68" s="94">
        <f t="shared" si="302"/>
        <v>0</v>
      </c>
      <c r="EB68" s="94">
        <f t="shared" si="302"/>
        <v>0</v>
      </c>
      <c r="EC68" s="94">
        <f t="shared" si="302"/>
        <v>0</v>
      </c>
      <c r="ED68" s="94">
        <f t="shared" si="302"/>
        <v>0</v>
      </c>
      <c r="EE68" s="94">
        <f t="shared" si="302"/>
        <v>0</v>
      </c>
      <c r="EF68" s="94">
        <f t="shared" si="302"/>
        <v>0</v>
      </c>
      <c r="EG68" s="70"/>
      <c r="EH68" s="94">
        <f t="shared" ref="EH68:ES68" si="303">SUM(EH69:EH69)</f>
        <v>758303963.05714285</v>
      </c>
      <c r="EI68" s="94">
        <f t="shared" si="303"/>
        <v>10540800</v>
      </c>
      <c r="EJ68" s="94">
        <f t="shared" si="303"/>
        <v>0</v>
      </c>
      <c r="EK68" s="94">
        <f t="shared" si="303"/>
        <v>768844763.05714285</v>
      </c>
      <c r="EL68" s="94">
        <f t="shared" si="303"/>
        <v>761903963.05714285</v>
      </c>
      <c r="EM68" s="94">
        <f t="shared" si="303"/>
        <v>0</v>
      </c>
      <c r="EN68" s="94">
        <f t="shared" si="303"/>
        <v>0</v>
      </c>
      <c r="EO68" s="94">
        <f t="shared" si="303"/>
        <v>0</v>
      </c>
      <c r="EP68" s="94">
        <f t="shared" si="303"/>
        <v>0</v>
      </c>
      <c r="EQ68" s="94">
        <f t="shared" si="303"/>
        <v>0</v>
      </c>
      <c r="ER68" s="94">
        <f t="shared" si="303"/>
        <v>0</v>
      </c>
      <c r="ES68" s="94">
        <f t="shared" si="303"/>
        <v>-6940800</v>
      </c>
      <c r="EU68" s="194">
        <f t="shared" si="23"/>
        <v>0</v>
      </c>
      <c r="EW68" s="194">
        <f t="shared" si="24"/>
        <v>-6940800</v>
      </c>
      <c r="EX68" s="194">
        <f t="shared" si="21"/>
        <v>0</v>
      </c>
    </row>
    <row r="69" spans="1:154" s="77" customFormat="1" ht="51" x14ac:dyDescent="0.25">
      <c r="A69" s="82"/>
      <c r="B69" s="88"/>
      <c r="C69" s="100"/>
      <c r="D69" s="193" t="str">
        <f>'Incremental_Cost Year 1'!D231</f>
        <v>07220 Shërbime të Kujdesit Shëndetësor Parësor/07450 Shërbime të Shëndetit Publik</v>
      </c>
      <c r="E69" s="193" t="str">
        <f>'Incremental_Cost Year 1'!E231</f>
        <v>4.4.1 Fuqizimi i sigurisë ushqimore, biologjike dhe biokimike, radioaktive bazuar në standardet ndërkombëtare</v>
      </c>
      <c r="F69" s="96">
        <f>'Incremental_Cost Year 1'!F231</f>
        <v>2021</v>
      </c>
      <c r="G69" s="96">
        <f>'Incremental_Cost Year 1'!G231</f>
        <v>2025</v>
      </c>
      <c r="H69" s="92">
        <f>'Incremental_Cost Year 1'!AQ231</f>
        <v>13740291.342857143</v>
      </c>
      <c r="I69" s="92">
        <f>'Incremental_Cost Year 1'!AR231</f>
        <v>360000</v>
      </c>
      <c r="J69" s="92">
        <f>'Incremental_Cost Year 1'!AS231</f>
        <v>0</v>
      </c>
      <c r="K69" s="92">
        <f>'Incremental_Cost Year 1'!AT231</f>
        <v>14100291.342857143</v>
      </c>
      <c r="L69" s="92">
        <f>'Incremental_Cost Year 1'!AU231</f>
        <v>14100291.342857143</v>
      </c>
      <c r="M69" s="92">
        <f>'Incremental_Cost Year 1'!AV231</f>
        <v>0</v>
      </c>
      <c r="N69" s="92">
        <f>'Incremental_Cost Year 1'!AW231</f>
        <v>0</v>
      </c>
      <c r="O69" s="92">
        <f>'Incremental_Cost Year 1'!AX231</f>
        <v>0</v>
      </c>
      <c r="P69" s="92">
        <f>'Incremental_Cost Year 1'!AY231</f>
        <v>0</v>
      </c>
      <c r="Q69" s="92">
        <f>'Incremental_Cost Year 1'!AZ231</f>
        <v>0</v>
      </c>
      <c r="R69" s="92">
        <f>'Incremental_Cost Year 1'!BA231</f>
        <v>0</v>
      </c>
      <c r="S69" s="92">
        <f>'Incremental_Cost Year 1'!BB231</f>
        <v>0</v>
      </c>
      <c r="T69" s="70"/>
      <c r="U69" s="92">
        <f>'Incremental_Cost Year 2'!AQ231</f>
        <v>82441748.057142854</v>
      </c>
      <c r="V69" s="92">
        <f>'Incremental_Cost Year 2'!AR231</f>
        <v>360000</v>
      </c>
      <c r="W69" s="92">
        <f>'Incremental_Cost Year 2'!AS231</f>
        <v>0</v>
      </c>
      <c r="X69" s="92">
        <f>'Incremental_Cost Year 2'!AT231</f>
        <v>82801748.057142854</v>
      </c>
      <c r="Y69" s="92">
        <f>'Incremental_Cost Year 2'!AU231</f>
        <v>82801748.057142854</v>
      </c>
      <c r="Z69" s="92">
        <f>'Incremental_Cost Year 2'!AV231</f>
        <v>0</v>
      </c>
      <c r="AA69" s="92">
        <f>'Incremental_Cost Year 2'!AW231</f>
        <v>0</v>
      </c>
      <c r="AB69" s="92">
        <f>'Incremental_Cost Year 2'!AX231</f>
        <v>0</v>
      </c>
      <c r="AC69" s="92">
        <f>'Incremental_Cost Year 2'!AY231</f>
        <v>0</v>
      </c>
      <c r="AD69" s="92">
        <f>'Incremental_Cost Year 2'!AZ231</f>
        <v>0</v>
      </c>
      <c r="AE69" s="92">
        <f>'Incremental_Cost Year 2'!BA231</f>
        <v>0</v>
      </c>
      <c r="AF69" s="92">
        <f>'Incremental_Cost Year 2'!BB231</f>
        <v>0</v>
      </c>
      <c r="AG69" s="70"/>
      <c r="AH69" s="92">
        <f>'Incremental_Cost Year 3'!AQ231</f>
        <v>84088618.45714286</v>
      </c>
      <c r="AI69" s="92">
        <f>'Incremental_Cost Year 3'!AR231</f>
        <v>4900800</v>
      </c>
      <c r="AJ69" s="92">
        <f>'Incremental_Cost Year 3'!AS231</f>
        <v>0</v>
      </c>
      <c r="AK69" s="92">
        <f>'Incremental_Cost Year 3'!AT231</f>
        <v>88989418.45714286</v>
      </c>
      <c r="AL69" s="92">
        <f>'Incremental_Cost Year 3'!AU231</f>
        <v>84448618.45714286</v>
      </c>
      <c r="AM69" s="92">
        <f>'Incremental_Cost Year 3'!AV231</f>
        <v>0</v>
      </c>
      <c r="AN69" s="92">
        <f>'Incremental_Cost Year 3'!AW231</f>
        <v>0</v>
      </c>
      <c r="AO69" s="92">
        <f>'Incremental_Cost Year 3'!AX231</f>
        <v>0</v>
      </c>
      <c r="AP69" s="92">
        <f>'Incremental_Cost Year 3'!AY231</f>
        <v>0</v>
      </c>
      <c r="AQ69" s="92">
        <f>'Incremental_Cost Year 3'!AZ231</f>
        <v>0</v>
      </c>
      <c r="AR69" s="92">
        <f>'Incremental_Cost Year 3'!BA231</f>
        <v>0</v>
      </c>
      <c r="AS69" s="92">
        <f>'Incremental_Cost Year 3'!BB231</f>
        <v>-4540800</v>
      </c>
      <c r="AT69" s="70"/>
      <c r="AU69" s="92">
        <f>'Incremental_Cost Year 4'!AQ231</f>
        <v>82912282.45714286</v>
      </c>
      <c r="AV69" s="92">
        <f>'Incremental_Cost Year 4'!AR231</f>
        <v>1560000</v>
      </c>
      <c r="AW69" s="92">
        <f>'Incremental_Cost Year 4'!AS231</f>
        <v>0</v>
      </c>
      <c r="AX69" s="92">
        <f>'Incremental_Cost Year 4'!AT231</f>
        <v>84472282.45714286</v>
      </c>
      <c r="AY69" s="92">
        <f>'Incremental_Cost Year 4'!AU231</f>
        <v>83272282.45714286</v>
      </c>
      <c r="AZ69" s="92">
        <f>'Incremental_Cost Year 4'!AV231</f>
        <v>0</v>
      </c>
      <c r="BA69" s="92">
        <f>'Incremental_Cost Year 4'!AW231</f>
        <v>0</v>
      </c>
      <c r="BB69" s="92">
        <f>'Incremental_Cost Year 4'!AX231</f>
        <v>0</v>
      </c>
      <c r="BC69" s="92">
        <f>'Incremental_Cost Year 4'!AY231</f>
        <v>0</v>
      </c>
      <c r="BD69" s="92">
        <f>'Incremental_Cost Year 4'!AZ231</f>
        <v>0</v>
      </c>
      <c r="BE69" s="92">
        <f>'Incremental_Cost Year 4'!BA231</f>
        <v>0</v>
      </c>
      <c r="BF69" s="92">
        <f>'Incremental_Cost Year 4'!BB231</f>
        <v>-1200000</v>
      </c>
      <c r="BG69" s="70"/>
      <c r="BH69" s="92">
        <f>'Incremental_Cost Year 5'!AQ231</f>
        <v>82912282.45714286</v>
      </c>
      <c r="BI69" s="92">
        <f>'Incremental_Cost Year 5'!AR231</f>
        <v>1560000</v>
      </c>
      <c r="BJ69" s="92">
        <f>'Incremental_Cost Year 5'!AS231</f>
        <v>0</v>
      </c>
      <c r="BK69" s="92">
        <f>'Incremental_Cost Year 5'!AT231</f>
        <v>84472282.45714286</v>
      </c>
      <c r="BL69" s="92">
        <f>'Incremental_Cost Year 5'!AU231</f>
        <v>83272282.45714286</v>
      </c>
      <c r="BM69" s="92">
        <f>'Incremental_Cost Year 5'!AV231</f>
        <v>0</v>
      </c>
      <c r="BN69" s="92">
        <f>'Incremental_Cost Year 5'!AW231</f>
        <v>0</v>
      </c>
      <c r="BO69" s="92">
        <f>'Incremental_Cost Year 5'!AX231</f>
        <v>0</v>
      </c>
      <c r="BP69" s="92">
        <f>'Incremental_Cost Year 5'!AY231</f>
        <v>0</v>
      </c>
      <c r="BQ69" s="92">
        <f>'Incremental_Cost Year 5'!AZ231</f>
        <v>0</v>
      </c>
      <c r="BR69" s="92">
        <f>'Incremental_Cost Year 5'!BA231</f>
        <v>0</v>
      </c>
      <c r="BS69" s="92">
        <f>'Incremental_Cost Year 5'!BB231</f>
        <v>-1200000</v>
      </c>
      <c r="BT69" s="70"/>
      <c r="BU69" s="92">
        <f>'Incremental_Cost Year 6'!AQ231</f>
        <v>82441748.057142854</v>
      </c>
      <c r="BV69" s="92">
        <f>'Incremental_Cost Year 6'!AR231</f>
        <v>360000</v>
      </c>
      <c r="BW69" s="92">
        <f>'Incremental_Cost Year 6'!AS231</f>
        <v>0</v>
      </c>
      <c r="BX69" s="92">
        <f>'Incremental_Cost Year 6'!AT231</f>
        <v>82801748.057142854</v>
      </c>
      <c r="BY69" s="92">
        <f>'Incremental_Cost Year 6'!AU231</f>
        <v>82801748.057142854</v>
      </c>
      <c r="BZ69" s="92">
        <f>'Incremental_Cost Year 6'!AV231</f>
        <v>0</v>
      </c>
      <c r="CA69" s="92">
        <f>'Incremental_Cost Year 6'!AW231</f>
        <v>0</v>
      </c>
      <c r="CB69" s="92">
        <f>'Incremental_Cost Year 6'!AX231</f>
        <v>0</v>
      </c>
      <c r="CC69" s="92">
        <f>'Incremental_Cost Year 6'!AY231</f>
        <v>0</v>
      </c>
      <c r="CD69" s="92">
        <f>'Incremental_Cost Year 6'!AZ231</f>
        <v>0</v>
      </c>
      <c r="CE69" s="92">
        <f>'Incremental_Cost Year 6'!BA231</f>
        <v>0</v>
      </c>
      <c r="CF69" s="92">
        <f>'Incremental_Cost Year 6'!BB231</f>
        <v>0</v>
      </c>
      <c r="CG69" s="70"/>
      <c r="CH69" s="92">
        <f>'Incremental_Cost Year 7'!AQ231</f>
        <v>82441748.057142854</v>
      </c>
      <c r="CI69" s="92">
        <f>'Incremental_Cost Year 7'!AR231</f>
        <v>360000</v>
      </c>
      <c r="CJ69" s="92">
        <f>'Incremental_Cost Year 7'!AS231</f>
        <v>0</v>
      </c>
      <c r="CK69" s="92">
        <f>'Incremental_Cost Year 7'!AT231</f>
        <v>82801748.057142854</v>
      </c>
      <c r="CL69" s="92">
        <f>'Incremental_Cost Year 7'!AU231</f>
        <v>82801748.057142854</v>
      </c>
      <c r="CM69" s="92">
        <f>'Incremental_Cost Year 7'!AV231</f>
        <v>0</v>
      </c>
      <c r="CN69" s="92">
        <f>'Incremental_Cost Year 7'!AW231</f>
        <v>0</v>
      </c>
      <c r="CO69" s="92">
        <f>'Incremental_Cost Year 7'!AX231</f>
        <v>0</v>
      </c>
      <c r="CP69" s="92">
        <f>'Incremental_Cost Year 7'!AY231</f>
        <v>0</v>
      </c>
      <c r="CQ69" s="92">
        <f>'Incremental_Cost Year 7'!AZ231</f>
        <v>0</v>
      </c>
      <c r="CR69" s="92">
        <f>'Incremental_Cost Year 7'!BA231</f>
        <v>0</v>
      </c>
      <c r="CS69" s="92">
        <f>'Incremental_Cost Year 7'!BB231</f>
        <v>0</v>
      </c>
      <c r="CT69" s="70"/>
      <c r="CU69" s="92">
        <f>'Incremental_Cost Year 8'!AQ231</f>
        <v>82441748.057142854</v>
      </c>
      <c r="CV69" s="92">
        <f>'Incremental_Cost Year 8'!AR231</f>
        <v>360000</v>
      </c>
      <c r="CW69" s="92">
        <f>'Incremental_Cost Year 8'!AS231</f>
        <v>0</v>
      </c>
      <c r="CX69" s="92">
        <f>'Incremental_Cost Year 8'!AT231</f>
        <v>82801748.057142854</v>
      </c>
      <c r="CY69" s="92">
        <f>'Incremental_Cost Year 8'!AU231</f>
        <v>82801748.057142854</v>
      </c>
      <c r="CZ69" s="92">
        <f>'Incremental_Cost Year 8'!AV231</f>
        <v>0</v>
      </c>
      <c r="DA69" s="92">
        <f>'Incremental_Cost Year 8'!AW231</f>
        <v>0</v>
      </c>
      <c r="DB69" s="92">
        <f>'Incremental_Cost Year 8'!AX231</f>
        <v>0</v>
      </c>
      <c r="DC69" s="92">
        <f>'Incremental_Cost Year 8'!AY231</f>
        <v>0</v>
      </c>
      <c r="DD69" s="92">
        <f>'Incremental_Cost Year 8'!AZ231</f>
        <v>0</v>
      </c>
      <c r="DE69" s="92">
        <f>'Incremental_Cost Year 8'!BA231</f>
        <v>0</v>
      </c>
      <c r="DF69" s="92">
        <f>'Incremental_Cost Year 8'!BB231</f>
        <v>0</v>
      </c>
      <c r="DG69" s="70"/>
      <c r="DH69" s="92">
        <f>'Incremental_Cost Year 9'!AQ231</f>
        <v>82441748.057142854</v>
      </c>
      <c r="DI69" s="92">
        <f>'Incremental_Cost Year 9'!AR231</f>
        <v>360000</v>
      </c>
      <c r="DJ69" s="92">
        <f>'Incremental_Cost Year 9'!AS231</f>
        <v>0</v>
      </c>
      <c r="DK69" s="92">
        <f>'Incremental_Cost Year 9'!AT231</f>
        <v>82801748.057142854</v>
      </c>
      <c r="DL69" s="92">
        <f>'Incremental_Cost Year 9'!AU231</f>
        <v>82801748.057142854</v>
      </c>
      <c r="DM69" s="92">
        <f>'Incremental_Cost Year 9'!AV231</f>
        <v>0</v>
      </c>
      <c r="DN69" s="92">
        <f>'Incremental_Cost Year 9'!AW231</f>
        <v>0</v>
      </c>
      <c r="DO69" s="92">
        <f>'Incremental_Cost Year 9'!AX231</f>
        <v>0</v>
      </c>
      <c r="DP69" s="92">
        <f>'Incremental_Cost Year 9'!AY231</f>
        <v>0</v>
      </c>
      <c r="DQ69" s="92">
        <f>'Incremental_Cost Year 9'!AZ231</f>
        <v>0</v>
      </c>
      <c r="DR69" s="92">
        <f>'Incremental_Cost Year 9'!BA231</f>
        <v>0</v>
      </c>
      <c r="DS69" s="92">
        <f>'Incremental_Cost Year 9'!BB231</f>
        <v>0</v>
      </c>
      <c r="DT69" s="70"/>
      <c r="DU69" s="92">
        <f>'Incremental_Cost Year 10'!AQ231</f>
        <v>82441748.057142854</v>
      </c>
      <c r="DV69" s="92">
        <f>'Incremental_Cost Year 10'!AR231</f>
        <v>360000</v>
      </c>
      <c r="DW69" s="92">
        <f>'Incremental_Cost Year 10'!AS231</f>
        <v>0</v>
      </c>
      <c r="DX69" s="92">
        <f>'Incremental_Cost Year 10'!AT231</f>
        <v>82801748.057142854</v>
      </c>
      <c r="DY69" s="92">
        <f>'Incremental_Cost Year 10'!AU231</f>
        <v>82801748.057142854</v>
      </c>
      <c r="DZ69" s="92">
        <f>'Incremental_Cost Year 10'!AV231</f>
        <v>0</v>
      </c>
      <c r="EA69" s="92">
        <f>'Incremental_Cost Year 10'!AW231</f>
        <v>0</v>
      </c>
      <c r="EB69" s="92">
        <f>'Incremental_Cost Year 10'!AX231</f>
        <v>0</v>
      </c>
      <c r="EC69" s="92">
        <f>'Incremental_Cost Year 10'!AY231</f>
        <v>0</v>
      </c>
      <c r="ED69" s="92">
        <f>'Incremental_Cost Year 10'!AZ231</f>
        <v>0</v>
      </c>
      <c r="EE69" s="92">
        <f>'Incremental_Cost Year 10'!BA231</f>
        <v>0</v>
      </c>
      <c r="EF69" s="92">
        <f>'Incremental_Cost Year 10'!BB231</f>
        <v>0</v>
      </c>
      <c r="EG69" s="70"/>
      <c r="EH69" s="92">
        <f t="shared" ref="EH69:ES69" si="304">H69+U69+AH69+AU69+BH69+BU69+CH69+CU69+DH69+DU69</f>
        <v>758303963.05714285</v>
      </c>
      <c r="EI69" s="92">
        <f t="shared" si="304"/>
        <v>10540800</v>
      </c>
      <c r="EJ69" s="92">
        <f t="shared" si="304"/>
        <v>0</v>
      </c>
      <c r="EK69" s="92">
        <f t="shared" si="304"/>
        <v>768844763.05714285</v>
      </c>
      <c r="EL69" s="92">
        <f t="shared" si="304"/>
        <v>761903963.05714285</v>
      </c>
      <c r="EM69" s="92">
        <f t="shared" si="304"/>
        <v>0</v>
      </c>
      <c r="EN69" s="92">
        <f t="shared" si="304"/>
        <v>0</v>
      </c>
      <c r="EO69" s="92">
        <f t="shared" si="304"/>
        <v>0</v>
      </c>
      <c r="EP69" s="92">
        <f t="shared" si="304"/>
        <v>0</v>
      </c>
      <c r="EQ69" s="92">
        <f t="shared" si="304"/>
        <v>0</v>
      </c>
      <c r="ER69" s="92">
        <f t="shared" si="304"/>
        <v>0</v>
      </c>
      <c r="ES69" s="92">
        <f t="shared" si="304"/>
        <v>-6940800</v>
      </c>
      <c r="EU69" s="194">
        <f t="shared" si="23"/>
        <v>0</v>
      </c>
      <c r="EW69" s="194">
        <f t="shared" si="24"/>
        <v>-6940800</v>
      </c>
      <c r="EX69" s="194">
        <f t="shared" si="21"/>
        <v>0</v>
      </c>
    </row>
    <row r="70" spans="1:154" s="77" customFormat="1" x14ac:dyDescent="0.25">
      <c r="A70" s="87"/>
      <c r="B70" s="90"/>
      <c r="C70" s="421" t="str">
        <f>'Incremental_Cost Year 1'!C232:E232</f>
        <v xml:space="preserve">4.5 Objektivi Specifik: Fuqizimi i sistemit të survejancës </v>
      </c>
      <c r="D70" s="421"/>
      <c r="E70" s="422"/>
      <c r="F70" s="99"/>
      <c r="G70" s="99"/>
      <c r="H70" s="94">
        <f>SUM(H71:H71)</f>
        <v>0</v>
      </c>
      <c r="I70" s="94">
        <f t="shared" ref="I70:S70" si="305">SUM(I71:I71)</f>
        <v>0</v>
      </c>
      <c r="J70" s="94">
        <f t="shared" si="305"/>
        <v>0</v>
      </c>
      <c r="K70" s="94">
        <f t="shared" si="305"/>
        <v>0</v>
      </c>
      <c r="L70" s="94">
        <f t="shared" si="305"/>
        <v>0</v>
      </c>
      <c r="M70" s="94">
        <f t="shared" si="305"/>
        <v>0</v>
      </c>
      <c r="N70" s="94">
        <f t="shared" si="305"/>
        <v>0</v>
      </c>
      <c r="O70" s="94">
        <f t="shared" si="305"/>
        <v>0</v>
      </c>
      <c r="P70" s="94">
        <f t="shared" si="305"/>
        <v>0</v>
      </c>
      <c r="Q70" s="94">
        <f t="shared" si="305"/>
        <v>0</v>
      </c>
      <c r="R70" s="94">
        <f t="shared" si="305"/>
        <v>0</v>
      </c>
      <c r="S70" s="94">
        <f t="shared" si="305"/>
        <v>0</v>
      </c>
      <c r="T70" s="70"/>
      <c r="U70" s="94">
        <f>SUM(U71:U71)</f>
        <v>0</v>
      </c>
      <c r="V70" s="94">
        <f t="shared" ref="V70:AF70" si="306">SUM(V71:V71)</f>
        <v>0</v>
      </c>
      <c r="W70" s="94">
        <f t="shared" si="306"/>
        <v>0</v>
      </c>
      <c r="X70" s="94">
        <f t="shared" si="306"/>
        <v>0</v>
      </c>
      <c r="Y70" s="94">
        <f t="shared" si="306"/>
        <v>0</v>
      </c>
      <c r="Z70" s="94">
        <f t="shared" si="306"/>
        <v>0</v>
      </c>
      <c r="AA70" s="94">
        <f t="shared" si="306"/>
        <v>0</v>
      </c>
      <c r="AB70" s="94">
        <f t="shared" si="306"/>
        <v>0</v>
      </c>
      <c r="AC70" s="94">
        <f t="shared" si="306"/>
        <v>0</v>
      </c>
      <c r="AD70" s="94">
        <f t="shared" si="306"/>
        <v>0</v>
      </c>
      <c r="AE70" s="94">
        <f t="shared" si="306"/>
        <v>0</v>
      </c>
      <c r="AF70" s="94">
        <f t="shared" si="306"/>
        <v>0</v>
      </c>
      <c r="AG70" s="70"/>
      <c r="AH70" s="94">
        <f>SUM(AH71:AH71)</f>
        <v>3646641.6</v>
      </c>
      <c r="AI70" s="94">
        <f t="shared" ref="AI70:AS70" si="307">SUM(AI71:AI71)</f>
        <v>696000</v>
      </c>
      <c r="AJ70" s="94">
        <f t="shared" si="307"/>
        <v>28750000</v>
      </c>
      <c r="AK70" s="94">
        <f t="shared" si="307"/>
        <v>33092641.600000001</v>
      </c>
      <c r="AL70" s="94">
        <f t="shared" si="307"/>
        <v>33092641.600000001</v>
      </c>
      <c r="AM70" s="94">
        <f t="shared" si="307"/>
        <v>0</v>
      </c>
      <c r="AN70" s="94">
        <f t="shared" si="307"/>
        <v>0</v>
      </c>
      <c r="AO70" s="94">
        <f t="shared" si="307"/>
        <v>0</v>
      </c>
      <c r="AP70" s="94">
        <f t="shared" si="307"/>
        <v>0</v>
      </c>
      <c r="AQ70" s="94">
        <f t="shared" si="307"/>
        <v>0</v>
      </c>
      <c r="AR70" s="94">
        <f t="shared" si="307"/>
        <v>0</v>
      </c>
      <c r="AS70" s="94">
        <f t="shared" si="307"/>
        <v>0</v>
      </c>
      <c r="AT70" s="70"/>
      <c r="AU70" s="94">
        <f>SUM(AU71:AU71)</f>
        <v>9410688</v>
      </c>
      <c r="AV70" s="94">
        <f t="shared" ref="AV70:BF70" si="308">SUM(AV71:AV71)</f>
        <v>1296000</v>
      </c>
      <c r="AW70" s="94">
        <f t="shared" si="308"/>
        <v>57500000</v>
      </c>
      <c r="AX70" s="94">
        <f t="shared" si="308"/>
        <v>68206688</v>
      </c>
      <c r="AY70" s="94">
        <f t="shared" si="308"/>
        <v>68206688</v>
      </c>
      <c r="AZ70" s="94">
        <f t="shared" si="308"/>
        <v>0</v>
      </c>
      <c r="BA70" s="94">
        <f t="shared" si="308"/>
        <v>0</v>
      </c>
      <c r="BB70" s="94">
        <f t="shared" si="308"/>
        <v>0</v>
      </c>
      <c r="BC70" s="94">
        <f t="shared" si="308"/>
        <v>0</v>
      </c>
      <c r="BD70" s="94">
        <f t="shared" si="308"/>
        <v>0</v>
      </c>
      <c r="BE70" s="94">
        <f t="shared" si="308"/>
        <v>0</v>
      </c>
      <c r="BF70" s="94">
        <f t="shared" si="308"/>
        <v>0</v>
      </c>
      <c r="BG70" s="70"/>
      <c r="BH70" s="94">
        <f>SUM(BH71:BH71)</f>
        <v>5764046.4000000004</v>
      </c>
      <c r="BI70" s="94">
        <f t="shared" ref="BI70:BS70" si="309">SUM(BI71:BI71)</f>
        <v>600000</v>
      </c>
      <c r="BJ70" s="94">
        <f t="shared" si="309"/>
        <v>28750000</v>
      </c>
      <c r="BK70" s="94">
        <f t="shared" si="309"/>
        <v>35114046.399999999</v>
      </c>
      <c r="BL70" s="94">
        <f t="shared" si="309"/>
        <v>35114046.399999999</v>
      </c>
      <c r="BM70" s="94">
        <f t="shared" si="309"/>
        <v>0</v>
      </c>
      <c r="BN70" s="94">
        <f t="shared" si="309"/>
        <v>0</v>
      </c>
      <c r="BO70" s="94">
        <f t="shared" si="309"/>
        <v>0</v>
      </c>
      <c r="BP70" s="94">
        <f t="shared" si="309"/>
        <v>0</v>
      </c>
      <c r="BQ70" s="94">
        <f t="shared" si="309"/>
        <v>0</v>
      </c>
      <c r="BR70" s="94">
        <f t="shared" si="309"/>
        <v>0</v>
      </c>
      <c r="BS70" s="94">
        <f t="shared" si="309"/>
        <v>0</v>
      </c>
      <c r="BT70" s="70"/>
      <c r="BU70" s="94">
        <f>SUM(BU71:BU71)</f>
        <v>0</v>
      </c>
      <c r="BV70" s="94">
        <f t="shared" ref="BV70:CF70" si="310">SUM(BV71:BV71)</f>
        <v>0</v>
      </c>
      <c r="BW70" s="94">
        <f t="shared" si="310"/>
        <v>0</v>
      </c>
      <c r="BX70" s="94">
        <f t="shared" si="310"/>
        <v>0</v>
      </c>
      <c r="BY70" s="94">
        <f t="shared" si="310"/>
        <v>0</v>
      </c>
      <c r="BZ70" s="94">
        <f t="shared" si="310"/>
        <v>0</v>
      </c>
      <c r="CA70" s="94">
        <f t="shared" si="310"/>
        <v>0</v>
      </c>
      <c r="CB70" s="94">
        <f t="shared" si="310"/>
        <v>0</v>
      </c>
      <c r="CC70" s="94">
        <f t="shared" si="310"/>
        <v>0</v>
      </c>
      <c r="CD70" s="94">
        <f t="shared" si="310"/>
        <v>0</v>
      </c>
      <c r="CE70" s="94">
        <f t="shared" si="310"/>
        <v>0</v>
      </c>
      <c r="CF70" s="94">
        <f t="shared" si="310"/>
        <v>0</v>
      </c>
      <c r="CG70" s="70"/>
      <c r="CH70" s="94">
        <f>SUM(CH71:CH71)</f>
        <v>0</v>
      </c>
      <c r="CI70" s="94">
        <f t="shared" ref="CI70:CS70" si="311">SUM(CI71:CI71)</f>
        <v>0</v>
      </c>
      <c r="CJ70" s="94">
        <f t="shared" si="311"/>
        <v>0</v>
      </c>
      <c r="CK70" s="94">
        <f t="shared" si="311"/>
        <v>0</v>
      </c>
      <c r="CL70" s="94">
        <f t="shared" si="311"/>
        <v>0</v>
      </c>
      <c r="CM70" s="94">
        <f t="shared" si="311"/>
        <v>0</v>
      </c>
      <c r="CN70" s="94">
        <f t="shared" si="311"/>
        <v>0</v>
      </c>
      <c r="CO70" s="94">
        <f t="shared" si="311"/>
        <v>0</v>
      </c>
      <c r="CP70" s="94">
        <f t="shared" si="311"/>
        <v>0</v>
      </c>
      <c r="CQ70" s="94">
        <f t="shared" si="311"/>
        <v>0</v>
      </c>
      <c r="CR70" s="94">
        <f t="shared" si="311"/>
        <v>0</v>
      </c>
      <c r="CS70" s="94">
        <f t="shared" si="311"/>
        <v>0</v>
      </c>
      <c r="CT70" s="70"/>
      <c r="CU70" s="94">
        <f>SUM(CU71:CU71)</f>
        <v>0</v>
      </c>
      <c r="CV70" s="94">
        <f t="shared" ref="CV70:DF70" si="312">SUM(CV71:CV71)</f>
        <v>0</v>
      </c>
      <c r="CW70" s="94">
        <f t="shared" si="312"/>
        <v>0</v>
      </c>
      <c r="CX70" s="94">
        <f t="shared" si="312"/>
        <v>0</v>
      </c>
      <c r="CY70" s="94">
        <f t="shared" si="312"/>
        <v>0</v>
      </c>
      <c r="CZ70" s="94">
        <f t="shared" si="312"/>
        <v>0</v>
      </c>
      <c r="DA70" s="94">
        <f t="shared" si="312"/>
        <v>0</v>
      </c>
      <c r="DB70" s="94">
        <f t="shared" si="312"/>
        <v>0</v>
      </c>
      <c r="DC70" s="94">
        <f t="shared" si="312"/>
        <v>0</v>
      </c>
      <c r="DD70" s="94">
        <f t="shared" si="312"/>
        <v>0</v>
      </c>
      <c r="DE70" s="94">
        <f t="shared" si="312"/>
        <v>0</v>
      </c>
      <c r="DF70" s="94">
        <f t="shared" si="312"/>
        <v>0</v>
      </c>
      <c r="DG70" s="70"/>
      <c r="DH70" s="94">
        <f>SUM(DH71:DH71)</f>
        <v>0</v>
      </c>
      <c r="DI70" s="94">
        <f t="shared" ref="DI70:DS70" si="313">SUM(DI71:DI71)</f>
        <v>0</v>
      </c>
      <c r="DJ70" s="94">
        <f t="shared" si="313"/>
        <v>0</v>
      </c>
      <c r="DK70" s="94">
        <f t="shared" si="313"/>
        <v>0</v>
      </c>
      <c r="DL70" s="94">
        <f t="shared" si="313"/>
        <v>0</v>
      </c>
      <c r="DM70" s="94">
        <f t="shared" si="313"/>
        <v>0</v>
      </c>
      <c r="DN70" s="94">
        <f t="shared" si="313"/>
        <v>0</v>
      </c>
      <c r="DO70" s="94">
        <f t="shared" si="313"/>
        <v>0</v>
      </c>
      <c r="DP70" s="94">
        <f t="shared" si="313"/>
        <v>0</v>
      </c>
      <c r="DQ70" s="94">
        <f t="shared" si="313"/>
        <v>0</v>
      </c>
      <c r="DR70" s="94">
        <f t="shared" si="313"/>
        <v>0</v>
      </c>
      <c r="DS70" s="94">
        <f t="shared" si="313"/>
        <v>0</v>
      </c>
      <c r="DT70" s="70"/>
      <c r="DU70" s="94">
        <f>SUM(DU71:DU71)</f>
        <v>0</v>
      </c>
      <c r="DV70" s="94">
        <f t="shared" ref="DV70:EF70" si="314">SUM(DV71:DV71)</f>
        <v>0</v>
      </c>
      <c r="DW70" s="94">
        <f t="shared" si="314"/>
        <v>0</v>
      </c>
      <c r="DX70" s="94">
        <f t="shared" si="314"/>
        <v>0</v>
      </c>
      <c r="DY70" s="94">
        <f t="shared" si="314"/>
        <v>0</v>
      </c>
      <c r="DZ70" s="94">
        <f t="shared" si="314"/>
        <v>0</v>
      </c>
      <c r="EA70" s="94">
        <f t="shared" si="314"/>
        <v>0</v>
      </c>
      <c r="EB70" s="94">
        <f t="shared" si="314"/>
        <v>0</v>
      </c>
      <c r="EC70" s="94">
        <f t="shared" si="314"/>
        <v>0</v>
      </c>
      <c r="ED70" s="94">
        <f t="shared" si="314"/>
        <v>0</v>
      </c>
      <c r="EE70" s="94">
        <f t="shared" si="314"/>
        <v>0</v>
      </c>
      <c r="EF70" s="94">
        <f t="shared" si="314"/>
        <v>0</v>
      </c>
      <c r="EG70" s="70"/>
      <c r="EH70" s="94">
        <f t="shared" ref="EH70:ES70" si="315">SUM(EH71:EH71)</f>
        <v>18821376</v>
      </c>
      <c r="EI70" s="94">
        <f t="shared" si="315"/>
        <v>2592000</v>
      </c>
      <c r="EJ70" s="94">
        <f t="shared" si="315"/>
        <v>115000000</v>
      </c>
      <c r="EK70" s="94">
        <f t="shared" si="315"/>
        <v>136413376</v>
      </c>
      <c r="EL70" s="94">
        <f t="shared" si="315"/>
        <v>136413376</v>
      </c>
      <c r="EM70" s="94">
        <f t="shared" si="315"/>
        <v>0</v>
      </c>
      <c r="EN70" s="94">
        <f t="shared" si="315"/>
        <v>0</v>
      </c>
      <c r="EO70" s="94">
        <f t="shared" si="315"/>
        <v>0</v>
      </c>
      <c r="EP70" s="94">
        <f t="shared" si="315"/>
        <v>0</v>
      </c>
      <c r="EQ70" s="94">
        <f t="shared" si="315"/>
        <v>0</v>
      </c>
      <c r="ER70" s="94">
        <f t="shared" si="315"/>
        <v>0</v>
      </c>
      <c r="ES70" s="94">
        <f t="shared" si="315"/>
        <v>0</v>
      </c>
      <c r="EU70" s="194">
        <f t="shared" si="23"/>
        <v>0</v>
      </c>
      <c r="EW70" s="194">
        <f t="shared" si="24"/>
        <v>0</v>
      </c>
      <c r="EX70" s="194">
        <f t="shared" si="21"/>
        <v>0</v>
      </c>
    </row>
    <row r="71" spans="1:154" s="77" customFormat="1" ht="51" x14ac:dyDescent="0.25">
      <c r="A71" s="82"/>
      <c r="B71" s="88"/>
      <c r="C71" s="100"/>
      <c r="D71" s="193" t="str">
        <f>'Incremental_Cost Year 1'!D237</f>
        <v>07450 Shërbime të Shëndetit Publik/AKSHI/Axhenda e digitaizimit</v>
      </c>
      <c r="E71" s="193" t="str">
        <f>'Incremental_Cost Year 1'!E237</f>
        <v>4.5.1. Rishikimi i statusit aktual të sistemit të survejancës laboratorike</v>
      </c>
      <c r="F71" s="96">
        <f>'Incremental_Cost Year 1'!F237</f>
        <v>2023</v>
      </c>
      <c r="G71" s="96">
        <f>'Incremental_Cost Year 1'!G237</f>
        <v>2025</v>
      </c>
      <c r="H71" s="92">
        <f>'Incremental_Cost Year 1'!AQ237</f>
        <v>0</v>
      </c>
      <c r="I71" s="92">
        <f>'Incremental_Cost Year 1'!AR237</f>
        <v>0</v>
      </c>
      <c r="J71" s="92">
        <f>'Incremental_Cost Year 1'!AS237</f>
        <v>0</v>
      </c>
      <c r="K71" s="92">
        <f>'Incremental_Cost Year 1'!AT237</f>
        <v>0</v>
      </c>
      <c r="L71" s="92">
        <f>'Incremental_Cost Year 1'!AU237</f>
        <v>0</v>
      </c>
      <c r="M71" s="92">
        <f>'Incremental_Cost Year 1'!AV237</f>
        <v>0</v>
      </c>
      <c r="N71" s="92">
        <f>'Incremental_Cost Year 1'!AW237</f>
        <v>0</v>
      </c>
      <c r="O71" s="92">
        <f>'Incremental_Cost Year 1'!AX237</f>
        <v>0</v>
      </c>
      <c r="P71" s="92">
        <f>'Incremental_Cost Year 1'!AY237</f>
        <v>0</v>
      </c>
      <c r="Q71" s="92">
        <f>'Incremental_Cost Year 1'!AZ237</f>
        <v>0</v>
      </c>
      <c r="R71" s="92">
        <f>'Incremental_Cost Year 1'!BA237</f>
        <v>0</v>
      </c>
      <c r="S71" s="92">
        <f>'Incremental_Cost Year 1'!BB237</f>
        <v>0</v>
      </c>
      <c r="T71" s="70"/>
      <c r="U71" s="92">
        <f>'Incremental_Cost Year 2'!AQ237</f>
        <v>0</v>
      </c>
      <c r="V71" s="92">
        <f>'Incremental_Cost Year 2'!AR237</f>
        <v>0</v>
      </c>
      <c r="W71" s="92">
        <f>'Incremental_Cost Year 2'!AS237</f>
        <v>0</v>
      </c>
      <c r="X71" s="92">
        <f>'Incremental_Cost Year 2'!AT237</f>
        <v>0</v>
      </c>
      <c r="Y71" s="92">
        <f>'Incremental_Cost Year 2'!AU237</f>
        <v>0</v>
      </c>
      <c r="Z71" s="92">
        <f>'Incremental_Cost Year 2'!AV237</f>
        <v>0</v>
      </c>
      <c r="AA71" s="92">
        <f>'Incremental_Cost Year 2'!AW237</f>
        <v>0</v>
      </c>
      <c r="AB71" s="92">
        <f>'Incremental_Cost Year 2'!AX237</f>
        <v>0</v>
      </c>
      <c r="AC71" s="92">
        <f>'Incremental_Cost Year 2'!AY237</f>
        <v>0</v>
      </c>
      <c r="AD71" s="92">
        <f>'Incremental_Cost Year 2'!AZ237</f>
        <v>0</v>
      </c>
      <c r="AE71" s="92">
        <f>'Incremental_Cost Year 2'!BA237</f>
        <v>0</v>
      </c>
      <c r="AF71" s="92">
        <f>'Incremental_Cost Year 2'!BB237</f>
        <v>0</v>
      </c>
      <c r="AG71" s="70"/>
      <c r="AH71" s="92">
        <f>'Incremental_Cost Year 3'!AQ237</f>
        <v>3646641.6</v>
      </c>
      <c r="AI71" s="92">
        <f>'Incremental_Cost Year 3'!AR237</f>
        <v>696000</v>
      </c>
      <c r="AJ71" s="92">
        <f>'Incremental_Cost Year 3'!AS237</f>
        <v>28750000</v>
      </c>
      <c r="AK71" s="92">
        <f>'Incremental_Cost Year 3'!AT237</f>
        <v>33092641.600000001</v>
      </c>
      <c r="AL71" s="92">
        <f>'Incremental_Cost Year 3'!AU237</f>
        <v>33092641.600000001</v>
      </c>
      <c r="AM71" s="92">
        <f>'Incremental_Cost Year 3'!AV237</f>
        <v>0</v>
      </c>
      <c r="AN71" s="92">
        <f>'Incremental_Cost Year 3'!AW237</f>
        <v>0</v>
      </c>
      <c r="AO71" s="92">
        <f>'Incremental_Cost Year 3'!AX237</f>
        <v>0</v>
      </c>
      <c r="AP71" s="92">
        <f>'Incremental_Cost Year 3'!AY237</f>
        <v>0</v>
      </c>
      <c r="AQ71" s="92">
        <f>'Incremental_Cost Year 3'!AZ237</f>
        <v>0</v>
      </c>
      <c r="AR71" s="92">
        <f>'Incremental_Cost Year 3'!BA237</f>
        <v>0</v>
      </c>
      <c r="AS71" s="92">
        <f>'Incremental_Cost Year 3'!BB237</f>
        <v>0</v>
      </c>
      <c r="AT71" s="70"/>
      <c r="AU71" s="92">
        <f>'Incremental_Cost Year 4'!AQ237</f>
        <v>9410688</v>
      </c>
      <c r="AV71" s="92">
        <f>'Incremental_Cost Year 4'!AR237</f>
        <v>1296000</v>
      </c>
      <c r="AW71" s="92">
        <f>'Incremental_Cost Year 4'!AS237</f>
        <v>57500000</v>
      </c>
      <c r="AX71" s="92">
        <f>'Incremental_Cost Year 4'!AT237</f>
        <v>68206688</v>
      </c>
      <c r="AY71" s="92">
        <f>'Incremental_Cost Year 4'!AU237</f>
        <v>68206688</v>
      </c>
      <c r="AZ71" s="92">
        <f>'Incremental_Cost Year 4'!AV237</f>
        <v>0</v>
      </c>
      <c r="BA71" s="92">
        <f>'Incremental_Cost Year 4'!AW237</f>
        <v>0</v>
      </c>
      <c r="BB71" s="92">
        <f>'Incremental_Cost Year 4'!AX237</f>
        <v>0</v>
      </c>
      <c r="BC71" s="92">
        <f>'Incremental_Cost Year 4'!AY237</f>
        <v>0</v>
      </c>
      <c r="BD71" s="92">
        <f>'Incremental_Cost Year 4'!AZ237</f>
        <v>0</v>
      </c>
      <c r="BE71" s="92">
        <f>'Incremental_Cost Year 4'!BA237</f>
        <v>0</v>
      </c>
      <c r="BF71" s="92">
        <f>'Incremental_Cost Year 4'!BB237</f>
        <v>0</v>
      </c>
      <c r="BG71" s="70"/>
      <c r="BH71" s="92">
        <f>'Incremental_Cost Year 5'!AQ237</f>
        <v>5764046.4000000004</v>
      </c>
      <c r="BI71" s="92">
        <f>'Incremental_Cost Year 5'!AR237</f>
        <v>600000</v>
      </c>
      <c r="BJ71" s="92">
        <f>'Incremental_Cost Year 5'!AS237</f>
        <v>28750000</v>
      </c>
      <c r="BK71" s="92">
        <f>'Incremental_Cost Year 5'!AT237</f>
        <v>35114046.399999999</v>
      </c>
      <c r="BL71" s="92">
        <f>'Incremental_Cost Year 5'!AU237</f>
        <v>35114046.399999999</v>
      </c>
      <c r="BM71" s="92">
        <f>'Incremental_Cost Year 5'!AV237</f>
        <v>0</v>
      </c>
      <c r="BN71" s="92">
        <f>'Incremental_Cost Year 5'!AW237</f>
        <v>0</v>
      </c>
      <c r="BO71" s="92">
        <f>'Incremental_Cost Year 5'!AX237</f>
        <v>0</v>
      </c>
      <c r="BP71" s="92">
        <f>'Incremental_Cost Year 5'!AY237</f>
        <v>0</v>
      </c>
      <c r="BQ71" s="92">
        <f>'Incremental_Cost Year 5'!AZ237</f>
        <v>0</v>
      </c>
      <c r="BR71" s="92">
        <f>'Incremental_Cost Year 5'!BA237</f>
        <v>0</v>
      </c>
      <c r="BS71" s="92">
        <f>'Incremental_Cost Year 5'!BB237</f>
        <v>0</v>
      </c>
      <c r="BT71" s="70"/>
      <c r="BU71" s="92">
        <f>'Incremental_Cost Year 6'!AQ237</f>
        <v>0</v>
      </c>
      <c r="BV71" s="92">
        <f>'Incremental_Cost Year 6'!AR237</f>
        <v>0</v>
      </c>
      <c r="BW71" s="92">
        <f>'Incremental_Cost Year 6'!AS237</f>
        <v>0</v>
      </c>
      <c r="BX71" s="92">
        <f>'Incremental_Cost Year 6'!AT237</f>
        <v>0</v>
      </c>
      <c r="BY71" s="92">
        <f>'Incremental_Cost Year 6'!AU237</f>
        <v>0</v>
      </c>
      <c r="BZ71" s="92">
        <f>'Incremental_Cost Year 6'!AV237</f>
        <v>0</v>
      </c>
      <c r="CA71" s="92">
        <f>'Incremental_Cost Year 6'!AW237</f>
        <v>0</v>
      </c>
      <c r="CB71" s="92">
        <f>'Incremental_Cost Year 6'!AX237</f>
        <v>0</v>
      </c>
      <c r="CC71" s="92">
        <f>'Incremental_Cost Year 6'!AY237</f>
        <v>0</v>
      </c>
      <c r="CD71" s="92">
        <f>'Incremental_Cost Year 6'!AZ237</f>
        <v>0</v>
      </c>
      <c r="CE71" s="92">
        <f>'Incremental_Cost Year 6'!BA237</f>
        <v>0</v>
      </c>
      <c r="CF71" s="92">
        <f>'Incremental_Cost Year 6'!BB237</f>
        <v>0</v>
      </c>
      <c r="CG71" s="70"/>
      <c r="CH71" s="92">
        <f>'Incremental_Cost Year 7'!AQ237</f>
        <v>0</v>
      </c>
      <c r="CI71" s="92">
        <f>'Incremental_Cost Year 7'!AR237</f>
        <v>0</v>
      </c>
      <c r="CJ71" s="92">
        <f>'Incremental_Cost Year 7'!AS237</f>
        <v>0</v>
      </c>
      <c r="CK71" s="92">
        <f>'Incremental_Cost Year 7'!AT237</f>
        <v>0</v>
      </c>
      <c r="CL71" s="92">
        <f>'Incremental_Cost Year 7'!AU237</f>
        <v>0</v>
      </c>
      <c r="CM71" s="92">
        <f>'Incremental_Cost Year 7'!AV237</f>
        <v>0</v>
      </c>
      <c r="CN71" s="92">
        <f>'Incremental_Cost Year 7'!AW237</f>
        <v>0</v>
      </c>
      <c r="CO71" s="92">
        <f>'Incremental_Cost Year 7'!AX237</f>
        <v>0</v>
      </c>
      <c r="CP71" s="92">
        <f>'Incremental_Cost Year 7'!AY237</f>
        <v>0</v>
      </c>
      <c r="CQ71" s="92">
        <f>'Incremental_Cost Year 7'!AZ237</f>
        <v>0</v>
      </c>
      <c r="CR71" s="92">
        <f>'Incremental_Cost Year 7'!BA237</f>
        <v>0</v>
      </c>
      <c r="CS71" s="92">
        <f>'Incremental_Cost Year 7'!BB237</f>
        <v>0</v>
      </c>
      <c r="CT71" s="70"/>
      <c r="CU71" s="92">
        <f>'Incremental_Cost Year 8'!AQ237</f>
        <v>0</v>
      </c>
      <c r="CV71" s="92">
        <f>'Incremental_Cost Year 8'!AR237</f>
        <v>0</v>
      </c>
      <c r="CW71" s="92">
        <f>'Incremental_Cost Year 8'!AS237</f>
        <v>0</v>
      </c>
      <c r="CX71" s="92">
        <f>'Incremental_Cost Year 8'!AT237</f>
        <v>0</v>
      </c>
      <c r="CY71" s="92">
        <f>'Incremental_Cost Year 8'!AU237</f>
        <v>0</v>
      </c>
      <c r="CZ71" s="92">
        <f>'Incremental_Cost Year 8'!AV237</f>
        <v>0</v>
      </c>
      <c r="DA71" s="92">
        <f>'Incremental_Cost Year 8'!AW237</f>
        <v>0</v>
      </c>
      <c r="DB71" s="92">
        <f>'Incremental_Cost Year 8'!AX237</f>
        <v>0</v>
      </c>
      <c r="DC71" s="92">
        <f>'Incremental_Cost Year 8'!AY237</f>
        <v>0</v>
      </c>
      <c r="DD71" s="92">
        <f>'Incremental_Cost Year 8'!AZ237</f>
        <v>0</v>
      </c>
      <c r="DE71" s="92">
        <f>'Incremental_Cost Year 8'!BA237</f>
        <v>0</v>
      </c>
      <c r="DF71" s="92">
        <f>'Incremental_Cost Year 8'!BB237</f>
        <v>0</v>
      </c>
      <c r="DG71" s="70"/>
      <c r="DH71" s="92">
        <f>'Incremental_Cost Year 9'!AQ237</f>
        <v>0</v>
      </c>
      <c r="DI71" s="92">
        <f>'Incremental_Cost Year 9'!AR237</f>
        <v>0</v>
      </c>
      <c r="DJ71" s="92">
        <f>'Incremental_Cost Year 9'!AS237</f>
        <v>0</v>
      </c>
      <c r="DK71" s="92">
        <f>'Incremental_Cost Year 9'!AT237</f>
        <v>0</v>
      </c>
      <c r="DL71" s="92">
        <f>'Incremental_Cost Year 9'!AU237</f>
        <v>0</v>
      </c>
      <c r="DM71" s="92">
        <f>'Incremental_Cost Year 9'!AV237</f>
        <v>0</v>
      </c>
      <c r="DN71" s="92">
        <f>'Incremental_Cost Year 9'!AW237</f>
        <v>0</v>
      </c>
      <c r="DO71" s="92">
        <f>'Incremental_Cost Year 9'!AX237</f>
        <v>0</v>
      </c>
      <c r="DP71" s="92">
        <f>'Incremental_Cost Year 9'!AY237</f>
        <v>0</v>
      </c>
      <c r="DQ71" s="92">
        <f>'Incremental_Cost Year 9'!AZ237</f>
        <v>0</v>
      </c>
      <c r="DR71" s="92">
        <f>'Incremental_Cost Year 9'!BA237</f>
        <v>0</v>
      </c>
      <c r="DS71" s="92">
        <f>'Incremental_Cost Year 9'!BB237</f>
        <v>0</v>
      </c>
      <c r="DT71" s="70"/>
      <c r="DU71" s="92">
        <f>'Incremental_Cost Year 10'!AQ237</f>
        <v>0</v>
      </c>
      <c r="DV71" s="92">
        <f>'Incremental_Cost Year 10'!AR237</f>
        <v>0</v>
      </c>
      <c r="DW71" s="92">
        <f>'Incremental_Cost Year 10'!AS237</f>
        <v>0</v>
      </c>
      <c r="DX71" s="92">
        <f>'Incremental_Cost Year 10'!AT237</f>
        <v>0</v>
      </c>
      <c r="DY71" s="92">
        <f>'Incremental_Cost Year 10'!AU237</f>
        <v>0</v>
      </c>
      <c r="DZ71" s="92">
        <f>'Incremental_Cost Year 10'!AV237</f>
        <v>0</v>
      </c>
      <c r="EA71" s="92">
        <f>'Incremental_Cost Year 10'!AW237</f>
        <v>0</v>
      </c>
      <c r="EB71" s="92">
        <f>'Incremental_Cost Year 10'!AX237</f>
        <v>0</v>
      </c>
      <c r="EC71" s="92">
        <f>'Incremental_Cost Year 10'!AY237</f>
        <v>0</v>
      </c>
      <c r="ED71" s="92">
        <f>'Incremental_Cost Year 10'!AZ237</f>
        <v>0</v>
      </c>
      <c r="EE71" s="92">
        <f>'Incremental_Cost Year 10'!BA237</f>
        <v>0</v>
      </c>
      <c r="EF71" s="92">
        <f>'Incremental_Cost Year 10'!BB237</f>
        <v>0</v>
      </c>
      <c r="EG71" s="70"/>
      <c r="EH71" s="92">
        <f t="shared" ref="EH71:ES71" si="316">H71+U71+AH71+AU71+BH71+BU71+CH71+CU71+DH71+DU71</f>
        <v>18821376</v>
      </c>
      <c r="EI71" s="92">
        <f t="shared" si="316"/>
        <v>2592000</v>
      </c>
      <c r="EJ71" s="92">
        <f t="shared" si="316"/>
        <v>115000000</v>
      </c>
      <c r="EK71" s="92">
        <f t="shared" si="316"/>
        <v>136413376</v>
      </c>
      <c r="EL71" s="92">
        <f t="shared" si="316"/>
        <v>136413376</v>
      </c>
      <c r="EM71" s="92">
        <f t="shared" si="316"/>
        <v>0</v>
      </c>
      <c r="EN71" s="92">
        <f t="shared" si="316"/>
        <v>0</v>
      </c>
      <c r="EO71" s="92">
        <f t="shared" si="316"/>
        <v>0</v>
      </c>
      <c r="EP71" s="92">
        <f t="shared" si="316"/>
        <v>0</v>
      </c>
      <c r="EQ71" s="92">
        <f t="shared" si="316"/>
        <v>0</v>
      </c>
      <c r="ER71" s="92">
        <f t="shared" si="316"/>
        <v>0</v>
      </c>
      <c r="ES71" s="92">
        <f t="shared" si="316"/>
        <v>0</v>
      </c>
      <c r="EU71" s="194">
        <f t="shared" si="23"/>
        <v>0</v>
      </c>
      <c r="EW71" s="194">
        <f t="shared" si="24"/>
        <v>0</v>
      </c>
      <c r="EX71" s="194">
        <f t="shared" ref="EX71:EX88" si="317">ES71-EW71</f>
        <v>0</v>
      </c>
    </row>
    <row r="72" spans="1:154" s="77" customFormat="1" x14ac:dyDescent="0.25">
      <c r="A72" s="87"/>
      <c r="B72" s="90"/>
      <c r="C72" s="421" t="str">
        <f>'Incremental_Cost Year 1'!C238:E238</f>
        <v>4.6 Objektivi Specifik: Reagimi ndaj emergjencave dhe forcimi i komunikimit të riskut</v>
      </c>
      <c r="D72" s="421"/>
      <c r="E72" s="422"/>
      <c r="F72" s="99"/>
      <c r="G72" s="99"/>
      <c r="H72" s="94">
        <f>SUM(H73:H73)</f>
        <v>5179729.5</v>
      </c>
      <c r="I72" s="94">
        <f t="shared" ref="I72:S72" si="318">SUM(I73:I73)</f>
        <v>0</v>
      </c>
      <c r="J72" s="94">
        <f t="shared" si="318"/>
        <v>0</v>
      </c>
      <c r="K72" s="94">
        <f t="shared" si="318"/>
        <v>5179729.5</v>
      </c>
      <c r="L72" s="94">
        <f t="shared" si="318"/>
        <v>5179729.5</v>
      </c>
      <c r="M72" s="94">
        <f t="shared" si="318"/>
        <v>0</v>
      </c>
      <c r="N72" s="94">
        <f t="shared" si="318"/>
        <v>0</v>
      </c>
      <c r="O72" s="94">
        <f t="shared" si="318"/>
        <v>0</v>
      </c>
      <c r="P72" s="94">
        <f t="shared" si="318"/>
        <v>0</v>
      </c>
      <c r="Q72" s="94">
        <f t="shared" si="318"/>
        <v>0</v>
      </c>
      <c r="R72" s="94">
        <f t="shared" si="318"/>
        <v>0</v>
      </c>
      <c r="S72" s="94">
        <f t="shared" si="318"/>
        <v>0</v>
      </c>
      <c r="T72" s="70"/>
      <c r="U72" s="94">
        <f>SUM(U73:U73)</f>
        <v>5179729.5</v>
      </c>
      <c r="V72" s="94">
        <f t="shared" ref="V72:AF72" si="319">SUM(V73:V73)</f>
        <v>0</v>
      </c>
      <c r="W72" s="94">
        <f t="shared" si="319"/>
        <v>0</v>
      </c>
      <c r="X72" s="94">
        <f t="shared" si="319"/>
        <v>5179729.5</v>
      </c>
      <c r="Y72" s="94">
        <f t="shared" si="319"/>
        <v>5179729.5</v>
      </c>
      <c r="Z72" s="94">
        <f t="shared" si="319"/>
        <v>0</v>
      </c>
      <c r="AA72" s="94">
        <f t="shared" si="319"/>
        <v>0</v>
      </c>
      <c r="AB72" s="94">
        <f t="shared" si="319"/>
        <v>0</v>
      </c>
      <c r="AC72" s="94">
        <f t="shared" si="319"/>
        <v>0</v>
      </c>
      <c r="AD72" s="94">
        <f t="shared" si="319"/>
        <v>0</v>
      </c>
      <c r="AE72" s="94">
        <f t="shared" si="319"/>
        <v>0</v>
      </c>
      <c r="AF72" s="94">
        <f t="shared" si="319"/>
        <v>0</v>
      </c>
      <c r="AG72" s="70"/>
      <c r="AH72" s="94">
        <f>SUM(AH73:AH73)</f>
        <v>3529008</v>
      </c>
      <c r="AI72" s="94">
        <f t="shared" ref="AI72:AS72" si="320">SUM(AI73:AI73)</f>
        <v>0</v>
      </c>
      <c r="AJ72" s="94">
        <f t="shared" si="320"/>
        <v>28750000</v>
      </c>
      <c r="AK72" s="94">
        <f t="shared" si="320"/>
        <v>32279008</v>
      </c>
      <c r="AL72" s="94">
        <f t="shared" si="320"/>
        <v>32279008</v>
      </c>
      <c r="AM72" s="94">
        <f t="shared" si="320"/>
        <v>0</v>
      </c>
      <c r="AN72" s="94">
        <f t="shared" si="320"/>
        <v>0</v>
      </c>
      <c r="AO72" s="94">
        <f t="shared" si="320"/>
        <v>0</v>
      </c>
      <c r="AP72" s="94">
        <f t="shared" si="320"/>
        <v>0</v>
      </c>
      <c r="AQ72" s="94">
        <f t="shared" si="320"/>
        <v>0</v>
      </c>
      <c r="AR72" s="94">
        <f t="shared" si="320"/>
        <v>0</v>
      </c>
      <c r="AS72" s="94">
        <f t="shared" si="320"/>
        <v>0</v>
      </c>
      <c r="AT72" s="70"/>
      <c r="AU72" s="94">
        <f>SUM(AU73:AU73)</f>
        <v>3529008</v>
      </c>
      <c r="AV72" s="94">
        <f t="shared" ref="AV72:BF72" si="321">SUM(AV73:AV73)</f>
        <v>0</v>
      </c>
      <c r="AW72" s="94">
        <f t="shared" si="321"/>
        <v>28750000</v>
      </c>
      <c r="AX72" s="94">
        <f t="shared" si="321"/>
        <v>32279008</v>
      </c>
      <c r="AY72" s="94">
        <f t="shared" si="321"/>
        <v>32279008</v>
      </c>
      <c r="AZ72" s="94">
        <f t="shared" si="321"/>
        <v>0</v>
      </c>
      <c r="BA72" s="94">
        <f t="shared" si="321"/>
        <v>0</v>
      </c>
      <c r="BB72" s="94">
        <f t="shared" si="321"/>
        <v>0</v>
      </c>
      <c r="BC72" s="94">
        <f t="shared" si="321"/>
        <v>0</v>
      </c>
      <c r="BD72" s="94">
        <f t="shared" si="321"/>
        <v>0</v>
      </c>
      <c r="BE72" s="94">
        <f t="shared" si="321"/>
        <v>0</v>
      </c>
      <c r="BF72" s="94">
        <f t="shared" si="321"/>
        <v>0</v>
      </c>
      <c r="BG72" s="70"/>
      <c r="BH72" s="94">
        <f>SUM(BH73:BH73)</f>
        <v>0</v>
      </c>
      <c r="BI72" s="94">
        <f t="shared" ref="BI72:BS72" si="322">SUM(BI73:BI73)</f>
        <v>0</v>
      </c>
      <c r="BJ72" s="94">
        <f t="shared" si="322"/>
        <v>0</v>
      </c>
      <c r="BK72" s="94">
        <f t="shared" si="322"/>
        <v>0</v>
      </c>
      <c r="BL72" s="94">
        <f t="shared" si="322"/>
        <v>0</v>
      </c>
      <c r="BM72" s="94">
        <f t="shared" si="322"/>
        <v>0</v>
      </c>
      <c r="BN72" s="94">
        <f t="shared" si="322"/>
        <v>0</v>
      </c>
      <c r="BO72" s="94">
        <f t="shared" si="322"/>
        <v>0</v>
      </c>
      <c r="BP72" s="94">
        <f t="shared" si="322"/>
        <v>0</v>
      </c>
      <c r="BQ72" s="94">
        <f t="shared" si="322"/>
        <v>0</v>
      </c>
      <c r="BR72" s="94">
        <f t="shared" si="322"/>
        <v>0</v>
      </c>
      <c r="BS72" s="94">
        <f t="shared" si="322"/>
        <v>0</v>
      </c>
      <c r="BT72" s="70"/>
      <c r="BU72" s="94">
        <f>SUM(BU73:BU73)</f>
        <v>0</v>
      </c>
      <c r="BV72" s="94">
        <f t="shared" ref="BV72:CF72" si="323">SUM(BV73:BV73)</f>
        <v>0</v>
      </c>
      <c r="BW72" s="94">
        <f t="shared" si="323"/>
        <v>0</v>
      </c>
      <c r="BX72" s="94">
        <f t="shared" si="323"/>
        <v>0</v>
      </c>
      <c r="BY72" s="94">
        <f t="shared" si="323"/>
        <v>0</v>
      </c>
      <c r="BZ72" s="94">
        <f t="shared" si="323"/>
        <v>0</v>
      </c>
      <c r="CA72" s="94">
        <f t="shared" si="323"/>
        <v>0</v>
      </c>
      <c r="CB72" s="94">
        <f t="shared" si="323"/>
        <v>0</v>
      </c>
      <c r="CC72" s="94">
        <f t="shared" si="323"/>
        <v>0</v>
      </c>
      <c r="CD72" s="94">
        <f t="shared" si="323"/>
        <v>0</v>
      </c>
      <c r="CE72" s="94">
        <f t="shared" si="323"/>
        <v>0</v>
      </c>
      <c r="CF72" s="94">
        <f t="shared" si="323"/>
        <v>0</v>
      </c>
      <c r="CG72" s="70"/>
      <c r="CH72" s="94">
        <f>SUM(CH73:CH73)</f>
        <v>0</v>
      </c>
      <c r="CI72" s="94">
        <f t="shared" ref="CI72:CS72" si="324">SUM(CI73:CI73)</f>
        <v>0</v>
      </c>
      <c r="CJ72" s="94">
        <f t="shared" si="324"/>
        <v>0</v>
      </c>
      <c r="CK72" s="94">
        <f t="shared" si="324"/>
        <v>0</v>
      </c>
      <c r="CL72" s="94">
        <f t="shared" si="324"/>
        <v>0</v>
      </c>
      <c r="CM72" s="94">
        <f t="shared" si="324"/>
        <v>0</v>
      </c>
      <c r="CN72" s="94">
        <f t="shared" si="324"/>
        <v>0</v>
      </c>
      <c r="CO72" s="94">
        <f t="shared" si="324"/>
        <v>0</v>
      </c>
      <c r="CP72" s="94">
        <f t="shared" si="324"/>
        <v>0</v>
      </c>
      <c r="CQ72" s="94">
        <f t="shared" si="324"/>
        <v>0</v>
      </c>
      <c r="CR72" s="94">
        <f t="shared" si="324"/>
        <v>0</v>
      </c>
      <c r="CS72" s="94">
        <f t="shared" si="324"/>
        <v>0</v>
      </c>
      <c r="CT72" s="70"/>
      <c r="CU72" s="94">
        <f>SUM(CU73:CU73)</f>
        <v>0</v>
      </c>
      <c r="CV72" s="94">
        <f t="shared" ref="CV72:DF72" si="325">SUM(CV73:CV73)</f>
        <v>0</v>
      </c>
      <c r="CW72" s="94">
        <f t="shared" si="325"/>
        <v>0</v>
      </c>
      <c r="CX72" s="94">
        <f t="shared" si="325"/>
        <v>0</v>
      </c>
      <c r="CY72" s="94">
        <f t="shared" si="325"/>
        <v>0</v>
      </c>
      <c r="CZ72" s="94">
        <f t="shared" si="325"/>
        <v>0</v>
      </c>
      <c r="DA72" s="94">
        <f t="shared" si="325"/>
        <v>0</v>
      </c>
      <c r="DB72" s="94">
        <f t="shared" si="325"/>
        <v>0</v>
      </c>
      <c r="DC72" s="94">
        <f t="shared" si="325"/>
        <v>0</v>
      </c>
      <c r="DD72" s="94">
        <f t="shared" si="325"/>
        <v>0</v>
      </c>
      <c r="DE72" s="94">
        <f t="shared" si="325"/>
        <v>0</v>
      </c>
      <c r="DF72" s="94">
        <f t="shared" si="325"/>
        <v>0</v>
      </c>
      <c r="DG72" s="70"/>
      <c r="DH72" s="94">
        <f>SUM(DH73:DH73)</f>
        <v>0</v>
      </c>
      <c r="DI72" s="94">
        <f t="shared" ref="DI72:DS72" si="326">SUM(DI73:DI73)</f>
        <v>0</v>
      </c>
      <c r="DJ72" s="94">
        <f t="shared" si="326"/>
        <v>0</v>
      </c>
      <c r="DK72" s="94">
        <f t="shared" si="326"/>
        <v>0</v>
      </c>
      <c r="DL72" s="94">
        <f t="shared" si="326"/>
        <v>0</v>
      </c>
      <c r="DM72" s="94">
        <f t="shared" si="326"/>
        <v>0</v>
      </c>
      <c r="DN72" s="94">
        <f t="shared" si="326"/>
        <v>0</v>
      </c>
      <c r="DO72" s="94">
        <f t="shared" si="326"/>
        <v>0</v>
      </c>
      <c r="DP72" s="94">
        <f t="shared" si="326"/>
        <v>0</v>
      </c>
      <c r="DQ72" s="94">
        <f t="shared" si="326"/>
        <v>0</v>
      </c>
      <c r="DR72" s="94">
        <f t="shared" si="326"/>
        <v>0</v>
      </c>
      <c r="DS72" s="94">
        <f t="shared" si="326"/>
        <v>0</v>
      </c>
      <c r="DT72" s="70"/>
      <c r="DU72" s="94">
        <f>SUM(DU73:DU73)</f>
        <v>0</v>
      </c>
      <c r="DV72" s="94">
        <f t="shared" ref="DV72:EF72" si="327">SUM(DV73:DV73)</f>
        <v>0</v>
      </c>
      <c r="DW72" s="94">
        <f t="shared" si="327"/>
        <v>0</v>
      </c>
      <c r="DX72" s="94">
        <f t="shared" si="327"/>
        <v>0</v>
      </c>
      <c r="DY72" s="94">
        <f t="shared" si="327"/>
        <v>0</v>
      </c>
      <c r="DZ72" s="94">
        <f t="shared" si="327"/>
        <v>0</v>
      </c>
      <c r="EA72" s="94">
        <f t="shared" si="327"/>
        <v>0</v>
      </c>
      <c r="EB72" s="94">
        <f t="shared" si="327"/>
        <v>0</v>
      </c>
      <c r="EC72" s="94">
        <f t="shared" si="327"/>
        <v>0</v>
      </c>
      <c r="ED72" s="94">
        <f t="shared" si="327"/>
        <v>0</v>
      </c>
      <c r="EE72" s="94">
        <f t="shared" si="327"/>
        <v>0</v>
      </c>
      <c r="EF72" s="94">
        <f t="shared" si="327"/>
        <v>0</v>
      </c>
      <c r="EG72" s="70"/>
      <c r="EH72" s="94">
        <f t="shared" ref="EH72:ES72" si="328">SUM(EH73:EH73)</f>
        <v>17417475</v>
      </c>
      <c r="EI72" s="94">
        <f t="shared" si="328"/>
        <v>0</v>
      </c>
      <c r="EJ72" s="94">
        <f t="shared" si="328"/>
        <v>57500000</v>
      </c>
      <c r="EK72" s="94">
        <f t="shared" si="328"/>
        <v>74917475</v>
      </c>
      <c r="EL72" s="94">
        <f t="shared" si="328"/>
        <v>74917475</v>
      </c>
      <c r="EM72" s="94">
        <f t="shared" si="328"/>
        <v>0</v>
      </c>
      <c r="EN72" s="94">
        <f t="shared" si="328"/>
        <v>0</v>
      </c>
      <c r="EO72" s="94">
        <f t="shared" si="328"/>
        <v>0</v>
      </c>
      <c r="EP72" s="94">
        <f t="shared" si="328"/>
        <v>0</v>
      </c>
      <c r="EQ72" s="94">
        <f t="shared" si="328"/>
        <v>0</v>
      </c>
      <c r="ER72" s="94">
        <f t="shared" si="328"/>
        <v>0</v>
      </c>
      <c r="ES72" s="94">
        <f t="shared" si="328"/>
        <v>0</v>
      </c>
      <c r="EU72" s="194">
        <f t="shared" si="23"/>
        <v>0</v>
      </c>
      <c r="EW72" s="194">
        <f t="shared" si="24"/>
        <v>0</v>
      </c>
      <c r="EX72" s="194">
        <f t="shared" si="317"/>
        <v>0</v>
      </c>
    </row>
    <row r="73" spans="1:154" s="77" customFormat="1" ht="63.75" x14ac:dyDescent="0.25">
      <c r="A73" s="82"/>
      <c r="B73" s="88"/>
      <c r="C73" s="100"/>
      <c r="D73" s="193" t="str">
        <f>'Incremental_Cost Year 1'!D243</f>
        <v>07450 Shërbime të Shëndetit Publik/01110 Planifikimi, Menaxhimi dhe AdministrimiAKSHI/Axhenda e digitaizimit</v>
      </c>
      <c r="E73" s="193" t="str">
        <f>'Incremental_Cost Year 1'!E243</f>
        <v xml:space="preserve">4.6.1 Krijimi dhe zbatimi i strategjisë së komunikimit të riskut të pandemisë </v>
      </c>
      <c r="F73" s="96">
        <f>'Incremental_Cost Year 1'!F243</f>
        <v>2021</v>
      </c>
      <c r="G73" s="96">
        <f>'Incremental_Cost Year 1'!G243</f>
        <v>2024</v>
      </c>
      <c r="H73" s="92">
        <f>'Incremental_Cost Year 1'!AQ243</f>
        <v>5179729.5</v>
      </c>
      <c r="I73" s="92">
        <f>'Incremental_Cost Year 1'!AR243</f>
        <v>0</v>
      </c>
      <c r="J73" s="92">
        <f>'Incremental_Cost Year 1'!AS243</f>
        <v>0</v>
      </c>
      <c r="K73" s="92">
        <f>'Incremental_Cost Year 1'!AT243</f>
        <v>5179729.5</v>
      </c>
      <c r="L73" s="92">
        <f>'Incremental_Cost Year 1'!AU243</f>
        <v>5179729.5</v>
      </c>
      <c r="M73" s="92">
        <f>'Incremental_Cost Year 1'!AV243</f>
        <v>0</v>
      </c>
      <c r="N73" s="92">
        <f>'Incremental_Cost Year 1'!AW243</f>
        <v>0</v>
      </c>
      <c r="O73" s="92">
        <f>'Incremental_Cost Year 1'!AX243</f>
        <v>0</v>
      </c>
      <c r="P73" s="92">
        <f>'Incremental_Cost Year 1'!AY243</f>
        <v>0</v>
      </c>
      <c r="Q73" s="92">
        <f>'Incremental_Cost Year 1'!AZ243</f>
        <v>0</v>
      </c>
      <c r="R73" s="92">
        <f>'Incremental_Cost Year 1'!BA243</f>
        <v>0</v>
      </c>
      <c r="S73" s="92">
        <f>'Incremental_Cost Year 1'!BB243</f>
        <v>0</v>
      </c>
      <c r="T73" s="70"/>
      <c r="U73" s="92">
        <f>'Incremental_Cost Year 2'!AQ243</f>
        <v>5179729.5</v>
      </c>
      <c r="V73" s="92">
        <f>'Incremental_Cost Year 2'!AR243</f>
        <v>0</v>
      </c>
      <c r="W73" s="92">
        <f>'Incremental_Cost Year 2'!AS243</f>
        <v>0</v>
      </c>
      <c r="X73" s="92">
        <f>'Incremental_Cost Year 2'!AT243</f>
        <v>5179729.5</v>
      </c>
      <c r="Y73" s="92">
        <f>'Incremental_Cost Year 2'!AU243</f>
        <v>5179729.5</v>
      </c>
      <c r="Z73" s="92">
        <f>'Incremental_Cost Year 2'!AV243</f>
        <v>0</v>
      </c>
      <c r="AA73" s="92">
        <f>'Incremental_Cost Year 2'!AW243</f>
        <v>0</v>
      </c>
      <c r="AB73" s="92">
        <f>'Incremental_Cost Year 2'!AX243</f>
        <v>0</v>
      </c>
      <c r="AC73" s="92">
        <f>'Incremental_Cost Year 2'!AY243</f>
        <v>0</v>
      </c>
      <c r="AD73" s="92">
        <f>'Incremental_Cost Year 2'!AZ243</f>
        <v>0</v>
      </c>
      <c r="AE73" s="92">
        <f>'Incremental_Cost Year 2'!BA243</f>
        <v>0</v>
      </c>
      <c r="AF73" s="92">
        <f>'Incremental_Cost Year 2'!BB243</f>
        <v>0</v>
      </c>
      <c r="AG73" s="70"/>
      <c r="AH73" s="92">
        <f>'Incremental_Cost Year 3'!AQ243</f>
        <v>3529008</v>
      </c>
      <c r="AI73" s="92">
        <f>'Incremental_Cost Year 3'!AR243</f>
        <v>0</v>
      </c>
      <c r="AJ73" s="92">
        <f>'Incremental_Cost Year 3'!AS243</f>
        <v>28750000</v>
      </c>
      <c r="AK73" s="92">
        <f>'Incremental_Cost Year 3'!AT243</f>
        <v>32279008</v>
      </c>
      <c r="AL73" s="92">
        <f>'Incremental_Cost Year 3'!AU243</f>
        <v>32279008</v>
      </c>
      <c r="AM73" s="92">
        <f>'Incremental_Cost Year 3'!AV243</f>
        <v>0</v>
      </c>
      <c r="AN73" s="92">
        <f>'Incremental_Cost Year 3'!AW243</f>
        <v>0</v>
      </c>
      <c r="AO73" s="92">
        <f>'Incremental_Cost Year 3'!AX243</f>
        <v>0</v>
      </c>
      <c r="AP73" s="92">
        <f>'Incremental_Cost Year 3'!AY243</f>
        <v>0</v>
      </c>
      <c r="AQ73" s="92">
        <f>'Incremental_Cost Year 3'!AZ243</f>
        <v>0</v>
      </c>
      <c r="AR73" s="92">
        <f>'Incremental_Cost Year 3'!BA243</f>
        <v>0</v>
      </c>
      <c r="AS73" s="92">
        <f>'Incremental_Cost Year 3'!BB243</f>
        <v>0</v>
      </c>
      <c r="AT73" s="70"/>
      <c r="AU73" s="92">
        <f>'Incremental_Cost Year 4'!AQ243</f>
        <v>3529008</v>
      </c>
      <c r="AV73" s="92">
        <f>'Incremental_Cost Year 4'!AR243</f>
        <v>0</v>
      </c>
      <c r="AW73" s="92">
        <f>'Incremental_Cost Year 4'!AS243</f>
        <v>28750000</v>
      </c>
      <c r="AX73" s="92">
        <f>'Incremental_Cost Year 4'!AT243</f>
        <v>32279008</v>
      </c>
      <c r="AY73" s="92">
        <f>'Incremental_Cost Year 4'!AU243</f>
        <v>32279008</v>
      </c>
      <c r="AZ73" s="92">
        <f>'Incremental_Cost Year 4'!AV243</f>
        <v>0</v>
      </c>
      <c r="BA73" s="92">
        <f>'Incremental_Cost Year 4'!AW243</f>
        <v>0</v>
      </c>
      <c r="BB73" s="92">
        <f>'Incremental_Cost Year 4'!AX243</f>
        <v>0</v>
      </c>
      <c r="BC73" s="92">
        <f>'Incremental_Cost Year 4'!AY243</f>
        <v>0</v>
      </c>
      <c r="BD73" s="92">
        <f>'Incremental_Cost Year 4'!AZ243</f>
        <v>0</v>
      </c>
      <c r="BE73" s="92">
        <f>'Incremental_Cost Year 4'!BA243</f>
        <v>0</v>
      </c>
      <c r="BF73" s="92">
        <f>'Incremental_Cost Year 4'!BB243</f>
        <v>0</v>
      </c>
      <c r="BG73" s="70"/>
      <c r="BH73" s="92">
        <f>'Incremental_Cost Year 5'!AQ243</f>
        <v>0</v>
      </c>
      <c r="BI73" s="92">
        <f>'Incremental_Cost Year 5'!AR243</f>
        <v>0</v>
      </c>
      <c r="BJ73" s="92">
        <f>'Incremental_Cost Year 5'!AS243</f>
        <v>0</v>
      </c>
      <c r="BK73" s="92">
        <f>'Incremental_Cost Year 5'!AT243</f>
        <v>0</v>
      </c>
      <c r="BL73" s="92">
        <f>'Incremental_Cost Year 5'!AU243</f>
        <v>0</v>
      </c>
      <c r="BM73" s="92">
        <f>'Incremental_Cost Year 5'!AV243</f>
        <v>0</v>
      </c>
      <c r="BN73" s="92">
        <f>'Incremental_Cost Year 5'!AW243</f>
        <v>0</v>
      </c>
      <c r="BO73" s="92">
        <f>'Incremental_Cost Year 5'!AX243</f>
        <v>0</v>
      </c>
      <c r="BP73" s="92">
        <f>'Incremental_Cost Year 5'!AY243</f>
        <v>0</v>
      </c>
      <c r="BQ73" s="92">
        <f>'Incremental_Cost Year 5'!AZ243</f>
        <v>0</v>
      </c>
      <c r="BR73" s="92">
        <f>'Incremental_Cost Year 5'!BA243</f>
        <v>0</v>
      </c>
      <c r="BS73" s="92">
        <f>'Incremental_Cost Year 5'!BB243</f>
        <v>0</v>
      </c>
      <c r="BT73" s="70"/>
      <c r="BU73" s="92">
        <f>'Incremental_Cost Year 6'!AQ243</f>
        <v>0</v>
      </c>
      <c r="BV73" s="92">
        <f>'Incremental_Cost Year 6'!AR243</f>
        <v>0</v>
      </c>
      <c r="BW73" s="92">
        <f>'Incremental_Cost Year 6'!AS243</f>
        <v>0</v>
      </c>
      <c r="BX73" s="92">
        <f>'Incremental_Cost Year 6'!AT243</f>
        <v>0</v>
      </c>
      <c r="BY73" s="92">
        <f>'Incremental_Cost Year 6'!AU243</f>
        <v>0</v>
      </c>
      <c r="BZ73" s="92">
        <f>'Incremental_Cost Year 6'!AV243</f>
        <v>0</v>
      </c>
      <c r="CA73" s="92">
        <f>'Incremental_Cost Year 6'!AW243</f>
        <v>0</v>
      </c>
      <c r="CB73" s="92">
        <f>'Incremental_Cost Year 6'!AX243</f>
        <v>0</v>
      </c>
      <c r="CC73" s="92">
        <f>'Incremental_Cost Year 6'!AY243</f>
        <v>0</v>
      </c>
      <c r="CD73" s="92">
        <f>'Incremental_Cost Year 6'!AZ243</f>
        <v>0</v>
      </c>
      <c r="CE73" s="92">
        <f>'Incremental_Cost Year 6'!BA243</f>
        <v>0</v>
      </c>
      <c r="CF73" s="92">
        <f>'Incremental_Cost Year 6'!BB243</f>
        <v>0</v>
      </c>
      <c r="CG73" s="70"/>
      <c r="CH73" s="92">
        <f>'Incremental_Cost Year 7'!AQ243</f>
        <v>0</v>
      </c>
      <c r="CI73" s="92">
        <f>'Incremental_Cost Year 7'!AR243</f>
        <v>0</v>
      </c>
      <c r="CJ73" s="92">
        <f>'Incremental_Cost Year 7'!AS243</f>
        <v>0</v>
      </c>
      <c r="CK73" s="92">
        <f>'Incremental_Cost Year 7'!AT243</f>
        <v>0</v>
      </c>
      <c r="CL73" s="92">
        <f>'Incremental_Cost Year 7'!AU243</f>
        <v>0</v>
      </c>
      <c r="CM73" s="92">
        <f>'Incremental_Cost Year 7'!AV243</f>
        <v>0</v>
      </c>
      <c r="CN73" s="92">
        <f>'Incremental_Cost Year 7'!AW243</f>
        <v>0</v>
      </c>
      <c r="CO73" s="92">
        <f>'Incremental_Cost Year 7'!AX243</f>
        <v>0</v>
      </c>
      <c r="CP73" s="92">
        <f>'Incremental_Cost Year 7'!AY243</f>
        <v>0</v>
      </c>
      <c r="CQ73" s="92">
        <f>'Incremental_Cost Year 7'!AZ243</f>
        <v>0</v>
      </c>
      <c r="CR73" s="92">
        <f>'Incremental_Cost Year 7'!BA243</f>
        <v>0</v>
      </c>
      <c r="CS73" s="92">
        <f>'Incremental_Cost Year 7'!BB243</f>
        <v>0</v>
      </c>
      <c r="CT73" s="70"/>
      <c r="CU73" s="92">
        <f>'Incremental_Cost Year 8'!AQ243</f>
        <v>0</v>
      </c>
      <c r="CV73" s="92">
        <f>'Incremental_Cost Year 8'!AR243</f>
        <v>0</v>
      </c>
      <c r="CW73" s="92">
        <f>'Incremental_Cost Year 8'!AS243</f>
        <v>0</v>
      </c>
      <c r="CX73" s="92">
        <f>'Incremental_Cost Year 8'!AT243</f>
        <v>0</v>
      </c>
      <c r="CY73" s="92">
        <f>'Incremental_Cost Year 8'!AU243</f>
        <v>0</v>
      </c>
      <c r="CZ73" s="92">
        <f>'Incremental_Cost Year 8'!AV243</f>
        <v>0</v>
      </c>
      <c r="DA73" s="92">
        <f>'Incremental_Cost Year 8'!AW243</f>
        <v>0</v>
      </c>
      <c r="DB73" s="92">
        <f>'Incremental_Cost Year 8'!AX243</f>
        <v>0</v>
      </c>
      <c r="DC73" s="92">
        <f>'Incremental_Cost Year 8'!AY243</f>
        <v>0</v>
      </c>
      <c r="DD73" s="92">
        <f>'Incremental_Cost Year 8'!AZ243</f>
        <v>0</v>
      </c>
      <c r="DE73" s="92">
        <f>'Incremental_Cost Year 8'!BA243</f>
        <v>0</v>
      </c>
      <c r="DF73" s="92">
        <f>'Incremental_Cost Year 8'!BB243</f>
        <v>0</v>
      </c>
      <c r="DG73" s="70"/>
      <c r="DH73" s="92">
        <f>'Incremental_Cost Year 9'!AQ243</f>
        <v>0</v>
      </c>
      <c r="DI73" s="92">
        <f>'Incremental_Cost Year 9'!AR243</f>
        <v>0</v>
      </c>
      <c r="DJ73" s="92">
        <f>'Incremental_Cost Year 9'!AS243</f>
        <v>0</v>
      </c>
      <c r="DK73" s="92">
        <f>'Incremental_Cost Year 9'!AT243</f>
        <v>0</v>
      </c>
      <c r="DL73" s="92">
        <f>'Incremental_Cost Year 9'!AU243</f>
        <v>0</v>
      </c>
      <c r="DM73" s="92">
        <f>'Incremental_Cost Year 9'!AV243</f>
        <v>0</v>
      </c>
      <c r="DN73" s="92">
        <f>'Incremental_Cost Year 9'!AW243</f>
        <v>0</v>
      </c>
      <c r="DO73" s="92">
        <f>'Incremental_Cost Year 9'!AX243</f>
        <v>0</v>
      </c>
      <c r="DP73" s="92">
        <f>'Incremental_Cost Year 9'!AY243</f>
        <v>0</v>
      </c>
      <c r="DQ73" s="92">
        <f>'Incremental_Cost Year 9'!AZ243</f>
        <v>0</v>
      </c>
      <c r="DR73" s="92">
        <f>'Incremental_Cost Year 9'!BA243</f>
        <v>0</v>
      </c>
      <c r="DS73" s="92">
        <f>'Incremental_Cost Year 9'!BB243</f>
        <v>0</v>
      </c>
      <c r="DT73" s="70"/>
      <c r="DU73" s="92">
        <f>'Incremental_Cost Year 10'!AQ243</f>
        <v>0</v>
      </c>
      <c r="DV73" s="92">
        <f>'Incremental_Cost Year 10'!AR243</f>
        <v>0</v>
      </c>
      <c r="DW73" s="92">
        <f>'Incremental_Cost Year 10'!AS243</f>
        <v>0</v>
      </c>
      <c r="DX73" s="92">
        <f>'Incremental_Cost Year 10'!AT243</f>
        <v>0</v>
      </c>
      <c r="DY73" s="92">
        <f>'Incremental_Cost Year 10'!AU243</f>
        <v>0</v>
      </c>
      <c r="DZ73" s="92">
        <f>'Incremental_Cost Year 10'!AV243</f>
        <v>0</v>
      </c>
      <c r="EA73" s="92">
        <f>'Incremental_Cost Year 10'!AW243</f>
        <v>0</v>
      </c>
      <c r="EB73" s="92">
        <f>'Incremental_Cost Year 10'!AX243</f>
        <v>0</v>
      </c>
      <c r="EC73" s="92">
        <f>'Incremental_Cost Year 10'!AY243</f>
        <v>0</v>
      </c>
      <c r="ED73" s="92">
        <f>'Incremental_Cost Year 10'!AZ243</f>
        <v>0</v>
      </c>
      <c r="EE73" s="92">
        <f>'Incremental_Cost Year 10'!BA243</f>
        <v>0</v>
      </c>
      <c r="EF73" s="92">
        <f>'Incremental_Cost Year 10'!BB243</f>
        <v>0</v>
      </c>
      <c r="EG73" s="70"/>
      <c r="EH73" s="92">
        <f t="shared" ref="EH73:ES73" si="329">H73+U73+AH73+AU73+BH73+BU73+CH73+CU73+DH73+DU73</f>
        <v>17417475</v>
      </c>
      <c r="EI73" s="92">
        <f t="shared" si="329"/>
        <v>0</v>
      </c>
      <c r="EJ73" s="92">
        <f t="shared" si="329"/>
        <v>57500000</v>
      </c>
      <c r="EK73" s="92">
        <f t="shared" si="329"/>
        <v>74917475</v>
      </c>
      <c r="EL73" s="92">
        <f t="shared" si="329"/>
        <v>74917475</v>
      </c>
      <c r="EM73" s="92">
        <f t="shared" si="329"/>
        <v>0</v>
      </c>
      <c r="EN73" s="92">
        <f t="shared" si="329"/>
        <v>0</v>
      </c>
      <c r="EO73" s="92">
        <f t="shared" si="329"/>
        <v>0</v>
      </c>
      <c r="EP73" s="92">
        <f t="shared" si="329"/>
        <v>0</v>
      </c>
      <c r="EQ73" s="92">
        <f t="shared" si="329"/>
        <v>0</v>
      </c>
      <c r="ER73" s="92">
        <f t="shared" si="329"/>
        <v>0</v>
      </c>
      <c r="ES73" s="92">
        <f t="shared" si="329"/>
        <v>0</v>
      </c>
      <c r="EU73" s="194">
        <f t="shared" ref="EU73:EU88" si="330">EM73+EN73+EO73+EP73+EQ73+ER73</f>
        <v>0</v>
      </c>
      <c r="EW73" s="194">
        <f t="shared" ref="EW73:EW88" si="331">SUM(EL73:ER73)-EK73</f>
        <v>0</v>
      </c>
      <c r="EX73" s="194">
        <f t="shared" si="317"/>
        <v>0</v>
      </c>
    </row>
    <row r="74" spans="1:154" s="167" customFormat="1" x14ac:dyDescent="0.25">
      <c r="A74" s="183"/>
      <c r="B74" s="399" t="str">
        <f>'Incremental_Cost Year 1'!B244:E244</f>
        <v xml:space="preserve">5.Qellimi I Politikes ( Kodi, Emertimi)   Shëndeti Dixhital </v>
      </c>
      <c r="C74" s="408"/>
      <c r="D74" s="408"/>
      <c r="E74" s="409"/>
      <c r="F74" s="189"/>
      <c r="G74" s="189"/>
      <c r="H74" s="191">
        <f>H75+H79+H82+H85+H87</f>
        <v>4525626</v>
      </c>
      <c r="I74" s="191">
        <f t="shared" ref="I74:BS74" si="332">I75+I79+I82+I85+I87</f>
        <v>32692500</v>
      </c>
      <c r="J74" s="191">
        <f t="shared" si="332"/>
        <v>0</v>
      </c>
      <c r="K74" s="191">
        <f t="shared" si="332"/>
        <v>37218126</v>
      </c>
      <c r="L74" s="191">
        <f t="shared" si="332"/>
        <v>9680462.6399999987</v>
      </c>
      <c r="M74" s="191">
        <f t="shared" si="332"/>
        <v>0</v>
      </c>
      <c r="N74" s="191">
        <f t="shared" si="332"/>
        <v>27537663</v>
      </c>
      <c r="O74" s="191">
        <f t="shared" si="332"/>
        <v>0</v>
      </c>
      <c r="P74" s="191">
        <f t="shared" si="332"/>
        <v>0</v>
      </c>
      <c r="Q74" s="191">
        <f t="shared" si="332"/>
        <v>0</v>
      </c>
      <c r="R74" s="191">
        <f t="shared" si="332"/>
        <v>0</v>
      </c>
      <c r="S74" s="191">
        <f t="shared" si="332"/>
        <v>-0.3600000012665987</v>
      </c>
      <c r="T74" s="70"/>
      <c r="U74" s="191">
        <f>U75+U79+U82+U85+U87</f>
        <v>35107327.799999997</v>
      </c>
      <c r="V74" s="191">
        <f t="shared" ref="V74:AF74" si="333">V75+V79+V82+V85+V87</f>
        <v>56737416</v>
      </c>
      <c r="W74" s="191">
        <f t="shared" si="333"/>
        <v>123000000</v>
      </c>
      <c r="X74" s="191">
        <f t="shared" si="333"/>
        <v>214844743.80000001</v>
      </c>
      <c r="Y74" s="191">
        <f t="shared" si="333"/>
        <v>81418743.799999997</v>
      </c>
      <c r="Z74" s="191">
        <f t="shared" si="333"/>
        <v>0</v>
      </c>
      <c r="AA74" s="191">
        <f t="shared" si="333"/>
        <v>102500000</v>
      </c>
      <c r="AB74" s="191">
        <f t="shared" si="333"/>
        <v>0</v>
      </c>
      <c r="AC74" s="191">
        <f t="shared" si="333"/>
        <v>0</v>
      </c>
      <c r="AD74" s="191">
        <f t="shared" si="333"/>
        <v>24395000</v>
      </c>
      <c r="AE74" s="191">
        <f t="shared" si="333"/>
        <v>0</v>
      </c>
      <c r="AF74" s="191">
        <f t="shared" si="333"/>
        <v>-6531000</v>
      </c>
      <c r="AG74" s="70"/>
      <c r="AH74" s="191">
        <f t="shared" si="332"/>
        <v>61502767.200000003</v>
      </c>
      <c r="AI74" s="191">
        <f t="shared" si="332"/>
        <v>45267200</v>
      </c>
      <c r="AJ74" s="191">
        <f t="shared" si="332"/>
        <v>510680500</v>
      </c>
      <c r="AK74" s="191">
        <f t="shared" si="332"/>
        <v>617450467.19999993</v>
      </c>
      <c r="AL74" s="191">
        <f t="shared" si="332"/>
        <v>130413467.2</v>
      </c>
      <c r="AM74" s="191">
        <f t="shared" si="332"/>
        <v>0</v>
      </c>
      <c r="AN74" s="191">
        <f t="shared" si="332"/>
        <v>216308000</v>
      </c>
      <c r="AO74" s="191">
        <f t="shared" si="332"/>
        <v>0</v>
      </c>
      <c r="AP74" s="191">
        <f t="shared" si="332"/>
        <v>0</v>
      </c>
      <c r="AQ74" s="191">
        <f t="shared" si="332"/>
        <v>10455000</v>
      </c>
      <c r="AR74" s="191">
        <f t="shared" si="332"/>
        <v>0</v>
      </c>
      <c r="AS74" s="191">
        <f t="shared" si="332"/>
        <v>-260274000</v>
      </c>
      <c r="AT74" s="70"/>
      <c r="AU74" s="191">
        <f t="shared" si="332"/>
        <v>35741008.800000004</v>
      </c>
      <c r="AV74" s="191">
        <f t="shared" si="332"/>
        <v>193997400</v>
      </c>
      <c r="AW74" s="191">
        <f t="shared" si="332"/>
        <v>484656900</v>
      </c>
      <c r="AX74" s="191">
        <f t="shared" si="332"/>
        <v>714395308.79999995</v>
      </c>
      <c r="AY74" s="191">
        <f t="shared" si="332"/>
        <v>104897008.39999999</v>
      </c>
      <c r="AZ74" s="191">
        <f t="shared" si="332"/>
        <v>0</v>
      </c>
      <c r="BA74" s="191">
        <f t="shared" si="332"/>
        <v>217505000</v>
      </c>
      <c r="BB74" s="191">
        <f t="shared" si="332"/>
        <v>0</v>
      </c>
      <c r="BC74" s="191">
        <f t="shared" si="332"/>
        <v>0</v>
      </c>
      <c r="BD74" s="191">
        <f t="shared" si="332"/>
        <v>0</v>
      </c>
      <c r="BE74" s="191">
        <f t="shared" si="332"/>
        <v>0</v>
      </c>
      <c r="BF74" s="191">
        <f t="shared" si="332"/>
        <v>-391993300.39999998</v>
      </c>
      <c r="BG74" s="70"/>
      <c r="BH74" s="191">
        <f t="shared" si="332"/>
        <v>39799368</v>
      </c>
      <c r="BI74" s="191">
        <f t="shared" si="332"/>
        <v>365749800</v>
      </c>
      <c r="BJ74" s="191">
        <f t="shared" si="332"/>
        <v>615000000</v>
      </c>
      <c r="BK74" s="191">
        <f t="shared" si="332"/>
        <v>1020549167.9999999</v>
      </c>
      <c r="BL74" s="191">
        <f t="shared" si="332"/>
        <v>65454366.999999993</v>
      </c>
      <c r="BM74" s="191">
        <f t="shared" si="332"/>
        <v>0</v>
      </c>
      <c r="BN74" s="191">
        <f t="shared" si="332"/>
        <v>0</v>
      </c>
      <c r="BO74" s="191">
        <f t="shared" si="332"/>
        <v>0</v>
      </c>
      <c r="BP74" s="191">
        <f t="shared" si="332"/>
        <v>0</v>
      </c>
      <c r="BQ74" s="191">
        <f t="shared" si="332"/>
        <v>0</v>
      </c>
      <c r="BR74" s="191">
        <f t="shared" si="332"/>
        <v>0</v>
      </c>
      <c r="BS74" s="191">
        <f t="shared" si="332"/>
        <v>-955094801</v>
      </c>
      <c r="BT74" s="70"/>
      <c r="BU74" s="191">
        <f t="shared" ref="BU74:EF74" si="334">BU75+BU79+BU82+BU85+BU87</f>
        <v>41917356.300000004</v>
      </c>
      <c r="BV74" s="191">
        <f t="shared" si="334"/>
        <v>392353400</v>
      </c>
      <c r="BW74" s="191">
        <f t="shared" si="334"/>
        <v>492000000</v>
      </c>
      <c r="BX74" s="191">
        <f t="shared" si="334"/>
        <v>926270756.29999995</v>
      </c>
      <c r="BY74" s="191">
        <f t="shared" si="334"/>
        <v>67572355.899999991</v>
      </c>
      <c r="BZ74" s="191">
        <f t="shared" si="334"/>
        <v>0</v>
      </c>
      <c r="CA74" s="191">
        <f t="shared" si="334"/>
        <v>0</v>
      </c>
      <c r="CB74" s="191">
        <f t="shared" si="334"/>
        <v>0</v>
      </c>
      <c r="CC74" s="191">
        <f t="shared" si="334"/>
        <v>0</v>
      </c>
      <c r="CD74" s="191">
        <f t="shared" si="334"/>
        <v>0</v>
      </c>
      <c r="CE74" s="191">
        <f t="shared" si="334"/>
        <v>0</v>
      </c>
      <c r="CF74" s="191">
        <f t="shared" si="334"/>
        <v>-858698400.39999998</v>
      </c>
      <c r="CG74" s="70"/>
      <c r="CH74" s="191">
        <f t="shared" si="334"/>
        <v>42034406.400000006</v>
      </c>
      <c r="CI74" s="191">
        <f t="shared" si="334"/>
        <v>638237600</v>
      </c>
      <c r="CJ74" s="191">
        <f t="shared" si="334"/>
        <v>0</v>
      </c>
      <c r="CK74" s="191">
        <f t="shared" si="334"/>
        <v>680272006.39999998</v>
      </c>
      <c r="CL74" s="191">
        <f t="shared" si="334"/>
        <v>67689406</v>
      </c>
      <c r="CM74" s="191">
        <f t="shared" si="334"/>
        <v>0</v>
      </c>
      <c r="CN74" s="191">
        <f t="shared" si="334"/>
        <v>0</v>
      </c>
      <c r="CO74" s="191">
        <f t="shared" si="334"/>
        <v>0</v>
      </c>
      <c r="CP74" s="191">
        <f t="shared" si="334"/>
        <v>0</v>
      </c>
      <c r="CQ74" s="191">
        <f t="shared" si="334"/>
        <v>0</v>
      </c>
      <c r="CR74" s="191">
        <f t="shared" si="334"/>
        <v>0</v>
      </c>
      <c r="CS74" s="191">
        <f t="shared" si="334"/>
        <v>-612582600.39999998</v>
      </c>
      <c r="CT74" s="70"/>
      <c r="CU74" s="191">
        <f t="shared" si="334"/>
        <v>42034406.400000006</v>
      </c>
      <c r="CV74" s="191">
        <f t="shared" si="334"/>
        <v>638160400</v>
      </c>
      <c r="CW74" s="191">
        <f t="shared" si="334"/>
        <v>0</v>
      </c>
      <c r="CX74" s="191">
        <f t="shared" si="334"/>
        <v>680194806.39999998</v>
      </c>
      <c r="CY74" s="191">
        <f t="shared" si="334"/>
        <v>67689406</v>
      </c>
      <c r="CZ74" s="191">
        <f t="shared" si="334"/>
        <v>0</v>
      </c>
      <c r="DA74" s="191">
        <f t="shared" si="334"/>
        <v>0</v>
      </c>
      <c r="DB74" s="191">
        <f t="shared" si="334"/>
        <v>0</v>
      </c>
      <c r="DC74" s="191">
        <f t="shared" si="334"/>
        <v>0</v>
      </c>
      <c r="DD74" s="191">
        <f t="shared" si="334"/>
        <v>0</v>
      </c>
      <c r="DE74" s="191">
        <f t="shared" si="334"/>
        <v>0</v>
      </c>
      <c r="DF74" s="191">
        <f t="shared" si="334"/>
        <v>-612505400.39999998</v>
      </c>
      <c r="DG74" s="70"/>
      <c r="DH74" s="191">
        <f t="shared" si="334"/>
        <v>41916772.800000004</v>
      </c>
      <c r="DI74" s="191">
        <f t="shared" si="334"/>
        <v>637774400</v>
      </c>
      <c r="DJ74" s="191">
        <f t="shared" si="334"/>
        <v>0</v>
      </c>
      <c r="DK74" s="191">
        <f t="shared" si="334"/>
        <v>679691172.79999995</v>
      </c>
      <c r="DL74" s="191">
        <f t="shared" si="334"/>
        <v>67571772.399999991</v>
      </c>
      <c r="DM74" s="191">
        <f t="shared" si="334"/>
        <v>0</v>
      </c>
      <c r="DN74" s="191">
        <f t="shared" si="334"/>
        <v>0</v>
      </c>
      <c r="DO74" s="191">
        <f t="shared" si="334"/>
        <v>0</v>
      </c>
      <c r="DP74" s="191">
        <f t="shared" si="334"/>
        <v>0</v>
      </c>
      <c r="DQ74" s="191">
        <f t="shared" si="334"/>
        <v>0</v>
      </c>
      <c r="DR74" s="191">
        <f t="shared" si="334"/>
        <v>0</v>
      </c>
      <c r="DS74" s="191">
        <f t="shared" si="334"/>
        <v>-612119400.39999998</v>
      </c>
      <c r="DT74" s="70"/>
      <c r="DU74" s="191">
        <f t="shared" si="334"/>
        <v>41916772.800000004</v>
      </c>
      <c r="DV74" s="191">
        <f t="shared" si="334"/>
        <v>637774400</v>
      </c>
      <c r="DW74" s="191">
        <f t="shared" si="334"/>
        <v>0</v>
      </c>
      <c r="DX74" s="191">
        <f t="shared" si="334"/>
        <v>679691172.79999995</v>
      </c>
      <c r="DY74" s="191">
        <f t="shared" si="334"/>
        <v>67571772.399999991</v>
      </c>
      <c r="DZ74" s="191">
        <f t="shared" si="334"/>
        <v>0</v>
      </c>
      <c r="EA74" s="191">
        <f t="shared" si="334"/>
        <v>0</v>
      </c>
      <c r="EB74" s="191">
        <f t="shared" si="334"/>
        <v>0</v>
      </c>
      <c r="EC74" s="191">
        <f t="shared" si="334"/>
        <v>0</v>
      </c>
      <c r="ED74" s="191">
        <f t="shared" si="334"/>
        <v>0</v>
      </c>
      <c r="EE74" s="191">
        <f t="shared" si="334"/>
        <v>0</v>
      </c>
      <c r="EF74" s="191">
        <f t="shared" si="334"/>
        <v>-612119400.39999998</v>
      </c>
      <c r="EG74" s="70"/>
      <c r="EH74" s="191">
        <f t="shared" ref="EH74:ES74" si="335">EH75+EH79+EH82+EH85+EH87</f>
        <v>386495812.49999994</v>
      </c>
      <c r="EI74" s="191">
        <f t="shared" si="335"/>
        <v>3638744516</v>
      </c>
      <c r="EJ74" s="191">
        <f t="shared" si="335"/>
        <v>2225337400</v>
      </c>
      <c r="EK74" s="191">
        <f t="shared" si="335"/>
        <v>6250577728.499999</v>
      </c>
      <c r="EL74" s="191">
        <f t="shared" si="335"/>
        <v>729958761.73999989</v>
      </c>
      <c r="EM74" s="191">
        <f t="shared" si="335"/>
        <v>0</v>
      </c>
      <c r="EN74" s="191">
        <f t="shared" si="335"/>
        <v>563850663</v>
      </c>
      <c r="EO74" s="191">
        <f t="shared" si="335"/>
        <v>0</v>
      </c>
      <c r="EP74" s="191">
        <f t="shared" si="335"/>
        <v>0</v>
      </c>
      <c r="EQ74" s="191">
        <f t="shared" si="335"/>
        <v>34850000</v>
      </c>
      <c r="ER74" s="191">
        <f t="shared" si="335"/>
        <v>0</v>
      </c>
      <c r="ES74" s="191">
        <f t="shared" si="335"/>
        <v>-4921918303.7600002</v>
      </c>
      <c r="EU74" s="194">
        <f t="shared" si="330"/>
        <v>598700663</v>
      </c>
      <c r="EW74" s="194">
        <f t="shared" si="331"/>
        <v>-4921918303.7599993</v>
      </c>
      <c r="EX74" s="194">
        <f t="shared" si="317"/>
        <v>0</v>
      </c>
    </row>
    <row r="75" spans="1:154" s="167" customFormat="1" x14ac:dyDescent="0.25">
      <c r="A75" s="184"/>
      <c r="B75" s="187"/>
      <c r="C75" s="421" t="str">
        <f>'Incremental_Cost Year 1'!C245:E245</f>
        <v>5.1 Objektivi Specifik: Rritja e rolit të qytetarit në aksesin dhe përdorimin e shërbimeve dixhitale në kujdesin shëndetësor</v>
      </c>
      <c r="D75" s="421"/>
      <c r="E75" s="422"/>
      <c r="F75" s="197"/>
      <c r="G75" s="197"/>
      <c r="H75" s="192">
        <f>SUM(H76:H78)</f>
        <v>0</v>
      </c>
      <c r="I75" s="192">
        <f t="shared" ref="I75:AF75" si="336">SUM(I76:I78)</f>
        <v>0</v>
      </c>
      <c r="J75" s="192">
        <f t="shared" si="336"/>
        <v>0</v>
      </c>
      <c r="K75" s="192">
        <f t="shared" si="336"/>
        <v>0</v>
      </c>
      <c r="L75" s="192">
        <f t="shared" si="336"/>
        <v>0</v>
      </c>
      <c r="M75" s="192">
        <f t="shared" si="336"/>
        <v>0</v>
      </c>
      <c r="N75" s="192">
        <f t="shared" si="336"/>
        <v>0</v>
      </c>
      <c r="O75" s="192">
        <f t="shared" si="336"/>
        <v>0</v>
      </c>
      <c r="P75" s="192">
        <f t="shared" si="336"/>
        <v>0</v>
      </c>
      <c r="Q75" s="192">
        <f t="shared" si="336"/>
        <v>0</v>
      </c>
      <c r="R75" s="192">
        <f t="shared" si="336"/>
        <v>0</v>
      </c>
      <c r="S75" s="192">
        <f t="shared" si="336"/>
        <v>0</v>
      </c>
      <c r="T75" s="70"/>
      <c r="U75" s="192">
        <f>SUM(U76:U78)</f>
        <v>0</v>
      </c>
      <c r="V75" s="192">
        <f t="shared" si="336"/>
        <v>18900000</v>
      </c>
      <c r="W75" s="192">
        <f t="shared" si="336"/>
        <v>0</v>
      </c>
      <c r="X75" s="192">
        <f t="shared" si="336"/>
        <v>18900000</v>
      </c>
      <c r="Y75" s="192">
        <f t="shared" si="336"/>
        <v>0</v>
      </c>
      <c r="Z75" s="192">
        <f t="shared" si="336"/>
        <v>0</v>
      </c>
      <c r="AA75" s="192">
        <f t="shared" si="336"/>
        <v>0</v>
      </c>
      <c r="AB75" s="192">
        <f t="shared" si="336"/>
        <v>0</v>
      </c>
      <c r="AC75" s="192">
        <f t="shared" si="336"/>
        <v>0</v>
      </c>
      <c r="AD75" s="192">
        <f t="shared" si="336"/>
        <v>18900000</v>
      </c>
      <c r="AE75" s="192">
        <f t="shared" si="336"/>
        <v>0</v>
      </c>
      <c r="AF75" s="192">
        <f t="shared" si="336"/>
        <v>0</v>
      </c>
      <c r="AG75" s="70"/>
      <c r="AH75" s="192">
        <f>SUM(AH76:AH78)</f>
        <v>0</v>
      </c>
      <c r="AI75" s="192">
        <f t="shared" ref="AI75:AS75" si="337">SUM(AI76:AI78)</f>
        <v>8100000</v>
      </c>
      <c r="AJ75" s="192">
        <f t="shared" si="337"/>
        <v>0</v>
      </c>
      <c r="AK75" s="192">
        <f t="shared" si="337"/>
        <v>8100000</v>
      </c>
      <c r="AL75" s="192">
        <f t="shared" si="337"/>
        <v>0</v>
      </c>
      <c r="AM75" s="192">
        <f t="shared" si="337"/>
        <v>0</v>
      </c>
      <c r="AN75" s="192">
        <f t="shared" si="337"/>
        <v>0</v>
      </c>
      <c r="AO75" s="192">
        <f t="shared" si="337"/>
        <v>0</v>
      </c>
      <c r="AP75" s="192">
        <f t="shared" si="337"/>
        <v>0</v>
      </c>
      <c r="AQ75" s="192">
        <f t="shared" si="337"/>
        <v>8100000</v>
      </c>
      <c r="AR75" s="192">
        <f t="shared" si="337"/>
        <v>0</v>
      </c>
      <c r="AS75" s="192">
        <f t="shared" si="337"/>
        <v>0</v>
      </c>
      <c r="AT75" s="70"/>
      <c r="AU75" s="192">
        <f>SUM(AU76:AU78)</f>
        <v>0</v>
      </c>
      <c r="AV75" s="192">
        <f t="shared" ref="AV75:BF75" si="338">SUM(AV76:AV78)</f>
        <v>0</v>
      </c>
      <c r="AW75" s="192">
        <f t="shared" si="338"/>
        <v>0</v>
      </c>
      <c r="AX75" s="192">
        <f t="shared" si="338"/>
        <v>0</v>
      </c>
      <c r="AY75" s="192">
        <f t="shared" si="338"/>
        <v>0</v>
      </c>
      <c r="AZ75" s="192">
        <f t="shared" si="338"/>
        <v>0</v>
      </c>
      <c r="BA75" s="192">
        <f t="shared" si="338"/>
        <v>0</v>
      </c>
      <c r="BB75" s="192">
        <f t="shared" si="338"/>
        <v>0</v>
      </c>
      <c r="BC75" s="192">
        <f t="shared" si="338"/>
        <v>0</v>
      </c>
      <c r="BD75" s="192">
        <f t="shared" si="338"/>
        <v>0</v>
      </c>
      <c r="BE75" s="192">
        <f t="shared" si="338"/>
        <v>0</v>
      </c>
      <c r="BF75" s="192">
        <f t="shared" si="338"/>
        <v>0</v>
      </c>
      <c r="BG75" s="70"/>
      <c r="BH75" s="192">
        <f>SUM(BH76:BH78)</f>
        <v>3587824.8</v>
      </c>
      <c r="BI75" s="192">
        <f t="shared" ref="BI75:BS75" si="339">SUM(BI76:BI78)</f>
        <v>61052400</v>
      </c>
      <c r="BJ75" s="192">
        <f t="shared" si="339"/>
        <v>430500000</v>
      </c>
      <c r="BK75" s="192">
        <f t="shared" si="339"/>
        <v>495140224.79999995</v>
      </c>
      <c r="BL75" s="192">
        <f t="shared" si="339"/>
        <v>3587824.8</v>
      </c>
      <c r="BM75" s="192">
        <f t="shared" si="339"/>
        <v>0</v>
      </c>
      <c r="BN75" s="192">
        <f t="shared" si="339"/>
        <v>0</v>
      </c>
      <c r="BO75" s="192">
        <f t="shared" si="339"/>
        <v>0</v>
      </c>
      <c r="BP75" s="192">
        <f t="shared" si="339"/>
        <v>0</v>
      </c>
      <c r="BQ75" s="192">
        <f t="shared" si="339"/>
        <v>0</v>
      </c>
      <c r="BR75" s="192">
        <f t="shared" si="339"/>
        <v>0</v>
      </c>
      <c r="BS75" s="192">
        <f t="shared" si="339"/>
        <v>-491552400</v>
      </c>
      <c r="BT75" s="70"/>
      <c r="BU75" s="192">
        <f>SUM(BU76:BU78)</f>
        <v>6058130.4000000004</v>
      </c>
      <c r="BV75" s="192">
        <f t="shared" ref="BV75:CF75" si="340">SUM(BV76:BV78)</f>
        <v>94525400</v>
      </c>
      <c r="BW75" s="192">
        <f t="shared" si="340"/>
        <v>307500000</v>
      </c>
      <c r="BX75" s="192">
        <f t="shared" si="340"/>
        <v>408083530.39999998</v>
      </c>
      <c r="BY75" s="192">
        <f t="shared" si="340"/>
        <v>6058130.4000000004</v>
      </c>
      <c r="BZ75" s="192">
        <f t="shared" si="340"/>
        <v>0</v>
      </c>
      <c r="CA75" s="192">
        <f t="shared" si="340"/>
        <v>0</v>
      </c>
      <c r="CB75" s="192">
        <f t="shared" si="340"/>
        <v>0</v>
      </c>
      <c r="CC75" s="192">
        <f t="shared" si="340"/>
        <v>0</v>
      </c>
      <c r="CD75" s="192">
        <f t="shared" si="340"/>
        <v>0</v>
      </c>
      <c r="CE75" s="192">
        <f t="shared" si="340"/>
        <v>0</v>
      </c>
      <c r="CF75" s="192">
        <f t="shared" si="340"/>
        <v>-402025400</v>
      </c>
      <c r="CG75" s="70"/>
      <c r="CH75" s="192">
        <f>SUM(CH76:CH78)</f>
        <v>6058130.4000000004</v>
      </c>
      <c r="CI75" s="192">
        <f t="shared" ref="CI75:CS75" si="341">SUM(CI76:CI78)</f>
        <v>248275400</v>
      </c>
      <c r="CJ75" s="192">
        <f t="shared" si="341"/>
        <v>0</v>
      </c>
      <c r="CK75" s="192">
        <f t="shared" si="341"/>
        <v>254333530.39999998</v>
      </c>
      <c r="CL75" s="192">
        <f t="shared" si="341"/>
        <v>6058130.4000000004</v>
      </c>
      <c r="CM75" s="192">
        <f t="shared" si="341"/>
        <v>0</v>
      </c>
      <c r="CN75" s="192">
        <f t="shared" si="341"/>
        <v>0</v>
      </c>
      <c r="CO75" s="192">
        <f t="shared" si="341"/>
        <v>0</v>
      </c>
      <c r="CP75" s="192">
        <f t="shared" si="341"/>
        <v>0</v>
      </c>
      <c r="CQ75" s="192">
        <f t="shared" si="341"/>
        <v>0</v>
      </c>
      <c r="CR75" s="192">
        <f t="shared" si="341"/>
        <v>0</v>
      </c>
      <c r="CS75" s="192">
        <f t="shared" si="341"/>
        <v>-248275400</v>
      </c>
      <c r="CT75" s="70"/>
      <c r="CU75" s="192">
        <f>SUM(CU76:CU78)</f>
        <v>6058130.4000000004</v>
      </c>
      <c r="CV75" s="192">
        <f t="shared" ref="CV75:DF75" si="342">SUM(CV76:CV78)</f>
        <v>248275400</v>
      </c>
      <c r="CW75" s="192">
        <f t="shared" si="342"/>
        <v>0</v>
      </c>
      <c r="CX75" s="192">
        <f t="shared" si="342"/>
        <v>254333530.39999998</v>
      </c>
      <c r="CY75" s="192">
        <f t="shared" si="342"/>
        <v>6058130.4000000004</v>
      </c>
      <c r="CZ75" s="192">
        <f t="shared" si="342"/>
        <v>0</v>
      </c>
      <c r="DA75" s="192">
        <f t="shared" si="342"/>
        <v>0</v>
      </c>
      <c r="DB75" s="192">
        <f t="shared" si="342"/>
        <v>0</v>
      </c>
      <c r="DC75" s="192">
        <f t="shared" si="342"/>
        <v>0</v>
      </c>
      <c r="DD75" s="192">
        <f t="shared" si="342"/>
        <v>0</v>
      </c>
      <c r="DE75" s="192">
        <f t="shared" si="342"/>
        <v>0</v>
      </c>
      <c r="DF75" s="192">
        <f t="shared" si="342"/>
        <v>-248275400</v>
      </c>
      <c r="DG75" s="70"/>
      <c r="DH75" s="192">
        <f>SUM(DH76:DH78)</f>
        <v>6058130.4000000004</v>
      </c>
      <c r="DI75" s="192">
        <f t="shared" ref="DI75:DS75" si="343">SUM(DI76:DI78)</f>
        <v>248275400</v>
      </c>
      <c r="DJ75" s="192">
        <f t="shared" si="343"/>
        <v>0</v>
      </c>
      <c r="DK75" s="192">
        <f t="shared" si="343"/>
        <v>254333530.39999998</v>
      </c>
      <c r="DL75" s="192">
        <f t="shared" si="343"/>
        <v>6058130.4000000004</v>
      </c>
      <c r="DM75" s="192">
        <f t="shared" si="343"/>
        <v>0</v>
      </c>
      <c r="DN75" s="192">
        <f t="shared" si="343"/>
        <v>0</v>
      </c>
      <c r="DO75" s="192">
        <f t="shared" si="343"/>
        <v>0</v>
      </c>
      <c r="DP75" s="192">
        <f t="shared" si="343"/>
        <v>0</v>
      </c>
      <c r="DQ75" s="192">
        <f t="shared" si="343"/>
        <v>0</v>
      </c>
      <c r="DR75" s="192">
        <f t="shared" si="343"/>
        <v>0</v>
      </c>
      <c r="DS75" s="192">
        <f t="shared" si="343"/>
        <v>-248275400</v>
      </c>
      <c r="DT75" s="70"/>
      <c r="DU75" s="192">
        <f>SUM(DU76:DU78)</f>
        <v>6058130.4000000004</v>
      </c>
      <c r="DV75" s="192">
        <f t="shared" ref="DV75:ES75" si="344">SUM(DV76:DV78)</f>
        <v>248275400</v>
      </c>
      <c r="DW75" s="192">
        <f t="shared" si="344"/>
        <v>0</v>
      </c>
      <c r="DX75" s="192">
        <f t="shared" si="344"/>
        <v>254333530.39999998</v>
      </c>
      <c r="DY75" s="192">
        <f t="shared" si="344"/>
        <v>6058130.4000000004</v>
      </c>
      <c r="DZ75" s="192">
        <f t="shared" si="344"/>
        <v>0</v>
      </c>
      <c r="EA75" s="192">
        <f t="shared" si="344"/>
        <v>0</v>
      </c>
      <c r="EB75" s="192">
        <f t="shared" si="344"/>
        <v>0</v>
      </c>
      <c r="EC75" s="192">
        <f t="shared" si="344"/>
        <v>0</v>
      </c>
      <c r="ED75" s="192">
        <f t="shared" si="344"/>
        <v>0</v>
      </c>
      <c r="EE75" s="192">
        <f t="shared" si="344"/>
        <v>0</v>
      </c>
      <c r="EF75" s="192">
        <f t="shared" si="344"/>
        <v>-248275400</v>
      </c>
      <c r="EG75" s="70"/>
      <c r="EH75" s="192">
        <f t="shared" si="344"/>
        <v>33878476.799999997</v>
      </c>
      <c r="EI75" s="192">
        <f t="shared" si="344"/>
        <v>1175679400</v>
      </c>
      <c r="EJ75" s="192">
        <f t="shared" si="344"/>
        <v>738000000</v>
      </c>
      <c r="EK75" s="192">
        <f t="shared" si="344"/>
        <v>1947557876.8</v>
      </c>
      <c r="EL75" s="192">
        <f t="shared" si="344"/>
        <v>33878476.799999997</v>
      </c>
      <c r="EM75" s="192">
        <f t="shared" si="344"/>
        <v>0</v>
      </c>
      <c r="EN75" s="192">
        <f t="shared" si="344"/>
        <v>0</v>
      </c>
      <c r="EO75" s="192">
        <f t="shared" si="344"/>
        <v>0</v>
      </c>
      <c r="EP75" s="192">
        <f t="shared" si="344"/>
        <v>0</v>
      </c>
      <c r="EQ75" s="192">
        <f t="shared" si="344"/>
        <v>27000000</v>
      </c>
      <c r="ER75" s="192">
        <f t="shared" si="344"/>
        <v>0</v>
      </c>
      <c r="ES75" s="192">
        <f t="shared" si="344"/>
        <v>-1886679400</v>
      </c>
      <c r="EU75" s="194">
        <f t="shared" si="330"/>
        <v>27000000</v>
      </c>
      <c r="EW75" s="194">
        <f t="shared" si="331"/>
        <v>-1886679400</v>
      </c>
      <c r="EX75" s="194">
        <f t="shared" si="317"/>
        <v>0</v>
      </c>
    </row>
    <row r="76" spans="1:154" s="167" customFormat="1" ht="25.5" x14ac:dyDescent="0.25">
      <c r="A76" s="183"/>
      <c r="B76" s="185"/>
      <c r="C76" s="198"/>
      <c r="D76" s="186"/>
      <c r="E76" s="193" t="str">
        <f>'Incremental_Cost Year 1'!E250</f>
        <v>5.1.1. Fuqizimi i pacientëve dhe i njohurive të tyre mbi përdorimin e shërbimeve dixhitale</v>
      </c>
      <c r="F76" s="193">
        <f>'Incremental_Cost Year 1'!F250</f>
        <v>2025</v>
      </c>
      <c r="G76" s="193">
        <f>'Incremental_Cost Year 1'!G250</f>
        <v>2030</v>
      </c>
      <c r="H76" s="190">
        <f>'Incremental_Cost Year 1'!AQ250</f>
        <v>0</v>
      </c>
      <c r="I76" s="190">
        <f>'Incremental_Cost Year 1'!AR250</f>
        <v>0</v>
      </c>
      <c r="J76" s="190">
        <f>'Incremental_Cost Year 1'!AS250</f>
        <v>0</v>
      </c>
      <c r="K76" s="190">
        <f>'Incremental_Cost Year 1'!AT250</f>
        <v>0</v>
      </c>
      <c r="L76" s="190">
        <f>'Incremental_Cost Year 1'!AU250</f>
        <v>0</v>
      </c>
      <c r="M76" s="190">
        <f>'Incremental_Cost Year 1'!AV250</f>
        <v>0</v>
      </c>
      <c r="N76" s="190">
        <f>'Incremental_Cost Year 1'!AW250</f>
        <v>0</v>
      </c>
      <c r="O76" s="190">
        <f>'Incremental_Cost Year 1'!AX250</f>
        <v>0</v>
      </c>
      <c r="P76" s="190">
        <f>'Incremental_Cost Year 1'!AY250</f>
        <v>0</v>
      </c>
      <c r="Q76" s="190">
        <f>'Incremental_Cost Year 1'!AZ250</f>
        <v>0</v>
      </c>
      <c r="R76" s="190">
        <f>'Incremental_Cost Year 1'!BA250</f>
        <v>0</v>
      </c>
      <c r="S76" s="190">
        <f>'Incremental_Cost Year 1'!BB250</f>
        <v>0</v>
      </c>
      <c r="T76" s="70"/>
      <c r="U76" s="190">
        <f>'Incremental_Cost Year 2'!AQ250</f>
        <v>0</v>
      </c>
      <c r="V76" s="190">
        <f>'Incremental_Cost Year 2'!AR250</f>
        <v>0</v>
      </c>
      <c r="W76" s="190">
        <f>'Incremental_Cost Year 2'!AS250</f>
        <v>0</v>
      </c>
      <c r="X76" s="190">
        <f>'Incremental_Cost Year 2'!AT250</f>
        <v>0</v>
      </c>
      <c r="Y76" s="190">
        <f>'Incremental_Cost Year 2'!AU250</f>
        <v>0</v>
      </c>
      <c r="Z76" s="190">
        <f>'Incremental_Cost Year 2'!AV250</f>
        <v>0</v>
      </c>
      <c r="AA76" s="190">
        <f>'Incremental_Cost Year 2'!AW250</f>
        <v>0</v>
      </c>
      <c r="AB76" s="190">
        <f>'Incremental_Cost Year 2'!AX250</f>
        <v>0</v>
      </c>
      <c r="AC76" s="190">
        <f>'Incremental_Cost Year 2'!AY250</f>
        <v>0</v>
      </c>
      <c r="AD76" s="190">
        <f>'Incremental_Cost Year 2'!AZ250</f>
        <v>0</v>
      </c>
      <c r="AE76" s="190">
        <f>'Incremental_Cost Year 2'!BA250</f>
        <v>0</v>
      </c>
      <c r="AF76" s="190">
        <f>'Incremental_Cost Year 2'!BB250</f>
        <v>0</v>
      </c>
      <c r="AG76" s="70"/>
      <c r="AH76" s="190">
        <f>'Incremental_Cost Year 3'!AQ250</f>
        <v>0</v>
      </c>
      <c r="AI76" s="190">
        <f>'Incremental_Cost Year 3'!AR250</f>
        <v>0</v>
      </c>
      <c r="AJ76" s="190">
        <f>'Incremental_Cost Year 3'!AS250</f>
        <v>0</v>
      </c>
      <c r="AK76" s="190">
        <f>'Incremental_Cost Year 3'!AT250</f>
        <v>0</v>
      </c>
      <c r="AL76" s="190">
        <f>'Incremental_Cost Year 3'!AU250</f>
        <v>0</v>
      </c>
      <c r="AM76" s="190">
        <f>'Incremental_Cost Year 3'!AV250</f>
        <v>0</v>
      </c>
      <c r="AN76" s="190">
        <f>'Incremental_Cost Year 3'!AW250</f>
        <v>0</v>
      </c>
      <c r="AO76" s="190">
        <f>'Incremental_Cost Year 3'!AX250</f>
        <v>0</v>
      </c>
      <c r="AP76" s="190">
        <f>'Incremental_Cost Year 3'!AY250</f>
        <v>0</v>
      </c>
      <c r="AQ76" s="190">
        <f>'Incremental_Cost Year 3'!AZ250</f>
        <v>0</v>
      </c>
      <c r="AR76" s="190">
        <f>'Incremental_Cost Year 3'!BA250</f>
        <v>0</v>
      </c>
      <c r="AS76" s="190">
        <f>'Incremental_Cost Year 3'!BB250</f>
        <v>0</v>
      </c>
      <c r="AT76" s="70"/>
      <c r="AU76" s="190">
        <f>'Incremental_Cost Year 4'!AQ250</f>
        <v>0</v>
      </c>
      <c r="AV76" s="190">
        <f>'Incremental_Cost Year 4'!AR250</f>
        <v>0</v>
      </c>
      <c r="AW76" s="190">
        <f>'Incremental_Cost Year 4'!AS250</f>
        <v>0</v>
      </c>
      <c r="AX76" s="190">
        <f>'Incremental_Cost Year 4'!AT250</f>
        <v>0</v>
      </c>
      <c r="AY76" s="190">
        <f>'Incremental_Cost Year 4'!AU250</f>
        <v>0</v>
      </c>
      <c r="AZ76" s="190">
        <f>'Incremental_Cost Year 4'!AV250</f>
        <v>0</v>
      </c>
      <c r="BA76" s="190">
        <f>'Incremental_Cost Year 4'!AW250</f>
        <v>0</v>
      </c>
      <c r="BB76" s="190">
        <f>'Incremental_Cost Year 4'!AX250</f>
        <v>0</v>
      </c>
      <c r="BC76" s="190">
        <f>'Incremental_Cost Year 4'!AY250</f>
        <v>0</v>
      </c>
      <c r="BD76" s="190">
        <f>'Incremental_Cost Year 4'!AZ250</f>
        <v>0</v>
      </c>
      <c r="BE76" s="190">
        <f>'Incremental_Cost Year 4'!BA250</f>
        <v>0</v>
      </c>
      <c r="BF76" s="190">
        <f>'Incremental_Cost Year 4'!BB250</f>
        <v>0</v>
      </c>
      <c r="BG76" s="70"/>
      <c r="BH76" s="190">
        <f>'Incremental_Cost Year 5'!AQ250</f>
        <v>2293855.1999999997</v>
      </c>
      <c r="BI76" s="190">
        <f>'Incremental_Cost Year 5'!AR250</f>
        <v>51690000</v>
      </c>
      <c r="BJ76" s="190">
        <f>'Incremental_Cost Year 5'!AS250</f>
        <v>123000000</v>
      </c>
      <c r="BK76" s="190">
        <f>'Incremental_Cost Year 5'!AT250</f>
        <v>176983855.19999999</v>
      </c>
      <c r="BL76" s="190">
        <f>'Incremental_Cost Year 5'!AU250</f>
        <v>2293855.1999999997</v>
      </c>
      <c r="BM76" s="190">
        <f>'Incremental_Cost Year 5'!AV250</f>
        <v>0</v>
      </c>
      <c r="BN76" s="190">
        <f>'Incremental_Cost Year 5'!AW250</f>
        <v>0</v>
      </c>
      <c r="BO76" s="190">
        <f>'Incremental_Cost Year 5'!AX250</f>
        <v>0</v>
      </c>
      <c r="BP76" s="190">
        <f>'Incremental_Cost Year 5'!AY250</f>
        <v>0</v>
      </c>
      <c r="BQ76" s="190">
        <f>'Incremental_Cost Year 5'!AZ250</f>
        <v>0</v>
      </c>
      <c r="BR76" s="190">
        <f>'Incremental_Cost Year 5'!BA250</f>
        <v>0</v>
      </c>
      <c r="BS76" s="190">
        <f>'Incremental_Cost Year 5'!BB250</f>
        <v>-174690000</v>
      </c>
      <c r="BT76" s="70"/>
      <c r="BU76" s="190">
        <f>'Incremental_Cost Year 6'!AQ250</f>
        <v>2293855.1999999997</v>
      </c>
      <c r="BV76" s="190">
        <f>'Incremental_Cost Year 6'!AR250</f>
        <v>51500000</v>
      </c>
      <c r="BW76" s="190">
        <f>'Incremental_Cost Year 6'!AS250</f>
        <v>123000000</v>
      </c>
      <c r="BX76" s="190">
        <f>'Incremental_Cost Year 6'!AT250</f>
        <v>176793855.19999999</v>
      </c>
      <c r="BY76" s="190">
        <f>'Incremental_Cost Year 6'!AU250</f>
        <v>2293855.1999999997</v>
      </c>
      <c r="BZ76" s="190">
        <f>'Incremental_Cost Year 6'!AV250</f>
        <v>0</v>
      </c>
      <c r="CA76" s="190">
        <f>'Incremental_Cost Year 6'!AW250</f>
        <v>0</v>
      </c>
      <c r="CB76" s="190">
        <f>'Incremental_Cost Year 6'!AX250</f>
        <v>0</v>
      </c>
      <c r="CC76" s="190">
        <f>'Incremental_Cost Year 6'!AY250</f>
        <v>0</v>
      </c>
      <c r="CD76" s="190">
        <f>'Incremental_Cost Year 6'!AZ250</f>
        <v>0</v>
      </c>
      <c r="CE76" s="190">
        <f>'Incremental_Cost Year 6'!BA250</f>
        <v>0</v>
      </c>
      <c r="CF76" s="190">
        <f>'Incremental_Cost Year 6'!BB250</f>
        <v>-174500000</v>
      </c>
      <c r="CG76" s="70"/>
      <c r="CH76" s="190">
        <f>'Incremental_Cost Year 7'!AQ250</f>
        <v>2293855.1999999997</v>
      </c>
      <c r="CI76" s="190">
        <f>'Incremental_Cost Year 7'!AR250</f>
        <v>113000000</v>
      </c>
      <c r="CJ76" s="190">
        <f>'Incremental_Cost Year 7'!AS250</f>
        <v>0</v>
      </c>
      <c r="CK76" s="190">
        <f>'Incremental_Cost Year 7'!AT250</f>
        <v>115293855.19999999</v>
      </c>
      <c r="CL76" s="190">
        <f>'Incremental_Cost Year 7'!AU250</f>
        <v>2293855.1999999997</v>
      </c>
      <c r="CM76" s="190">
        <f>'Incremental_Cost Year 7'!AV250</f>
        <v>0</v>
      </c>
      <c r="CN76" s="190">
        <f>'Incremental_Cost Year 7'!AW250</f>
        <v>0</v>
      </c>
      <c r="CO76" s="190">
        <f>'Incremental_Cost Year 7'!AX250</f>
        <v>0</v>
      </c>
      <c r="CP76" s="190">
        <f>'Incremental_Cost Year 7'!AY250</f>
        <v>0</v>
      </c>
      <c r="CQ76" s="190">
        <f>'Incremental_Cost Year 7'!AZ250</f>
        <v>0</v>
      </c>
      <c r="CR76" s="190">
        <f>'Incremental_Cost Year 7'!BA250</f>
        <v>0</v>
      </c>
      <c r="CS76" s="190">
        <f>'Incremental_Cost Year 7'!BB250</f>
        <v>-113000000</v>
      </c>
      <c r="CT76" s="70"/>
      <c r="CU76" s="190">
        <f>'Incremental_Cost Year 8'!AQ250</f>
        <v>2293855.1999999997</v>
      </c>
      <c r="CV76" s="190">
        <f>'Incremental_Cost Year 8'!AR250</f>
        <v>113000000</v>
      </c>
      <c r="CW76" s="190">
        <f>'Incremental_Cost Year 8'!AS250</f>
        <v>0</v>
      </c>
      <c r="CX76" s="190">
        <f>'Incremental_Cost Year 8'!AT250</f>
        <v>115293855.19999999</v>
      </c>
      <c r="CY76" s="190">
        <f>'Incremental_Cost Year 8'!AU250</f>
        <v>2293855.1999999997</v>
      </c>
      <c r="CZ76" s="190">
        <f>'Incremental_Cost Year 8'!AV250</f>
        <v>0</v>
      </c>
      <c r="DA76" s="190">
        <f>'Incremental_Cost Year 8'!AW250</f>
        <v>0</v>
      </c>
      <c r="DB76" s="190">
        <f>'Incremental_Cost Year 8'!AX250</f>
        <v>0</v>
      </c>
      <c r="DC76" s="190">
        <f>'Incremental_Cost Year 8'!AY250</f>
        <v>0</v>
      </c>
      <c r="DD76" s="190">
        <f>'Incremental_Cost Year 8'!AZ250</f>
        <v>0</v>
      </c>
      <c r="DE76" s="190">
        <f>'Incremental_Cost Year 8'!BA250</f>
        <v>0</v>
      </c>
      <c r="DF76" s="190">
        <f>'Incremental_Cost Year 8'!BB250</f>
        <v>-113000000</v>
      </c>
      <c r="DG76" s="70"/>
      <c r="DH76" s="190">
        <f>'Incremental_Cost Year 9'!AQ250</f>
        <v>2293855.1999999997</v>
      </c>
      <c r="DI76" s="190">
        <f>'Incremental_Cost Year 9'!AR250</f>
        <v>113000000</v>
      </c>
      <c r="DJ76" s="190">
        <f>'Incremental_Cost Year 9'!AS250</f>
        <v>0</v>
      </c>
      <c r="DK76" s="190">
        <f>'Incremental_Cost Year 9'!AT250</f>
        <v>115293855.19999999</v>
      </c>
      <c r="DL76" s="190">
        <f>'Incremental_Cost Year 9'!AU250</f>
        <v>2293855.1999999997</v>
      </c>
      <c r="DM76" s="190">
        <f>'Incremental_Cost Year 9'!AV250</f>
        <v>0</v>
      </c>
      <c r="DN76" s="190">
        <f>'Incremental_Cost Year 9'!AW250</f>
        <v>0</v>
      </c>
      <c r="DO76" s="190">
        <f>'Incremental_Cost Year 9'!AX250</f>
        <v>0</v>
      </c>
      <c r="DP76" s="190">
        <f>'Incremental_Cost Year 9'!AY250</f>
        <v>0</v>
      </c>
      <c r="DQ76" s="190">
        <f>'Incremental_Cost Year 9'!AZ250</f>
        <v>0</v>
      </c>
      <c r="DR76" s="190">
        <f>'Incremental_Cost Year 9'!BA250</f>
        <v>0</v>
      </c>
      <c r="DS76" s="190">
        <f>'Incremental_Cost Year 9'!BB250</f>
        <v>-113000000</v>
      </c>
      <c r="DT76" s="70"/>
      <c r="DU76" s="190">
        <f>'Incremental_Cost Year 10'!AQ250</f>
        <v>2293855.1999999997</v>
      </c>
      <c r="DV76" s="190">
        <f>'Incremental_Cost Year 10'!AR250</f>
        <v>113000000</v>
      </c>
      <c r="DW76" s="190">
        <f>'Incremental_Cost Year 10'!AS250</f>
        <v>0</v>
      </c>
      <c r="DX76" s="190">
        <f>'Incremental_Cost Year 10'!AT250</f>
        <v>115293855.19999999</v>
      </c>
      <c r="DY76" s="190">
        <f>'Incremental_Cost Year 10'!AU250</f>
        <v>2293855.1999999997</v>
      </c>
      <c r="DZ76" s="190">
        <f>'Incremental_Cost Year 10'!AV250</f>
        <v>0</v>
      </c>
      <c r="EA76" s="190">
        <f>'Incremental_Cost Year 10'!AW250</f>
        <v>0</v>
      </c>
      <c r="EB76" s="190">
        <f>'Incremental_Cost Year 10'!AX250</f>
        <v>0</v>
      </c>
      <c r="EC76" s="190">
        <f>'Incremental_Cost Year 10'!AY250</f>
        <v>0</v>
      </c>
      <c r="ED76" s="190">
        <f>'Incremental_Cost Year 10'!AZ250</f>
        <v>0</v>
      </c>
      <c r="EE76" s="190">
        <f>'Incremental_Cost Year 10'!BA250</f>
        <v>0</v>
      </c>
      <c r="EF76" s="190">
        <f>'Incremental_Cost Year 10'!BB250</f>
        <v>-113000000</v>
      </c>
      <c r="EG76" s="70"/>
      <c r="EH76" s="190">
        <f t="shared" ref="EH76:ES78" si="345">H76+U76+AH76+AU76+BH76+BU76+CH76+CU76+DH76+DU76</f>
        <v>13763131.199999997</v>
      </c>
      <c r="EI76" s="190">
        <f t="shared" si="345"/>
        <v>555190000</v>
      </c>
      <c r="EJ76" s="190">
        <f t="shared" si="345"/>
        <v>246000000</v>
      </c>
      <c r="EK76" s="190">
        <f t="shared" si="345"/>
        <v>814953131.20000005</v>
      </c>
      <c r="EL76" s="190">
        <f t="shared" si="345"/>
        <v>13763131.199999997</v>
      </c>
      <c r="EM76" s="190">
        <f t="shared" si="345"/>
        <v>0</v>
      </c>
      <c r="EN76" s="190">
        <f t="shared" si="345"/>
        <v>0</v>
      </c>
      <c r="EO76" s="190">
        <f t="shared" si="345"/>
        <v>0</v>
      </c>
      <c r="EP76" s="190">
        <f t="shared" si="345"/>
        <v>0</v>
      </c>
      <c r="EQ76" s="190">
        <f t="shared" si="345"/>
        <v>0</v>
      </c>
      <c r="ER76" s="190">
        <f t="shared" si="345"/>
        <v>0</v>
      </c>
      <c r="ES76" s="190">
        <f t="shared" si="345"/>
        <v>-801190000</v>
      </c>
      <c r="EU76" s="194">
        <f t="shared" si="330"/>
        <v>0</v>
      </c>
      <c r="EW76" s="194">
        <f t="shared" si="331"/>
        <v>-801190000</v>
      </c>
      <c r="EX76" s="194">
        <f t="shared" si="317"/>
        <v>0</v>
      </c>
    </row>
    <row r="77" spans="1:154" s="167" customFormat="1" ht="38.25" x14ac:dyDescent="0.25">
      <c r="A77" s="183"/>
      <c r="B77" s="185"/>
      <c r="C77" s="198"/>
      <c r="D77" s="186"/>
      <c r="E77" s="193" t="str">
        <f>'Incremental_Cost Year 1'!E254</f>
        <v xml:space="preserve">5.1.2. Përditësimi i trajnimeve dhe programeve mësimore të profesionistëve të shëndetit mbi përdorimin e aplikacioneve të shëndetësisë dixhitale </v>
      </c>
      <c r="F77" s="193">
        <f>'Incremental_Cost Year 1'!F254</f>
        <v>2021</v>
      </c>
      <c r="G77" s="193">
        <f>'Incremental_Cost Year 1'!G254</f>
        <v>2030</v>
      </c>
      <c r="H77" s="190">
        <f>'Incremental_Cost Year 1'!AQ254</f>
        <v>0</v>
      </c>
      <c r="I77" s="190">
        <f>'Incremental_Cost Year 1'!AR254</f>
        <v>0</v>
      </c>
      <c r="J77" s="190">
        <f>'Incremental_Cost Year 1'!AS254</f>
        <v>0</v>
      </c>
      <c r="K77" s="190">
        <f>'Incremental_Cost Year 1'!AT254</f>
        <v>0</v>
      </c>
      <c r="L77" s="190">
        <f>'Incremental_Cost Year 1'!AU254</f>
        <v>0</v>
      </c>
      <c r="M77" s="190">
        <f>'Incremental_Cost Year 1'!AV254</f>
        <v>0</v>
      </c>
      <c r="N77" s="190">
        <f>'Incremental_Cost Year 1'!AW254</f>
        <v>0</v>
      </c>
      <c r="O77" s="190">
        <f>'Incremental_Cost Year 1'!AX254</f>
        <v>0</v>
      </c>
      <c r="P77" s="190">
        <f>'Incremental_Cost Year 1'!AY254</f>
        <v>0</v>
      </c>
      <c r="Q77" s="190">
        <f>'Incremental_Cost Year 1'!AZ254</f>
        <v>0</v>
      </c>
      <c r="R77" s="190">
        <f>'Incremental_Cost Year 1'!BA254</f>
        <v>0</v>
      </c>
      <c r="S77" s="190">
        <f>'Incremental_Cost Year 1'!BB254</f>
        <v>0</v>
      </c>
      <c r="T77" s="70"/>
      <c r="U77" s="190">
        <f>'Incremental_Cost Year 2'!AQ254</f>
        <v>0</v>
      </c>
      <c r="V77" s="190">
        <f>'Incremental_Cost Year 2'!AR254</f>
        <v>18900000</v>
      </c>
      <c r="W77" s="190">
        <f>'Incremental_Cost Year 2'!AS254</f>
        <v>0</v>
      </c>
      <c r="X77" s="190">
        <f>'Incremental_Cost Year 2'!AT254</f>
        <v>18900000</v>
      </c>
      <c r="Y77" s="190">
        <f>'Incremental_Cost Year 2'!AU254</f>
        <v>0</v>
      </c>
      <c r="Z77" s="190">
        <f>'Incremental_Cost Year 2'!AV254</f>
        <v>0</v>
      </c>
      <c r="AA77" s="190">
        <f>'Incremental_Cost Year 2'!AW254</f>
        <v>0</v>
      </c>
      <c r="AB77" s="190">
        <f>'Incremental_Cost Year 2'!AX254</f>
        <v>0</v>
      </c>
      <c r="AC77" s="190">
        <f>'Incremental_Cost Year 2'!AY254</f>
        <v>0</v>
      </c>
      <c r="AD77" s="190">
        <f>'Incremental_Cost Year 2'!AZ254</f>
        <v>18900000</v>
      </c>
      <c r="AE77" s="190">
        <f>'Incremental_Cost Year 2'!BA254</f>
        <v>0</v>
      </c>
      <c r="AF77" s="190">
        <f>'Incremental_Cost Year 2'!BB254</f>
        <v>0</v>
      </c>
      <c r="AG77" s="70"/>
      <c r="AH77" s="190">
        <f>'Incremental_Cost Year 3'!AQ254</f>
        <v>0</v>
      </c>
      <c r="AI77" s="190">
        <f>'Incremental_Cost Year 3'!AR254</f>
        <v>8100000</v>
      </c>
      <c r="AJ77" s="190">
        <f>'Incremental_Cost Year 3'!AS254</f>
        <v>0</v>
      </c>
      <c r="AK77" s="190">
        <f>'Incremental_Cost Year 3'!AT254</f>
        <v>8100000</v>
      </c>
      <c r="AL77" s="190">
        <f>'Incremental_Cost Year 3'!AU254</f>
        <v>0</v>
      </c>
      <c r="AM77" s="190">
        <f>'Incremental_Cost Year 3'!AV254</f>
        <v>0</v>
      </c>
      <c r="AN77" s="190">
        <f>'Incremental_Cost Year 3'!AW254</f>
        <v>0</v>
      </c>
      <c r="AO77" s="190">
        <f>'Incremental_Cost Year 3'!AX254</f>
        <v>0</v>
      </c>
      <c r="AP77" s="190">
        <f>'Incremental_Cost Year 3'!AY254</f>
        <v>0</v>
      </c>
      <c r="AQ77" s="190">
        <f>'Incremental_Cost Year 3'!AZ254</f>
        <v>8100000</v>
      </c>
      <c r="AR77" s="190">
        <f>'Incremental_Cost Year 3'!BA254</f>
        <v>0</v>
      </c>
      <c r="AS77" s="190">
        <f>'Incremental_Cost Year 3'!BB254</f>
        <v>0</v>
      </c>
      <c r="AT77" s="70"/>
      <c r="AU77" s="190">
        <f>'Incremental_Cost Year 4'!AQ254</f>
        <v>0</v>
      </c>
      <c r="AV77" s="190">
        <f>'Incremental_Cost Year 4'!AR254</f>
        <v>0</v>
      </c>
      <c r="AW77" s="190">
        <f>'Incremental_Cost Year 4'!AS254</f>
        <v>0</v>
      </c>
      <c r="AX77" s="190">
        <f>'Incremental_Cost Year 4'!AT254</f>
        <v>0</v>
      </c>
      <c r="AY77" s="190">
        <f>'Incremental_Cost Year 4'!AU254</f>
        <v>0</v>
      </c>
      <c r="AZ77" s="190">
        <f>'Incremental_Cost Year 4'!AV254</f>
        <v>0</v>
      </c>
      <c r="BA77" s="190">
        <f>'Incremental_Cost Year 4'!AW254</f>
        <v>0</v>
      </c>
      <c r="BB77" s="190">
        <f>'Incremental_Cost Year 4'!AX254</f>
        <v>0</v>
      </c>
      <c r="BC77" s="190">
        <f>'Incremental_Cost Year 4'!AY254</f>
        <v>0</v>
      </c>
      <c r="BD77" s="190">
        <f>'Incremental_Cost Year 4'!AZ254</f>
        <v>0</v>
      </c>
      <c r="BE77" s="190">
        <f>'Incremental_Cost Year 4'!BA254</f>
        <v>0</v>
      </c>
      <c r="BF77" s="190">
        <f>'Incremental_Cost Year 4'!BB254</f>
        <v>0</v>
      </c>
      <c r="BG77" s="70"/>
      <c r="BH77" s="190">
        <f>'Incremental_Cost Year 5'!AQ254</f>
        <v>1058702.3999999999</v>
      </c>
      <c r="BI77" s="190">
        <f>'Incremental_Cost Year 5'!AR254</f>
        <v>9362400</v>
      </c>
      <c r="BJ77" s="190">
        <f>'Incremental_Cost Year 5'!AS254</f>
        <v>0</v>
      </c>
      <c r="BK77" s="190">
        <f>'Incremental_Cost Year 5'!AT254</f>
        <v>10421102.4</v>
      </c>
      <c r="BL77" s="190">
        <f>'Incremental_Cost Year 5'!AU254</f>
        <v>1058702.3999999999</v>
      </c>
      <c r="BM77" s="190">
        <f>'Incremental_Cost Year 5'!AV254</f>
        <v>0</v>
      </c>
      <c r="BN77" s="190">
        <f>'Incremental_Cost Year 5'!AW254</f>
        <v>0</v>
      </c>
      <c r="BO77" s="190">
        <f>'Incremental_Cost Year 5'!AX254</f>
        <v>0</v>
      </c>
      <c r="BP77" s="190">
        <f>'Incremental_Cost Year 5'!AY254</f>
        <v>0</v>
      </c>
      <c r="BQ77" s="190">
        <f>'Incremental_Cost Year 5'!AZ254</f>
        <v>0</v>
      </c>
      <c r="BR77" s="190">
        <f>'Incremental_Cost Year 5'!BA254</f>
        <v>0</v>
      </c>
      <c r="BS77" s="190">
        <f>'Incremental_Cost Year 5'!BB254</f>
        <v>-9362400</v>
      </c>
      <c r="BT77" s="70"/>
      <c r="BU77" s="190">
        <f>'Incremental_Cost Year 6'!AQ254</f>
        <v>2117404.7999999998</v>
      </c>
      <c r="BV77" s="190">
        <f>'Incremental_Cost Year 6'!AR254</f>
        <v>12275400</v>
      </c>
      <c r="BW77" s="190">
        <f>'Incremental_Cost Year 6'!AS254</f>
        <v>0</v>
      </c>
      <c r="BX77" s="190">
        <f>'Incremental_Cost Year 6'!AT254</f>
        <v>14392804.800000001</v>
      </c>
      <c r="BY77" s="190">
        <f>'Incremental_Cost Year 6'!AU254</f>
        <v>2117404.7999999998</v>
      </c>
      <c r="BZ77" s="190">
        <f>'Incremental_Cost Year 6'!AV254</f>
        <v>0</v>
      </c>
      <c r="CA77" s="190">
        <f>'Incremental_Cost Year 6'!AW254</f>
        <v>0</v>
      </c>
      <c r="CB77" s="190">
        <f>'Incremental_Cost Year 6'!AX254</f>
        <v>0</v>
      </c>
      <c r="CC77" s="190">
        <f>'Incremental_Cost Year 6'!AY254</f>
        <v>0</v>
      </c>
      <c r="CD77" s="190">
        <f>'Incremental_Cost Year 6'!AZ254</f>
        <v>0</v>
      </c>
      <c r="CE77" s="190">
        <f>'Incremental_Cost Year 6'!BA254</f>
        <v>0</v>
      </c>
      <c r="CF77" s="190">
        <f>'Incremental_Cost Year 6'!BB254</f>
        <v>-12275400</v>
      </c>
      <c r="CG77" s="70"/>
      <c r="CH77" s="190">
        <f>'Incremental_Cost Year 7'!AQ254</f>
        <v>2117404.7999999998</v>
      </c>
      <c r="CI77" s="190">
        <f>'Incremental_Cost Year 7'!AR254</f>
        <v>12275400</v>
      </c>
      <c r="CJ77" s="190">
        <f>'Incremental_Cost Year 7'!AS254</f>
        <v>0</v>
      </c>
      <c r="CK77" s="190">
        <f>'Incremental_Cost Year 7'!AT254</f>
        <v>14392804.800000001</v>
      </c>
      <c r="CL77" s="190">
        <f>'Incremental_Cost Year 7'!AU254</f>
        <v>2117404.7999999998</v>
      </c>
      <c r="CM77" s="190">
        <f>'Incremental_Cost Year 7'!AV254</f>
        <v>0</v>
      </c>
      <c r="CN77" s="190">
        <f>'Incremental_Cost Year 7'!AW254</f>
        <v>0</v>
      </c>
      <c r="CO77" s="190">
        <f>'Incremental_Cost Year 7'!AX254</f>
        <v>0</v>
      </c>
      <c r="CP77" s="190">
        <f>'Incremental_Cost Year 7'!AY254</f>
        <v>0</v>
      </c>
      <c r="CQ77" s="190">
        <f>'Incremental_Cost Year 7'!AZ254</f>
        <v>0</v>
      </c>
      <c r="CR77" s="190">
        <f>'Incremental_Cost Year 7'!BA254</f>
        <v>0</v>
      </c>
      <c r="CS77" s="190">
        <f>'Incremental_Cost Year 7'!BB254</f>
        <v>-12275400</v>
      </c>
      <c r="CT77" s="70"/>
      <c r="CU77" s="190">
        <f>'Incremental_Cost Year 8'!AQ254</f>
        <v>2117404.7999999998</v>
      </c>
      <c r="CV77" s="190">
        <f>'Incremental_Cost Year 8'!AR254</f>
        <v>12275400</v>
      </c>
      <c r="CW77" s="190">
        <f>'Incremental_Cost Year 8'!AS254</f>
        <v>0</v>
      </c>
      <c r="CX77" s="190">
        <f>'Incremental_Cost Year 8'!AT254</f>
        <v>14392804.800000001</v>
      </c>
      <c r="CY77" s="190">
        <f>'Incremental_Cost Year 8'!AU254</f>
        <v>2117404.7999999998</v>
      </c>
      <c r="CZ77" s="190">
        <f>'Incremental_Cost Year 8'!AV254</f>
        <v>0</v>
      </c>
      <c r="DA77" s="190">
        <f>'Incremental_Cost Year 8'!AW254</f>
        <v>0</v>
      </c>
      <c r="DB77" s="190">
        <f>'Incremental_Cost Year 8'!AX254</f>
        <v>0</v>
      </c>
      <c r="DC77" s="190">
        <f>'Incremental_Cost Year 8'!AY254</f>
        <v>0</v>
      </c>
      <c r="DD77" s="190">
        <f>'Incremental_Cost Year 8'!AZ254</f>
        <v>0</v>
      </c>
      <c r="DE77" s="190">
        <f>'Incremental_Cost Year 8'!BA254</f>
        <v>0</v>
      </c>
      <c r="DF77" s="190">
        <f>'Incremental_Cost Year 8'!BB254</f>
        <v>-12275400</v>
      </c>
      <c r="DG77" s="70"/>
      <c r="DH77" s="190">
        <f>'Incremental_Cost Year 9'!AQ254</f>
        <v>2117404.7999999998</v>
      </c>
      <c r="DI77" s="190">
        <f>'Incremental_Cost Year 9'!AR254</f>
        <v>12275400</v>
      </c>
      <c r="DJ77" s="190">
        <f>'Incremental_Cost Year 9'!AS254</f>
        <v>0</v>
      </c>
      <c r="DK77" s="190">
        <f>'Incremental_Cost Year 9'!AT254</f>
        <v>14392804.800000001</v>
      </c>
      <c r="DL77" s="190">
        <f>'Incremental_Cost Year 9'!AU254</f>
        <v>2117404.7999999998</v>
      </c>
      <c r="DM77" s="190">
        <f>'Incremental_Cost Year 9'!AV254</f>
        <v>0</v>
      </c>
      <c r="DN77" s="190">
        <f>'Incremental_Cost Year 9'!AW254</f>
        <v>0</v>
      </c>
      <c r="DO77" s="190">
        <f>'Incremental_Cost Year 9'!AX254</f>
        <v>0</v>
      </c>
      <c r="DP77" s="190">
        <f>'Incremental_Cost Year 9'!AY254</f>
        <v>0</v>
      </c>
      <c r="DQ77" s="190">
        <f>'Incremental_Cost Year 9'!AZ254</f>
        <v>0</v>
      </c>
      <c r="DR77" s="190">
        <f>'Incremental_Cost Year 9'!BA254</f>
        <v>0</v>
      </c>
      <c r="DS77" s="190">
        <f>'Incremental_Cost Year 9'!BB254</f>
        <v>-12275400</v>
      </c>
      <c r="DT77" s="70"/>
      <c r="DU77" s="190">
        <f>'Incremental_Cost Year 10'!AQ254</f>
        <v>2117404.7999999998</v>
      </c>
      <c r="DV77" s="190">
        <f>'Incremental_Cost Year 10'!AR254</f>
        <v>12275400</v>
      </c>
      <c r="DW77" s="190">
        <f>'Incremental_Cost Year 10'!AS254</f>
        <v>0</v>
      </c>
      <c r="DX77" s="190">
        <f>'Incremental_Cost Year 10'!AT254</f>
        <v>14392804.800000001</v>
      </c>
      <c r="DY77" s="190">
        <f>'Incremental_Cost Year 10'!AU254</f>
        <v>2117404.7999999998</v>
      </c>
      <c r="DZ77" s="190">
        <f>'Incremental_Cost Year 10'!AV254</f>
        <v>0</v>
      </c>
      <c r="EA77" s="190">
        <f>'Incremental_Cost Year 10'!AW254</f>
        <v>0</v>
      </c>
      <c r="EB77" s="190">
        <f>'Incremental_Cost Year 10'!AX254</f>
        <v>0</v>
      </c>
      <c r="EC77" s="190">
        <f>'Incremental_Cost Year 10'!AY254</f>
        <v>0</v>
      </c>
      <c r="ED77" s="190">
        <f>'Incremental_Cost Year 10'!AZ254</f>
        <v>0</v>
      </c>
      <c r="EE77" s="190">
        <f>'Incremental_Cost Year 10'!BA254</f>
        <v>0</v>
      </c>
      <c r="EF77" s="190">
        <f>'Incremental_Cost Year 10'!BB254</f>
        <v>-12275400</v>
      </c>
      <c r="EG77" s="70"/>
      <c r="EH77" s="190">
        <f t="shared" si="345"/>
        <v>11645726.399999999</v>
      </c>
      <c r="EI77" s="190">
        <f t="shared" si="345"/>
        <v>97739400</v>
      </c>
      <c r="EJ77" s="190">
        <f t="shared" si="345"/>
        <v>0</v>
      </c>
      <c r="EK77" s="190">
        <f t="shared" si="345"/>
        <v>109385126.39999999</v>
      </c>
      <c r="EL77" s="190">
        <f t="shared" si="345"/>
        <v>11645726.399999999</v>
      </c>
      <c r="EM77" s="190">
        <f t="shared" si="345"/>
        <v>0</v>
      </c>
      <c r="EN77" s="190">
        <f t="shared" si="345"/>
        <v>0</v>
      </c>
      <c r="EO77" s="190">
        <f t="shared" si="345"/>
        <v>0</v>
      </c>
      <c r="EP77" s="190">
        <f t="shared" si="345"/>
        <v>0</v>
      </c>
      <c r="EQ77" s="190">
        <f t="shared" si="345"/>
        <v>27000000</v>
      </c>
      <c r="ER77" s="190">
        <f t="shared" si="345"/>
        <v>0</v>
      </c>
      <c r="ES77" s="190">
        <f t="shared" si="345"/>
        <v>-70739400</v>
      </c>
      <c r="EU77" s="194">
        <f t="shared" si="330"/>
        <v>27000000</v>
      </c>
      <c r="EW77" s="194">
        <f t="shared" si="331"/>
        <v>-70739400</v>
      </c>
      <c r="EX77" s="194">
        <f t="shared" si="317"/>
        <v>0</v>
      </c>
    </row>
    <row r="78" spans="1:154" s="167" customFormat="1" ht="25.5" x14ac:dyDescent="0.25">
      <c r="A78" s="183"/>
      <c r="B78" s="185"/>
      <c r="C78" s="196"/>
      <c r="D78" s="195"/>
      <c r="E78" s="193" t="str">
        <f>'Incremental_Cost Year 1'!E258</f>
        <v>5.1.3. Vendosja e niveleve të sigurisë dhe ruajtjes së konfidencialitetit në shërbimet dixhitale të shëndetit.</v>
      </c>
      <c r="F78" s="193">
        <f>'Incremental_Cost Year 1'!F258</f>
        <v>2025</v>
      </c>
      <c r="G78" s="193">
        <f>'Incremental_Cost Year 1'!G258</f>
        <v>2030</v>
      </c>
      <c r="H78" s="190">
        <f>'Incremental_Cost Year 1'!AQ258</f>
        <v>0</v>
      </c>
      <c r="I78" s="190">
        <f>'Incremental_Cost Year 1'!AR258</f>
        <v>0</v>
      </c>
      <c r="J78" s="190">
        <f>'Incremental_Cost Year 1'!AS258</f>
        <v>0</v>
      </c>
      <c r="K78" s="190">
        <f>'Incremental_Cost Year 1'!AT258</f>
        <v>0</v>
      </c>
      <c r="L78" s="190">
        <f>'Incremental_Cost Year 1'!AU258</f>
        <v>0</v>
      </c>
      <c r="M78" s="190">
        <f>'Incremental_Cost Year 1'!AV258</f>
        <v>0</v>
      </c>
      <c r="N78" s="190">
        <f>'Incremental_Cost Year 1'!AW258</f>
        <v>0</v>
      </c>
      <c r="O78" s="190">
        <f>'Incremental_Cost Year 1'!AX258</f>
        <v>0</v>
      </c>
      <c r="P78" s="190">
        <f>'Incremental_Cost Year 1'!AY258</f>
        <v>0</v>
      </c>
      <c r="Q78" s="190">
        <f>'Incremental_Cost Year 1'!AZ258</f>
        <v>0</v>
      </c>
      <c r="R78" s="190">
        <f>'Incremental_Cost Year 1'!BA258</f>
        <v>0</v>
      </c>
      <c r="S78" s="190">
        <f>'Incremental_Cost Year 1'!BB258</f>
        <v>0</v>
      </c>
      <c r="T78" s="70"/>
      <c r="U78" s="190">
        <f>'Incremental_Cost Year 2'!AQ258</f>
        <v>0</v>
      </c>
      <c r="V78" s="190">
        <f>'Incremental_Cost Year 2'!AR258</f>
        <v>0</v>
      </c>
      <c r="W78" s="190">
        <f>'Incremental_Cost Year 2'!AS258</f>
        <v>0</v>
      </c>
      <c r="X78" s="190">
        <f>'Incremental_Cost Year 2'!AT258</f>
        <v>0</v>
      </c>
      <c r="Y78" s="190">
        <f>'Incremental_Cost Year 2'!AU258</f>
        <v>0</v>
      </c>
      <c r="Z78" s="190">
        <f>'Incremental_Cost Year 2'!AV258</f>
        <v>0</v>
      </c>
      <c r="AA78" s="190">
        <f>'Incremental_Cost Year 2'!AW258</f>
        <v>0</v>
      </c>
      <c r="AB78" s="190">
        <f>'Incremental_Cost Year 2'!AX258</f>
        <v>0</v>
      </c>
      <c r="AC78" s="190">
        <f>'Incremental_Cost Year 2'!AY258</f>
        <v>0</v>
      </c>
      <c r="AD78" s="190">
        <f>'Incremental_Cost Year 2'!AZ258</f>
        <v>0</v>
      </c>
      <c r="AE78" s="190">
        <f>'Incremental_Cost Year 2'!BA258</f>
        <v>0</v>
      </c>
      <c r="AF78" s="190">
        <f>'Incremental_Cost Year 2'!BB258</f>
        <v>0</v>
      </c>
      <c r="AG78" s="70"/>
      <c r="AH78" s="190">
        <f>'Incremental_Cost Year 3'!AQ258</f>
        <v>0</v>
      </c>
      <c r="AI78" s="190">
        <f>'Incremental_Cost Year 3'!AR258</f>
        <v>0</v>
      </c>
      <c r="AJ78" s="190">
        <f>'Incremental_Cost Year 3'!AS258</f>
        <v>0</v>
      </c>
      <c r="AK78" s="190">
        <f>'Incremental_Cost Year 3'!AT258</f>
        <v>0</v>
      </c>
      <c r="AL78" s="190">
        <f>'Incremental_Cost Year 3'!AU258</f>
        <v>0</v>
      </c>
      <c r="AM78" s="190">
        <f>'Incremental_Cost Year 3'!AV258</f>
        <v>0</v>
      </c>
      <c r="AN78" s="190">
        <f>'Incremental_Cost Year 3'!AW258</f>
        <v>0</v>
      </c>
      <c r="AO78" s="190">
        <f>'Incremental_Cost Year 3'!AX258</f>
        <v>0</v>
      </c>
      <c r="AP78" s="190">
        <f>'Incremental_Cost Year 3'!AY258</f>
        <v>0</v>
      </c>
      <c r="AQ78" s="190">
        <f>'Incremental_Cost Year 3'!AZ258</f>
        <v>0</v>
      </c>
      <c r="AR78" s="190">
        <f>'Incremental_Cost Year 3'!BA258</f>
        <v>0</v>
      </c>
      <c r="AS78" s="190">
        <f>'Incremental_Cost Year 3'!BB258</f>
        <v>0</v>
      </c>
      <c r="AT78" s="70"/>
      <c r="AU78" s="190">
        <f>'Incremental_Cost Year 4'!AQ258</f>
        <v>0</v>
      </c>
      <c r="AV78" s="190">
        <f>'Incremental_Cost Year 4'!AR258</f>
        <v>0</v>
      </c>
      <c r="AW78" s="190">
        <f>'Incremental_Cost Year 4'!AS258</f>
        <v>0</v>
      </c>
      <c r="AX78" s="190">
        <f>'Incremental_Cost Year 4'!AT258</f>
        <v>0</v>
      </c>
      <c r="AY78" s="190">
        <f>'Incremental_Cost Year 4'!AU258</f>
        <v>0</v>
      </c>
      <c r="AZ78" s="190">
        <f>'Incremental_Cost Year 4'!AV258</f>
        <v>0</v>
      </c>
      <c r="BA78" s="190">
        <f>'Incremental_Cost Year 4'!AW258</f>
        <v>0</v>
      </c>
      <c r="BB78" s="190">
        <f>'Incremental_Cost Year 4'!AX258</f>
        <v>0</v>
      </c>
      <c r="BC78" s="190">
        <f>'Incremental_Cost Year 4'!AY258</f>
        <v>0</v>
      </c>
      <c r="BD78" s="190">
        <f>'Incremental_Cost Year 4'!AZ258</f>
        <v>0</v>
      </c>
      <c r="BE78" s="190">
        <f>'Incremental_Cost Year 4'!BA258</f>
        <v>0</v>
      </c>
      <c r="BF78" s="190">
        <f>'Incremental_Cost Year 4'!BB258</f>
        <v>0</v>
      </c>
      <c r="BG78" s="70"/>
      <c r="BH78" s="190">
        <f>'Incremental_Cost Year 5'!AQ258</f>
        <v>235267.20000000001</v>
      </c>
      <c r="BI78" s="190">
        <f>'Incremental_Cost Year 5'!AR258</f>
        <v>0</v>
      </c>
      <c r="BJ78" s="190">
        <f>'Incremental_Cost Year 5'!AS258</f>
        <v>307500000</v>
      </c>
      <c r="BK78" s="190">
        <f>'Incremental_Cost Year 5'!AT258</f>
        <v>307735267.19999999</v>
      </c>
      <c r="BL78" s="190">
        <f>'Incremental_Cost Year 5'!AU258</f>
        <v>235267.20000000001</v>
      </c>
      <c r="BM78" s="190">
        <f>'Incremental_Cost Year 5'!AV258</f>
        <v>0</v>
      </c>
      <c r="BN78" s="190">
        <f>'Incremental_Cost Year 5'!AW258</f>
        <v>0</v>
      </c>
      <c r="BO78" s="190">
        <f>'Incremental_Cost Year 5'!AX258</f>
        <v>0</v>
      </c>
      <c r="BP78" s="190">
        <f>'Incremental_Cost Year 5'!AY258</f>
        <v>0</v>
      </c>
      <c r="BQ78" s="190">
        <f>'Incremental_Cost Year 5'!AZ258</f>
        <v>0</v>
      </c>
      <c r="BR78" s="190">
        <f>'Incremental_Cost Year 5'!BA258</f>
        <v>0</v>
      </c>
      <c r="BS78" s="190">
        <f>'Incremental_Cost Year 5'!BB258</f>
        <v>-307500000</v>
      </c>
      <c r="BT78" s="70"/>
      <c r="BU78" s="190">
        <f>'Incremental_Cost Year 6'!AQ258</f>
        <v>1646870.4</v>
      </c>
      <c r="BV78" s="190">
        <f>'Incremental_Cost Year 6'!AR258</f>
        <v>30750000</v>
      </c>
      <c r="BW78" s="190">
        <f>'Incremental_Cost Year 6'!AS258</f>
        <v>184500000</v>
      </c>
      <c r="BX78" s="190">
        <f>'Incremental_Cost Year 6'!AT258</f>
        <v>216896870.40000001</v>
      </c>
      <c r="BY78" s="190">
        <f>'Incremental_Cost Year 6'!AU258</f>
        <v>1646870.4</v>
      </c>
      <c r="BZ78" s="190">
        <f>'Incremental_Cost Year 6'!AV258</f>
        <v>0</v>
      </c>
      <c r="CA78" s="190">
        <f>'Incremental_Cost Year 6'!AW258</f>
        <v>0</v>
      </c>
      <c r="CB78" s="190">
        <f>'Incremental_Cost Year 6'!AX258</f>
        <v>0</v>
      </c>
      <c r="CC78" s="190">
        <f>'Incremental_Cost Year 6'!AY258</f>
        <v>0</v>
      </c>
      <c r="CD78" s="190">
        <f>'Incremental_Cost Year 6'!AZ258</f>
        <v>0</v>
      </c>
      <c r="CE78" s="190">
        <f>'Incremental_Cost Year 6'!BA258</f>
        <v>0</v>
      </c>
      <c r="CF78" s="190">
        <f>'Incremental_Cost Year 6'!BB258</f>
        <v>-215250000</v>
      </c>
      <c r="CG78" s="70"/>
      <c r="CH78" s="190">
        <f>'Incremental_Cost Year 7'!AQ258</f>
        <v>1646870.4</v>
      </c>
      <c r="CI78" s="190">
        <f>'Incremental_Cost Year 7'!AR258</f>
        <v>123000000</v>
      </c>
      <c r="CJ78" s="190">
        <f>'Incremental_Cost Year 7'!AS258</f>
        <v>0</v>
      </c>
      <c r="CK78" s="190">
        <f>'Incremental_Cost Year 7'!AT258</f>
        <v>124646870.40000001</v>
      </c>
      <c r="CL78" s="190">
        <f>'Incremental_Cost Year 7'!AU258</f>
        <v>1646870.4</v>
      </c>
      <c r="CM78" s="190">
        <f>'Incremental_Cost Year 7'!AV258</f>
        <v>0</v>
      </c>
      <c r="CN78" s="190">
        <f>'Incremental_Cost Year 7'!AW258</f>
        <v>0</v>
      </c>
      <c r="CO78" s="190">
        <f>'Incremental_Cost Year 7'!AX258</f>
        <v>0</v>
      </c>
      <c r="CP78" s="190">
        <f>'Incremental_Cost Year 7'!AY258</f>
        <v>0</v>
      </c>
      <c r="CQ78" s="190">
        <f>'Incremental_Cost Year 7'!AZ258</f>
        <v>0</v>
      </c>
      <c r="CR78" s="190">
        <f>'Incremental_Cost Year 7'!BA258</f>
        <v>0</v>
      </c>
      <c r="CS78" s="190">
        <f>'Incremental_Cost Year 7'!BB258</f>
        <v>-123000000</v>
      </c>
      <c r="CT78" s="70"/>
      <c r="CU78" s="190">
        <f>'Incremental_Cost Year 8'!AQ258</f>
        <v>1646870.4</v>
      </c>
      <c r="CV78" s="190">
        <f>'Incremental_Cost Year 8'!AR258</f>
        <v>123000000</v>
      </c>
      <c r="CW78" s="190">
        <f>'Incremental_Cost Year 8'!AS258</f>
        <v>0</v>
      </c>
      <c r="CX78" s="190">
        <f>'Incremental_Cost Year 8'!AT258</f>
        <v>124646870.40000001</v>
      </c>
      <c r="CY78" s="190">
        <f>'Incremental_Cost Year 8'!AU258</f>
        <v>1646870.4</v>
      </c>
      <c r="CZ78" s="190">
        <f>'Incremental_Cost Year 8'!AV258</f>
        <v>0</v>
      </c>
      <c r="DA78" s="190">
        <f>'Incremental_Cost Year 8'!AW258</f>
        <v>0</v>
      </c>
      <c r="DB78" s="190">
        <f>'Incremental_Cost Year 8'!AX258</f>
        <v>0</v>
      </c>
      <c r="DC78" s="190">
        <f>'Incremental_Cost Year 8'!AY258</f>
        <v>0</v>
      </c>
      <c r="DD78" s="190">
        <f>'Incremental_Cost Year 8'!AZ258</f>
        <v>0</v>
      </c>
      <c r="DE78" s="190">
        <f>'Incremental_Cost Year 8'!BA258</f>
        <v>0</v>
      </c>
      <c r="DF78" s="190">
        <f>'Incremental_Cost Year 8'!BB258</f>
        <v>-123000000</v>
      </c>
      <c r="DG78" s="70"/>
      <c r="DH78" s="190">
        <f>'Incremental_Cost Year 9'!AQ258</f>
        <v>1646870.4</v>
      </c>
      <c r="DI78" s="190">
        <f>'Incremental_Cost Year 9'!AR258</f>
        <v>123000000</v>
      </c>
      <c r="DJ78" s="190">
        <f>'Incremental_Cost Year 9'!AS258</f>
        <v>0</v>
      </c>
      <c r="DK78" s="190">
        <f>'Incremental_Cost Year 9'!AT258</f>
        <v>124646870.40000001</v>
      </c>
      <c r="DL78" s="190">
        <f>'Incremental_Cost Year 9'!AU258</f>
        <v>1646870.4</v>
      </c>
      <c r="DM78" s="190">
        <f>'Incremental_Cost Year 9'!AV258</f>
        <v>0</v>
      </c>
      <c r="DN78" s="190">
        <f>'Incremental_Cost Year 9'!AW258</f>
        <v>0</v>
      </c>
      <c r="DO78" s="190">
        <f>'Incremental_Cost Year 9'!AX258</f>
        <v>0</v>
      </c>
      <c r="DP78" s="190">
        <f>'Incremental_Cost Year 9'!AY258</f>
        <v>0</v>
      </c>
      <c r="DQ78" s="190">
        <f>'Incremental_Cost Year 9'!AZ258</f>
        <v>0</v>
      </c>
      <c r="DR78" s="190">
        <f>'Incremental_Cost Year 9'!BA258</f>
        <v>0</v>
      </c>
      <c r="DS78" s="190">
        <f>'Incremental_Cost Year 9'!BB258</f>
        <v>-123000000</v>
      </c>
      <c r="DT78" s="70"/>
      <c r="DU78" s="190">
        <f>'Incremental_Cost Year 10'!AQ258</f>
        <v>1646870.4</v>
      </c>
      <c r="DV78" s="190">
        <f>'Incremental_Cost Year 10'!AR258</f>
        <v>123000000</v>
      </c>
      <c r="DW78" s="190">
        <f>'Incremental_Cost Year 10'!AS258</f>
        <v>0</v>
      </c>
      <c r="DX78" s="190">
        <f>'Incremental_Cost Year 10'!AT258</f>
        <v>124646870.40000001</v>
      </c>
      <c r="DY78" s="190">
        <f>'Incremental_Cost Year 10'!AU258</f>
        <v>1646870.4</v>
      </c>
      <c r="DZ78" s="190">
        <f>'Incremental_Cost Year 10'!AV258</f>
        <v>0</v>
      </c>
      <c r="EA78" s="190">
        <f>'Incremental_Cost Year 10'!AW258</f>
        <v>0</v>
      </c>
      <c r="EB78" s="190">
        <f>'Incremental_Cost Year 10'!AX258</f>
        <v>0</v>
      </c>
      <c r="EC78" s="190">
        <f>'Incremental_Cost Year 10'!AY258</f>
        <v>0</v>
      </c>
      <c r="ED78" s="190">
        <f>'Incremental_Cost Year 10'!AZ258</f>
        <v>0</v>
      </c>
      <c r="EE78" s="190">
        <f>'Incremental_Cost Year 10'!BA258</f>
        <v>0</v>
      </c>
      <c r="EF78" s="190">
        <f>'Incremental_Cost Year 10'!BB258</f>
        <v>-123000000</v>
      </c>
      <c r="EG78" s="70"/>
      <c r="EH78" s="190">
        <f t="shared" si="345"/>
        <v>8469619.2000000011</v>
      </c>
      <c r="EI78" s="190">
        <f t="shared" si="345"/>
        <v>522750000</v>
      </c>
      <c r="EJ78" s="190">
        <f t="shared" si="345"/>
        <v>492000000</v>
      </c>
      <c r="EK78" s="190">
        <f t="shared" si="345"/>
        <v>1023219619.1999999</v>
      </c>
      <c r="EL78" s="190">
        <f t="shared" si="345"/>
        <v>8469619.2000000011</v>
      </c>
      <c r="EM78" s="190">
        <f t="shared" si="345"/>
        <v>0</v>
      </c>
      <c r="EN78" s="190">
        <f t="shared" si="345"/>
        <v>0</v>
      </c>
      <c r="EO78" s="190">
        <f t="shared" si="345"/>
        <v>0</v>
      </c>
      <c r="EP78" s="190">
        <f t="shared" si="345"/>
        <v>0</v>
      </c>
      <c r="EQ78" s="190">
        <f t="shared" si="345"/>
        <v>0</v>
      </c>
      <c r="ER78" s="190">
        <f t="shared" si="345"/>
        <v>0</v>
      </c>
      <c r="ES78" s="190">
        <f t="shared" si="345"/>
        <v>-1014750000</v>
      </c>
      <c r="EU78" s="194">
        <f t="shared" si="330"/>
        <v>0</v>
      </c>
      <c r="EW78" s="194">
        <f t="shared" si="331"/>
        <v>-1014749999.9999999</v>
      </c>
      <c r="EX78" s="194">
        <f t="shared" si="317"/>
        <v>0</v>
      </c>
    </row>
    <row r="79" spans="1:154" s="167" customFormat="1" x14ac:dyDescent="0.25">
      <c r="A79" s="184"/>
      <c r="B79" s="187"/>
      <c r="C79" s="421" t="str">
        <f>'Incremental_Cost Year 1'!C259:E259</f>
        <v>5.2 Objektivi Specifik:Modernizimi i Infrastrukturës dhe Teknologjisë Shëndetësore</v>
      </c>
      <c r="D79" s="421"/>
      <c r="E79" s="422"/>
      <c r="F79" s="197"/>
      <c r="G79" s="197"/>
      <c r="H79" s="192">
        <f>SUM(H80:H81)</f>
        <v>4290358.8</v>
      </c>
      <c r="I79" s="192">
        <f t="shared" ref="I79:BS79" si="346">SUM(I80:I81)</f>
        <v>8400000</v>
      </c>
      <c r="J79" s="192">
        <f t="shared" si="346"/>
        <v>0</v>
      </c>
      <c r="K79" s="192">
        <f t="shared" si="346"/>
        <v>12690358.800000001</v>
      </c>
      <c r="L79" s="192">
        <f t="shared" si="346"/>
        <v>9445195.4399999995</v>
      </c>
      <c r="M79" s="192">
        <f t="shared" si="346"/>
        <v>0</v>
      </c>
      <c r="N79" s="192">
        <f t="shared" si="346"/>
        <v>3245163</v>
      </c>
      <c r="O79" s="192">
        <f t="shared" si="346"/>
        <v>0</v>
      </c>
      <c r="P79" s="192">
        <f t="shared" si="346"/>
        <v>0</v>
      </c>
      <c r="Q79" s="192">
        <f t="shared" si="346"/>
        <v>0</v>
      </c>
      <c r="R79" s="192">
        <f t="shared" si="346"/>
        <v>0</v>
      </c>
      <c r="S79" s="192">
        <f t="shared" si="346"/>
        <v>-0.3600000012665987</v>
      </c>
      <c r="T79" s="70"/>
      <c r="U79" s="192">
        <f>SUM(U80:U81)</f>
        <v>25977420</v>
      </c>
      <c r="V79" s="192">
        <f t="shared" si="346"/>
        <v>24970000</v>
      </c>
      <c r="W79" s="192">
        <f t="shared" si="346"/>
        <v>123000000</v>
      </c>
      <c r="X79" s="192">
        <f t="shared" si="346"/>
        <v>173947420</v>
      </c>
      <c r="Y79" s="192">
        <f t="shared" si="346"/>
        <v>71447420</v>
      </c>
      <c r="Z79" s="192">
        <f t="shared" si="346"/>
        <v>0</v>
      </c>
      <c r="AA79" s="192">
        <f t="shared" si="346"/>
        <v>102500000</v>
      </c>
      <c r="AB79" s="192">
        <f t="shared" si="346"/>
        <v>0</v>
      </c>
      <c r="AC79" s="192">
        <f t="shared" si="346"/>
        <v>0</v>
      </c>
      <c r="AD79" s="192">
        <f t="shared" si="346"/>
        <v>0</v>
      </c>
      <c r="AE79" s="192">
        <f t="shared" si="346"/>
        <v>0</v>
      </c>
      <c r="AF79" s="192">
        <f t="shared" si="346"/>
        <v>0</v>
      </c>
      <c r="AG79" s="70"/>
      <c r="AH79" s="192">
        <f t="shared" si="346"/>
        <v>26447954.400000002</v>
      </c>
      <c r="AI79" s="192">
        <f t="shared" si="346"/>
        <v>25655000</v>
      </c>
      <c r="AJ79" s="192">
        <f t="shared" si="346"/>
        <v>510680500</v>
      </c>
      <c r="AK79" s="192">
        <f t="shared" si="346"/>
        <v>562783454.39999998</v>
      </c>
      <c r="AL79" s="192">
        <f t="shared" si="346"/>
        <v>95364654.400000006</v>
      </c>
      <c r="AM79" s="192">
        <f t="shared" si="346"/>
        <v>0</v>
      </c>
      <c r="AN79" s="192">
        <f t="shared" si="346"/>
        <v>216308000</v>
      </c>
      <c r="AO79" s="192">
        <f t="shared" si="346"/>
        <v>0</v>
      </c>
      <c r="AP79" s="192">
        <f t="shared" si="346"/>
        <v>0</v>
      </c>
      <c r="AQ79" s="192">
        <f t="shared" si="346"/>
        <v>0</v>
      </c>
      <c r="AR79" s="192">
        <f t="shared" si="346"/>
        <v>0</v>
      </c>
      <c r="AS79" s="192">
        <f t="shared" si="346"/>
        <v>-251110800</v>
      </c>
      <c r="AT79" s="70"/>
      <c r="AU79" s="192">
        <f t="shared" si="346"/>
        <v>26447954.400000002</v>
      </c>
      <c r="AV79" s="192">
        <f t="shared" si="346"/>
        <v>189069000</v>
      </c>
      <c r="AW79" s="192">
        <f t="shared" si="346"/>
        <v>484656900</v>
      </c>
      <c r="AX79" s="192">
        <f t="shared" si="346"/>
        <v>700173854.39999998</v>
      </c>
      <c r="AY79" s="192">
        <f t="shared" si="346"/>
        <v>95603954</v>
      </c>
      <c r="AZ79" s="192">
        <f t="shared" si="346"/>
        <v>0</v>
      </c>
      <c r="BA79" s="192">
        <f t="shared" si="346"/>
        <v>217505000</v>
      </c>
      <c r="BB79" s="192">
        <f t="shared" si="346"/>
        <v>0</v>
      </c>
      <c r="BC79" s="192">
        <f t="shared" si="346"/>
        <v>0</v>
      </c>
      <c r="BD79" s="192">
        <f t="shared" si="346"/>
        <v>0</v>
      </c>
      <c r="BE79" s="192">
        <f t="shared" si="346"/>
        <v>0</v>
      </c>
      <c r="BF79" s="192">
        <f t="shared" si="346"/>
        <v>-387064900.39999998</v>
      </c>
      <c r="BG79" s="70"/>
      <c r="BH79" s="192">
        <f t="shared" si="346"/>
        <v>26918488.800000001</v>
      </c>
      <c r="BI79" s="192">
        <f t="shared" si="346"/>
        <v>299769000</v>
      </c>
      <c r="BJ79" s="192">
        <f t="shared" si="346"/>
        <v>184500000</v>
      </c>
      <c r="BK79" s="192">
        <f t="shared" si="346"/>
        <v>511187488.79999995</v>
      </c>
      <c r="BL79" s="192">
        <f t="shared" si="346"/>
        <v>52573487.799999997</v>
      </c>
      <c r="BM79" s="192">
        <f t="shared" si="346"/>
        <v>0</v>
      </c>
      <c r="BN79" s="192">
        <f t="shared" si="346"/>
        <v>0</v>
      </c>
      <c r="BO79" s="192">
        <f t="shared" si="346"/>
        <v>0</v>
      </c>
      <c r="BP79" s="192">
        <f t="shared" si="346"/>
        <v>0</v>
      </c>
      <c r="BQ79" s="192">
        <f t="shared" si="346"/>
        <v>0</v>
      </c>
      <c r="BR79" s="192">
        <f t="shared" si="346"/>
        <v>0</v>
      </c>
      <c r="BS79" s="192">
        <f t="shared" si="346"/>
        <v>-458614000.99999994</v>
      </c>
      <c r="BT79" s="70"/>
      <c r="BU79" s="192">
        <f t="shared" ref="BU79:EF79" si="347">SUM(BU80:BU81)</f>
        <v>26801438.699999999</v>
      </c>
      <c r="BV79" s="192">
        <f t="shared" si="347"/>
        <v>297249000</v>
      </c>
      <c r="BW79" s="192">
        <f t="shared" si="347"/>
        <v>184500000</v>
      </c>
      <c r="BX79" s="192">
        <f t="shared" si="347"/>
        <v>508550438.69999999</v>
      </c>
      <c r="BY79" s="192">
        <f t="shared" si="347"/>
        <v>52456438.299999997</v>
      </c>
      <c r="BZ79" s="192">
        <f t="shared" si="347"/>
        <v>0</v>
      </c>
      <c r="CA79" s="192">
        <f t="shared" si="347"/>
        <v>0</v>
      </c>
      <c r="CB79" s="192">
        <f t="shared" si="347"/>
        <v>0</v>
      </c>
      <c r="CC79" s="192">
        <f t="shared" si="347"/>
        <v>0</v>
      </c>
      <c r="CD79" s="192">
        <f t="shared" si="347"/>
        <v>0</v>
      </c>
      <c r="CE79" s="192">
        <f t="shared" si="347"/>
        <v>0</v>
      </c>
      <c r="CF79" s="192">
        <f t="shared" si="347"/>
        <v>-456094000.39999998</v>
      </c>
      <c r="CG79" s="70"/>
      <c r="CH79" s="192">
        <f t="shared" si="347"/>
        <v>26918488.800000001</v>
      </c>
      <c r="CI79" s="192">
        <f t="shared" si="347"/>
        <v>389499000</v>
      </c>
      <c r="CJ79" s="192">
        <f t="shared" si="347"/>
        <v>0</v>
      </c>
      <c r="CK79" s="192">
        <f t="shared" si="347"/>
        <v>416417488.79999995</v>
      </c>
      <c r="CL79" s="192">
        <f t="shared" si="347"/>
        <v>52573488.399999999</v>
      </c>
      <c r="CM79" s="192">
        <f t="shared" si="347"/>
        <v>0</v>
      </c>
      <c r="CN79" s="192">
        <f t="shared" si="347"/>
        <v>0</v>
      </c>
      <c r="CO79" s="192">
        <f t="shared" si="347"/>
        <v>0</v>
      </c>
      <c r="CP79" s="192">
        <f t="shared" si="347"/>
        <v>0</v>
      </c>
      <c r="CQ79" s="192">
        <f t="shared" si="347"/>
        <v>0</v>
      </c>
      <c r="CR79" s="192">
        <f t="shared" si="347"/>
        <v>0</v>
      </c>
      <c r="CS79" s="192">
        <f t="shared" si="347"/>
        <v>-363844000.39999998</v>
      </c>
      <c r="CT79" s="70"/>
      <c r="CU79" s="192">
        <f t="shared" si="347"/>
        <v>26918488.800000001</v>
      </c>
      <c r="CV79" s="192">
        <f t="shared" si="347"/>
        <v>389499000</v>
      </c>
      <c r="CW79" s="192">
        <f t="shared" si="347"/>
        <v>0</v>
      </c>
      <c r="CX79" s="192">
        <f t="shared" si="347"/>
        <v>416417488.79999995</v>
      </c>
      <c r="CY79" s="192">
        <f t="shared" si="347"/>
        <v>52573488.399999999</v>
      </c>
      <c r="CZ79" s="192">
        <f t="shared" si="347"/>
        <v>0</v>
      </c>
      <c r="DA79" s="192">
        <f t="shared" si="347"/>
        <v>0</v>
      </c>
      <c r="DB79" s="192">
        <f t="shared" si="347"/>
        <v>0</v>
      </c>
      <c r="DC79" s="192">
        <f t="shared" si="347"/>
        <v>0</v>
      </c>
      <c r="DD79" s="192">
        <f t="shared" si="347"/>
        <v>0</v>
      </c>
      <c r="DE79" s="192">
        <f t="shared" si="347"/>
        <v>0</v>
      </c>
      <c r="DF79" s="192">
        <f t="shared" si="347"/>
        <v>-363844000.39999998</v>
      </c>
      <c r="DG79" s="70"/>
      <c r="DH79" s="192">
        <f t="shared" si="347"/>
        <v>26918488.800000001</v>
      </c>
      <c r="DI79" s="192">
        <f t="shared" si="347"/>
        <v>389499000</v>
      </c>
      <c r="DJ79" s="192">
        <f t="shared" si="347"/>
        <v>0</v>
      </c>
      <c r="DK79" s="192">
        <f t="shared" si="347"/>
        <v>416417488.79999995</v>
      </c>
      <c r="DL79" s="192">
        <f t="shared" si="347"/>
        <v>52573488.399999999</v>
      </c>
      <c r="DM79" s="192">
        <f t="shared" si="347"/>
        <v>0</v>
      </c>
      <c r="DN79" s="192">
        <f t="shared" si="347"/>
        <v>0</v>
      </c>
      <c r="DO79" s="192">
        <f t="shared" si="347"/>
        <v>0</v>
      </c>
      <c r="DP79" s="192">
        <f t="shared" si="347"/>
        <v>0</v>
      </c>
      <c r="DQ79" s="192">
        <f t="shared" si="347"/>
        <v>0</v>
      </c>
      <c r="DR79" s="192">
        <f t="shared" si="347"/>
        <v>0</v>
      </c>
      <c r="DS79" s="192">
        <f t="shared" si="347"/>
        <v>-363844000.39999998</v>
      </c>
      <c r="DT79" s="70"/>
      <c r="DU79" s="192">
        <f t="shared" si="347"/>
        <v>26918488.800000001</v>
      </c>
      <c r="DV79" s="192">
        <f t="shared" si="347"/>
        <v>389499000</v>
      </c>
      <c r="DW79" s="192">
        <f t="shared" si="347"/>
        <v>0</v>
      </c>
      <c r="DX79" s="192">
        <f t="shared" si="347"/>
        <v>416417488.79999995</v>
      </c>
      <c r="DY79" s="192">
        <f t="shared" si="347"/>
        <v>52573488.399999999</v>
      </c>
      <c r="DZ79" s="192">
        <f t="shared" si="347"/>
        <v>0</v>
      </c>
      <c r="EA79" s="192">
        <f t="shared" si="347"/>
        <v>0</v>
      </c>
      <c r="EB79" s="192">
        <f t="shared" si="347"/>
        <v>0</v>
      </c>
      <c r="EC79" s="192">
        <f t="shared" si="347"/>
        <v>0</v>
      </c>
      <c r="ED79" s="192">
        <f t="shared" si="347"/>
        <v>0</v>
      </c>
      <c r="EE79" s="192">
        <f t="shared" si="347"/>
        <v>0</v>
      </c>
      <c r="EF79" s="192">
        <f t="shared" si="347"/>
        <v>-363844000.39999998</v>
      </c>
      <c r="EG79" s="70"/>
      <c r="EH79" s="192">
        <f t="shared" ref="EH79:ES79" si="348">SUM(EH80:EH81)</f>
        <v>244557570.29999998</v>
      </c>
      <c r="EI79" s="192">
        <f t="shared" si="348"/>
        <v>2403108000</v>
      </c>
      <c r="EJ79" s="192">
        <f t="shared" si="348"/>
        <v>1487337400</v>
      </c>
      <c r="EK79" s="192">
        <f t="shared" si="348"/>
        <v>4135002970.2999992</v>
      </c>
      <c r="EL79" s="192">
        <f t="shared" si="348"/>
        <v>587185103.53999996</v>
      </c>
      <c r="EM79" s="192">
        <f t="shared" si="348"/>
        <v>0</v>
      </c>
      <c r="EN79" s="192">
        <f t="shared" si="348"/>
        <v>539558163</v>
      </c>
      <c r="EO79" s="192">
        <f t="shared" si="348"/>
        <v>0</v>
      </c>
      <c r="EP79" s="192">
        <f t="shared" si="348"/>
        <v>0</v>
      </c>
      <c r="EQ79" s="192">
        <f t="shared" si="348"/>
        <v>0</v>
      </c>
      <c r="ER79" s="192">
        <f t="shared" si="348"/>
        <v>0</v>
      </c>
      <c r="ES79" s="192">
        <f t="shared" si="348"/>
        <v>-3008259703.7600002</v>
      </c>
      <c r="EU79" s="194">
        <f t="shared" si="330"/>
        <v>539558163</v>
      </c>
      <c r="EW79" s="194">
        <f t="shared" si="331"/>
        <v>-3008259703.7599993</v>
      </c>
      <c r="EX79" s="194">
        <f t="shared" si="317"/>
        <v>0</v>
      </c>
    </row>
    <row r="80" spans="1:154" s="167" customFormat="1" x14ac:dyDescent="0.25">
      <c r="A80" s="183"/>
      <c r="B80" s="185"/>
      <c r="C80" s="198"/>
      <c r="D80" s="186"/>
      <c r="E80" s="193">
        <f>'Incremental_Cost Year 1'!E263</f>
        <v>0</v>
      </c>
      <c r="F80" s="193">
        <f>'Incremental_Cost Year 1'!F263</f>
        <v>0</v>
      </c>
      <c r="G80" s="193">
        <f>'Incremental_Cost Year 1'!G263</f>
        <v>0</v>
      </c>
      <c r="H80" s="190">
        <f>'Incremental_Cost Year 1'!AQ263</f>
        <v>0</v>
      </c>
      <c r="I80" s="190">
        <f>'Incremental_Cost Year 1'!AR263</f>
        <v>0</v>
      </c>
      <c r="J80" s="190">
        <f>'Incremental_Cost Year 1'!AS263</f>
        <v>0</v>
      </c>
      <c r="K80" s="190">
        <f>'Incremental_Cost Year 1'!AT263</f>
        <v>0</v>
      </c>
      <c r="L80" s="190">
        <f>'Incremental_Cost Year 1'!AU263</f>
        <v>0</v>
      </c>
      <c r="M80" s="190">
        <f>'Incremental_Cost Year 1'!AV263</f>
        <v>0</v>
      </c>
      <c r="N80" s="190">
        <f>'Incremental_Cost Year 1'!AW263</f>
        <v>0</v>
      </c>
      <c r="O80" s="190">
        <f>'Incremental_Cost Year 1'!AX263</f>
        <v>0</v>
      </c>
      <c r="P80" s="190">
        <f>'Incremental_Cost Year 1'!AY263</f>
        <v>0</v>
      </c>
      <c r="Q80" s="190">
        <f>'Incremental_Cost Year 1'!AZ263</f>
        <v>0</v>
      </c>
      <c r="R80" s="190">
        <f>'Incremental_Cost Year 1'!BA263</f>
        <v>0</v>
      </c>
      <c r="S80" s="190">
        <f>'Incremental_Cost Year 1'!BB263</f>
        <v>0</v>
      </c>
      <c r="T80" s="70"/>
      <c r="U80" s="190">
        <f>'Incremental_Cost Year 2'!AQ263</f>
        <v>235267.20000000001</v>
      </c>
      <c r="V80" s="190">
        <f>'Incremental_Cost Year 2'!AR263</f>
        <v>0</v>
      </c>
      <c r="W80" s="190">
        <f>'Incremental_Cost Year 2'!AS263</f>
        <v>123000000</v>
      </c>
      <c r="X80" s="190">
        <f>'Incremental_Cost Year 2'!AT263</f>
        <v>123235267.2</v>
      </c>
      <c r="Y80" s="190">
        <f>'Incremental_Cost Year 2'!AU263</f>
        <v>20735267</v>
      </c>
      <c r="Z80" s="190">
        <f>'Incremental_Cost Year 2'!AV263</f>
        <v>0</v>
      </c>
      <c r="AA80" s="190">
        <f>'Incremental_Cost Year 2'!AW263</f>
        <v>102500000</v>
      </c>
      <c r="AB80" s="190">
        <f>'Incremental_Cost Year 2'!AX263</f>
        <v>0</v>
      </c>
      <c r="AC80" s="190">
        <f>'Incremental_Cost Year 2'!AY263</f>
        <v>0</v>
      </c>
      <c r="AD80" s="190">
        <f>'Incremental_Cost Year 2'!AZ263</f>
        <v>0</v>
      </c>
      <c r="AE80" s="190">
        <f>'Incremental_Cost Year 2'!BA263</f>
        <v>0</v>
      </c>
      <c r="AF80" s="190">
        <f>'Incremental_Cost Year 2'!BB263</f>
        <v>-0.20000000298023224</v>
      </c>
      <c r="AG80" s="70"/>
      <c r="AH80" s="190">
        <f>'Incremental_Cost Year 3'!AQ263</f>
        <v>705801.60000000009</v>
      </c>
      <c r="AI80" s="190">
        <f>'Incremental_Cost Year 3'!AR263</f>
        <v>0</v>
      </c>
      <c r="AJ80" s="190">
        <f>'Incremental_Cost Year 3'!AS263</f>
        <v>298505500</v>
      </c>
      <c r="AK80" s="190">
        <f>'Incremental_Cost Year 3'!AT263</f>
        <v>299211301.59999996</v>
      </c>
      <c r="AL80" s="190">
        <f>'Incremental_Cost Year 3'!AU263</f>
        <v>43967501.600000009</v>
      </c>
      <c r="AM80" s="190">
        <f>'Incremental_Cost Year 3'!AV263</f>
        <v>0</v>
      </c>
      <c r="AN80" s="190">
        <f>'Incremental_Cost Year 3'!AW263</f>
        <v>216308000</v>
      </c>
      <c r="AO80" s="190">
        <f>'Incremental_Cost Year 3'!AX263</f>
        <v>0</v>
      </c>
      <c r="AP80" s="190">
        <f>'Incremental_Cost Year 3'!AY263</f>
        <v>0</v>
      </c>
      <c r="AQ80" s="190">
        <f>'Incremental_Cost Year 3'!AZ263</f>
        <v>0</v>
      </c>
      <c r="AR80" s="190">
        <f>'Incremental_Cost Year 3'!BA263</f>
        <v>0</v>
      </c>
      <c r="AS80" s="190">
        <f>'Incremental_Cost Year 3'!BB263</f>
        <v>-38935800</v>
      </c>
      <c r="AT80" s="70"/>
      <c r="AU80" s="190">
        <f>'Incremental_Cost Year 4'!AQ263</f>
        <v>705801.60000000009</v>
      </c>
      <c r="AV80" s="190">
        <f>'Incremental_Cost Year 4'!AR263</f>
        <v>160894000</v>
      </c>
      <c r="AW80" s="190">
        <f>'Incremental_Cost Year 4'!AS263</f>
        <v>300156900</v>
      </c>
      <c r="AX80" s="190">
        <f>'Incremental_Cost Year 4'!AT263</f>
        <v>461756701.59999996</v>
      </c>
      <c r="AY80" s="190">
        <f>'Incremental_Cost Year 4'!AU263</f>
        <v>44206801.200000003</v>
      </c>
      <c r="AZ80" s="190">
        <f>'Incremental_Cost Year 4'!AV263</f>
        <v>0</v>
      </c>
      <c r="BA80" s="190">
        <f>'Incremental_Cost Year 4'!AW263</f>
        <v>217505000</v>
      </c>
      <c r="BB80" s="190">
        <f>'Incremental_Cost Year 4'!AX263</f>
        <v>0</v>
      </c>
      <c r="BC80" s="190">
        <f>'Incremental_Cost Year 4'!AY263</f>
        <v>0</v>
      </c>
      <c r="BD80" s="190">
        <f>'Incremental_Cost Year 4'!AZ263</f>
        <v>0</v>
      </c>
      <c r="BE80" s="190">
        <f>'Incremental_Cost Year 4'!BA263</f>
        <v>0</v>
      </c>
      <c r="BF80" s="190">
        <f>'Incremental_Cost Year 4'!BB263</f>
        <v>-200044900.39999998</v>
      </c>
      <c r="BG80" s="70"/>
      <c r="BH80" s="190">
        <f>'Incremental_Cost Year 5'!AQ263</f>
        <v>705801.60000000009</v>
      </c>
      <c r="BI80" s="190">
        <f>'Incremental_Cost Year 5'!AR263</f>
        <v>160894000</v>
      </c>
      <c r="BJ80" s="190">
        <f>'Incremental_Cost Year 5'!AS263</f>
        <v>0</v>
      </c>
      <c r="BK80" s="190">
        <f>'Incremental_Cost Year 5'!AT263</f>
        <v>161599801.59999996</v>
      </c>
      <c r="BL80" s="190">
        <f>'Incremental_Cost Year 5'!AU263</f>
        <v>705801</v>
      </c>
      <c r="BM80" s="190">
        <f>'Incremental_Cost Year 5'!AV263</f>
        <v>0</v>
      </c>
      <c r="BN80" s="190">
        <f>'Incremental_Cost Year 5'!AW263</f>
        <v>0</v>
      </c>
      <c r="BO80" s="190">
        <f>'Incremental_Cost Year 5'!AX263</f>
        <v>0</v>
      </c>
      <c r="BP80" s="190">
        <f>'Incremental_Cost Year 5'!AY263</f>
        <v>0</v>
      </c>
      <c r="BQ80" s="190">
        <f>'Incremental_Cost Year 5'!AZ263</f>
        <v>0</v>
      </c>
      <c r="BR80" s="190">
        <f>'Incremental_Cost Year 5'!BA263</f>
        <v>0</v>
      </c>
      <c r="BS80" s="190">
        <f>'Incremental_Cost Year 5'!BB263</f>
        <v>-160894000.59999996</v>
      </c>
      <c r="BT80" s="70"/>
      <c r="BU80" s="190">
        <f>'Incremental_Cost Year 6'!AQ263</f>
        <v>588751.5</v>
      </c>
      <c r="BV80" s="190">
        <f>'Incremental_Cost Year 6'!AR263</f>
        <v>160894000</v>
      </c>
      <c r="BW80" s="190">
        <f>'Incremental_Cost Year 6'!AS263</f>
        <v>0</v>
      </c>
      <c r="BX80" s="190">
        <f>'Incremental_Cost Year 6'!AT263</f>
        <v>161482751.5</v>
      </c>
      <c r="BY80" s="190">
        <f>'Incremental_Cost Year 6'!AU263</f>
        <v>588751.5</v>
      </c>
      <c r="BZ80" s="190">
        <f>'Incremental_Cost Year 6'!AV263</f>
        <v>0</v>
      </c>
      <c r="CA80" s="190">
        <f>'Incremental_Cost Year 6'!AW263</f>
        <v>0</v>
      </c>
      <c r="CB80" s="190">
        <f>'Incremental_Cost Year 6'!AX263</f>
        <v>0</v>
      </c>
      <c r="CC80" s="190">
        <f>'Incremental_Cost Year 6'!AY263</f>
        <v>0</v>
      </c>
      <c r="CD80" s="190">
        <f>'Incremental_Cost Year 6'!AZ263</f>
        <v>0</v>
      </c>
      <c r="CE80" s="190">
        <f>'Incremental_Cost Year 6'!BA263</f>
        <v>0</v>
      </c>
      <c r="CF80" s="190">
        <f>'Incremental_Cost Year 6'!BB263</f>
        <v>-160894000</v>
      </c>
      <c r="CG80" s="70"/>
      <c r="CH80" s="190">
        <f>'Incremental_Cost Year 7'!AQ263</f>
        <v>705801.60000000009</v>
      </c>
      <c r="CI80" s="190">
        <f>'Incremental_Cost Year 7'!AR263</f>
        <v>160894000</v>
      </c>
      <c r="CJ80" s="190">
        <f>'Incremental_Cost Year 7'!AS263</f>
        <v>0</v>
      </c>
      <c r="CK80" s="190">
        <f>'Incremental_Cost Year 7'!AT263</f>
        <v>161599801.59999996</v>
      </c>
      <c r="CL80" s="190">
        <f>'Incremental_Cost Year 7'!AU263</f>
        <v>705801.60000000009</v>
      </c>
      <c r="CM80" s="190">
        <f>'Incremental_Cost Year 7'!AV263</f>
        <v>0</v>
      </c>
      <c r="CN80" s="190">
        <f>'Incremental_Cost Year 7'!AW263</f>
        <v>0</v>
      </c>
      <c r="CO80" s="190">
        <f>'Incremental_Cost Year 7'!AX263</f>
        <v>0</v>
      </c>
      <c r="CP80" s="190">
        <f>'Incremental_Cost Year 7'!AY263</f>
        <v>0</v>
      </c>
      <c r="CQ80" s="190">
        <f>'Incremental_Cost Year 7'!AZ263</f>
        <v>0</v>
      </c>
      <c r="CR80" s="190">
        <f>'Incremental_Cost Year 7'!BA263</f>
        <v>0</v>
      </c>
      <c r="CS80" s="190">
        <f>'Incremental_Cost Year 7'!BB263</f>
        <v>-160894000</v>
      </c>
      <c r="CT80" s="70"/>
      <c r="CU80" s="190">
        <f>'Incremental_Cost Year 8'!AQ263</f>
        <v>705801.60000000009</v>
      </c>
      <c r="CV80" s="190">
        <f>'Incremental_Cost Year 8'!AR263</f>
        <v>160894000</v>
      </c>
      <c r="CW80" s="190">
        <f>'Incremental_Cost Year 8'!AS263</f>
        <v>0</v>
      </c>
      <c r="CX80" s="190">
        <f>'Incremental_Cost Year 8'!AT263</f>
        <v>161599801.59999996</v>
      </c>
      <c r="CY80" s="190">
        <f>'Incremental_Cost Year 8'!AU263</f>
        <v>705801.60000000009</v>
      </c>
      <c r="CZ80" s="190">
        <f>'Incremental_Cost Year 8'!AV263</f>
        <v>0</v>
      </c>
      <c r="DA80" s="190">
        <f>'Incremental_Cost Year 8'!AW263</f>
        <v>0</v>
      </c>
      <c r="DB80" s="190">
        <f>'Incremental_Cost Year 8'!AX263</f>
        <v>0</v>
      </c>
      <c r="DC80" s="190">
        <f>'Incremental_Cost Year 8'!AY263</f>
        <v>0</v>
      </c>
      <c r="DD80" s="190">
        <f>'Incremental_Cost Year 8'!AZ263</f>
        <v>0</v>
      </c>
      <c r="DE80" s="190">
        <f>'Incremental_Cost Year 8'!BA263</f>
        <v>0</v>
      </c>
      <c r="DF80" s="190">
        <f>'Incremental_Cost Year 8'!BB263</f>
        <v>-160894000</v>
      </c>
      <c r="DG80" s="70"/>
      <c r="DH80" s="190">
        <f>'Incremental_Cost Year 9'!AQ263</f>
        <v>705801.60000000009</v>
      </c>
      <c r="DI80" s="190">
        <f>'Incremental_Cost Year 9'!AR263</f>
        <v>160894000</v>
      </c>
      <c r="DJ80" s="190">
        <f>'Incremental_Cost Year 9'!AS263</f>
        <v>0</v>
      </c>
      <c r="DK80" s="190">
        <f>'Incremental_Cost Year 9'!AT263</f>
        <v>161599801.59999996</v>
      </c>
      <c r="DL80" s="190">
        <f>'Incremental_Cost Year 9'!AU263</f>
        <v>705801.60000000009</v>
      </c>
      <c r="DM80" s="190">
        <f>'Incremental_Cost Year 9'!AV263</f>
        <v>0</v>
      </c>
      <c r="DN80" s="190">
        <f>'Incremental_Cost Year 9'!AW263</f>
        <v>0</v>
      </c>
      <c r="DO80" s="190">
        <f>'Incremental_Cost Year 9'!AX263</f>
        <v>0</v>
      </c>
      <c r="DP80" s="190">
        <f>'Incremental_Cost Year 9'!AY263</f>
        <v>0</v>
      </c>
      <c r="DQ80" s="190">
        <f>'Incremental_Cost Year 9'!AZ263</f>
        <v>0</v>
      </c>
      <c r="DR80" s="190">
        <f>'Incremental_Cost Year 9'!BA263</f>
        <v>0</v>
      </c>
      <c r="DS80" s="190">
        <f>'Incremental_Cost Year 9'!BB263</f>
        <v>-160894000</v>
      </c>
      <c r="DT80" s="70"/>
      <c r="DU80" s="190">
        <f>'Incremental_Cost Year 10'!AQ263</f>
        <v>705801.60000000009</v>
      </c>
      <c r="DV80" s="190">
        <f>'Incremental_Cost Year 10'!AR263</f>
        <v>160894000</v>
      </c>
      <c r="DW80" s="190">
        <f>'Incremental_Cost Year 10'!AS263</f>
        <v>0</v>
      </c>
      <c r="DX80" s="190">
        <f>'Incremental_Cost Year 10'!AT263</f>
        <v>161599801.59999996</v>
      </c>
      <c r="DY80" s="190">
        <f>'Incremental_Cost Year 10'!AU263</f>
        <v>705801.60000000009</v>
      </c>
      <c r="DZ80" s="190">
        <f>'Incremental_Cost Year 10'!AV263</f>
        <v>0</v>
      </c>
      <c r="EA80" s="190">
        <f>'Incremental_Cost Year 10'!AW263</f>
        <v>0</v>
      </c>
      <c r="EB80" s="190">
        <f>'Incremental_Cost Year 10'!AX263</f>
        <v>0</v>
      </c>
      <c r="EC80" s="190">
        <f>'Incremental_Cost Year 10'!AY263</f>
        <v>0</v>
      </c>
      <c r="ED80" s="190">
        <f>'Incremental_Cost Year 10'!AZ263</f>
        <v>0</v>
      </c>
      <c r="EE80" s="190">
        <f>'Incremental_Cost Year 10'!BA263</f>
        <v>0</v>
      </c>
      <c r="EF80" s="190">
        <f>'Incremental_Cost Year 10'!BB263</f>
        <v>-160894000</v>
      </c>
      <c r="EG80" s="70"/>
      <c r="EH80" s="190">
        <f t="shared" ref="EH80:ES81" si="349">H80+U80+AH80+AU80+BH80+BU80+CH80+CU80+DH80+DU80</f>
        <v>5764629.9000000004</v>
      </c>
      <c r="EI80" s="190">
        <f t="shared" si="349"/>
        <v>1126258000</v>
      </c>
      <c r="EJ80" s="190">
        <f t="shared" si="349"/>
        <v>721662400</v>
      </c>
      <c r="EK80" s="190">
        <f t="shared" si="349"/>
        <v>1853685029.8999994</v>
      </c>
      <c r="EL80" s="190">
        <f t="shared" si="349"/>
        <v>113027328.69999999</v>
      </c>
      <c r="EM80" s="190">
        <f t="shared" si="349"/>
        <v>0</v>
      </c>
      <c r="EN80" s="190">
        <f t="shared" si="349"/>
        <v>536313000</v>
      </c>
      <c r="EO80" s="190">
        <f t="shared" si="349"/>
        <v>0</v>
      </c>
      <c r="EP80" s="190">
        <f t="shared" si="349"/>
        <v>0</v>
      </c>
      <c r="EQ80" s="190">
        <f t="shared" si="349"/>
        <v>0</v>
      </c>
      <c r="ER80" s="190">
        <f t="shared" si="349"/>
        <v>0</v>
      </c>
      <c r="ES80" s="190">
        <f t="shared" si="349"/>
        <v>-1204344701.1999998</v>
      </c>
      <c r="EU80" s="194">
        <f t="shared" si="330"/>
        <v>536313000</v>
      </c>
      <c r="EW80" s="194">
        <f t="shared" si="331"/>
        <v>-1204344701.1999993</v>
      </c>
      <c r="EX80" s="194">
        <f t="shared" si="317"/>
        <v>0</v>
      </c>
    </row>
    <row r="81" spans="1:154" s="167" customFormat="1" ht="25.5" x14ac:dyDescent="0.25">
      <c r="A81" s="183"/>
      <c r="B81" s="185"/>
      <c r="C81" s="198"/>
      <c r="D81" s="186"/>
      <c r="E81" s="193" t="str">
        <f>'Incremental_Cost Year 1'!E268</f>
        <v>5.2.2. Ndërtimi i rrjetit të dedikuar të komunikimit të Shëndetësisë -TeleMjekësi; + Telekonsultë</v>
      </c>
      <c r="F81" s="193">
        <f>'Incremental_Cost Year 1'!F268</f>
        <v>2021</v>
      </c>
      <c r="G81" s="193">
        <f>'Incremental_Cost Year 1'!G268</f>
        <v>2030</v>
      </c>
      <c r="H81" s="190">
        <f>'Incremental_Cost Year 1'!AQ268</f>
        <v>4290358.8</v>
      </c>
      <c r="I81" s="190">
        <f>'Incremental_Cost Year 1'!AR268</f>
        <v>8400000</v>
      </c>
      <c r="J81" s="190">
        <f>'Incremental_Cost Year 1'!AS268</f>
        <v>0</v>
      </c>
      <c r="K81" s="190">
        <f>'Incremental_Cost Year 1'!AT268</f>
        <v>12690358.800000001</v>
      </c>
      <c r="L81" s="190">
        <f>'Incremental_Cost Year 1'!AU268</f>
        <v>9445195.4399999995</v>
      </c>
      <c r="M81" s="190">
        <f>'Incremental_Cost Year 1'!AV268</f>
        <v>0</v>
      </c>
      <c r="N81" s="190">
        <f>'Incremental_Cost Year 1'!AW268</f>
        <v>3245163</v>
      </c>
      <c r="O81" s="190">
        <f>'Incremental_Cost Year 1'!AX268</f>
        <v>0</v>
      </c>
      <c r="P81" s="190">
        <f>'Incremental_Cost Year 1'!AY268</f>
        <v>0</v>
      </c>
      <c r="Q81" s="190">
        <f>'Incremental_Cost Year 1'!AZ268</f>
        <v>0</v>
      </c>
      <c r="R81" s="190">
        <f>'Incremental_Cost Year 1'!BA268</f>
        <v>0</v>
      </c>
      <c r="S81" s="190">
        <f>'Incremental_Cost Year 1'!BB268</f>
        <v>-0.3600000012665987</v>
      </c>
      <c r="T81" s="70"/>
      <c r="U81" s="190">
        <f>'Incremental_Cost Year 2'!AQ268</f>
        <v>25742152.800000001</v>
      </c>
      <c r="V81" s="190">
        <f>'Incremental_Cost Year 2'!AR268</f>
        <v>24970000</v>
      </c>
      <c r="W81" s="190">
        <f>'Incremental_Cost Year 2'!AS268</f>
        <v>0</v>
      </c>
      <c r="X81" s="190">
        <f>'Incremental_Cost Year 2'!AT268</f>
        <v>50712152.799999997</v>
      </c>
      <c r="Y81" s="190">
        <f>'Incremental_Cost Year 2'!AU268</f>
        <v>50712153</v>
      </c>
      <c r="Z81" s="190">
        <f>'Incremental_Cost Year 2'!AV268</f>
        <v>0</v>
      </c>
      <c r="AA81" s="190">
        <f>'Incremental_Cost Year 2'!AW268</f>
        <v>0</v>
      </c>
      <c r="AB81" s="190">
        <f>'Incremental_Cost Year 2'!AX268</f>
        <v>0</v>
      </c>
      <c r="AC81" s="190">
        <f>'Incremental_Cost Year 2'!AY268</f>
        <v>0</v>
      </c>
      <c r="AD81" s="190">
        <f>'Incremental_Cost Year 2'!AZ268</f>
        <v>0</v>
      </c>
      <c r="AE81" s="190">
        <f>'Incremental_Cost Year 2'!BA268</f>
        <v>0</v>
      </c>
      <c r="AF81" s="190">
        <f>'Incremental_Cost Year 2'!BB268</f>
        <v>0.20000000298023224</v>
      </c>
      <c r="AG81" s="70"/>
      <c r="AH81" s="190">
        <f>'Incremental_Cost Year 3'!AQ268</f>
        <v>25742152.800000001</v>
      </c>
      <c r="AI81" s="190">
        <f>'Incremental_Cost Year 3'!AR268</f>
        <v>25655000</v>
      </c>
      <c r="AJ81" s="190">
        <f>'Incremental_Cost Year 3'!AS268</f>
        <v>212175000</v>
      </c>
      <c r="AK81" s="190">
        <f>'Incremental_Cost Year 3'!AT268</f>
        <v>263572152.80000001</v>
      </c>
      <c r="AL81" s="190">
        <f>'Incremental_Cost Year 3'!AU268</f>
        <v>51397152.799999997</v>
      </c>
      <c r="AM81" s="190">
        <f>'Incremental_Cost Year 3'!AV268</f>
        <v>0</v>
      </c>
      <c r="AN81" s="190">
        <f>'Incremental_Cost Year 3'!AW268</f>
        <v>0</v>
      </c>
      <c r="AO81" s="190">
        <f>'Incremental_Cost Year 3'!AX268</f>
        <v>0</v>
      </c>
      <c r="AP81" s="190">
        <f>'Incremental_Cost Year 3'!AY268</f>
        <v>0</v>
      </c>
      <c r="AQ81" s="190">
        <f>'Incremental_Cost Year 3'!AZ268</f>
        <v>0</v>
      </c>
      <c r="AR81" s="190">
        <f>'Incremental_Cost Year 3'!BA268</f>
        <v>0</v>
      </c>
      <c r="AS81" s="190">
        <f>'Incremental_Cost Year 3'!BB268</f>
        <v>-212175000</v>
      </c>
      <c r="AT81" s="70"/>
      <c r="AU81" s="190">
        <f>'Incremental_Cost Year 4'!AQ268</f>
        <v>25742152.800000001</v>
      </c>
      <c r="AV81" s="190">
        <f>'Incremental_Cost Year 4'!AR268</f>
        <v>28175000</v>
      </c>
      <c r="AW81" s="190">
        <f>'Incremental_Cost Year 4'!AS268</f>
        <v>184500000</v>
      </c>
      <c r="AX81" s="190">
        <f>'Incremental_Cost Year 4'!AT268</f>
        <v>238417152.80000001</v>
      </c>
      <c r="AY81" s="190">
        <f>'Incremental_Cost Year 4'!AU268</f>
        <v>51397152.799999997</v>
      </c>
      <c r="AZ81" s="190">
        <f>'Incremental_Cost Year 4'!AV268</f>
        <v>0</v>
      </c>
      <c r="BA81" s="190">
        <f>'Incremental_Cost Year 4'!AW268</f>
        <v>0</v>
      </c>
      <c r="BB81" s="190">
        <f>'Incremental_Cost Year 4'!AX268</f>
        <v>0</v>
      </c>
      <c r="BC81" s="190">
        <f>'Incremental_Cost Year 4'!AY268</f>
        <v>0</v>
      </c>
      <c r="BD81" s="190">
        <f>'Incremental_Cost Year 4'!AZ268</f>
        <v>0</v>
      </c>
      <c r="BE81" s="190">
        <f>'Incremental_Cost Year 4'!BA268</f>
        <v>0</v>
      </c>
      <c r="BF81" s="190">
        <f>'Incremental_Cost Year 4'!BB268</f>
        <v>-187020000</v>
      </c>
      <c r="BG81" s="70"/>
      <c r="BH81" s="190">
        <f>'Incremental_Cost Year 5'!AQ268</f>
        <v>26212687.199999999</v>
      </c>
      <c r="BI81" s="190">
        <f>'Incremental_Cost Year 5'!AR268</f>
        <v>138875000</v>
      </c>
      <c r="BJ81" s="190">
        <f>'Incremental_Cost Year 5'!AS268</f>
        <v>184500000</v>
      </c>
      <c r="BK81" s="190">
        <f>'Incremental_Cost Year 5'!AT268</f>
        <v>349587687.19999999</v>
      </c>
      <c r="BL81" s="190">
        <f>'Incremental_Cost Year 5'!AU268</f>
        <v>51867686.799999997</v>
      </c>
      <c r="BM81" s="190">
        <f>'Incremental_Cost Year 5'!AV268</f>
        <v>0</v>
      </c>
      <c r="BN81" s="190">
        <f>'Incremental_Cost Year 5'!AW268</f>
        <v>0</v>
      </c>
      <c r="BO81" s="190">
        <f>'Incremental_Cost Year 5'!AX268</f>
        <v>0</v>
      </c>
      <c r="BP81" s="190">
        <f>'Incremental_Cost Year 5'!AY268</f>
        <v>0</v>
      </c>
      <c r="BQ81" s="190">
        <f>'Incremental_Cost Year 5'!AZ268</f>
        <v>0</v>
      </c>
      <c r="BR81" s="190">
        <f>'Incremental_Cost Year 5'!BA268</f>
        <v>0</v>
      </c>
      <c r="BS81" s="190">
        <f>'Incremental_Cost Year 5'!BB268</f>
        <v>-297720000.39999998</v>
      </c>
      <c r="BT81" s="70"/>
      <c r="BU81" s="190">
        <f>'Incremental_Cost Year 6'!AQ268</f>
        <v>26212687.199999999</v>
      </c>
      <c r="BV81" s="190">
        <f>'Incremental_Cost Year 6'!AR268</f>
        <v>136355000</v>
      </c>
      <c r="BW81" s="190">
        <f>'Incremental_Cost Year 6'!AS268</f>
        <v>184500000</v>
      </c>
      <c r="BX81" s="190">
        <f>'Incremental_Cost Year 6'!AT268</f>
        <v>347067687.19999999</v>
      </c>
      <c r="BY81" s="190">
        <f>'Incremental_Cost Year 6'!AU268</f>
        <v>51867686.799999997</v>
      </c>
      <c r="BZ81" s="190">
        <f>'Incremental_Cost Year 6'!AV268</f>
        <v>0</v>
      </c>
      <c r="CA81" s="190">
        <f>'Incremental_Cost Year 6'!AW268</f>
        <v>0</v>
      </c>
      <c r="CB81" s="190">
        <f>'Incremental_Cost Year 6'!AX268</f>
        <v>0</v>
      </c>
      <c r="CC81" s="190">
        <f>'Incremental_Cost Year 6'!AY268</f>
        <v>0</v>
      </c>
      <c r="CD81" s="190">
        <f>'Incremental_Cost Year 6'!AZ268</f>
        <v>0</v>
      </c>
      <c r="CE81" s="190">
        <f>'Incremental_Cost Year 6'!BA268</f>
        <v>0</v>
      </c>
      <c r="CF81" s="190">
        <f>'Incremental_Cost Year 6'!BB268</f>
        <v>-295200000.39999998</v>
      </c>
      <c r="CG81" s="70"/>
      <c r="CH81" s="190">
        <f>'Incremental_Cost Year 7'!AQ268</f>
        <v>26212687.199999999</v>
      </c>
      <c r="CI81" s="190">
        <f>'Incremental_Cost Year 7'!AR268</f>
        <v>228605000</v>
      </c>
      <c r="CJ81" s="190">
        <f>'Incremental_Cost Year 7'!AS268</f>
        <v>0</v>
      </c>
      <c r="CK81" s="190">
        <f>'Incremental_Cost Year 7'!AT268</f>
        <v>254817687.19999999</v>
      </c>
      <c r="CL81" s="190">
        <f>'Incremental_Cost Year 7'!AU268</f>
        <v>51867686.799999997</v>
      </c>
      <c r="CM81" s="190">
        <f>'Incremental_Cost Year 7'!AV268</f>
        <v>0</v>
      </c>
      <c r="CN81" s="190">
        <f>'Incremental_Cost Year 7'!AW268</f>
        <v>0</v>
      </c>
      <c r="CO81" s="190">
        <f>'Incremental_Cost Year 7'!AX268</f>
        <v>0</v>
      </c>
      <c r="CP81" s="190">
        <f>'Incremental_Cost Year 7'!AY268</f>
        <v>0</v>
      </c>
      <c r="CQ81" s="190">
        <f>'Incremental_Cost Year 7'!AZ268</f>
        <v>0</v>
      </c>
      <c r="CR81" s="190">
        <f>'Incremental_Cost Year 7'!BA268</f>
        <v>0</v>
      </c>
      <c r="CS81" s="190">
        <f>'Incremental_Cost Year 7'!BB268</f>
        <v>-202950000.40000001</v>
      </c>
      <c r="CT81" s="70"/>
      <c r="CU81" s="190">
        <f>'Incremental_Cost Year 8'!AQ268</f>
        <v>26212687.199999999</v>
      </c>
      <c r="CV81" s="190">
        <f>'Incremental_Cost Year 8'!AR268</f>
        <v>228605000</v>
      </c>
      <c r="CW81" s="190">
        <f>'Incremental_Cost Year 8'!AS268</f>
        <v>0</v>
      </c>
      <c r="CX81" s="190">
        <f>'Incremental_Cost Year 8'!AT268</f>
        <v>254817687.19999999</v>
      </c>
      <c r="CY81" s="190">
        <f>'Incremental_Cost Year 8'!AU268</f>
        <v>51867686.799999997</v>
      </c>
      <c r="CZ81" s="190">
        <f>'Incremental_Cost Year 8'!AV268</f>
        <v>0</v>
      </c>
      <c r="DA81" s="190">
        <f>'Incremental_Cost Year 8'!AW268</f>
        <v>0</v>
      </c>
      <c r="DB81" s="190">
        <f>'Incremental_Cost Year 8'!AX268</f>
        <v>0</v>
      </c>
      <c r="DC81" s="190">
        <f>'Incremental_Cost Year 8'!AY268</f>
        <v>0</v>
      </c>
      <c r="DD81" s="190">
        <f>'Incremental_Cost Year 8'!AZ268</f>
        <v>0</v>
      </c>
      <c r="DE81" s="190">
        <f>'Incremental_Cost Year 8'!BA268</f>
        <v>0</v>
      </c>
      <c r="DF81" s="190">
        <f>'Incremental_Cost Year 8'!BB268</f>
        <v>-202950000.40000001</v>
      </c>
      <c r="DG81" s="70"/>
      <c r="DH81" s="190">
        <f>'Incremental_Cost Year 9'!AQ268</f>
        <v>26212687.199999999</v>
      </c>
      <c r="DI81" s="190">
        <f>'Incremental_Cost Year 9'!AR268</f>
        <v>228605000</v>
      </c>
      <c r="DJ81" s="190">
        <f>'Incremental_Cost Year 9'!AS268</f>
        <v>0</v>
      </c>
      <c r="DK81" s="190">
        <f>'Incremental_Cost Year 9'!AT268</f>
        <v>254817687.19999999</v>
      </c>
      <c r="DL81" s="190">
        <f>'Incremental_Cost Year 9'!AU268</f>
        <v>51867686.799999997</v>
      </c>
      <c r="DM81" s="190">
        <f>'Incremental_Cost Year 9'!AV268</f>
        <v>0</v>
      </c>
      <c r="DN81" s="190">
        <f>'Incremental_Cost Year 9'!AW268</f>
        <v>0</v>
      </c>
      <c r="DO81" s="190">
        <f>'Incremental_Cost Year 9'!AX268</f>
        <v>0</v>
      </c>
      <c r="DP81" s="190">
        <f>'Incremental_Cost Year 9'!AY268</f>
        <v>0</v>
      </c>
      <c r="DQ81" s="190">
        <f>'Incremental_Cost Year 9'!AZ268</f>
        <v>0</v>
      </c>
      <c r="DR81" s="190">
        <f>'Incremental_Cost Year 9'!BA268</f>
        <v>0</v>
      </c>
      <c r="DS81" s="190">
        <f>'Incremental_Cost Year 9'!BB268</f>
        <v>-202950000.40000001</v>
      </c>
      <c r="DT81" s="70"/>
      <c r="DU81" s="190">
        <f>'Incremental_Cost Year 10'!AQ268</f>
        <v>26212687.199999999</v>
      </c>
      <c r="DV81" s="190">
        <f>'Incremental_Cost Year 10'!AR268</f>
        <v>228605000</v>
      </c>
      <c r="DW81" s="190">
        <f>'Incremental_Cost Year 10'!AS268</f>
        <v>0</v>
      </c>
      <c r="DX81" s="190">
        <f>'Incremental_Cost Year 10'!AT268</f>
        <v>254817687.19999999</v>
      </c>
      <c r="DY81" s="190">
        <f>'Incremental_Cost Year 10'!AU268</f>
        <v>51867686.799999997</v>
      </c>
      <c r="DZ81" s="190">
        <f>'Incremental_Cost Year 10'!AV268</f>
        <v>0</v>
      </c>
      <c r="EA81" s="190">
        <f>'Incremental_Cost Year 10'!AW268</f>
        <v>0</v>
      </c>
      <c r="EB81" s="190">
        <f>'Incremental_Cost Year 10'!AX268</f>
        <v>0</v>
      </c>
      <c r="EC81" s="190">
        <f>'Incremental_Cost Year 10'!AY268</f>
        <v>0</v>
      </c>
      <c r="ED81" s="190">
        <f>'Incremental_Cost Year 10'!AZ268</f>
        <v>0</v>
      </c>
      <c r="EE81" s="190">
        <f>'Incremental_Cost Year 10'!BA268</f>
        <v>0</v>
      </c>
      <c r="EF81" s="190">
        <f>'Incremental_Cost Year 10'!BB268</f>
        <v>-202950000.40000001</v>
      </c>
      <c r="EG81" s="70"/>
      <c r="EH81" s="190">
        <f t="shared" si="349"/>
        <v>238792940.39999998</v>
      </c>
      <c r="EI81" s="190">
        <f t="shared" si="349"/>
        <v>1276850000</v>
      </c>
      <c r="EJ81" s="190">
        <f t="shared" si="349"/>
        <v>765675000</v>
      </c>
      <c r="EK81" s="190">
        <f t="shared" si="349"/>
        <v>2281317940.4000001</v>
      </c>
      <c r="EL81" s="190">
        <f t="shared" si="349"/>
        <v>474157774.84000003</v>
      </c>
      <c r="EM81" s="190">
        <f t="shared" si="349"/>
        <v>0</v>
      </c>
      <c r="EN81" s="190">
        <f t="shared" si="349"/>
        <v>3245163</v>
      </c>
      <c r="EO81" s="190">
        <f t="shared" si="349"/>
        <v>0</v>
      </c>
      <c r="EP81" s="190">
        <f t="shared" si="349"/>
        <v>0</v>
      </c>
      <c r="EQ81" s="190">
        <f t="shared" si="349"/>
        <v>0</v>
      </c>
      <c r="ER81" s="190">
        <f t="shared" si="349"/>
        <v>0</v>
      </c>
      <c r="ES81" s="190">
        <f t="shared" si="349"/>
        <v>-1803915002.5600002</v>
      </c>
      <c r="EU81" s="194">
        <f t="shared" si="330"/>
        <v>3245163</v>
      </c>
      <c r="EW81" s="194">
        <f t="shared" si="331"/>
        <v>-1803915002.5599999</v>
      </c>
      <c r="EX81" s="194">
        <f t="shared" si="317"/>
        <v>0</v>
      </c>
    </row>
    <row r="82" spans="1:154" s="167" customFormat="1" x14ac:dyDescent="0.25">
      <c r="A82" s="184"/>
      <c r="B82" s="187"/>
      <c r="C82" s="421" t="str">
        <f>'Incremental_Cost Year 1'!C269:E269</f>
        <v>5.3 Objektivi Specifik: Fuqizimi i informacionit shëndetësor si nevojë për vendimmarrje në përmirësimin e shëndetit dhe mirëqenies së qytetarëve</v>
      </c>
      <c r="D82" s="421"/>
      <c r="E82" s="422"/>
      <c r="F82" s="197"/>
      <c r="G82" s="197"/>
      <c r="H82" s="192">
        <f>SUM(H83:H84)</f>
        <v>0</v>
      </c>
      <c r="I82" s="192">
        <f t="shared" ref="I82:BS82" si="350">SUM(I83:I84)</f>
        <v>0</v>
      </c>
      <c r="J82" s="192">
        <f t="shared" si="350"/>
        <v>0</v>
      </c>
      <c r="K82" s="192">
        <f t="shared" si="350"/>
        <v>0</v>
      </c>
      <c r="L82" s="192">
        <f t="shared" si="350"/>
        <v>0</v>
      </c>
      <c r="M82" s="192">
        <f t="shared" si="350"/>
        <v>0</v>
      </c>
      <c r="N82" s="192">
        <f t="shared" si="350"/>
        <v>0</v>
      </c>
      <c r="O82" s="192">
        <f t="shared" si="350"/>
        <v>0</v>
      </c>
      <c r="P82" s="192">
        <f t="shared" si="350"/>
        <v>0</v>
      </c>
      <c r="Q82" s="192">
        <f t="shared" si="350"/>
        <v>0</v>
      </c>
      <c r="R82" s="192">
        <f t="shared" si="350"/>
        <v>0</v>
      </c>
      <c r="S82" s="192">
        <f t="shared" si="350"/>
        <v>0</v>
      </c>
      <c r="T82" s="70"/>
      <c r="U82" s="192">
        <f>SUM(U83:U84)</f>
        <v>352900.8</v>
      </c>
      <c r="V82" s="192">
        <f t="shared" si="350"/>
        <v>4507000</v>
      </c>
      <c r="W82" s="192">
        <f t="shared" si="350"/>
        <v>0</v>
      </c>
      <c r="X82" s="192">
        <f t="shared" si="350"/>
        <v>4859900.8</v>
      </c>
      <c r="Y82" s="192">
        <f t="shared" si="350"/>
        <v>352900.8</v>
      </c>
      <c r="Z82" s="192">
        <f t="shared" si="350"/>
        <v>0</v>
      </c>
      <c r="AA82" s="192">
        <f t="shared" si="350"/>
        <v>0</v>
      </c>
      <c r="AB82" s="192">
        <f t="shared" si="350"/>
        <v>0</v>
      </c>
      <c r="AC82" s="192">
        <f t="shared" si="350"/>
        <v>0</v>
      </c>
      <c r="AD82" s="192">
        <f t="shared" si="350"/>
        <v>0</v>
      </c>
      <c r="AE82" s="192">
        <f t="shared" si="350"/>
        <v>0</v>
      </c>
      <c r="AF82" s="192">
        <f t="shared" si="350"/>
        <v>-4507000</v>
      </c>
      <c r="AG82" s="70"/>
      <c r="AH82" s="192">
        <f t="shared" si="350"/>
        <v>352900.8</v>
      </c>
      <c r="AI82" s="192">
        <f t="shared" si="350"/>
        <v>4928400</v>
      </c>
      <c r="AJ82" s="192">
        <f t="shared" si="350"/>
        <v>0</v>
      </c>
      <c r="AK82" s="192">
        <f t="shared" si="350"/>
        <v>5281300.8</v>
      </c>
      <c r="AL82" s="192">
        <f t="shared" si="350"/>
        <v>352900.8</v>
      </c>
      <c r="AM82" s="192">
        <f t="shared" si="350"/>
        <v>0</v>
      </c>
      <c r="AN82" s="192">
        <f t="shared" si="350"/>
        <v>0</v>
      </c>
      <c r="AO82" s="192">
        <f t="shared" si="350"/>
        <v>0</v>
      </c>
      <c r="AP82" s="192">
        <f t="shared" si="350"/>
        <v>0</v>
      </c>
      <c r="AQ82" s="192">
        <f t="shared" si="350"/>
        <v>0</v>
      </c>
      <c r="AR82" s="192">
        <f t="shared" si="350"/>
        <v>0</v>
      </c>
      <c r="AS82" s="192">
        <f t="shared" si="350"/>
        <v>-4928400</v>
      </c>
      <c r="AT82" s="70"/>
      <c r="AU82" s="192">
        <f t="shared" si="350"/>
        <v>352900.8</v>
      </c>
      <c r="AV82" s="192">
        <f t="shared" si="350"/>
        <v>4928400</v>
      </c>
      <c r="AW82" s="192">
        <f t="shared" si="350"/>
        <v>0</v>
      </c>
      <c r="AX82" s="192">
        <f t="shared" si="350"/>
        <v>5281300.8</v>
      </c>
      <c r="AY82" s="192">
        <f t="shared" si="350"/>
        <v>352900.8</v>
      </c>
      <c r="AZ82" s="192">
        <f t="shared" si="350"/>
        <v>0</v>
      </c>
      <c r="BA82" s="192">
        <f t="shared" si="350"/>
        <v>0</v>
      </c>
      <c r="BB82" s="192">
        <f t="shared" si="350"/>
        <v>0</v>
      </c>
      <c r="BC82" s="192">
        <f t="shared" si="350"/>
        <v>0</v>
      </c>
      <c r="BD82" s="192">
        <f t="shared" si="350"/>
        <v>0</v>
      </c>
      <c r="BE82" s="192">
        <f t="shared" si="350"/>
        <v>0</v>
      </c>
      <c r="BF82" s="192">
        <f t="shared" si="350"/>
        <v>-4928400</v>
      </c>
      <c r="BG82" s="70"/>
      <c r="BH82" s="192">
        <f t="shared" si="350"/>
        <v>352900.8</v>
      </c>
      <c r="BI82" s="192">
        <f t="shared" si="350"/>
        <v>4928400</v>
      </c>
      <c r="BJ82" s="192">
        <f t="shared" si="350"/>
        <v>0</v>
      </c>
      <c r="BK82" s="192">
        <f t="shared" si="350"/>
        <v>5281300.8</v>
      </c>
      <c r="BL82" s="192">
        <f t="shared" si="350"/>
        <v>352900.8</v>
      </c>
      <c r="BM82" s="192">
        <f t="shared" si="350"/>
        <v>0</v>
      </c>
      <c r="BN82" s="192">
        <f t="shared" si="350"/>
        <v>0</v>
      </c>
      <c r="BO82" s="192">
        <f t="shared" si="350"/>
        <v>0</v>
      </c>
      <c r="BP82" s="192">
        <f t="shared" si="350"/>
        <v>0</v>
      </c>
      <c r="BQ82" s="192">
        <f t="shared" si="350"/>
        <v>0</v>
      </c>
      <c r="BR82" s="192">
        <f t="shared" si="350"/>
        <v>0</v>
      </c>
      <c r="BS82" s="192">
        <f t="shared" si="350"/>
        <v>-4928400</v>
      </c>
      <c r="BT82" s="70"/>
      <c r="BU82" s="192">
        <f t="shared" ref="BU82:EF82" si="351">SUM(BU83:BU84)</f>
        <v>117633.60000000001</v>
      </c>
      <c r="BV82" s="192">
        <f t="shared" si="351"/>
        <v>579000</v>
      </c>
      <c r="BW82" s="192">
        <f t="shared" si="351"/>
        <v>0</v>
      </c>
      <c r="BX82" s="192">
        <f t="shared" si="351"/>
        <v>696633.6</v>
      </c>
      <c r="BY82" s="192">
        <f t="shared" si="351"/>
        <v>117633.60000000001</v>
      </c>
      <c r="BZ82" s="192">
        <f t="shared" si="351"/>
        <v>0</v>
      </c>
      <c r="CA82" s="192">
        <f t="shared" si="351"/>
        <v>0</v>
      </c>
      <c r="CB82" s="192">
        <f t="shared" si="351"/>
        <v>0</v>
      </c>
      <c r="CC82" s="192">
        <f t="shared" si="351"/>
        <v>0</v>
      </c>
      <c r="CD82" s="192">
        <f t="shared" si="351"/>
        <v>0</v>
      </c>
      <c r="CE82" s="192">
        <f t="shared" si="351"/>
        <v>0</v>
      </c>
      <c r="CF82" s="192">
        <f t="shared" si="351"/>
        <v>-579000</v>
      </c>
      <c r="CG82" s="70"/>
      <c r="CH82" s="192">
        <f t="shared" si="351"/>
        <v>117633.60000000001</v>
      </c>
      <c r="CI82" s="192">
        <f t="shared" si="351"/>
        <v>463200</v>
      </c>
      <c r="CJ82" s="192">
        <f t="shared" si="351"/>
        <v>0</v>
      </c>
      <c r="CK82" s="192">
        <f t="shared" si="351"/>
        <v>580833.6</v>
      </c>
      <c r="CL82" s="192">
        <f t="shared" si="351"/>
        <v>117633.60000000001</v>
      </c>
      <c r="CM82" s="192">
        <f t="shared" si="351"/>
        <v>0</v>
      </c>
      <c r="CN82" s="192">
        <f t="shared" si="351"/>
        <v>0</v>
      </c>
      <c r="CO82" s="192">
        <f t="shared" si="351"/>
        <v>0</v>
      </c>
      <c r="CP82" s="192">
        <f t="shared" si="351"/>
        <v>0</v>
      </c>
      <c r="CQ82" s="192">
        <f t="shared" si="351"/>
        <v>0</v>
      </c>
      <c r="CR82" s="192">
        <f t="shared" si="351"/>
        <v>0</v>
      </c>
      <c r="CS82" s="192">
        <f t="shared" si="351"/>
        <v>-463200</v>
      </c>
      <c r="CT82" s="70"/>
      <c r="CU82" s="192">
        <f t="shared" si="351"/>
        <v>117633.60000000001</v>
      </c>
      <c r="CV82" s="192">
        <f t="shared" si="351"/>
        <v>386000</v>
      </c>
      <c r="CW82" s="192">
        <f t="shared" si="351"/>
        <v>0</v>
      </c>
      <c r="CX82" s="192">
        <f t="shared" si="351"/>
        <v>503633.6</v>
      </c>
      <c r="CY82" s="192">
        <f t="shared" si="351"/>
        <v>117633.60000000001</v>
      </c>
      <c r="CZ82" s="192">
        <f t="shared" si="351"/>
        <v>0</v>
      </c>
      <c r="DA82" s="192">
        <f t="shared" si="351"/>
        <v>0</v>
      </c>
      <c r="DB82" s="192">
        <f t="shared" si="351"/>
        <v>0</v>
      </c>
      <c r="DC82" s="192">
        <f t="shared" si="351"/>
        <v>0</v>
      </c>
      <c r="DD82" s="192">
        <f t="shared" si="351"/>
        <v>0</v>
      </c>
      <c r="DE82" s="192">
        <f t="shared" si="351"/>
        <v>0</v>
      </c>
      <c r="DF82" s="192">
        <f t="shared" si="351"/>
        <v>-386000</v>
      </c>
      <c r="DG82" s="70"/>
      <c r="DH82" s="192">
        <f t="shared" si="351"/>
        <v>0</v>
      </c>
      <c r="DI82" s="192">
        <f t="shared" si="351"/>
        <v>0</v>
      </c>
      <c r="DJ82" s="192">
        <f t="shared" si="351"/>
        <v>0</v>
      </c>
      <c r="DK82" s="192">
        <f t="shared" si="351"/>
        <v>0</v>
      </c>
      <c r="DL82" s="192">
        <f t="shared" si="351"/>
        <v>0</v>
      </c>
      <c r="DM82" s="192">
        <f t="shared" si="351"/>
        <v>0</v>
      </c>
      <c r="DN82" s="192">
        <f t="shared" si="351"/>
        <v>0</v>
      </c>
      <c r="DO82" s="192">
        <f t="shared" si="351"/>
        <v>0</v>
      </c>
      <c r="DP82" s="192">
        <f t="shared" si="351"/>
        <v>0</v>
      </c>
      <c r="DQ82" s="192">
        <f t="shared" si="351"/>
        <v>0</v>
      </c>
      <c r="DR82" s="192">
        <f t="shared" si="351"/>
        <v>0</v>
      </c>
      <c r="DS82" s="192">
        <f t="shared" si="351"/>
        <v>0</v>
      </c>
      <c r="DT82" s="70"/>
      <c r="DU82" s="192">
        <f t="shared" si="351"/>
        <v>0</v>
      </c>
      <c r="DV82" s="192">
        <f t="shared" si="351"/>
        <v>0</v>
      </c>
      <c r="DW82" s="192">
        <f t="shared" si="351"/>
        <v>0</v>
      </c>
      <c r="DX82" s="192">
        <f t="shared" si="351"/>
        <v>0</v>
      </c>
      <c r="DY82" s="192">
        <f t="shared" si="351"/>
        <v>0</v>
      </c>
      <c r="DZ82" s="192">
        <f t="shared" si="351"/>
        <v>0</v>
      </c>
      <c r="EA82" s="192">
        <f t="shared" si="351"/>
        <v>0</v>
      </c>
      <c r="EB82" s="192">
        <f t="shared" si="351"/>
        <v>0</v>
      </c>
      <c r="EC82" s="192">
        <f t="shared" si="351"/>
        <v>0</v>
      </c>
      <c r="ED82" s="192">
        <f t="shared" si="351"/>
        <v>0</v>
      </c>
      <c r="EE82" s="192">
        <f t="shared" si="351"/>
        <v>0</v>
      </c>
      <c r="EF82" s="192">
        <f t="shared" si="351"/>
        <v>0</v>
      </c>
      <c r="EG82" s="70"/>
      <c r="EH82" s="192">
        <f t="shared" ref="EH82:ES82" si="352">SUM(EH83:EH84)</f>
        <v>1764504</v>
      </c>
      <c r="EI82" s="192">
        <f t="shared" si="352"/>
        <v>20720400</v>
      </c>
      <c r="EJ82" s="192">
        <f t="shared" si="352"/>
        <v>0</v>
      </c>
      <c r="EK82" s="192">
        <f t="shared" si="352"/>
        <v>22484904</v>
      </c>
      <c r="EL82" s="192">
        <f t="shared" si="352"/>
        <v>1764504</v>
      </c>
      <c r="EM82" s="192">
        <f t="shared" si="352"/>
        <v>0</v>
      </c>
      <c r="EN82" s="192">
        <f t="shared" si="352"/>
        <v>0</v>
      </c>
      <c r="EO82" s="192">
        <f t="shared" si="352"/>
        <v>0</v>
      </c>
      <c r="EP82" s="192">
        <f t="shared" si="352"/>
        <v>0</v>
      </c>
      <c r="EQ82" s="192">
        <f t="shared" si="352"/>
        <v>0</v>
      </c>
      <c r="ER82" s="192">
        <f t="shared" si="352"/>
        <v>0</v>
      </c>
      <c r="ES82" s="192">
        <f t="shared" si="352"/>
        <v>-20720400</v>
      </c>
      <c r="EU82" s="194">
        <f t="shared" si="330"/>
        <v>0</v>
      </c>
      <c r="EW82" s="194">
        <f t="shared" si="331"/>
        <v>-20720400</v>
      </c>
      <c r="EX82" s="194">
        <f t="shared" si="317"/>
        <v>0</v>
      </c>
    </row>
    <row r="83" spans="1:154" s="167" customFormat="1" ht="25.5" x14ac:dyDescent="0.25">
      <c r="A83" s="183"/>
      <c r="B83" s="185"/>
      <c r="C83" s="198"/>
      <c r="D83" s="186"/>
      <c r="E83" s="193" t="str">
        <f>'Incremental_Cost Year 1'!E273</f>
        <v>5.3.1 Forcimi i auditimit të të dhënave në dispozicion, burimeve të të dhënave si dhe të proceseve të grumbullimit dhe publikimit</v>
      </c>
      <c r="F83" s="193">
        <f>'Incremental_Cost Year 1'!F273</f>
        <v>2026</v>
      </c>
      <c r="G83" s="193">
        <f>'Incremental_Cost Year 1'!G273</f>
        <v>2028</v>
      </c>
      <c r="H83" s="190">
        <f>'Incremental_Cost Year 1'!AQ273</f>
        <v>0</v>
      </c>
      <c r="I83" s="190">
        <f>'Incremental_Cost Year 1'!AR273</f>
        <v>0</v>
      </c>
      <c r="J83" s="190">
        <f>'Incremental_Cost Year 1'!AS273</f>
        <v>0</v>
      </c>
      <c r="K83" s="190">
        <f>'Incremental_Cost Year 1'!AT273</f>
        <v>0</v>
      </c>
      <c r="L83" s="190">
        <f>'Incremental_Cost Year 1'!AU273</f>
        <v>0</v>
      </c>
      <c r="M83" s="190">
        <f>'Incremental_Cost Year 1'!AV273</f>
        <v>0</v>
      </c>
      <c r="N83" s="190">
        <f>'Incremental_Cost Year 1'!AW273</f>
        <v>0</v>
      </c>
      <c r="O83" s="190">
        <f>'Incremental_Cost Year 1'!AX273</f>
        <v>0</v>
      </c>
      <c r="P83" s="190">
        <f>'Incremental_Cost Year 1'!AY273</f>
        <v>0</v>
      </c>
      <c r="Q83" s="190">
        <f>'Incremental_Cost Year 1'!AZ273</f>
        <v>0</v>
      </c>
      <c r="R83" s="190">
        <f>'Incremental_Cost Year 1'!BA273</f>
        <v>0</v>
      </c>
      <c r="S83" s="190">
        <f>'Incremental_Cost Year 1'!BB273</f>
        <v>0</v>
      </c>
      <c r="T83" s="70"/>
      <c r="U83" s="190">
        <f>'Incremental_Cost Year 2'!AQ273</f>
        <v>0</v>
      </c>
      <c r="V83" s="190">
        <f>'Incremental_Cost Year 2'!AR273</f>
        <v>0</v>
      </c>
      <c r="W83" s="190">
        <f>'Incremental_Cost Year 2'!AS273</f>
        <v>0</v>
      </c>
      <c r="X83" s="190">
        <f>'Incremental_Cost Year 2'!AT273</f>
        <v>0</v>
      </c>
      <c r="Y83" s="190">
        <f>'Incremental_Cost Year 2'!AU273</f>
        <v>0</v>
      </c>
      <c r="Z83" s="190">
        <f>'Incremental_Cost Year 2'!AV273</f>
        <v>0</v>
      </c>
      <c r="AA83" s="190">
        <f>'Incremental_Cost Year 2'!AW273</f>
        <v>0</v>
      </c>
      <c r="AB83" s="190">
        <f>'Incremental_Cost Year 2'!AX273</f>
        <v>0</v>
      </c>
      <c r="AC83" s="190">
        <f>'Incremental_Cost Year 2'!AY273</f>
        <v>0</v>
      </c>
      <c r="AD83" s="190">
        <f>'Incremental_Cost Year 2'!AZ273</f>
        <v>0</v>
      </c>
      <c r="AE83" s="190">
        <f>'Incremental_Cost Year 2'!BA273</f>
        <v>0</v>
      </c>
      <c r="AF83" s="190">
        <f>'Incremental_Cost Year 2'!BB273</f>
        <v>0</v>
      </c>
      <c r="AG83" s="70"/>
      <c r="AH83" s="190">
        <f>'Incremental_Cost Year 3'!AQ273</f>
        <v>0</v>
      </c>
      <c r="AI83" s="190">
        <f>'Incremental_Cost Year 3'!AR273</f>
        <v>0</v>
      </c>
      <c r="AJ83" s="190">
        <f>'Incremental_Cost Year 3'!AS273</f>
        <v>0</v>
      </c>
      <c r="AK83" s="190">
        <f>'Incremental_Cost Year 3'!AT273</f>
        <v>0</v>
      </c>
      <c r="AL83" s="190">
        <f>'Incremental_Cost Year 3'!AU273</f>
        <v>0</v>
      </c>
      <c r="AM83" s="190">
        <f>'Incremental_Cost Year 3'!AV273</f>
        <v>0</v>
      </c>
      <c r="AN83" s="190">
        <f>'Incremental_Cost Year 3'!AW273</f>
        <v>0</v>
      </c>
      <c r="AO83" s="190">
        <f>'Incremental_Cost Year 3'!AX273</f>
        <v>0</v>
      </c>
      <c r="AP83" s="190">
        <f>'Incremental_Cost Year 3'!AY273</f>
        <v>0</v>
      </c>
      <c r="AQ83" s="190">
        <f>'Incremental_Cost Year 3'!AZ273</f>
        <v>0</v>
      </c>
      <c r="AR83" s="190">
        <f>'Incremental_Cost Year 3'!BA273</f>
        <v>0</v>
      </c>
      <c r="AS83" s="190">
        <f>'Incremental_Cost Year 3'!BB273</f>
        <v>0</v>
      </c>
      <c r="AT83" s="70"/>
      <c r="AU83" s="190">
        <f>'Incremental_Cost Year 4'!AQ273</f>
        <v>0</v>
      </c>
      <c r="AV83" s="190">
        <f>'Incremental_Cost Year 4'!AR273</f>
        <v>0</v>
      </c>
      <c r="AW83" s="190">
        <f>'Incremental_Cost Year 4'!AS273</f>
        <v>0</v>
      </c>
      <c r="AX83" s="190">
        <f>'Incremental_Cost Year 4'!AT273</f>
        <v>0</v>
      </c>
      <c r="AY83" s="190">
        <f>'Incremental_Cost Year 4'!AU273</f>
        <v>0</v>
      </c>
      <c r="AZ83" s="190">
        <f>'Incremental_Cost Year 4'!AV273</f>
        <v>0</v>
      </c>
      <c r="BA83" s="190">
        <f>'Incremental_Cost Year 4'!AW273</f>
        <v>0</v>
      </c>
      <c r="BB83" s="190">
        <f>'Incremental_Cost Year 4'!AX273</f>
        <v>0</v>
      </c>
      <c r="BC83" s="190">
        <f>'Incremental_Cost Year 4'!AY273</f>
        <v>0</v>
      </c>
      <c r="BD83" s="190">
        <f>'Incremental_Cost Year 4'!AZ273</f>
        <v>0</v>
      </c>
      <c r="BE83" s="190">
        <f>'Incremental_Cost Year 4'!BA273</f>
        <v>0</v>
      </c>
      <c r="BF83" s="190">
        <f>'Incremental_Cost Year 4'!BB273</f>
        <v>0</v>
      </c>
      <c r="BG83" s="70"/>
      <c r="BH83" s="190">
        <f>'Incremental_Cost Year 5'!AQ273</f>
        <v>0</v>
      </c>
      <c r="BI83" s="190">
        <f>'Incremental_Cost Year 5'!AR273</f>
        <v>0</v>
      </c>
      <c r="BJ83" s="190">
        <f>'Incremental_Cost Year 5'!AS273</f>
        <v>0</v>
      </c>
      <c r="BK83" s="190">
        <f>'Incremental_Cost Year 5'!AT273</f>
        <v>0</v>
      </c>
      <c r="BL83" s="190">
        <f>'Incremental_Cost Year 5'!AU273</f>
        <v>0</v>
      </c>
      <c r="BM83" s="190">
        <f>'Incremental_Cost Year 5'!AV273</f>
        <v>0</v>
      </c>
      <c r="BN83" s="190">
        <f>'Incremental_Cost Year 5'!AW273</f>
        <v>0</v>
      </c>
      <c r="BO83" s="190">
        <f>'Incremental_Cost Year 5'!AX273</f>
        <v>0</v>
      </c>
      <c r="BP83" s="190">
        <f>'Incremental_Cost Year 5'!AY273</f>
        <v>0</v>
      </c>
      <c r="BQ83" s="190">
        <f>'Incremental_Cost Year 5'!AZ273</f>
        <v>0</v>
      </c>
      <c r="BR83" s="190">
        <f>'Incremental_Cost Year 5'!BA273</f>
        <v>0</v>
      </c>
      <c r="BS83" s="190">
        <f>'Incremental_Cost Year 5'!BB273</f>
        <v>0</v>
      </c>
      <c r="BT83" s="70"/>
      <c r="BU83" s="190">
        <f>'Incremental_Cost Year 6'!AQ273</f>
        <v>117633.60000000001</v>
      </c>
      <c r="BV83" s="190">
        <f>'Incremental_Cost Year 6'!AR273</f>
        <v>579000</v>
      </c>
      <c r="BW83" s="190">
        <f>'Incremental_Cost Year 6'!AS273</f>
        <v>0</v>
      </c>
      <c r="BX83" s="190">
        <f>'Incremental_Cost Year 6'!AT273</f>
        <v>696633.6</v>
      </c>
      <c r="BY83" s="190">
        <f>'Incremental_Cost Year 6'!AU273</f>
        <v>117633.60000000001</v>
      </c>
      <c r="BZ83" s="190">
        <f>'Incremental_Cost Year 6'!AV273</f>
        <v>0</v>
      </c>
      <c r="CA83" s="190">
        <f>'Incremental_Cost Year 6'!AW273</f>
        <v>0</v>
      </c>
      <c r="CB83" s="190">
        <f>'Incremental_Cost Year 6'!AX273</f>
        <v>0</v>
      </c>
      <c r="CC83" s="190">
        <f>'Incremental_Cost Year 6'!AY273</f>
        <v>0</v>
      </c>
      <c r="CD83" s="190">
        <f>'Incremental_Cost Year 6'!AZ273</f>
        <v>0</v>
      </c>
      <c r="CE83" s="190">
        <f>'Incremental_Cost Year 6'!BA273</f>
        <v>0</v>
      </c>
      <c r="CF83" s="190">
        <f>'Incremental_Cost Year 6'!BB273</f>
        <v>-579000</v>
      </c>
      <c r="CG83" s="70"/>
      <c r="CH83" s="190">
        <f>'Incremental_Cost Year 7'!AQ273</f>
        <v>117633.60000000001</v>
      </c>
      <c r="CI83" s="190">
        <f>'Incremental_Cost Year 7'!AR273</f>
        <v>463200</v>
      </c>
      <c r="CJ83" s="190">
        <f>'Incremental_Cost Year 7'!AS273</f>
        <v>0</v>
      </c>
      <c r="CK83" s="190">
        <f>'Incremental_Cost Year 7'!AT273</f>
        <v>580833.6</v>
      </c>
      <c r="CL83" s="190">
        <f>'Incremental_Cost Year 7'!AU273</f>
        <v>117633.60000000001</v>
      </c>
      <c r="CM83" s="190">
        <f>'Incremental_Cost Year 7'!AV273</f>
        <v>0</v>
      </c>
      <c r="CN83" s="190">
        <f>'Incremental_Cost Year 7'!AW273</f>
        <v>0</v>
      </c>
      <c r="CO83" s="190">
        <f>'Incremental_Cost Year 7'!AX273</f>
        <v>0</v>
      </c>
      <c r="CP83" s="190">
        <f>'Incremental_Cost Year 7'!AY273</f>
        <v>0</v>
      </c>
      <c r="CQ83" s="190">
        <f>'Incremental_Cost Year 7'!AZ273</f>
        <v>0</v>
      </c>
      <c r="CR83" s="190">
        <f>'Incremental_Cost Year 7'!BA273</f>
        <v>0</v>
      </c>
      <c r="CS83" s="190">
        <f>'Incremental_Cost Year 7'!BB273</f>
        <v>-463200</v>
      </c>
      <c r="CT83" s="70"/>
      <c r="CU83" s="190">
        <f>'Incremental_Cost Year 8'!AQ273</f>
        <v>117633.60000000001</v>
      </c>
      <c r="CV83" s="190">
        <f>'Incremental_Cost Year 8'!AR273</f>
        <v>386000</v>
      </c>
      <c r="CW83" s="190">
        <f>'Incremental_Cost Year 8'!AS273</f>
        <v>0</v>
      </c>
      <c r="CX83" s="190">
        <f>'Incremental_Cost Year 8'!AT273</f>
        <v>503633.6</v>
      </c>
      <c r="CY83" s="190">
        <f>'Incremental_Cost Year 8'!AU273</f>
        <v>117633.60000000001</v>
      </c>
      <c r="CZ83" s="190">
        <f>'Incremental_Cost Year 8'!AV273</f>
        <v>0</v>
      </c>
      <c r="DA83" s="190">
        <f>'Incremental_Cost Year 8'!AW273</f>
        <v>0</v>
      </c>
      <c r="DB83" s="190">
        <f>'Incremental_Cost Year 8'!AX273</f>
        <v>0</v>
      </c>
      <c r="DC83" s="190">
        <f>'Incremental_Cost Year 8'!AY273</f>
        <v>0</v>
      </c>
      <c r="DD83" s="190">
        <f>'Incremental_Cost Year 8'!AZ273</f>
        <v>0</v>
      </c>
      <c r="DE83" s="190">
        <f>'Incremental_Cost Year 8'!BA273</f>
        <v>0</v>
      </c>
      <c r="DF83" s="190">
        <f>'Incremental_Cost Year 8'!BB273</f>
        <v>-386000</v>
      </c>
      <c r="DG83" s="70"/>
      <c r="DH83" s="190">
        <f>'Incremental_Cost Year 9'!AQ273</f>
        <v>0</v>
      </c>
      <c r="DI83" s="190">
        <f>'Incremental_Cost Year 9'!AR273</f>
        <v>0</v>
      </c>
      <c r="DJ83" s="190">
        <f>'Incremental_Cost Year 9'!AS273</f>
        <v>0</v>
      </c>
      <c r="DK83" s="190">
        <f>'Incremental_Cost Year 9'!AT273</f>
        <v>0</v>
      </c>
      <c r="DL83" s="190">
        <f>'Incremental_Cost Year 9'!AU273</f>
        <v>0</v>
      </c>
      <c r="DM83" s="190">
        <f>'Incremental_Cost Year 9'!AV273</f>
        <v>0</v>
      </c>
      <c r="DN83" s="190">
        <f>'Incremental_Cost Year 9'!AW273</f>
        <v>0</v>
      </c>
      <c r="DO83" s="190">
        <f>'Incremental_Cost Year 9'!AX273</f>
        <v>0</v>
      </c>
      <c r="DP83" s="190">
        <f>'Incremental_Cost Year 9'!AY273</f>
        <v>0</v>
      </c>
      <c r="DQ83" s="190">
        <f>'Incremental_Cost Year 9'!AZ273</f>
        <v>0</v>
      </c>
      <c r="DR83" s="190">
        <f>'Incremental_Cost Year 9'!BA273</f>
        <v>0</v>
      </c>
      <c r="DS83" s="190">
        <f>'Incremental_Cost Year 9'!BB273</f>
        <v>0</v>
      </c>
      <c r="DT83" s="70"/>
      <c r="DU83" s="190">
        <f>'Incremental_Cost Year 10'!AQ273</f>
        <v>0</v>
      </c>
      <c r="DV83" s="190">
        <f>'Incremental_Cost Year 10'!AR273</f>
        <v>0</v>
      </c>
      <c r="DW83" s="190">
        <f>'Incremental_Cost Year 10'!AS273</f>
        <v>0</v>
      </c>
      <c r="DX83" s="190">
        <f>'Incremental_Cost Year 10'!AT273</f>
        <v>0</v>
      </c>
      <c r="DY83" s="190">
        <f>'Incremental_Cost Year 10'!AU273</f>
        <v>0</v>
      </c>
      <c r="DZ83" s="190">
        <f>'Incremental_Cost Year 10'!AV273</f>
        <v>0</v>
      </c>
      <c r="EA83" s="190">
        <f>'Incremental_Cost Year 10'!AW273</f>
        <v>0</v>
      </c>
      <c r="EB83" s="190">
        <f>'Incremental_Cost Year 10'!AX273</f>
        <v>0</v>
      </c>
      <c r="EC83" s="190">
        <f>'Incremental_Cost Year 10'!AY273</f>
        <v>0</v>
      </c>
      <c r="ED83" s="190">
        <f>'Incremental_Cost Year 10'!AZ273</f>
        <v>0</v>
      </c>
      <c r="EE83" s="190">
        <f>'Incremental_Cost Year 10'!BA273</f>
        <v>0</v>
      </c>
      <c r="EF83" s="190">
        <f>'Incremental_Cost Year 10'!BB273</f>
        <v>0</v>
      </c>
      <c r="EG83" s="70"/>
      <c r="EH83" s="190">
        <f t="shared" ref="EH83:ES84" si="353">H83+U83+AH83+AU83+BH83+BU83+CH83+CU83+DH83+DU83</f>
        <v>352900.80000000005</v>
      </c>
      <c r="EI83" s="190">
        <f t="shared" si="353"/>
        <v>1428200</v>
      </c>
      <c r="EJ83" s="190">
        <f t="shared" si="353"/>
        <v>0</v>
      </c>
      <c r="EK83" s="190">
        <f t="shared" si="353"/>
        <v>1781100.7999999998</v>
      </c>
      <c r="EL83" s="190">
        <f t="shared" si="353"/>
        <v>352900.80000000005</v>
      </c>
      <c r="EM83" s="190">
        <f t="shared" si="353"/>
        <v>0</v>
      </c>
      <c r="EN83" s="190">
        <f t="shared" si="353"/>
        <v>0</v>
      </c>
      <c r="EO83" s="190">
        <f t="shared" si="353"/>
        <v>0</v>
      </c>
      <c r="EP83" s="190">
        <f t="shared" si="353"/>
        <v>0</v>
      </c>
      <c r="EQ83" s="190">
        <f t="shared" si="353"/>
        <v>0</v>
      </c>
      <c r="ER83" s="190">
        <f t="shared" si="353"/>
        <v>0</v>
      </c>
      <c r="ES83" s="190">
        <f t="shared" si="353"/>
        <v>-1428200</v>
      </c>
      <c r="EU83" s="194">
        <f t="shared" si="330"/>
        <v>0</v>
      </c>
      <c r="EW83" s="194">
        <f t="shared" si="331"/>
        <v>-1428199.9999999998</v>
      </c>
      <c r="EX83" s="194">
        <f t="shared" si="317"/>
        <v>0</v>
      </c>
    </row>
    <row r="84" spans="1:154" s="167" customFormat="1" ht="25.5" x14ac:dyDescent="0.25">
      <c r="A84" s="183"/>
      <c r="B84" s="185"/>
      <c r="C84" s="198"/>
      <c r="D84" s="186"/>
      <c r="E84" s="193" t="str">
        <f>'Incremental_Cost Year 1'!E276</f>
        <v>5.3.2. Zbatimi i Klasifikimit Ndërkombëtar të Sëmundjeve ICD-10, bazuar në standardet ndërkombëtare dhe të OBSH-së</v>
      </c>
      <c r="F84" s="193">
        <f>'Incremental_Cost Year 1'!F276</f>
        <v>2022</v>
      </c>
      <c r="G84" s="193">
        <f>'Incremental_Cost Year 1'!G276</f>
        <v>2025</v>
      </c>
      <c r="H84" s="190">
        <f>'Incremental_Cost Year 1'!AQ276</f>
        <v>0</v>
      </c>
      <c r="I84" s="190">
        <f>'Incremental_Cost Year 1'!AR276</f>
        <v>0</v>
      </c>
      <c r="J84" s="190">
        <f>'Incremental_Cost Year 1'!AS276</f>
        <v>0</v>
      </c>
      <c r="K84" s="190">
        <f>'Incremental_Cost Year 1'!AT276</f>
        <v>0</v>
      </c>
      <c r="L84" s="190">
        <f>'Incremental_Cost Year 1'!AU276</f>
        <v>0</v>
      </c>
      <c r="M84" s="190">
        <f>'Incremental_Cost Year 1'!AV276</f>
        <v>0</v>
      </c>
      <c r="N84" s="190">
        <f>'Incremental_Cost Year 1'!AW276</f>
        <v>0</v>
      </c>
      <c r="O84" s="190">
        <f>'Incremental_Cost Year 1'!AX276</f>
        <v>0</v>
      </c>
      <c r="P84" s="190">
        <f>'Incremental_Cost Year 1'!AY276</f>
        <v>0</v>
      </c>
      <c r="Q84" s="190">
        <f>'Incremental_Cost Year 1'!AZ276</f>
        <v>0</v>
      </c>
      <c r="R84" s="190">
        <f>'Incremental_Cost Year 1'!BA276</f>
        <v>0</v>
      </c>
      <c r="S84" s="190">
        <f>'Incremental_Cost Year 1'!BB276</f>
        <v>0</v>
      </c>
      <c r="T84" s="70"/>
      <c r="U84" s="190">
        <f>'Incremental_Cost Year 2'!AQ276</f>
        <v>352900.8</v>
      </c>
      <c r="V84" s="190">
        <f>'Incremental_Cost Year 2'!AR276</f>
        <v>4507000</v>
      </c>
      <c r="W84" s="190">
        <f>'Incremental_Cost Year 2'!AS276</f>
        <v>0</v>
      </c>
      <c r="X84" s="190">
        <f>'Incremental_Cost Year 2'!AT276</f>
        <v>4859900.8</v>
      </c>
      <c r="Y84" s="190">
        <f>'Incremental_Cost Year 2'!AU276</f>
        <v>352900.8</v>
      </c>
      <c r="Z84" s="190">
        <f>'Incremental_Cost Year 2'!AV276</f>
        <v>0</v>
      </c>
      <c r="AA84" s="190">
        <f>'Incremental_Cost Year 2'!AW276</f>
        <v>0</v>
      </c>
      <c r="AB84" s="190">
        <f>'Incremental_Cost Year 2'!AX276</f>
        <v>0</v>
      </c>
      <c r="AC84" s="190">
        <f>'Incremental_Cost Year 2'!AY276</f>
        <v>0</v>
      </c>
      <c r="AD84" s="190">
        <f>'Incremental_Cost Year 2'!AZ276</f>
        <v>0</v>
      </c>
      <c r="AE84" s="190">
        <f>'Incremental_Cost Year 2'!BA276</f>
        <v>0</v>
      </c>
      <c r="AF84" s="190">
        <f>'Incremental_Cost Year 2'!BB276</f>
        <v>-4507000</v>
      </c>
      <c r="AG84" s="70"/>
      <c r="AH84" s="190">
        <f>'Incremental_Cost Year 3'!AQ276</f>
        <v>352900.8</v>
      </c>
      <c r="AI84" s="190">
        <f>'Incremental_Cost Year 3'!AR276</f>
        <v>4928400</v>
      </c>
      <c r="AJ84" s="190">
        <f>'Incremental_Cost Year 3'!AS276</f>
        <v>0</v>
      </c>
      <c r="AK84" s="190">
        <f>'Incremental_Cost Year 3'!AT276</f>
        <v>5281300.8</v>
      </c>
      <c r="AL84" s="190">
        <f>'Incremental_Cost Year 3'!AU276</f>
        <v>352900.8</v>
      </c>
      <c r="AM84" s="190">
        <f>'Incremental_Cost Year 3'!AV276</f>
        <v>0</v>
      </c>
      <c r="AN84" s="190">
        <f>'Incremental_Cost Year 3'!AW276</f>
        <v>0</v>
      </c>
      <c r="AO84" s="190">
        <f>'Incremental_Cost Year 3'!AX276</f>
        <v>0</v>
      </c>
      <c r="AP84" s="190">
        <f>'Incremental_Cost Year 3'!AY276</f>
        <v>0</v>
      </c>
      <c r="AQ84" s="190">
        <f>'Incremental_Cost Year 3'!AZ276</f>
        <v>0</v>
      </c>
      <c r="AR84" s="190">
        <f>'Incremental_Cost Year 3'!BA276</f>
        <v>0</v>
      </c>
      <c r="AS84" s="190">
        <f>'Incremental_Cost Year 3'!BB276</f>
        <v>-4928400</v>
      </c>
      <c r="AT84" s="70"/>
      <c r="AU84" s="190">
        <f>'Incremental_Cost Year 4'!AQ276</f>
        <v>352900.8</v>
      </c>
      <c r="AV84" s="190">
        <f>'Incremental_Cost Year 4'!AR276</f>
        <v>4928400</v>
      </c>
      <c r="AW84" s="190">
        <f>'Incremental_Cost Year 4'!AS276</f>
        <v>0</v>
      </c>
      <c r="AX84" s="190">
        <f>'Incremental_Cost Year 4'!AT276</f>
        <v>5281300.8</v>
      </c>
      <c r="AY84" s="190">
        <f>'Incremental_Cost Year 4'!AU276</f>
        <v>352900.8</v>
      </c>
      <c r="AZ84" s="190">
        <f>'Incremental_Cost Year 4'!AV276</f>
        <v>0</v>
      </c>
      <c r="BA84" s="190">
        <f>'Incremental_Cost Year 4'!AW276</f>
        <v>0</v>
      </c>
      <c r="BB84" s="190">
        <f>'Incremental_Cost Year 4'!AX276</f>
        <v>0</v>
      </c>
      <c r="BC84" s="190">
        <f>'Incremental_Cost Year 4'!AY276</f>
        <v>0</v>
      </c>
      <c r="BD84" s="190">
        <f>'Incremental_Cost Year 4'!AZ276</f>
        <v>0</v>
      </c>
      <c r="BE84" s="190">
        <f>'Incremental_Cost Year 4'!BA276</f>
        <v>0</v>
      </c>
      <c r="BF84" s="190">
        <f>'Incremental_Cost Year 4'!BB276</f>
        <v>-4928400</v>
      </c>
      <c r="BG84" s="70"/>
      <c r="BH84" s="190">
        <f>'Incremental_Cost Year 5'!AQ276</f>
        <v>352900.8</v>
      </c>
      <c r="BI84" s="190">
        <f>'Incremental_Cost Year 5'!AR276</f>
        <v>4928400</v>
      </c>
      <c r="BJ84" s="190">
        <f>'Incremental_Cost Year 5'!AS276</f>
        <v>0</v>
      </c>
      <c r="BK84" s="190">
        <f>'Incremental_Cost Year 5'!AT276</f>
        <v>5281300.8</v>
      </c>
      <c r="BL84" s="190">
        <f>'Incremental_Cost Year 5'!AU276</f>
        <v>352900.8</v>
      </c>
      <c r="BM84" s="190">
        <f>'Incremental_Cost Year 5'!AV276</f>
        <v>0</v>
      </c>
      <c r="BN84" s="190">
        <f>'Incremental_Cost Year 5'!AW276</f>
        <v>0</v>
      </c>
      <c r="BO84" s="190">
        <f>'Incremental_Cost Year 5'!AX276</f>
        <v>0</v>
      </c>
      <c r="BP84" s="190">
        <f>'Incremental_Cost Year 5'!AY276</f>
        <v>0</v>
      </c>
      <c r="BQ84" s="190">
        <f>'Incremental_Cost Year 5'!AZ276</f>
        <v>0</v>
      </c>
      <c r="BR84" s="190">
        <f>'Incremental_Cost Year 5'!BA276</f>
        <v>0</v>
      </c>
      <c r="BS84" s="190">
        <f>'Incremental_Cost Year 5'!BB276</f>
        <v>-4928400</v>
      </c>
      <c r="BT84" s="70"/>
      <c r="BU84" s="190">
        <f>'Incremental_Cost Year 6'!AQ276</f>
        <v>0</v>
      </c>
      <c r="BV84" s="190">
        <f>'Incremental_Cost Year 6'!AR276</f>
        <v>0</v>
      </c>
      <c r="BW84" s="190">
        <f>'Incremental_Cost Year 6'!AS276</f>
        <v>0</v>
      </c>
      <c r="BX84" s="190">
        <f>'Incremental_Cost Year 6'!AT276</f>
        <v>0</v>
      </c>
      <c r="BY84" s="190">
        <f>'Incremental_Cost Year 6'!AU276</f>
        <v>0</v>
      </c>
      <c r="BZ84" s="190">
        <f>'Incremental_Cost Year 6'!AV276</f>
        <v>0</v>
      </c>
      <c r="CA84" s="190">
        <f>'Incremental_Cost Year 6'!AW276</f>
        <v>0</v>
      </c>
      <c r="CB84" s="190">
        <f>'Incremental_Cost Year 6'!AX276</f>
        <v>0</v>
      </c>
      <c r="CC84" s="190">
        <f>'Incremental_Cost Year 6'!AY276</f>
        <v>0</v>
      </c>
      <c r="CD84" s="190">
        <f>'Incremental_Cost Year 6'!AZ276</f>
        <v>0</v>
      </c>
      <c r="CE84" s="190">
        <f>'Incremental_Cost Year 6'!BA276</f>
        <v>0</v>
      </c>
      <c r="CF84" s="190">
        <f>'Incremental_Cost Year 6'!BB276</f>
        <v>0</v>
      </c>
      <c r="CG84" s="70"/>
      <c r="CH84" s="190">
        <f>'Incremental_Cost Year 7'!AQ276</f>
        <v>0</v>
      </c>
      <c r="CI84" s="190">
        <f>'Incremental_Cost Year 7'!AR276</f>
        <v>0</v>
      </c>
      <c r="CJ84" s="190">
        <f>'Incremental_Cost Year 7'!AS276</f>
        <v>0</v>
      </c>
      <c r="CK84" s="190">
        <f>'Incremental_Cost Year 7'!AT276</f>
        <v>0</v>
      </c>
      <c r="CL84" s="190">
        <f>'Incremental_Cost Year 7'!AU276</f>
        <v>0</v>
      </c>
      <c r="CM84" s="190">
        <f>'Incremental_Cost Year 7'!AV276</f>
        <v>0</v>
      </c>
      <c r="CN84" s="190">
        <f>'Incremental_Cost Year 7'!AW276</f>
        <v>0</v>
      </c>
      <c r="CO84" s="190">
        <f>'Incremental_Cost Year 7'!AX276</f>
        <v>0</v>
      </c>
      <c r="CP84" s="190">
        <f>'Incremental_Cost Year 7'!AY276</f>
        <v>0</v>
      </c>
      <c r="CQ84" s="190">
        <f>'Incremental_Cost Year 7'!AZ276</f>
        <v>0</v>
      </c>
      <c r="CR84" s="190">
        <f>'Incremental_Cost Year 7'!BA276</f>
        <v>0</v>
      </c>
      <c r="CS84" s="190">
        <f>'Incremental_Cost Year 7'!BB276</f>
        <v>0</v>
      </c>
      <c r="CT84" s="70"/>
      <c r="CU84" s="190">
        <f>'Incremental_Cost Year 8'!AQ276</f>
        <v>0</v>
      </c>
      <c r="CV84" s="190">
        <f>'Incremental_Cost Year 8'!AR276</f>
        <v>0</v>
      </c>
      <c r="CW84" s="190">
        <f>'Incremental_Cost Year 8'!AS276</f>
        <v>0</v>
      </c>
      <c r="CX84" s="190">
        <f>'Incremental_Cost Year 8'!AT276</f>
        <v>0</v>
      </c>
      <c r="CY84" s="190">
        <f>'Incremental_Cost Year 8'!AU276</f>
        <v>0</v>
      </c>
      <c r="CZ84" s="190">
        <f>'Incremental_Cost Year 8'!AV276</f>
        <v>0</v>
      </c>
      <c r="DA84" s="190">
        <f>'Incremental_Cost Year 8'!AW276</f>
        <v>0</v>
      </c>
      <c r="DB84" s="190">
        <f>'Incremental_Cost Year 8'!AX276</f>
        <v>0</v>
      </c>
      <c r="DC84" s="190">
        <f>'Incremental_Cost Year 8'!AY276</f>
        <v>0</v>
      </c>
      <c r="DD84" s="190">
        <f>'Incremental_Cost Year 8'!AZ276</f>
        <v>0</v>
      </c>
      <c r="DE84" s="190">
        <f>'Incremental_Cost Year 8'!BA276</f>
        <v>0</v>
      </c>
      <c r="DF84" s="190">
        <f>'Incremental_Cost Year 8'!BB276</f>
        <v>0</v>
      </c>
      <c r="DG84" s="70"/>
      <c r="DH84" s="190">
        <f>'Incremental_Cost Year 9'!AQ276</f>
        <v>0</v>
      </c>
      <c r="DI84" s="190">
        <f>'Incremental_Cost Year 9'!AR276</f>
        <v>0</v>
      </c>
      <c r="DJ84" s="190">
        <f>'Incremental_Cost Year 9'!AS276</f>
        <v>0</v>
      </c>
      <c r="DK84" s="190">
        <f>'Incremental_Cost Year 9'!AT276</f>
        <v>0</v>
      </c>
      <c r="DL84" s="190">
        <f>'Incremental_Cost Year 9'!AU276</f>
        <v>0</v>
      </c>
      <c r="DM84" s="190">
        <f>'Incremental_Cost Year 9'!AV276</f>
        <v>0</v>
      </c>
      <c r="DN84" s="190">
        <f>'Incremental_Cost Year 9'!AW276</f>
        <v>0</v>
      </c>
      <c r="DO84" s="190">
        <f>'Incremental_Cost Year 9'!AX276</f>
        <v>0</v>
      </c>
      <c r="DP84" s="190">
        <f>'Incremental_Cost Year 9'!AY276</f>
        <v>0</v>
      </c>
      <c r="DQ84" s="190">
        <f>'Incremental_Cost Year 9'!AZ276</f>
        <v>0</v>
      </c>
      <c r="DR84" s="190">
        <f>'Incremental_Cost Year 9'!BA276</f>
        <v>0</v>
      </c>
      <c r="DS84" s="190">
        <f>'Incremental_Cost Year 9'!BB276</f>
        <v>0</v>
      </c>
      <c r="DT84" s="70"/>
      <c r="DU84" s="190">
        <f>'Incremental_Cost Year 10'!AQ276</f>
        <v>0</v>
      </c>
      <c r="DV84" s="190">
        <f>'Incremental_Cost Year 10'!AR276</f>
        <v>0</v>
      </c>
      <c r="DW84" s="190">
        <f>'Incremental_Cost Year 10'!AS276</f>
        <v>0</v>
      </c>
      <c r="DX84" s="190">
        <f>'Incremental_Cost Year 10'!AT276</f>
        <v>0</v>
      </c>
      <c r="DY84" s="190">
        <f>'Incremental_Cost Year 10'!AU276</f>
        <v>0</v>
      </c>
      <c r="DZ84" s="190">
        <f>'Incremental_Cost Year 10'!AV276</f>
        <v>0</v>
      </c>
      <c r="EA84" s="190">
        <f>'Incremental_Cost Year 10'!AW276</f>
        <v>0</v>
      </c>
      <c r="EB84" s="190">
        <f>'Incremental_Cost Year 10'!AX276</f>
        <v>0</v>
      </c>
      <c r="EC84" s="190">
        <f>'Incremental_Cost Year 10'!AY276</f>
        <v>0</v>
      </c>
      <c r="ED84" s="190">
        <f>'Incremental_Cost Year 10'!AZ276</f>
        <v>0</v>
      </c>
      <c r="EE84" s="190">
        <f>'Incremental_Cost Year 10'!BA276</f>
        <v>0</v>
      </c>
      <c r="EF84" s="190">
        <f>'Incremental_Cost Year 10'!BB276</f>
        <v>0</v>
      </c>
      <c r="EG84" s="70"/>
      <c r="EH84" s="190">
        <f t="shared" si="353"/>
        <v>1411603.2</v>
      </c>
      <c r="EI84" s="190">
        <f t="shared" si="353"/>
        <v>19292200</v>
      </c>
      <c r="EJ84" s="190">
        <f t="shared" si="353"/>
        <v>0</v>
      </c>
      <c r="EK84" s="190">
        <f t="shared" si="353"/>
        <v>20703803.199999999</v>
      </c>
      <c r="EL84" s="190">
        <f t="shared" si="353"/>
        <v>1411603.2</v>
      </c>
      <c r="EM84" s="190">
        <f t="shared" si="353"/>
        <v>0</v>
      </c>
      <c r="EN84" s="190">
        <f t="shared" si="353"/>
        <v>0</v>
      </c>
      <c r="EO84" s="190">
        <f t="shared" si="353"/>
        <v>0</v>
      </c>
      <c r="EP84" s="190">
        <f t="shared" si="353"/>
        <v>0</v>
      </c>
      <c r="EQ84" s="190">
        <f t="shared" si="353"/>
        <v>0</v>
      </c>
      <c r="ER84" s="190">
        <f t="shared" si="353"/>
        <v>0</v>
      </c>
      <c r="ES84" s="190">
        <f t="shared" si="353"/>
        <v>-19292200</v>
      </c>
      <c r="EU84" s="194">
        <f t="shared" si="330"/>
        <v>0</v>
      </c>
      <c r="EW84" s="194">
        <f t="shared" si="331"/>
        <v>-19292200</v>
      </c>
      <c r="EX84" s="194">
        <f t="shared" si="317"/>
        <v>0</v>
      </c>
    </row>
    <row r="85" spans="1:154" s="167" customFormat="1" x14ac:dyDescent="0.25">
      <c r="A85" s="184"/>
      <c r="B85" s="187"/>
      <c r="C85" s="421" t="str">
        <f>'Incremental_Cost Year 1'!C277:E277</f>
        <v xml:space="preserve">5.4 Objektivi Specifik: Llogaritë Kombëtare të Shëndetësisë dhe publikimi vjetor i rezultateve </v>
      </c>
      <c r="D85" s="421"/>
      <c r="E85" s="422"/>
      <c r="F85" s="197"/>
      <c r="G85" s="197"/>
      <c r="H85" s="192">
        <f>SUM(H86:H86)</f>
        <v>235267.20000000001</v>
      </c>
      <c r="I85" s="192">
        <f t="shared" ref="I85:AF85" si="354">SUM(I86:I86)</f>
        <v>24292500</v>
      </c>
      <c r="J85" s="192">
        <f t="shared" si="354"/>
        <v>0</v>
      </c>
      <c r="K85" s="192">
        <f t="shared" si="354"/>
        <v>24527767.199999999</v>
      </c>
      <c r="L85" s="192">
        <f t="shared" si="354"/>
        <v>235267.20000000001</v>
      </c>
      <c r="M85" s="192">
        <f t="shared" si="354"/>
        <v>0</v>
      </c>
      <c r="N85" s="192">
        <f t="shared" si="354"/>
        <v>24292500</v>
      </c>
      <c r="O85" s="192">
        <f t="shared" si="354"/>
        <v>0</v>
      </c>
      <c r="P85" s="192">
        <f t="shared" si="354"/>
        <v>0</v>
      </c>
      <c r="Q85" s="192">
        <f t="shared" si="354"/>
        <v>0</v>
      </c>
      <c r="R85" s="192">
        <f t="shared" si="354"/>
        <v>0</v>
      </c>
      <c r="S85" s="192">
        <f t="shared" si="354"/>
        <v>0</v>
      </c>
      <c r="T85" s="70"/>
      <c r="U85" s="192">
        <f>SUM(U86:U86)</f>
        <v>0</v>
      </c>
      <c r="V85" s="192">
        <f t="shared" si="354"/>
        <v>0</v>
      </c>
      <c r="W85" s="192">
        <f t="shared" si="354"/>
        <v>0</v>
      </c>
      <c r="X85" s="192">
        <f t="shared" si="354"/>
        <v>0</v>
      </c>
      <c r="Y85" s="192">
        <f t="shared" si="354"/>
        <v>0</v>
      </c>
      <c r="Z85" s="192">
        <f t="shared" si="354"/>
        <v>0</v>
      </c>
      <c r="AA85" s="192">
        <f t="shared" si="354"/>
        <v>0</v>
      </c>
      <c r="AB85" s="192">
        <f t="shared" si="354"/>
        <v>0</v>
      </c>
      <c r="AC85" s="192">
        <f t="shared" si="354"/>
        <v>0</v>
      </c>
      <c r="AD85" s="192">
        <f t="shared" si="354"/>
        <v>0</v>
      </c>
      <c r="AE85" s="192">
        <f t="shared" si="354"/>
        <v>0</v>
      </c>
      <c r="AF85" s="192">
        <f t="shared" si="354"/>
        <v>0</v>
      </c>
      <c r="AG85" s="70"/>
      <c r="AH85" s="192">
        <f>SUM(AH86:AH86)</f>
        <v>28232064</v>
      </c>
      <c r="AI85" s="192">
        <f t="shared" ref="AI85:AS85" si="355">SUM(AI86:AI86)</f>
        <v>0</v>
      </c>
      <c r="AJ85" s="192">
        <f t="shared" si="355"/>
        <v>0</v>
      </c>
      <c r="AK85" s="192">
        <f t="shared" si="355"/>
        <v>28232064</v>
      </c>
      <c r="AL85" s="192">
        <f t="shared" si="355"/>
        <v>28232064</v>
      </c>
      <c r="AM85" s="192">
        <f t="shared" si="355"/>
        <v>0</v>
      </c>
      <c r="AN85" s="192">
        <f t="shared" si="355"/>
        <v>0</v>
      </c>
      <c r="AO85" s="192">
        <f t="shared" si="355"/>
        <v>0</v>
      </c>
      <c r="AP85" s="192">
        <f t="shared" si="355"/>
        <v>0</v>
      </c>
      <c r="AQ85" s="192">
        <f t="shared" si="355"/>
        <v>0</v>
      </c>
      <c r="AR85" s="192">
        <f t="shared" si="355"/>
        <v>0</v>
      </c>
      <c r="AS85" s="192">
        <f t="shared" si="355"/>
        <v>0</v>
      </c>
      <c r="AT85" s="70"/>
      <c r="AU85" s="192">
        <f>SUM(AU86:AU86)</f>
        <v>8940153.5999999996</v>
      </c>
      <c r="AV85" s="192">
        <f t="shared" ref="AV85:BF85" si="356">SUM(AV86:AV86)</f>
        <v>0</v>
      </c>
      <c r="AW85" s="192">
        <f t="shared" si="356"/>
        <v>0</v>
      </c>
      <c r="AX85" s="192">
        <f t="shared" si="356"/>
        <v>8940153.5999999996</v>
      </c>
      <c r="AY85" s="192">
        <f t="shared" si="356"/>
        <v>8940153.5999999996</v>
      </c>
      <c r="AZ85" s="192">
        <f t="shared" si="356"/>
        <v>0</v>
      </c>
      <c r="BA85" s="192">
        <f t="shared" si="356"/>
        <v>0</v>
      </c>
      <c r="BB85" s="192">
        <f t="shared" si="356"/>
        <v>0</v>
      </c>
      <c r="BC85" s="192">
        <f t="shared" si="356"/>
        <v>0</v>
      </c>
      <c r="BD85" s="192">
        <f t="shared" si="356"/>
        <v>0</v>
      </c>
      <c r="BE85" s="192">
        <f t="shared" si="356"/>
        <v>0</v>
      </c>
      <c r="BF85" s="192">
        <f t="shared" si="356"/>
        <v>0</v>
      </c>
      <c r="BG85" s="70"/>
      <c r="BH85" s="192">
        <f>SUM(BH86:BH86)</f>
        <v>8940153.5999999996</v>
      </c>
      <c r="BI85" s="192">
        <f t="shared" ref="BI85:BS85" si="357">SUM(BI86:BI86)</f>
        <v>0</v>
      </c>
      <c r="BJ85" s="192">
        <f t="shared" si="357"/>
        <v>0</v>
      </c>
      <c r="BK85" s="192">
        <f t="shared" si="357"/>
        <v>8940153.5999999996</v>
      </c>
      <c r="BL85" s="192">
        <f t="shared" si="357"/>
        <v>8940153.5999999996</v>
      </c>
      <c r="BM85" s="192">
        <f t="shared" si="357"/>
        <v>0</v>
      </c>
      <c r="BN85" s="192">
        <f t="shared" si="357"/>
        <v>0</v>
      </c>
      <c r="BO85" s="192">
        <f t="shared" si="357"/>
        <v>0</v>
      </c>
      <c r="BP85" s="192">
        <f t="shared" si="357"/>
        <v>0</v>
      </c>
      <c r="BQ85" s="192">
        <f t="shared" si="357"/>
        <v>0</v>
      </c>
      <c r="BR85" s="192">
        <f t="shared" si="357"/>
        <v>0</v>
      </c>
      <c r="BS85" s="192">
        <f t="shared" si="357"/>
        <v>0</v>
      </c>
      <c r="BT85" s="70"/>
      <c r="BU85" s="192">
        <f>SUM(BU86:BU86)</f>
        <v>8940153.5999999996</v>
      </c>
      <c r="BV85" s="192">
        <f t="shared" ref="BV85:CF85" si="358">SUM(BV86:BV86)</f>
        <v>0</v>
      </c>
      <c r="BW85" s="192">
        <f t="shared" si="358"/>
        <v>0</v>
      </c>
      <c r="BX85" s="192">
        <f t="shared" si="358"/>
        <v>8940153.5999999996</v>
      </c>
      <c r="BY85" s="192">
        <f t="shared" si="358"/>
        <v>8940153.5999999996</v>
      </c>
      <c r="BZ85" s="192">
        <f t="shared" si="358"/>
        <v>0</v>
      </c>
      <c r="CA85" s="192">
        <f t="shared" si="358"/>
        <v>0</v>
      </c>
      <c r="CB85" s="192">
        <f t="shared" si="358"/>
        <v>0</v>
      </c>
      <c r="CC85" s="192">
        <f t="shared" si="358"/>
        <v>0</v>
      </c>
      <c r="CD85" s="192">
        <f t="shared" si="358"/>
        <v>0</v>
      </c>
      <c r="CE85" s="192">
        <f t="shared" si="358"/>
        <v>0</v>
      </c>
      <c r="CF85" s="192">
        <f t="shared" si="358"/>
        <v>0</v>
      </c>
      <c r="CG85" s="70"/>
      <c r="CH85" s="192">
        <f>SUM(CH86:CH86)</f>
        <v>8940153.5999999996</v>
      </c>
      <c r="CI85" s="192">
        <f t="shared" ref="CI85:CS85" si="359">SUM(CI86:CI86)</f>
        <v>0</v>
      </c>
      <c r="CJ85" s="192">
        <f t="shared" si="359"/>
        <v>0</v>
      </c>
      <c r="CK85" s="192">
        <f t="shared" si="359"/>
        <v>8940153.5999999996</v>
      </c>
      <c r="CL85" s="192">
        <f t="shared" si="359"/>
        <v>8940153.5999999996</v>
      </c>
      <c r="CM85" s="192">
        <f t="shared" si="359"/>
        <v>0</v>
      </c>
      <c r="CN85" s="192">
        <f t="shared" si="359"/>
        <v>0</v>
      </c>
      <c r="CO85" s="192">
        <f t="shared" si="359"/>
        <v>0</v>
      </c>
      <c r="CP85" s="192">
        <f t="shared" si="359"/>
        <v>0</v>
      </c>
      <c r="CQ85" s="192">
        <f t="shared" si="359"/>
        <v>0</v>
      </c>
      <c r="CR85" s="192">
        <f t="shared" si="359"/>
        <v>0</v>
      </c>
      <c r="CS85" s="192">
        <f t="shared" si="359"/>
        <v>0</v>
      </c>
      <c r="CT85" s="70"/>
      <c r="CU85" s="192">
        <f>SUM(CU86:CU86)</f>
        <v>8940153.5999999996</v>
      </c>
      <c r="CV85" s="192">
        <f t="shared" ref="CV85:DF85" si="360">SUM(CV86:CV86)</f>
        <v>0</v>
      </c>
      <c r="CW85" s="192">
        <f t="shared" si="360"/>
        <v>0</v>
      </c>
      <c r="CX85" s="192">
        <f t="shared" si="360"/>
        <v>8940153.5999999996</v>
      </c>
      <c r="CY85" s="192">
        <f t="shared" si="360"/>
        <v>8940153.5999999996</v>
      </c>
      <c r="CZ85" s="192">
        <f t="shared" si="360"/>
        <v>0</v>
      </c>
      <c r="DA85" s="192">
        <f t="shared" si="360"/>
        <v>0</v>
      </c>
      <c r="DB85" s="192">
        <f t="shared" si="360"/>
        <v>0</v>
      </c>
      <c r="DC85" s="192">
        <f t="shared" si="360"/>
        <v>0</v>
      </c>
      <c r="DD85" s="192">
        <f t="shared" si="360"/>
        <v>0</v>
      </c>
      <c r="DE85" s="192">
        <f t="shared" si="360"/>
        <v>0</v>
      </c>
      <c r="DF85" s="192">
        <f t="shared" si="360"/>
        <v>0</v>
      </c>
      <c r="DG85" s="70"/>
      <c r="DH85" s="192">
        <f>SUM(DH86:DH86)</f>
        <v>8940153.5999999996</v>
      </c>
      <c r="DI85" s="192">
        <f t="shared" ref="DI85:DS85" si="361">SUM(DI86:DI86)</f>
        <v>0</v>
      </c>
      <c r="DJ85" s="192">
        <f t="shared" si="361"/>
        <v>0</v>
      </c>
      <c r="DK85" s="192">
        <f t="shared" si="361"/>
        <v>8940153.5999999996</v>
      </c>
      <c r="DL85" s="192">
        <f t="shared" si="361"/>
        <v>8940153.5999999996</v>
      </c>
      <c r="DM85" s="192">
        <f t="shared" si="361"/>
        <v>0</v>
      </c>
      <c r="DN85" s="192">
        <f t="shared" si="361"/>
        <v>0</v>
      </c>
      <c r="DO85" s="192">
        <f t="shared" si="361"/>
        <v>0</v>
      </c>
      <c r="DP85" s="192">
        <f t="shared" si="361"/>
        <v>0</v>
      </c>
      <c r="DQ85" s="192">
        <f t="shared" si="361"/>
        <v>0</v>
      </c>
      <c r="DR85" s="192">
        <f t="shared" si="361"/>
        <v>0</v>
      </c>
      <c r="DS85" s="192">
        <f t="shared" si="361"/>
        <v>0</v>
      </c>
      <c r="DT85" s="70"/>
      <c r="DU85" s="192">
        <f>SUM(DU86:DU86)</f>
        <v>8940153.5999999996</v>
      </c>
      <c r="DV85" s="192">
        <f t="shared" ref="DV85:ES85" si="362">SUM(DV86:DV86)</f>
        <v>0</v>
      </c>
      <c r="DW85" s="192">
        <f t="shared" si="362"/>
        <v>0</v>
      </c>
      <c r="DX85" s="192">
        <f t="shared" si="362"/>
        <v>8940153.5999999996</v>
      </c>
      <c r="DY85" s="192">
        <f t="shared" si="362"/>
        <v>8940153.5999999996</v>
      </c>
      <c r="DZ85" s="192">
        <f t="shared" si="362"/>
        <v>0</v>
      </c>
      <c r="EA85" s="192">
        <f t="shared" si="362"/>
        <v>0</v>
      </c>
      <c r="EB85" s="192">
        <f t="shared" si="362"/>
        <v>0</v>
      </c>
      <c r="EC85" s="192">
        <f t="shared" si="362"/>
        <v>0</v>
      </c>
      <c r="ED85" s="192">
        <f t="shared" si="362"/>
        <v>0</v>
      </c>
      <c r="EE85" s="192">
        <f t="shared" si="362"/>
        <v>0</v>
      </c>
      <c r="EF85" s="192">
        <f t="shared" si="362"/>
        <v>0</v>
      </c>
      <c r="EG85" s="70"/>
      <c r="EH85" s="192">
        <f t="shared" si="362"/>
        <v>91048406.399999991</v>
      </c>
      <c r="EI85" s="192">
        <f t="shared" si="362"/>
        <v>24292500</v>
      </c>
      <c r="EJ85" s="192">
        <f t="shared" si="362"/>
        <v>0</v>
      </c>
      <c r="EK85" s="192">
        <f t="shared" si="362"/>
        <v>115340906.39999998</v>
      </c>
      <c r="EL85" s="192">
        <f t="shared" si="362"/>
        <v>91048406.399999991</v>
      </c>
      <c r="EM85" s="192">
        <f t="shared" si="362"/>
        <v>0</v>
      </c>
      <c r="EN85" s="192">
        <f t="shared" si="362"/>
        <v>24292500</v>
      </c>
      <c r="EO85" s="192">
        <f t="shared" si="362"/>
        <v>0</v>
      </c>
      <c r="EP85" s="192">
        <f t="shared" si="362"/>
        <v>0</v>
      </c>
      <c r="EQ85" s="192">
        <f t="shared" si="362"/>
        <v>0</v>
      </c>
      <c r="ER85" s="192">
        <f t="shared" si="362"/>
        <v>0</v>
      </c>
      <c r="ES85" s="192">
        <f t="shared" si="362"/>
        <v>0</v>
      </c>
      <c r="EU85" s="194">
        <f t="shared" si="330"/>
        <v>24292500</v>
      </c>
      <c r="EW85" s="194">
        <f t="shared" si="331"/>
        <v>0</v>
      </c>
      <c r="EX85" s="194">
        <f t="shared" si="317"/>
        <v>0</v>
      </c>
    </row>
    <row r="86" spans="1:154" s="167" customFormat="1" x14ac:dyDescent="0.25">
      <c r="A86" s="183"/>
      <c r="B86" s="185"/>
      <c r="C86" s="198"/>
      <c r="D86" s="186"/>
      <c r="E86" s="193" t="str">
        <f>'Incremental_Cost Year 1'!E283</f>
        <v>5.4.1. Krijimi i sistemit të Llogarive Kombëtare të Shëndetësisë (LLKSH)</v>
      </c>
      <c r="F86" s="193">
        <f>'Incremental_Cost Year 1'!F283</f>
        <v>2021</v>
      </c>
      <c r="G86" s="193">
        <f>'Incremental_Cost Year 1'!G283</f>
        <v>2030</v>
      </c>
      <c r="H86" s="190">
        <f>'Incremental_Cost Year 1'!AQ283</f>
        <v>235267.20000000001</v>
      </c>
      <c r="I86" s="190">
        <f>'Incremental_Cost Year 1'!AR283</f>
        <v>24292500</v>
      </c>
      <c r="J86" s="190">
        <f>'Incremental_Cost Year 1'!AS283</f>
        <v>0</v>
      </c>
      <c r="K86" s="190">
        <f>'Incremental_Cost Year 1'!AT283</f>
        <v>24527767.199999999</v>
      </c>
      <c r="L86" s="190">
        <f>'Incremental_Cost Year 1'!AU283</f>
        <v>235267.20000000001</v>
      </c>
      <c r="M86" s="190">
        <f>'Incremental_Cost Year 1'!AV283</f>
        <v>0</v>
      </c>
      <c r="N86" s="190">
        <f>'Incremental_Cost Year 1'!AW283</f>
        <v>24292500</v>
      </c>
      <c r="O86" s="190">
        <f>'Incremental_Cost Year 1'!AX283</f>
        <v>0</v>
      </c>
      <c r="P86" s="190">
        <f>'Incremental_Cost Year 1'!AY283</f>
        <v>0</v>
      </c>
      <c r="Q86" s="190">
        <f>'Incremental_Cost Year 1'!AZ283</f>
        <v>0</v>
      </c>
      <c r="R86" s="190">
        <f>'Incremental_Cost Year 1'!BA283</f>
        <v>0</v>
      </c>
      <c r="S86" s="190">
        <f>'Incremental_Cost Year 1'!BB283</f>
        <v>0</v>
      </c>
      <c r="T86" s="70"/>
      <c r="U86" s="190">
        <f>'Incremental_Cost Year 2'!AQ283</f>
        <v>0</v>
      </c>
      <c r="V86" s="190">
        <f>'Incremental_Cost Year 2'!AR283</f>
        <v>0</v>
      </c>
      <c r="W86" s="190">
        <f>'Incremental_Cost Year 2'!AS283</f>
        <v>0</v>
      </c>
      <c r="X86" s="190">
        <f>'Incremental_Cost Year 2'!AT283</f>
        <v>0</v>
      </c>
      <c r="Y86" s="190">
        <f>'Incremental_Cost Year 2'!AU283</f>
        <v>0</v>
      </c>
      <c r="Z86" s="190">
        <f>'Incremental_Cost Year 2'!AV283</f>
        <v>0</v>
      </c>
      <c r="AA86" s="190">
        <f>'Incremental_Cost Year 2'!AW283</f>
        <v>0</v>
      </c>
      <c r="AB86" s="190">
        <f>'Incremental_Cost Year 2'!AX283</f>
        <v>0</v>
      </c>
      <c r="AC86" s="190">
        <f>'Incremental_Cost Year 2'!AY283</f>
        <v>0</v>
      </c>
      <c r="AD86" s="190">
        <f>'Incremental_Cost Year 2'!AZ283</f>
        <v>0</v>
      </c>
      <c r="AE86" s="190">
        <f>'Incremental_Cost Year 2'!BA283</f>
        <v>0</v>
      </c>
      <c r="AF86" s="190">
        <f>'Incremental_Cost Year 2'!BB283</f>
        <v>0</v>
      </c>
      <c r="AG86" s="70"/>
      <c r="AH86" s="190">
        <f>'Incremental_Cost Year 3'!AQ283</f>
        <v>28232064</v>
      </c>
      <c r="AI86" s="190">
        <f>'Incremental_Cost Year 3'!AR283</f>
        <v>0</v>
      </c>
      <c r="AJ86" s="190">
        <f>'Incremental_Cost Year 3'!AS283</f>
        <v>0</v>
      </c>
      <c r="AK86" s="190">
        <f>'Incremental_Cost Year 3'!AT283</f>
        <v>28232064</v>
      </c>
      <c r="AL86" s="190">
        <f>'Incremental_Cost Year 3'!AU283</f>
        <v>28232064</v>
      </c>
      <c r="AM86" s="190">
        <f>'Incremental_Cost Year 3'!AV283</f>
        <v>0</v>
      </c>
      <c r="AN86" s="190">
        <f>'Incremental_Cost Year 3'!AW283</f>
        <v>0</v>
      </c>
      <c r="AO86" s="190">
        <f>'Incremental_Cost Year 3'!AX283</f>
        <v>0</v>
      </c>
      <c r="AP86" s="190">
        <f>'Incremental_Cost Year 3'!AY283</f>
        <v>0</v>
      </c>
      <c r="AQ86" s="190">
        <f>'Incremental_Cost Year 3'!AZ283</f>
        <v>0</v>
      </c>
      <c r="AR86" s="190">
        <f>'Incremental_Cost Year 3'!BA283</f>
        <v>0</v>
      </c>
      <c r="AS86" s="190">
        <f>'Incremental_Cost Year 3'!BB283</f>
        <v>0</v>
      </c>
      <c r="AT86" s="70"/>
      <c r="AU86" s="190">
        <f>'Incremental_Cost Year 4'!AQ283</f>
        <v>8940153.5999999996</v>
      </c>
      <c r="AV86" s="190">
        <f>'Incremental_Cost Year 4'!AR283</f>
        <v>0</v>
      </c>
      <c r="AW86" s="190">
        <f>'Incremental_Cost Year 4'!AS283</f>
        <v>0</v>
      </c>
      <c r="AX86" s="190">
        <f>'Incremental_Cost Year 4'!AT283</f>
        <v>8940153.5999999996</v>
      </c>
      <c r="AY86" s="190">
        <f>'Incremental_Cost Year 4'!AU283</f>
        <v>8940153.5999999996</v>
      </c>
      <c r="AZ86" s="190">
        <f>'Incremental_Cost Year 4'!AV283</f>
        <v>0</v>
      </c>
      <c r="BA86" s="190">
        <f>'Incremental_Cost Year 4'!AW283</f>
        <v>0</v>
      </c>
      <c r="BB86" s="190">
        <f>'Incremental_Cost Year 4'!AX283</f>
        <v>0</v>
      </c>
      <c r="BC86" s="190">
        <f>'Incremental_Cost Year 4'!AY283</f>
        <v>0</v>
      </c>
      <c r="BD86" s="190">
        <f>'Incremental_Cost Year 4'!AZ283</f>
        <v>0</v>
      </c>
      <c r="BE86" s="190">
        <f>'Incremental_Cost Year 4'!BA283</f>
        <v>0</v>
      </c>
      <c r="BF86" s="190">
        <f>'Incremental_Cost Year 4'!BB283</f>
        <v>0</v>
      </c>
      <c r="BG86" s="70"/>
      <c r="BH86" s="190">
        <f>'Incremental_Cost Year 5'!AQ283</f>
        <v>8940153.5999999996</v>
      </c>
      <c r="BI86" s="190">
        <f>'Incremental_Cost Year 5'!AR283</f>
        <v>0</v>
      </c>
      <c r="BJ86" s="190">
        <f>'Incremental_Cost Year 5'!AS283</f>
        <v>0</v>
      </c>
      <c r="BK86" s="190">
        <f>'Incremental_Cost Year 5'!AT283</f>
        <v>8940153.5999999996</v>
      </c>
      <c r="BL86" s="190">
        <f>'Incremental_Cost Year 5'!AU283</f>
        <v>8940153.5999999996</v>
      </c>
      <c r="BM86" s="190">
        <f>'Incremental_Cost Year 5'!AV283</f>
        <v>0</v>
      </c>
      <c r="BN86" s="190">
        <f>'Incremental_Cost Year 5'!AW283</f>
        <v>0</v>
      </c>
      <c r="BO86" s="190">
        <f>'Incremental_Cost Year 5'!AX283</f>
        <v>0</v>
      </c>
      <c r="BP86" s="190">
        <f>'Incremental_Cost Year 5'!AY283</f>
        <v>0</v>
      </c>
      <c r="BQ86" s="190">
        <f>'Incremental_Cost Year 5'!AZ283</f>
        <v>0</v>
      </c>
      <c r="BR86" s="190">
        <f>'Incremental_Cost Year 5'!BA283</f>
        <v>0</v>
      </c>
      <c r="BS86" s="190">
        <f>'Incremental_Cost Year 5'!BB283</f>
        <v>0</v>
      </c>
      <c r="BT86" s="70"/>
      <c r="BU86" s="190">
        <f>'Incremental_Cost Year 6'!AQ283</f>
        <v>8940153.5999999996</v>
      </c>
      <c r="BV86" s="190">
        <f>'Incremental_Cost Year 6'!AR283</f>
        <v>0</v>
      </c>
      <c r="BW86" s="190">
        <f>'Incremental_Cost Year 6'!AS283</f>
        <v>0</v>
      </c>
      <c r="BX86" s="190">
        <f>'Incremental_Cost Year 6'!AT283</f>
        <v>8940153.5999999996</v>
      </c>
      <c r="BY86" s="190">
        <f>'Incremental_Cost Year 6'!AU283</f>
        <v>8940153.5999999996</v>
      </c>
      <c r="BZ86" s="190">
        <f>'Incremental_Cost Year 6'!AV283</f>
        <v>0</v>
      </c>
      <c r="CA86" s="190">
        <f>'Incremental_Cost Year 6'!AW283</f>
        <v>0</v>
      </c>
      <c r="CB86" s="190">
        <f>'Incremental_Cost Year 6'!AX283</f>
        <v>0</v>
      </c>
      <c r="CC86" s="190">
        <f>'Incremental_Cost Year 6'!AY283</f>
        <v>0</v>
      </c>
      <c r="CD86" s="190">
        <f>'Incremental_Cost Year 6'!AZ283</f>
        <v>0</v>
      </c>
      <c r="CE86" s="190">
        <f>'Incremental_Cost Year 6'!BA283</f>
        <v>0</v>
      </c>
      <c r="CF86" s="190">
        <f>'Incremental_Cost Year 6'!BB283</f>
        <v>0</v>
      </c>
      <c r="CG86" s="70"/>
      <c r="CH86" s="190">
        <f>'Incremental_Cost Year 7'!AQ283</f>
        <v>8940153.5999999996</v>
      </c>
      <c r="CI86" s="190">
        <f>'Incremental_Cost Year 7'!AR283</f>
        <v>0</v>
      </c>
      <c r="CJ86" s="190">
        <f>'Incremental_Cost Year 7'!AS283</f>
        <v>0</v>
      </c>
      <c r="CK86" s="190">
        <f>'Incremental_Cost Year 7'!AT283</f>
        <v>8940153.5999999996</v>
      </c>
      <c r="CL86" s="190">
        <f>'Incremental_Cost Year 7'!AU283</f>
        <v>8940153.5999999996</v>
      </c>
      <c r="CM86" s="190">
        <f>'Incremental_Cost Year 7'!AV283</f>
        <v>0</v>
      </c>
      <c r="CN86" s="190">
        <f>'Incremental_Cost Year 7'!AW283</f>
        <v>0</v>
      </c>
      <c r="CO86" s="190">
        <f>'Incremental_Cost Year 7'!AX283</f>
        <v>0</v>
      </c>
      <c r="CP86" s="190">
        <f>'Incremental_Cost Year 7'!AY283</f>
        <v>0</v>
      </c>
      <c r="CQ86" s="190">
        <f>'Incremental_Cost Year 7'!AZ283</f>
        <v>0</v>
      </c>
      <c r="CR86" s="190">
        <f>'Incremental_Cost Year 7'!BA283</f>
        <v>0</v>
      </c>
      <c r="CS86" s="190">
        <f>'Incremental_Cost Year 7'!BB283</f>
        <v>0</v>
      </c>
      <c r="CT86" s="70"/>
      <c r="CU86" s="190">
        <f>'Incremental_Cost Year 8'!AQ283</f>
        <v>8940153.5999999996</v>
      </c>
      <c r="CV86" s="190">
        <f>'Incremental_Cost Year 8'!AR283</f>
        <v>0</v>
      </c>
      <c r="CW86" s="190">
        <f>'Incremental_Cost Year 8'!AS283</f>
        <v>0</v>
      </c>
      <c r="CX86" s="190">
        <f>'Incremental_Cost Year 8'!AT283</f>
        <v>8940153.5999999996</v>
      </c>
      <c r="CY86" s="190">
        <f>'Incremental_Cost Year 8'!AU283</f>
        <v>8940153.5999999996</v>
      </c>
      <c r="CZ86" s="190">
        <f>'Incremental_Cost Year 8'!AV283</f>
        <v>0</v>
      </c>
      <c r="DA86" s="190">
        <f>'Incremental_Cost Year 8'!AW283</f>
        <v>0</v>
      </c>
      <c r="DB86" s="190">
        <f>'Incremental_Cost Year 8'!AX283</f>
        <v>0</v>
      </c>
      <c r="DC86" s="190">
        <f>'Incremental_Cost Year 8'!AY283</f>
        <v>0</v>
      </c>
      <c r="DD86" s="190">
        <f>'Incremental_Cost Year 8'!AZ283</f>
        <v>0</v>
      </c>
      <c r="DE86" s="190">
        <f>'Incremental_Cost Year 8'!BA283</f>
        <v>0</v>
      </c>
      <c r="DF86" s="190">
        <f>'Incremental_Cost Year 8'!BB283</f>
        <v>0</v>
      </c>
      <c r="DG86" s="70"/>
      <c r="DH86" s="190">
        <f>'Incremental_Cost Year 9'!AQ283</f>
        <v>8940153.5999999996</v>
      </c>
      <c r="DI86" s="190">
        <f>'Incremental_Cost Year 9'!AR283</f>
        <v>0</v>
      </c>
      <c r="DJ86" s="190">
        <f>'Incremental_Cost Year 9'!AS283</f>
        <v>0</v>
      </c>
      <c r="DK86" s="190">
        <f>'Incremental_Cost Year 9'!AT283</f>
        <v>8940153.5999999996</v>
      </c>
      <c r="DL86" s="190">
        <f>'Incremental_Cost Year 9'!AU283</f>
        <v>8940153.5999999996</v>
      </c>
      <c r="DM86" s="190">
        <f>'Incremental_Cost Year 9'!AV283</f>
        <v>0</v>
      </c>
      <c r="DN86" s="190">
        <f>'Incremental_Cost Year 9'!AW283</f>
        <v>0</v>
      </c>
      <c r="DO86" s="190">
        <f>'Incremental_Cost Year 9'!AX283</f>
        <v>0</v>
      </c>
      <c r="DP86" s="190">
        <f>'Incremental_Cost Year 9'!AY283</f>
        <v>0</v>
      </c>
      <c r="DQ86" s="190">
        <f>'Incremental_Cost Year 9'!AZ283</f>
        <v>0</v>
      </c>
      <c r="DR86" s="190">
        <f>'Incremental_Cost Year 9'!BA283</f>
        <v>0</v>
      </c>
      <c r="DS86" s="190">
        <f>'Incremental_Cost Year 9'!BB283</f>
        <v>0</v>
      </c>
      <c r="DT86" s="70"/>
      <c r="DU86" s="190">
        <f>'Incremental_Cost Year 10'!AQ283</f>
        <v>8940153.5999999996</v>
      </c>
      <c r="DV86" s="190">
        <f>'Incremental_Cost Year 10'!AR283</f>
        <v>0</v>
      </c>
      <c r="DW86" s="190">
        <f>'Incremental_Cost Year 10'!AS283</f>
        <v>0</v>
      </c>
      <c r="DX86" s="190">
        <f>'Incremental_Cost Year 10'!AT283</f>
        <v>8940153.5999999996</v>
      </c>
      <c r="DY86" s="190">
        <f>'Incremental_Cost Year 10'!AU283</f>
        <v>8940153.5999999996</v>
      </c>
      <c r="DZ86" s="190">
        <f>'Incremental_Cost Year 10'!AV283</f>
        <v>0</v>
      </c>
      <c r="EA86" s="190">
        <f>'Incremental_Cost Year 10'!AW283</f>
        <v>0</v>
      </c>
      <c r="EB86" s="190">
        <f>'Incremental_Cost Year 10'!AX283</f>
        <v>0</v>
      </c>
      <c r="EC86" s="190">
        <f>'Incremental_Cost Year 10'!AY283</f>
        <v>0</v>
      </c>
      <c r="ED86" s="190">
        <f>'Incremental_Cost Year 10'!AZ283</f>
        <v>0</v>
      </c>
      <c r="EE86" s="190">
        <f>'Incremental_Cost Year 10'!BA283</f>
        <v>0</v>
      </c>
      <c r="EF86" s="190">
        <f>'Incremental_Cost Year 10'!BB283</f>
        <v>0</v>
      </c>
      <c r="EG86" s="70"/>
      <c r="EH86" s="190">
        <f t="shared" ref="EH86:ES86" si="363">H86+U86+AH86+AU86+BH86+BU86+CH86+CU86+DH86+DU86</f>
        <v>91048406.399999991</v>
      </c>
      <c r="EI86" s="190">
        <f t="shared" si="363"/>
        <v>24292500</v>
      </c>
      <c r="EJ86" s="190">
        <f t="shared" si="363"/>
        <v>0</v>
      </c>
      <c r="EK86" s="190">
        <f t="shared" si="363"/>
        <v>115340906.39999998</v>
      </c>
      <c r="EL86" s="190">
        <f t="shared" si="363"/>
        <v>91048406.399999991</v>
      </c>
      <c r="EM86" s="190">
        <f t="shared" si="363"/>
        <v>0</v>
      </c>
      <c r="EN86" s="190">
        <f t="shared" si="363"/>
        <v>24292500</v>
      </c>
      <c r="EO86" s="190">
        <f t="shared" si="363"/>
        <v>0</v>
      </c>
      <c r="EP86" s="190">
        <f t="shared" si="363"/>
        <v>0</v>
      </c>
      <c r="EQ86" s="190">
        <f t="shared" si="363"/>
        <v>0</v>
      </c>
      <c r="ER86" s="190">
        <f t="shared" si="363"/>
        <v>0</v>
      </c>
      <c r="ES86" s="190">
        <f t="shared" si="363"/>
        <v>0</v>
      </c>
      <c r="EU86" s="194">
        <f t="shared" si="330"/>
        <v>24292500</v>
      </c>
      <c r="EW86" s="194">
        <f t="shared" si="331"/>
        <v>0</v>
      </c>
      <c r="EX86" s="194">
        <f t="shared" si="317"/>
        <v>0</v>
      </c>
    </row>
    <row r="87" spans="1:154" s="167" customFormat="1" x14ac:dyDescent="0.25">
      <c r="A87" s="184"/>
      <c r="B87" s="187"/>
      <c r="C87" s="421" t="str">
        <f>'Incremental_Cost Year 1'!C284:E284</f>
        <v>5.5 Objektivi Specifik: Fuqizimi i kapaciteteve për kërkimin shkencor dhe publikimi i evidencave shkencore</v>
      </c>
      <c r="D87" s="421"/>
      <c r="E87" s="422"/>
      <c r="F87" s="197"/>
      <c r="G87" s="197"/>
      <c r="H87" s="192">
        <f>SUM(H88:H88)</f>
        <v>0</v>
      </c>
      <c r="I87" s="192">
        <f t="shared" ref="I87:AF87" si="364">SUM(I88:I88)</f>
        <v>0</v>
      </c>
      <c r="J87" s="192">
        <f t="shared" si="364"/>
        <v>0</v>
      </c>
      <c r="K87" s="192">
        <f t="shared" si="364"/>
        <v>0</v>
      </c>
      <c r="L87" s="192">
        <f t="shared" si="364"/>
        <v>0</v>
      </c>
      <c r="M87" s="192">
        <f t="shared" si="364"/>
        <v>0</v>
      </c>
      <c r="N87" s="192">
        <f t="shared" si="364"/>
        <v>0</v>
      </c>
      <c r="O87" s="192">
        <f t="shared" si="364"/>
        <v>0</v>
      </c>
      <c r="P87" s="192">
        <f t="shared" si="364"/>
        <v>0</v>
      </c>
      <c r="Q87" s="192">
        <f t="shared" si="364"/>
        <v>0</v>
      </c>
      <c r="R87" s="192">
        <f t="shared" si="364"/>
        <v>0</v>
      </c>
      <c r="S87" s="192">
        <f t="shared" si="364"/>
        <v>0</v>
      </c>
      <c r="T87" s="70"/>
      <c r="U87" s="192">
        <f>SUM(U88:U88)</f>
        <v>8777007</v>
      </c>
      <c r="V87" s="192">
        <f t="shared" si="364"/>
        <v>8360416</v>
      </c>
      <c r="W87" s="192">
        <f t="shared" si="364"/>
        <v>0</v>
      </c>
      <c r="X87" s="192">
        <f t="shared" si="364"/>
        <v>17137423</v>
      </c>
      <c r="Y87" s="192">
        <f t="shared" si="364"/>
        <v>9618423</v>
      </c>
      <c r="Z87" s="192">
        <f t="shared" si="364"/>
        <v>0</v>
      </c>
      <c r="AA87" s="192">
        <f t="shared" si="364"/>
        <v>0</v>
      </c>
      <c r="AB87" s="192">
        <f t="shared" si="364"/>
        <v>0</v>
      </c>
      <c r="AC87" s="192">
        <f t="shared" si="364"/>
        <v>0</v>
      </c>
      <c r="AD87" s="192">
        <f t="shared" si="364"/>
        <v>5495000</v>
      </c>
      <c r="AE87" s="192">
        <f t="shared" si="364"/>
        <v>0</v>
      </c>
      <c r="AF87" s="192">
        <f t="shared" si="364"/>
        <v>-2024000</v>
      </c>
      <c r="AG87" s="70"/>
      <c r="AH87" s="192">
        <f>SUM(AH88:AH88)</f>
        <v>6469848</v>
      </c>
      <c r="AI87" s="192">
        <f t="shared" ref="AI87:AS87" si="365">SUM(AI88:AI88)</f>
        <v>6583800</v>
      </c>
      <c r="AJ87" s="192">
        <f t="shared" si="365"/>
        <v>0</v>
      </c>
      <c r="AK87" s="192">
        <f t="shared" si="365"/>
        <v>13053648</v>
      </c>
      <c r="AL87" s="192">
        <f t="shared" si="365"/>
        <v>6463848</v>
      </c>
      <c r="AM87" s="192">
        <f t="shared" si="365"/>
        <v>0</v>
      </c>
      <c r="AN87" s="192">
        <f t="shared" si="365"/>
        <v>0</v>
      </c>
      <c r="AO87" s="192">
        <f t="shared" si="365"/>
        <v>0</v>
      </c>
      <c r="AP87" s="192">
        <f t="shared" si="365"/>
        <v>0</v>
      </c>
      <c r="AQ87" s="192">
        <f t="shared" si="365"/>
        <v>2355000</v>
      </c>
      <c r="AR87" s="192">
        <f t="shared" si="365"/>
        <v>0</v>
      </c>
      <c r="AS87" s="192">
        <f t="shared" si="365"/>
        <v>-4234800</v>
      </c>
      <c r="AT87" s="70"/>
      <c r="AU87" s="192">
        <f>SUM(AU88:AU88)</f>
        <v>0</v>
      </c>
      <c r="AV87" s="192">
        <f t="shared" ref="AV87:BF87" si="366">SUM(AV88:AV88)</f>
        <v>0</v>
      </c>
      <c r="AW87" s="192">
        <f t="shared" si="366"/>
        <v>0</v>
      </c>
      <c r="AX87" s="192">
        <f t="shared" si="366"/>
        <v>0</v>
      </c>
      <c r="AY87" s="192">
        <f t="shared" si="366"/>
        <v>0</v>
      </c>
      <c r="AZ87" s="192">
        <f t="shared" si="366"/>
        <v>0</v>
      </c>
      <c r="BA87" s="192">
        <f t="shared" si="366"/>
        <v>0</v>
      </c>
      <c r="BB87" s="192">
        <f t="shared" si="366"/>
        <v>0</v>
      </c>
      <c r="BC87" s="192">
        <f t="shared" si="366"/>
        <v>0</v>
      </c>
      <c r="BD87" s="192">
        <f t="shared" si="366"/>
        <v>0</v>
      </c>
      <c r="BE87" s="192">
        <f t="shared" si="366"/>
        <v>0</v>
      </c>
      <c r="BF87" s="192">
        <f t="shared" si="366"/>
        <v>0</v>
      </c>
      <c r="BG87" s="70"/>
      <c r="BH87" s="192">
        <f>SUM(BH88:BH88)</f>
        <v>0</v>
      </c>
      <c r="BI87" s="192">
        <f t="shared" ref="BI87:BS87" si="367">SUM(BI88:BI88)</f>
        <v>0</v>
      </c>
      <c r="BJ87" s="192">
        <f t="shared" si="367"/>
        <v>0</v>
      </c>
      <c r="BK87" s="192">
        <f t="shared" si="367"/>
        <v>0</v>
      </c>
      <c r="BL87" s="192">
        <f t="shared" si="367"/>
        <v>0</v>
      </c>
      <c r="BM87" s="192">
        <f t="shared" si="367"/>
        <v>0</v>
      </c>
      <c r="BN87" s="192">
        <f t="shared" si="367"/>
        <v>0</v>
      </c>
      <c r="BO87" s="192">
        <f t="shared" si="367"/>
        <v>0</v>
      </c>
      <c r="BP87" s="192">
        <f t="shared" si="367"/>
        <v>0</v>
      </c>
      <c r="BQ87" s="192">
        <f t="shared" si="367"/>
        <v>0</v>
      </c>
      <c r="BR87" s="192">
        <f t="shared" si="367"/>
        <v>0</v>
      </c>
      <c r="BS87" s="192">
        <f t="shared" si="367"/>
        <v>0</v>
      </c>
      <c r="BT87" s="70"/>
      <c r="BU87" s="192">
        <f>SUM(BU88:BU88)</f>
        <v>0</v>
      </c>
      <c r="BV87" s="192">
        <f t="shared" ref="BV87:CF87" si="368">SUM(BV88:BV88)</f>
        <v>0</v>
      </c>
      <c r="BW87" s="192">
        <f t="shared" si="368"/>
        <v>0</v>
      </c>
      <c r="BX87" s="192">
        <f t="shared" si="368"/>
        <v>0</v>
      </c>
      <c r="BY87" s="192">
        <f t="shared" si="368"/>
        <v>0</v>
      </c>
      <c r="BZ87" s="192">
        <f t="shared" si="368"/>
        <v>0</v>
      </c>
      <c r="CA87" s="192">
        <f t="shared" si="368"/>
        <v>0</v>
      </c>
      <c r="CB87" s="192">
        <f t="shared" si="368"/>
        <v>0</v>
      </c>
      <c r="CC87" s="192">
        <f t="shared" si="368"/>
        <v>0</v>
      </c>
      <c r="CD87" s="192">
        <f t="shared" si="368"/>
        <v>0</v>
      </c>
      <c r="CE87" s="192">
        <f t="shared" si="368"/>
        <v>0</v>
      </c>
      <c r="CF87" s="192">
        <f t="shared" si="368"/>
        <v>0</v>
      </c>
      <c r="CG87" s="70"/>
      <c r="CH87" s="192">
        <f>SUM(CH88:CH88)</f>
        <v>0</v>
      </c>
      <c r="CI87" s="192">
        <f t="shared" ref="CI87:CS87" si="369">SUM(CI88:CI88)</f>
        <v>0</v>
      </c>
      <c r="CJ87" s="192">
        <f t="shared" si="369"/>
        <v>0</v>
      </c>
      <c r="CK87" s="192">
        <f t="shared" si="369"/>
        <v>0</v>
      </c>
      <c r="CL87" s="192">
        <f t="shared" si="369"/>
        <v>0</v>
      </c>
      <c r="CM87" s="192">
        <f t="shared" si="369"/>
        <v>0</v>
      </c>
      <c r="CN87" s="192">
        <f t="shared" si="369"/>
        <v>0</v>
      </c>
      <c r="CO87" s="192">
        <f t="shared" si="369"/>
        <v>0</v>
      </c>
      <c r="CP87" s="192">
        <f t="shared" si="369"/>
        <v>0</v>
      </c>
      <c r="CQ87" s="192">
        <f t="shared" si="369"/>
        <v>0</v>
      </c>
      <c r="CR87" s="192">
        <f t="shared" si="369"/>
        <v>0</v>
      </c>
      <c r="CS87" s="192">
        <f t="shared" si="369"/>
        <v>0</v>
      </c>
      <c r="CT87" s="70"/>
      <c r="CU87" s="192">
        <f>SUM(CU88:CU88)</f>
        <v>0</v>
      </c>
      <c r="CV87" s="192">
        <f t="shared" ref="CV87:DF87" si="370">SUM(CV88:CV88)</f>
        <v>0</v>
      </c>
      <c r="CW87" s="192">
        <f t="shared" si="370"/>
        <v>0</v>
      </c>
      <c r="CX87" s="192">
        <f t="shared" si="370"/>
        <v>0</v>
      </c>
      <c r="CY87" s="192">
        <f t="shared" si="370"/>
        <v>0</v>
      </c>
      <c r="CZ87" s="192">
        <f t="shared" si="370"/>
        <v>0</v>
      </c>
      <c r="DA87" s="192">
        <f t="shared" si="370"/>
        <v>0</v>
      </c>
      <c r="DB87" s="192">
        <f t="shared" si="370"/>
        <v>0</v>
      </c>
      <c r="DC87" s="192">
        <f t="shared" si="370"/>
        <v>0</v>
      </c>
      <c r="DD87" s="192">
        <f t="shared" si="370"/>
        <v>0</v>
      </c>
      <c r="DE87" s="192">
        <f t="shared" si="370"/>
        <v>0</v>
      </c>
      <c r="DF87" s="192">
        <f t="shared" si="370"/>
        <v>0</v>
      </c>
      <c r="DG87" s="70"/>
      <c r="DH87" s="192">
        <f>SUM(DH88:DH88)</f>
        <v>0</v>
      </c>
      <c r="DI87" s="192">
        <f t="shared" ref="DI87:DS87" si="371">SUM(DI88:DI88)</f>
        <v>0</v>
      </c>
      <c r="DJ87" s="192">
        <f t="shared" si="371"/>
        <v>0</v>
      </c>
      <c r="DK87" s="192">
        <f t="shared" si="371"/>
        <v>0</v>
      </c>
      <c r="DL87" s="192">
        <f t="shared" si="371"/>
        <v>0</v>
      </c>
      <c r="DM87" s="192">
        <f t="shared" si="371"/>
        <v>0</v>
      </c>
      <c r="DN87" s="192">
        <f t="shared" si="371"/>
        <v>0</v>
      </c>
      <c r="DO87" s="192">
        <f t="shared" si="371"/>
        <v>0</v>
      </c>
      <c r="DP87" s="192">
        <f t="shared" si="371"/>
        <v>0</v>
      </c>
      <c r="DQ87" s="192">
        <f t="shared" si="371"/>
        <v>0</v>
      </c>
      <c r="DR87" s="192">
        <f t="shared" si="371"/>
        <v>0</v>
      </c>
      <c r="DS87" s="192">
        <f t="shared" si="371"/>
        <v>0</v>
      </c>
      <c r="DT87" s="70"/>
      <c r="DU87" s="192">
        <f>SUM(DU88:DU88)</f>
        <v>0</v>
      </c>
      <c r="DV87" s="192">
        <f t="shared" ref="DV87:ES87" si="372">SUM(DV88:DV88)</f>
        <v>0</v>
      </c>
      <c r="DW87" s="192">
        <f t="shared" si="372"/>
        <v>0</v>
      </c>
      <c r="DX87" s="192">
        <f t="shared" si="372"/>
        <v>0</v>
      </c>
      <c r="DY87" s="192">
        <f t="shared" si="372"/>
        <v>0</v>
      </c>
      <c r="DZ87" s="192">
        <f t="shared" si="372"/>
        <v>0</v>
      </c>
      <c r="EA87" s="192">
        <f t="shared" si="372"/>
        <v>0</v>
      </c>
      <c r="EB87" s="192">
        <f t="shared" si="372"/>
        <v>0</v>
      </c>
      <c r="EC87" s="192">
        <f t="shared" si="372"/>
        <v>0</v>
      </c>
      <c r="ED87" s="192">
        <f t="shared" si="372"/>
        <v>0</v>
      </c>
      <c r="EE87" s="192">
        <f t="shared" si="372"/>
        <v>0</v>
      </c>
      <c r="EF87" s="192">
        <f t="shared" si="372"/>
        <v>0</v>
      </c>
      <c r="EG87" s="70"/>
      <c r="EH87" s="192">
        <f t="shared" si="372"/>
        <v>15246855</v>
      </c>
      <c r="EI87" s="192">
        <f t="shared" si="372"/>
        <v>14944216</v>
      </c>
      <c r="EJ87" s="192">
        <f t="shared" si="372"/>
        <v>0</v>
      </c>
      <c r="EK87" s="192">
        <f t="shared" si="372"/>
        <v>30191071</v>
      </c>
      <c r="EL87" s="192">
        <f t="shared" si="372"/>
        <v>16082271</v>
      </c>
      <c r="EM87" s="192">
        <f t="shared" si="372"/>
        <v>0</v>
      </c>
      <c r="EN87" s="192">
        <f t="shared" si="372"/>
        <v>0</v>
      </c>
      <c r="EO87" s="192">
        <f t="shared" si="372"/>
        <v>0</v>
      </c>
      <c r="EP87" s="192">
        <f t="shared" si="372"/>
        <v>0</v>
      </c>
      <c r="EQ87" s="192">
        <f t="shared" si="372"/>
        <v>7850000</v>
      </c>
      <c r="ER87" s="192">
        <f t="shared" si="372"/>
        <v>0</v>
      </c>
      <c r="ES87" s="192">
        <f t="shared" si="372"/>
        <v>-6258800</v>
      </c>
      <c r="EU87" s="194">
        <f t="shared" si="330"/>
        <v>7850000</v>
      </c>
      <c r="EW87" s="194">
        <f t="shared" si="331"/>
        <v>-6258800</v>
      </c>
      <c r="EX87" s="194">
        <f t="shared" si="317"/>
        <v>0</v>
      </c>
    </row>
    <row r="88" spans="1:154" s="167" customFormat="1" x14ac:dyDescent="0.25">
      <c r="A88" s="183"/>
      <c r="B88" s="185"/>
      <c r="C88" s="198"/>
      <c r="D88" s="186"/>
      <c r="E88" s="193" t="str">
        <f>'Incremental_Cost Year 1'!E289</f>
        <v xml:space="preserve">5.5.1 Fuqizimi i sistemit kombëtar për kërkimin shkencor </v>
      </c>
      <c r="F88" s="193">
        <f>'Incremental_Cost Year 1'!F289</f>
        <v>2021</v>
      </c>
      <c r="G88" s="193">
        <f>'Incremental_Cost Year 1'!G289</f>
        <v>2023</v>
      </c>
      <c r="H88" s="190">
        <f>'Incremental_Cost Year 1'!AQ289</f>
        <v>0</v>
      </c>
      <c r="I88" s="190">
        <f>'Incremental_Cost Year 1'!AR289</f>
        <v>0</v>
      </c>
      <c r="J88" s="190">
        <f>'Incremental_Cost Year 1'!AS289</f>
        <v>0</v>
      </c>
      <c r="K88" s="190">
        <f>'Incremental_Cost Year 1'!AT289</f>
        <v>0</v>
      </c>
      <c r="L88" s="190">
        <f>'Incremental_Cost Year 1'!AU289</f>
        <v>0</v>
      </c>
      <c r="M88" s="190">
        <f>'Incremental_Cost Year 1'!AV289</f>
        <v>0</v>
      </c>
      <c r="N88" s="190">
        <f>'Incremental_Cost Year 1'!AW289</f>
        <v>0</v>
      </c>
      <c r="O88" s="190">
        <f>'Incremental_Cost Year 1'!AX289</f>
        <v>0</v>
      </c>
      <c r="P88" s="190">
        <f>'Incremental_Cost Year 1'!AY289</f>
        <v>0</v>
      </c>
      <c r="Q88" s="190">
        <f>'Incremental_Cost Year 1'!AZ289</f>
        <v>0</v>
      </c>
      <c r="R88" s="190">
        <f>'Incremental_Cost Year 1'!BA289</f>
        <v>0</v>
      </c>
      <c r="S88" s="190">
        <f>'Incremental_Cost Year 1'!BB289</f>
        <v>0</v>
      </c>
      <c r="T88" s="70"/>
      <c r="U88" s="190">
        <f>'Incremental_Cost Year 2'!AQ289</f>
        <v>8777007</v>
      </c>
      <c r="V88" s="190">
        <f>'Incremental_Cost Year 2'!AR289</f>
        <v>8360416</v>
      </c>
      <c r="W88" s="190">
        <f>'Incremental_Cost Year 2'!AS289</f>
        <v>0</v>
      </c>
      <c r="X88" s="190">
        <f>'Incremental_Cost Year 2'!AT289</f>
        <v>17137423</v>
      </c>
      <c r="Y88" s="190">
        <f>'Incremental_Cost Year 2'!AU289</f>
        <v>9618423</v>
      </c>
      <c r="Z88" s="190">
        <f>'Incremental_Cost Year 2'!AV289</f>
        <v>0</v>
      </c>
      <c r="AA88" s="190">
        <f>'Incremental_Cost Year 2'!AW289</f>
        <v>0</v>
      </c>
      <c r="AB88" s="190">
        <f>'Incremental_Cost Year 2'!AX289</f>
        <v>0</v>
      </c>
      <c r="AC88" s="190">
        <f>'Incremental_Cost Year 2'!AY289</f>
        <v>0</v>
      </c>
      <c r="AD88" s="190">
        <f>'Incremental_Cost Year 2'!AZ289</f>
        <v>5495000</v>
      </c>
      <c r="AE88" s="190">
        <f>'Incremental_Cost Year 2'!BA289</f>
        <v>0</v>
      </c>
      <c r="AF88" s="190">
        <f>'Incremental_Cost Year 2'!BB289</f>
        <v>-2024000</v>
      </c>
      <c r="AG88" s="70"/>
      <c r="AH88" s="190">
        <f>'Incremental_Cost Year 3'!AQ289</f>
        <v>6469848</v>
      </c>
      <c r="AI88" s="190">
        <f>'Incremental_Cost Year 3'!AR289</f>
        <v>6583800</v>
      </c>
      <c r="AJ88" s="190">
        <f>'Incremental_Cost Year 3'!AS289</f>
        <v>0</v>
      </c>
      <c r="AK88" s="190">
        <f>'Incremental_Cost Year 3'!AT289</f>
        <v>13053648</v>
      </c>
      <c r="AL88" s="190">
        <f>'Incremental_Cost Year 3'!AU289</f>
        <v>6463848</v>
      </c>
      <c r="AM88" s="190">
        <f>'Incremental_Cost Year 3'!AV289</f>
        <v>0</v>
      </c>
      <c r="AN88" s="190">
        <f>'Incremental_Cost Year 3'!AW289</f>
        <v>0</v>
      </c>
      <c r="AO88" s="190">
        <f>'Incremental_Cost Year 3'!AX289</f>
        <v>0</v>
      </c>
      <c r="AP88" s="190">
        <f>'Incremental_Cost Year 3'!AY289</f>
        <v>0</v>
      </c>
      <c r="AQ88" s="190">
        <f>'Incremental_Cost Year 3'!AZ289</f>
        <v>2355000</v>
      </c>
      <c r="AR88" s="190">
        <f>'Incremental_Cost Year 3'!BA289</f>
        <v>0</v>
      </c>
      <c r="AS88" s="190">
        <f>'Incremental_Cost Year 3'!BB289</f>
        <v>-4234800</v>
      </c>
      <c r="AT88" s="70"/>
      <c r="AU88" s="190">
        <f>'Incremental_Cost Year 4'!AQ289</f>
        <v>0</v>
      </c>
      <c r="AV88" s="190">
        <f>'Incremental_Cost Year 4'!AR289</f>
        <v>0</v>
      </c>
      <c r="AW88" s="190">
        <f>'Incremental_Cost Year 4'!AS289</f>
        <v>0</v>
      </c>
      <c r="AX88" s="190">
        <f>'Incremental_Cost Year 4'!AT289</f>
        <v>0</v>
      </c>
      <c r="AY88" s="190">
        <f>'Incremental_Cost Year 4'!AU289</f>
        <v>0</v>
      </c>
      <c r="AZ88" s="190">
        <f>'Incremental_Cost Year 4'!AV289</f>
        <v>0</v>
      </c>
      <c r="BA88" s="190">
        <f>'Incremental_Cost Year 4'!AW289</f>
        <v>0</v>
      </c>
      <c r="BB88" s="190">
        <f>'Incremental_Cost Year 4'!AX289</f>
        <v>0</v>
      </c>
      <c r="BC88" s="190">
        <f>'Incremental_Cost Year 4'!AY289</f>
        <v>0</v>
      </c>
      <c r="BD88" s="190">
        <f>'Incremental_Cost Year 4'!AZ289</f>
        <v>0</v>
      </c>
      <c r="BE88" s="190">
        <f>'Incremental_Cost Year 4'!BA289</f>
        <v>0</v>
      </c>
      <c r="BF88" s="190">
        <f>'Incremental_Cost Year 4'!BB289</f>
        <v>0</v>
      </c>
      <c r="BG88" s="70"/>
      <c r="BH88" s="190">
        <f>'Incremental_Cost Year 5'!AQ289</f>
        <v>0</v>
      </c>
      <c r="BI88" s="190">
        <f>'Incremental_Cost Year 5'!AR289</f>
        <v>0</v>
      </c>
      <c r="BJ88" s="190">
        <f>'Incremental_Cost Year 5'!AS289</f>
        <v>0</v>
      </c>
      <c r="BK88" s="190">
        <f>'Incremental_Cost Year 5'!AT289</f>
        <v>0</v>
      </c>
      <c r="BL88" s="190">
        <f>'Incremental_Cost Year 5'!AU289</f>
        <v>0</v>
      </c>
      <c r="BM88" s="190">
        <f>'Incremental_Cost Year 5'!AV289</f>
        <v>0</v>
      </c>
      <c r="BN88" s="190">
        <f>'Incremental_Cost Year 5'!AW289</f>
        <v>0</v>
      </c>
      <c r="BO88" s="190">
        <f>'Incremental_Cost Year 5'!AX289</f>
        <v>0</v>
      </c>
      <c r="BP88" s="190">
        <f>'Incremental_Cost Year 5'!AY289</f>
        <v>0</v>
      </c>
      <c r="BQ88" s="190">
        <f>'Incremental_Cost Year 5'!AZ289</f>
        <v>0</v>
      </c>
      <c r="BR88" s="190">
        <f>'Incremental_Cost Year 5'!BA289</f>
        <v>0</v>
      </c>
      <c r="BS88" s="190">
        <f>'Incremental_Cost Year 5'!BB289</f>
        <v>0</v>
      </c>
      <c r="BT88" s="70"/>
      <c r="BU88" s="190">
        <f>'Incremental_Cost Year 6'!AQ289</f>
        <v>0</v>
      </c>
      <c r="BV88" s="190">
        <f>'Incremental_Cost Year 6'!AR289</f>
        <v>0</v>
      </c>
      <c r="BW88" s="190">
        <f>'Incremental_Cost Year 6'!AS289</f>
        <v>0</v>
      </c>
      <c r="BX88" s="190">
        <f>'Incremental_Cost Year 6'!AT289</f>
        <v>0</v>
      </c>
      <c r="BY88" s="190">
        <f>'Incremental_Cost Year 6'!AU289</f>
        <v>0</v>
      </c>
      <c r="BZ88" s="190">
        <f>'Incremental_Cost Year 6'!AV289</f>
        <v>0</v>
      </c>
      <c r="CA88" s="190">
        <f>'Incremental_Cost Year 6'!AW289</f>
        <v>0</v>
      </c>
      <c r="CB88" s="190">
        <f>'Incremental_Cost Year 6'!AX289</f>
        <v>0</v>
      </c>
      <c r="CC88" s="190">
        <f>'Incremental_Cost Year 6'!AY289</f>
        <v>0</v>
      </c>
      <c r="CD88" s="190">
        <f>'Incremental_Cost Year 6'!AZ289</f>
        <v>0</v>
      </c>
      <c r="CE88" s="190">
        <f>'Incremental_Cost Year 6'!BA289</f>
        <v>0</v>
      </c>
      <c r="CF88" s="190">
        <f>'Incremental_Cost Year 6'!BB289</f>
        <v>0</v>
      </c>
      <c r="CG88" s="70"/>
      <c r="CH88" s="190">
        <f>'Incremental_Cost Year 7'!AQ289</f>
        <v>0</v>
      </c>
      <c r="CI88" s="190">
        <f>'Incremental_Cost Year 7'!AR289</f>
        <v>0</v>
      </c>
      <c r="CJ88" s="190">
        <f>'Incremental_Cost Year 7'!AS289</f>
        <v>0</v>
      </c>
      <c r="CK88" s="190">
        <f>'Incremental_Cost Year 7'!AT289</f>
        <v>0</v>
      </c>
      <c r="CL88" s="190">
        <f>'Incremental_Cost Year 7'!AU289</f>
        <v>0</v>
      </c>
      <c r="CM88" s="190">
        <f>'Incremental_Cost Year 7'!AV289</f>
        <v>0</v>
      </c>
      <c r="CN88" s="190">
        <f>'Incremental_Cost Year 7'!AW289</f>
        <v>0</v>
      </c>
      <c r="CO88" s="190">
        <f>'Incremental_Cost Year 7'!AX289</f>
        <v>0</v>
      </c>
      <c r="CP88" s="190">
        <f>'Incremental_Cost Year 7'!AY289</f>
        <v>0</v>
      </c>
      <c r="CQ88" s="190">
        <f>'Incremental_Cost Year 7'!AZ289</f>
        <v>0</v>
      </c>
      <c r="CR88" s="190">
        <f>'Incremental_Cost Year 7'!BA289</f>
        <v>0</v>
      </c>
      <c r="CS88" s="190">
        <f>'Incremental_Cost Year 7'!BB289</f>
        <v>0</v>
      </c>
      <c r="CT88" s="70"/>
      <c r="CU88" s="190">
        <f>'Incremental_Cost Year 8'!AQ289</f>
        <v>0</v>
      </c>
      <c r="CV88" s="190">
        <f>'Incremental_Cost Year 8'!AR289</f>
        <v>0</v>
      </c>
      <c r="CW88" s="190">
        <f>'Incremental_Cost Year 8'!AS289</f>
        <v>0</v>
      </c>
      <c r="CX88" s="190">
        <f>'Incremental_Cost Year 8'!AT289</f>
        <v>0</v>
      </c>
      <c r="CY88" s="190">
        <f>'Incremental_Cost Year 8'!AU289</f>
        <v>0</v>
      </c>
      <c r="CZ88" s="190">
        <f>'Incremental_Cost Year 8'!AV289</f>
        <v>0</v>
      </c>
      <c r="DA88" s="190">
        <f>'Incremental_Cost Year 8'!AW289</f>
        <v>0</v>
      </c>
      <c r="DB88" s="190">
        <f>'Incremental_Cost Year 8'!AX289</f>
        <v>0</v>
      </c>
      <c r="DC88" s="190">
        <f>'Incremental_Cost Year 8'!AY289</f>
        <v>0</v>
      </c>
      <c r="DD88" s="190">
        <f>'Incremental_Cost Year 8'!AZ289</f>
        <v>0</v>
      </c>
      <c r="DE88" s="190">
        <f>'Incremental_Cost Year 8'!BA289</f>
        <v>0</v>
      </c>
      <c r="DF88" s="190">
        <f>'Incremental_Cost Year 8'!BB289</f>
        <v>0</v>
      </c>
      <c r="DG88" s="70"/>
      <c r="DH88" s="190">
        <f>'Incremental_Cost Year 9'!AQ289</f>
        <v>0</v>
      </c>
      <c r="DI88" s="190">
        <f>'Incremental_Cost Year 9'!AR289</f>
        <v>0</v>
      </c>
      <c r="DJ88" s="190">
        <f>'Incremental_Cost Year 9'!AS289</f>
        <v>0</v>
      </c>
      <c r="DK88" s="190">
        <f>'Incremental_Cost Year 9'!AT289</f>
        <v>0</v>
      </c>
      <c r="DL88" s="190">
        <f>'Incremental_Cost Year 9'!AU289</f>
        <v>0</v>
      </c>
      <c r="DM88" s="190">
        <f>'Incremental_Cost Year 9'!AV289</f>
        <v>0</v>
      </c>
      <c r="DN88" s="190">
        <f>'Incremental_Cost Year 9'!AW289</f>
        <v>0</v>
      </c>
      <c r="DO88" s="190">
        <f>'Incremental_Cost Year 9'!AX289</f>
        <v>0</v>
      </c>
      <c r="DP88" s="190">
        <f>'Incremental_Cost Year 9'!AY289</f>
        <v>0</v>
      </c>
      <c r="DQ88" s="190">
        <f>'Incremental_Cost Year 9'!AZ289</f>
        <v>0</v>
      </c>
      <c r="DR88" s="190">
        <f>'Incremental_Cost Year 9'!BA289</f>
        <v>0</v>
      </c>
      <c r="DS88" s="190">
        <f>'Incremental_Cost Year 9'!BB289</f>
        <v>0</v>
      </c>
      <c r="DT88" s="70"/>
      <c r="DU88" s="190">
        <f>'Incremental_Cost Year 10'!AQ289</f>
        <v>0</v>
      </c>
      <c r="DV88" s="190">
        <f>'Incremental_Cost Year 10'!AR289</f>
        <v>0</v>
      </c>
      <c r="DW88" s="190">
        <f>'Incremental_Cost Year 10'!AS289</f>
        <v>0</v>
      </c>
      <c r="DX88" s="190">
        <f>'Incremental_Cost Year 10'!AT289</f>
        <v>0</v>
      </c>
      <c r="DY88" s="190">
        <f>'Incremental_Cost Year 10'!AU289</f>
        <v>0</v>
      </c>
      <c r="DZ88" s="190">
        <f>'Incremental_Cost Year 10'!AV289</f>
        <v>0</v>
      </c>
      <c r="EA88" s="190">
        <f>'Incremental_Cost Year 10'!AW289</f>
        <v>0</v>
      </c>
      <c r="EB88" s="190">
        <f>'Incremental_Cost Year 10'!AX289</f>
        <v>0</v>
      </c>
      <c r="EC88" s="190">
        <f>'Incremental_Cost Year 10'!AY289</f>
        <v>0</v>
      </c>
      <c r="ED88" s="190">
        <f>'Incremental_Cost Year 10'!AZ289</f>
        <v>0</v>
      </c>
      <c r="EE88" s="190">
        <f>'Incremental_Cost Year 10'!BA289</f>
        <v>0</v>
      </c>
      <c r="EF88" s="190">
        <f>'Incremental_Cost Year 10'!BB289</f>
        <v>0</v>
      </c>
      <c r="EG88" s="70"/>
      <c r="EH88" s="190">
        <f t="shared" ref="EH88:ES88" si="373">H88+U88+AH88+AU88+BH88+BU88+CH88+CU88+DH88+DU88</f>
        <v>15246855</v>
      </c>
      <c r="EI88" s="190">
        <f t="shared" si="373"/>
        <v>14944216</v>
      </c>
      <c r="EJ88" s="190">
        <f t="shared" si="373"/>
        <v>0</v>
      </c>
      <c r="EK88" s="190">
        <f t="shared" si="373"/>
        <v>30191071</v>
      </c>
      <c r="EL88" s="190">
        <f t="shared" si="373"/>
        <v>16082271</v>
      </c>
      <c r="EM88" s="190">
        <f t="shared" si="373"/>
        <v>0</v>
      </c>
      <c r="EN88" s="190">
        <f t="shared" si="373"/>
        <v>0</v>
      </c>
      <c r="EO88" s="190">
        <f t="shared" si="373"/>
        <v>0</v>
      </c>
      <c r="EP88" s="190">
        <f t="shared" si="373"/>
        <v>0</v>
      </c>
      <c r="EQ88" s="190">
        <f t="shared" si="373"/>
        <v>7850000</v>
      </c>
      <c r="ER88" s="190">
        <f t="shared" si="373"/>
        <v>0</v>
      </c>
      <c r="ES88" s="190">
        <f t="shared" si="373"/>
        <v>-6258800</v>
      </c>
      <c r="EU88" s="194">
        <f t="shared" si="330"/>
        <v>7850000</v>
      </c>
      <c r="EW88" s="194">
        <f t="shared" si="331"/>
        <v>-6258800</v>
      </c>
      <c r="EX88" s="194">
        <f t="shared" si="317"/>
        <v>0</v>
      </c>
    </row>
    <row r="90" spans="1:154" x14ac:dyDescent="0.25">
      <c r="H90" s="152">
        <f>H6+H25+H46+H59+H74</f>
        <v>2699423477.7192855</v>
      </c>
      <c r="I90" s="194">
        <f t="shared" ref="I90:BS90" si="374">I6+I25+I46+I59+I74</f>
        <v>6444763296.333334</v>
      </c>
      <c r="J90" s="194">
        <f t="shared" si="374"/>
        <v>1250363667.3333333</v>
      </c>
      <c r="K90" s="194">
        <f t="shared" si="374"/>
        <v>10394550441.38595</v>
      </c>
      <c r="L90" s="194">
        <f t="shared" si="374"/>
        <v>9838666811.8449993</v>
      </c>
      <c r="M90" s="194">
        <f t="shared" si="374"/>
        <v>45200000</v>
      </c>
      <c r="N90" s="194">
        <f t="shared" si="374"/>
        <v>312097663</v>
      </c>
      <c r="O90" s="194">
        <f t="shared" si="374"/>
        <v>3950000</v>
      </c>
      <c r="P90" s="194">
        <f t="shared" si="374"/>
        <v>5506800</v>
      </c>
      <c r="Q90" s="194">
        <f t="shared" si="374"/>
        <v>188445167</v>
      </c>
      <c r="R90" s="194">
        <f t="shared" si="374"/>
        <v>0</v>
      </c>
      <c r="S90" s="194">
        <f t="shared" si="374"/>
        <v>-683999.54095228517</v>
      </c>
      <c r="T90" s="194"/>
      <c r="U90" s="194">
        <f>U6+U25+U46+U59+U74</f>
        <v>15684655332.580715</v>
      </c>
      <c r="V90" s="194">
        <f t="shared" si="374"/>
        <v>36677636705.599998</v>
      </c>
      <c r="W90" s="194">
        <f t="shared" si="374"/>
        <v>3045413350</v>
      </c>
      <c r="X90" s="194">
        <f t="shared" si="374"/>
        <v>55407705388.180717</v>
      </c>
      <c r="Y90" s="194">
        <f t="shared" si="374"/>
        <v>51848877552.235001</v>
      </c>
      <c r="Z90" s="194">
        <f t="shared" si="374"/>
        <v>115000000</v>
      </c>
      <c r="AA90" s="194">
        <f t="shared" si="374"/>
        <v>1094500000</v>
      </c>
      <c r="AB90" s="194">
        <f t="shared" si="374"/>
        <v>540000</v>
      </c>
      <c r="AC90" s="194">
        <f t="shared" si="374"/>
        <v>6340800</v>
      </c>
      <c r="AD90" s="194">
        <f t="shared" si="374"/>
        <v>237095000</v>
      </c>
      <c r="AE90" s="194">
        <f t="shared" si="374"/>
        <v>0</v>
      </c>
      <c r="AF90" s="194">
        <f t="shared" si="374"/>
        <v>-2105352035.9457128</v>
      </c>
      <c r="AG90" s="194"/>
      <c r="AH90" s="194">
        <f t="shared" si="374"/>
        <v>16198217325.955715</v>
      </c>
      <c r="AI90" s="194">
        <f t="shared" si="374"/>
        <v>37342882949.599998</v>
      </c>
      <c r="AJ90" s="194">
        <f t="shared" si="374"/>
        <v>4394518917.4796753</v>
      </c>
      <c r="AK90" s="194">
        <f t="shared" si="374"/>
        <v>57935619193.035378</v>
      </c>
      <c r="AL90" s="194">
        <f t="shared" si="374"/>
        <v>54104725256.709999</v>
      </c>
      <c r="AM90" s="194">
        <f t="shared" si="374"/>
        <v>100000000</v>
      </c>
      <c r="AN90" s="194">
        <f t="shared" si="374"/>
        <v>818308000</v>
      </c>
      <c r="AO90" s="194">
        <f t="shared" si="374"/>
        <v>0</v>
      </c>
      <c r="AP90" s="194">
        <f t="shared" si="374"/>
        <v>6592800</v>
      </c>
      <c r="AQ90" s="194">
        <f t="shared" si="374"/>
        <v>310004600</v>
      </c>
      <c r="AR90" s="194">
        <f t="shared" si="374"/>
        <v>0</v>
      </c>
      <c r="AS90" s="194">
        <f t="shared" si="374"/>
        <v>-2595988536.325387</v>
      </c>
      <c r="AT90" s="194"/>
      <c r="AU90" s="194">
        <f t="shared" si="374"/>
        <v>16498314778.791428</v>
      </c>
      <c r="AV90" s="194">
        <f t="shared" si="374"/>
        <v>34948430982.800003</v>
      </c>
      <c r="AW90" s="194">
        <f t="shared" si="374"/>
        <v>4448911900</v>
      </c>
      <c r="AX90" s="194">
        <f t="shared" si="374"/>
        <v>55895657661.591431</v>
      </c>
      <c r="AY90" s="194">
        <f t="shared" si="374"/>
        <v>51443477881.595718</v>
      </c>
      <c r="AZ90" s="194">
        <f t="shared" si="374"/>
        <v>200000000</v>
      </c>
      <c r="BA90" s="194">
        <f t="shared" si="374"/>
        <v>819505000</v>
      </c>
      <c r="BB90" s="194">
        <f t="shared" si="374"/>
        <v>0</v>
      </c>
      <c r="BC90" s="194">
        <f t="shared" si="374"/>
        <v>3739200</v>
      </c>
      <c r="BD90" s="194">
        <f t="shared" si="374"/>
        <v>208249600</v>
      </c>
      <c r="BE90" s="194">
        <f t="shared" si="374"/>
        <v>0</v>
      </c>
      <c r="BF90" s="194">
        <f t="shared" si="374"/>
        <v>-3220685979.9957128</v>
      </c>
      <c r="BG90" s="194"/>
      <c r="BH90" s="194">
        <f t="shared" si="374"/>
        <v>16863273521.464287</v>
      </c>
      <c r="BI90" s="194">
        <f t="shared" si="374"/>
        <v>35557415406.599998</v>
      </c>
      <c r="BJ90" s="194">
        <f t="shared" si="374"/>
        <v>2154414150</v>
      </c>
      <c r="BK90" s="194">
        <f t="shared" si="374"/>
        <v>54575103078.064285</v>
      </c>
      <c r="BL90" s="194">
        <f t="shared" si="374"/>
        <v>50596026318.259995</v>
      </c>
      <c r="BM90" s="194">
        <f t="shared" si="374"/>
        <v>0</v>
      </c>
      <c r="BN90" s="194">
        <f t="shared" si="374"/>
        <v>0</v>
      </c>
      <c r="BO90" s="194">
        <f t="shared" si="374"/>
        <v>0</v>
      </c>
      <c r="BP90" s="194">
        <f t="shared" si="374"/>
        <v>2346000</v>
      </c>
      <c r="BQ90" s="194">
        <f t="shared" si="374"/>
        <v>0</v>
      </c>
      <c r="BR90" s="194">
        <f t="shared" si="374"/>
        <v>0</v>
      </c>
      <c r="BS90" s="194">
        <f t="shared" si="374"/>
        <v>-3976730759.8042841</v>
      </c>
      <c r="BT90" s="194"/>
      <c r="BU90" s="194">
        <f t="shared" ref="BU90:EF90" si="375">BU6+BU25+BU46+BU59+BU74</f>
        <v>16411442579.267141</v>
      </c>
      <c r="BV90" s="194">
        <f t="shared" si="375"/>
        <v>35070555135.800003</v>
      </c>
      <c r="BW90" s="194">
        <f t="shared" si="375"/>
        <v>515000000</v>
      </c>
      <c r="BX90" s="194">
        <f t="shared" si="375"/>
        <v>51996997715.067146</v>
      </c>
      <c r="BY90" s="194">
        <f t="shared" si="375"/>
        <v>48982857715.422859</v>
      </c>
      <c r="BZ90" s="194">
        <f t="shared" si="375"/>
        <v>0</v>
      </c>
      <c r="CA90" s="194">
        <f t="shared" si="375"/>
        <v>0</v>
      </c>
      <c r="CB90" s="194">
        <f t="shared" si="375"/>
        <v>0</v>
      </c>
      <c r="CC90" s="194">
        <f t="shared" si="375"/>
        <v>2346000</v>
      </c>
      <c r="CD90" s="194">
        <f t="shared" si="375"/>
        <v>0</v>
      </c>
      <c r="CE90" s="194">
        <f t="shared" si="375"/>
        <v>0</v>
      </c>
      <c r="CF90" s="194">
        <f t="shared" si="375"/>
        <v>-3011793999.6442857</v>
      </c>
      <c r="CG90" s="194"/>
      <c r="CH90" s="194">
        <f t="shared" si="375"/>
        <v>16412099133.467142</v>
      </c>
      <c r="CI90" s="194">
        <f t="shared" si="375"/>
        <v>35661790991.199997</v>
      </c>
      <c r="CJ90" s="194">
        <f t="shared" si="375"/>
        <v>11500000</v>
      </c>
      <c r="CK90" s="194">
        <f t="shared" si="375"/>
        <v>52085390124.667145</v>
      </c>
      <c r="CL90" s="194">
        <f t="shared" si="375"/>
        <v>49329563924.522858</v>
      </c>
      <c r="CM90" s="194">
        <f t="shared" si="375"/>
        <v>0</v>
      </c>
      <c r="CN90" s="194">
        <f t="shared" si="375"/>
        <v>0</v>
      </c>
      <c r="CO90" s="194">
        <f t="shared" si="375"/>
        <v>0</v>
      </c>
      <c r="CP90" s="194">
        <f t="shared" si="375"/>
        <v>2346000</v>
      </c>
      <c r="CQ90" s="194">
        <f t="shared" si="375"/>
        <v>0</v>
      </c>
      <c r="CR90" s="194">
        <f t="shared" si="375"/>
        <v>0</v>
      </c>
      <c r="CS90" s="194">
        <f t="shared" si="375"/>
        <v>-2753480200.1442857</v>
      </c>
      <c r="CT90" s="194"/>
      <c r="CU90" s="194">
        <f t="shared" si="375"/>
        <v>16407339640.667141</v>
      </c>
      <c r="CV90" s="194">
        <f t="shared" si="375"/>
        <v>36015150248.600006</v>
      </c>
      <c r="CW90" s="194">
        <f t="shared" si="375"/>
        <v>0</v>
      </c>
      <c r="CX90" s="194">
        <f t="shared" si="375"/>
        <v>52422489889.267143</v>
      </c>
      <c r="CY90" s="194">
        <f t="shared" si="375"/>
        <v>49680326489.522858</v>
      </c>
      <c r="CZ90" s="194">
        <f t="shared" si="375"/>
        <v>0</v>
      </c>
      <c r="DA90" s="194">
        <f t="shared" si="375"/>
        <v>0</v>
      </c>
      <c r="DB90" s="194">
        <f t="shared" si="375"/>
        <v>0</v>
      </c>
      <c r="DC90" s="194">
        <f t="shared" si="375"/>
        <v>2346000</v>
      </c>
      <c r="DD90" s="194">
        <f t="shared" si="375"/>
        <v>0</v>
      </c>
      <c r="DE90" s="194">
        <f t="shared" si="375"/>
        <v>0</v>
      </c>
      <c r="DF90" s="194">
        <f t="shared" si="375"/>
        <v>-2739817399.7442856</v>
      </c>
      <c r="DG90" s="194"/>
      <c r="DH90" s="194">
        <f t="shared" si="375"/>
        <v>16400470561.96714</v>
      </c>
      <c r="DI90" s="194">
        <f t="shared" si="375"/>
        <v>36377949429.199997</v>
      </c>
      <c r="DJ90" s="194">
        <f t="shared" si="375"/>
        <v>0</v>
      </c>
      <c r="DK90" s="194">
        <f t="shared" si="375"/>
        <v>52778419991.167145</v>
      </c>
      <c r="DL90" s="194">
        <f t="shared" si="375"/>
        <v>50036072590.622864</v>
      </c>
      <c r="DM90" s="194">
        <f t="shared" si="375"/>
        <v>0</v>
      </c>
      <c r="DN90" s="194">
        <f t="shared" si="375"/>
        <v>0</v>
      </c>
      <c r="DO90" s="194">
        <f t="shared" si="375"/>
        <v>0</v>
      </c>
      <c r="DP90" s="194">
        <f t="shared" si="375"/>
        <v>2346000</v>
      </c>
      <c r="DQ90" s="194">
        <f t="shared" si="375"/>
        <v>0</v>
      </c>
      <c r="DR90" s="194">
        <f t="shared" si="375"/>
        <v>0</v>
      </c>
      <c r="DS90" s="194">
        <f t="shared" si="375"/>
        <v>-2740001400.5442858</v>
      </c>
      <c r="DT90" s="194"/>
      <c r="DU90" s="194">
        <f t="shared" si="375"/>
        <v>16405353756.767139</v>
      </c>
      <c r="DV90" s="194">
        <f t="shared" si="375"/>
        <v>36505781410.199997</v>
      </c>
      <c r="DW90" s="194">
        <f t="shared" si="375"/>
        <v>0</v>
      </c>
      <c r="DX90" s="194">
        <f t="shared" si="375"/>
        <v>52911135166.967148</v>
      </c>
      <c r="DY90" s="194">
        <f t="shared" si="375"/>
        <v>50169477766.922859</v>
      </c>
      <c r="DZ90" s="194">
        <f t="shared" si="375"/>
        <v>0</v>
      </c>
      <c r="EA90" s="194">
        <f t="shared" si="375"/>
        <v>0</v>
      </c>
      <c r="EB90" s="194">
        <f t="shared" si="375"/>
        <v>0</v>
      </c>
      <c r="EC90" s="194">
        <f t="shared" si="375"/>
        <v>2346000</v>
      </c>
      <c r="ED90" s="194">
        <f t="shared" si="375"/>
        <v>0</v>
      </c>
      <c r="EE90" s="194">
        <f t="shared" si="375"/>
        <v>0</v>
      </c>
      <c r="EF90" s="194">
        <f t="shared" si="375"/>
        <v>-2739311400.0442858</v>
      </c>
      <c r="EG90" s="194"/>
      <c r="EH90" s="194">
        <f>EH6+EH25+EH46+EH59+EH74</f>
        <v>149980590108.64713</v>
      </c>
      <c r="EI90" s="194">
        <f t="shared" ref="EI90:ES90" si="376">EI6+EI25+EI46+EI59+EI74</f>
        <v>330602356555.93335</v>
      </c>
      <c r="EJ90" s="194">
        <f t="shared" si="376"/>
        <v>15820121984.813009</v>
      </c>
      <c r="EK90" s="194">
        <f t="shared" si="376"/>
        <v>496403068649.39349</v>
      </c>
      <c r="EL90" s="194">
        <f t="shared" si="376"/>
        <v>466030072307.65997</v>
      </c>
      <c r="EM90" s="194">
        <f t="shared" si="376"/>
        <v>460200000</v>
      </c>
      <c r="EN90" s="194">
        <f t="shared" si="376"/>
        <v>3044410663</v>
      </c>
      <c r="EO90" s="194">
        <f t="shared" si="376"/>
        <v>4490000</v>
      </c>
      <c r="EP90" s="194">
        <f t="shared" si="376"/>
        <v>36255600</v>
      </c>
      <c r="EQ90" s="194">
        <f t="shared" si="376"/>
        <v>943794367</v>
      </c>
      <c r="ER90" s="194">
        <f t="shared" si="376"/>
        <v>0</v>
      </c>
      <c r="ES90" s="194">
        <f t="shared" si="376"/>
        <v>-25883845711.733482</v>
      </c>
    </row>
    <row r="91" spans="1:154" x14ac:dyDescent="0.25">
      <c r="H91" s="194">
        <f>H90-'Incremental_Cost Year 1'!AQ292</f>
        <v>0</v>
      </c>
      <c r="I91" s="194">
        <f>I90-'Incremental_Cost Year 1'!AR292</f>
        <v>0</v>
      </c>
      <c r="J91" s="194">
        <f>J90-'Incremental_Cost Year 1'!AS292</f>
        <v>0</v>
      </c>
      <c r="K91" s="194">
        <f>K90-'Incremental_Cost Year 1'!AT292</f>
        <v>0</v>
      </c>
      <c r="L91" s="194">
        <f>L90-'Incremental_Cost Year 1'!AU292</f>
        <v>0</v>
      </c>
      <c r="M91" s="194">
        <f>M90-'Incremental_Cost Year 1'!AV292</f>
        <v>0</v>
      </c>
      <c r="N91" s="194">
        <f>N90-'Incremental_Cost Year 1'!AW292</f>
        <v>0</v>
      </c>
      <c r="O91" s="194">
        <f>O90-'Incremental_Cost Year 1'!AX292</f>
        <v>0</v>
      </c>
      <c r="P91" s="194">
        <f>P90-'Incremental_Cost Year 1'!AY292</f>
        <v>0</v>
      </c>
      <c r="Q91" s="194">
        <f>Q90-'Incremental_Cost Year 1'!AZ292</f>
        <v>0</v>
      </c>
      <c r="R91" s="194">
        <f>R90-'Incremental_Cost Year 1'!BA292</f>
        <v>0</v>
      </c>
      <c r="S91" s="194">
        <f>S90-'Incremental_Cost Year 1'!BB292</f>
        <v>0</v>
      </c>
      <c r="U91" s="194">
        <f>U90-'Incremental_Cost Year 2'!AQ292</f>
        <v>0</v>
      </c>
      <c r="V91" s="194">
        <f>V90-'Incremental_Cost Year 2'!AR292</f>
        <v>0</v>
      </c>
      <c r="W91" s="194">
        <f>W90-'Incremental_Cost Year 2'!AS292</f>
        <v>0</v>
      </c>
      <c r="X91" s="194">
        <f>X90-'Incremental_Cost Year 2'!AT292</f>
        <v>0</v>
      </c>
      <c r="Y91" s="194">
        <f>Y90-'Incremental_Cost Year 2'!AU292</f>
        <v>0</v>
      </c>
      <c r="Z91" s="194">
        <f>Z90-'Incremental_Cost Year 2'!AV292</f>
        <v>0</v>
      </c>
      <c r="AA91" s="194">
        <f>AA90-'Incremental_Cost Year 2'!AW292</f>
        <v>0</v>
      </c>
      <c r="AB91" s="194">
        <f>AB90-'Incremental_Cost Year 2'!AX292</f>
        <v>0</v>
      </c>
      <c r="AC91" s="194">
        <f>AC90-'Incremental_Cost Year 2'!AY292</f>
        <v>0</v>
      </c>
      <c r="AD91" s="194">
        <f>AD90-'Incremental_Cost Year 2'!AZ292</f>
        <v>0</v>
      </c>
      <c r="AE91" s="194">
        <f>AE90-'Incremental_Cost Year 2'!BA292</f>
        <v>0</v>
      </c>
      <c r="AF91" s="194">
        <f>AF90-'Incremental_Cost Year 2'!BB292</f>
        <v>0</v>
      </c>
      <c r="AH91" s="194">
        <f>AH90-'Incremental_Cost Year 3'!AQ292</f>
        <v>0</v>
      </c>
      <c r="AI91" s="194">
        <f>AI90-'Incremental_Cost Year 3'!AR292</f>
        <v>0</v>
      </c>
      <c r="AJ91" s="194">
        <f>AJ90-'Incremental_Cost Year 3'!AS292</f>
        <v>0</v>
      </c>
      <c r="AK91" s="194">
        <f>AK90-'Incremental_Cost Year 3'!AT292</f>
        <v>0</v>
      </c>
      <c r="AL91" s="194">
        <f>AL90-'Incremental_Cost Year 3'!AU292</f>
        <v>0</v>
      </c>
      <c r="AM91" s="194">
        <f>AM90-'Incremental_Cost Year 3'!AV292</f>
        <v>0</v>
      </c>
      <c r="AN91" s="194">
        <f>AN90-'Incremental_Cost Year 3'!AW292</f>
        <v>0</v>
      </c>
      <c r="AO91" s="194">
        <f>AO90-'Incremental_Cost Year 3'!AX292</f>
        <v>0</v>
      </c>
      <c r="AP91" s="194">
        <f>AP90-'Incremental_Cost Year 3'!AY292</f>
        <v>0</v>
      </c>
      <c r="AQ91" s="194">
        <f>AQ90-'Incremental_Cost Year 3'!AZ292</f>
        <v>0</v>
      </c>
      <c r="AR91" s="194">
        <f>AR90-'Incremental_Cost Year 3'!BA292</f>
        <v>0</v>
      </c>
      <c r="AS91" s="194">
        <f>AS90-'Incremental_Cost Year 3'!BB292</f>
        <v>0</v>
      </c>
      <c r="AU91" s="194">
        <f>AU90-'Incremental_Cost Year 4'!AQ292</f>
        <v>0</v>
      </c>
      <c r="AV91" s="194">
        <f>AV90-'Incremental_Cost Year 4'!AR292</f>
        <v>0</v>
      </c>
      <c r="AW91" s="194">
        <f>AW90-'Incremental_Cost Year 4'!AS292</f>
        <v>0</v>
      </c>
      <c r="AX91" s="194">
        <f>AX90-'Incremental_Cost Year 4'!AT292</f>
        <v>0</v>
      </c>
      <c r="AY91" s="194">
        <f>AY90-'Incremental_Cost Year 4'!AU292</f>
        <v>0</v>
      </c>
      <c r="AZ91" s="194">
        <f>AZ90-'Incremental_Cost Year 4'!AV292</f>
        <v>0</v>
      </c>
      <c r="BA91" s="194">
        <f>BA90-'Incremental_Cost Year 4'!AW292</f>
        <v>0</v>
      </c>
      <c r="BB91" s="194">
        <f>BB90-'Incremental_Cost Year 4'!AX292</f>
        <v>0</v>
      </c>
      <c r="BC91" s="194">
        <f>BC90-'Incremental_Cost Year 4'!AY292</f>
        <v>0</v>
      </c>
      <c r="BD91" s="194">
        <f>BD90-'Incremental_Cost Year 4'!AZ292</f>
        <v>0</v>
      </c>
      <c r="BE91" s="194">
        <f>BE90-'Incremental_Cost Year 4'!BA292</f>
        <v>0</v>
      </c>
      <c r="BF91" s="194">
        <f>BF90-'Incremental_Cost Year 4'!BB292</f>
        <v>0</v>
      </c>
      <c r="BH91" s="194">
        <f>BH90-'Incremental_Cost Year 5'!AQ292</f>
        <v>0</v>
      </c>
      <c r="BI91" s="194">
        <f>BI90-'Incremental_Cost Year 5'!AR292</f>
        <v>0</v>
      </c>
      <c r="BJ91" s="194">
        <f>BJ90-'Incremental_Cost Year 5'!AS292</f>
        <v>0</v>
      </c>
      <c r="BK91" s="194">
        <f>BK90-'Incremental_Cost Year 5'!AT292</f>
        <v>0</v>
      </c>
      <c r="BL91" s="194">
        <f>BL90-'Incremental_Cost Year 5'!AU292</f>
        <v>0</v>
      </c>
      <c r="BM91" s="194">
        <f>BM90-'Incremental_Cost Year 5'!AV292</f>
        <v>0</v>
      </c>
      <c r="BN91" s="194">
        <f>BN90-'Incremental_Cost Year 5'!AW292</f>
        <v>0</v>
      </c>
      <c r="BO91" s="194">
        <f>BO90-'Incremental_Cost Year 5'!AX292</f>
        <v>0</v>
      </c>
      <c r="BP91" s="194">
        <f>BP90-'Incremental_Cost Year 5'!AY292</f>
        <v>0</v>
      </c>
      <c r="BQ91" s="194">
        <f>BQ90-'Incremental_Cost Year 5'!AZ292</f>
        <v>0</v>
      </c>
      <c r="BR91" s="194">
        <f>BR90-'Incremental_Cost Year 5'!BA292</f>
        <v>0</v>
      </c>
      <c r="BS91" s="194">
        <f>BS90-'Incremental_Cost Year 5'!BB292</f>
        <v>0</v>
      </c>
      <c r="BU91" s="194">
        <f>BU90-'Incremental_Cost Year 6'!AQ292</f>
        <v>0</v>
      </c>
      <c r="BV91" s="194">
        <f>BV90-'Incremental_Cost Year 6'!AR292</f>
        <v>0</v>
      </c>
      <c r="BW91" s="194">
        <f>BW90-'Incremental_Cost Year 6'!AS292</f>
        <v>0</v>
      </c>
      <c r="BX91" s="194">
        <f>BX90-'Incremental_Cost Year 6'!AT292</f>
        <v>0</v>
      </c>
      <c r="BY91" s="194">
        <f>BY90-'Incremental_Cost Year 6'!AU292</f>
        <v>0</v>
      </c>
      <c r="BZ91" s="194">
        <f>BZ90-'Incremental_Cost Year 6'!AV292</f>
        <v>0</v>
      </c>
      <c r="CA91" s="194">
        <f>CA90-'Incremental_Cost Year 6'!AW292</f>
        <v>0</v>
      </c>
      <c r="CB91" s="194">
        <f>CB90-'Incremental_Cost Year 6'!AX292</f>
        <v>0</v>
      </c>
      <c r="CC91" s="194">
        <f>CC90-'Incremental_Cost Year 6'!AY292</f>
        <v>0</v>
      </c>
      <c r="CD91" s="194">
        <f>CD90-'Incremental_Cost Year 6'!AZ292</f>
        <v>0</v>
      </c>
      <c r="CE91" s="194">
        <f>CE90-'Incremental_Cost Year 6'!BA292</f>
        <v>0</v>
      </c>
      <c r="CF91" s="194">
        <f>CF90-'Incremental_Cost Year 6'!BB292</f>
        <v>0</v>
      </c>
      <c r="CH91" s="194">
        <f>CH90-'Incremental_Cost Year 7'!AQ292</f>
        <v>0</v>
      </c>
      <c r="CI91" s="194">
        <f>CI90-'Incremental_Cost Year 7'!AR292</f>
        <v>0</v>
      </c>
      <c r="CJ91" s="194">
        <f>CJ90-'Incremental_Cost Year 7'!AS292</f>
        <v>0</v>
      </c>
      <c r="CK91" s="194">
        <f>CK90-'Incremental_Cost Year 7'!AT292</f>
        <v>0</v>
      </c>
      <c r="CL91" s="194">
        <f>CL90-'Incremental_Cost Year 7'!AU292</f>
        <v>0</v>
      </c>
      <c r="CM91" s="194">
        <f>CM90-'Incremental_Cost Year 7'!AV292</f>
        <v>0</v>
      </c>
      <c r="CN91" s="194">
        <f>CN90-'Incremental_Cost Year 7'!AW292</f>
        <v>0</v>
      </c>
      <c r="CO91" s="194">
        <f>CO90-'Incremental_Cost Year 7'!AX292</f>
        <v>0</v>
      </c>
      <c r="CP91" s="194">
        <f>CP90-'Incremental_Cost Year 7'!AY292</f>
        <v>0</v>
      </c>
      <c r="CQ91" s="194">
        <f>CQ90-'Incremental_Cost Year 7'!AZ292</f>
        <v>0</v>
      </c>
      <c r="CR91" s="194">
        <f>CR90-'Incremental_Cost Year 7'!BA292</f>
        <v>0</v>
      </c>
      <c r="CS91" s="194">
        <f>CS90-'Incremental_Cost Year 7'!BB292</f>
        <v>0</v>
      </c>
      <c r="CU91" s="194">
        <f>CU90-'Incremental_Cost Year 8'!AQ292</f>
        <v>0</v>
      </c>
      <c r="CV91" s="194">
        <f>CV90-'Incremental_Cost Year 8'!AR292</f>
        <v>0</v>
      </c>
      <c r="CW91" s="194">
        <f>CW90-'Incremental_Cost Year 8'!AS292</f>
        <v>0</v>
      </c>
      <c r="CX91" s="194">
        <f>CX90-'Incremental_Cost Year 8'!AT292</f>
        <v>0</v>
      </c>
      <c r="CY91" s="194">
        <f>CY90-'Incremental_Cost Year 8'!AU292</f>
        <v>0</v>
      </c>
      <c r="CZ91" s="194">
        <f>CZ90-'Incremental_Cost Year 8'!AV292</f>
        <v>0</v>
      </c>
      <c r="DA91" s="194">
        <f>DA90-'Incremental_Cost Year 8'!AW292</f>
        <v>0</v>
      </c>
      <c r="DB91" s="194">
        <f>DB90-'Incremental_Cost Year 8'!AX292</f>
        <v>0</v>
      </c>
      <c r="DC91" s="194">
        <f>DC90-'Incremental_Cost Year 8'!AY292</f>
        <v>0</v>
      </c>
      <c r="DD91" s="194">
        <f>DD90-'Incremental_Cost Year 8'!AZ292</f>
        <v>0</v>
      </c>
      <c r="DE91" s="194">
        <f>DE90-'Incremental_Cost Year 8'!BA292</f>
        <v>0</v>
      </c>
      <c r="DF91" s="194">
        <f>DF90-'Incremental_Cost Year 8'!BB292</f>
        <v>0</v>
      </c>
      <c r="DH91" s="194">
        <f>DH90-'Incremental_Cost Year 9'!AQ292</f>
        <v>0</v>
      </c>
      <c r="DI91" s="194">
        <f>DI90-'Incremental_Cost Year 9'!AR292</f>
        <v>0</v>
      </c>
      <c r="DJ91" s="194">
        <f>DJ90-'Incremental_Cost Year 9'!AS292</f>
        <v>0</v>
      </c>
      <c r="DK91" s="194">
        <f>DK90-'Incremental_Cost Year 9'!AT292</f>
        <v>0</v>
      </c>
      <c r="DL91" s="194">
        <f>DL90-'Incremental_Cost Year 9'!AU292</f>
        <v>0</v>
      </c>
      <c r="DM91" s="194">
        <f>DM90-'Incremental_Cost Year 9'!AV292</f>
        <v>0</v>
      </c>
      <c r="DN91" s="194">
        <f>DN90-'Incremental_Cost Year 9'!AW292</f>
        <v>0</v>
      </c>
      <c r="DO91" s="194">
        <f>DO90-'Incremental_Cost Year 9'!AX292</f>
        <v>0</v>
      </c>
      <c r="DP91" s="194">
        <f>DP90-'Incremental_Cost Year 9'!AY292</f>
        <v>0</v>
      </c>
      <c r="DQ91" s="194">
        <f>DQ90-'Incremental_Cost Year 9'!AZ292</f>
        <v>0</v>
      </c>
      <c r="DR91" s="194">
        <f>DR90-'Incremental_Cost Year 9'!BA292</f>
        <v>0</v>
      </c>
      <c r="DS91" s="194">
        <f>DS90-'Incremental_Cost Year 9'!BB292</f>
        <v>0</v>
      </c>
      <c r="DU91" s="194">
        <f>DU90-'Incremental_Cost Year 10'!AQ292</f>
        <v>0</v>
      </c>
      <c r="DV91" s="194">
        <f>DV90-'Incremental_Cost Year 10'!AR292</f>
        <v>0</v>
      </c>
      <c r="DW91" s="194">
        <f>DW90-'Incremental_Cost Year 10'!AS292</f>
        <v>0</v>
      </c>
      <c r="DX91" s="194">
        <f>DX90-'Incremental_Cost Year 10'!AT292</f>
        <v>0</v>
      </c>
      <c r="DY91" s="194">
        <f>DY90-'Incremental_Cost Year 10'!AU292</f>
        <v>0</v>
      </c>
      <c r="DZ91" s="194">
        <f>DZ90-'Incremental_Cost Year 10'!AV292</f>
        <v>0</v>
      </c>
      <c r="EA91" s="194">
        <f>EA90-'Incremental_Cost Year 10'!AW292</f>
        <v>0</v>
      </c>
      <c r="EB91" s="194">
        <f>EB90-'Incremental_Cost Year 10'!AX292</f>
        <v>0</v>
      </c>
      <c r="EC91" s="194">
        <f>EC90-'Incremental_Cost Year 10'!AY292</f>
        <v>0</v>
      </c>
      <c r="ED91" s="194">
        <f>ED90-'Incremental_Cost Year 10'!AZ292</f>
        <v>0</v>
      </c>
      <c r="EE91" s="194">
        <f>EE90-'Incremental_Cost Year 10'!BA292</f>
        <v>0</v>
      </c>
      <c r="EF91" s="194">
        <f>EF90-'Incremental_Cost Year 10'!BB292</f>
        <v>0</v>
      </c>
    </row>
    <row r="92" spans="1:154" x14ac:dyDescent="0.25">
      <c r="EL92" s="194"/>
    </row>
    <row r="94" spans="1:154" x14ac:dyDescent="0.25">
      <c r="Y94" s="194"/>
    </row>
  </sheetData>
  <mergeCells count="47">
    <mergeCell ref="C87:E87"/>
    <mergeCell ref="B74:E74"/>
    <mergeCell ref="C75:E75"/>
    <mergeCell ref="C79:E79"/>
    <mergeCell ref="C82:E82"/>
    <mergeCell ref="C85:E85"/>
    <mergeCell ref="C70:E70"/>
    <mergeCell ref="C72:E72"/>
    <mergeCell ref="C36:E36"/>
    <mergeCell ref="C38:E38"/>
    <mergeCell ref="C40:E40"/>
    <mergeCell ref="C42:E42"/>
    <mergeCell ref="C44:E44"/>
    <mergeCell ref="C64:E64"/>
    <mergeCell ref="C47:E47"/>
    <mergeCell ref="C66:E66"/>
    <mergeCell ref="C55:E55"/>
    <mergeCell ref="B59:E59"/>
    <mergeCell ref="C60:E60"/>
    <mergeCell ref="B46:E46"/>
    <mergeCell ref="C68:E68"/>
    <mergeCell ref="C34:E34"/>
    <mergeCell ref="BH2:BS2"/>
    <mergeCell ref="C51:E51"/>
    <mergeCell ref="CH2:CS2"/>
    <mergeCell ref="CU2:DF2"/>
    <mergeCell ref="B3:E3"/>
    <mergeCell ref="C12:E12"/>
    <mergeCell ref="C17:E17"/>
    <mergeCell ref="C19:E19"/>
    <mergeCell ref="C23:E23"/>
    <mergeCell ref="C32:E32"/>
    <mergeCell ref="C30:E30"/>
    <mergeCell ref="B25:E25"/>
    <mergeCell ref="C26:E26"/>
    <mergeCell ref="BU2:CF2"/>
    <mergeCell ref="C10:E10"/>
    <mergeCell ref="B4:E4"/>
    <mergeCell ref="B6:E6"/>
    <mergeCell ref="C7:E7"/>
    <mergeCell ref="EH2:ES2"/>
    <mergeCell ref="H2:S2"/>
    <mergeCell ref="U2:AF2"/>
    <mergeCell ref="AH2:AS2"/>
    <mergeCell ref="AU2:BF2"/>
    <mergeCell ref="DU2:EF2"/>
    <mergeCell ref="DH2:DS2"/>
  </mergeCells>
  <pageMargins left="0.7" right="0.7" top="0.75" bottom="0.75" header="0.3" footer="0.3"/>
  <pageSetup orientation="portrait"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F292"/>
  <sheetViews>
    <sheetView tabSelected="1" zoomScale="47" zoomScaleNormal="47" workbookViewId="0">
      <pane xSplit="8" ySplit="5" topLeftCell="AS145" activePane="bottomRight" state="frozen"/>
      <selection pane="topRight" activeCell="I1" sqref="I1"/>
      <selection pane="bottomLeft" activeCell="A6" sqref="A6"/>
      <selection pane="bottomRight" activeCell="AW278" sqref="AW278"/>
    </sheetView>
  </sheetViews>
  <sheetFormatPr defaultColWidth="8.85546875" defaultRowHeight="15" outlineLevelRow="2" outlineLevelCol="2" x14ac:dyDescent="0.25"/>
  <cols>
    <col min="1" max="1" width="4.140625" style="35" bestFit="1" customWidth="1"/>
    <col min="2" max="2" width="3.28515625" style="35" customWidth="1"/>
    <col min="3" max="3" width="2.42578125" style="69" customWidth="1"/>
    <col min="4" max="4" width="24.7109375" style="101" customWidth="1"/>
    <col min="5" max="5" width="41.42578125" style="102" customWidth="1" outlineLevel="1"/>
    <col min="6" max="6" width="12.140625" style="101" customWidth="1" outlineLevel="1"/>
    <col min="7" max="7" width="12.7109375" style="101" customWidth="1" outlineLevel="1"/>
    <col min="8" max="8" width="97.85546875" style="101" customWidth="1" outlineLevel="2"/>
    <col min="9" max="9" width="16.140625" style="239" customWidth="1" outlineLevel="2"/>
    <col min="10" max="10" width="8.42578125" style="239" bestFit="1" customWidth="1" outlineLevel="2"/>
    <col min="11" max="11" width="12" style="239" bestFit="1" customWidth="1" outlineLevel="2"/>
    <col min="12" max="12" width="21.42578125" style="239" customWidth="1" outlineLevel="1"/>
    <col min="13" max="13" width="19.140625" style="239" customWidth="1" outlineLevel="1"/>
    <col min="14" max="14" width="10.5703125" style="239" customWidth="1" outlineLevel="2"/>
    <col min="15" max="15" width="11" style="239" customWidth="1" outlineLevel="2"/>
    <col min="16" max="16" width="13.28515625" style="239" customWidth="1" outlineLevel="2"/>
    <col min="17" max="17" width="14.140625" style="239" customWidth="1" outlineLevel="2"/>
    <col min="18" max="21" width="12.140625" style="239" customWidth="1" outlineLevel="2"/>
    <col min="22" max="23" width="8.42578125" style="239" bestFit="1" customWidth="1" outlineLevel="2"/>
    <col min="24" max="24" width="7.5703125" style="239" customWidth="1" outlineLevel="2"/>
    <col min="25" max="25" width="12" style="239" bestFit="1" customWidth="1" outlineLevel="1"/>
    <col min="26" max="26" width="8.42578125" style="239" bestFit="1" customWidth="1" outlineLevel="2"/>
    <col min="27" max="27" width="9" style="239" bestFit="1" customWidth="1" outlineLevel="2"/>
    <col min="28" max="28" width="14.42578125" style="239" customWidth="1" outlineLevel="1"/>
    <col min="29" max="29" width="24.140625" style="239" customWidth="1" outlineLevel="1"/>
    <col min="30" max="30" width="12.85546875" style="239" customWidth="1" outlineLevel="2"/>
    <col min="31" max="31" width="22.28515625" style="239" customWidth="1" outlineLevel="2"/>
    <col min="32" max="32" width="20.7109375" style="239" customWidth="1" outlineLevel="1"/>
    <col min="33" max="34" width="9" style="239" bestFit="1" customWidth="1" outlineLevel="2"/>
    <col min="35" max="35" width="7.28515625" style="239" customWidth="1" outlineLevel="2"/>
    <col min="36" max="36" width="18" style="239" customWidth="1" outlineLevel="2"/>
    <col min="37" max="37" width="13.28515625" style="239" customWidth="1" outlineLevel="2"/>
    <col min="38" max="38" width="17.5703125" style="239" customWidth="1" outlineLevel="2"/>
    <col min="39" max="39" width="20.28515625" style="239" customWidth="1" outlineLevel="1"/>
    <col min="40" max="40" width="17" style="239" customWidth="1" outlineLevel="1"/>
    <col min="41" max="41" width="39.85546875" style="239" customWidth="1" outlineLevel="2"/>
    <col min="42" max="42" width="2.7109375" style="239" customWidth="1"/>
    <col min="43" max="43" width="19.5703125" style="239" customWidth="1"/>
    <col min="44" max="44" width="26" style="239" customWidth="1"/>
    <col min="45" max="45" width="20.28515625" style="239" customWidth="1"/>
    <col min="46" max="46" width="25.7109375" style="239" customWidth="1"/>
    <col min="47" max="47" width="24" style="235" customWidth="1"/>
    <col min="48" max="48" width="21.42578125" style="235" customWidth="1"/>
    <col min="49" max="49" width="17.28515625" style="235" customWidth="1"/>
    <col min="50" max="51" width="15" style="235" customWidth="1"/>
    <col min="52" max="52" width="21.42578125" style="235" customWidth="1"/>
    <col min="53" max="53" width="15" style="235" customWidth="1"/>
    <col min="54" max="54" width="22.7109375" style="235" customWidth="1"/>
    <col min="55" max="58" width="9.140625" customWidth="1"/>
    <col min="59" max="16384" width="8.85546875" style="30"/>
  </cols>
  <sheetData>
    <row r="1" spans="1:58" s="35" customFormat="1" ht="50.45" customHeight="1" x14ac:dyDescent="0.25">
      <c r="A1" s="115"/>
      <c r="B1" s="395" t="s">
        <v>155</v>
      </c>
      <c r="C1" s="395"/>
      <c r="D1" s="395"/>
      <c r="E1" s="395"/>
      <c r="F1" s="395"/>
      <c r="G1" s="395"/>
      <c r="H1" s="395"/>
      <c r="I1" s="395"/>
      <c r="J1" s="395"/>
      <c r="K1" s="395"/>
      <c r="L1" s="395"/>
      <c r="M1" s="232"/>
      <c r="N1" s="233"/>
      <c r="O1" s="233"/>
      <c r="P1" s="233"/>
      <c r="Q1" s="233"/>
      <c r="R1" s="233"/>
      <c r="S1" s="233"/>
      <c r="T1" s="233"/>
      <c r="U1" s="233"/>
      <c r="V1" s="233"/>
      <c r="W1" s="233"/>
      <c r="X1" s="233"/>
      <c r="Y1" s="233"/>
      <c r="Z1" s="233"/>
      <c r="AA1" s="233"/>
      <c r="AB1" s="233"/>
      <c r="AC1" s="233"/>
      <c r="AD1" s="233"/>
      <c r="AE1" s="233"/>
      <c r="AF1" s="233"/>
      <c r="AG1" s="233"/>
      <c r="AH1" s="233"/>
      <c r="AI1" s="233"/>
      <c r="AJ1" s="233"/>
      <c r="AK1" s="233"/>
      <c r="AL1" s="233"/>
      <c r="AM1" s="233"/>
      <c r="AN1" s="233"/>
      <c r="AO1" s="233"/>
      <c r="AP1" s="234"/>
      <c r="AQ1" s="234"/>
      <c r="AR1" s="234"/>
      <c r="AS1" s="234"/>
      <c r="AT1" s="234"/>
      <c r="AU1" s="235"/>
      <c r="AV1" s="235"/>
      <c r="AW1" s="235"/>
      <c r="AX1" s="235"/>
      <c r="AY1" s="235"/>
      <c r="AZ1" s="235"/>
      <c r="BA1" s="235"/>
      <c r="BB1" s="235"/>
    </row>
    <row r="2" spans="1:58" ht="78.75" x14ac:dyDescent="0.25">
      <c r="A2" s="115" t="s">
        <v>55</v>
      </c>
      <c r="B2" s="385" t="s">
        <v>120</v>
      </c>
      <c r="C2" s="386"/>
      <c r="D2" s="386"/>
      <c r="E2" s="387"/>
      <c r="F2" s="214" t="s">
        <v>133</v>
      </c>
      <c r="G2" s="214" t="s">
        <v>134</v>
      </c>
      <c r="H2" s="116" t="s">
        <v>54</v>
      </c>
      <c r="I2" s="236" t="s">
        <v>0</v>
      </c>
      <c r="J2" s="236" t="s">
        <v>14</v>
      </c>
      <c r="K2" s="236" t="s">
        <v>15</v>
      </c>
      <c r="L2" s="237" t="s">
        <v>11</v>
      </c>
      <c r="M2" s="237" t="s">
        <v>82</v>
      </c>
      <c r="N2" s="236" t="s">
        <v>16</v>
      </c>
      <c r="O2" s="236" t="s">
        <v>7</v>
      </c>
      <c r="P2" s="236" t="s">
        <v>6</v>
      </c>
      <c r="Q2" s="236" t="s">
        <v>8</v>
      </c>
      <c r="R2" s="237" t="s">
        <v>57</v>
      </c>
      <c r="S2" s="237" t="s">
        <v>65</v>
      </c>
      <c r="T2" s="237" t="s">
        <v>64</v>
      </c>
      <c r="U2" s="237" t="s">
        <v>63</v>
      </c>
      <c r="V2" s="236" t="s">
        <v>17</v>
      </c>
      <c r="W2" s="236" t="s">
        <v>67</v>
      </c>
      <c r="X2" s="236" t="s">
        <v>6</v>
      </c>
      <c r="Y2" s="237" t="s">
        <v>71</v>
      </c>
      <c r="Z2" s="236" t="s">
        <v>10</v>
      </c>
      <c r="AA2" s="236" t="s">
        <v>9</v>
      </c>
      <c r="AB2" s="237" t="s">
        <v>70</v>
      </c>
      <c r="AC2" s="238" t="s">
        <v>18</v>
      </c>
      <c r="AD2" s="237" t="s">
        <v>79</v>
      </c>
      <c r="AE2" s="237" t="s">
        <v>23</v>
      </c>
      <c r="AF2" s="237" t="s">
        <v>80</v>
      </c>
      <c r="AG2" s="236" t="s">
        <v>20</v>
      </c>
      <c r="AH2" s="236" t="s">
        <v>21</v>
      </c>
      <c r="AI2" s="236" t="s">
        <v>22</v>
      </c>
      <c r="AJ2" s="236" t="s">
        <v>99</v>
      </c>
      <c r="AK2" s="236" t="s">
        <v>101</v>
      </c>
      <c r="AL2" s="236" t="s">
        <v>90</v>
      </c>
      <c r="AM2" s="237" t="s">
        <v>92</v>
      </c>
      <c r="AN2" s="237" t="s">
        <v>13</v>
      </c>
      <c r="AO2" s="236"/>
      <c r="AQ2" s="382" t="s">
        <v>122</v>
      </c>
      <c r="AR2" s="383"/>
      <c r="AS2" s="383"/>
      <c r="AT2" s="383"/>
      <c r="AU2" s="383"/>
      <c r="AV2" s="383"/>
      <c r="AW2" s="383"/>
      <c r="AX2" s="383"/>
      <c r="AY2" s="383"/>
      <c r="AZ2" s="383"/>
      <c r="BA2" s="383"/>
      <c r="BB2" s="384"/>
      <c r="BC2" s="30"/>
      <c r="BD2" s="30"/>
      <c r="BE2" s="30"/>
      <c r="BF2" s="30"/>
    </row>
    <row r="3" spans="1:58" s="31" customFormat="1" ht="78.75" x14ac:dyDescent="0.25">
      <c r="A3" s="118" t="s">
        <v>56</v>
      </c>
      <c r="B3" s="385" t="s">
        <v>121</v>
      </c>
      <c r="C3" s="386"/>
      <c r="D3" s="386"/>
      <c r="E3" s="387"/>
      <c r="F3" s="214" t="s">
        <v>135</v>
      </c>
      <c r="G3" s="214" t="s">
        <v>135</v>
      </c>
      <c r="H3" s="119" t="s">
        <v>45</v>
      </c>
      <c r="I3" s="236" t="s">
        <v>51</v>
      </c>
      <c r="J3" s="236" t="s">
        <v>52</v>
      </c>
      <c r="K3" s="236" t="s">
        <v>53</v>
      </c>
      <c r="L3" s="237" t="s">
        <v>117</v>
      </c>
      <c r="M3" s="237" t="s">
        <v>116</v>
      </c>
      <c r="N3" s="236" t="s">
        <v>73</v>
      </c>
      <c r="O3" s="236" t="s">
        <v>72</v>
      </c>
      <c r="P3" s="236" t="s">
        <v>74</v>
      </c>
      <c r="Q3" s="236" t="s">
        <v>75</v>
      </c>
      <c r="R3" s="237" t="s">
        <v>115</v>
      </c>
      <c r="S3" s="237" t="s">
        <v>114</v>
      </c>
      <c r="T3" s="237" t="s">
        <v>113</v>
      </c>
      <c r="U3" s="237" t="s">
        <v>112</v>
      </c>
      <c r="V3" s="236" t="s">
        <v>76</v>
      </c>
      <c r="W3" s="236" t="s">
        <v>77</v>
      </c>
      <c r="X3" s="236" t="s">
        <v>78</v>
      </c>
      <c r="Y3" s="237" t="s">
        <v>111</v>
      </c>
      <c r="Z3" s="236" t="s">
        <v>68</v>
      </c>
      <c r="AA3" s="236" t="s">
        <v>69</v>
      </c>
      <c r="AB3" s="237" t="s">
        <v>110</v>
      </c>
      <c r="AC3" s="238" t="s">
        <v>109</v>
      </c>
      <c r="AD3" s="237" t="s">
        <v>108</v>
      </c>
      <c r="AE3" s="237" t="s">
        <v>107</v>
      </c>
      <c r="AF3" s="237" t="s">
        <v>106</v>
      </c>
      <c r="AG3" s="236" t="s">
        <v>87</v>
      </c>
      <c r="AH3" s="236" t="s">
        <v>89</v>
      </c>
      <c r="AI3" s="236" t="s">
        <v>88</v>
      </c>
      <c r="AJ3" s="237" t="s">
        <v>100</v>
      </c>
      <c r="AK3" s="237" t="s">
        <v>102</v>
      </c>
      <c r="AL3" s="237" t="s">
        <v>96</v>
      </c>
      <c r="AM3" s="237" t="s">
        <v>104</v>
      </c>
      <c r="AN3" s="237" t="s">
        <v>105</v>
      </c>
      <c r="AO3" s="236"/>
      <c r="AP3" s="240"/>
      <c r="AQ3" s="370" t="s">
        <v>123</v>
      </c>
      <c r="AR3" s="370" t="s">
        <v>24</v>
      </c>
      <c r="AS3" s="370" t="s">
        <v>12</v>
      </c>
      <c r="AT3" s="370" t="s">
        <v>19</v>
      </c>
      <c r="AU3" s="371" t="s">
        <v>124</v>
      </c>
      <c r="AV3" s="371" t="s">
        <v>125</v>
      </c>
      <c r="AW3" s="371" t="s">
        <v>222</v>
      </c>
      <c r="AX3" s="371" t="s">
        <v>136</v>
      </c>
      <c r="AY3" s="371" t="s">
        <v>546</v>
      </c>
      <c r="AZ3" s="371" t="s">
        <v>565</v>
      </c>
      <c r="BA3" s="372" t="s">
        <v>126</v>
      </c>
      <c r="BB3" s="371" t="s">
        <v>25</v>
      </c>
    </row>
    <row r="4" spans="1:58" s="33" customFormat="1" ht="63" x14ac:dyDescent="0.25">
      <c r="A4" s="120"/>
      <c r="B4" s="121"/>
      <c r="C4" s="122"/>
      <c r="D4" s="122"/>
      <c r="E4" s="123"/>
      <c r="F4" s="123" t="s">
        <v>131</v>
      </c>
      <c r="G4" s="123" t="s">
        <v>132</v>
      </c>
      <c r="H4" s="116" t="s">
        <v>119</v>
      </c>
      <c r="I4" s="241" t="s">
        <v>118</v>
      </c>
      <c r="J4" s="241">
        <v>2</v>
      </c>
      <c r="K4" s="241">
        <v>3</v>
      </c>
      <c r="L4" s="241" t="s">
        <v>81</v>
      </c>
      <c r="M4" s="241" t="s">
        <v>83</v>
      </c>
      <c r="N4" s="241">
        <v>6</v>
      </c>
      <c r="O4" s="241">
        <v>7</v>
      </c>
      <c r="P4" s="241">
        <v>8</v>
      </c>
      <c r="Q4" s="241">
        <v>9</v>
      </c>
      <c r="R4" s="241" t="s">
        <v>26</v>
      </c>
      <c r="S4" s="241" t="s">
        <v>27</v>
      </c>
      <c r="T4" s="241" t="s">
        <v>28</v>
      </c>
      <c r="U4" s="241" t="s">
        <v>29</v>
      </c>
      <c r="V4" s="241">
        <v>14</v>
      </c>
      <c r="W4" s="241">
        <v>15</v>
      </c>
      <c r="X4" s="241">
        <v>16</v>
      </c>
      <c r="Y4" s="241" t="s">
        <v>84</v>
      </c>
      <c r="Z4" s="241">
        <v>18</v>
      </c>
      <c r="AA4" s="241">
        <v>19</v>
      </c>
      <c r="AB4" s="241" t="s">
        <v>85</v>
      </c>
      <c r="AC4" s="241">
        <v>21</v>
      </c>
      <c r="AD4" s="241">
        <v>22</v>
      </c>
      <c r="AE4" s="241" t="s">
        <v>94</v>
      </c>
      <c r="AF4" s="241" t="s">
        <v>86</v>
      </c>
      <c r="AG4" s="241">
        <v>25</v>
      </c>
      <c r="AH4" s="241">
        <v>26</v>
      </c>
      <c r="AI4" s="241">
        <v>27</v>
      </c>
      <c r="AJ4" s="241">
        <v>28</v>
      </c>
      <c r="AK4" s="241">
        <v>29</v>
      </c>
      <c r="AL4" s="241">
        <v>30</v>
      </c>
      <c r="AM4" s="241" t="s">
        <v>95</v>
      </c>
      <c r="AN4" s="241" t="s">
        <v>103</v>
      </c>
      <c r="AO4" s="241"/>
      <c r="AP4" s="242"/>
      <c r="AQ4" s="241" t="s">
        <v>127</v>
      </c>
      <c r="AR4" s="241" t="s">
        <v>128</v>
      </c>
      <c r="AS4" s="241" t="s">
        <v>129</v>
      </c>
      <c r="AT4" s="241" t="s">
        <v>130</v>
      </c>
      <c r="AU4" s="377">
        <v>37</v>
      </c>
      <c r="AV4" s="377">
        <v>38</v>
      </c>
      <c r="AW4" s="377">
        <v>39</v>
      </c>
      <c r="AX4" s="377">
        <v>40</v>
      </c>
      <c r="AY4" s="377"/>
      <c r="AZ4" s="377">
        <v>41</v>
      </c>
      <c r="BA4" s="377">
        <v>42</v>
      </c>
      <c r="BB4" s="377" t="s">
        <v>142</v>
      </c>
    </row>
    <row r="5" spans="1:58" s="32" customFormat="1" ht="15.75" x14ac:dyDescent="0.25">
      <c r="A5" s="120"/>
      <c r="B5" s="388" t="s">
        <v>312</v>
      </c>
      <c r="C5" s="389"/>
      <c r="D5" s="389"/>
      <c r="E5" s="390"/>
      <c r="F5" s="113"/>
      <c r="G5" s="113"/>
      <c r="H5" s="113" t="s">
        <v>58</v>
      </c>
      <c r="I5" s="243"/>
      <c r="J5" s="243"/>
      <c r="K5" s="243"/>
      <c r="L5" s="243">
        <f>SUM(L6+L16+L20+L40+L45+L61)</f>
        <v>488851422.14285713</v>
      </c>
      <c r="M5" s="243">
        <f>SUM(M6+M16+M20+M40+M45+M61)</f>
        <v>81638187.497857139</v>
      </c>
      <c r="N5" s="243"/>
      <c r="O5" s="243"/>
      <c r="P5" s="243"/>
      <c r="Q5" s="243"/>
      <c r="R5" s="243">
        <f>SUM(R6+R16+R20+R40+R45+R61)</f>
        <v>280000</v>
      </c>
      <c r="S5" s="243">
        <f>SUM(S6+S16+S20+S40+S45+S61)</f>
        <v>420000</v>
      </c>
      <c r="T5" s="243">
        <f>SUM(T6+T16+T20+T40+T45+T61)</f>
        <v>0</v>
      </c>
      <c r="U5" s="243">
        <f>SUM(U6+U16+U20+U40+U45+U61)</f>
        <v>560000</v>
      </c>
      <c r="V5" s="243"/>
      <c r="W5" s="243"/>
      <c r="X5" s="243"/>
      <c r="Y5" s="243">
        <f t="shared" ref="Y5:AF5" si="0">SUM(Y6+Y16+Y20+Y40+Y45+Y61)</f>
        <v>0</v>
      </c>
      <c r="Z5" s="243">
        <f t="shared" si="0"/>
        <v>0</v>
      </c>
      <c r="AA5" s="243">
        <f t="shared" si="0"/>
        <v>0</v>
      </c>
      <c r="AB5" s="243">
        <f t="shared" si="0"/>
        <v>171000</v>
      </c>
      <c r="AC5" s="243">
        <f t="shared" si="0"/>
        <v>208092916.66666666</v>
      </c>
      <c r="AD5" s="243">
        <f t="shared" si="0"/>
        <v>0</v>
      </c>
      <c r="AE5" s="243">
        <f t="shared" si="0"/>
        <v>40341450</v>
      </c>
      <c r="AF5" s="243">
        <f t="shared" si="0"/>
        <v>249865366.66666666</v>
      </c>
      <c r="AG5" s="243"/>
      <c r="AH5" s="243"/>
      <c r="AI5" s="243"/>
      <c r="AJ5" s="243">
        <f>SUM(AJ6+AJ16+AJ20+AJ40+AJ45+AJ61)</f>
        <v>54900000</v>
      </c>
      <c r="AK5" s="243">
        <f>SUM(AK6+AK16+AK20+AK40+AK45+AK61)</f>
        <v>0</v>
      </c>
      <c r="AL5" s="243">
        <f>SUM(AL6+AL16+AL20+AL40+AL45+AL61)</f>
        <v>18000000</v>
      </c>
      <c r="AM5" s="243">
        <f>SUM(AM6+AM16+AM20+AM40+AM45+AM61)</f>
        <v>72900000</v>
      </c>
      <c r="AN5" s="243">
        <f>SUM(AN6+AN16+AN20+AN40+AN45+AN61)</f>
        <v>10935000</v>
      </c>
      <c r="AO5" s="243"/>
      <c r="AP5" s="244"/>
      <c r="AQ5" s="243">
        <f t="shared" ref="AQ5:BB5" si="1">SUM(AQ6+AQ16+AQ20+AQ40+AQ45+AQ61)</f>
        <v>570489609.64071429</v>
      </c>
      <c r="AR5" s="243">
        <f t="shared" si="1"/>
        <v>249865366.66666666</v>
      </c>
      <c r="AS5" s="243">
        <f t="shared" si="1"/>
        <v>83835000</v>
      </c>
      <c r="AT5" s="243">
        <f t="shared" si="1"/>
        <v>904189976.30738091</v>
      </c>
      <c r="AU5" s="243">
        <f t="shared" si="1"/>
        <v>888753976.05738091</v>
      </c>
      <c r="AV5" s="243">
        <f t="shared" si="1"/>
        <v>0</v>
      </c>
      <c r="AW5" s="243">
        <f t="shared" si="1"/>
        <v>6360000</v>
      </c>
      <c r="AX5" s="243">
        <f t="shared" si="1"/>
        <v>3950000</v>
      </c>
      <c r="AY5" s="243">
        <f t="shared" si="1"/>
        <v>3426000</v>
      </c>
      <c r="AZ5" s="243">
        <f t="shared" si="1"/>
        <v>1700000</v>
      </c>
      <c r="BA5" s="243">
        <f t="shared" si="1"/>
        <v>0</v>
      </c>
      <c r="BB5" s="243">
        <f t="shared" si="1"/>
        <v>-0.25</v>
      </c>
    </row>
    <row r="6" spans="1:58" s="32" customFormat="1" ht="15.6" customHeight="1" x14ac:dyDescent="0.25">
      <c r="A6" s="120"/>
      <c r="B6" s="285"/>
      <c r="C6" s="391" t="s">
        <v>191</v>
      </c>
      <c r="D6" s="391"/>
      <c r="E6" s="392"/>
      <c r="F6" s="216"/>
      <c r="G6" s="215"/>
      <c r="H6" s="114" t="s">
        <v>59</v>
      </c>
      <c r="I6" s="246"/>
      <c r="J6" s="246"/>
      <c r="K6" s="246"/>
      <c r="L6" s="247">
        <f>SUM(L11+L15)</f>
        <v>403750</v>
      </c>
      <c r="M6" s="247">
        <f>SUM(M11+M15)</f>
        <v>67426.25</v>
      </c>
      <c r="N6" s="247"/>
      <c r="O6" s="247"/>
      <c r="P6" s="247"/>
      <c r="Q6" s="247"/>
      <c r="R6" s="247">
        <f>SUM(R11+R15)</f>
        <v>0</v>
      </c>
      <c r="S6" s="247">
        <f>SUM(S11+S15)</f>
        <v>0</v>
      </c>
      <c r="T6" s="247">
        <f>SUM(T11+T15)</f>
        <v>0</v>
      </c>
      <c r="U6" s="247">
        <f>SUM(U11+U15)</f>
        <v>0</v>
      </c>
      <c r="V6" s="247"/>
      <c r="W6" s="247"/>
      <c r="X6" s="247"/>
      <c r="Y6" s="247">
        <f>SUM(Y11+Y15)</f>
        <v>0</v>
      </c>
      <c r="Z6" s="247">
        <f t="shared" ref="Z6:AF6" si="2">SUM(Z11+Z15)</f>
        <v>0</v>
      </c>
      <c r="AA6" s="247">
        <f t="shared" si="2"/>
        <v>0</v>
      </c>
      <c r="AB6" s="247">
        <f t="shared" si="2"/>
        <v>0</v>
      </c>
      <c r="AC6" s="247">
        <f t="shared" si="2"/>
        <v>1150000</v>
      </c>
      <c r="AD6" s="247">
        <f t="shared" si="2"/>
        <v>0</v>
      </c>
      <c r="AE6" s="247">
        <f t="shared" si="2"/>
        <v>0</v>
      </c>
      <c r="AF6" s="247">
        <f t="shared" si="2"/>
        <v>1150000</v>
      </c>
      <c r="AG6" s="247"/>
      <c r="AH6" s="247"/>
      <c r="AI6" s="247"/>
      <c r="AJ6" s="247">
        <f>SUM(AJ11+AJ15)</f>
        <v>0</v>
      </c>
      <c r="AK6" s="247">
        <f>SUM(AK11+AK15)</f>
        <v>0</v>
      </c>
      <c r="AL6" s="247">
        <f>SUM(AL11+AL15)</f>
        <v>0</v>
      </c>
      <c r="AM6" s="247">
        <f>SUM(AM11+AM15)</f>
        <v>0</v>
      </c>
      <c r="AN6" s="247">
        <f>SUM(AN11+AN15)</f>
        <v>0</v>
      </c>
      <c r="AO6" s="247"/>
      <c r="AP6" s="244"/>
      <c r="AQ6" s="248">
        <f>SUM(AQ11+AQ15)</f>
        <v>471176.25</v>
      </c>
      <c r="AR6" s="248">
        <f>SUM(AR11+AR15)</f>
        <v>1150000</v>
      </c>
      <c r="AS6" s="248">
        <f>SUM(AS11+AS15)</f>
        <v>0</v>
      </c>
      <c r="AT6" s="248">
        <f>SUM(AT11+AT15)</f>
        <v>1621176.25</v>
      </c>
      <c r="AU6" s="248">
        <f t="shared" ref="AU6:BB6" si="3">SUM(AU11+AU15)</f>
        <v>471176.25</v>
      </c>
      <c r="AV6" s="248">
        <f t="shared" si="3"/>
        <v>0</v>
      </c>
      <c r="AW6" s="248">
        <f>SUM(AW11+AW15)</f>
        <v>0</v>
      </c>
      <c r="AX6" s="248">
        <f t="shared" si="3"/>
        <v>1150000</v>
      </c>
      <c r="AY6" s="248">
        <f t="shared" si="3"/>
        <v>0</v>
      </c>
      <c r="AZ6" s="248">
        <f t="shared" si="3"/>
        <v>0</v>
      </c>
      <c r="BA6" s="248">
        <f t="shared" si="3"/>
        <v>0</v>
      </c>
      <c r="BB6" s="248">
        <f t="shared" si="3"/>
        <v>0</v>
      </c>
    </row>
    <row r="7" spans="1:58" ht="78.75" outlineLevel="2" x14ac:dyDescent="0.25">
      <c r="A7" s="115"/>
      <c r="B7" s="200"/>
      <c r="C7" s="201"/>
      <c r="D7" s="138"/>
      <c r="E7" s="277"/>
      <c r="F7" s="277"/>
      <c r="G7" s="278"/>
      <c r="H7" s="199" t="s">
        <v>369</v>
      </c>
      <c r="I7" s="130"/>
      <c r="J7" s="126"/>
      <c r="K7" s="126"/>
      <c r="L7" s="125" t="str">
        <f>IF(I7&lt;&gt;0,((VLOOKUP(I7,'1. Standard_Cost'!$B$4:$D$11,2)+VLOOKUP(I7,'1. Standard_Cost'!$B$4:$D$11,3))*J7*K7),"0")</f>
        <v>0</v>
      </c>
      <c r="M7" s="125">
        <f>L7*'1. Standard_Cost'!$F$4</f>
        <v>0</v>
      </c>
      <c r="N7" s="126"/>
      <c r="O7" s="126"/>
      <c r="P7" s="126"/>
      <c r="Q7" s="126"/>
      <c r="R7" s="127">
        <f>'1. Standard_Cost'!$B$15*N7*P7</f>
        <v>0</v>
      </c>
      <c r="S7" s="127">
        <f>N7*O7*P7*'1. Standard_Cost'!$C$15</f>
        <v>0</v>
      </c>
      <c r="T7" s="127">
        <f>N7*P7*Q7*'1. Standard_Cost'!$D$15</f>
        <v>0</v>
      </c>
      <c r="U7" s="127">
        <f>N7*O7*'1. Standard_Cost'!$E$15</f>
        <v>0</v>
      </c>
      <c r="V7" s="126"/>
      <c r="W7" s="126"/>
      <c r="X7" s="126"/>
      <c r="Y7" s="127">
        <f>+V7*((X7*'1. Standard_Cost'!$B$19)+(W7*X7*'1. Standard_Cost'!$C$19))</f>
        <v>0</v>
      </c>
      <c r="Z7" s="126"/>
      <c r="AA7" s="126"/>
      <c r="AB7" s="127">
        <f>+Z7*'1. Standard_Cost'!$B$23+AA7*'1. Standard_Cost'!$C$23</f>
        <v>0</v>
      </c>
      <c r="AC7" s="128"/>
      <c r="AD7" s="129"/>
      <c r="AE7" s="127">
        <f>SUM(AD7,AC7,AB7,Y7,U7,T7,S7,R7)*'1. Standard_Cost'!$B$31</f>
        <v>0</v>
      </c>
      <c r="AF7" s="127">
        <f>SUM(AE7,AD7,AC7,AB7,Y7,U7,T7,S7,R7)</f>
        <v>0</v>
      </c>
      <c r="AG7" s="126"/>
      <c r="AH7" s="126"/>
      <c r="AI7" s="126"/>
      <c r="AJ7" s="130"/>
      <c r="AK7" s="130"/>
      <c r="AL7" s="130"/>
      <c r="AM7" s="127">
        <f>AG7*'1. Standard_Cost'!$B$27+'Incremental_Cost Year 1'!AH7*'1. Standard_Cost'!$C$27+'Incremental_Cost Year 1'!AI7*'1. Standard_Cost'!$D$27+'Incremental_Cost Year 1'!AJ7+'Incremental_Cost Year 1'!AL7+AK7</f>
        <v>0</v>
      </c>
      <c r="AN7" s="127">
        <f>AM7*'1. Standard_Cost'!$C$31</f>
        <v>0</v>
      </c>
      <c r="AO7" s="249"/>
      <c r="AQ7" s="171">
        <f>L7+M7</f>
        <v>0</v>
      </c>
      <c r="AR7" s="171">
        <f>AF7</f>
        <v>0</v>
      </c>
      <c r="AS7" s="171">
        <f>AM7+AN7</f>
        <v>0</v>
      </c>
      <c r="AT7" s="171">
        <f>SUM(AQ7,AR7,AS7)</f>
        <v>0</v>
      </c>
      <c r="AU7" s="250"/>
      <c r="AV7" s="250"/>
      <c r="AW7" s="250"/>
      <c r="AX7" s="250"/>
      <c r="AY7" s="250"/>
      <c r="AZ7" s="250"/>
      <c r="BA7" s="250"/>
      <c r="BB7" s="251">
        <f>SUM(AU7:BA7)-AT7</f>
        <v>0</v>
      </c>
      <c r="BC7" s="30"/>
      <c r="BD7" s="30"/>
      <c r="BE7" s="30"/>
      <c r="BF7" s="30"/>
    </row>
    <row r="8" spans="1:58" ht="126" outlineLevel="2" x14ac:dyDescent="0.25">
      <c r="A8" s="115"/>
      <c r="B8" s="200"/>
      <c r="C8" s="201"/>
      <c r="D8" s="135"/>
      <c r="E8" s="219"/>
      <c r="F8" s="219"/>
      <c r="G8" s="313"/>
      <c r="H8" s="199" t="s">
        <v>370</v>
      </c>
      <c r="I8" s="130"/>
      <c r="J8" s="126"/>
      <c r="K8" s="126"/>
      <c r="L8" s="125" t="str">
        <f>IF(I8&lt;&gt;0,((VLOOKUP(I8,'1. Standard_Cost'!$B$4:$D$11,2)+VLOOKUP(I8,'1. Standard_Cost'!$B$4:$D$11,3))*J8*K8),"0")</f>
        <v>0</v>
      </c>
      <c r="M8" s="125">
        <f>L8*'1. Standard_Cost'!$F$4</f>
        <v>0</v>
      </c>
      <c r="N8" s="126"/>
      <c r="O8" s="126"/>
      <c r="P8" s="126"/>
      <c r="Q8" s="126"/>
      <c r="R8" s="127">
        <f>'1. Standard_Cost'!$B$15*N8*P8</f>
        <v>0</v>
      </c>
      <c r="S8" s="127">
        <f>N8*O8*P8*'1. Standard_Cost'!$C$15</f>
        <v>0</v>
      </c>
      <c r="T8" s="127">
        <f>N8*P8*Q8*'1. Standard_Cost'!$D$15</f>
        <v>0</v>
      </c>
      <c r="U8" s="127">
        <f>N8*O8*'1. Standard_Cost'!$E$15</f>
        <v>0</v>
      </c>
      <c r="V8" s="126"/>
      <c r="W8" s="126"/>
      <c r="X8" s="126"/>
      <c r="Y8" s="127">
        <f>+V8*((X8*'1. Standard_Cost'!$B$19)+(W8*X8*'1. Standard_Cost'!$C$19))</f>
        <v>0</v>
      </c>
      <c r="Z8" s="126"/>
      <c r="AA8" s="126"/>
      <c r="AB8" s="127">
        <f>+Z8*'1. Standard_Cost'!$B$23+AA8*'1. Standard_Cost'!$C$23</f>
        <v>0</v>
      </c>
      <c r="AC8" s="128"/>
      <c r="AD8" s="129"/>
      <c r="AE8" s="127">
        <f>SUM(AD8,AC8,AB8,Y8,U8,T8,S8,R8)*'1. Standard_Cost'!$B$31</f>
        <v>0</v>
      </c>
      <c r="AF8" s="127">
        <f>SUM(AE8,AD8,AC8,AB8,Y8,U8,T8,S8,R8)</f>
        <v>0</v>
      </c>
      <c r="AG8" s="126"/>
      <c r="AH8" s="126"/>
      <c r="AI8" s="126"/>
      <c r="AJ8" s="130"/>
      <c r="AK8" s="130"/>
      <c r="AL8" s="130"/>
      <c r="AM8" s="127">
        <f>AG8*'1. Standard_Cost'!$B$27+'Incremental_Cost Year 1'!AH8*'1. Standard_Cost'!$C$27+'Incremental_Cost Year 1'!AI8*'1. Standard_Cost'!$D$27+'Incremental_Cost Year 1'!AJ8+'Incremental_Cost Year 1'!AL8+AK8</f>
        <v>0</v>
      </c>
      <c r="AN8" s="127">
        <f>AM8*'1. Standard_Cost'!$C$31</f>
        <v>0</v>
      </c>
      <c r="AO8" s="130"/>
      <c r="AQ8" s="171">
        <f>L8+M8</f>
        <v>0</v>
      </c>
      <c r="AR8" s="171">
        <f>AF8</f>
        <v>0</v>
      </c>
      <c r="AS8" s="171">
        <f>AM8+AN8</f>
        <v>0</v>
      </c>
      <c r="AT8" s="171">
        <f>SUM(AQ8,AR8,AS8)</f>
        <v>0</v>
      </c>
      <c r="AU8" s="250"/>
      <c r="AV8" s="250"/>
      <c r="AW8" s="250"/>
      <c r="AX8" s="250"/>
      <c r="AY8" s="250"/>
      <c r="AZ8" s="250"/>
      <c r="BA8" s="250"/>
      <c r="BB8" s="251">
        <f t="shared" ref="BB8:BB14" si="4">SUM(AU8:BA8)-AT8</f>
        <v>0</v>
      </c>
      <c r="BC8" s="30"/>
      <c r="BD8" s="30"/>
      <c r="BE8" s="30"/>
      <c r="BF8" s="30"/>
    </row>
    <row r="9" spans="1:58" ht="141.75" outlineLevel="2" x14ac:dyDescent="0.25">
      <c r="A9" s="115"/>
      <c r="B9" s="200"/>
      <c r="C9" s="201"/>
      <c r="D9" s="135"/>
      <c r="E9" s="219"/>
      <c r="F9" s="219"/>
      <c r="G9" s="313"/>
      <c r="H9" s="199" t="s">
        <v>371</v>
      </c>
      <c r="I9" s="130"/>
      <c r="J9" s="126"/>
      <c r="K9" s="126"/>
      <c r="L9" s="125" t="str">
        <f>IF(I9&lt;&gt;0,((VLOOKUP(I9,'1. Standard_Cost'!$B$4:$D$11,2)+VLOOKUP(I9,'1. Standard_Cost'!$B$4:$D$11,3))*J9*K9),"0")</f>
        <v>0</v>
      </c>
      <c r="M9" s="125">
        <f>L9*'1. Standard_Cost'!$F$4</f>
        <v>0</v>
      </c>
      <c r="N9" s="126"/>
      <c r="O9" s="126"/>
      <c r="P9" s="126"/>
      <c r="Q9" s="126"/>
      <c r="R9" s="127">
        <f>'1. Standard_Cost'!$B$15*N9*P9</f>
        <v>0</v>
      </c>
      <c r="S9" s="127">
        <f>N9*O9*P9*'1. Standard_Cost'!$C$15</f>
        <v>0</v>
      </c>
      <c r="T9" s="127">
        <f>N9*P9*Q9*'1. Standard_Cost'!$D$15</f>
        <v>0</v>
      </c>
      <c r="U9" s="127">
        <f>N9*O9*'1. Standard_Cost'!$E$15</f>
        <v>0</v>
      </c>
      <c r="V9" s="126"/>
      <c r="W9" s="126"/>
      <c r="X9" s="126"/>
      <c r="Y9" s="127">
        <f>+V9*((X9*'1. Standard_Cost'!$B$19)+(W9*X9*'1. Standard_Cost'!$C$19))</f>
        <v>0</v>
      </c>
      <c r="Z9" s="126"/>
      <c r="AA9" s="126"/>
      <c r="AB9" s="127">
        <f>+Z9*'1. Standard_Cost'!$B$23+AA9*'1. Standard_Cost'!$C$23</f>
        <v>0</v>
      </c>
      <c r="AC9" s="128"/>
      <c r="AD9" s="129"/>
      <c r="AE9" s="127">
        <f>SUM(AD9,AC9,AB9,Y9,U9,T9,S9,R9)*'1. Standard_Cost'!$B$31</f>
        <v>0</v>
      </c>
      <c r="AF9" s="127">
        <f>SUM(AE9,AD9,AC9,AB9,Y9,U9,T9,S9,R9)</f>
        <v>0</v>
      </c>
      <c r="AG9" s="126"/>
      <c r="AH9" s="126"/>
      <c r="AI9" s="126"/>
      <c r="AJ9" s="130"/>
      <c r="AK9" s="130"/>
      <c r="AL9" s="130"/>
      <c r="AM9" s="127">
        <f>AG9*'1. Standard_Cost'!$B$27+'Incremental_Cost Year 1'!AH9*'1. Standard_Cost'!$C$27+'Incremental_Cost Year 1'!AI9*'1. Standard_Cost'!$D$27+'Incremental_Cost Year 1'!AJ9+'Incremental_Cost Year 1'!AL9+AK9</f>
        <v>0</v>
      </c>
      <c r="AN9" s="127">
        <f>AM9*'1. Standard_Cost'!$C$31</f>
        <v>0</v>
      </c>
      <c r="AO9" s="130"/>
      <c r="AQ9" s="171">
        <f>L9+M9</f>
        <v>0</v>
      </c>
      <c r="AR9" s="171">
        <f>AF9</f>
        <v>0</v>
      </c>
      <c r="AS9" s="171">
        <f>AM9+AN9</f>
        <v>0</v>
      </c>
      <c r="AT9" s="171">
        <f>SUM(AQ9,AR9,AS9)</f>
        <v>0</v>
      </c>
      <c r="AU9" s="250"/>
      <c r="AV9" s="250"/>
      <c r="AW9" s="250"/>
      <c r="AX9" s="250"/>
      <c r="AY9" s="250"/>
      <c r="AZ9" s="250"/>
      <c r="BA9" s="250"/>
      <c r="BB9" s="251">
        <f t="shared" si="4"/>
        <v>0</v>
      </c>
      <c r="BC9" s="30"/>
      <c r="BD9" s="30"/>
      <c r="BE9" s="30"/>
      <c r="BF9" s="30"/>
    </row>
    <row r="10" spans="1:58" ht="141.75" outlineLevel="2" x14ac:dyDescent="0.25">
      <c r="A10" s="115"/>
      <c r="B10" s="200"/>
      <c r="C10" s="201"/>
      <c r="D10" s="223"/>
      <c r="E10" s="219"/>
      <c r="F10" s="122"/>
      <c r="G10" s="123"/>
      <c r="H10" s="199" t="s">
        <v>372</v>
      </c>
      <c r="I10" s="130"/>
      <c r="J10" s="126"/>
      <c r="K10" s="126"/>
      <c r="L10" s="125" t="str">
        <f>IF(I10&lt;&gt;0,((VLOOKUP(I10,'1. Standard_Cost'!$B$4:$D$11,2)+VLOOKUP(I10,'1. Standard_Cost'!$B$4:$D$11,3))*J10*K10),"0")</f>
        <v>0</v>
      </c>
      <c r="M10" s="125">
        <f>L10*'1. Standard_Cost'!$F$4</f>
        <v>0</v>
      </c>
      <c r="N10" s="126"/>
      <c r="O10" s="126"/>
      <c r="P10" s="126"/>
      <c r="Q10" s="126"/>
      <c r="R10" s="127">
        <f>'1. Standard_Cost'!$B$15*N10*P10</f>
        <v>0</v>
      </c>
      <c r="S10" s="127">
        <f>N10*O10*P10*'1. Standard_Cost'!$C$15</f>
        <v>0</v>
      </c>
      <c r="T10" s="127">
        <f>N10*P10*Q10*'1. Standard_Cost'!$D$15</f>
        <v>0</v>
      </c>
      <c r="U10" s="127">
        <f>N10*O10*'1. Standard_Cost'!$E$15</f>
        <v>0</v>
      </c>
      <c r="V10" s="126"/>
      <c r="W10" s="126"/>
      <c r="X10" s="126"/>
      <c r="Y10" s="127">
        <f>+V10*((X10*'1. Standard_Cost'!$B$19)+(W10*X10*'1. Standard_Cost'!$C$19))</f>
        <v>0</v>
      </c>
      <c r="Z10" s="126"/>
      <c r="AA10" s="126"/>
      <c r="AB10" s="127">
        <f>+Z10*'1. Standard_Cost'!$B$23+AA10*'1. Standard_Cost'!$C$23</f>
        <v>0</v>
      </c>
      <c r="AC10" s="128"/>
      <c r="AD10" s="129"/>
      <c r="AE10" s="127">
        <f>SUM(AD10,AC10,AB10,Y10,U10,T10,S10,R10)*'1. Standard_Cost'!$B$31</f>
        <v>0</v>
      </c>
      <c r="AF10" s="127">
        <f>SUM(AE10,AD10,AC10,AB10,Y10,U10,T10,S10,R10)</f>
        <v>0</v>
      </c>
      <c r="AG10" s="126"/>
      <c r="AH10" s="126"/>
      <c r="AI10" s="126"/>
      <c r="AJ10" s="130"/>
      <c r="AK10" s="130"/>
      <c r="AL10" s="130"/>
      <c r="AM10" s="127">
        <f>AG10*'1. Standard_Cost'!$B$27+'Incremental_Cost Year 1'!AH10*'1. Standard_Cost'!$C$27+'Incremental_Cost Year 1'!AI10*'1. Standard_Cost'!$D$27+'Incremental_Cost Year 1'!AJ10+'Incremental_Cost Year 1'!AL10+AK10</f>
        <v>0</v>
      </c>
      <c r="AN10" s="127">
        <f>AM10*'1. Standard_Cost'!$C$31</f>
        <v>0</v>
      </c>
      <c r="AO10" s="130"/>
      <c r="AQ10" s="171">
        <f>L10+M10</f>
        <v>0</v>
      </c>
      <c r="AR10" s="171">
        <f>AF10</f>
        <v>0</v>
      </c>
      <c r="AS10" s="171">
        <f>AM10+AN10</f>
        <v>0</v>
      </c>
      <c r="AT10" s="171">
        <f>SUM(AQ10,AR10,AS10)</f>
        <v>0</v>
      </c>
      <c r="AU10" s="250"/>
      <c r="AV10" s="250"/>
      <c r="AW10" s="250"/>
      <c r="AX10" s="250"/>
      <c r="AY10" s="250"/>
      <c r="AZ10" s="250"/>
      <c r="BA10" s="250"/>
      <c r="BB10" s="251">
        <f t="shared" si="4"/>
        <v>0</v>
      </c>
      <c r="BC10" s="30"/>
      <c r="BD10" s="30"/>
      <c r="BE10" s="30"/>
      <c r="BF10" s="30"/>
    </row>
    <row r="11" spans="1:58" ht="78.75" outlineLevel="1" x14ac:dyDescent="0.25">
      <c r="A11" s="115"/>
      <c r="B11" s="142"/>
      <c r="C11" s="297"/>
      <c r="D11" s="116" t="s">
        <v>373</v>
      </c>
      <c r="E11" s="209" t="s">
        <v>374</v>
      </c>
      <c r="F11" s="117">
        <v>2022</v>
      </c>
      <c r="G11" s="117">
        <v>2024</v>
      </c>
      <c r="H11" s="298" t="s">
        <v>46</v>
      </c>
      <c r="I11" s="252"/>
      <c r="J11" s="252"/>
      <c r="K11" s="252"/>
      <c r="L11" s="127">
        <f>SUM(L7:L10)</f>
        <v>0</v>
      </c>
      <c r="M11" s="127">
        <f>SUM(M7:M10)</f>
        <v>0</v>
      </c>
      <c r="N11" s="127"/>
      <c r="O11" s="252"/>
      <c r="P11" s="252"/>
      <c r="Q11" s="252"/>
      <c r="R11" s="127">
        <f>SUM(R7:R10)</f>
        <v>0</v>
      </c>
      <c r="S11" s="127">
        <f>SUM(S7:S10)</f>
        <v>0</v>
      </c>
      <c r="T11" s="127">
        <f>SUM(T7:T10)</f>
        <v>0</v>
      </c>
      <c r="U11" s="127">
        <f>SUM(U7:U10)</f>
        <v>0</v>
      </c>
      <c r="V11" s="252"/>
      <c r="W11" s="252"/>
      <c r="X11" s="252"/>
      <c r="Y11" s="127">
        <f>SUM(Y7:Y10)</f>
        <v>0</v>
      </c>
      <c r="Z11" s="252"/>
      <c r="AA11" s="252"/>
      <c r="AB11" s="127">
        <f>SUM(AB7:AB10)</f>
        <v>0</v>
      </c>
      <c r="AC11" s="127">
        <f>SUM(AC7:AC10)</f>
        <v>0</v>
      </c>
      <c r="AD11" s="127">
        <f>SUM(AD7:AD10)</f>
        <v>0</v>
      </c>
      <c r="AE11" s="127">
        <f>SUM(AE7:AE10)</f>
        <v>0</v>
      </c>
      <c r="AF11" s="127">
        <f>SUM(AF7:AF9)</f>
        <v>0</v>
      </c>
      <c r="AG11" s="252"/>
      <c r="AH11" s="252"/>
      <c r="AI11" s="252"/>
      <c r="AJ11" s="127">
        <f>SUM(AJ7:AJ10)</f>
        <v>0</v>
      </c>
      <c r="AK11" s="127">
        <f>SUM(AK7:AK10)</f>
        <v>0</v>
      </c>
      <c r="AL11" s="127">
        <f>SUM(AL7:AL10)</f>
        <v>0</v>
      </c>
      <c r="AM11" s="127">
        <f>SUM(AM7:AM10)</f>
        <v>0</v>
      </c>
      <c r="AN11" s="127">
        <f>SUM(AN7:AN10)</f>
        <v>0</v>
      </c>
      <c r="AO11" s="253"/>
      <c r="AP11" s="254"/>
      <c r="AQ11" s="175">
        <f>SUM(AQ7:AQ10)</f>
        <v>0</v>
      </c>
      <c r="AR11" s="175">
        <f>SUM(AR7:AR10)</f>
        <v>0</v>
      </c>
      <c r="AS11" s="175">
        <f>SUM(AS7:AS10)</f>
        <v>0</v>
      </c>
      <c r="AT11" s="175">
        <f>SUM(AT7:AT10)</f>
        <v>0</v>
      </c>
      <c r="AU11" s="175">
        <f t="shared" ref="AU11:BA11" si="5">SUM(AU7:AU10)</f>
        <v>0</v>
      </c>
      <c r="AV11" s="175">
        <f t="shared" si="5"/>
        <v>0</v>
      </c>
      <c r="AW11" s="175">
        <f t="shared" si="5"/>
        <v>0</v>
      </c>
      <c r="AX11" s="175">
        <f t="shared" si="5"/>
        <v>0</v>
      </c>
      <c r="AY11" s="175">
        <f t="shared" si="5"/>
        <v>0</v>
      </c>
      <c r="AZ11" s="175">
        <f t="shared" si="5"/>
        <v>0</v>
      </c>
      <c r="BA11" s="175">
        <f t="shared" si="5"/>
        <v>0</v>
      </c>
      <c r="BB11" s="175">
        <f>SUM(BB7:BB10)</f>
        <v>0</v>
      </c>
      <c r="BC11" s="30"/>
      <c r="BD11" s="30"/>
      <c r="BE11" s="30"/>
      <c r="BF11" s="30"/>
    </row>
    <row r="12" spans="1:58" ht="189" outlineLevel="2" x14ac:dyDescent="0.25">
      <c r="A12" s="115"/>
      <c r="B12" s="200"/>
      <c r="C12" s="201"/>
      <c r="D12" s="138"/>
      <c r="E12" s="277"/>
      <c r="F12" s="277"/>
      <c r="G12" s="278"/>
      <c r="H12" s="299" t="s">
        <v>375</v>
      </c>
      <c r="I12" s="130"/>
      <c r="J12" s="126"/>
      <c r="K12" s="126"/>
      <c r="L12" s="125" t="str">
        <f>IF(I12&lt;&gt;0,((VLOOKUP(I12,'1. Standard_Cost'!$B$4:$D$11,2)+VLOOKUP(I12,'1. Standard_Cost'!$B$4:$D$11,3))*J12*K12),"0")</f>
        <v>0</v>
      </c>
      <c r="M12" s="125">
        <f>L12*'1. Standard_Cost'!$F$4</f>
        <v>0</v>
      </c>
      <c r="N12" s="126"/>
      <c r="O12" s="126"/>
      <c r="P12" s="126"/>
      <c r="Q12" s="126"/>
      <c r="R12" s="127">
        <f>'1. Standard_Cost'!$B$15*N12*P12</f>
        <v>0</v>
      </c>
      <c r="S12" s="127">
        <f>N12*O12*P12*'1. Standard_Cost'!$C$15</f>
        <v>0</v>
      </c>
      <c r="T12" s="127">
        <f>N12*P12*Q12*'1. Standard_Cost'!$D$15</f>
        <v>0</v>
      </c>
      <c r="U12" s="127">
        <f>N12*O12*'1. Standard_Cost'!$E$15</f>
        <v>0</v>
      </c>
      <c r="V12" s="126"/>
      <c r="W12" s="126"/>
      <c r="X12" s="126"/>
      <c r="Y12" s="127">
        <f>+V12*((X12*'1. Standard_Cost'!$B$19)+(W12*X12*'1. Standard_Cost'!$C$19))</f>
        <v>0</v>
      </c>
      <c r="Z12" s="126"/>
      <c r="AA12" s="126"/>
      <c r="AB12" s="127">
        <f>+Z12*'1. Standard_Cost'!$B$23+AA12*'1. Standard_Cost'!$C$23</f>
        <v>0</v>
      </c>
      <c r="AC12" s="128"/>
      <c r="AD12" s="129"/>
      <c r="AE12" s="127">
        <f>SUM(AD12,AC12,AB12,Y12,U12,T12,S12,R12)*'1. Standard_Cost'!$B$31</f>
        <v>0</v>
      </c>
      <c r="AF12" s="127">
        <f>SUM(AE12,AD12,AC12,AB12,Y12,U12,T12,S12,R12)</f>
        <v>0</v>
      </c>
      <c r="AG12" s="126"/>
      <c r="AH12" s="126"/>
      <c r="AI12" s="126"/>
      <c r="AJ12" s="130"/>
      <c r="AK12" s="130"/>
      <c r="AL12" s="130"/>
      <c r="AM12" s="127">
        <f>AG12*'1. Standard_Cost'!$B$27+'Incremental_Cost Year 1'!AH12*'1. Standard_Cost'!$C$27+'Incremental_Cost Year 1'!AI12*'1. Standard_Cost'!$D$27+'Incremental_Cost Year 1'!AJ12+'Incremental_Cost Year 1'!AL12+AK12</f>
        <v>0</v>
      </c>
      <c r="AN12" s="127">
        <f>AM12*'1. Standard_Cost'!$C$31</f>
        <v>0</v>
      </c>
      <c r="AO12" s="130"/>
      <c r="AQ12" s="171">
        <f>L12+M12</f>
        <v>0</v>
      </c>
      <c r="AR12" s="171">
        <f>AF12</f>
        <v>0</v>
      </c>
      <c r="AS12" s="171">
        <f>AM12+AN12</f>
        <v>0</v>
      </c>
      <c r="AT12" s="171">
        <f>SUM(AQ12,AR12,AS12)</f>
        <v>0</v>
      </c>
      <c r="AU12" s="250"/>
      <c r="AV12" s="250"/>
      <c r="AW12" s="250"/>
      <c r="AX12" s="250"/>
      <c r="AY12" s="250"/>
      <c r="AZ12" s="250"/>
      <c r="BA12" s="250"/>
      <c r="BB12" s="251">
        <f t="shared" si="4"/>
        <v>0</v>
      </c>
      <c r="BC12" s="30"/>
      <c r="BD12" s="30"/>
      <c r="BE12" s="30"/>
      <c r="BF12" s="30"/>
    </row>
    <row r="13" spans="1:58" ht="94.5" outlineLevel="2" x14ac:dyDescent="0.25">
      <c r="A13" s="115"/>
      <c r="B13" s="200"/>
      <c r="C13" s="201"/>
      <c r="D13" s="135"/>
      <c r="E13" s="219"/>
      <c r="F13" s="219"/>
      <c r="G13" s="313"/>
      <c r="H13" s="213" t="s">
        <v>376</v>
      </c>
      <c r="I13" s="130" t="s">
        <v>4</v>
      </c>
      <c r="J13" s="126">
        <v>1</v>
      </c>
      <c r="K13" s="126">
        <v>5</v>
      </c>
      <c r="L13" s="125">
        <f>IF(I13&lt;&gt;0,((VLOOKUP(I13,'1. Standard_Cost'!$B$4:$D$11,2)+VLOOKUP(I13,'1. Standard_Cost'!$B$4:$D$11,3))*J13*K13),"0")</f>
        <v>403750</v>
      </c>
      <c r="M13" s="125">
        <f>L13*'1. Standard_Cost'!$F$4</f>
        <v>67426.25</v>
      </c>
      <c r="N13" s="126"/>
      <c r="O13" s="126"/>
      <c r="P13" s="126"/>
      <c r="Q13" s="126"/>
      <c r="R13" s="127">
        <f>'1. Standard_Cost'!$B$15*N13*P13</f>
        <v>0</v>
      </c>
      <c r="S13" s="127">
        <f>N13*O13*P13*'1. Standard_Cost'!$C$15</f>
        <v>0</v>
      </c>
      <c r="T13" s="127">
        <f>N13*P13*Q13*'1. Standard_Cost'!$D$15</f>
        <v>0</v>
      </c>
      <c r="U13" s="127">
        <f>N13*O13*'1. Standard_Cost'!$E$15</f>
        <v>0</v>
      </c>
      <c r="V13" s="126"/>
      <c r="W13" s="126"/>
      <c r="X13" s="126"/>
      <c r="Y13" s="127">
        <f>+V13*((X13*'1. Standard_Cost'!$B$19)+(W13*X13*'1. Standard_Cost'!$C$19))</f>
        <v>0</v>
      </c>
      <c r="Z13" s="126"/>
      <c r="AA13" s="126"/>
      <c r="AB13" s="127">
        <f>+Z13*'1. Standard_Cost'!$B$23+AA13*'1. Standard_Cost'!$C$23</f>
        <v>0</v>
      </c>
      <c r="AC13" s="128">
        <v>1150000</v>
      </c>
      <c r="AD13" s="129"/>
      <c r="AE13" s="127">
        <v>0</v>
      </c>
      <c r="AF13" s="127">
        <f>SUM(AE13,AD13,AC13,AB13,Y13,U13,T13,S13,R13)</f>
        <v>1150000</v>
      </c>
      <c r="AG13" s="126"/>
      <c r="AH13" s="126"/>
      <c r="AI13" s="126"/>
      <c r="AJ13" s="130"/>
      <c r="AK13" s="130"/>
      <c r="AL13" s="130"/>
      <c r="AM13" s="127">
        <f>AG13*'1. Standard_Cost'!$B$27+'Incremental_Cost Year 1'!AH13*'1. Standard_Cost'!$C$27+'Incremental_Cost Year 1'!AI13*'1. Standard_Cost'!$D$27+'Incremental_Cost Year 1'!AJ13+'Incremental_Cost Year 1'!AL13+AK13</f>
        <v>0</v>
      </c>
      <c r="AN13" s="127">
        <f>AM13*'1. Standard_Cost'!$C$31</f>
        <v>0</v>
      </c>
      <c r="AO13" s="130"/>
      <c r="AQ13" s="171">
        <f>L13+M13</f>
        <v>471176.25</v>
      </c>
      <c r="AR13" s="171">
        <f>AF13</f>
        <v>1150000</v>
      </c>
      <c r="AS13" s="171">
        <f>AM13+AN13</f>
        <v>0</v>
      </c>
      <c r="AT13" s="171">
        <f>SUM(AQ13,AR13,AS13)</f>
        <v>1621176.25</v>
      </c>
      <c r="AU13" s="250">
        <f>AQ13</f>
        <v>471176.25</v>
      </c>
      <c r="AV13" s="250"/>
      <c r="AW13" s="250"/>
      <c r="AX13" s="250">
        <f>AR13</f>
        <v>1150000</v>
      </c>
      <c r="AY13" s="250"/>
      <c r="AZ13" s="250"/>
      <c r="BA13" s="250"/>
      <c r="BB13" s="251">
        <f t="shared" si="4"/>
        <v>0</v>
      </c>
      <c r="BC13" s="30"/>
      <c r="BD13" s="30"/>
      <c r="BE13" s="30"/>
      <c r="BF13" s="30"/>
    </row>
    <row r="14" spans="1:58" ht="141.75" outlineLevel="2" x14ac:dyDescent="0.25">
      <c r="A14" s="115"/>
      <c r="B14" s="200"/>
      <c r="C14" s="201"/>
      <c r="D14" s="223"/>
      <c r="E14" s="219"/>
      <c r="F14" s="219"/>
      <c r="G14" s="313"/>
      <c r="H14" s="213" t="s">
        <v>377</v>
      </c>
      <c r="I14" s="130"/>
      <c r="J14" s="126"/>
      <c r="K14" s="126"/>
      <c r="L14" s="125" t="str">
        <f>IF(I14&lt;&gt;0,((VLOOKUP(I14,'1. Standard_Cost'!$B$4:$D$11,2)+VLOOKUP(I14,'1. Standard_Cost'!$B$4:$D$11,3))*J14*K14),"0")</f>
        <v>0</v>
      </c>
      <c r="M14" s="125">
        <f>L14*'1. Standard_Cost'!$F$4</f>
        <v>0</v>
      </c>
      <c r="N14" s="126"/>
      <c r="O14" s="126"/>
      <c r="P14" s="126"/>
      <c r="Q14" s="126"/>
      <c r="R14" s="127">
        <f>'1. Standard_Cost'!$B$15*N14*P14</f>
        <v>0</v>
      </c>
      <c r="S14" s="127">
        <f>N14*O14*P14*'1. Standard_Cost'!$C$15</f>
        <v>0</v>
      </c>
      <c r="T14" s="127">
        <f>N14*P14*Q14*'1. Standard_Cost'!$D$15</f>
        <v>0</v>
      </c>
      <c r="U14" s="127">
        <f>N14*O14*'1. Standard_Cost'!$E$15</f>
        <v>0</v>
      </c>
      <c r="V14" s="126"/>
      <c r="W14" s="126"/>
      <c r="X14" s="126"/>
      <c r="Y14" s="127">
        <f>+V14*((X14*'1. Standard_Cost'!$B$19)+(W14*X14*'1. Standard_Cost'!$C$19))</f>
        <v>0</v>
      </c>
      <c r="Z14" s="126"/>
      <c r="AA14" s="126"/>
      <c r="AB14" s="127">
        <f>+Z14*'1. Standard_Cost'!$B$23+AA14*'1. Standard_Cost'!$C$23</f>
        <v>0</v>
      </c>
      <c r="AC14" s="128"/>
      <c r="AD14" s="129"/>
      <c r="AE14" s="127">
        <f>SUM(AD14,AC14,AB14,Y14,U14,T14,S14,R14)*'1. Standard_Cost'!$B$31</f>
        <v>0</v>
      </c>
      <c r="AF14" s="127">
        <f>SUM(AE14,AD14,AC14,AB14,Y14,U14,T14,S14,R14)</f>
        <v>0</v>
      </c>
      <c r="AG14" s="126"/>
      <c r="AH14" s="126"/>
      <c r="AI14" s="126"/>
      <c r="AJ14" s="130"/>
      <c r="AK14" s="130"/>
      <c r="AL14" s="130"/>
      <c r="AM14" s="127">
        <f>AG14*'1. Standard_Cost'!$B$27+'Incremental_Cost Year 1'!AH14*'1. Standard_Cost'!$C$27+'Incremental_Cost Year 1'!AI14*'1. Standard_Cost'!$D$27+'Incremental_Cost Year 1'!AJ14+'Incremental_Cost Year 1'!AL14+AK14</f>
        <v>0</v>
      </c>
      <c r="AN14" s="127">
        <f>AM14*'1. Standard_Cost'!$C$31</f>
        <v>0</v>
      </c>
      <c r="AO14" s="130"/>
      <c r="AQ14" s="171">
        <f>L14+M14</f>
        <v>0</v>
      </c>
      <c r="AR14" s="171">
        <f>AF14</f>
        <v>0</v>
      </c>
      <c r="AS14" s="171">
        <f>AM14+AN14</f>
        <v>0</v>
      </c>
      <c r="AT14" s="171">
        <f>SUM(AQ14,AR14,AS14)</f>
        <v>0</v>
      </c>
      <c r="AU14" s="250"/>
      <c r="AV14" s="250"/>
      <c r="AW14" s="250"/>
      <c r="AX14" s="250"/>
      <c r="AY14" s="250"/>
      <c r="AZ14" s="250"/>
      <c r="BA14" s="250"/>
      <c r="BB14" s="251">
        <f t="shared" si="4"/>
        <v>0</v>
      </c>
      <c r="BC14" s="30"/>
      <c r="BD14" s="30"/>
      <c r="BE14" s="30"/>
      <c r="BF14" s="30"/>
    </row>
    <row r="15" spans="1:58" ht="63" outlineLevel="1" x14ac:dyDescent="0.25">
      <c r="A15" s="115"/>
      <c r="B15" s="165"/>
      <c r="C15" s="166"/>
      <c r="D15" s="110" t="s">
        <v>378</v>
      </c>
      <c r="E15" s="116" t="s">
        <v>379</v>
      </c>
      <c r="F15" s="209">
        <v>2021</v>
      </c>
      <c r="G15" s="117">
        <v>2030</v>
      </c>
      <c r="H15" s="110" t="s">
        <v>47</v>
      </c>
      <c r="I15" s="252"/>
      <c r="J15" s="252"/>
      <c r="K15" s="252"/>
      <c r="L15" s="127">
        <f>SUM(L12:L14)</f>
        <v>403750</v>
      </c>
      <c r="M15" s="127">
        <f>SUM(M12:M14)</f>
        <v>67426.25</v>
      </c>
      <c r="N15" s="252"/>
      <c r="O15" s="252"/>
      <c r="P15" s="252"/>
      <c r="Q15" s="252"/>
      <c r="R15" s="127">
        <f>SUM(R12:R14)</f>
        <v>0</v>
      </c>
      <c r="S15" s="127">
        <f>SUM(S12:S14)</f>
        <v>0</v>
      </c>
      <c r="T15" s="127">
        <f>SUM(T12:T14)</f>
        <v>0</v>
      </c>
      <c r="U15" s="127">
        <f>SUM(U12:U14)</f>
        <v>0</v>
      </c>
      <c r="V15" s="252"/>
      <c r="W15" s="252"/>
      <c r="X15" s="252"/>
      <c r="Y15" s="127">
        <f>SUM(Y12:Y14)</f>
        <v>0</v>
      </c>
      <c r="Z15" s="252"/>
      <c r="AA15" s="252"/>
      <c r="AB15" s="127">
        <f>SUM(AB12:AB14)</f>
        <v>0</v>
      </c>
      <c r="AC15" s="127">
        <f>SUM(AC12:AC14)</f>
        <v>1150000</v>
      </c>
      <c r="AD15" s="127">
        <f>SUM(AD12:AD14)</f>
        <v>0</v>
      </c>
      <c r="AE15" s="127">
        <f>SUM(AE12:AE14)</f>
        <v>0</v>
      </c>
      <c r="AF15" s="127">
        <f>SUM(AF12:AF14)</f>
        <v>1150000</v>
      </c>
      <c r="AG15" s="252"/>
      <c r="AH15" s="252"/>
      <c r="AI15" s="252"/>
      <c r="AJ15" s="127">
        <f>SUM(AJ12:AJ12)</f>
        <v>0</v>
      </c>
      <c r="AK15" s="127">
        <f>SUM(AK12:AK14)</f>
        <v>0</v>
      </c>
      <c r="AL15" s="127">
        <f>SUM(AL12:AL14)</f>
        <v>0</v>
      </c>
      <c r="AM15" s="127">
        <f>SUM(AM12:AM14)</f>
        <v>0</v>
      </c>
      <c r="AN15" s="127">
        <f>SUM(AN12:AN14)</f>
        <v>0</v>
      </c>
      <c r="AO15" s="253"/>
      <c r="AP15" s="254"/>
      <c r="AQ15" s="175">
        <f>SUM(AQ12:AQ14)</f>
        <v>471176.25</v>
      </c>
      <c r="AR15" s="175">
        <f>SUM(AR12:AR14)</f>
        <v>1150000</v>
      </c>
      <c r="AS15" s="175">
        <f>SUM(AS12:AS14)</f>
        <v>0</v>
      </c>
      <c r="AT15" s="175">
        <f>SUM(AT12:AT14)</f>
        <v>1621176.25</v>
      </c>
      <c r="AU15" s="175">
        <f t="shared" ref="AU15:BA15" si="6">SUM(AU12:AU14)</f>
        <v>471176.25</v>
      </c>
      <c r="AV15" s="175">
        <f t="shared" si="6"/>
        <v>0</v>
      </c>
      <c r="AW15" s="175">
        <f>SUM(AW12:AW14)</f>
        <v>0</v>
      </c>
      <c r="AX15" s="175">
        <f t="shared" si="6"/>
        <v>1150000</v>
      </c>
      <c r="AY15" s="175">
        <f t="shared" si="6"/>
        <v>0</v>
      </c>
      <c r="AZ15" s="175">
        <f t="shared" si="6"/>
        <v>0</v>
      </c>
      <c r="BA15" s="175">
        <f t="shared" si="6"/>
        <v>0</v>
      </c>
      <c r="BB15" s="175">
        <f t="shared" ref="BB15" si="7">SUM(BB12:BB14)</f>
        <v>0</v>
      </c>
      <c r="BC15" s="30"/>
      <c r="BD15" s="30"/>
      <c r="BE15" s="30"/>
      <c r="BF15" s="30"/>
    </row>
    <row r="16" spans="1:58" s="32" customFormat="1" ht="15.6" customHeight="1" x14ac:dyDescent="0.25">
      <c r="A16" s="120"/>
      <c r="B16" s="285"/>
      <c r="C16" s="391" t="s">
        <v>192</v>
      </c>
      <c r="D16" s="391"/>
      <c r="E16" s="392"/>
      <c r="F16" s="281"/>
      <c r="G16" s="281"/>
      <c r="H16" s="114" t="s">
        <v>209</v>
      </c>
      <c r="I16" s="246"/>
      <c r="J16" s="246"/>
      <c r="K16" s="246"/>
      <c r="L16" s="247">
        <f>SUM(L19)</f>
        <v>0</v>
      </c>
      <c r="M16" s="247">
        <f>SUM(M19)</f>
        <v>0</v>
      </c>
      <c r="N16" s="247"/>
      <c r="O16" s="247"/>
      <c r="P16" s="247"/>
      <c r="Q16" s="247"/>
      <c r="R16" s="247">
        <f>SUM(R19)</f>
        <v>0</v>
      </c>
      <c r="S16" s="247">
        <f>SUM(S19)</f>
        <v>0</v>
      </c>
      <c r="T16" s="247">
        <f>SUM(T19)</f>
        <v>0</v>
      </c>
      <c r="U16" s="247">
        <f>SUM(U19)</f>
        <v>0</v>
      </c>
      <c r="V16" s="247"/>
      <c r="W16" s="247"/>
      <c r="X16" s="247"/>
      <c r="Y16" s="247">
        <f>SUM(Y19)</f>
        <v>0</v>
      </c>
      <c r="Z16" s="247">
        <f t="shared" ref="Z16:AA16" si="8">SUM(Z19)</f>
        <v>0</v>
      </c>
      <c r="AA16" s="247">
        <f t="shared" si="8"/>
        <v>0</v>
      </c>
      <c r="AB16" s="247">
        <f t="shared" ref="AB16:AF16" si="9">SUM(AB19)</f>
        <v>0</v>
      </c>
      <c r="AC16" s="247">
        <f t="shared" si="9"/>
        <v>0</v>
      </c>
      <c r="AD16" s="247">
        <f t="shared" si="9"/>
        <v>0</v>
      </c>
      <c r="AE16" s="247">
        <f t="shared" si="9"/>
        <v>0</v>
      </c>
      <c r="AF16" s="247">
        <f t="shared" si="9"/>
        <v>0</v>
      </c>
      <c r="AG16" s="247"/>
      <c r="AH16" s="247"/>
      <c r="AI16" s="247"/>
      <c r="AJ16" s="247">
        <f>SUM(AJ19)</f>
        <v>0</v>
      </c>
      <c r="AK16" s="247">
        <f>SUM(AK19)</f>
        <v>0</v>
      </c>
      <c r="AL16" s="247">
        <f>SUM(AL19)</f>
        <v>0</v>
      </c>
      <c r="AM16" s="247">
        <f>SUM(AM19)</f>
        <v>0</v>
      </c>
      <c r="AN16" s="247">
        <f>SUM(AN19)</f>
        <v>0</v>
      </c>
      <c r="AO16" s="247"/>
      <c r="AP16" s="244"/>
      <c r="AQ16" s="248">
        <f>SUM(AQ19)</f>
        <v>0</v>
      </c>
      <c r="AR16" s="248">
        <f>SUM(AR19)</f>
        <v>0</v>
      </c>
      <c r="AS16" s="248">
        <f>SUM(AS19)</f>
        <v>0</v>
      </c>
      <c r="AT16" s="248">
        <f>SUM(AT19)</f>
        <v>0</v>
      </c>
      <c r="AU16" s="248">
        <f t="shared" ref="AU16:BA16" si="10">SUM(AU19)</f>
        <v>0</v>
      </c>
      <c r="AV16" s="248">
        <f t="shared" si="10"/>
        <v>0</v>
      </c>
      <c r="AW16" s="248">
        <f>SUM(AW19)</f>
        <v>0</v>
      </c>
      <c r="AX16" s="248">
        <f t="shared" si="10"/>
        <v>0</v>
      </c>
      <c r="AY16" s="248">
        <f t="shared" si="10"/>
        <v>0</v>
      </c>
      <c r="AZ16" s="248">
        <f t="shared" si="10"/>
        <v>0</v>
      </c>
      <c r="BA16" s="248">
        <f t="shared" si="10"/>
        <v>0</v>
      </c>
      <c r="BB16" s="248">
        <f t="shared" ref="BB16" si="11">SUM(BB19)</f>
        <v>0</v>
      </c>
    </row>
    <row r="17" spans="1:58" ht="110.25" outlineLevel="2" x14ac:dyDescent="0.25">
      <c r="A17" s="115"/>
      <c r="B17" s="200"/>
      <c r="C17" s="201"/>
      <c r="D17" s="220"/>
      <c r="E17" s="276"/>
      <c r="F17" s="277"/>
      <c r="G17" s="278"/>
      <c r="H17" s="199" t="s">
        <v>380</v>
      </c>
      <c r="I17" s="130"/>
      <c r="J17" s="126"/>
      <c r="K17" s="126"/>
      <c r="L17" s="125" t="str">
        <f>IF(I17&lt;&gt;0,((VLOOKUP(I17,'1. Standard_Cost'!$B$4:$D$11,2)+VLOOKUP(I17,'1. Standard_Cost'!$B$4:$D$11,3))*J17*K17),"0")</f>
        <v>0</v>
      </c>
      <c r="M17" s="125">
        <f>L17*'1. Standard_Cost'!$F$4</f>
        <v>0</v>
      </c>
      <c r="N17" s="126"/>
      <c r="O17" s="126"/>
      <c r="P17" s="126"/>
      <c r="Q17" s="126"/>
      <c r="R17" s="127">
        <f>'1. Standard_Cost'!$B$15*N17*P17</f>
        <v>0</v>
      </c>
      <c r="S17" s="127">
        <f>N17*O17*P17*'1. Standard_Cost'!$C$15</f>
        <v>0</v>
      </c>
      <c r="T17" s="127">
        <f>N17*P17*Q17*'1. Standard_Cost'!$D$15</f>
        <v>0</v>
      </c>
      <c r="U17" s="127">
        <f>N17*O17*'1. Standard_Cost'!$E$15</f>
        <v>0</v>
      </c>
      <c r="V17" s="126"/>
      <c r="W17" s="126"/>
      <c r="X17" s="126"/>
      <c r="Y17" s="127">
        <f>+V17*((X17*'1. Standard_Cost'!$B$19)+(W17*X17*'1. Standard_Cost'!$C$19))</f>
        <v>0</v>
      </c>
      <c r="Z17" s="126"/>
      <c r="AA17" s="126"/>
      <c r="AB17" s="127">
        <f>+Z17*'1. Standard_Cost'!$B$23+AA17*'1. Standard_Cost'!$C$23</f>
        <v>0</v>
      </c>
      <c r="AC17" s="128"/>
      <c r="AD17" s="129"/>
      <c r="AE17" s="127">
        <f>SUM(AD17,AC17,AB17,Y17,U17,T17,S17,R17)*'1. Standard_Cost'!$B$31</f>
        <v>0</v>
      </c>
      <c r="AF17" s="127">
        <f>SUM(AE17,AD17,AC17,AB17,Y17,U17,T17,S17,R17)</f>
        <v>0</v>
      </c>
      <c r="AG17" s="126"/>
      <c r="AH17" s="126"/>
      <c r="AI17" s="126"/>
      <c r="AJ17" s="130"/>
      <c r="AK17" s="130"/>
      <c r="AL17" s="130"/>
      <c r="AM17" s="127">
        <f>AG17*'1. Standard_Cost'!$B$27+'Incremental_Cost Year 1'!AH17*'1. Standard_Cost'!$C$27+'Incremental_Cost Year 1'!AI17*'1. Standard_Cost'!$D$27+'Incremental_Cost Year 1'!AJ17+'Incremental_Cost Year 1'!AL17+AK17</f>
        <v>0</v>
      </c>
      <c r="AN17" s="127">
        <f>AM17*'1. Standard_Cost'!$C$31</f>
        <v>0</v>
      </c>
      <c r="AO17" s="249"/>
      <c r="AQ17" s="171">
        <f>L17+M17</f>
        <v>0</v>
      </c>
      <c r="AR17" s="171">
        <f>AF17</f>
        <v>0</v>
      </c>
      <c r="AS17" s="171">
        <f>AM17+AN17</f>
        <v>0</v>
      </c>
      <c r="AT17" s="171">
        <f>SUM(AQ17,AR17,AS17)</f>
        <v>0</v>
      </c>
      <c r="AU17" s="250"/>
      <c r="AV17" s="250"/>
      <c r="AW17" s="250"/>
      <c r="AX17" s="250"/>
      <c r="AY17" s="250"/>
      <c r="AZ17" s="250"/>
      <c r="BA17" s="250"/>
      <c r="BB17" s="251">
        <f t="shared" ref="BB17:BB18" si="12">SUM(AU17:BA17)-AT17</f>
        <v>0</v>
      </c>
      <c r="BC17" s="30"/>
      <c r="BD17" s="30"/>
      <c r="BE17" s="30"/>
      <c r="BF17" s="30"/>
    </row>
    <row r="18" spans="1:58" ht="126" outlineLevel="2" x14ac:dyDescent="0.25">
      <c r="A18" s="115"/>
      <c r="B18" s="200"/>
      <c r="C18" s="201"/>
      <c r="D18" s="221"/>
      <c r="E18" s="121"/>
      <c r="F18" s="122"/>
      <c r="G18" s="123"/>
      <c r="H18" s="199" t="s">
        <v>381</v>
      </c>
      <c r="I18" s="130"/>
      <c r="J18" s="126"/>
      <c r="K18" s="126"/>
      <c r="L18" s="125" t="str">
        <f>IF(I18&lt;&gt;0,((VLOOKUP(I18,'1. Standard_Cost'!$B$4:$D$11,2)+VLOOKUP(I18,'1. Standard_Cost'!$B$4:$D$11,3))*J18*K18),"0")</f>
        <v>0</v>
      </c>
      <c r="M18" s="125">
        <f>L18*'1. Standard_Cost'!$F$4</f>
        <v>0</v>
      </c>
      <c r="N18" s="126"/>
      <c r="O18" s="126"/>
      <c r="P18" s="126"/>
      <c r="Q18" s="126"/>
      <c r="R18" s="127">
        <f>'1. Standard_Cost'!$B$15*N18*P18</f>
        <v>0</v>
      </c>
      <c r="S18" s="127">
        <f>N18*O18*P18*'1. Standard_Cost'!$C$15</f>
        <v>0</v>
      </c>
      <c r="T18" s="127">
        <f>N18*P18*Q18*'1. Standard_Cost'!$D$15</f>
        <v>0</v>
      </c>
      <c r="U18" s="127">
        <f>N18*O18*'1. Standard_Cost'!$E$15</f>
        <v>0</v>
      </c>
      <c r="V18" s="126"/>
      <c r="W18" s="126"/>
      <c r="X18" s="126"/>
      <c r="Y18" s="127">
        <f>+V18*((X18*'1. Standard_Cost'!$B$19)+(W18*X18*'1. Standard_Cost'!$C$19))</f>
        <v>0</v>
      </c>
      <c r="Z18" s="126"/>
      <c r="AA18" s="126"/>
      <c r="AB18" s="127">
        <f>+Z18*'1. Standard_Cost'!$B$23+AA18*'1. Standard_Cost'!$C$23</f>
        <v>0</v>
      </c>
      <c r="AC18" s="128"/>
      <c r="AD18" s="129"/>
      <c r="AE18" s="127">
        <f>SUM(AD18,AC18,AB18,Y18,U18,T18,S18,R18)*'1. Standard_Cost'!$B$31</f>
        <v>0</v>
      </c>
      <c r="AF18" s="127">
        <f>SUM(AE18,AD18,AC18,AB18,Y18,U18,T18,S18,R18)</f>
        <v>0</v>
      </c>
      <c r="AG18" s="126"/>
      <c r="AH18" s="126"/>
      <c r="AI18" s="126"/>
      <c r="AJ18" s="130"/>
      <c r="AK18" s="130"/>
      <c r="AL18" s="130"/>
      <c r="AM18" s="127">
        <f>AG18*'1. Standard_Cost'!$B$27+'Incremental_Cost Year 1'!AH18*'1. Standard_Cost'!$C$27+'Incremental_Cost Year 1'!AI18*'1. Standard_Cost'!$D$27+'Incremental_Cost Year 1'!AJ18+'Incremental_Cost Year 1'!AL18+AK18</f>
        <v>0</v>
      </c>
      <c r="AN18" s="127">
        <f>AM18*'1. Standard_Cost'!$C$31</f>
        <v>0</v>
      </c>
      <c r="AO18" s="130"/>
      <c r="AQ18" s="171">
        <f>L18+M18</f>
        <v>0</v>
      </c>
      <c r="AR18" s="171">
        <f>AF18</f>
        <v>0</v>
      </c>
      <c r="AS18" s="171">
        <f>AM18+AN18</f>
        <v>0</v>
      </c>
      <c r="AT18" s="171">
        <f>SUM(AQ18,AR18,AS18)</f>
        <v>0</v>
      </c>
      <c r="AU18" s="250"/>
      <c r="AV18" s="250"/>
      <c r="AW18" s="250"/>
      <c r="AX18" s="250"/>
      <c r="AY18" s="250"/>
      <c r="AZ18" s="250"/>
      <c r="BA18" s="250"/>
      <c r="BB18" s="251">
        <f t="shared" si="12"/>
        <v>0</v>
      </c>
      <c r="BC18" s="30"/>
      <c r="BD18" s="30"/>
      <c r="BE18" s="30"/>
      <c r="BF18" s="30"/>
    </row>
    <row r="19" spans="1:58" ht="63" outlineLevel="1" x14ac:dyDescent="0.25">
      <c r="A19" s="115"/>
      <c r="B19" s="200"/>
      <c r="C19" s="201"/>
      <c r="D19" s="107" t="s">
        <v>240</v>
      </c>
      <c r="E19" s="139" t="s">
        <v>193</v>
      </c>
      <c r="F19" s="136">
        <v>2024</v>
      </c>
      <c r="G19" s="117">
        <v>2027</v>
      </c>
      <c r="H19" s="134" t="s">
        <v>194</v>
      </c>
      <c r="I19" s="252"/>
      <c r="J19" s="252"/>
      <c r="K19" s="252"/>
      <c r="L19" s="127">
        <f>SUM(L17:L18)</f>
        <v>0</v>
      </c>
      <c r="M19" s="127">
        <f>SUM(M17:M18)</f>
        <v>0</v>
      </c>
      <c r="N19" s="127"/>
      <c r="O19" s="252"/>
      <c r="P19" s="252"/>
      <c r="Q19" s="252"/>
      <c r="R19" s="127">
        <f>SUM(R17:R18)</f>
        <v>0</v>
      </c>
      <c r="S19" s="127">
        <f>SUM(S17:S18)</f>
        <v>0</v>
      </c>
      <c r="T19" s="127">
        <f>SUM(T17:T18)</f>
        <v>0</v>
      </c>
      <c r="U19" s="127">
        <f>SUM(U17:U18)</f>
        <v>0</v>
      </c>
      <c r="V19" s="252"/>
      <c r="W19" s="252"/>
      <c r="X19" s="252"/>
      <c r="Y19" s="127">
        <f>SUM(Y17:Y18)</f>
        <v>0</v>
      </c>
      <c r="Z19" s="252"/>
      <c r="AA19" s="252"/>
      <c r="AB19" s="127">
        <f>SUM(AB17:AB18)</f>
        <v>0</v>
      </c>
      <c r="AC19" s="127">
        <f>SUM(AC17:AC18)</f>
        <v>0</v>
      </c>
      <c r="AD19" s="127">
        <f>SUM(AD17:AD18)</f>
        <v>0</v>
      </c>
      <c r="AE19" s="127">
        <f>SUM(AE17:AE18)</f>
        <v>0</v>
      </c>
      <c r="AF19" s="127">
        <f>SUM(AF17:AF18)</f>
        <v>0</v>
      </c>
      <c r="AG19" s="252"/>
      <c r="AH19" s="252"/>
      <c r="AI19" s="252"/>
      <c r="AJ19" s="127">
        <f>SUM(AJ17:AJ18)</f>
        <v>0</v>
      </c>
      <c r="AK19" s="127">
        <f>SUM(AK17:AK18)</f>
        <v>0</v>
      </c>
      <c r="AL19" s="127">
        <f>SUM(AL17:AL18)</f>
        <v>0</v>
      </c>
      <c r="AM19" s="127">
        <f>SUM(AM17:AM18)</f>
        <v>0</v>
      </c>
      <c r="AN19" s="127">
        <f>SUM(AN17:AN18)</f>
        <v>0</v>
      </c>
      <c r="AO19" s="253"/>
      <c r="AP19" s="254"/>
      <c r="AQ19" s="175">
        <f>SUM(AQ17:AQ18)</f>
        <v>0</v>
      </c>
      <c r="AR19" s="175">
        <f>SUM(AR17:AR18)</f>
        <v>0</v>
      </c>
      <c r="AS19" s="175">
        <f>SUM(AS17:AS18)</f>
        <v>0</v>
      </c>
      <c r="AT19" s="175">
        <f>SUM(AT17:AT18)</f>
        <v>0</v>
      </c>
      <c r="AU19" s="175">
        <f t="shared" ref="AU19:BA19" si="13">SUM(AU17:AU18)</f>
        <v>0</v>
      </c>
      <c r="AV19" s="175">
        <f t="shared" si="13"/>
        <v>0</v>
      </c>
      <c r="AW19" s="175">
        <f>SUM(AW17:AW18)</f>
        <v>0</v>
      </c>
      <c r="AX19" s="175">
        <f t="shared" si="13"/>
        <v>0</v>
      </c>
      <c r="AY19" s="175">
        <f t="shared" si="13"/>
        <v>0</v>
      </c>
      <c r="AZ19" s="175">
        <f t="shared" si="13"/>
        <v>0</v>
      </c>
      <c r="BA19" s="175">
        <f t="shared" si="13"/>
        <v>0</v>
      </c>
      <c r="BB19" s="175">
        <f t="shared" ref="BB19" si="14">SUM(BB17:BB18)</f>
        <v>0</v>
      </c>
      <c r="BC19" s="30"/>
      <c r="BD19" s="30"/>
      <c r="BE19" s="30"/>
      <c r="BF19" s="30"/>
    </row>
    <row r="20" spans="1:58" s="32" customFormat="1" ht="64.150000000000006" customHeight="1" x14ac:dyDescent="0.25">
      <c r="A20" s="120"/>
      <c r="B20" s="285"/>
      <c r="C20" s="391" t="s">
        <v>195</v>
      </c>
      <c r="D20" s="391"/>
      <c r="E20" s="392"/>
      <c r="F20" s="281"/>
      <c r="G20" s="281"/>
      <c r="H20" s="114" t="s">
        <v>208</v>
      </c>
      <c r="I20" s="246"/>
      <c r="J20" s="246"/>
      <c r="K20" s="246"/>
      <c r="L20" s="247">
        <f>SUM(L25+L29+L37+L39)</f>
        <v>72888000</v>
      </c>
      <c r="M20" s="247">
        <f>SUM(M25+M29+M37+M39)</f>
        <v>12172296.000000002</v>
      </c>
      <c r="N20" s="247"/>
      <c r="O20" s="247"/>
      <c r="P20" s="247"/>
      <c r="Q20" s="247"/>
      <c r="R20" s="247">
        <f>SUM(R25+R29+R37+R39)</f>
        <v>0</v>
      </c>
      <c r="S20" s="247">
        <f>SUM(S25+S29+S37+S39)</f>
        <v>0</v>
      </c>
      <c r="T20" s="247">
        <f>SUM(T25+T29+T37+T39)</f>
        <v>0</v>
      </c>
      <c r="U20" s="247">
        <f>SUM(U25+U29+U37+U39)</f>
        <v>0</v>
      </c>
      <c r="V20" s="247"/>
      <c r="W20" s="247"/>
      <c r="X20" s="247"/>
      <c r="Y20" s="247">
        <f>SUM(Y25+Y29+Y37+Y39)</f>
        <v>0</v>
      </c>
      <c r="Z20" s="247">
        <f t="shared" ref="Z20:AA20" si="15">SUM(Z25+Z29+Z37+Z39)</f>
        <v>0</v>
      </c>
      <c r="AA20" s="247">
        <f t="shared" si="15"/>
        <v>0</v>
      </c>
      <c r="AB20" s="247">
        <f t="shared" ref="AB20:AF20" si="16">SUM(AB25+AB29+AB37+AB39)</f>
        <v>0</v>
      </c>
      <c r="AC20" s="247">
        <f t="shared" si="16"/>
        <v>156075500</v>
      </c>
      <c r="AD20" s="247">
        <f t="shared" si="16"/>
        <v>0</v>
      </c>
      <c r="AE20" s="247">
        <f t="shared" si="16"/>
        <v>31215100</v>
      </c>
      <c r="AF20" s="247">
        <f t="shared" si="16"/>
        <v>187290600</v>
      </c>
      <c r="AG20" s="247"/>
      <c r="AH20" s="247"/>
      <c r="AI20" s="247"/>
      <c r="AJ20" s="247">
        <f>SUM(AJ25+AJ29+AJ37+AJ39)</f>
        <v>0</v>
      </c>
      <c r="AK20" s="247">
        <f>SUM(AK25+AK29+AK37+AK39)</f>
        <v>0</v>
      </c>
      <c r="AL20" s="247">
        <f>SUM(AL25+AL29+AL37+AL39)</f>
        <v>0</v>
      </c>
      <c r="AM20" s="247">
        <f>SUM(AM25+AM29+AM37+AM39)</f>
        <v>0</v>
      </c>
      <c r="AN20" s="247">
        <f>SUM(AN25+AN29+AN37+AN39)</f>
        <v>0</v>
      </c>
      <c r="AO20" s="247"/>
      <c r="AP20" s="244"/>
      <c r="AQ20" s="248">
        <f>SUM(AQ25+AQ29+AQ37+AQ39)</f>
        <v>85060296</v>
      </c>
      <c r="AR20" s="248">
        <f>SUM(AR25+AR29+AR37+AR39)</f>
        <v>187290600</v>
      </c>
      <c r="AS20" s="248">
        <f>SUM(AS25+AS29+AS37+AS39)</f>
        <v>0</v>
      </c>
      <c r="AT20" s="248">
        <f>SUM(AT25+AT29+AT37+AT39)</f>
        <v>272350896</v>
      </c>
      <c r="AU20" s="248">
        <f t="shared" ref="AU20:BA20" si="17">SUM(AU25+AU29+AU37+AU39)</f>
        <v>272350896</v>
      </c>
      <c r="AV20" s="248">
        <f t="shared" si="17"/>
        <v>0</v>
      </c>
      <c r="AW20" s="248">
        <f>SUM(AW25+AW29+AW37+AW39)</f>
        <v>0</v>
      </c>
      <c r="AX20" s="248">
        <f t="shared" si="17"/>
        <v>0</v>
      </c>
      <c r="AY20" s="248">
        <f t="shared" si="17"/>
        <v>0</v>
      </c>
      <c r="AZ20" s="248">
        <f t="shared" si="17"/>
        <v>0</v>
      </c>
      <c r="BA20" s="248">
        <f t="shared" si="17"/>
        <v>0</v>
      </c>
      <c r="BB20" s="248">
        <f t="shared" ref="BB20" si="18">SUM(BB25+BB29+BB37+BB39)</f>
        <v>0</v>
      </c>
    </row>
    <row r="21" spans="1:58" ht="189" outlineLevel="2" x14ac:dyDescent="0.25">
      <c r="A21" s="115"/>
      <c r="B21" s="200"/>
      <c r="C21" s="201"/>
      <c r="D21" s="135"/>
      <c r="E21" s="219"/>
      <c r="F21" s="219"/>
      <c r="G21" s="313"/>
      <c r="H21" s="199" t="s">
        <v>382</v>
      </c>
      <c r="I21" s="130"/>
      <c r="J21" s="126"/>
      <c r="K21" s="126"/>
      <c r="L21" s="125" t="str">
        <f>IF(I21&lt;&gt;0,((VLOOKUP(I21,'1. Standard_Cost'!$B$4:$D$11,2)+VLOOKUP(I21,'1. Standard_Cost'!$B$4:$D$11,3))*J21*K21),"0")</f>
        <v>0</v>
      </c>
      <c r="M21" s="125">
        <f>L21*'1. Standard_Cost'!$F$4</f>
        <v>0</v>
      </c>
      <c r="N21" s="126"/>
      <c r="O21" s="126"/>
      <c r="P21" s="126"/>
      <c r="Q21" s="126"/>
      <c r="R21" s="127">
        <f>'1. Standard_Cost'!$B$15*N21*P21</f>
        <v>0</v>
      </c>
      <c r="S21" s="127">
        <f>N21*O21*P21*'1. Standard_Cost'!$C$15</f>
        <v>0</v>
      </c>
      <c r="T21" s="127">
        <f>N21*P21*Q21*'1. Standard_Cost'!$D$15</f>
        <v>0</v>
      </c>
      <c r="U21" s="127">
        <f>N21*O21*'1. Standard_Cost'!$E$15</f>
        <v>0</v>
      </c>
      <c r="V21" s="126"/>
      <c r="W21" s="126"/>
      <c r="X21" s="126"/>
      <c r="Y21" s="127">
        <f>+V21*((X21*'1. Standard_Cost'!$B$19)+(W21*X21*'1. Standard_Cost'!$C$19))</f>
        <v>0</v>
      </c>
      <c r="Z21" s="126"/>
      <c r="AA21" s="126"/>
      <c r="AB21" s="127">
        <f>+Z21*'1. Standard_Cost'!$B$23+AA21*'1. Standard_Cost'!$C$23</f>
        <v>0</v>
      </c>
      <c r="AC21" s="128">
        <f>213102000/12*3</f>
        <v>53275500</v>
      </c>
      <c r="AD21" s="129"/>
      <c r="AE21" s="127">
        <f>SUM(AD21,AC21,AB21,Y21,U21,T21,S21,R21)*'1. Standard_Cost'!$B$31</f>
        <v>10655100</v>
      </c>
      <c r="AF21" s="127">
        <f>SUM(AE21,AD21,AC21,AB21,Y21,U21,T21,S21,R21)</f>
        <v>63930600</v>
      </c>
      <c r="AG21" s="126"/>
      <c r="AH21" s="126"/>
      <c r="AI21" s="126"/>
      <c r="AJ21" s="130"/>
      <c r="AK21" s="130"/>
      <c r="AL21" s="130"/>
      <c r="AM21" s="127">
        <f>AG21*'1. Standard_Cost'!$B$27+'Incremental_Cost Year 1'!AH21*'1. Standard_Cost'!$C$27+'Incremental_Cost Year 1'!AI21*'1. Standard_Cost'!$D$27+'Incremental_Cost Year 1'!AJ21+'Incremental_Cost Year 1'!AL21+AK21</f>
        <v>0</v>
      </c>
      <c r="AN21" s="127">
        <f>AM21*'1. Standard_Cost'!$C$31</f>
        <v>0</v>
      </c>
      <c r="AO21" s="249"/>
      <c r="AQ21" s="171">
        <f>L21+M21</f>
        <v>0</v>
      </c>
      <c r="AR21" s="171">
        <f>AF21</f>
        <v>63930600</v>
      </c>
      <c r="AS21" s="171">
        <f>AM21+AN21</f>
        <v>0</v>
      </c>
      <c r="AT21" s="171">
        <f>SUM(AQ21,AR21,AS21)</f>
        <v>63930600</v>
      </c>
      <c r="AU21" s="250">
        <f>AT21</f>
        <v>63930600</v>
      </c>
      <c r="AV21" s="250"/>
      <c r="AW21" s="250"/>
      <c r="AX21" s="250"/>
      <c r="AY21" s="250"/>
      <c r="AZ21" s="250"/>
      <c r="BA21" s="250"/>
      <c r="BB21" s="251">
        <f t="shared" ref="BB21:BB24" si="19">SUM(AU21:BA21)-AT21</f>
        <v>0</v>
      </c>
      <c r="BC21" s="30"/>
      <c r="BD21" s="30"/>
      <c r="BE21" s="30"/>
      <c r="BF21" s="30"/>
    </row>
    <row r="22" spans="1:58" ht="47.25" outlineLevel="2" x14ac:dyDescent="0.25">
      <c r="A22" s="115"/>
      <c r="B22" s="200"/>
      <c r="C22" s="201"/>
      <c r="D22" s="135"/>
      <c r="E22" s="219"/>
      <c r="F22" s="219"/>
      <c r="G22" s="313"/>
      <c r="H22" s="199" t="s">
        <v>225</v>
      </c>
      <c r="I22" s="130" t="s">
        <v>3</v>
      </c>
      <c r="J22" s="126">
        <v>3</v>
      </c>
      <c r="K22" s="126">
        <v>10</v>
      </c>
      <c r="L22" s="125">
        <f>IF(I22&lt;&gt;0,((VLOOKUP(I22,'1. Standard_Cost'!$B$4:$D$11,2)+VLOOKUP(I22,'1. Standard_Cost'!$B$4:$D$11,3))*J22*K22),"0")</f>
        <v>3024000</v>
      </c>
      <c r="M22" s="125">
        <f>L22*'1. Standard_Cost'!$F$4</f>
        <v>505008</v>
      </c>
      <c r="N22" s="126"/>
      <c r="O22" s="126"/>
      <c r="P22" s="126"/>
      <c r="Q22" s="126"/>
      <c r="R22" s="127">
        <f>'1. Standard_Cost'!$B$15*N22*P22</f>
        <v>0</v>
      </c>
      <c r="S22" s="127">
        <f>N22*O22*P22*'1. Standard_Cost'!$C$15</f>
        <v>0</v>
      </c>
      <c r="T22" s="127">
        <f>N22*P22*Q22*'1. Standard_Cost'!$D$15</f>
        <v>0</v>
      </c>
      <c r="U22" s="127">
        <f>N22*O22*'1. Standard_Cost'!$E$15</f>
        <v>0</v>
      </c>
      <c r="V22" s="126"/>
      <c r="W22" s="126"/>
      <c r="X22" s="126"/>
      <c r="Y22" s="127">
        <f>+V22*((X22*'1. Standard_Cost'!$B$19)+(W22*X22*'1. Standard_Cost'!$C$19))</f>
        <v>0</v>
      </c>
      <c r="Z22" s="126"/>
      <c r="AA22" s="126"/>
      <c r="AB22" s="127">
        <f>+Z22*'1. Standard_Cost'!$B$23+AA22*'1. Standard_Cost'!$C$23</f>
        <v>0</v>
      </c>
      <c r="AC22" s="128">
        <v>50000</v>
      </c>
      <c r="AD22" s="129"/>
      <c r="AE22" s="127">
        <f>SUM(AD22,AC22,AB22,Y22,U22,T22,S22,R22)*'1. Standard_Cost'!$B$31</f>
        <v>10000</v>
      </c>
      <c r="AF22" s="127">
        <f>SUM(AE22,AD22,AC22,AB22,Y22,U22,T22,S22,R22)</f>
        <v>60000</v>
      </c>
      <c r="AG22" s="126"/>
      <c r="AH22" s="126"/>
      <c r="AI22" s="126"/>
      <c r="AJ22" s="130"/>
      <c r="AK22" s="130"/>
      <c r="AL22" s="130"/>
      <c r="AM22" s="127">
        <f>AG22*'1. Standard_Cost'!$B$27+'Incremental_Cost Year 1'!AH22*'1. Standard_Cost'!$C$27+'Incremental_Cost Year 1'!AI22*'1. Standard_Cost'!$D$27+'Incremental_Cost Year 1'!AJ22+'Incremental_Cost Year 1'!AL22+AK22</f>
        <v>0</v>
      </c>
      <c r="AN22" s="127">
        <f>AM22*'1. Standard_Cost'!$C$31</f>
        <v>0</v>
      </c>
      <c r="AO22" s="249"/>
      <c r="AQ22" s="171">
        <f>L22+M22</f>
        <v>3529008</v>
      </c>
      <c r="AR22" s="171">
        <f>AF22</f>
        <v>60000</v>
      </c>
      <c r="AS22" s="171">
        <f>AM22+AN22</f>
        <v>0</v>
      </c>
      <c r="AT22" s="171">
        <f>SUM(AQ22,AR22,AS22)</f>
        <v>3589008</v>
      </c>
      <c r="AU22" s="250">
        <f>AT22</f>
        <v>3589008</v>
      </c>
      <c r="AV22" s="250"/>
      <c r="AW22" s="250"/>
      <c r="AX22" s="250"/>
      <c r="AY22" s="250"/>
      <c r="AZ22" s="250"/>
      <c r="BA22" s="250"/>
      <c r="BB22" s="251">
        <f t="shared" si="19"/>
        <v>0</v>
      </c>
      <c r="BC22" s="30"/>
      <c r="BD22" s="30"/>
      <c r="BE22" s="30"/>
      <c r="BF22" s="30"/>
    </row>
    <row r="23" spans="1:58" ht="47.25" outlineLevel="2" x14ac:dyDescent="0.25">
      <c r="A23" s="115"/>
      <c r="B23" s="200"/>
      <c r="C23" s="201"/>
      <c r="D23" s="135"/>
      <c r="E23" s="219"/>
      <c r="F23" s="219"/>
      <c r="G23" s="313"/>
      <c r="H23" s="199" t="s">
        <v>383</v>
      </c>
      <c r="I23" s="130" t="s">
        <v>5</v>
      </c>
      <c r="J23" s="126">
        <v>1</v>
      </c>
      <c r="K23" s="126">
        <v>36</v>
      </c>
      <c r="L23" s="125">
        <f>IF(I23&lt;&gt;0,((VLOOKUP(I23,'1. Standard_Cost'!$B$4:$D$11,2)+VLOOKUP(I23,'1. Standard_Cost'!$B$4:$D$11,3))*J23*K23),"0")</f>
        <v>2545200</v>
      </c>
      <c r="M23" s="125">
        <f>L23*'1. Standard_Cost'!$F$4</f>
        <v>425048.4</v>
      </c>
      <c r="N23" s="126"/>
      <c r="O23" s="126"/>
      <c r="P23" s="126"/>
      <c r="Q23" s="126"/>
      <c r="R23" s="127">
        <f>'1. Standard_Cost'!$B$15*N23*P23</f>
        <v>0</v>
      </c>
      <c r="S23" s="127">
        <f>N23*O23*P23*'1. Standard_Cost'!$C$15</f>
        <v>0</v>
      </c>
      <c r="T23" s="127">
        <f>N23*P23*Q23*'1. Standard_Cost'!$D$15</f>
        <v>0</v>
      </c>
      <c r="U23" s="127">
        <f>N23*O23*'1. Standard_Cost'!$E$15</f>
        <v>0</v>
      </c>
      <c r="V23" s="126"/>
      <c r="W23" s="126"/>
      <c r="X23" s="126"/>
      <c r="Y23" s="127">
        <f>+V23*((X23*'1. Standard_Cost'!$B$19)+(W23*X23*'1. Standard_Cost'!$C$19))</f>
        <v>0</v>
      </c>
      <c r="Z23" s="126"/>
      <c r="AA23" s="126"/>
      <c r="AB23" s="127">
        <f>+Z23*'1. Standard_Cost'!$B$23+AA23*'1. Standard_Cost'!$C$23</f>
        <v>0</v>
      </c>
      <c r="AC23" s="128">
        <f>50000*36/12*3</f>
        <v>450000</v>
      </c>
      <c r="AD23" s="129"/>
      <c r="AE23" s="127">
        <f>SUM(AD23,AC23,AB23,Y23,U23,T23,S23,R23)*'1. Standard_Cost'!$B$31</f>
        <v>90000</v>
      </c>
      <c r="AF23" s="127">
        <f>SUM(AE23,AD23,AC23,AB23,Y23,U23,T23,S23,R23)</f>
        <v>540000</v>
      </c>
      <c r="AG23" s="126"/>
      <c r="AH23" s="126"/>
      <c r="AI23" s="126"/>
      <c r="AJ23" s="130"/>
      <c r="AK23" s="130"/>
      <c r="AL23" s="130"/>
      <c r="AM23" s="127">
        <f>AG23*'1. Standard_Cost'!$B$27+'Incremental_Cost Year 1'!AH23*'1. Standard_Cost'!$C$27+'Incremental_Cost Year 1'!AI23*'1. Standard_Cost'!$D$27+'Incremental_Cost Year 1'!AJ23+'Incremental_Cost Year 1'!AL23+AK23</f>
        <v>0</v>
      </c>
      <c r="AN23" s="127">
        <f>AM23*'1. Standard_Cost'!$C$31</f>
        <v>0</v>
      </c>
      <c r="AO23" s="249"/>
      <c r="AQ23" s="171">
        <f>L23+M23</f>
        <v>2970248.4</v>
      </c>
      <c r="AR23" s="171">
        <f>AF23</f>
        <v>540000</v>
      </c>
      <c r="AS23" s="171">
        <f>AM23+AN23</f>
        <v>0</v>
      </c>
      <c r="AT23" s="171">
        <f>SUM(AQ23,AR23,AS23)</f>
        <v>3510248.4</v>
      </c>
      <c r="AU23" s="250">
        <f>AT23</f>
        <v>3510248.4</v>
      </c>
      <c r="AV23" s="250"/>
      <c r="AW23" s="250"/>
      <c r="AX23" s="250"/>
      <c r="AY23" s="250"/>
      <c r="AZ23" s="250"/>
      <c r="BA23" s="250"/>
      <c r="BB23" s="251">
        <f t="shared" si="19"/>
        <v>0</v>
      </c>
      <c r="BC23" s="30"/>
      <c r="BD23" s="30"/>
      <c r="BE23" s="30"/>
      <c r="BF23" s="30"/>
    </row>
    <row r="24" spans="1:58" ht="15.75" outlineLevel="2" x14ac:dyDescent="0.25">
      <c r="A24" s="115"/>
      <c r="B24" s="200"/>
      <c r="C24" s="201"/>
      <c r="D24" s="211"/>
      <c r="E24" s="124"/>
      <c r="F24" s="140"/>
      <c r="G24" s="351"/>
      <c r="H24" s="199"/>
      <c r="I24" s="130"/>
      <c r="J24" s="126"/>
      <c r="K24" s="126"/>
      <c r="L24" s="125" t="str">
        <f>IF(I24&lt;&gt;0,((VLOOKUP(I24,'1. Standard_Cost'!$B$4:$D$11,2)+VLOOKUP(I24,'1. Standard_Cost'!$B$4:$D$11,3))*J24*K24),"0")</f>
        <v>0</v>
      </c>
      <c r="M24" s="125">
        <f>L24*'1. Standard_Cost'!$F$4</f>
        <v>0</v>
      </c>
      <c r="N24" s="126"/>
      <c r="O24" s="126"/>
      <c r="P24" s="126"/>
      <c r="Q24" s="126"/>
      <c r="R24" s="127">
        <f>'1. Standard_Cost'!$B$15*N24*P24</f>
        <v>0</v>
      </c>
      <c r="S24" s="127">
        <f>N24*O24*P24*'1. Standard_Cost'!$C$15</f>
        <v>0</v>
      </c>
      <c r="T24" s="127">
        <f>N24*P24*Q24*'1. Standard_Cost'!$D$15</f>
        <v>0</v>
      </c>
      <c r="U24" s="127">
        <f>N24*O24*'1. Standard_Cost'!$E$15</f>
        <v>0</v>
      </c>
      <c r="V24" s="126"/>
      <c r="W24" s="126"/>
      <c r="X24" s="126"/>
      <c r="Y24" s="127">
        <f>+V24*((X24*'1. Standard_Cost'!$B$19)+(W24*X24*'1. Standard_Cost'!$C$19))</f>
        <v>0</v>
      </c>
      <c r="Z24" s="126"/>
      <c r="AA24" s="126"/>
      <c r="AB24" s="127">
        <f>+Z24*'1. Standard_Cost'!$B$23+AA24*'1. Standard_Cost'!$C$23</f>
        <v>0</v>
      </c>
      <c r="AC24" s="128"/>
      <c r="AD24" s="129"/>
      <c r="AE24" s="127">
        <f>SUM(AD24,AC24,AB24,Y24,U24,T24,S24,R24)*'1. Standard_Cost'!$B$31</f>
        <v>0</v>
      </c>
      <c r="AF24" s="127">
        <f>SUM(AE24,AD24,AC24,AB24,Y24,U24,T24,S24,R24)</f>
        <v>0</v>
      </c>
      <c r="AG24" s="126"/>
      <c r="AH24" s="126"/>
      <c r="AI24" s="126"/>
      <c r="AJ24" s="130"/>
      <c r="AK24" s="130"/>
      <c r="AL24" s="130"/>
      <c r="AM24" s="127">
        <f>AG24*'1. Standard_Cost'!$B$27+'Incremental_Cost Year 1'!AH24*'1. Standard_Cost'!$C$27+'Incremental_Cost Year 1'!AI24*'1. Standard_Cost'!$D$27+'Incremental_Cost Year 1'!AJ24+'Incremental_Cost Year 1'!AL24+AK24</f>
        <v>0</v>
      </c>
      <c r="AN24" s="127">
        <f>AM24*'1. Standard_Cost'!$C$31</f>
        <v>0</v>
      </c>
      <c r="AO24" s="130"/>
      <c r="AQ24" s="171">
        <f>L24+M24</f>
        <v>0</v>
      </c>
      <c r="AR24" s="171">
        <f>AF24</f>
        <v>0</v>
      </c>
      <c r="AS24" s="171">
        <f>AM24+AN24</f>
        <v>0</v>
      </c>
      <c r="AT24" s="171">
        <f>SUM(AQ24,AR24,AS24)</f>
        <v>0</v>
      </c>
      <c r="AU24" s="250">
        <f>AT24</f>
        <v>0</v>
      </c>
      <c r="AV24" s="250"/>
      <c r="AW24" s="250"/>
      <c r="AX24" s="250"/>
      <c r="AY24" s="250"/>
      <c r="AZ24" s="250"/>
      <c r="BA24" s="250"/>
      <c r="BB24" s="251">
        <f t="shared" si="19"/>
        <v>0</v>
      </c>
      <c r="BC24" s="30"/>
      <c r="BD24" s="30"/>
      <c r="BE24" s="30"/>
      <c r="BF24" s="30"/>
    </row>
    <row r="25" spans="1:58" ht="63" outlineLevel="1" x14ac:dyDescent="0.25">
      <c r="A25" s="115"/>
      <c r="B25" s="165"/>
      <c r="C25" s="166"/>
      <c r="D25" s="150" t="s">
        <v>384</v>
      </c>
      <c r="E25" s="139" t="s">
        <v>196</v>
      </c>
      <c r="F25" s="222">
        <v>2021</v>
      </c>
      <c r="G25" s="117">
        <v>2030</v>
      </c>
      <c r="H25" s="134" t="s">
        <v>197</v>
      </c>
      <c r="I25" s="252"/>
      <c r="J25" s="252"/>
      <c r="K25" s="252"/>
      <c r="L25" s="127">
        <f>SUM(L21:L24)</f>
        <v>5569200</v>
      </c>
      <c r="M25" s="127">
        <f>SUM(M21:M24)</f>
        <v>930056.4</v>
      </c>
      <c r="N25" s="127"/>
      <c r="O25" s="252"/>
      <c r="P25" s="252"/>
      <c r="Q25" s="252"/>
      <c r="R25" s="127">
        <f>SUM(R21:R24)</f>
        <v>0</v>
      </c>
      <c r="S25" s="127">
        <f>SUM(S21:S24)</f>
        <v>0</v>
      </c>
      <c r="T25" s="127">
        <f>SUM(T21:T24)</f>
        <v>0</v>
      </c>
      <c r="U25" s="127">
        <f>SUM(U21:U24)</f>
        <v>0</v>
      </c>
      <c r="V25" s="252"/>
      <c r="W25" s="252"/>
      <c r="X25" s="252"/>
      <c r="Y25" s="127">
        <f>SUM(Y21:Y24)</f>
        <v>0</v>
      </c>
      <c r="Z25" s="252"/>
      <c r="AA25" s="252"/>
      <c r="AB25" s="127">
        <f>SUM(AB21:AB24)</f>
        <v>0</v>
      </c>
      <c r="AC25" s="127">
        <f>SUM(AC21:AC24)</f>
        <v>53775500</v>
      </c>
      <c r="AD25" s="127">
        <f>SUM(AD21:AD24)</f>
        <v>0</v>
      </c>
      <c r="AE25" s="127">
        <f>SUM(AE21:AE24)</f>
        <v>10755100</v>
      </c>
      <c r="AF25" s="127">
        <f>SUM(AF21:AF24)</f>
        <v>64530600</v>
      </c>
      <c r="AG25" s="252"/>
      <c r="AH25" s="252"/>
      <c r="AI25" s="252"/>
      <c r="AJ25" s="127">
        <f>SUM(AJ21:AJ24)</f>
        <v>0</v>
      </c>
      <c r="AK25" s="127">
        <f>SUM(AK21:AK24)</f>
        <v>0</v>
      </c>
      <c r="AL25" s="127">
        <f>SUM(AL21:AL24)</f>
        <v>0</v>
      </c>
      <c r="AM25" s="127">
        <f>SUM(AM21:AM24)</f>
        <v>0</v>
      </c>
      <c r="AN25" s="127">
        <f>SUM(AN21:AN24)</f>
        <v>0</v>
      </c>
      <c r="AO25" s="253"/>
      <c r="AP25" s="254"/>
      <c r="AQ25" s="175">
        <f>SUM(AQ21:AQ24)</f>
        <v>6499256.4000000004</v>
      </c>
      <c r="AR25" s="175">
        <f>SUM(AR21:AR24)</f>
        <v>64530600</v>
      </c>
      <c r="AS25" s="175">
        <f>SUM(AS21:AS24)</f>
        <v>0</v>
      </c>
      <c r="AT25" s="175">
        <f>SUM(AT21:AT24)</f>
        <v>71029856.400000006</v>
      </c>
      <c r="AU25" s="175">
        <f t="shared" ref="AU25:BA25" si="20">SUM(AU21:AU24)</f>
        <v>71029856.400000006</v>
      </c>
      <c r="AV25" s="175">
        <f t="shared" si="20"/>
        <v>0</v>
      </c>
      <c r="AW25" s="175">
        <f t="shared" si="20"/>
        <v>0</v>
      </c>
      <c r="AX25" s="175">
        <f t="shared" si="20"/>
        <v>0</v>
      </c>
      <c r="AY25" s="175">
        <f t="shared" si="20"/>
        <v>0</v>
      </c>
      <c r="AZ25" s="175">
        <f t="shared" si="20"/>
        <v>0</v>
      </c>
      <c r="BA25" s="175">
        <f t="shared" si="20"/>
        <v>0</v>
      </c>
      <c r="BB25" s="175">
        <f t="shared" ref="BB25" si="21">SUM(BB21:BB24)</f>
        <v>0</v>
      </c>
      <c r="BC25" s="30"/>
      <c r="BD25" s="30"/>
      <c r="BE25" s="30"/>
      <c r="BF25" s="30"/>
    </row>
    <row r="26" spans="1:58" ht="157.5" outlineLevel="2" x14ac:dyDescent="0.25">
      <c r="A26" s="115"/>
      <c r="B26" s="200"/>
      <c r="C26" s="201"/>
      <c r="D26" s="138"/>
      <c r="E26" s="219"/>
      <c r="F26" s="219"/>
      <c r="G26" s="313"/>
      <c r="H26" s="199" t="s">
        <v>385</v>
      </c>
      <c r="I26" s="130"/>
      <c r="J26" s="126"/>
      <c r="K26" s="126"/>
      <c r="L26" s="125" t="str">
        <f>IF(I26&lt;&gt;0,((VLOOKUP(I26,'1. Standard_Cost'!$B$4:$D$11,2)+VLOOKUP(I26,'1. Standard_Cost'!$B$4:$D$11,3))*J26*K26),"0")</f>
        <v>0</v>
      </c>
      <c r="M26" s="125">
        <f>L26*'1. Standard_Cost'!$F$4</f>
        <v>0</v>
      </c>
      <c r="N26" s="126"/>
      <c r="O26" s="126"/>
      <c r="P26" s="126"/>
      <c r="Q26" s="126"/>
      <c r="R26" s="127">
        <f>'1. Standard_Cost'!$B$15*N26*P26</f>
        <v>0</v>
      </c>
      <c r="S26" s="127">
        <f>N26*O26*P26*'1. Standard_Cost'!$C$15</f>
        <v>0</v>
      </c>
      <c r="T26" s="127">
        <f>N26*P26*Q26*'1. Standard_Cost'!$D$15</f>
        <v>0</v>
      </c>
      <c r="U26" s="127">
        <f>N26*O26*'1. Standard_Cost'!$E$15</f>
        <v>0</v>
      </c>
      <c r="V26" s="126"/>
      <c r="W26" s="126"/>
      <c r="X26" s="126"/>
      <c r="Y26" s="127">
        <f>+V26*((X26*'1. Standard_Cost'!$B$19)+(W26*X26*'1. Standard_Cost'!$C$19))</f>
        <v>0</v>
      </c>
      <c r="Z26" s="126"/>
      <c r="AA26" s="126"/>
      <c r="AB26" s="127">
        <f>+Z26*'1. Standard_Cost'!$B$23+AA26*'1. Standard_Cost'!$C$23</f>
        <v>0</v>
      </c>
      <c r="AC26" s="128"/>
      <c r="AD26" s="129"/>
      <c r="AE26" s="127">
        <f>SUM(AD26,AC26,AB26,Y26,U26,T26,S26,R26)*'1. Standard_Cost'!$B$31</f>
        <v>0</v>
      </c>
      <c r="AF26" s="127">
        <f>SUM(AE26,AD26,AC26,AB26,Y26,U26,T26,S26,R26)</f>
        <v>0</v>
      </c>
      <c r="AG26" s="126"/>
      <c r="AH26" s="126"/>
      <c r="AI26" s="126"/>
      <c r="AJ26" s="130"/>
      <c r="AK26" s="130"/>
      <c r="AL26" s="130"/>
      <c r="AM26" s="127">
        <f>AG26*'1. Standard_Cost'!$B$27+'Incremental_Cost Year 1'!AH26*'1. Standard_Cost'!$C$27+'Incremental_Cost Year 1'!AI26*'1. Standard_Cost'!$D$27+'Incremental_Cost Year 1'!AJ26+'Incremental_Cost Year 1'!AL26+AK26</f>
        <v>0</v>
      </c>
      <c r="AN26" s="127">
        <f>AM26*'1. Standard_Cost'!$C$31</f>
        <v>0</v>
      </c>
      <c r="AO26" s="249"/>
      <c r="AQ26" s="171">
        <f>L26+M26</f>
        <v>0</v>
      </c>
      <c r="AR26" s="171">
        <f>AF26</f>
        <v>0</v>
      </c>
      <c r="AS26" s="171">
        <f>AM26+AN26</f>
        <v>0</v>
      </c>
      <c r="AT26" s="171">
        <f>SUM(AQ26,AR26,AS26)</f>
        <v>0</v>
      </c>
      <c r="AU26" s="250"/>
      <c r="AV26" s="250"/>
      <c r="AW26" s="250"/>
      <c r="AX26" s="250"/>
      <c r="AY26" s="250"/>
      <c r="AZ26" s="250"/>
      <c r="BA26" s="250"/>
      <c r="BB26" s="251">
        <f t="shared" ref="BB26:BB28" si="22">SUM(AU26:BA26)-AT26</f>
        <v>0</v>
      </c>
      <c r="BC26" s="30"/>
      <c r="BD26" s="30"/>
      <c r="BE26" s="30"/>
      <c r="BF26" s="30"/>
    </row>
    <row r="27" spans="1:58" ht="141.75" outlineLevel="2" x14ac:dyDescent="0.25">
      <c r="A27" s="115"/>
      <c r="B27" s="200"/>
      <c r="C27" s="201"/>
      <c r="D27" s="135"/>
      <c r="E27" s="219"/>
      <c r="F27" s="219"/>
      <c r="G27" s="313"/>
      <c r="H27" s="199" t="s">
        <v>386</v>
      </c>
      <c r="I27" s="130"/>
      <c r="J27" s="126"/>
      <c r="K27" s="126"/>
      <c r="L27" s="125" t="str">
        <f>IF(I27&lt;&gt;0,((VLOOKUP(I27,'1. Standard_Cost'!$B$4:$D$11,2)+VLOOKUP(I27,'1. Standard_Cost'!$B$4:$D$11,3))*J27*K27),"0")</f>
        <v>0</v>
      </c>
      <c r="M27" s="125">
        <f>L27*'1. Standard_Cost'!$F$4</f>
        <v>0</v>
      </c>
      <c r="N27" s="126"/>
      <c r="O27" s="126"/>
      <c r="P27" s="126"/>
      <c r="Q27" s="126"/>
      <c r="R27" s="127">
        <f>'1. Standard_Cost'!$B$15*N27*P27</f>
        <v>0</v>
      </c>
      <c r="S27" s="127">
        <f>N27*O27*P27*'1. Standard_Cost'!$C$15</f>
        <v>0</v>
      </c>
      <c r="T27" s="127">
        <f>N27*P27*Q27*'1. Standard_Cost'!$D$15</f>
        <v>0</v>
      </c>
      <c r="U27" s="127">
        <f>N27*O27*'1. Standard_Cost'!$E$15</f>
        <v>0</v>
      </c>
      <c r="V27" s="126"/>
      <c r="W27" s="126"/>
      <c r="X27" s="126"/>
      <c r="Y27" s="127">
        <f>+V27*((X27*'1. Standard_Cost'!$B$19)+(W27*X27*'1. Standard_Cost'!$C$19))</f>
        <v>0</v>
      </c>
      <c r="Z27" s="126"/>
      <c r="AA27" s="126"/>
      <c r="AB27" s="127">
        <f>+Z27*'1. Standard_Cost'!$B$23+AA27*'1. Standard_Cost'!$C$23</f>
        <v>0</v>
      </c>
      <c r="AC27" s="128"/>
      <c r="AD27" s="129"/>
      <c r="AE27" s="127">
        <f>SUM(AD27,AC27,AB27,Y27,U27,T27,S27,R27)*'1. Standard_Cost'!$B$31</f>
        <v>0</v>
      </c>
      <c r="AF27" s="127">
        <f>SUM(AE27,AD27,AC27,AB27,Y27,U27,T27,S27,R27)</f>
        <v>0</v>
      </c>
      <c r="AG27" s="126"/>
      <c r="AH27" s="126"/>
      <c r="AI27" s="126"/>
      <c r="AJ27" s="130"/>
      <c r="AK27" s="130"/>
      <c r="AL27" s="130"/>
      <c r="AM27" s="127">
        <f>AG27*'1. Standard_Cost'!$B$27+'Incremental_Cost Year 1'!AH27*'1. Standard_Cost'!$C$27+'Incremental_Cost Year 1'!AI27*'1. Standard_Cost'!$D$27+'Incremental_Cost Year 1'!AJ27+'Incremental_Cost Year 1'!AL27+AK27</f>
        <v>0</v>
      </c>
      <c r="AN27" s="127">
        <f>AM27*'1. Standard_Cost'!$C$31</f>
        <v>0</v>
      </c>
      <c r="AO27" s="130"/>
      <c r="AQ27" s="171">
        <f>L27+M27</f>
        <v>0</v>
      </c>
      <c r="AR27" s="171">
        <f>AF27</f>
        <v>0</v>
      </c>
      <c r="AS27" s="171">
        <f>AM27+AN27</f>
        <v>0</v>
      </c>
      <c r="AT27" s="171">
        <f>SUM(AQ27,AR27,AS27)</f>
        <v>0</v>
      </c>
      <c r="AU27" s="250"/>
      <c r="AV27" s="250"/>
      <c r="AW27" s="250"/>
      <c r="AX27" s="250"/>
      <c r="AY27" s="250"/>
      <c r="AZ27" s="250"/>
      <c r="BA27" s="250"/>
      <c r="BB27" s="251">
        <f t="shared" si="22"/>
        <v>0</v>
      </c>
      <c r="BC27" s="30"/>
      <c r="BD27" s="30"/>
      <c r="BE27" s="30"/>
      <c r="BF27" s="30"/>
    </row>
    <row r="28" spans="1:58" ht="189" outlineLevel="2" x14ac:dyDescent="0.25">
      <c r="A28" s="115"/>
      <c r="B28" s="200"/>
      <c r="C28" s="201"/>
      <c r="D28" s="223"/>
      <c r="E28" s="219"/>
      <c r="F28" s="219"/>
      <c r="G28" s="313"/>
      <c r="H28" s="103" t="s">
        <v>387</v>
      </c>
      <c r="I28" s="130"/>
      <c r="J28" s="126"/>
      <c r="K28" s="126"/>
      <c r="L28" s="125" t="str">
        <f>IF(I28&lt;&gt;0,((VLOOKUP(I28,'1. Standard_Cost'!$B$4:$D$11,2)+VLOOKUP(I28,'1. Standard_Cost'!$B$4:$D$11,3))*J28*K28),"0")</f>
        <v>0</v>
      </c>
      <c r="M28" s="125">
        <f>L28*'1. Standard_Cost'!$F$4</f>
        <v>0</v>
      </c>
      <c r="N28" s="126"/>
      <c r="O28" s="126"/>
      <c r="P28" s="126"/>
      <c r="Q28" s="126"/>
      <c r="R28" s="127">
        <f>'1. Standard_Cost'!$B$15*N28*P28</f>
        <v>0</v>
      </c>
      <c r="S28" s="127">
        <f>N28*O28*P28*'1. Standard_Cost'!$C$15</f>
        <v>0</v>
      </c>
      <c r="T28" s="127">
        <f>N28*P28*Q28*'1. Standard_Cost'!$D$15</f>
        <v>0</v>
      </c>
      <c r="U28" s="127">
        <f>N28*O28*'1. Standard_Cost'!$E$15</f>
        <v>0</v>
      </c>
      <c r="V28" s="126"/>
      <c r="W28" s="126"/>
      <c r="X28" s="126"/>
      <c r="Y28" s="127">
        <f>+V28*((X28*'1. Standard_Cost'!$B$19)+(W28*X28*'1. Standard_Cost'!$C$19))</f>
        <v>0</v>
      </c>
      <c r="Z28" s="126"/>
      <c r="AA28" s="126"/>
      <c r="AB28" s="127">
        <f>+Z28*'1. Standard_Cost'!$B$23+AA28*'1. Standard_Cost'!$C$23</f>
        <v>0</v>
      </c>
      <c r="AC28" s="128">
        <v>102000000</v>
      </c>
      <c r="AD28" s="129"/>
      <c r="AE28" s="127">
        <f>SUM(AD28,AC28,AB28,Y28,U28,T28,S28,R28)*'1. Standard_Cost'!$B$31</f>
        <v>20400000</v>
      </c>
      <c r="AF28" s="127">
        <f>SUM(AE28,AD28,AC28,AB28,Y28,U28,T28,S28,R28)</f>
        <v>122400000</v>
      </c>
      <c r="AG28" s="126"/>
      <c r="AH28" s="126"/>
      <c r="AI28" s="126"/>
      <c r="AJ28" s="130"/>
      <c r="AK28" s="130"/>
      <c r="AL28" s="130"/>
      <c r="AM28" s="127">
        <f>AG28*'1. Standard_Cost'!$B$27+'Incremental_Cost Year 1'!AH28*'1. Standard_Cost'!$C$27+'Incremental_Cost Year 1'!AI28*'1. Standard_Cost'!$D$27+'Incremental_Cost Year 1'!AJ28+'Incremental_Cost Year 1'!AL28+AK28</f>
        <v>0</v>
      </c>
      <c r="AN28" s="127">
        <f>AM28*'1. Standard_Cost'!$C$31</f>
        <v>0</v>
      </c>
      <c r="AO28" s="130"/>
      <c r="AQ28" s="171">
        <f>L28+M28</f>
        <v>0</v>
      </c>
      <c r="AR28" s="171">
        <f>AF28</f>
        <v>122400000</v>
      </c>
      <c r="AS28" s="171">
        <f>AM28+AN28</f>
        <v>0</v>
      </c>
      <c r="AT28" s="171">
        <f>SUM(AQ28,AR28,AS28)</f>
        <v>122400000</v>
      </c>
      <c r="AU28" s="250">
        <f>AT28</f>
        <v>122400000</v>
      </c>
      <c r="AV28" s="250"/>
      <c r="AW28" s="250"/>
      <c r="AX28" s="250"/>
      <c r="AY28" s="250"/>
      <c r="AZ28" s="250"/>
      <c r="BA28" s="250"/>
      <c r="BB28" s="251">
        <f t="shared" si="22"/>
        <v>0</v>
      </c>
      <c r="BC28" s="30"/>
      <c r="BD28" s="30"/>
      <c r="BE28" s="30"/>
      <c r="BF28" s="30"/>
    </row>
    <row r="29" spans="1:58" ht="63" outlineLevel="1" x14ac:dyDescent="0.25">
      <c r="A29" s="115"/>
      <c r="B29" s="165"/>
      <c r="C29" s="301"/>
      <c r="D29" s="150" t="s">
        <v>388</v>
      </c>
      <c r="E29" s="139" t="s">
        <v>198</v>
      </c>
      <c r="F29" s="300">
        <v>2021</v>
      </c>
      <c r="G29" s="209">
        <v>2030</v>
      </c>
      <c r="H29" s="134" t="s">
        <v>199</v>
      </c>
      <c r="I29" s="252"/>
      <c r="J29" s="252"/>
      <c r="K29" s="252"/>
      <c r="L29" s="127">
        <f>SUM(L26:L28)</f>
        <v>0</v>
      </c>
      <c r="M29" s="127">
        <f>SUM(M26:M28)</f>
        <v>0</v>
      </c>
      <c r="N29" s="127"/>
      <c r="O29" s="252"/>
      <c r="P29" s="252"/>
      <c r="Q29" s="252"/>
      <c r="R29" s="127">
        <f>SUM(R26:R28)</f>
        <v>0</v>
      </c>
      <c r="S29" s="127">
        <f>SUM(S26:S28)</f>
        <v>0</v>
      </c>
      <c r="T29" s="127">
        <f>SUM(T26:T28)</f>
        <v>0</v>
      </c>
      <c r="U29" s="127">
        <f>SUM(U26:U28)</f>
        <v>0</v>
      </c>
      <c r="V29" s="252"/>
      <c r="W29" s="252"/>
      <c r="X29" s="252"/>
      <c r="Y29" s="127">
        <f>SUM(Y26:Y28)</f>
        <v>0</v>
      </c>
      <c r="Z29" s="252"/>
      <c r="AA29" s="252"/>
      <c r="AB29" s="127">
        <f>SUM(AB26:AB28)</f>
        <v>0</v>
      </c>
      <c r="AC29" s="127">
        <f>SUM(AC26:AC28)</f>
        <v>102000000</v>
      </c>
      <c r="AD29" s="127">
        <f>SUM(AD26:AD28)</f>
        <v>0</v>
      </c>
      <c r="AE29" s="127">
        <f>SUM(AE26:AE28)</f>
        <v>20400000</v>
      </c>
      <c r="AF29" s="127">
        <f>SUM(AF26:AF28)</f>
        <v>122400000</v>
      </c>
      <c r="AG29" s="252"/>
      <c r="AH29" s="252"/>
      <c r="AI29" s="252"/>
      <c r="AJ29" s="127">
        <f>SUM(AJ26:AJ28)</f>
        <v>0</v>
      </c>
      <c r="AK29" s="127">
        <f>SUM(AK26:AK28)</f>
        <v>0</v>
      </c>
      <c r="AL29" s="127">
        <f>SUM(AL26:AL28)</f>
        <v>0</v>
      </c>
      <c r="AM29" s="127">
        <f>SUM(AM26:AM28)</f>
        <v>0</v>
      </c>
      <c r="AN29" s="127">
        <f>SUM(AN26:AN28)</f>
        <v>0</v>
      </c>
      <c r="AO29" s="253"/>
      <c r="AP29" s="254"/>
      <c r="AQ29" s="175">
        <f>SUM(AQ26:AQ28)</f>
        <v>0</v>
      </c>
      <c r="AR29" s="175">
        <f>SUM(AR26:AR28)</f>
        <v>122400000</v>
      </c>
      <c r="AS29" s="175">
        <f>SUM(AS26:AS28)</f>
        <v>0</v>
      </c>
      <c r="AT29" s="175">
        <f>SUM(AT26:AT28)</f>
        <v>122400000</v>
      </c>
      <c r="AU29" s="175">
        <f t="shared" ref="AU29:BA29" si="23">SUM(AU26:AU28)</f>
        <v>122400000</v>
      </c>
      <c r="AV29" s="175">
        <f t="shared" si="23"/>
        <v>0</v>
      </c>
      <c r="AW29" s="175">
        <f t="shared" si="23"/>
        <v>0</v>
      </c>
      <c r="AX29" s="175">
        <f t="shared" si="23"/>
        <v>0</v>
      </c>
      <c r="AY29" s="175">
        <f t="shared" si="23"/>
        <v>0</v>
      </c>
      <c r="AZ29" s="175">
        <f t="shared" si="23"/>
        <v>0</v>
      </c>
      <c r="BA29" s="175">
        <f t="shared" si="23"/>
        <v>0</v>
      </c>
      <c r="BB29" s="175">
        <f t="shared" ref="BB29" si="24">SUM(BB26:BB28)</f>
        <v>0</v>
      </c>
      <c r="BC29" s="30"/>
      <c r="BD29" s="30"/>
      <c r="BE29" s="30"/>
      <c r="BF29" s="30"/>
    </row>
    <row r="30" spans="1:58" ht="78.75" outlineLevel="2" x14ac:dyDescent="0.25">
      <c r="A30" s="115"/>
      <c r="B30" s="200"/>
      <c r="C30" s="201"/>
      <c r="D30" s="138"/>
      <c r="E30" s="277"/>
      <c r="F30" s="277"/>
      <c r="G30" s="278"/>
      <c r="H30" s="299" t="s">
        <v>305</v>
      </c>
      <c r="I30" s="130" t="s">
        <v>3</v>
      </c>
      <c r="J30" s="126">
        <v>3</v>
      </c>
      <c r="K30" s="126">
        <v>4</v>
      </c>
      <c r="L30" s="125">
        <f>IF(I30&lt;&gt;0,((VLOOKUP(I30,'1. Standard_Cost'!$B$4:$D$11,2)+VLOOKUP(I30,'1. Standard_Cost'!$B$4:$D$11,3))*J30*K30),"0")</f>
        <v>1209600</v>
      </c>
      <c r="M30" s="125">
        <f>L30*'1. Standard_Cost'!$F$4</f>
        <v>202003.20000000001</v>
      </c>
      <c r="N30" s="126"/>
      <c r="O30" s="126"/>
      <c r="P30" s="126"/>
      <c r="Q30" s="126"/>
      <c r="R30" s="127">
        <f>'1. Standard_Cost'!$B$15*N30*P30</f>
        <v>0</v>
      </c>
      <c r="S30" s="127">
        <f>N30*O30*P30*'1. Standard_Cost'!$C$15</f>
        <v>0</v>
      </c>
      <c r="T30" s="127">
        <f>N30*P30*Q30*'1. Standard_Cost'!$D$15</f>
        <v>0</v>
      </c>
      <c r="U30" s="127">
        <f>N30*O30*'1. Standard_Cost'!$E$15</f>
        <v>0</v>
      </c>
      <c r="V30" s="126"/>
      <c r="W30" s="126"/>
      <c r="X30" s="126"/>
      <c r="Y30" s="127">
        <f>+V30*((X30*'1. Standard_Cost'!$B$19)+(W30*X30*'1. Standard_Cost'!$C$19))</f>
        <v>0</v>
      </c>
      <c r="Z30" s="126"/>
      <c r="AA30" s="126"/>
      <c r="AB30" s="127">
        <f>+Z30*'1. Standard_Cost'!$B$23+AA30*'1. Standard_Cost'!$C$23</f>
        <v>0</v>
      </c>
      <c r="AC30" s="128"/>
      <c r="AD30" s="129"/>
      <c r="AE30" s="127">
        <f>SUM(AD30,AC30,AB30,Y30,U30,T30,S30,R30)*'1. Standard_Cost'!$B$31</f>
        <v>0</v>
      </c>
      <c r="AF30" s="127">
        <f t="shared" ref="AF30:AF36" si="25">SUM(AE30,AD30,AC30,AB30,Y30,U30,T30,S30,R30)</f>
        <v>0</v>
      </c>
      <c r="AG30" s="126"/>
      <c r="AH30" s="126"/>
      <c r="AI30" s="126"/>
      <c r="AJ30" s="130"/>
      <c r="AK30" s="130"/>
      <c r="AL30" s="130"/>
      <c r="AM30" s="127">
        <f>AG30*'1. Standard_Cost'!$B$27+'Incremental_Cost Year 1'!AH30*'1. Standard_Cost'!$C$27+'Incremental_Cost Year 1'!AI30*'1. Standard_Cost'!$D$27+'Incremental_Cost Year 1'!AJ30+'Incremental_Cost Year 1'!AL30+AK30</f>
        <v>0</v>
      </c>
      <c r="AN30" s="127">
        <f>AM30*'1. Standard_Cost'!$C$31</f>
        <v>0</v>
      </c>
      <c r="AO30" s="249"/>
      <c r="AQ30" s="171">
        <f t="shared" ref="AQ30:AQ36" si="26">L30+M30</f>
        <v>1411603.2</v>
      </c>
      <c r="AR30" s="171">
        <f t="shared" ref="AR30:AR36" si="27">AF30</f>
        <v>0</v>
      </c>
      <c r="AS30" s="171">
        <f t="shared" ref="AS30:AS36" si="28">AM30+AN30</f>
        <v>0</v>
      </c>
      <c r="AT30" s="171">
        <f t="shared" ref="AT30:AT36" si="29">SUM(AQ30,AR30,AS30)</f>
        <v>1411603.2</v>
      </c>
      <c r="AU30" s="250">
        <f>AT30</f>
        <v>1411603.2</v>
      </c>
      <c r="AV30" s="250"/>
      <c r="AW30" s="250"/>
      <c r="AX30" s="250"/>
      <c r="AY30" s="250"/>
      <c r="AZ30" s="250"/>
      <c r="BA30" s="250"/>
      <c r="BB30" s="251">
        <f t="shared" ref="BB30" si="30">SUM(AU30:BA30)-AT30</f>
        <v>0</v>
      </c>
      <c r="BC30" s="30"/>
      <c r="BD30" s="30"/>
      <c r="BE30" s="30"/>
      <c r="BF30" s="30"/>
    </row>
    <row r="31" spans="1:58" ht="78.75" outlineLevel="2" x14ac:dyDescent="0.25">
      <c r="A31" s="115"/>
      <c r="B31" s="200"/>
      <c r="C31" s="201"/>
      <c r="D31" s="135"/>
      <c r="E31" s="219"/>
      <c r="F31" s="219"/>
      <c r="G31" s="313"/>
      <c r="H31" s="213" t="s">
        <v>226</v>
      </c>
      <c r="I31" s="130" t="s">
        <v>5</v>
      </c>
      <c r="J31" s="126">
        <v>1</v>
      </c>
      <c r="K31" s="126">
        <v>420</v>
      </c>
      <c r="L31" s="125">
        <f>IF(I31&lt;&gt;0,((VLOOKUP(I31,'1. Standard_Cost'!$B$4:$D$11,2)+VLOOKUP(I31,'1. Standard_Cost'!$B$4:$D$11,3))*J31*K31),"0")</f>
        <v>29694000</v>
      </c>
      <c r="M31" s="125">
        <f>L31*'1. Standard_Cost'!$F$4</f>
        <v>4958898</v>
      </c>
      <c r="N31" s="126"/>
      <c r="O31" s="126"/>
      <c r="P31" s="126"/>
      <c r="Q31" s="126"/>
      <c r="R31" s="127">
        <f>'1. Standard_Cost'!$B$15*N31*P31</f>
        <v>0</v>
      </c>
      <c r="S31" s="127">
        <f>N31*O31*P31*'1. Standard_Cost'!$C$15</f>
        <v>0</v>
      </c>
      <c r="T31" s="127">
        <f>N31*P31*Q31*'1. Standard_Cost'!$D$15</f>
        <v>0</v>
      </c>
      <c r="U31" s="127">
        <f>N31*O31*'1. Standard_Cost'!$E$15</f>
        <v>0</v>
      </c>
      <c r="V31" s="126"/>
      <c r="W31" s="126"/>
      <c r="X31" s="126"/>
      <c r="Y31" s="127">
        <f>+V31*((X31*'1. Standard_Cost'!$B$19)+(W31*X31*'1. Standard_Cost'!$C$19))</f>
        <v>0</v>
      </c>
      <c r="Z31" s="126"/>
      <c r="AA31" s="126"/>
      <c r="AB31" s="127">
        <f>+Z31*'1. Standard_Cost'!$B$23+AA31*'1. Standard_Cost'!$C$23</f>
        <v>0</v>
      </c>
      <c r="AC31" s="128"/>
      <c r="AD31" s="129"/>
      <c r="AE31" s="127">
        <f>SUM(AD31,AC31,AB31,Y31,U31,T31,S31,R31)*'1. Standard_Cost'!$B$31</f>
        <v>0</v>
      </c>
      <c r="AF31" s="127">
        <f t="shared" si="25"/>
        <v>0</v>
      </c>
      <c r="AG31" s="126"/>
      <c r="AH31" s="126"/>
      <c r="AI31" s="126"/>
      <c r="AJ31" s="130"/>
      <c r="AK31" s="130"/>
      <c r="AL31" s="130"/>
      <c r="AM31" s="127">
        <f>AG31*'1. Standard_Cost'!$B$27+'Incremental_Cost Year 1'!AH31*'1. Standard_Cost'!$C$27+'Incremental_Cost Year 1'!AI31*'1. Standard_Cost'!$D$27+'Incremental_Cost Year 1'!AJ31+'Incremental_Cost Year 1'!AL31+AK31</f>
        <v>0</v>
      </c>
      <c r="AN31" s="127">
        <f>AM31*'1. Standard_Cost'!$C$31</f>
        <v>0</v>
      </c>
      <c r="AO31" s="249"/>
      <c r="AQ31" s="171">
        <f t="shared" si="26"/>
        <v>34652898</v>
      </c>
      <c r="AR31" s="171">
        <f t="shared" si="27"/>
        <v>0</v>
      </c>
      <c r="AS31" s="171">
        <f t="shared" si="28"/>
        <v>0</v>
      </c>
      <c r="AT31" s="171">
        <f t="shared" si="29"/>
        <v>34652898</v>
      </c>
      <c r="AU31" s="250">
        <f>AT31</f>
        <v>34652898</v>
      </c>
      <c r="AV31" s="250"/>
      <c r="AW31" s="250"/>
      <c r="AX31" s="250"/>
      <c r="AY31" s="250"/>
      <c r="AZ31" s="250"/>
      <c r="BA31" s="250"/>
      <c r="BB31" s="251">
        <f t="shared" ref="BB31:BB36" si="31">SUM(AU31:BA31)-AT31</f>
        <v>0</v>
      </c>
      <c r="BC31" s="30"/>
      <c r="BD31" s="30"/>
      <c r="BE31" s="30"/>
      <c r="BF31" s="30"/>
    </row>
    <row r="32" spans="1:58" ht="78.75" outlineLevel="2" x14ac:dyDescent="0.25">
      <c r="A32" s="115"/>
      <c r="B32" s="200"/>
      <c r="C32" s="201"/>
      <c r="D32" s="135"/>
      <c r="E32" s="219"/>
      <c r="F32" s="219"/>
      <c r="G32" s="313"/>
      <c r="H32" s="213" t="s">
        <v>306</v>
      </c>
      <c r="I32" s="130" t="s">
        <v>4</v>
      </c>
      <c r="J32" s="126">
        <v>1</v>
      </c>
      <c r="K32" s="126">
        <v>36</v>
      </c>
      <c r="L32" s="125">
        <f>IF(I32&lt;&gt;0,((VLOOKUP(I32,'1. Standard_Cost'!$B$4:$D$11,2)+VLOOKUP(I32,'1. Standard_Cost'!$B$4:$D$11,3))*J32*K32),"0")</f>
        <v>2907000</v>
      </c>
      <c r="M32" s="125">
        <f>L32*'1. Standard_Cost'!$F$4</f>
        <v>485469</v>
      </c>
      <c r="N32" s="126"/>
      <c r="O32" s="126"/>
      <c r="P32" s="126"/>
      <c r="Q32" s="126"/>
      <c r="R32" s="127">
        <f>'1. Standard_Cost'!$B$15*N32*P32</f>
        <v>0</v>
      </c>
      <c r="S32" s="127">
        <f>N32*O32*P32*'1. Standard_Cost'!$C$15</f>
        <v>0</v>
      </c>
      <c r="T32" s="127">
        <f>N32*P32*Q32*'1. Standard_Cost'!$D$15</f>
        <v>0</v>
      </c>
      <c r="U32" s="127">
        <f>N32*O32*'1. Standard_Cost'!$E$15</f>
        <v>0</v>
      </c>
      <c r="V32" s="126"/>
      <c r="W32" s="126"/>
      <c r="X32" s="126"/>
      <c r="Y32" s="127">
        <f>+V32*((X32*'1. Standard_Cost'!$B$19)+(W32*X32*'1. Standard_Cost'!$C$19))</f>
        <v>0</v>
      </c>
      <c r="Z32" s="126"/>
      <c r="AA32" s="126"/>
      <c r="AB32" s="127">
        <f>+Z32*'1. Standard_Cost'!$B$23+AA32*'1. Standard_Cost'!$C$23</f>
        <v>0</v>
      </c>
      <c r="AC32" s="128"/>
      <c r="AD32" s="129"/>
      <c r="AE32" s="127">
        <f>SUM(AD32,AC32,AB32,Y32,U32,T32,S32,R32)*'1. Standard_Cost'!$B$31</f>
        <v>0</v>
      </c>
      <c r="AF32" s="127">
        <f t="shared" si="25"/>
        <v>0</v>
      </c>
      <c r="AG32" s="126"/>
      <c r="AH32" s="126"/>
      <c r="AI32" s="126"/>
      <c r="AJ32" s="130"/>
      <c r="AK32" s="130"/>
      <c r="AL32" s="130"/>
      <c r="AM32" s="127">
        <f>AG32*'1. Standard_Cost'!$B$27+'Incremental_Cost Year 1'!AH32*'1. Standard_Cost'!$C$27+'Incremental_Cost Year 1'!AI32*'1. Standard_Cost'!$D$27+'Incremental_Cost Year 1'!AJ32+'Incremental_Cost Year 1'!AL32+AK32</f>
        <v>0</v>
      </c>
      <c r="AN32" s="127">
        <f>AM32*'1. Standard_Cost'!$C$31</f>
        <v>0</v>
      </c>
      <c r="AO32" s="249"/>
      <c r="AQ32" s="171">
        <f t="shared" si="26"/>
        <v>3392469</v>
      </c>
      <c r="AR32" s="171">
        <f t="shared" si="27"/>
        <v>0</v>
      </c>
      <c r="AS32" s="171">
        <f t="shared" si="28"/>
        <v>0</v>
      </c>
      <c r="AT32" s="171">
        <f t="shared" si="29"/>
        <v>3392469</v>
      </c>
      <c r="AU32" s="250">
        <f>AT32</f>
        <v>3392469</v>
      </c>
      <c r="AV32" s="250"/>
      <c r="AW32" s="250"/>
      <c r="AX32" s="250"/>
      <c r="AY32" s="250"/>
      <c r="AZ32" s="250"/>
      <c r="BA32" s="250"/>
      <c r="BB32" s="251">
        <f t="shared" si="31"/>
        <v>0</v>
      </c>
      <c r="BC32" s="30"/>
      <c r="BD32" s="30"/>
      <c r="BE32" s="30"/>
      <c r="BF32" s="30"/>
    </row>
    <row r="33" spans="1:58" ht="63" outlineLevel="2" x14ac:dyDescent="0.25">
      <c r="A33" s="115"/>
      <c r="B33" s="200"/>
      <c r="C33" s="201"/>
      <c r="D33" s="135"/>
      <c r="E33" s="219"/>
      <c r="F33" s="219"/>
      <c r="G33" s="313"/>
      <c r="H33" s="213" t="s">
        <v>389</v>
      </c>
      <c r="I33" s="130"/>
      <c r="J33" s="126"/>
      <c r="K33" s="126"/>
      <c r="L33" s="125" t="str">
        <f>IF(I33&lt;&gt;0,((VLOOKUP(I33,'1. Standard_Cost'!$B$4:$D$11,2)+VLOOKUP(I33,'1. Standard_Cost'!$B$4:$D$11,3))*J33*K33),"0")</f>
        <v>0</v>
      </c>
      <c r="M33" s="125">
        <f>L33*'1. Standard_Cost'!$F$4</f>
        <v>0</v>
      </c>
      <c r="N33" s="126"/>
      <c r="O33" s="126"/>
      <c r="P33" s="126"/>
      <c r="Q33" s="126"/>
      <c r="R33" s="127">
        <f>'1. Standard_Cost'!$B$15*N33*P33</f>
        <v>0</v>
      </c>
      <c r="S33" s="127">
        <f>N33*O33*P33*'1. Standard_Cost'!$C$15</f>
        <v>0</v>
      </c>
      <c r="T33" s="127">
        <f>N33*P33*Q33*'1. Standard_Cost'!$D$15</f>
        <v>0</v>
      </c>
      <c r="U33" s="127">
        <f>N33*O33*'1. Standard_Cost'!$E$15</f>
        <v>0</v>
      </c>
      <c r="V33" s="126"/>
      <c r="W33" s="126"/>
      <c r="X33" s="126"/>
      <c r="Y33" s="127">
        <f>+V33*((X33*'1. Standard_Cost'!$B$19)+(W33*X33*'1. Standard_Cost'!$C$19))</f>
        <v>0</v>
      </c>
      <c r="Z33" s="126"/>
      <c r="AA33" s="126"/>
      <c r="AB33" s="127">
        <f>+Z33*'1. Standard_Cost'!$B$23+AA33*'1. Standard_Cost'!$C$23</f>
        <v>0</v>
      </c>
      <c r="AC33" s="128"/>
      <c r="AD33" s="129"/>
      <c r="AE33" s="127">
        <f>SUM(AD33,AC33,AB33,Y33,U33,T33,S33,R33)*'1. Standard_Cost'!$B$31</f>
        <v>0</v>
      </c>
      <c r="AF33" s="127">
        <f t="shared" si="25"/>
        <v>0</v>
      </c>
      <c r="AG33" s="126"/>
      <c r="AH33" s="126"/>
      <c r="AI33" s="126"/>
      <c r="AJ33" s="130"/>
      <c r="AK33" s="130"/>
      <c r="AL33" s="130"/>
      <c r="AM33" s="127">
        <f>AG33*'1. Standard_Cost'!$B$27+'Incremental_Cost Year 1'!AH33*'1. Standard_Cost'!$C$27+'Incremental_Cost Year 1'!AI33*'1. Standard_Cost'!$D$27+'Incremental_Cost Year 1'!AJ33+'Incremental_Cost Year 1'!AL33+AK33</f>
        <v>0</v>
      </c>
      <c r="AN33" s="127">
        <f>AM33*'1. Standard_Cost'!$C$31</f>
        <v>0</v>
      </c>
      <c r="AO33" s="130"/>
      <c r="AQ33" s="171">
        <f t="shared" si="26"/>
        <v>0</v>
      </c>
      <c r="AR33" s="171">
        <f t="shared" si="27"/>
        <v>0</v>
      </c>
      <c r="AS33" s="171">
        <f t="shared" si="28"/>
        <v>0</v>
      </c>
      <c r="AT33" s="171">
        <f t="shared" si="29"/>
        <v>0</v>
      </c>
      <c r="AU33" s="250"/>
      <c r="AV33" s="250"/>
      <c r="AW33" s="250"/>
      <c r="AX33" s="250"/>
      <c r="AY33" s="250"/>
      <c r="AZ33" s="250"/>
      <c r="BA33" s="250"/>
      <c r="BB33" s="251">
        <f t="shared" si="31"/>
        <v>0</v>
      </c>
      <c r="BC33" s="30"/>
      <c r="BD33" s="30"/>
      <c r="BE33" s="30"/>
      <c r="BF33" s="30"/>
    </row>
    <row r="34" spans="1:58" ht="110.25" outlineLevel="2" x14ac:dyDescent="0.25">
      <c r="A34" s="115"/>
      <c r="B34" s="200"/>
      <c r="C34" s="201"/>
      <c r="D34" s="135"/>
      <c r="E34" s="219"/>
      <c r="F34" s="219"/>
      <c r="G34" s="313"/>
      <c r="H34" s="213" t="s">
        <v>390</v>
      </c>
      <c r="I34" s="130" t="s">
        <v>3</v>
      </c>
      <c r="J34" s="126">
        <v>3</v>
      </c>
      <c r="K34" s="126">
        <v>3</v>
      </c>
      <c r="L34" s="125">
        <f>IF(I34&lt;&gt;0,((VLOOKUP(I34,'1. Standard_Cost'!$B$4:$D$11,2)+VLOOKUP(I34,'1. Standard_Cost'!$B$4:$D$11,3))*J34*K34),"0")</f>
        <v>907200</v>
      </c>
      <c r="M34" s="125">
        <f>L34*'1. Standard_Cost'!$F$4</f>
        <v>151502.39999999999</v>
      </c>
      <c r="N34" s="126"/>
      <c r="O34" s="126"/>
      <c r="P34" s="126"/>
      <c r="Q34" s="126"/>
      <c r="R34" s="127">
        <f>'1. Standard_Cost'!$B$15*N34*P34</f>
        <v>0</v>
      </c>
      <c r="S34" s="127">
        <f>N34*O34*P34*'1. Standard_Cost'!$C$15</f>
        <v>0</v>
      </c>
      <c r="T34" s="127">
        <f>N34*P34*Q34*'1. Standard_Cost'!$D$15</f>
        <v>0</v>
      </c>
      <c r="U34" s="127">
        <f>N34*O34*'1. Standard_Cost'!$E$15</f>
        <v>0</v>
      </c>
      <c r="V34" s="126"/>
      <c r="W34" s="126"/>
      <c r="X34" s="126"/>
      <c r="Y34" s="127">
        <f>+V34*((X34*'1. Standard_Cost'!$B$19)+(W34*X34*'1. Standard_Cost'!$C$19))</f>
        <v>0</v>
      </c>
      <c r="Z34" s="126"/>
      <c r="AA34" s="126"/>
      <c r="AB34" s="127">
        <f>+Z34*'1. Standard_Cost'!$B$23+AA34*'1. Standard_Cost'!$C$23</f>
        <v>0</v>
      </c>
      <c r="AC34" s="128">
        <v>300000</v>
      </c>
      <c r="AD34" s="129"/>
      <c r="AE34" s="127">
        <f>SUM(AD34,AC34,AB34,Y34,U34,T34,S34,R34)*'1. Standard_Cost'!$B$31</f>
        <v>60000</v>
      </c>
      <c r="AF34" s="127">
        <f t="shared" si="25"/>
        <v>360000</v>
      </c>
      <c r="AG34" s="126"/>
      <c r="AH34" s="126"/>
      <c r="AI34" s="126"/>
      <c r="AJ34" s="130"/>
      <c r="AK34" s="130"/>
      <c r="AL34" s="130"/>
      <c r="AM34" s="127">
        <f>AG34*'1. Standard_Cost'!$B$27+'Incremental_Cost Year 1'!AH34*'1. Standard_Cost'!$C$27+'Incremental_Cost Year 1'!AI34*'1. Standard_Cost'!$D$27+'Incremental_Cost Year 1'!AJ34+'Incremental_Cost Year 1'!AL34+AK34</f>
        <v>0</v>
      </c>
      <c r="AN34" s="127">
        <f>AM34*'1. Standard_Cost'!$C$31</f>
        <v>0</v>
      </c>
      <c r="AO34" s="130"/>
      <c r="AQ34" s="171">
        <f t="shared" si="26"/>
        <v>1058702.3999999999</v>
      </c>
      <c r="AR34" s="171">
        <f t="shared" si="27"/>
        <v>360000</v>
      </c>
      <c r="AS34" s="171">
        <f t="shared" si="28"/>
        <v>0</v>
      </c>
      <c r="AT34" s="171">
        <f t="shared" si="29"/>
        <v>1418702.4</v>
      </c>
      <c r="AU34" s="250">
        <f>AT34</f>
        <v>1418702.4</v>
      </c>
      <c r="AV34" s="250"/>
      <c r="AW34" s="250"/>
      <c r="AX34" s="250"/>
      <c r="AY34" s="250"/>
      <c r="AZ34" s="250"/>
      <c r="BA34" s="250"/>
      <c r="BB34" s="251">
        <f t="shared" si="31"/>
        <v>0</v>
      </c>
      <c r="BC34" s="30"/>
      <c r="BD34" s="30"/>
      <c r="BE34" s="30"/>
      <c r="BF34" s="30"/>
    </row>
    <row r="35" spans="1:58" ht="78.75" outlineLevel="2" x14ac:dyDescent="0.25">
      <c r="A35" s="115"/>
      <c r="B35" s="200"/>
      <c r="C35" s="201"/>
      <c r="D35" s="135"/>
      <c r="E35" s="219"/>
      <c r="F35" s="219"/>
      <c r="G35" s="313"/>
      <c r="H35" s="213" t="s">
        <v>391</v>
      </c>
      <c r="I35" s="130" t="s">
        <v>5</v>
      </c>
      <c r="J35" s="126">
        <v>1</v>
      </c>
      <c r="K35" s="126">
        <v>420</v>
      </c>
      <c r="L35" s="125">
        <f>IF(I35&lt;&gt;0,((VLOOKUP(I35,'1. Standard_Cost'!$B$4:$D$11,2)+VLOOKUP(I35,'1. Standard_Cost'!$B$4:$D$11,3))*J35*K35),"0")</f>
        <v>29694000</v>
      </c>
      <c r="M35" s="125">
        <f>L35*'1. Standard_Cost'!$F$4</f>
        <v>4958898</v>
      </c>
      <c r="N35" s="126"/>
      <c r="O35" s="126"/>
      <c r="P35" s="126"/>
      <c r="Q35" s="126"/>
      <c r="R35" s="127">
        <f>'1. Standard_Cost'!$B$15*N35*P35</f>
        <v>0</v>
      </c>
      <c r="S35" s="127">
        <f>N35*O35*P35*'1. Standard_Cost'!$C$15</f>
        <v>0</v>
      </c>
      <c r="T35" s="127">
        <f>N35*P35*Q35*'1. Standard_Cost'!$D$15</f>
        <v>0</v>
      </c>
      <c r="U35" s="127">
        <f>N35*O35*'1. Standard_Cost'!$E$15</f>
        <v>0</v>
      </c>
      <c r="V35" s="126"/>
      <c r="W35" s="126"/>
      <c r="X35" s="126"/>
      <c r="Y35" s="127">
        <f>+V35*((X35*'1. Standard_Cost'!$B$19)+(W35*X35*'1. Standard_Cost'!$C$19))</f>
        <v>0</v>
      </c>
      <c r="Z35" s="126"/>
      <c r="AA35" s="126"/>
      <c r="AB35" s="127">
        <f>+Z35*'1. Standard_Cost'!$B$23+AA35*'1. Standard_Cost'!$C$23</f>
        <v>0</v>
      </c>
      <c r="AC35" s="128"/>
      <c r="AD35" s="129"/>
      <c r="AE35" s="127">
        <f>SUM(AD35,AC35,AB35,Y35,U35,T35,S35,R35)*'1. Standard_Cost'!$B$31</f>
        <v>0</v>
      </c>
      <c r="AF35" s="127">
        <f t="shared" si="25"/>
        <v>0</v>
      </c>
      <c r="AG35" s="126"/>
      <c r="AH35" s="126"/>
      <c r="AI35" s="126"/>
      <c r="AJ35" s="130"/>
      <c r="AK35" s="130"/>
      <c r="AL35" s="130"/>
      <c r="AM35" s="127">
        <f>AG35*'1. Standard_Cost'!$B$27+'Incremental_Cost Year 1'!AH35*'1. Standard_Cost'!$C$27+'Incremental_Cost Year 1'!AI35*'1. Standard_Cost'!$D$27+'Incremental_Cost Year 1'!AJ35+'Incremental_Cost Year 1'!AL35+AK35</f>
        <v>0</v>
      </c>
      <c r="AN35" s="127">
        <f>AM35*'1. Standard_Cost'!$C$31</f>
        <v>0</v>
      </c>
      <c r="AO35" s="130"/>
      <c r="AQ35" s="171">
        <f t="shared" si="26"/>
        <v>34652898</v>
      </c>
      <c r="AR35" s="171">
        <f t="shared" si="27"/>
        <v>0</v>
      </c>
      <c r="AS35" s="171">
        <f t="shared" si="28"/>
        <v>0</v>
      </c>
      <c r="AT35" s="171">
        <f t="shared" si="29"/>
        <v>34652898</v>
      </c>
      <c r="AU35" s="250">
        <f>AT35</f>
        <v>34652898</v>
      </c>
      <c r="AV35" s="250"/>
      <c r="AW35" s="250"/>
      <c r="AX35" s="250"/>
      <c r="AY35" s="250"/>
      <c r="AZ35" s="250"/>
      <c r="BA35" s="250"/>
      <c r="BB35" s="251">
        <f t="shared" si="31"/>
        <v>0</v>
      </c>
      <c r="BC35" s="30"/>
      <c r="BD35" s="30"/>
      <c r="BE35" s="30"/>
      <c r="BF35" s="30"/>
    </row>
    <row r="36" spans="1:58" ht="78.75" outlineLevel="2" x14ac:dyDescent="0.25">
      <c r="A36" s="115"/>
      <c r="B36" s="200"/>
      <c r="C36" s="201"/>
      <c r="D36" s="223"/>
      <c r="E36" s="122"/>
      <c r="F36" s="122"/>
      <c r="G36" s="123"/>
      <c r="H36" s="213" t="s">
        <v>392</v>
      </c>
      <c r="I36" s="130" t="s">
        <v>4</v>
      </c>
      <c r="J36" s="126">
        <v>1</v>
      </c>
      <c r="K36" s="126">
        <v>36</v>
      </c>
      <c r="L36" s="125">
        <f>IF(I36&lt;&gt;0,((VLOOKUP(I36,'1. Standard_Cost'!$B$4:$D$11,2)+VLOOKUP(I36,'1. Standard_Cost'!$B$4:$D$11,3))*J36*K36),"0")</f>
        <v>2907000</v>
      </c>
      <c r="M36" s="125">
        <f>L36*'1. Standard_Cost'!$F$4</f>
        <v>485469</v>
      </c>
      <c r="N36" s="126"/>
      <c r="O36" s="126"/>
      <c r="P36" s="126"/>
      <c r="Q36" s="126"/>
      <c r="R36" s="127">
        <f>'1. Standard_Cost'!$B$15*N36*P36</f>
        <v>0</v>
      </c>
      <c r="S36" s="127">
        <f>N36*O36*P36*'1. Standard_Cost'!$C$15</f>
        <v>0</v>
      </c>
      <c r="T36" s="127">
        <f>N36*P36*Q36*'1. Standard_Cost'!$D$15</f>
        <v>0</v>
      </c>
      <c r="U36" s="127">
        <f>N36*O36*'1. Standard_Cost'!$E$15</f>
        <v>0</v>
      </c>
      <c r="V36" s="126"/>
      <c r="W36" s="126"/>
      <c r="X36" s="126"/>
      <c r="Y36" s="127">
        <f>+V36*((X36*'1. Standard_Cost'!$B$19)+(W36*X36*'1. Standard_Cost'!$C$19))</f>
        <v>0</v>
      </c>
      <c r="Z36" s="126"/>
      <c r="AA36" s="126"/>
      <c r="AB36" s="127">
        <f>+Z36*'1. Standard_Cost'!$B$23+AA36*'1. Standard_Cost'!$C$23</f>
        <v>0</v>
      </c>
      <c r="AC36" s="128"/>
      <c r="AD36" s="129"/>
      <c r="AE36" s="127">
        <f>SUM(AD36,AC36,AB36,Y36,U36,T36,S36,R36)*'1. Standard_Cost'!$B$31</f>
        <v>0</v>
      </c>
      <c r="AF36" s="127">
        <f t="shared" si="25"/>
        <v>0</v>
      </c>
      <c r="AG36" s="126"/>
      <c r="AH36" s="126"/>
      <c r="AI36" s="126"/>
      <c r="AJ36" s="130"/>
      <c r="AK36" s="130"/>
      <c r="AL36" s="130"/>
      <c r="AM36" s="127">
        <f>AG36*'1. Standard_Cost'!$B$27+'Incremental_Cost Year 1'!AH36*'1. Standard_Cost'!$C$27+'Incremental_Cost Year 1'!AI36*'1. Standard_Cost'!$D$27+'Incremental_Cost Year 1'!AJ36+'Incremental_Cost Year 1'!AL36+AK36</f>
        <v>0</v>
      </c>
      <c r="AN36" s="127">
        <f>AM36*'1. Standard_Cost'!$C$31</f>
        <v>0</v>
      </c>
      <c r="AO36" s="130"/>
      <c r="AQ36" s="171">
        <f t="shared" si="26"/>
        <v>3392469</v>
      </c>
      <c r="AR36" s="171">
        <f t="shared" si="27"/>
        <v>0</v>
      </c>
      <c r="AS36" s="171">
        <f t="shared" si="28"/>
        <v>0</v>
      </c>
      <c r="AT36" s="171">
        <f t="shared" si="29"/>
        <v>3392469</v>
      </c>
      <c r="AU36" s="250">
        <f>AT36</f>
        <v>3392469</v>
      </c>
      <c r="AV36" s="250"/>
      <c r="AW36" s="250"/>
      <c r="AX36" s="250"/>
      <c r="AY36" s="250"/>
      <c r="AZ36" s="250"/>
      <c r="BA36" s="250"/>
      <c r="BB36" s="251">
        <f t="shared" si="31"/>
        <v>0</v>
      </c>
      <c r="BC36" s="30"/>
      <c r="BD36" s="30"/>
      <c r="BE36" s="30"/>
      <c r="BF36" s="30"/>
    </row>
    <row r="37" spans="1:58" ht="63" outlineLevel="1" x14ac:dyDescent="0.25">
      <c r="A37" s="115"/>
      <c r="B37" s="165"/>
      <c r="C37" s="166"/>
      <c r="D37" s="150" t="s">
        <v>384</v>
      </c>
      <c r="E37" s="139" t="s">
        <v>200</v>
      </c>
      <c r="F37" s="222">
        <v>2021</v>
      </c>
      <c r="G37" s="117">
        <v>2030</v>
      </c>
      <c r="H37" s="134" t="s">
        <v>201</v>
      </c>
      <c r="I37" s="252"/>
      <c r="J37" s="252"/>
      <c r="K37" s="252"/>
      <c r="L37" s="127">
        <f>SUM(L30:L36)</f>
        <v>67318800</v>
      </c>
      <c r="M37" s="127">
        <f>SUM(M30:M36)</f>
        <v>11242239.600000001</v>
      </c>
      <c r="N37" s="127"/>
      <c r="O37" s="252"/>
      <c r="P37" s="252"/>
      <c r="Q37" s="252"/>
      <c r="R37" s="127">
        <f>SUM(R30:R36)</f>
        <v>0</v>
      </c>
      <c r="S37" s="127">
        <f>SUM(S30:S36)</f>
        <v>0</v>
      </c>
      <c r="T37" s="127">
        <f>SUM(T30:T36)</f>
        <v>0</v>
      </c>
      <c r="U37" s="127">
        <f>SUM(U30:U36)</f>
        <v>0</v>
      </c>
      <c r="V37" s="252"/>
      <c r="W37" s="252"/>
      <c r="X37" s="252"/>
      <c r="Y37" s="127">
        <f>SUM(Y30:Y36)</f>
        <v>0</v>
      </c>
      <c r="Z37" s="252"/>
      <c r="AA37" s="252"/>
      <c r="AB37" s="127">
        <f>SUM(AB30:AB36)</f>
        <v>0</v>
      </c>
      <c r="AC37" s="127">
        <f>SUM(AC30:AC36)</f>
        <v>300000</v>
      </c>
      <c r="AD37" s="127">
        <f>SUM(AD30:AD36)</f>
        <v>0</v>
      </c>
      <c r="AE37" s="127">
        <f>SUM(AE30:AE36)</f>
        <v>60000</v>
      </c>
      <c r="AF37" s="127">
        <f>SUM(AF30:AF36)</f>
        <v>360000</v>
      </c>
      <c r="AG37" s="252"/>
      <c r="AH37" s="252"/>
      <c r="AI37" s="252"/>
      <c r="AJ37" s="127">
        <f>SUM(AJ30:AJ36)</f>
        <v>0</v>
      </c>
      <c r="AK37" s="127">
        <f>SUM(AK30:AK36)</f>
        <v>0</v>
      </c>
      <c r="AL37" s="127">
        <f>SUM(AL30:AL36)</f>
        <v>0</v>
      </c>
      <c r="AM37" s="127">
        <f>SUM(AM30:AM36)</f>
        <v>0</v>
      </c>
      <c r="AN37" s="127">
        <f>SUM(AN30:AN36)</f>
        <v>0</v>
      </c>
      <c r="AO37" s="253"/>
      <c r="AP37" s="254"/>
      <c r="AQ37" s="175">
        <f>SUM(AQ30:AQ36)</f>
        <v>78561039.599999994</v>
      </c>
      <c r="AR37" s="175">
        <f>SUM(AR30:AR36)</f>
        <v>360000</v>
      </c>
      <c r="AS37" s="175">
        <f>SUM(AS30:AS36)</f>
        <v>0</v>
      </c>
      <c r="AT37" s="175">
        <f>SUM(AT30:AT36)</f>
        <v>78921039.599999994</v>
      </c>
      <c r="AU37" s="175">
        <f t="shared" ref="AU37:BA37" si="32">SUM(AU30:AU36)</f>
        <v>78921039.599999994</v>
      </c>
      <c r="AV37" s="175">
        <f t="shared" si="32"/>
        <v>0</v>
      </c>
      <c r="AW37" s="175">
        <f t="shared" si="32"/>
        <v>0</v>
      </c>
      <c r="AX37" s="175">
        <f t="shared" si="32"/>
        <v>0</v>
      </c>
      <c r="AY37" s="175">
        <f t="shared" si="32"/>
        <v>0</v>
      </c>
      <c r="AZ37" s="175">
        <f t="shared" si="32"/>
        <v>0</v>
      </c>
      <c r="BA37" s="175">
        <f t="shared" si="32"/>
        <v>0</v>
      </c>
      <c r="BB37" s="175">
        <f t="shared" ref="BB37" si="33">SUM(BB30:BB36)</f>
        <v>0</v>
      </c>
      <c r="BC37" s="30"/>
      <c r="BD37" s="30"/>
      <c r="BE37" s="30"/>
      <c r="BF37" s="30"/>
    </row>
    <row r="38" spans="1:58" ht="63" outlineLevel="2" x14ac:dyDescent="0.25">
      <c r="A38" s="115"/>
      <c r="B38" s="165"/>
      <c r="C38" s="166"/>
      <c r="D38" s="378"/>
      <c r="E38" s="117"/>
      <c r="F38" s="379">
        <v>2021</v>
      </c>
      <c r="G38" s="379">
        <v>2023</v>
      </c>
      <c r="H38" s="199" t="s">
        <v>394</v>
      </c>
      <c r="I38" s="130"/>
      <c r="J38" s="126"/>
      <c r="K38" s="126"/>
      <c r="L38" s="125" t="str">
        <f>IF(I38&lt;&gt;0,((VLOOKUP(I38,'1. Standard_Cost'!$B$4:$D$11,2)+VLOOKUP(I38,'1. Standard_Cost'!$B$4:$D$11,3))*J38*K38),"0")</f>
        <v>0</v>
      </c>
      <c r="M38" s="125">
        <f>L38*'1. Standard_Cost'!$F$4</f>
        <v>0</v>
      </c>
      <c r="N38" s="126"/>
      <c r="O38" s="126"/>
      <c r="P38" s="126"/>
      <c r="Q38" s="126"/>
      <c r="R38" s="127">
        <f>'1. Standard_Cost'!$B$15*N38*P38</f>
        <v>0</v>
      </c>
      <c r="S38" s="127">
        <f>N38*O38*P38*'1. Standard_Cost'!$C$15</f>
        <v>0</v>
      </c>
      <c r="T38" s="127">
        <f>N38*P38*Q38*'1. Standard_Cost'!$D$15</f>
        <v>0</v>
      </c>
      <c r="U38" s="127">
        <f>N38*O38*'1. Standard_Cost'!$E$15</f>
        <v>0</v>
      </c>
      <c r="V38" s="126"/>
      <c r="W38" s="126"/>
      <c r="X38" s="126"/>
      <c r="Y38" s="127">
        <f>+V38*((X38*'1. Standard_Cost'!$B$19)+(W38*X38*'1. Standard_Cost'!$C$19))</f>
        <v>0</v>
      </c>
      <c r="Z38" s="126"/>
      <c r="AA38" s="126"/>
      <c r="AB38" s="127">
        <f>+Z38*'1. Standard_Cost'!$B$23+AA38*'1. Standard_Cost'!$C$23</f>
        <v>0</v>
      </c>
      <c r="AC38" s="128"/>
      <c r="AD38" s="129"/>
      <c r="AE38" s="127">
        <f>SUM(AD38,AC38,AB38,Y38,U38,T38,S38,R38)*'1. Standard_Cost'!$B$31</f>
        <v>0</v>
      </c>
      <c r="AF38" s="127">
        <f>SUM(AE38,AD38,AC38,AB38,Y38,U38,T38,S38,R38)</f>
        <v>0</v>
      </c>
      <c r="AG38" s="126"/>
      <c r="AH38" s="126"/>
      <c r="AI38" s="126"/>
      <c r="AJ38" s="130"/>
      <c r="AK38" s="130"/>
      <c r="AL38" s="130"/>
      <c r="AM38" s="127">
        <f>AG38*'1. Standard_Cost'!$B$27+'Incremental_Cost Year 1'!AH38*'1. Standard_Cost'!$C$27+'Incremental_Cost Year 1'!AI38*'1. Standard_Cost'!$D$27+'Incremental_Cost Year 1'!AJ38+'Incremental_Cost Year 1'!AL38+AK38</f>
        <v>0</v>
      </c>
      <c r="AN38" s="127">
        <f>AM38*'1. Standard_Cost'!$C$31</f>
        <v>0</v>
      </c>
      <c r="AO38" s="249"/>
      <c r="AQ38" s="171">
        <f>L38+M38</f>
        <v>0</v>
      </c>
      <c r="AR38" s="171">
        <f>AF38</f>
        <v>0</v>
      </c>
      <c r="AS38" s="171">
        <f>AM38+AN38</f>
        <v>0</v>
      </c>
      <c r="AT38" s="171">
        <f>SUM(AQ38,AR38,AS38)</f>
        <v>0</v>
      </c>
      <c r="AU38" s="250"/>
      <c r="AV38" s="250"/>
      <c r="AW38" s="250"/>
      <c r="AX38" s="250"/>
      <c r="AY38" s="250"/>
      <c r="AZ38" s="250"/>
      <c r="BA38" s="250"/>
      <c r="BB38" s="251">
        <f t="shared" ref="BB38" si="34">SUM(AU38:BA38)-AT38</f>
        <v>0</v>
      </c>
      <c r="BC38" s="30"/>
      <c r="BD38" s="30"/>
      <c r="BE38" s="30"/>
      <c r="BF38" s="30"/>
    </row>
    <row r="39" spans="1:58" ht="31.5" outlineLevel="1" x14ac:dyDescent="0.25">
      <c r="A39" s="115"/>
      <c r="B39" s="200"/>
      <c r="C39" s="201"/>
      <c r="D39" s="349" t="s">
        <v>388</v>
      </c>
      <c r="E39" s="133" t="s">
        <v>202</v>
      </c>
      <c r="F39" s="122">
        <v>2021</v>
      </c>
      <c r="G39" s="223">
        <v>2030</v>
      </c>
      <c r="H39" s="134" t="s">
        <v>203</v>
      </c>
      <c r="I39" s="252"/>
      <c r="J39" s="252"/>
      <c r="K39" s="252"/>
      <c r="L39" s="127">
        <f>SUM(L38:L38)</f>
        <v>0</v>
      </c>
      <c r="M39" s="127">
        <f>SUM(M38:M38)</f>
        <v>0</v>
      </c>
      <c r="N39" s="127"/>
      <c r="O39" s="252"/>
      <c r="P39" s="252"/>
      <c r="Q39" s="252"/>
      <c r="R39" s="127">
        <f>SUM(R38:R38)</f>
        <v>0</v>
      </c>
      <c r="S39" s="127">
        <f>SUM(S38:S38)</f>
        <v>0</v>
      </c>
      <c r="T39" s="127">
        <f>SUM(T38:T38)</f>
        <v>0</v>
      </c>
      <c r="U39" s="127">
        <f>SUM(U38:U38)</f>
        <v>0</v>
      </c>
      <c r="V39" s="252"/>
      <c r="W39" s="252"/>
      <c r="X39" s="252"/>
      <c r="Y39" s="127">
        <f>SUM(Y38:Y38)</f>
        <v>0</v>
      </c>
      <c r="Z39" s="252"/>
      <c r="AA39" s="252"/>
      <c r="AB39" s="127">
        <f>SUM(AB38:AB38)</f>
        <v>0</v>
      </c>
      <c r="AC39" s="127">
        <f>SUM(AC38:AC38)</f>
        <v>0</v>
      </c>
      <c r="AD39" s="127">
        <f>SUM(AD38:AD38)</f>
        <v>0</v>
      </c>
      <c r="AE39" s="127">
        <f>SUM(AE38:AE38)</f>
        <v>0</v>
      </c>
      <c r="AF39" s="127">
        <f>SUM(AF38:AF38)</f>
        <v>0</v>
      </c>
      <c r="AG39" s="252"/>
      <c r="AH39" s="252"/>
      <c r="AI39" s="252"/>
      <c r="AJ39" s="127">
        <f>SUM(AJ38:AJ38)</f>
        <v>0</v>
      </c>
      <c r="AK39" s="127">
        <f>SUM(AK38:AK38)</f>
        <v>0</v>
      </c>
      <c r="AL39" s="127">
        <f>SUM(AL38:AL38)</f>
        <v>0</v>
      </c>
      <c r="AM39" s="127">
        <f>SUM(AM38:AM38)</f>
        <v>0</v>
      </c>
      <c r="AN39" s="127">
        <f>SUM(AN38:AN38)</f>
        <v>0</v>
      </c>
      <c r="AO39" s="253"/>
      <c r="AP39" s="254"/>
      <c r="AQ39" s="175">
        <f>SUM(AQ38:AQ38)</f>
        <v>0</v>
      </c>
      <c r="AR39" s="175">
        <f>SUM(AR38:AR38)</f>
        <v>0</v>
      </c>
      <c r="AS39" s="175">
        <f>SUM(AS38:AS38)</f>
        <v>0</v>
      </c>
      <c r="AT39" s="175">
        <f>SUM(AT38:AT38)</f>
        <v>0</v>
      </c>
      <c r="AU39" s="175">
        <f t="shared" ref="AU39:BA39" si="35">SUM(AU38:AU38)</f>
        <v>0</v>
      </c>
      <c r="AV39" s="175">
        <f t="shared" si="35"/>
        <v>0</v>
      </c>
      <c r="AW39" s="175">
        <f t="shared" si="35"/>
        <v>0</v>
      </c>
      <c r="AX39" s="175">
        <f t="shared" si="35"/>
        <v>0</v>
      </c>
      <c r="AY39" s="175">
        <f t="shared" si="35"/>
        <v>0</v>
      </c>
      <c r="AZ39" s="175">
        <f t="shared" si="35"/>
        <v>0</v>
      </c>
      <c r="BA39" s="175">
        <f t="shared" si="35"/>
        <v>0</v>
      </c>
      <c r="BB39" s="175">
        <f t="shared" ref="BB39" si="36">SUM(BB38:BB38)</f>
        <v>0</v>
      </c>
      <c r="BC39" s="30"/>
      <c r="BD39" s="30"/>
      <c r="BE39" s="30"/>
      <c r="BF39" s="30"/>
    </row>
    <row r="40" spans="1:58" s="32" customFormat="1" ht="36.6" customHeight="1" x14ac:dyDescent="0.25">
      <c r="A40" s="120"/>
      <c r="B40" s="285"/>
      <c r="C40" s="391" t="s">
        <v>204</v>
      </c>
      <c r="D40" s="391"/>
      <c r="E40" s="392"/>
      <c r="F40" s="282"/>
      <c r="G40" s="281"/>
      <c r="H40" s="114" t="s">
        <v>207</v>
      </c>
      <c r="I40" s="246"/>
      <c r="J40" s="246"/>
      <c r="K40" s="246"/>
      <c r="L40" s="247">
        <f>SUM(L44)</f>
        <v>252000</v>
      </c>
      <c r="M40" s="247">
        <f>SUM(M44)</f>
        <v>42084</v>
      </c>
      <c r="N40" s="247"/>
      <c r="O40" s="247"/>
      <c r="P40" s="247"/>
      <c r="Q40" s="247"/>
      <c r="R40" s="247">
        <f>SUM(R44)</f>
        <v>0</v>
      </c>
      <c r="S40" s="247">
        <f>SUM(S44)</f>
        <v>0</v>
      </c>
      <c r="T40" s="247">
        <f>SUM(T44)</f>
        <v>0</v>
      </c>
      <c r="U40" s="247">
        <f>SUM(U44)</f>
        <v>0</v>
      </c>
      <c r="V40" s="247"/>
      <c r="W40" s="247"/>
      <c r="X40" s="247"/>
      <c r="Y40" s="247">
        <f>SUM(Y44)</f>
        <v>0</v>
      </c>
      <c r="Z40" s="247">
        <f t="shared" ref="Z40:AA40" si="37">SUM(Z44)</f>
        <v>0</v>
      </c>
      <c r="AA40" s="247">
        <f t="shared" si="37"/>
        <v>0</v>
      </c>
      <c r="AB40" s="247">
        <f t="shared" ref="AB40:AF40" si="38">SUM(AB44)</f>
        <v>0</v>
      </c>
      <c r="AC40" s="247">
        <f t="shared" si="38"/>
        <v>7000000</v>
      </c>
      <c r="AD40" s="247">
        <f t="shared" si="38"/>
        <v>0</v>
      </c>
      <c r="AE40" s="247">
        <f t="shared" si="38"/>
        <v>1060000</v>
      </c>
      <c r="AF40" s="247">
        <f t="shared" si="38"/>
        <v>8060000</v>
      </c>
      <c r="AG40" s="247"/>
      <c r="AH40" s="247"/>
      <c r="AI40" s="247"/>
      <c r="AJ40" s="247">
        <f>SUM(AJ44)</f>
        <v>0</v>
      </c>
      <c r="AK40" s="247">
        <f>SUM(AK44)</f>
        <v>0</v>
      </c>
      <c r="AL40" s="247">
        <f>SUM(AL44)</f>
        <v>0</v>
      </c>
      <c r="AM40" s="247">
        <f>SUM(AM44)</f>
        <v>0</v>
      </c>
      <c r="AN40" s="247">
        <f>SUM(AN44)</f>
        <v>0</v>
      </c>
      <c r="AO40" s="247"/>
      <c r="AP40" s="244"/>
      <c r="AQ40" s="248">
        <f>SUM(AQ44)</f>
        <v>294084</v>
      </c>
      <c r="AR40" s="248">
        <f>SUM(AR44)</f>
        <v>8060000</v>
      </c>
      <c r="AS40" s="248">
        <f>SUM(AS44)</f>
        <v>0</v>
      </c>
      <c r="AT40" s="248">
        <f>SUM(AT44)</f>
        <v>8354084</v>
      </c>
      <c r="AU40" s="248">
        <f t="shared" ref="AU40:BA40" si="39">SUM(AU44)</f>
        <v>294084</v>
      </c>
      <c r="AV40" s="248">
        <f t="shared" si="39"/>
        <v>0</v>
      </c>
      <c r="AW40" s="248">
        <f t="shared" si="39"/>
        <v>6360000</v>
      </c>
      <c r="AX40" s="248">
        <f t="shared" si="39"/>
        <v>0</v>
      </c>
      <c r="AY40" s="248">
        <f t="shared" si="39"/>
        <v>0</v>
      </c>
      <c r="AZ40" s="248">
        <f t="shared" si="39"/>
        <v>1700000</v>
      </c>
      <c r="BA40" s="248">
        <f t="shared" si="39"/>
        <v>0</v>
      </c>
      <c r="BB40" s="248">
        <f t="shared" ref="BB40" si="40">SUM(BB44)</f>
        <v>0</v>
      </c>
    </row>
    <row r="41" spans="1:58" ht="78.75" outlineLevel="2" x14ac:dyDescent="0.25">
      <c r="A41" s="115"/>
      <c r="B41" s="200"/>
      <c r="C41" s="201"/>
      <c r="D41" s="138"/>
      <c r="E41" s="277"/>
      <c r="F41" s="277"/>
      <c r="G41" s="278"/>
      <c r="H41" s="213" t="s">
        <v>395</v>
      </c>
      <c r="I41" s="130" t="s">
        <v>3</v>
      </c>
      <c r="J41" s="126">
        <v>0.5</v>
      </c>
      <c r="K41" s="126">
        <v>5</v>
      </c>
      <c r="L41" s="125">
        <f>IF(I41&lt;&gt;0,((VLOOKUP(I41,'1. Standard_Cost'!$B$4:$D$11,2)+VLOOKUP(I41,'1. Standard_Cost'!$B$4:$D$11,3))*J41*K41),"0")</f>
        <v>252000</v>
      </c>
      <c r="M41" s="125">
        <f>L41*'1. Standard_Cost'!$F$4</f>
        <v>42084</v>
      </c>
      <c r="N41" s="126"/>
      <c r="O41" s="126"/>
      <c r="P41" s="126"/>
      <c r="Q41" s="126"/>
      <c r="R41" s="127">
        <f>'1. Standard_Cost'!$B$15*N41*P41</f>
        <v>0</v>
      </c>
      <c r="S41" s="127">
        <f>N41*O41*P41*'1. Standard_Cost'!$C$15</f>
        <v>0</v>
      </c>
      <c r="T41" s="127">
        <f>N41*P41*Q41*'1. Standard_Cost'!$D$15</f>
        <v>0</v>
      </c>
      <c r="U41" s="127">
        <f>N41*O41*'1. Standard_Cost'!$E$15</f>
        <v>0</v>
      </c>
      <c r="V41" s="126"/>
      <c r="W41" s="126"/>
      <c r="X41" s="126"/>
      <c r="Y41" s="127">
        <f>+V41*((X41*'1. Standard_Cost'!$B$19)+(W41*X41*'1. Standard_Cost'!$C$19))</f>
        <v>0</v>
      </c>
      <c r="Z41" s="126"/>
      <c r="AA41" s="126"/>
      <c r="AB41" s="127">
        <f>+Z41*'1. Standard_Cost'!$B$23+AA41*'1. Standard_Cost'!$C$23</f>
        <v>0</v>
      </c>
      <c r="AC41" s="128">
        <v>1700000</v>
      </c>
      <c r="AD41" s="129"/>
      <c r="AE41" s="127"/>
      <c r="AF41" s="127">
        <f>SUM(AE41,AD41,AC41,AB41,Y41,U41,T41,S41,R41)</f>
        <v>1700000</v>
      </c>
      <c r="AG41" s="126"/>
      <c r="AH41" s="126"/>
      <c r="AI41" s="126"/>
      <c r="AJ41" s="130"/>
      <c r="AK41" s="130"/>
      <c r="AL41" s="130"/>
      <c r="AM41" s="127">
        <f>AG41*'1. Standard_Cost'!$B$27+'Incremental_Cost Year 1'!AH41*'1. Standard_Cost'!$C$27+'Incremental_Cost Year 1'!AI41*'1. Standard_Cost'!$D$27+'Incremental_Cost Year 1'!AJ41+'Incremental_Cost Year 1'!AL41+AK41</f>
        <v>0</v>
      </c>
      <c r="AN41" s="127">
        <f>AM41*'1. Standard_Cost'!$C$31</f>
        <v>0</v>
      </c>
      <c r="AO41" s="249"/>
      <c r="AQ41" s="171">
        <f>L41+M41</f>
        <v>294084</v>
      </c>
      <c r="AR41" s="171">
        <f>AF41</f>
        <v>1700000</v>
      </c>
      <c r="AS41" s="171">
        <f>AM41+AN41</f>
        <v>0</v>
      </c>
      <c r="AT41" s="171">
        <f>SUM(AQ41,AR41,AS41)</f>
        <v>1994084</v>
      </c>
      <c r="AU41" s="250">
        <f>AQ41</f>
        <v>294084</v>
      </c>
      <c r="AV41" s="250"/>
      <c r="AW41" s="250"/>
      <c r="AX41" s="250"/>
      <c r="AY41" s="250"/>
      <c r="AZ41" s="250">
        <v>1700000</v>
      </c>
      <c r="BA41" s="250"/>
      <c r="BB41" s="251">
        <f t="shared" ref="BB41:BB43" si="41">SUM(AU41:BA41)-AT41</f>
        <v>0</v>
      </c>
      <c r="BC41" s="30"/>
      <c r="BD41" s="30"/>
      <c r="BE41" s="30"/>
      <c r="BF41" s="30"/>
    </row>
    <row r="42" spans="1:58" ht="157.5" outlineLevel="2" x14ac:dyDescent="0.25">
      <c r="A42" s="115"/>
      <c r="B42" s="200"/>
      <c r="C42" s="201"/>
      <c r="D42" s="135"/>
      <c r="E42" s="219"/>
      <c r="F42" s="219"/>
      <c r="G42" s="313"/>
      <c r="H42" s="213" t="s">
        <v>538</v>
      </c>
      <c r="I42" s="130"/>
      <c r="J42" s="126"/>
      <c r="K42" s="126"/>
      <c r="L42" s="125" t="str">
        <f>IF(I42&lt;&gt;0,((VLOOKUP(I42,'1. Standard_Cost'!$B$4:$D$11,2)+VLOOKUP(I42,'1. Standard_Cost'!$B$4:$D$11,3))*J42*K42),"0")</f>
        <v>0</v>
      </c>
      <c r="M42" s="125">
        <f>L42*'1. Standard_Cost'!$F$4</f>
        <v>0</v>
      </c>
      <c r="N42" s="126"/>
      <c r="O42" s="126"/>
      <c r="P42" s="126"/>
      <c r="Q42" s="126"/>
      <c r="R42" s="127">
        <f>'1. Standard_Cost'!$B$15*N42*P42</f>
        <v>0</v>
      </c>
      <c r="S42" s="127">
        <f>N42*O42*P42*'1. Standard_Cost'!$C$15</f>
        <v>0</v>
      </c>
      <c r="T42" s="127">
        <f>N42*P42*Q42*'1. Standard_Cost'!$D$15</f>
        <v>0</v>
      </c>
      <c r="U42" s="127">
        <f>N42*O42*'1. Standard_Cost'!$E$15</f>
        <v>0</v>
      </c>
      <c r="V42" s="126"/>
      <c r="W42" s="126"/>
      <c r="X42" s="126"/>
      <c r="Y42" s="127">
        <f>+V42*((X42*'1. Standard_Cost'!$B$19)+(W42*X42*'1. Standard_Cost'!$C$19))</f>
        <v>0</v>
      </c>
      <c r="Z42" s="126"/>
      <c r="AA42" s="126"/>
      <c r="AB42" s="127">
        <f>+Z42*'1. Standard_Cost'!$B$23+AA42*'1. Standard_Cost'!$C$23</f>
        <v>0</v>
      </c>
      <c r="AC42" s="128">
        <v>5300000</v>
      </c>
      <c r="AD42" s="129"/>
      <c r="AE42" s="127">
        <f>SUM(AD42,AC42,AB42,Y42,U42,T42,S42,R42)*'1. Standard_Cost'!$B$31</f>
        <v>1060000</v>
      </c>
      <c r="AF42" s="127">
        <f>SUM(AE42,AD42,AC42,AB42,Y42,U42,T42,S42,R42)</f>
        <v>6360000</v>
      </c>
      <c r="AG42" s="126"/>
      <c r="AH42" s="126"/>
      <c r="AI42" s="126"/>
      <c r="AJ42" s="130"/>
      <c r="AK42" s="130"/>
      <c r="AL42" s="130"/>
      <c r="AM42" s="127">
        <f>AG42*'1. Standard_Cost'!$B$27+'Incremental_Cost Year 1'!AH42*'1. Standard_Cost'!$C$27+'Incremental_Cost Year 1'!AI42*'1. Standard_Cost'!$D$27+'Incremental_Cost Year 1'!AJ42+'Incremental_Cost Year 1'!AL42+AK42</f>
        <v>0</v>
      </c>
      <c r="AN42" s="127">
        <f>AM42*'1. Standard_Cost'!$C$31</f>
        <v>0</v>
      </c>
      <c r="AO42" s="130"/>
      <c r="AQ42" s="171">
        <f>L42+M42</f>
        <v>0</v>
      </c>
      <c r="AR42" s="171">
        <f>AF42</f>
        <v>6360000</v>
      </c>
      <c r="AS42" s="171">
        <f>AM42+AN42</f>
        <v>0</v>
      </c>
      <c r="AT42" s="171">
        <f>SUM(AQ42,AR42,AS42)</f>
        <v>6360000</v>
      </c>
      <c r="AU42" s="250"/>
      <c r="AV42" s="250"/>
      <c r="AW42" s="250">
        <v>6360000</v>
      </c>
      <c r="AX42" s="250"/>
      <c r="AY42" s="250"/>
      <c r="AZ42" s="250"/>
      <c r="BA42" s="250"/>
      <c r="BB42" s="251">
        <f t="shared" si="41"/>
        <v>0</v>
      </c>
      <c r="BC42" s="30"/>
      <c r="BD42" s="30"/>
      <c r="BE42" s="30"/>
      <c r="BF42" s="30"/>
    </row>
    <row r="43" spans="1:58" ht="47.25" outlineLevel="2" x14ac:dyDescent="0.25">
      <c r="A43" s="115"/>
      <c r="B43" s="200"/>
      <c r="C43" s="201"/>
      <c r="D43" s="223"/>
      <c r="E43" s="219"/>
      <c r="F43" s="219"/>
      <c r="G43" s="313"/>
      <c r="H43" s="199" t="s">
        <v>223</v>
      </c>
      <c r="I43" s="130"/>
      <c r="J43" s="126"/>
      <c r="K43" s="126"/>
      <c r="L43" s="125" t="str">
        <f>IF(I43&lt;&gt;0,((VLOOKUP(I43,'1. Standard_Cost'!$B$4:$D$11,2)+VLOOKUP(I43,'1. Standard_Cost'!$B$4:$D$11,3))*J43*K43),"0")</f>
        <v>0</v>
      </c>
      <c r="M43" s="125">
        <f>L43*'1. Standard_Cost'!$F$4</f>
        <v>0</v>
      </c>
      <c r="N43" s="126"/>
      <c r="O43" s="126"/>
      <c r="P43" s="126"/>
      <c r="Q43" s="126"/>
      <c r="R43" s="127">
        <f>'1. Standard_Cost'!$B$15*N43*P43</f>
        <v>0</v>
      </c>
      <c r="S43" s="127">
        <f>N43*O43*P43*'1. Standard_Cost'!$C$15</f>
        <v>0</v>
      </c>
      <c r="T43" s="127">
        <f>N43*P43*Q43*'1. Standard_Cost'!$D$15</f>
        <v>0</v>
      </c>
      <c r="U43" s="127">
        <f>N43*O43*'1. Standard_Cost'!$E$15</f>
        <v>0</v>
      </c>
      <c r="V43" s="126"/>
      <c r="W43" s="126"/>
      <c r="X43" s="126"/>
      <c r="Y43" s="127">
        <f>+V43*((X43*'1. Standard_Cost'!$B$19)+(W43*X43*'1. Standard_Cost'!$C$19))</f>
        <v>0</v>
      </c>
      <c r="Z43" s="126"/>
      <c r="AA43" s="126"/>
      <c r="AB43" s="127">
        <f>+Z43*'1. Standard_Cost'!$B$23+AA43*'1. Standard_Cost'!$C$23</f>
        <v>0</v>
      </c>
      <c r="AC43" s="128"/>
      <c r="AD43" s="129"/>
      <c r="AE43" s="127">
        <f>SUM(AD43,AC43,AB43,Y43,U43,T43,S43,R43)*'1. Standard_Cost'!$B$31</f>
        <v>0</v>
      </c>
      <c r="AF43" s="127">
        <f>SUM(AE43,AD43,AC43,AB43,Y43,U43,T43,S43,R43)</f>
        <v>0</v>
      </c>
      <c r="AG43" s="126"/>
      <c r="AH43" s="126"/>
      <c r="AI43" s="126"/>
      <c r="AJ43" s="130"/>
      <c r="AK43" s="130"/>
      <c r="AL43" s="130"/>
      <c r="AM43" s="127">
        <f>AG43*'1. Standard_Cost'!$B$27+'Incremental_Cost Year 1'!AH43*'1. Standard_Cost'!$C$27+'Incremental_Cost Year 1'!AI43*'1. Standard_Cost'!$D$27+'Incremental_Cost Year 1'!AJ43+'Incremental_Cost Year 1'!AL43+AK43</f>
        <v>0</v>
      </c>
      <c r="AN43" s="127">
        <f>AM43*'1. Standard_Cost'!$C$31</f>
        <v>0</v>
      </c>
      <c r="AO43" s="130"/>
      <c r="AQ43" s="171">
        <f>L43+M43</f>
        <v>0</v>
      </c>
      <c r="AR43" s="171">
        <f>AF43</f>
        <v>0</v>
      </c>
      <c r="AS43" s="171">
        <f>AM43+AN43</f>
        <v>0</v>
      </c>
      <c r="AT43" s="171">
        <f>SUM(AQ43,AR43,AS43)</f>
        <v>0</v>
      </c>
      <c r="AU43" s="250"/>
      <c r="AV43" s="250"/>
      <c r="AW43" s="250"/>
      <c r="AX43" s="250"/>
      <c r="AY43" s="250"/>
      <c r="AZ43" s="250"/>
      <c r="BA43" s="250"/>
      <c r="BB43" s="251">
        <f t="shared" si="41"/>
        <v>0</v>
      </c>
      <c r="BC43" s="30"/>
      <c r="BD43" s="30"/>
      <c r="BE43" s="30"/>
      <c r="BF43" s="30"/>
    </row>
    <row r="44" spans="1:58" ht="63" outlineLevel="1" x14ac:dyDescent="0.25">
      <c r="A44" s="115"/>
      <c r="B44" s="165"/>
      <c r="C44" s="166"/>
      <c r="D44" s="150" t="s">
        <v>396</v>
      </c>
      <c r="E44" s="139" t="s">
        <v>205</v>
      </c>
      <c r="F44" s="222">
        <v>2022</v>
      </c>
      <c r="G44" s="117">
        <v>2030</v>
      </c>
      <c r="H44" s="134" t="s">
        <v>206</v>
      </c>
      <c r="I44" s="252"/>
      <c r="J44" s="252"/>
      <c r="K44" s="252"/>
      <c r="L44" s="127">
        <f>SUM(L41:L43)</f>
        <v>252000</v>
      </c>
      <c r="M44" s="127">
        <f>SUM(M41:M43)</f>
        <v>42084</v>
      </c>
      <c r="N44" s="127"/>
      <c r="O44" s="252"/>
      <c r="P44" s="252"/>
      <c r="Q44" s="252"/>
      <c r="R44" s="127">
        <f>SUM(R41:R43)</f>
        <v>0</v>
      </c>
      <c r="S44" s="127">
        <f>SUM(S41:S43)</f>
        <v>0</v>
      </c>
      <c r="T44" s="127">
        <f>SUM(T41:T43)</f>
        <v>0</v>
      </c>
      <c r="U44" s="127">
        <f>SUM(U41:U43)</f>
        <v>0</v>
      </c>
      <c r="V44" s="252"/>
      <c r="W44" s="252"/>
      <c r="X44" s="252"/>
      <c r="Y44" s="127">
        <f>SUM(Y41:Y43)</f>
        <v>0</v>
      </c>
      <c r="Z44" s="252"/>
      <c r="AA44" s="252"/>
      <c r="AB44" s="127">
        <f>SUM(AB41:AB43)</f>
        <v>0</v>
      </c>
      <c r="AC44" s="127">
        <f>SUM(AC41:AC43)</f>
        <v>7000000</v>
      </c>
      <c r="AD44" s="127">
        <f>SUM(AD41:AD43)</f>
        <v>0</v>
      </c>
      <c r="AE44" s="127">
        <f>SUM(AE41:AE43)</f>
        <v>1060000</v>
      </c>
      <c r="AF44" s="127">
        <f>SUM(AF41:AF43)</f>
        <v>8060000</v>
      </c>
      <c r="AG44" s="252"/>
      <c r="AH44" s="252"/>
      <c r="AI44" s="252"/>
      <c r="AJ44" s="127">
        <f>SUM(AJ41:AJ43)</f>
        <v>0</v>
      </c>
      <c r="AK44" s="127">
        <f>SUM(AK41:AK43)</f>
        <v>0</v>
      </c>
      <c r="AL44" s="127">
        <f>SUM(AL41:AL43)</f>
        <v>0</v>
      </c>
      <c r="AM44" s="127">
        <f>SUM(AM41:AM43)</f>
        <v>0</v>
      </c>
      <c r="AN44" s="127">
        <f>SUM(AN41:AN43)</f>
        <v>0</v>
      </c>
      <c r="AO44" s="253"/>
      <c r="AP44" s="254"/>
      <c r="AQ44" s="175">
        <f>SUM(AQ41:AQ43)</f>
        <v>294084</v>
      </c>
      <c r="AR44" s="175">
        <f>SUM(AR41:AR43)</f>
        <v>8060000</v>
      </c>
      <c r="AS44" s="175">
        <f>SUM(AS41:AS43)</f>
        <v>0</v>
      </c>
      <c r="AT44" s="175">
        <f>SUM(AT41:AT43)</f>
        <v>8354084</v>
      </c>
      <c r="AU44" s="175">
        <f t="shared" ref="AU44:BA44" si="42">SUM(AU41:AU43)</f>
        <v>294084</v>
      </c>
      <c r="AV44" s="175">
        <f t="shared" si="42"/>
        <v>0</v>
      </c>
      <c r="AW44" s="175">
        <f t="shared" si="42"/>
        <v>6360000</v>
      </c>
      <c r="AX44" s="175">
        <f t="shared" si="42"/>
        <v>0</v>
      </c>
      <c r="AY44" s="175">
        <f t="shared" si="42"/>
        <v>0</v>
      </c>
      <c r="AZ44" s="175">
        <f t="shared" si="42"/>
        <v>1700000</v>
      </c>
      <c r="BA44" s="175">
        <f t="shared" si="42"/>
        <v>0</v>
      </c>
      <c r="BB44" s="175">
        <f t="shared" ref="BB44" si="43">SUM(BB41:BB43)</f>
        <v>0</v>
      </c>
      <c r="BC44" s="30"/>
      <c r="BD44" s="30"/>
      <c r="BE44" s="30"/>
      <c r="BF44" s="30"/>
    </row>
    <row r="45" spans="1:58" s="32" customFormat="1" ht="47.45" customHeight="1" x14ac:dyDescent="0.25">
      <c r="A45" s="120"/>
      <c r="B45" s="285"/>
      <c r="C45" s="391" t="s">
        <v>210</v>
      </c>
      <c r="D45" s="391"/>
      <c r="E45" s="392"/>
      <c r="F45" s="282"/>
      <c r="G45" s="281"/>
      <c r="H45" s="114" t="s">
        <v>213</v>
      </c>
      <c r="I45" s="246"/>
      <c r="J45" s="246"/>
      <c r="K45" s="246"/>
      <c r="L45" s="247">
        <f>SUM(L50+L56+L60)</f>
        <v>270512197.14285713</v>
      </c>
      <c r="M45" s="247">
        <f>SUM(M50+M56+M60)</f>
        <v>45175536.922857143</v>
      </c>
      <c r="N45" s="247"/>
      <c r="O45" s="247"/>
      <c r="P45" s="247"/>
      <c r="Q45" s="247"/>
      <c r="R45" s="247">
        <f>SUM(R50+R56+R60)</f>
        <v>0</v>
      </c>
      <c r="S45" s="247">
        <f>SUM(S50+S56+S60)</f>
        <v>0</v>
      </c>
      <c r="T45" s="247">
        <f>SUM(T50+T56+T60)</f>
        <v>0</v>
      </c>
      <c r="U45" s="247">
        <f>SUM(U50+U56+U60)</f>
        <v>0</v>
      </c>
      <c r="V45" s="247"/>
      <c r="W45" s="247"/>
      <c r="X45" s="247"/>
      <c r="Y45" s="247">
        <f>SUM(Y50+Y56+Y60)</f>
        <v>0</v>
      </c>
      <c r="Z45" s="247">
        <f t="shared" ref="Z45:AA45" si="44">SUM(Z50+Z56+Z60)</f>
        <v>0</v>
      </c>
      <c r="AA45" s="247">
        <f t="shared" si="44"/>
        <v>0</v>
      </c>
      <c r="AB45" s="247">
        <f t="shared" ref="AB45:AF45" si="45">SUM(AB50+AB56+AB60)</f>
        <v>0</v>
      </c>
      <c r="AC45" s="247">
        <f t="shared" si="45"/>
        <v>12850000</v>
      </c>
      <c r="AD45" s="247">
        <f t="shared" si="45"/>
        <v>0</v>
      </c>
      <c r="AE45" s="247">
        <f t="shared" si="45"/>
        <v>2010000</v>
      </c>
      <c r="AF45" s="247">
        <f t="shared" si="45"/>
        <v>14860000</v>
      </c>
      <c r="AG45" s="247"/>
      <c r="AH45" s="247"/>
      <c r="AI45" s="247"/>
      <c r="AJ45" s="247">
        <f>SUM(AJ50+AJ56+AJ60)</f>
        <v>0</v>
      </c>
      <c r="AK45" s="247">
        <f>SUM(AK50+AK56+AK60)</f>
        <v>0</v>
      </c>
      <c r="AL45" s="247">
        <f>SUM(AL50+AL56+AL60)</f>
        <v>0</v>
      </c>
      <c r="AM45" s="247">
        <f>SUM(AM50+AM56+AM60)</f>
        <v>0</v>
      </c>
      <c r="AN45" s="247">
        <f>SUM(AN50+AN56+AN60)</f>
        <v>0</v>
      </c>
      <c r="AO45" s="247"/>
      <c r="AP45" s="244"/>
      <c r="AQ45" s="248">
        <f>SUM(AQ50+AQ56+AQ60)</f>
        <v>315687734.0657143</v>
      </c>
      <c r="AR45" s="248">
        <f>SUM(AR50+AR56+AR60)</f>
        <v>14860000</v>
      </c>
      <c r="AS45" s="248">
        <f>SUM(AS50+AS56+AS60)</f>
        <v>0</v>
      </c>
      <c r="AT45" s="248">
        <f>SUM(AT50+AT56+AT60)</f>
        <v>330547734.0657143</v>
      </c>
      <c r="AU45" s="248">
        <f t="shared" ref="AU45:BA45" si="46">SUM(AU50+AU56+AU60)</f>
        <v>327747733.8157143</v>
      </c>
      <c r="AV45" s="248">
        <f t="shared" si="46"/>
        <v>0</v>
      </c>
      <c r="AW45" s="248">
        <f t="shared" si="46"/>
        <v>0</v>
      </c>
      <c r="AX45" s="248">
        <f t="shared" si="46"/>
        <v>2800000</v>
      </c>
      <c r="AY45" s="248">
        <f t="shared" si="46"/>
        <v>0</v>
      </c>
      <c r="AZ45" s="248">
        <f t="shared" si="46"/>
        <v>0</v>
      </c>
      <c r="BA45" s="248">
        <f t="shared" si="46"/>
        <v>0</v>
      </c>
      <c r="BB45" s="248">
        <f t="shared" ref="BB45" si="47">SUM(BB50+BB56+BB60)</f>
        <v>-0.25</v>
      </c>
    </row>
    <row r="46" spans="1:58" ht="78.75" outlineLevel="2" x14ac:dyDescent="0.25">
      <c r="A46" s="115"/>
      <c r="B46" s="200"/>
      <c r="C46" s="201"/>
      <c r="D46" s="138"/>
      <c r="E46" s="277"/>
      <c r="F46" s="277"/>
      <c r="G46" s="278"/>
      <c r="H46" s="199" t="s">
        <v>397</v>
      </c>
      <c r="I46" s="130"/>
      <c r="J46" s="126"/>
      <c r="K46" s="126"/>
      <c r="L46" s="125" t="str">
        <f>IF(I46&lt;&gt;0,((VLOOKUP(I46,'1. Standard_Cost'!$B$4:$D$11,2)+VLOOKUP(I46,'1. Standard_Cost'!$B$4:$D$11,3))*J46*K46),"0")</f>
        <v>0</v>
      </c>
      <c r="M46" s="125">
        <f>L46*'1. Standard_Cost'!$F$4</f>
        <v>0</v>
      </c>
      <c r="N46" s="126"/>
      <c r="O46" s="126"/>
      <c r="P46" s="126"/>
      <c r="Q46" s="126"/>
      <c r="R46" s="127">
        <f>'1. Standard_Cost'!$B$15*N46*P46</f>
        <v>0</v>
      </c>
      <c r="S46" s="127">
        <f>N46*O46*P46*'1. Standard_Cost'!$C$15</f>
        <v>0</v>
      </c>
      <c r="T46" s="127">
        <f>N46*P46*Q46*'1. Standard_Cost'!$D$15</f>
        <v>0</v>
      </c>
      <c r="U46" s="127">
        <f>N46*O46*'1. Standard_Cost'!$E$15</f>
        <v>0</v>
      </c>
      <c r="V46" s="126"/>
      <c r="W46" s="126"/>
      <c r="X46" s="126"/>
      <c r="Y46" s="127">
        <f>+V46*((X46*'1. Standard_Cost'!$B$19)+(W46*X46*'1. Standard_Cost'!$C$19))</f>
        <v>0</v>
      </c>
      <c r="Z46" s="126"/>
      <c r="AA46" s="126"/>
      <c r="AB46" s="127">
        <f>+Z46*'1. Standard_Cost'!$B$23+AA46*'1. Standard_Cost'!$C$23</f>
        <v>0</v>
      </c>
      <c r="AC46" s="128"/>
      <c r="AD46" s="129"/>
      <c r="AE46" s="127">
        <f>SUM(AD46,AC46,AB46,Y46,U46,T46,S46,R46)*'1. Standard_Cost'!$B$31</f>
        <v>0</v>
      </c>
      <c r="AF46" s="127">
        <f>SUM(AE46,AD46,AC46,AB46,Y46,U46,T46,S46,R46)</f>
        <v>0</v>
      </c>
      <c r="AG46" s="126"/>
      <c r="AH46" s="126"/>
      <c r="AI46" s="126"/>
      <c r="AJ46" s="130"/>
      <c r="AK46" s="130"/>
      <c r="AL46" s="130"/>
      <c r="AM46" s="127">
        <f>AG46*'1. Standard_Cost'!$B$27+'Incremental_Cost Year 1'!AH46*'1. Standard_Cost'!$C$27+'Incremental_Cost Year 1'!AI46*'1. Standard_Cost'!$D$27+'Incremental_Cost Year 1'!AJ46+'Incremental_Cost Year 1'!AL46+AK46</f>
        <v>0</v>
      </c>
      <c r="AN46" s="127">
        <f>AM46*'1. Standard_Cost'!$C$31</f>
        <v>0</v>
      </c>
      <c r="AO46" s="249"/>
      <c r="AQ46" s="171">
        <f>L46+M46</f>
        <v>0</v>
      </c>
      <c r="AR46" s="171">
        <f>AF46</f>
        <v>0</v>
      </c>
      <c r="AS46" s="171">
        <f>AM46+AN46</f>
        <v>0</v>
      </c>
      <c r="AT46" s="171">
        <f>SUM(AQ46,AR46,AS46)</f>
        <v>0</v>
      </c>
      <c r="AU46" s="250"/>
      <c r="AV46" s="250"/>
      <c r="AW46" s="250"/>
      <c r="AX46" s="250"/>
      <c r="AY46" s="250"/>
      <c r="AZ46" s="250"/>
      <c r="BA46" s="250"/>
      <c r="BB46" s="251">
        <f t="shared" ref="BB46:BB49" si="48">SUM(AU46:BA46)-AT46</f>
        <v>0</v>
      </c>
      <c r="BC46" s="30"/>
      <c r="BD46" s="30"/>
      <c r="BE46" s="30"/>
      <c r="BF46" s="30"/>
    </row>
    <row r="47" spans="1:58" ht="47.25" outlineLevel="2" x14ac:dyDescent="0.25">
      <c r="A47" s="115"/>
      <c r="B47" s="200"/>
      <c r="C47" s="201"/>
      <c r="D47" s="135"/>
      <c r="E47" s="219"/>
      <c r="F47" s="219"/>
      <c r="G47" s="313"/>
      <c r="H47" s="199" t="s">
        <v>307</v>
      </c>
      <c r="I47" s="130"/>
      <c r="J47" s="126"/>
      <c r="K47" s="126"/>
      <c r="L47" s="125" t="str">
        <f>IF(I47&lt;&gt;0,((VLOOKUP(I47,'1. Standard_Cost'!$B$4:$D$11,2)+VLOOKUP(I47,'1. Standard_Cost'!$B$4:$D$11,3))*J47*K47),"0")</f>
        <v>0</v>
      </c>
      <c r="M47" s="125">
        <f>L47*'1. Standard_Cost'!$F$4</f>
        <v>0</v>
      </c>
      <c r="N47" s="126"/>
      <c r="O47" s="126"/>
      <c r="P47" s="126"/>
      <c r="Q47" s="126"/>
      <c r="R47" s="127">
        <f>'1. Standard_Cost'!$B$15*N47*P47</f>
        <v>0</v>
      </c>
      <c r="S47" s="127">
        <f>N47*O47*P47*'1. Standard_Cost'!$C$15</f>
        <v>0</v>
      </c>
      <c r="T47" s="127">
        <f>N47*P47*Q47*'1. Standard_Cost'!$D$15</f>
        <v>0</v>
      </c>
      <c r="U47" s="127">
        <f>N47*O47*'1. Standard_Cost'!$E$15</f>
        <v>0</v>
      </c>
      <c r="V47" s="126"/>
      <c r="W47" s="126"/>
      <c r="X47" s="126"/>
      <c r="Y47" s="127">
        <f>+V47*((X47*'1. Standard_Cost'!$B$19)+(W47*X47*'1. Standard_Cost'!$C$19))</f>
        <v>0</v>
      </c>
      <c r="Z47" s="126"/>
      <c r="AA47" s="126"/>
      <c r="AB47" s="127">
        <f>+Z47*'1. Standard_Cost'!$B$23+AA47*'1. Standard_Cost'!$C$23</f>
        <v>0</v>
      </c>
      <c r="AC47" s="128"/>
      <c r="AD47" s="129"/>
      <c r="AE47" s="127">
        <f>SUM(AD47,AC47,AB47,Y47,U47,T47,S47,R47)*'1. Standard_Cost'!$B$31</f>
        <v>0</v>
      </c>
      <c r="AF47" s="127">
        <f>SUM(AE47,AD47,AC47,AB47,Y47,U47,T47,S47,R47)</f>
        <v>0</v>
      </c>
      <c r="AG47" s="126"/>
      <c r="AH47" s="126"/>
      <c r="AI47" s="126"/>
      <c r="AJ47" s="130"/>
      <c r="AK47" s="130"/>
      <c r="AL47" s="130"/>
      <c r="AM47" s="127">
        <f>AG47*'1. Standard_Cost'!$B$27+'Incremental_Cost Year 1'!AH47*'1. Standard_Cost'!$C$27+'Incremental_Cost Year 1'!AI47*'1. Standard_Cost'!$D$27+'Incremental_Cost Year 1'!AJ47+'Incremental_Cost Year 1'!AL47+AK47</f>
        <v>0</v>
      </c>
      <c r="AN47" s="127">
        <f>AM47*'1. Standard_Cost'!$C$31</f>
        <v>0</v>
      </c>
      <c r="AO47" s="130"/>
      <c r="AQ47" s="171">
        <f>L47+M47</f>
        <v>0</v>
      </c>
      <c r="AR47" s="171">
        <f>AF47</f>
        <v>0</v>
      </c>
      <c r="AS47" s="171">
        <f>AM47+AN47</f>
        <v>0</v>
      </c>
      <c r="AT47" s="171">
        <f>SUM(AQ47,AR47,AS47)</f>
        <v>0</v>
      </c>
      <c r="AU47" s="250"/>
      <c r="AV47" s="250"/>
      <c r="AW47" s="250"/>
      <c r="AX47" s="250">
        <f>AT47</f>
        <v>0</v>
      </c>
      <c r="AY47" s="250"/>
      <c r="AZ47" s="250"/>
      <c r="BA47" s="250"/>
      <c r="BB47" s="251">
        <f t="shared" si="48"/>
        <v>0</v>
      </c>
      <c r="BC47" s="30"/>
      <c r="BD47" s="30"/>
      <c r="BE47" s="30"/>
      <c r="BF47" s="30"/>
    </row>
    <row r="48" spans="1:58" ht="63" outlineLevel="2" x14ac:dyDescent="0.25">
      <c r="A48" s="115"/>
      <c r="B48" s="200"/>
      <c r="C48" s="201"/>
      <c r="D48" s="135"/>
      <c r="E48" s="219"/>
      <c r="F48" s="219"/>
      <c r="G48" s="313"/>
      <c r="H48" s="199" t="s">
        <v>308</v>
      </c>
      <c r="I48" s="130"/>
      <c r="J48" s="126"/>
      <c r="K48" s="126"/>
      <c r="L48" s="125" t="str">
        <f>IF(I48&lt;&gt;0,((VLOOKUP(I48,'1. Standard_Cost'!$B$4:$D$11,2)+VLOOKUP(I48,'1. Standard_Cost'!$B$4:$D$11,3))*J48*K48),"0")</f>
        <v>0</v>
      </c>
      <c r="M48" s="125">
        <f>L48*'1. Standard_Cost'!$F$4</f>
        <v>0</v>
      </c>
      <c r="N48" s="126"/>
      <c r="O48" s="126"/>
      <c r="P48" s="126"/>
      <c r="Q48" s="126"/>
      <c r="R48" s="127">
        <f>'1. Standard_Cost'!$B$15*N48*P48</f>
        <v>0</v>
      </c>
      <c r="S48" s="127">
        <f>N48*O48*P48*'1. Standard_Cost'!$C$15</f>
        <v>0</v>
      </c>
      <c r="T48" s="127">
        <f>N48*P48*Q48*'1. Standard_Cost'!$D$15</f>
        <v>0</v>
      </c>
      <c r="U48" s="127">
        <f>N48*O48*'1. Standard_Cost'!$E$15</f>
        <v>0</v>
      </c>
      <c r="V48" s="126"/>
      <c r="W48" s="126"/>
      <c r="X48" s="126"/>
      <c r="Y48" s="127">
        <f>+V48*((X48*'1. Standard_Cost'!$B$19)+(W48*X48*'1. Standard_Cost'!$C$19))</f>
        <v>0</v>
      </c>
      <c r="Z48" s="126"/>
      <c r="AA48" s="126"/>
      <c r="AB48" s="127">
        <f>+Z48*'1. Standard_Cost'!$B$23+AA48*'1. Standard_Cost'!$C$23</f>
        <v>0</v>
      </c>
      <c r="AC48" s="128"/>
      <c r="AD48" s="129"/>
      <c r="AE48" s="127">
        <f>SUM(AD48,AC48,AB48,Y48,U48,T48,S48,R48)*'1. Standard_Cost'!$B$31</f>
        <v>0</v>
      </c>
      <c r="AF48" s="127">
        <f>SUM(AE48,AD48,AC48,AB48,Y48,U48,T48,S48,R48)</f>
        <v>0</v>
      </c>
      <c r="AG48" s="126"/>
      <c r="AH48" s="126"/>
      <c r="AI48" s="126"/>
      <c r="AJ48" s="130"/>
      <c r="AK48" s="130"/>
      <c r="AL48" s="130"/>
      <c r="AM48" s="127">
        <f>AG48*'1. Standard_Cost'!$B$27+'Incremental_Cost Year 1'!AH48*'1. Standard_Cost'!$C$27+'Incremental_Cost Year 1'!AI48*'1. Standard_Cost'!$D$27+'Incremental_Cost Year 1'!AJ48+'Incremental_Cost Year 1'!AL48+AK48</f>
        <v>0</v>
      </c>
      <c r="AN48" s="127">
        <f>AM48*'1. Standard_Cost'!$C$31</f>
        <v>0</v>
      </c>
      <c r="AO48" s="249"/>
      <c r="AQ48" s="171">
        <f>L48+M48</f>
        <v>0</v>
      </c>
      <c r="AR48" s="171">
        <f>AF48</f>
        <v>0</v>
      </c>
      <c r="AS48" s="171">
        <f>AM48+AN48</f>
        <v>0</v>
      </c>
      <c r="AT48" s="171">
        <f>SUM(AQ48,AR48,AS48)</f>
        <v>0</v>
      </c>
      <c r="AU48" s="250"/>
      <c r="AV48" s="250"/>
      <c r="AW48" s="250"/>
      <c r="AX48" s="250"/>
      <c r="AY48" s="250"/>
      <c r="AZ48" s="250"/>
      <c r="BA48" s="250"/>
      <c r="BB48" s="251">
        <f t="shared" si="48"/>
        <v>0</v>
      </c>
      <c r="BC48" s="30"/>
      <c r="BD48" s="30"/>
      <c r="BE48" s="30"/>
      <c r="BF48" s="30"/>
    </row>
    <row r="49" spans="1:58" ht="94.5" outlineLevel="2" x14ac:dyDescent="0.25">
      <c r="A49" s="115"/>
      <c r="B49" s="200"/>
      <c r="C49" s="201"/>
      <c r="D49" s="223"/>
      <c r="E49" s="219"/>
      <c r="F49" s="219"/>
      <c r="G49" s="313"/>
      <c r="H49" s="199" t="s">
        <v>398</v>
      </c>
      <c r="I49" s="130" t="s">
        <v>4</v>
      </c>
      <c r="J49" s="126">
        <v>1</v>
      </c>
      <c r="K49" s="126">
        <v>5</v>
      </c>
      <c r="L49" s="125">
        <f>IF(I49&lt;&gt;0,((VLOOKUP(I49,'1. Standard_Cost'!$B$4:$D$11,2)+VLOOKUP(I49,'1. Standard_Cost'!$B$4:$D$11,3))*J49*K49),"0")</f>
        <v>403750</v>
      </c>
      <c r="M49" s="125">
        <f>L49*'1. Standard_Cost'!$F$4</f>
        <v>67426.25</v>
      </c>
      <c r="N49" s="126"/>
      <c r="O49" s="126"/>
      <c r="P49" s="126"/>
      <c r="Q49" s="126"/>
      <c r="R49" s="127">
        <f>'1. Standard_Cost'!$B$15*N49*P49</f>
        <v>0</v>
      </c>
      <c r="S49" s="127">
        <f>N49*O49*P49*'1. Standard_Cost'!$C$15</f>
        <v>0</v>
      </c>
      <c r="T49" s="127">
        <f>N49*P49*Q49*'1. Standard_Cost'!$D$15</f>
        <v>0</v>
      </c>
      <c r="U49" s="127">
        <f>N49*O49*'1. Standard_Cost'!$E$15</f>
        <v>0</v>
      </c>
      <c r="V49" s="126"/>
      <c r="W49" s="126"/>
      <c r="X49" s="126"/>
      <c r="Y49" s="127">
        <f>+V49*((X49*'1. Standard_Cost'!$B$19)+(W49*X49*'1. Standard_Cost'!$C$19))</f>
        <v>0</v>
      </c>
      <c r="Z49" s="126"/>
      <c r="AA49" s="126"/>
      <c r="AB49" s="127">
        <f>+Z49*'1. Standard_Cost'!$B$23+AA49*'1. Standard_Cost'!$C$23</f>
        <v>0</v>
      </c>
      <c r="AC49" s="128">
        <v>1700000</v>
      </c>
      <c r="AD49" s="129"/>
      <c r="AE49" s="127"/>
      <c r="AF49" s="127">
        <f>SUM(AE49,AD49,AC49,AB49,Y49,U49,T49,S49,R49)</f>
        <v>1700000</v>
      </c>
      <c r="AG49" s="126"/>
      <c r="AH49" s="126"/>
      <c r="AI49" s="126"/>
      <c r="AJ49" s="130"/>
      <c r="AK49" s="130"/>
      <c r="AL49" s="130"/>
      <c r="AM49" s="127">
        <f>AG49*'1. Standard_Cost'!$B$27+'Incremental_Cost Year 1'!AH49*'1. Standard_Cost'!$C$27+'Incremental_Cost Year 1'!AI49*'1. Standard_Cost'!$D$27+'Incremental_Cost Year 1'!AJ49+'Incremental_Cost Year 1'!AL49+AK49</f>
        <v>0</v>
      </c>
      <c r="AN49" s="127">
        <f>AM49*'1. Standard_Cost'!$C$31</f>
        <v>0</v>
      </c>
      <c r="AO49" s="130"/>
      <c r="AQ49" s="171">
        <f>L49+M49</f>
        <v>471176.25</v>
      </c>
      <c r="AR49" s="171">
        <f>AF49</f>
        <v>1700000</v>
      </c>
      <c r="AS49" s="171">
        <f>AM49+AN49</f>
        <v>0</v>
      </c>
      <c r="AT49" s="171">
        <f>SUM(AQ49,AR49,AS49)</f>
        <v>2171176.25</v>
      </c>
      <c r="AU49" s="250">
        <v>471176</v>
      </c>
      <c r="AV49" s="250"/>
      <c r="AW49" s="250"/>
      <c r="AX49" s="250">
        <v>1700000</v>
      </c>
      <c r="AY49" s="250"/>
      <c r="AZ49" s="250"/>
      <c r="BA49" s="250"/>
      <c r="BB49" s="251">
        <f t="shared" si="48"/>
        <v>-0.25</v>
      </c>
      <c r="BC49" s="30"/>
      <c r="BD49" s="30"/>
      <c r="BE49" s="30"/>
      <c r="BF49" s="30"/>
    </row>
    <row r="50" spans="1:58" ht="47.25" outlineLevel="1" x14ac:dyDescent="0.25">
      <c r="A50" s="115"/>
      <c r="B50" s="165"/>
      <c r="C50" s="166"/>
      <c r="D50" s="107" t="s">
        <v>388</v>
      </c>
      <c r="E50" s="139" t="s">
        <v>211</v>
      </c>
      <c r="F50" s="222">
        <v>2021</v>
      </c>
      <c r="G50" s="117">
        <v>2023</v>
      </c>
      <c r="H50" s="134" t="s">
        <v>212</v>
      </c>
      <c r="I50" s="252"/>
      <c r="J50" s="252"/>
      <c r="K50" s="252"/>
      <c r="L50" s="127">
        <f>SUM(L46:L49)</f>
        <v>403750</v>
      </c>
      <c r="M50" s="127">
        <f>SUM(M46:M49)</f>
        <v>67426.25</v>
      </c>
      <c r="N50" s="127"/>
      <c r="O50" s="252"/>
      <c r="P50" s="252"/>
      <c r="Q50" s="252"/>
      <c r="R50" s="127">
        <f>SUM(R46:R49)</f>
        <v>0</v>
      </c>
      <c r="S50" s="127">
        <f>SUM(S46:S49)</f>
        <v>0</v>
      </c>
      <c r="T50" s="127">
        <f>SUM(T46:T49)</f>
        <v>0</v>
      </c>
      <c r="U50" s="127">
        <f>SUM(U46:U49)</f>
        <v>0</v>
      </c>
      <c r="V50" s="252"/>
      <c r="W50" s="252"/>
      <c r="X50" s="252"/>
      <c r="Y50" s="127">
        <f>SUM(Y46:Y49)</f>
        <v>0</v>
      </c>
      <c r="Z50" s="252"/>
      <c r="AA50" s="252"/>
      <c r="AB50" s="127">
        <f>SUM(AB46:AB49)</f>
        <v>0</v>
      </c>
      <c r="AC50" s="127">
        <f>SUM(AC46:AC49)</f>
        <v>1700000</v>
      </c>
      <c r="AD50" s="127">
        <f>SUM(AD46:AD49)</f>
        <v>0</v>
      </c>
      <c r="AE50" s="127">
        <f>SUM(AE46:AE49)</f>
        <v>0</v>
      </c>
      <c r="AF50" s="127">
        <f>SUM(AF46:AF49)</f>
        <v>1700000</v>
      </c>
      <c r="AG50" s="252"/>
      <c r="AH50" s="252"/>
      <c r="AI50" s="252"/>
      <c r="AJ50" s="127">
        <f>SUM(AJ46:AJ49)</f>
        <v>0</v>
      </c>
      <c r="AK50" s="127">
        <f>SUM(AK46:AK49)</f>
        <v>0</v>
      </c>
      <c r="AL50" s="127">
        <f>SUM(AL46:AL49)</f>
        <v>0</v>
      </c>
      <c r="AM50" s="127">
        <f>SUM(AM46:AM49)</f>
        <v>0</v>
      </c>
      <c r="AN50" s="127">
        <f>SUM(AN46:AN49)</f>
        <v>0</v>
      </c>
      <c r="AO50" s="253"/>
      <c r="AP50" s="254"/>
      <c r="AQ50" s="175">
        <f>SUM(AQ46:AQ49)</f>
        <v>471176.25</v>
      </c>
      <c r="AR50" s="175">
        <f>SUM(AR46:AR49)</f>
        <v>1700000</v>
      </c>
      <c r="AS50" s="175">
        <f>SUM(AS46:AS49)</f>
        <v>0</v>
      </c>
      <c r="AT50" s="175">
        <f>SUM(AT46:AT49)</f>
        <v>2171176.25</v>
      </c>
      <c r="AU50" s="175">
        <f t="shared" ref="AU50:BA50" si="49">SUM(AU46:AU49)</f>
        <v>471176</v>
      </c>
      <c r="AV50" s="175">
        <f t="shared" si="49"/>
        <v>0</v>
      </c>
      <c r="AW50" s="175">
        <f t="shared" si="49"/>
        <v>0</v>
      </c>
      <c r="AX50" s="175">
        <f t="shared" si="49"/>
        <v>1700000</v>
      </c>
      <c r="AY50" s="175">
        <f t="shared" si="49"/>
        <v>0</v>
      </c>
      <c r="AZ50" s="175">
        <f t="shared" si="49"/>
        <v>0</v>
      </c>
      <c r="BA50" s="175">
        <f t="shared" si="49"/>
        <v>0</v>
      </c>
      <c r="BB50" s="175">
        <f t="shared" ref="BB50" si="50">SUM(BB46:BB49)</f>
        <v>-0.25</v>
      </c>
      <c r="BC50" s="30"/>
      <c r="BD50" s="30"/>
      <c r="BE50" s="30"/>
      <c r="BF50" s="30"/>
    </row>
    <row r="51" spans="1:58" ht="94.5" outlineLevel="2" x14ac:dyDescent="0.25">
      <c r="A51" s="115"/>
      <c r="B51" s="200"/>
      <c r="C51" s="201"/>
      <c r="D51" s="138"/>
      <c r="E51" s="277"/>
      <c r="F51" s="277"/>
      <c r="G51" s="278"/>
      <c r="H51" s="199" t="s">
        <v>399</v>
      </c>
      <c r="I51" s="130"/>
      <c r="J51" s="126"/>
      <c r="K51" s="126"/>
      <c r="L51" s="125" t="str">
        <f>IF(I51&lt;&gt;0,((VLOOKUP(I51,'1. Standard_Cost'!$B$4:$D$11,2)+VLOOKUP(I51,'1. Standard_Cost'!$B$4:$D$11,3))*J51*K51),"0")</f>
        <v>0</v>
      </c>
      <c r="M51" s="125">
        <f>L51*'1. Standard_Cost'!$F$4</f>
        <v>0</v>
      </c>
      <c r="N51" s="126"/>
      <c r="O51" s="126"/>
      <c r="P51" s="126"/>
      <c r="Q51" s="126"/>
      <c r="R51" s="127">
        <f>'1. Standard_Cost'!$B$15*N51*P51</f>
        <v>0</v>
      </c>
      <c r="S51" s="127">
        <f>N51*O51*P51*'1. Standard_Cost'!$C$15</f>
        <v>0</v>
      </c>
      <c r="T51" s="127">
        <f>N51*P51*Q51*'1. Standard_Cost'!$D$15</f>
        <v>0</v>
      </c>
      <c r="U51" s="127">
        <f>N51*O51*'1. Standard_Cost'!$E$15</f>
        <v>0</v>
      </c>
      <c r="V51" s="126"/>
      <c r="W51" s="126"/>
      <c r="X51" s="126"/>
      <c r="Y51" s="127">
        <f>+V51*((X51*'1. Standard_Cost'!$B$19)+(W51*X51*'1. Standard_Cost'!$C$19))</f>
        <v>0</v>
      </c>
      <c r="Z51" s="126"/>
      <c r="AA51" s="126"/>
      <c r="AB51" s="127">
        <f>+Z51*'1. Standard_Cost'!$B$23+AA51*'1. Standard_Cost'!$C$23</f>
        <v>0</v>
      </c>
      <c r="AC51" s="128"/>
      <c r="AD51" s="129"/>
      <c r="AE51" s="127">
        <f>SUM(AD51,AC51,AB51,Y51,U51,T51,S51,R51)*'1. Standard_Cost'!$B$31</f>
        <v>0</v>
      </c>
      <c r="AF51" s="127">
        <f>SUM(AE51,AD51,AC51,AB51,Y51,U51,T51,S51,R51)</f>
        <v>0</v>
      </c>
      <c r="AG51" s="126"/>
      <c r="AH51" s="126"/>
      <c r="AI51" s="126"/>
      <c r="AJ51" s="130"/>
      <c r="AK51" s="130"/>
      <c r="AL51" s="130"/>
      <c r="AM51" s="127">
        <f>AG51*'1. Standard_Cost'!$B$27+'Incremental_Cost Year 1'!AH51*'1. Standard_Cost'!$C$27+'Incremental_Cost Year 1'!AI51*'1. Standard_Cost'!$D$27+'Incremental_Cost Year 1'!AJ51+'Incremental_Cost Year 1'!AL51+AK51</f>
        <v>0</v>
      </c>
      <c r="AN51" s="127">
        <f>AM51*'1. Standard_Cost'!$C$31</f>
        <v>0</v>
      </c>
      <c r="AO51" s="249"/>
      <c r="AQ51" s="171">
        <f>L51+M51</f>
        <v>0</v>
      </c>
      <c r="AR51" s="171">
        <f>AF51</f>
        <v>0</v>
      </c>
      <c r="AS51" s="171">
        <f>AM51+AN51</f>
        <v>0</v>
      </c>
      <c r="AT51" s="171">
        <f>SUM(AQ51,AR51,AS51)</f>
        <v>0</v>
      </c>
      <c r="AU51" s="250"/>
      <c r="AV51" s="250"/>
      <c r="AW51" s="250"/>
      <c r="AX51" s="250"/>
      <c r="AY51" s="250"/>
      <c r="AZ51" s="250"/>
      <c r="BA51" s="250"/>
      <c r="BB51" s="251">
        <f t="shared" ref="BB51:BB55" si="51">SUM(AU51:BA51)-AT51</f>
        <v>0</v>
      </c>
      <c r="BC51" s="30"/>
      <c r="BD51" s="30"/>
      <c r="BE51" s="30"/>
      <c r="BF51" s="30"/>
    </row>
    <row r="52" spans="1:58" ht="63" outlineLevel="2" x14ac:dyDescent="0.25">
      <c r="A52" s="115"/>
      <c r="B52" s="200"/>
      <c r="C52" s="201"/>
      <c r="D52" s="135"/>
      <c r="E52" s="219"/>
      <c r="F52" s="219"/>
      <c r="G52" s="313"/>
      <c r="H52" s="213" t="s">
        <v>400</v>
      </c>
      <c r="I52" s="130" t="s">
        <v>1</v>
      </c>
      <c r="J52" s="126">
        <v>3</v>
      </c>
      <c r="K52" s="126">
        <f>416*3</f>
        <v>1248</v>
      </c>
      <c r="L52" s="125">
        <f>IF(I52&lt;&gt;0,((VLOOKUP(I52,'1. Standard_Cost'!$B$4:$D$11,2)+VLOOKUP(I52,'1. Standard_Cost'!$B$4:$D$11,3))*J52*K52),"0")</f>
        <v>268792457.14285713</v>
      </c>
      <c r="M52" s="125">
        <f>L52*'1. Standard_Cost'!$F$4</f>
        <v>44888340.342857145</v>
      </c>
      <c r="N52" s="126"/>
      <c r="O52" s="126"/>
      <c r="P52" s="126"/>
      <c r="Q52" s="126"/>
      <c r="R52" s="127">
        <f>'1. Standard_Cost'!$B$15*N52*P52</f>
        <v>0</v>
      </c>
      <c r="S52" s="127">
        <f>N52*O52*P52*'1. Standard_Cost'!$C$15</f>
        <v>0</v>
      </c>
      <c r="T52" s="127">
        <f>N52*P52*Q52*'1. Standard_Cost'!$D$15</f>
        <v>0</v>
      </c>
      <c r="U52" s="127">
        <f>N52*O52*'1. Standard_Cost'!$E$15</f>
        <v>0</v>
      </c>
      <c r="V52" s="126"/>
      <c r="W52" s="126"/>
      <c r="X52" s="126"/>
      <c r="Y52" s="127">
        <f>+V52*((X52*'1. Standard_Cost'!$B$19)+(W52*X52*'1. Standard_Cost'!$C$19))</f>
        <v>0</v>
      </c>
      <c r="Z52" s="126"/>
      <c r="AA52" s="126"/>
      <c r="AB52" s="127">
        <f>+Z52*'1. Standard_Cost'!$B$23+AA52*'1. Standard_Cost'!$C$23</f>
        <v>0</v>
      </c>
      <c r="AC52" s="128">
        <f>100000/12*3*402</f>
        <v>10050000</v>
      </c>
      <c r="AD52" s="129"/>
      <c r="AE52" s="127">
        <f>SUM(AD52,AC52,AB52,Y52,U52,T52,S52,R52)*'1. Standard_Cost'!$B$31</f>
        <v>2010000</v>
      </c>
      <c r="AF52" s="127">
        <f>SUM(AE52,AD52,AC52,AB52,Y52,U52,T52,S52,R52)</f>
        <v>12060000</v>
      </c>
      <c r="AG52" s="126"/>
      <c r="AH52" s="126"/>
      <c r="AI52" s="126"/>
      <c r="AJ52" s="130"/>
      <c r="AK52" s="130"/>
      <c r="AL52" s="130"/>
      <c r="AM52" s="127">
        <f>AG52*'1. Standard_Cost'!$B$27+'Incremental_Cost Year 1'!AH52*'1. Standard_Cost'!$C$27+'Incremental_Cost Year 1'!AI52*'1. Standard_Cost'!$D$27+'Incremental_Cost Year 1'!AJ52+'Incremental_Cost Year 1'!AL52+AK52</f>
        <v>0</v>
      </c>
      <c r="AN52" s="127">
        <f>AM52*'1. Standard_Cost'!$C$31</f>
        <v>0</v>
      </c>
      <c r="AO52" s="130"/>
      <c r="AQ52" s="171">
        <f>L52+M52</f>
        <v>313680797.48571426</v>
      </c>
      <c r="AR52" s="171">
        <f>AF52</f>
        <v>12060000</v>
      </c>
      <c r="AS52" s="171">
        <f>AM52+AN52</f>
        <v>0</v>
      </c>
      <c r="AT52" s="171">
        <f>SUM(AQ52,AR52,AS52)</f>
        <v>325740797.48571426</v>
      </c>
      <c r="AU52" s="250">
        <f>AT52</f>
        <v>325740797.48571426</v>
      </c>
      <c r="AV52" s="250"/>
      <c r="AW52" s="250"/>
      <c r="AX52" s="250"/>
      <c r="AY52" s="250"/>
      <c r="AZ52" s="250"/>
      <c r="BA52" s="250"/>
      <c r="BB52" s="251">
        <f t="shared" si="51"/>
        <v>0</v>
      </c>
      <c r="BC52" s="30"/>
      <c r="BD52" s="30"/>
      <c r="BE52" s="30"/>
      <c r="BF52" s="30"/>
    </row>
    <row r="53" spans="1:58" ht="94.5" outlineLevel="2" x14ac:dyDescent="0.25">
      <c r="A53" s="115"/>
      <c r="B53" s="200"/>
      <c r="C53" s="201"/>
      <c r="D53" s="135"/>
      <c r="E53" s="219"/>
      <c r="F53" s="219"/>
      <c r="G53" s="313"/>
      <c r="H53" s="199" t="s">
        <v>227</v>
      </c>
      <c r="I53" s="130" t="s">
        <v>3</v>
      </c>
      <c r="J53" s="126">
        <v>3</v>
      </c>
      <c r="K53" s="126">
        <v>1</v>
      </c>
      <c r="L53" s="125">
        <f>IF(I53&lt;&gt;0,((VLOOKUP(I53,'1. Standard_Cost'!$B$4:$D$11,2)+VLOOKUP(I53,'1. Standard_Cost'!$B$4:$D$11,3))*J53*K53),"0")</f>
        <v>302400</v>
      </c>
      <c r="M53" s="125">
        <f>L53*'1. Standard_Cost'!$F$4</f>
        <v>50500.800000000003</v>
      </c>
      <c r="N53" s="126"/>
      <c r="O53" s="126"/>
      <c r="P53" s="126"/>
      <c r="Q53" s="126"/>
      <c r="R53" s="127">
        <f>'1. Standard_Cost'!$B$15*N53*P53</f>
        <v>0</v>
      </c>
      <c r="S53" s="127">
        <f>N53*O53*P53*'1. Standard_Cost'!$C$15</f>
        <v>0</v>
      </c>
      <c r="T53" s="127">
        <f>N53*P53*Q53*'1. Standard_Cost'!$D$15</f>
        <v>0</v>
      </c>
      <c r="U53" s="127">
        <f>N53*O53*'1. Standard_Cost'!$E$15</f>
        <v>0</v>
      </c>
      <c r="V53" s="126"/>
      <c r="W53" s="126"/>
      <c r="X53" s="126"/>
      <c r="Y53" s="127">
        <f>+V53*((X53*'1. Standard_Cost'!$B$19)+(W53*X53*'1. Standard_Cost'!$C$19))</f>
        <v>0</v>
      </c>
      <c r="Z53" s="126"/>
      <c r="AA53" s="126"/>
      <c r="AB53" s="127">
        <f>+Z53*'1. Standard_Cost'!$B$23+AA53*'1. Standard_Cost'!$C$23</f>
        <v>0</v>
      </c>
      <c r="AC53" s="128"/>
      <c r="AD53" s="129"/>
      <c r="AE53" s="127">
        <f>SUM(AD53,AC53,AB53,Y53,U53,T53,S53,R53)*'1. Standard_Cost'!$B$31</f>
        <v>0</v>
      </c>
      <c r="AF53" s="127">
        <f>SUM(AE53,AD53,AC53,AB53,Y53,U53,T53,S53,R53)</f>
        <v>0</v>
      </c>
      <c r="AG53" s="126"/>
      <c r="AH53" s="126"/>
      <c r="AI53" s="126"/>
      <c r="AJ53" s="130"/>
      <c r="AK53" s="130"/>
      <c r="AL53" s="130"/>
      <c r="AM53" s="127">
        <f>AG53*'1. Standard_Cost'!$B$27+'Incremental_Cost Year 1'!AH53*'1. Standard_Cost'!$C$27+'Incremental_Cost Year 1'!AI53*'1. Standard_Cost'!$D$27+'Incremental_Cost Year 1'!AJ53+'Incremental_Cost Year 1'!AL53+AK53</f>
        <v>0</v>
      </c>
      <c r="AN53" s="127">
        <f>AM53*'1. Standard_Cost'!$C$31</f>
        <v>0</v>
      </c>
      <c r="AO53" s="130"/>
      <c r="AQ53" s="171">
        <f>L53+M53</f>
        <v>352900.8</v>
      </c>
      <c r="AR53" s="171">
        <f>AF53</f>
        <v>0</v>
      </c>
      <c r="AS53" s="171">
        <f>AM53+AN53</f>
        <v>0</v>
      </c>
      <c r="AT53" s="171">
        <f>SUM(AQ53,AR53,AS53)</f>
        <v>352900.8</v>
      </c>
      <c r="AU53" s="250">
        <f>AQ53</f>
        <v>352900.8</v>
      </c>
      <c r="AV53" s="250"/>
      <c r="AW53" s="250"/>
      <c r="AX53" s="250"/>
      <c r="AY53" s="250"/>
      <c r="AZ53" s="250"/>
      <c r="BA53" s="250"/>
      <c r="BB53" s="251">
        <f t="shared" si="51"/>
        <v>0</v>
      </c>
      <c r="BC53" s="30"/>
      <c r="BD53" s="30"/>
      <c r="BE53" s="30"/>
      <c r="BF53" s="30"/>
    </row>
    <row r="54" spans="1:58" ht="78.75" outlineLevel="2" x14ac:dyDescent="0.25">
      <c r="A54" s="115"/>
      <c r="B54" s="200"/>
      <c r="C54" s="201"/>
      <c r="D54" s="135"/>
      <c r="E54" s="219"/>
      <c r="F54" s="219"/>
      <c r="G54" s="313"/>
      <c r="H54" s="199" t="s">
        <v>228</v>
      </c>
      <c r="I54" s="130" t="s">
        <v>5</v>
      </c>
      <c r="J54" s="126">
        <v>0.2</v>
      </c>
      <c r="K54" s="126">
        <v>36</v>
      </c>
      <c r="L54" s="125">
        <f>IF(I54&lt;&gt;0,((VLOOKUP(I54,'1. Standard_Cost'!$B$4:$D$11,2)+VLOOKUP(I54,'1. Standard_Cost'!$B$4:$D$11,3))*J54*K54),"0")</f>
        <v>509040</v>
      </c>
      <c r="M54" s="125">
        <f>L54*'1. Standard_Cost'!$F$4</f>
        <v>85009.680000000008</v>
      </c>
      <c r="N54" s="126"/>
      <c r="O54" s="126"/>
      <c r="P54" s="126"/>
      <c r="Q54" s="126"/>
      <c r="R54" s="127">
        <f>'1. Standard_Cost'!$B$15*N54*P54</f>
        <v>0</v>
      </c>
      <c r="S54" s="127">
        <f>N54*O54*P54*'1. Standard_Cost'!$C$15</f>
        <v>0</v>
      </c>
      <c r="T54" s="127">
        <f>N54*P54*Q54*'1. Standard_Cost'!$D$15</f>
        <v>0</v>
      </c>
      <c r="U54" s="127">
        <f>N54*O54*'1. Standard_Cost'!$E$15</f>
        <v>0</v>
      </c>
      <c r="V54" s="126"/>
      <c r="W54" s="126"/>
      <c r="X54" s="126"/>
      <c r="Y54" s="127">
        <f>+V54*((X54*'1. Standard_Cost'!$B$19)+(W54*X54*'1. Standard_Cost'!$C$19))</f>
        <v>0</v>
      </c>
      <c r="Z54" s="126"/>
      <c r="AA54" s="126"/>
      <c r="AB54" s="127">
        <f>+Z54*'1. Standard_Cost'!$B$23+AA54*'1. Standard_Cost'!$C$23</f>
        <v>0</v>
      </c>
      <c r="AC54" s="128"/>
      <c r="AD54" s="129"/>
      <c r="AE54" s="127">
        <f>SUM(AD54,AC54,AB54,Y54,U54,T54,S54,R54)*'1. Standard_Cost'!$B$31</f>
        <v>0</v>
      </c>
      <c r="AF54" s="127">
        <f>SUM(AE54,AD54,AC54,AB54,Y54,U54,T54,S54,R54)</f>
        <v>0</v>
      </c>
      <c r="AG54" s="126"/>
      <c r="AH54" s="126"/>
      <c r="AI54" s="126"/>
      <c r="AJ54" s="130"/>
      <c r="AK54" s="130"/>
      <c r="AL54" s="130"/>
      <c r="AM54" s="127">
        <f>AG54*'1. Standard_Cost'!$B$27+'Incremental_Cost Year 1'!AH54*'1. Standard_Cost'!$C$27+'Incremental_Cost Year 1'!AI54*'1. Standard_Cost'!$D$27+'Incremental_Cost Year 1'!AJ54+'Incremental_Cost Year 1'!AL54+AK54</f>
        <v>0</v>
      </c>
      <c r="AN54" s="127">
        <f>AM54*'1. Standard_Cost'!$C$31</f>
        <v>0</v>
      </c>
      <c r="AO54" s="130"/>
      <c r="AQ54" s="171">
        <f>L54+M54</f>
        <v>594049.68000000005</v>
      </c>
      <c r="AR54" s="171">
        <f>AF54</f>
        <v>0</v>
      </c>
      <c r="AS54" s="171">
        <f>AM54+AN54</f>
        <v>0</v>
      </c>
      <c r="AT54" s="171">
        <f>SUM(AQ54,AR54,AS54)</f>
        <v>594049.68000000005</v>
      </c>
      <c r="AU54" s="250">
        <f>AQ54</f>
        <v>594049.68000000005</v>
      </c>
      <c r="AV54" s="250"/>
      <c r="AW54" s="250"/>
      <c r="AX54" s="250"/>
      <c r="AY54" s="250"/>
      <c r="AZ54" s="250"/>
      <c r="BA54" s="250"/>
      <c r="BB54" s="251">
        <f t="shared" si="51"/>
        <v>0</v>
      </c>
      <c r="BC54" s="30"/>
      <c r="BD54" s="30"/>
      <c r="BE54" s="30"/>
      <c r="BF54" s="30"/>
    </row>
    <row r="55" spans="1:58" ht="63" outlineLevel="2" x14ac:dyDescent="0.25">
      <c r="A55" s="115"/>
      <c r="B55" s="200"/>
      <c r="C55" s="201"/>
      <c r="D55" s="223"/>
      <c r="E55" s="219"/>
      <c r="F55" s="219"/>
      <c r="G55" s="313"/>
      <c r="H55" s="199" t="s">
        <v>229</v>
      </c>
      <c r="I55" s="130" t="s">
        <v>3</v>
      </c>
      <c r="J55" s="126">
        <v>1</v>
      </c>
      <c r="K55" s="126">
        <v>1</v>
      </c>
      <c r="L55" s="125">
        <f>IF(I55&lt;&gt;0,((VLOOKUP(I55,'1. Standard_Cost'!$B$4:$D$11,2)+VLOOKUP(I55,'1. Standard_Cost'!$B$4:$D$11,3))*J55*K55),"0")</f>
        <v>100800</v>
      </c>
      <c r="M55" s="125">
        <f>L55*'1. Standard_Cost'!$F$4</f>
        <v>16833.600000000002</v>
      </c>
      <c r="N55" s="126"/>
      <c r="O55" s="126"/>
      <c r="P55" s="126"/>
      <c r="Q55" s="126"/>
      <c r="R55" s="127">
        <f>'1. Standard_Cost'!$B$15*N55*P55</f>
        <v>0</v>
      </c>
      <c r="S55" s="127">
        <f>N55*O55*P55*'1. Standard_Cost'!$C$15</f>
        <v>0</v>
      </c>
      <c r="T55" s="127">
        <f>N55*P55*Q55*'1. Standard_Cost'!$D$15</f>
        <v>0</v>
      </c>
      <c r="U55" s="127">
        <f>N55*O55*'1. Standard_Cost'!$E$15</f>
        <v>0</v>
      </c>
      <c r="V55" s="126"/>
      <c r="W55" s="126"/>
      <c r="X55" s="126"/>
      <c r="Y55" s="127">
        <f>+V55*((X55*'1. Standard_Cost'!$B$19)+(W55*X55*'1. Standard_Cost'!$C$19))</f>
        <v>0</v>
      </c>
      <c r="Z55" s="126"/>
      <c r="AA55" s="126"/>
      <c r="AB55" s="127">
        <f>+Z55*'1. Standard_Cost'!$B$23+AA55*'1. Standard_Cost'!$C$23</f>
        <v>0</v>
      </c>
      <c r="AC55" s="128"/>
      <c r="AD55" s="129"/>
      <c r="AE55" s="127">
        <f>SUM(AD55,AC55,AB55,Y55,U55,T55,S55,R55)*'1. Standard_Cost'!$B$31</f>
        <v>0</v>
      </c>
      <c r="AF55" s="127">
        <f>SUM(AE55,AD55,AC55,AB55,Y55,U55,T55,S55,R55)</f>
        <v>0</v>
      </c>
      <c r="AG55" s="126"/>
      <c r="AH55" s="126"/>
      <c r="AI55" s="126"/>
      <c r="AJ55" s="130"/>
      <c r="AK55" s="130"/>
      <c r="AL55" s="130"/>
      <c r="AM55" s="127">
        <f>AG55*'1. Standard_Cost'!$B$27+'Incremental_Cost Year 1'!AH55*'1. Standard_Cost'!$C$27+'Incremental_Cost Year 1'!AI55*'1. Standard_Cost'!$D$27+'Incremental_Cost Year 1'!AJ55+'Incremental_Cost Year 1'!AL55+AK55</f>
        <v>0</v>
      </c>
      <c r="AN55" s="127">
        <f>AM55*'1. Standard_Cost'!$C$31</f>
        <v>0</v>
      </c>
      <c r="AO55" s="130"/>
      <c r="AQ55" s="171">
        <f>L55+M55</f>
        <v>117633.60000000001</v>
      </c>
      <c r="AR55" s="171">
        <f>AF55</f>
        <v>0</v>
      </c>
      <c r="AS55" s="171">
        <f>AM55+AN55</f>
        <v>0</v>
      </c>
      <c r="AT55" s="171">
        <f>SUM(AQ55,AR55,AS55)</f>
        <v>117633.60000000001</v>
      </c>
      <c r="AU55" s="250">
        <f>AQ55</f>
        <v>117633.60000000001</v>
      </c>
      <c r="AV55" s="250"/>
      <c r="AW55" s="250"/>
      <c r="AX55" s="250"/>
      <c r="AY55" s="250"/>
      <c r="AZ55" s="250"/>
      <c r="BA55" s="250"/>
      <c r="BB55" s="251">
        <f t="shared" si="51"/>
        <v>0</v>
      </c>
      <c r="BC55" s="30"/>
      <c r="BD55" s="30"/>
      <c r="BE55" s="30"/>
      <c r="BF55" s="30"/>
    </row>
    <row r="56" spans="1:58" ht="94.5" outlineLevel="1" x14ac:dyDescent="0.25">
      <c r="A56" s="115"/>
      <c r="B56" s="165"/>
      <c r="C56" s="166"/>
      <c r="D56" s="107" t="s">
        <v>401</v>
      </c>
      <c r="E56" s="139" t="s">
        <v>214</v>
      </c>
      <c r="F56" s="222">
        <v>2021</v>
      </c>
      <c r="G56" s="117">
        <v>2030</v>
      </c>
      <c r="H56" s="134" t="s">
        <v>215</v>
      </c>
      <c r="I56" s="252"/>
      <c r="J56" s="252"/>
      <c r="K56" s="252"/>
      <c r="L56" s="127">
        <f>SUM(L51:L55)</f>
        <v>269704697.14285713</v>
      </c>
      <c r="M56" s="127">
        <f>SUM(M51:M55)</f>
        <v>45040684.422857143</v>
      </c>
      <c r="N56" s="127"/>
      <c r="O56" s="252"/>
      <c r="P56" s="252"/>
      <c r="Q56" s="252"/>
      <c r="R56" s="127">
        <f>SUM(R51:R55)</f>
        <v>0</v>
      </c>
      <c r="S56" s="127">
        <f>SUM(S51:S55)</f>
        <v>0</v>
      </c>
      <c r="T56" s="127">
        <f>SUM(T51:T55)</f>
        <v>0</v>
      </c>
      <c r="U56" s="127">
        <f>SUM(U51:U55)</f>
        <v>0</v>
      </c>
      <c r="V56" s="252"/>
      <c r="W56" s="252"/>
      <c r="X56" s="252"/>
      <c r="Y56" s="127">
        <f>SUM(Y51:Y55)</f>
        <v>0</v>
      </c>
      <c r="Z56" s="252"/>
      <c r="AA56" s="252"/>
      <c r="AB56" s="127">
        <f>SUM(AB51:AB55)</f>
        <v>0</v>
      </c>
      <c r="AC56" s="127">
        <f>SUM(AC51:AC55)</f>
        <v>10050000</v>
      </c>
      <c r="AD56" s="127">
        <f>SUM(AD51:AD55)</f>
        <v>0</v>
      </c>
      <c r="AE56" s="127">
        <f>SUM(AE51:AE55)</f>
        <v>2010000</v>
      </c>
      <c r="AF56" s="127">
        <f>SUM(AF51:AF55)</f>
        <v>12060000</v>
      </c>
      <c r="AG56" s="252"/>
      <c r="AH56" s="252"/>
      <c r="AI56" s="252"/>
      <c r="AJ56" s="127">
        <f>SUM(AJ51:AJ55)</f>
        <v>0</v>
      </c>
      <c r="AK56" s="127">
        <f>SUM(AK51:AK55)</f>
        <v>0</v>
      </c>
      <c r="AL56" s="127">
        <f>SUM(AL51:AL55)</f>
        <v>0</v>
      </c>
      <c r="AM56" s="127">
        <f>SUM(AM51:AM55)</f>
        <v>0</v>
      </c>
      <c r="AN56" s="127">
        <f>SUM(AN51:AN55)</f>
        <v>0</v>
      </c>
      <c r="AO56" s="253"/>
      <c r="AP56" s="254"/>
      <c r="AQ56" s="175">
        <f>SUM(AQ51:AQ55)</f>
        <v>314745381.5657143</v>
      </c>
      <c r="AR56" s="175">
        <f>SUM(AR51:AR55)</f>
        <v>12060000</v>
      </c>
      <c r="AS56" s="175">
        <f>SUM(AS51:AS55)</f>
        <v>0</v>
      </c>
      <c r="AT56" s="175">
        <f>SUM(AT51:AT55)</f>
        <v>326805381.5657143</v>
      </c>
      <c r="AU56" s="175">
        <f t="shared" ref="AU56:BA56" si="52">SUM(AU51:AU55)</f>
        <v>326805381.5657143</v>
      </c>
      <c r="AV56" s="175">
        <f t="shared" si="52"/>
        <v>0</v>
      </c>
      <c r="AW56" s="175">
        <f t="shared" si="52"/>
        <v>0</v>
      </c>
      <c r="AX56" s="175">
        <f t="shared" si="52"/>
        <v>0</v>
      </c>
      <c r="AY56" s="175">
        <f t="shared" si="52"/>
        <v>0</v>
      </c>
      <c r="AZ56" s="175">
        <f t="shared" si="52"/>
        <v>0</v>
      </c>
      <c r="BA56" s="175">
        <f t="shared" si="52"/>
        <v>0</v>
      </c>
      <c r="BB56" s="175">
        <f t="shared" ref="BB56" si="53">SUM(BB51:BB55)</f>
        <v>0</v>
      </c>
      <c r="BC56" s="30"/>
      <c r="BD56" s="30"/>
      <c r="BE56" s="30"/>
      <c r="BF56" s="30"/>
    </row>
    <row r="57" spans="1:58" ht="110.25" outlineLevel="2" x14ac:dyDescent="0.25">
      <c r="A57" s="115"/>
      <c r="B57" s="200"/>
      <c r="C57" s="201"/>
      <c r="D57" s="138"/>
      <c r="E57" s="219"/>
      <c r="F57" s="219"/>
      <c r="G57" s="313"/>
      <c r="H57" s="199" t="s">
        <v>402</v>
      </c>
      <c r="I57" s="130" t="s">
        <v>4</v>
      </c>
      <c r="J57" s="126">
        <v>1</v>
      </c>
      <c r="K57" s="126">
        <v>5</v>
      </c>
      <c r="L57" s="125">
        <f>IF(I57&lt;&gt;0,((VLOOKUP(I57,'1. Standard_Cost'!$B$4:$D$11,2)+VLOOKUP(I57,'1. Standard_Cost'!$B$4:$D$11,3))*J57*K57),"0")</f>
        <v>403750</v>
      </c>
      <c r="M57" s="125">
        <f>L57*'1. Standard_Cost'!$F$4</f>
        <v>67426.25</v>
      </c>
      <c r="N57" s="126"/>
      <c r="O57" s="126"/>
      <c r="P57" s="126"/>
      <c r="Q57" s="126"/>
      <c r="R57" s="127">
        <f>'1. Standard_Cost'!$B$15*N57*P57</f>
        <v>0</v>
      </c>
      <c r="S57" s="127">
        <f>N57*O57*P57*'1. Standard_Cost'!$C$15</f>
        <v>0</v>
      </c>
      <c r="T57" s="127">
        <f>N57*P57*Q57*'1. Standard_Cost'!$D$15</f>
        <v>0</v>
      </c>
      <c r="U57" s="127">
        <f>N57*O57*'1. Standard_Cost'!$E$15</f>
        <v>0</v>
      </c>
      <c r="V57" s="126"/>
      <c r="W57" s="126"/>
      <c r="X57" s="126"/>
      <c r="Y57" s="127">
        <f>+V57*((X57*'1. Standard_Cost'!$B$19)+(W57*X57*'1. Standard_Cost'!$C$19))</f>
        <v>0</v>
      </c>
      <c r="Z57" s="126"/>
      <c r="AA57" s="126"/>
      <c r="AB57" s="127">
        <f>+Z57*'1. Standard_Cost'!$B$23+AA57*'1. Standard_Cost'!$C$23</f>
        <v>0</v>
      </c>
      <c r="AC57" s="128">
        <v>1100000</v>
      </c>
      <c r="AD57" s="129"/>
      <c r="AE57" s="127"/>
      <c r="AF57" s="127">
        <f>SUM(AE57,AD57,AC57,AB57,Y57,U57,T57,S57,R57)</f>
        <v>1100000</v>
      </c>
      <c r="AG57" s="126"/>
      <c r="AH57" s="126"/>
      <c r="AI57" s="126"/>
      <c r="AJ57" s="130"/>
      <c r="AK57" s="130"/>
      <c r="AL57" s="130"/>
      <c r="AM57" s="127">
        <f>AG57*'1. Standard_Cost'!$B$27+'Incremental_Cost Year 1'!AH57*'1. Standard_Cost'!$C$27+'Incremental_Cost Year 1'!AI57*'1. Standard_Cost'!$D$27+'Incremental_Cost Year 1'!AJ57+'Incremental_Cost Year 1'!AL57+AK57</f>
        <v>0</v>
      </c>
      <c r="AN57" s="127">
        <f>AM57*'1. Standard_Cost'!$C$31</f>
        <v>0</v>
      </c>
      <c r="AO57" s="249"/>
      <c r="AQ57" s="171">
        <f>L57+M57</f>
        <v>471176.25</v>
      </c>
      <c r="AR57" s="171">
        <f>AF57</f>
        <v>1100000</v>
      </c>
      <c r="AS57" s="171">
        <f>AM57+AN57</f>
        <v>0</v>
      </c>
      <c r="AT57" s="171">
        <f>SUM(AQ57,AR57,AS57)</f>
        <v>1571176.25</v>
      </c>
      <c r="AU57" s="250">
        <f>AQ57</f>
        <v>471176.25</v>
      </c>
      <c r="AV57" s="250"/>
      <c r="AW57" s="250"/>
      <c r="AX57" s="250">
        <f>AR57</f>
        <v>1100000</v>
      </c>
      <c r="AY57" s="250"/>
      <c r="AZ57" s="250"/>
      <c r="BA57" s="250"/>
      <c r="BB57" s="251">
        <f t="shared" ref="BB57:BB59" si="54">SUM(AU57:BA57)-AT57</f>
        <v>0</v>
      </c>
      <c r="BC57" s="30"/>
      <c r="BD57" s="30"/>
      <c r="BE57" s="30"/>
      <c r="BF57" s="30"/>
    </row>
    <row r="58" spans="1:58" ht="63" outlineLevel="2" x14ac:dyDescent="0.25">
      <c r="A58" s="115"/>
      <c r="B58" s="200"/>
      <c r="C58" s="201"/>
      <c r="D58" s="135"/>
      <c r="E58" s="219"/>
      <c r="F58" s="219"/>
      <c r="G58" s="313"/>
      <c r="H58" s="199" t="s">
        <v>403</v>
      </c>
      <c r="I58" s="130"/>
      <c r="J58" s="126"/>
      <c r="K58" s="126"/>
      <c r="L58" s="125" t="str">
        <f>IF(I58&lt;&gt;0,((VLOOKUP(I58,'1. Standard_Cost'!$B$4:$D$11,2)+VLOOKUP(I58,'1. Standard_Cost'!$B$4:$D$11,3))*J58*K58),"0")</f>
        <v>0</v>
      </c>
      <c r="M58" s="125">
        <f>L58*'1. Standard_Cost'!$F$4</f>
        <v>0</v>
      </c>
      <c r="N58" s="126"/>
      <c r="O58" s="126"/>
      <c r="P58" s="126"/>
      <c r="Q58" s="126"/>
      <c r="R58" s="127">
        <f>'1. Standard_Cost'!$B$15*N58*P58</f>
        <v>0</v>
      </c>
      <c r="S58" s="127">
        <f>N58*O58*P58*'1. Standard_Cost'!$C$15</f>
        <v>0</v>
      </c>
      <c r="T58" s="127">
        <f>N58*P58*Q58*'1. Standard_Cost'!$D$15</f>
        <v>0</v>
      </c>
      <c r="U58" s="127">
        <f>N58*O58*'1. Standard_Cost'!$E$15</f>
        <v>0</v>
      </c>
      <c r="V58" s="126"/>
      <c r="W58" s="126"/>
      <c r="X58" s="126"/>
      <c r="Y58" s="127">
        <f>+V58*((X58*'1. Standard_Cost'!$B$19)+(W58*X58*'1. Standard_Cost'!$C$19))</f>
        <v>0</v>
      </c>
      <c r="Z58" s="126"/>
      <c r="AA58" s="126"/>
      <c r="AB58" s="127">
        <f>+Z58*'1. Standard_Cost'!$B$23+AA58*'1. Standard_Cost'!$C$23</f>
        <v>0</v>
      </c>
      <c r="AC58" s="128"/>
      <c r="AD58" s="129"/>
      <c r="AE58" s="127">
        <f>SUM(AD58,AC58,AB58,Y58,U58,T58,S58,R58)*'1. Standard_Cost'!$B$31</f>
        <v>0</v>
      </c>
      <c r="AF58" s="127">
        <f>SUM(AE58,AD58,AC58,AB58,Y58,U58,T58,S58,R58)</f>
        <v>0</v>
      </c>
      <c r="AG58" s="126"/>
      <c r="AH58" s="126"/>
      <c r="AI58" s="126"/>
      <c r="AJ58" s="130"/>
      <c r="AK58" s="130"/>
      <c r="AL58" s="130"/>
      <c r="AM58" s="127">
        <f>AG58*'1. Standard_Cost'!$B$27+'Incremental_Cost Year 1'!AH58*'1. Standard_Cost'!$C$27+'Incremental_Cost Year 1'!AI58*'1. Standard_Cost'!$D$27+'Incremental_Cost Year 1'!AJ58+'Incremental_Cost Year 1'!AL58+AK58</f>
        <v>0</v>
      </c>
      <c r="AN58" s="127">
        <f>AM58*'1. Standard_Cost'!$C$31</f>
        <v>0</v>
      </c>
      <c r="AO58" s="130"/>
      <c r="AQ58" s="171">
        <f>L58+M58</f>
        <v>0</v>
      </c>
      <c r="AR58" s="171">
        <f>AF58</f>
        <v>0</v>
      </c>
      <c r="AS58" s="171">
        <f>AM58+AN58</f>
        <v>0</v>
      </c>
      <c r="AT58" s="171">
        <f>SUM(AQ58,AR58,AS58)</f>
        <v>0</v>
      </c>
      <c r="AU58" s="250"/>
      <c r="AV58" s="250"/>
      <c r="AW58" s="250"/>
      <c r="AX58" s="250"/>
      <c r="AY58" s="250"/>
      <c r="AZ58" s="250"/>
      <c r="BA58" s="250"/>
      <c r="BB58" s="251">
        <f t="shared" si="54"/>
        <v>0</v>
      </c>
      <c r="BC58" s="30"/>
      <c r="BD58" s="30"/>
      <c r="BE58" s="30"/>
      <c r="BF58" s="30"/>
    </row>
    <row r="59" spans="1:58" ht="78.75" outlineLevel="2" x14ac:dyDescent="0.25">
      <c r="A59" s="115"/>
      <c r="B59" s="147"/>
      <c r="C59" s="314"/>
      <c r="D59" s="223"/>
      <c r="E59" s="122"/>
      <c r="F59" s="122"/>
      <c r="G59" s="123"/>
      <c r="H59" s="199" t="s">
        <v>309</v>
      </c>
      <c r="I59" s="130"/>
      <c r="J59" s="126"/>
      <c r="K59" s="126"/>
      <c r="L59" s="125" t="str">
        <f>IF(I59&lt;&gt;0,((VLOOKUP(I59,'1. Standard_Cost'!$B$4:$D$11,2)+VLOOKUP(I59,'1. Standard_Cost'!$B$4:$D$11,3))*J59*K59),"0")</f>
        <v>0</v>
      </c>
      <c r="M59" s="125">
        <f>L59*'1. Standard_Cost'!$F$4</f>
        <v>0</v>
      </c>
      <c r="N59" s="126"/>
      <c r="O59" s="126"/>
      <c r="P59" s="126"/>
      <c r="Q59" s="126"/>
      <c r="R59" s="127">
        <f>'1. Standard_Cost'!$B$15*N59*P59</f>
        <v>0</v>
      </c>
      <c r="S59" s="127">
        <f>N59*O59*P59*'1. Standard_Cost'!$C$15</f>
        <v>0</v>
      </c>
      <c r="T59" s="127">
        <f>N59*P59*Q59*'1. Standard_Cost'!$D$15</f>
        <v>0</v>
      </c>
      <c r="U59" s="127">
        <f>N59*O59*'1. Standard_Cost'!$E$15</f>
        <v>0</v>
      </c>
      <c r="V59" s="126"/>
      <c r="W59" s="126"/>
      <c r="X59" s="126"/>
      <c r="Y59" s="127">
        <f>+V59*((X59*'1. Standard_Cost'!$B$19)+(W59*X59*'1. Standard_Cost'!$C$19))</f>
        <v>0</v>
      </c>
      <c r="Z59" s="126"/>
      <c r="AA59" s="126"/>
      <c r="AB59" s="127">
        <f>+Z59*'1. Standard_Cost'!$B$23+AA59*'1. Standard_Cost'!$C$23</f>
        <v>0</v>
      </c>
      <c r="AC59" s="128"/>
      <c r="AD59" s="129"/>
      <c r="AE59" s="127">
        <f>SUM(AD59,AC59,AB59,Y59,U59,T59,S59,R59)*'1. Standard_Cost'!$B$31</f>
        <v>0</v>
      </c>
      <c r="AF59" s="127">
        <f>SUM(AE59,AD59,AC59,AB59,Y59,U59,T59,S59,R59)</f>
        <v>0</v>
      </c>
      <c r="AG59" s="126"/>
      <c r="AH59" s="126"/>
      <c r="AI59" s="126"/>
      <c r="AJ59" s="130"/>
      <c r="AK59" s="130"/>
      <c r="AL59" s="130"/>
      <c r="AM59" s="127">
        <f>AG59*'1. Standard_Cost'!$B$27+'Incremental_Cost Year 1'!AH59*'1. Standard_Cost'!$C$27+'Incremental_Cost Year 1'!AI59*'1. Standard_Cost'!$D$27+'Incremental_Cost Year 1'!AJ59+'Incremental_Cost Year 1'!AL59+AK59</f>
        <v>0</v>
      </c>
      <c r="AN59" s="127">
        <f>AM59*'1. Standard_Cost'!$C$31</f>
        <v>0</v>
      </c>
      <c r="AO59" s="130"/>
      <c r="AQ59" s="171">
        <f>L59+M59</f>
        <v>0</v>
      </c>
      <c r="AR59" s="171">
        <f>AF59</f>
        <v>0</v>
      </c>
      <c r="AS59" s="171">
        <f>AM59+AN59</f>
        <v>0</v>
      </c>
      <c r="AT59" s="171">
        <f>SUM(AQ59,AR59,AS59)</f>
        <v>0</v>
      </c>
      <c r="AU59" s="250"/>
      <c r="AV59" s="250"/>
      <c r="AW59" s="250"/>
      <c r="AX59" s="250"/>
      <c r="AY59" s="250"/>
      <c r="AZ59" s="250"/>
      <c r="BA59" s="250"/>
      <c r="BB59" s="251">
        <f t="shared" si="54"/>
        <v>0</v>
      </c>
      <c r="BC59" s="30"/>
      <c r="BD59" s="30"/>
      <c r="BE59" s="30"/>
      <c r="BF59" s="30"/>
    </row>
    <row r="60" spans="1:58" ht="31.5" outlineLevel="1" x14ac:dyDescent="0.25">
      <c r="A60" s="115"/>
      <c r="B60" s="200"/>
      <c r="C60" s="201"/>
      <c r="D60" s="132" t="s">
        <v>388</v>
      </c>
      <c r="E60" s="133" t="s">
        <v>216</v>
      </c>
      <c r="F60" s="122">
        <v>2021</v>
      </c>
      <c r="G60" s="223">
        <v>2030</v>
      </c>
      <c r="H60" s="134" t="s">
        <v>217</v>
      </c>
      <c r="I60" s="252"/>
      <c r="J60" s="252"/>
      <c r="K60" s="252"/>
      <c r="L60" s="127">
        <f>SUM(L57:L59)</f>
        <v>403750</v>
      </c>
      <c r="M60" s="127">
        <f>SUM(M57:M59)</f>
        <v>67426.25</v>
      </c>
      <c r="N60" s="127"/>
      <c r="O60" s="252"/>
      <c r="P60" s="252"/>
      <c r="Q60" s="252"/>
      <c r="R60" s="127">
        <f>SUM(R57:R59)</f>
        <v>0</v>
      </c>
      <c r="S60" s="127">
        <f>SUM(S57:S59)</f>
        <v>0</v>
      </c>
      <c r="T60" s="127">
        <f>SUM(T57:T59)</f>
        <v>0</v>
      </c>
      <c r="U60" s="127">
        <f>SUM(U57:U59)</f>
        <v>0</v>
      </c>
      <c r="V60" s="252"/>
      <c r="W60" s="252"/>
      <c r="X60" s="252"/>
      <c r="Y60" s="127">
        <f>SUM(Y57:Y59)</f>
        <v>0</v>
      </c>
      <c r="Z60" s="252"/>
      <c r="AA60" s="252"/>
      <c r="AB60" s="127">
        <f>SUM(AB57:AB59)</f>
        <v>0</v>
      </c>
      <c r="AC60" s="127">
        <f>SUM(AC57:AC59)</f>
        <v>1100000</v>
      </c>
      <c r="AD60" s="127">
        <f>SUM(AD57:AD59)</f>
        <v>0</v>
      </c>
      <c r="AE60" s="127">
        <f>SUM(AE57:AE59)</f>
        <v>0</v>
      </c>
      <c r="AF60" s="127">
        <f>SUM(AF57:AF59)</f>
        <v>1100000</v>
      </c>
      <c r="AG60" s="252"/>
      <c r="AH60" s="252"/>
      <c r="AI60" s="252"/>
      <c r="AJ60" s="127">
        <f>SUM(AJ57:AJ59)</f>
        <v>0</v>
      </c>
      <c r="AK60" s="127">
        <f>SUM(AK57:AK59)</f>
        <v>0</v>
      </c>
      <c r="AL60" s="127">
        <f>SUM(AL57:AL59)</f>
        <v>0</v>
      </c>
      <c r="AM60" s="127">
        <f>SUM(AM57:AM59)</f>
        <v>0</v>
      </c>
      <c r="AN60" s="127">
        <f>SUM(AN57:AN59)</f>
        <v>0</v>
      </c>
      <c r="AO60" s="253"/>
      <c r="AP60" s="254"/>
      <c r="AQ60" s="175">
        <f>SUM(AQ57:AQ59)</f>
        <v>471176.25</v>
      </c>
      <c r="AR60" s="175">
        <f>SUM(AR57:AR59)</f>
        <v>1100000</v>
      </c>
      <c r="AS60" s="175">
        <f>SUM(AS57:AS59)</f>
        <v>0</v>
      </c>
      <c r="AT60" s="175">
        <f>SUM(AT57:AT59)</f>
        <v>1571176.25</v>
      </c>
      <c r="AU60" s="175">
        <f t="shared" ref="AU60:BA60" si="55">SUM(AU57:AU59)</f>
        <v>471176.25</v>
      </c>
      <c r="AV60" s="175">
        <f t="shared" si="55"/>
        <v>0</v>
      </c>
      <c r="AW60" s="175">
        <f t="shared" si="55"/>
        <v>0</v>
      </c>
      <c r="AX60" s="175">
        <f t="shared" si="55"/>
        <v>1100000</v>
      </c>
      <c r="AY60" s="175">
        <f t="shared" si="55"/>
        <v>0</v>
      </c>
      <c r="AZ60" s="175">
        <f t="shared" si="55"/>
        <v>0</v>
      </c>
      <c r="BA60" s="175">
        <f t="shared" si="55"/>
        <v>0</v>
      </c>
      <c r="BB60" s="175">
        <f t="shared" ref="BB60" si="56">SUM(BB57:BB59)</f>
        <v>0</v>
      </c>
      <c r="BC60" s="30"/>
      <c r="BD60" s="30"/>
      <c r="BE60" s="30"/>
      <c r="BF60" s="30"/>
    </row>
    <row r="61" spans="1:58" s="32" customFormat="1" ht="58.9" customHeight="1" x14ac:dyDescent="0.25">
      <c r="A61" s="120"/>
      <c r="B61" s="285"/>
      <c r="C61" s="391" t="s">
        <v>218</v>
      </c>
      <c r="D61" s="391"/>
      <c r="E61" s="392"/>
      <c r="F61" s="282"/>
      <c r="G61" s="281"/>
      <c r="H61" s="114" t="s">
        <v>219</v>
      </c>
      <c r="I61" s="246"/>
      <c r="J61" s="246"/>
      <c r="K61" s="246"/>
      <c r="L61" s="247">
        <f>SUM(L77)</f>
        <v>144795475</v>
      </c>
      <c r="M61" s="247">
        <f>SUM(M77)</f>
        <v>24180844.324999999</v>
      </c>
      <c r="N61" s="247"/>
      <c r="O61" s="247"/>
      <c r="P61" s="247"/>
      <c r="Q61" s="247"/>
      <c r="R61" s="247">
        <f>SUM(R77)</f>
        <v>280000</v>
      </c>
      <c r="S61" s="247">
        <f>SUM(S77)</f>
        <v>420000</v>
      </c>
      <c r="T61" s="247">
        <f>SUM(T77)</f>
        <v>0</v>
      </c>
      <c r="U61" s="247">
        <f>SUM(U77)</f>
        <v>560000</v>
      </c>
      <c r="V61" s="247"/>
      <c r="W61" s="247"/>
      <c r="X61" s="247"/>
      <c r="Y61" s="247">
        <f>SUM(Y77)</f>
        <v>0</v>
      </c>
      <c r="Z61" s="247">
        <f t="shared" ref="Z61:AA61" si="57">SUM(Z77)</f>
        <v>0</v>
      </c>
      <c r="AA61" s="247">
        <f t="shared" si="57"/>
        <v>0</v>
      </c>
      <c r="AB61" s="247">
        <f t="shared" ref="AB61:AF61" si="58">SUM(AB77)</f>
        <v>171000</v>
      </c>
      <c r="AC61" s="247">
        <f t="shared" si="58"/>
        <v>31017416.666666668</v>
      </c>
      <c r="AD61" s="247">
        <f t="shared" si="58"/>
        <v>0</v>
      </c>
      <c r="AE61" s="247">
        <f t="shared" si="58"/>
        <v>6056350</v>
      </c>
      <c r="AF61" s="247">
        <f t="shared" si="58"/>
        <v>38504766.666666664</v>
      </c>
      <c r="AG61" s="247"/>
      <c r="AH61" s="247"/>
      <c r="AI61" s="247"/>
      <c r="AJ61" s="247">
        <f>SUM(AJ77)</f>
        <v>54900000</v>
      </c>
      <c r="AK61" s="247">
        <f>SUM(AK77)</f>
        <v>0</v>
      </c>
      <c r="AL61" s="247">
        <f>SUM(AL77)</f>
        <v>18000000</v>
      </c>
      <c r="AM61" s="247">
        <f>SUM(AM77)</f>
        <v>72900000</v>
      </c>
      <c r="AN61" s="247">
        <f>SUM(AN77)</f>
        <v>10935000</v>
      </c>
      <c r="AO61" s="247"/>
      <c r="AP61" s="244"/>
      <c r="AQ61" s="248">
        <f>SUM(AQ77)</f>
        <v>168976319.32499999</v>
      </c>
      <c r="AR61" s="248">
        <f>SUM(AR77)</f>
        <v>38504766.666666664</v>
      </c>
      <c r="AS61" s="248">
        <f>SUM(AS77)</f>
        <v>83835000</v>
      </c>
      <c r="AT61" s="248">
        <f>SUM(AT77)</f>
        <v>291316085.99166662</v>
      </c>
      <c r="AU61" s="248">
        <f t="shared" ref="AU61:BA61" si="59">SUM(AU77)</f>
        <v>287890085.99166662</v>
      </c>
      <c r="AV61" s="248">
        <f t="shared" si="59"/>
        <v>0</v>
      </c>
      <c r="AW61" s="248">
        <f t="shared" si="59"/>
        <v>0</v>
      </c>
      <c r="AX61" s="248">
        <f t="shared" si="59"/>
        <v>0</v>
      </c>
      <c r="AY61" s="248">
        <f t="shared" si="59"/>
        <v>3426000</v>
      </c>
      <c r="AZ61" s="248">
        <f t="shared" si="59"/>
        <v>0</v>
      </c>
      <c r="BA61" s="248">
        <f t="shared" si="59"/>
        <v>0</v>
      </c>
      <c r="BB61" s="248">
        <f>SUM(BB77)</f>
        <v>0</v>
      </c>
    </row>
    <row r="62" spans="1:58" ht="126" outlineLevel="2" x14ac:dyDescent="0.25">
      <c r="A62" s="115"/>
      <c r="B62" s="200"/>
      <c r="C62" s="201"/>
      <c r="D62" s="350"/>
      <c r="E62" s="315"/>
      <c r="F62" s="316"/>
      <c r="G62" s="317"/>
      <c r="H62" s="199" t="s">
        <v>404</v>
      </c>
      <c r="I62" s="130"/>
      <c r="J62" s="126"/>
      <c r="K62" s="126"/>
      <c r="L62" s="125" t="str">
        <f>IF(I62&lt;&gt;0,((VLOOKUP(I62,'1. Standard_Cost'!$B$4:$D$11,2)+VLOOKUP(I62,'1. Standard_Cost'!$B$4:$D$11,3))*J62*K62),"0")</f>
        <v>0</v>
      </c>
      <c r="M62" s="125">
        <f>L62*'1. Standard_Cost'!$F$4</f>
        <v>0</v>
      </c>
      <c r="N62" s="126"/>
      <c r="O62" s="126"/>
      <c r="P62" s="126"/>
      <c r="Q62" s="126"/>
      <c r="R62" s="127">
        <f>'1. Standard_Cost'!$B$15*N62*P62</f>
        <v>0</v>
      </c>
      <c r="S62" s="127">
        <f>N62*O62*P62*'1. Standard_Cost'!$C$15</f>
        <v>0</v>
      </c>
      <c r="T62" s="127">
        <f>N62*P62*Q62*'1. Standard_Cost'!$D$15</f>
        <v>0</v>
      </c>
      <c r="U62" s="127">
        <f>N62*O62*'1. Standard_Cost'!$E$15</f>
        <v>0</v>
      </c>
      <c r="V62" s="126"/>
      <c r="W62" s="126"/>
      <c r="X62" s="126"/>
      <c r="Y62" s="127">
        <f>+V62*((X62*'1. Standard_Cost'!$B$19)+(W62*X62*'1. Standard_Cost'!$C$19))</f>
        <v>0</v>
      </c>
      <c r="Z62" s="126"/>
      <c r="AA62" s="126"/>
      <c r="AB62" s="127">
        <f>+Z62*'1. Standard_Cost'!$B$23+AA62*'1. Standard_Cost'!$C$23</f>
        <v>0</v>
      </c>
      <c r="AC62" s="128"/>
      <c r="AD62" s="129"/>
      <c r="AE62" s="127">
        <f>SUM(AD62,AC62,AB62,Y62,U62,T62,S62,R62)*'1. Standard_Cost'!$B$31</f>
        <v>0</v>
      </c>
      <c r="AF62" s="127">
        <f t="shared" ref="AF62:AF67" si="60">SUM(AE62,AD62,AC62,AB62,Y62,U62,T62,S62,R62)</f>
        <v>0</v>
      </c>
      <c r="AG62" s="126"/>
      <c r="AH62" s="126"/>
      <c r="AI62" s="126"/>
      <c r="AJ62" s="130"/>
      <c r="AK62" s="130"/>
      <c r="AL62" s="130"/>
      <c r="AM62" s="127">
        <f>AG62*'1. Standard_Cost'!$B$27+'Incremental_Cost Year 1'!AH62*'1. Standard_Cost'!$C$27+'Incremental_Cost Year 1'!AI62*'1. Standard_Cost'!$D$27+'Incremental_Cost Year 1'!AJ62+'Incremental_Cost Year 1'!AL62+AK62</f>
        <v>0</v>
      </c>
      <c r="AN62" s="127">
        <f>AM62*'1. Standard_Cost'!$C$31</f>
        <v>0</v>
      </c>
      <c r="AO62" s="249"/>
      <c r="AQ62" s="171">
        <f t="shared" ref="AQ62:AQ76" si="61">L62+M62</f>
        <v>0</v>
      </c>
      <c r="AR62" s="171">
        <f t="shared" ref="AR62:AR76" si="62">AF62</f>
        <v>0</v>
      </c>
      <c r="AS62" s="171">
        <f t="shared" ref="AS62:AS76" si="63">AM62+AN62</f>
        <v>0</v>
      </c>
      <c r="AT62" s="171">
        <f t="shared" ref="AT62:AT76" si="64">SUM(AQ62,AR62,AS62)</f>
        <v>0</v>
      </c>
      <c r="AU62" s="250"/>
      <c r="AV62" s="250"/>
      <c r="AW62" s="250"/>
      <c r="AX62" s="250"/>
      <c r="AY62" s="250"/>
      <c r="AZ62" s="250"/>
      <c r="BA62" s="250"/>
      <c r="BB62" s="251">
        <f t="shared" ref="BB62" si="65">SUM(AU62:BA62)-AT62</f>
        <v>0</v>
      </c>
      <c r="BC62" s="30"/>
      <c r="BD62" s="30"/>
      <c r="BE62" s="30"/>
      <c r="BF62" s="30"/>
    </row>
    <row r="63" spans="1:58" ht="141.75" outlineLevel="2" x14ac:dyDescent="0.25">
      <c r="A63" s="115"/>
      <c r="B63" s="200"/>
      <c r="C63" s="201"/>
      <c r="D63" s="141"/>
      <c r="E63" s="318"/>
      <c r="F63" s="219"/>
      <c r="G63" s="313"/>
      <c r="H63" s="199" t="s">
        <v>405</v>
      </c>
      <c r="I63" s="130"/>
      <c r="J63" s="126"/>
      <c r="K63" s="126"/>
      <c r="L63" s="125" t="str">
        <f>IF(I63&lt;&gt;0,((VLOOKUP(I63,'1. Standard_Cost'!$B$4:$D$11,2)+VLOOKUP(I63,'1. Standard_Cost'!$B$4:$D$11,3))*J63*K63),"0")</f>
        <v>0</v>
      </c>
      <c r="M63" s="125">
        <f>L63*'1. Standard_Cost'!$F$4</f>
        <v>0</v>
      </c>
      <c r="N63" s="126"/>
      <c r="O63" s="126"/>
      <c r="P63" s="126"/>
      <c r="Q63" s="126"/>
      <c r="R63" s="127">
        <f>'1. Standard_Cost'!$B$15*N63*P63</f>
        <v>0</v>
      </c>
      <c r="S63" s="127">
        <f>N63*O63*P63*'1. Standard_Cost'!$C$15</f>
        <v>0</v>
      </c>
      <c r="T63" s="127">
        <f>N63*P63*Q63*'1. Standard_Cost'!$D$15</f>
        <v>0</v>
      </c>
      <c r="U63" s="127">
        <f>N63*O63*'1. Standard_Cost'!$E$15</f>
        <v>0</v>
      </c>
      <c r="V63" s="126"/>
      <c r="W63" s="126"/>
      <c r="X63" s="126"/>
      <c r="Y63" s="127">
        <f>+V63*((X63*'1. Standard_Cost'!$B$19)+(W63*X63*'1. Standard_Cost'!$C$19))</f>
        <v>0</v>
      </c>
      <c r="Z63" s="126"/>
      <c r="AA63" s="126"/>
      <c r="AB63" s="127">
        <f>+Z63*'1. Standard_Cost'!$B$23+AA63*'1. Standard_Cost'!$C$23</f>
        <v>0</v>
      </c>
      <c r="AC63" s="128"/>
      <c r="AD63" s="129"/>
      <c r="AE63" s="127">
        <f>SUM(AD63,AC63,AB63,Y63,U63,T63,S63,R63)*'1. Standard_Cost'!$B$31</f>
        <v>0</v>
      </c>
      <c r="AF63" s="127">
        <f t="shared" si="60"/>
        <v>0</v>
      </c>
      <c r="AG63" s="126"/>
      <c r="AH63" s="126"/>
      <c r="AI63" s="126"/>
      <c r="AJ63" s="130"/>
      <c r="AK63" s="130"/>
      <c r="AL63" s="130"/>
      <c r="AM63" s="127">
        <f>AG63*'1. Standard_Cost'!$B$27+'Incremental_Cost Year 1'!AH63*'1. Standard_Cost'!$C$27+'Incremental_Cost Year 1'!AI63*'1. Standard_Cost'!$D$27+'Incremental_Cost Year 1'!AJ63+'Incremental_Cost Year 1'!AL63+AK63</f>
        <v>0</v>
      </c>
      <c r="AN63" s="127">
        <f>AM63*'1. Standard_Cost'!$C$31</f>
        <v>0</v>
      </c>
      <c r="AO63" s="249"/>
      <c r="AQ63" s="171">
        <f t="shared" si="61"/>
        <v>0</v>
      </c>
      <c r="AR63" s="171">
        <f t="shared" si="62"/>
        <v>0</v>
      </c>
      <c r="AS63" s="171">
        <f t="shared" si="63"/>
        <v>0</v>
      </c>
      <c r="AT63" s="171">
        <f t="shared" si="64"/>
        <v>0</v>
      </c>
      <c r="AU63" s="250"/>
      <c r="AV63" s="250"/>
      <c r="AW63" s="250"/>
      <c r="AX63" s="250"/>
      <c r="AY63" s="250"/>
      <c r="AZ63" s="250"/>
      <c r="BA63" s="250"/>
      <c r="BB63" s="251">
        <f t="shared" ref="BB63:BB76" si="66">SUM(AU63:BA63)-AT63</f>
        <v>0</v>
      </c>
      <c r="BC63" s="30"/>
      <c r="BD63" s="30"/>
      <c r="BE63" s="30"/>
      <c r="BF63" s="30"/>
    </row>
    <row r="64" spans="1:58" ht="63" outlineLevel="2" x14ac:dyDescent="0.25">
      <c r="A64" s="115"/>
      <c r="B64" s="200"/>
      <c r="C64" s="201"/>
      <c r="D64" s="131"/>
      <c r="E64" s="319"/>
      <c r="F64" s="219"/>
      <c r="G64" s="313"/>
      <c r="H64" s="199" t="s">
        <v>406</v>
      </c>
      <c r="I64" s="130" t="s">
        <v>1</v>
      </c>
      <c r="J64" s="126">
        <v>3</v>
      </c>
      <c r="K64" s="126">
        <v>130</v>
      </c>
      <c r="L64" s="125">
        <f>IF(I64&lt;&gt;0,((VLOOKUP(I64,'1. Standard_Cost'!$B$4:$D$11,2)+VLOOKUP(I64,'1. Standard_Cost'!$B$4:$D$11,3))*J64*K64),"0")</f>
        <v>27999214.285714284</v>
      </c>
      <c r="M64" s="125">
        <f>L64*'1. Standard_Cost'!$F$4</f>
        <v>4675868.7857142854</v>
      </c>
      <c r="N64" s="126"/>
      <c r="O64" s="126"/>
      <c r="P64" s="126"/>
      <c r="Q64" s="126"/>
      <c r="R64" s="127">
        <f>'1. Standard_Cost'!$B$15*N64*P64</f>
        <v>0</v>
      </c>
      <c r="S64" s="127">
        <f>N64*O64*P64*'1. Standard_Cost'!$C$15</f>
        <v>0</v>
      </c>
      <c r="T64" s="127">
        <f>N64*P64*Q64*'1. Standard_Cost'!$D$15</f>
        <v>0</v>
      </c>
      <c r="U64" s="127">
        <f>N64*O64*'1. Standard_Cost'!$E$15</f>
        <v>0</v>
      </c>
      <c r="V64" s="126"/>
      <c r="W64" s="126"/>
      <c r="X64" s="126"/>
      <c r="Y64" s="127">
        <f>+V64*((X64*'1. Standard_Cost'!$B$19)+(W64*X64*'1. Standard_Cost'!$C$19))</f>
        <v>0</v>
      </c>
      <c r="Z64" s="126"/>
      <c r="AA64" s="126"/>
      <c r="AB64" s="127">
        <f>+Z64*'1. Standard_Cost'!$B$23+AA64*'1. Standard_Cost'!$C$23</f>
        <v>0</v>
      </c>
      <c r="AC64" s="128"/>
      <c r="AD64" s="129"/>
      <c r="AE64" s="127">
        <f>SUM(AD64,AC64,AB64,Y64,U64,T64,S64,R64)*'1. Standard_Cost'!$B$31</f>
        <v>0</v>
      </c>
      <c r="AF64" s="127">
        <f t="shared" si="60"/>
        <v>0</v>
      </c>
      <c r="AG64" s="126"/>
      <c r="AH64" s="126"/>
      <c r="AI64" s="126"/>
      <c r="AJ64" s="130"/>
      <c r="AK64" s="130"/>
      <c r="AL64" s="130"/>
      <c r="AM64" s="127">
        <f>AG64*'1. Standard_Cost'!$B$27+'Incremental_Cost Year 1'!AH64*'1. Standard_Cost'!$C$27+'Incremental_Cost Year 1'!AI64*'1. Standard_Cost'!$D$27+'Incremental_Cost Year 1'!AJ64+'Incremental_Cost Year 1'!AL64+AK64</f>
        <v>0</v>
      </c>
      <c r="AN64" s="127">
        <f>AM64*'1. Standard_Cost'!$C$31</f>
        <v>0</v>
      </c>
      <c r="AO64" s="130"/>
      <c r="AQ64" s="171">
        <f t="shared" si="61"/>
        <v>32675083.071428567</v>
      </c>
      <c r="AR64" s="171">
        <f t="shared" si="62"/>
        <v>0</v>
      </c>
      <c r="AS64" s="171">
        <f t="shared" si="63"/>
        <v>0</v>
      </c>
      <c r="AT64" s="171">
        <f t="shared" si="64"/>
        <v>32675083.071428567</v>
      </c>
      <c r="AU64" s="250">
        <f>AT64</f>
        <v>32675083.071428567</v>
      </c>
      <c r="AV64" s="250"/>
      <c r="AW64" s="250"/>
      <c r="AX64" s="250"/>
      <c r="AY64" s="250"/>
      <c r="AZ64" s="250"/>
      <c r="BA64" s="250"/>
      <c r="BB64" s="251">
        <f t="shared" si="66"/>
        <v>0</v>
      </c>
      <c r="BC64" s="30"/>
      <c r="BD64" s="30"/>
      <c r="BE64" s="30"/>
      <c r="BF64" s="30"/>
    </row>
    <row r="65" spans="1:58" ht="31.5" outlineLevel="2" x14ac:dyDescent="0.25">
      <c r="A65" s="115"/>
      <c r="B65" s="200"/>
      <c r="C65" s="201"/>
      <c r="D65" s="131"/>
      <c r="E65" s="318"/>
      <c r="F65" s="219"/>
      <c r="G65" s="313"/>
      <c r="H65" s="199" t="s">
        <v>407</v>
      </c>
      <c r="I65" s="130" t="s">
        <v>1</v>
      </c>
      <c r="J65" s="126">
        <v>3</v>
      </c>
      <c r="K65" s="126">
        <v>93</v>
      </c>
      <c r="L65" s="125">
        <f>IF(I65&lt;&gt;0,((VLOOKUP(I65,'1. Standard_Cost'!$B$4:$D$11,2)+VLOOKUP(I65,'1. Standard_Cost'!$B$4:$D$11,3))*J65*K65),"0")</f>
        <v>20030207.142857142</v>
      </c>
      <c r="M65" s="125">
        <f>L65*'1. Standard_Cost'!$F$4</f>
        <v>3345044.5928571429</v>
      </c>
      <c r="N65" s="126"/>
      <c r="O65" s="126"/>
      <c r="P65" s="126"/>
      <c r="Q65" s="126"/>
      <c r="R65" s="127">
        <f>'1. Standard_Cost'!$B$15*N65*P65</f>
        <v>0</v>
      </c>
      <c r="S65" s="127">
        <f>N65*O65*P65*'1. Standard_Cost'!$C$15</f>
        <v>0</v>
      </c>
      <c r="T65" s="127">
        <f>N65*P65*Q65*'1. Standard_Cost'!$D$15</f>
        <v>0</v>
      </c>
      <c r="U65" s="127">
        <f>N65*O65*'1. Standard_Cost'!$E$15</f>
        <v>0</v>
      </c>
      <c r="V65" s="126"/>
      <c r="W65" s="126"/>
      <c r="X65" s="126"/>
      <c r="Y65" s="127">
        <f>+V65*((X65*'1. Standard_Cost'!$B$19)+(W65*X65*'1. Standard_Cost'!$C$19))</f>
        <v>0</v>
      </c>
      <c r="Z65" s="126"/>
      <c r="AA65" s="126"/>
      <c r="AB65" s="127">
        <f>+Z65*'1. Standard_Cost'!$B$23+AA65*'1. Standard_Cost'!$C$23</f>
        <v>0</v>
      </c>
      <c r="AC65" s="128"/>
      <c r="AD65" s="129"/>
      <c r="AE65" s="127">
        <f>SUM(AD65,AC65,AB65,Y65,U65,T65,S65,R65)*'1. Standard_Cost'!$B$31</f>
        <v>0</v>
      </c>
      <c r="AF65" s="127">
        <f t="shared" si="60"/>
        <v>0</v>
      </c>
      <c r="AG65" s="126"/>
      <c r="AH65" s="126"/>
      <c r="AI65" s="126"/>
      <c r="AJ65" s="130"/>
      <c r="AK65" s="130"/>
      <c r="AL65" s="130"/>
      <c r="AM65" s="127">
        <f>AG65*'1. Standard_Cost'!$B$27+'Incremental_Cost Year 1'!AH65*'1. Standard_Cost'!$C$27+'Incremental_Cost Year 1'!AI65*'1. Standard_Cost'!$D$27+'Incremental_Cost Year 1'!AJ65+'Incremental_Cost Year 1'!AL65+AK65</f>
        <v>0</v>
      </c>
      <c r="AN65" s="127">
        <f>AM65*'1. Standard_Cost'!$C$31</f>
        <v>0</v>
      </c>
      <c r="AO65" s="130"/>
      <c r="AQ65" s="171">
        <f t="shared" si="61"/>
        <v>23375251.735714287</v>
      </c>
      <c r="AR65" s="171">
        <f t="shared" si="62"/>
        <v>0</v>
      </c>
      <c r="AS65" s="171">
        <f t="shared" si="63"/>
        <v>0</v>
      </c>
      <c r="AT65" s="171">
        <f t="shared" si="64"/>
        <v>23375251.735714287</v>
      </c>
      <c r="AU65" s="250">
        <f>AT65</f>
        <v>23375251.735714287</v>
      </c>
      <c r="AV65" s="250"/>
      <c r="AW65" s="250"/>
      <c r="AX65" s="250"/>
      <c r="AY65" s="250"/>
      <c r="AZ65" s="250"/>
      <c r="BA65" s="250"/>
      <c r="BB65" s="251">
        <f t="shared" si="66"/>
        <v>0</v>
      </c>
      <c r="BC65" s="30"/>
      <c r="BD65" s="30"/>
      <c r="BE65" s="30"/>
      <c r="BF65" s="30"/>
    </row>
    <row r="66" spans="1:58" ht="94.5" outlineLevel="2" x14ac:dyDescent="0.25">
      <c r="A66" s="115"/>
      <c r="B66" s="200"/>
      <c r="C66" s="201"/>
      <c r="D66" s="131"/>
      <c r="E66" s="318"/>
      <c r="F66" s="219"/>
      <c r="G66" s="313"/>
      <c r="H66" s="199" t="s">
        <v>548</v>
      </c>
      <c r="I66" s="130"/>
      <c r="J66" s="126"/>
      <c r="K66" s="126"/>
      <c r="L66" s="125" t="str">
        <f>IF(I66&lt;&gt;0,((VLOOKUP(I66,'1. Standard_Cost'!$B$4:$D$11,2)+VLOOKUP(I66,'1. Standard_Cost'!$B$4:$D$11,3))*J66*K66),"0")</f>
        <v>0</v>
      </c>
      <c r="M66" s="125">
        <f>L66*'1. Standard_Cost'!$F$4</f>
        <v>0</v>
      </c>
      <c r="N66" s="126"/>
      <c r="O66" s="126"/>
      <c r="P66" s="126"/>
      <c r="Q66" s="126"/>
      <c r="R66" s="127">
        <f>'1. Standard_Cost'!$B$15*N66*P66</f>
        <v>0</v>
      </c>
      <c r="S66" s="127">
        <f>N66*O66*P66*'1. Standard_Cost'!$C$15</f>
        <v>0</v>
      </c>
      <c r="T66" s="127">
        <f>N66*P66*Q66*'1. Standard_Cost'!$D$15</f>
        <v>0</v>
      </c>
      <c r="U66" s="127">
        <f>N66*O66*'1. Standard_Cost'!$E$15</f>
        <v>0</v>
      </c>
      <c r="V66" s="126"/>
      <c r="W66" s="126"/>
      <c r="X66" s="126"/>
      <c r="Y66" s="127">
        <f>+V66*((X66*'1. Standard_Cost'!$B$19)+(W66*X66*'1. Standard_Cost'!$C$19))</f>
        <v>0</v>
      </c>
      <c r="Z66" s="126"/>
      <c r="AA66" s="126"/>
      <c r="AB66" s="127">
        <f>+Z66*'1. Standard_Cost'!$B$23+AA66*'1. Standard_Cost'!$C$23</f>
        <v>0</v>
      </c>
      <c r="AC66" s="128"/>
      <c r="AD66" s="129"/>
      <c r="AE66" s="127">
        <f>SUM(AD66,AC66,AB66,Y66,U66,T66,S66,R66)*'1. Standard_Cost'!$B$31</f>
        <v>0</v>
      </c>
      <c r="AF66" s="127">
        <f t="shared" si="60"/>
        <v>0</v>
      </c>
      <c r="AG66" s="126"/>
      <c r="AH66" s="126"/>
      <c r="AI66" s="126"/>
      <c r="AJ66" s="130"/>
      <c r="AK66" s="130"/>
      <c r="AL66" s="130"/>
      <c r="AM66" s="127">
        <f>AG66*'1. Standard_Cost'!$B$27+'Incremental_Cost Year 1'!AH66*'1. Standard_Cost'!$C$27+'Incremental_Cost Year 1'!AI66*'1. Standard_Cost'!$D$27+'Incremental_Cost Year 1'!AJ66+'Incremental_Cost Year 1'!AL66+AK66</f>
        <v>0</v>
      </c>
      <c r="AN66" s="127">
        <f>AM66*'1. Standard_Cost'!$C$31</f>
        <v>0</v>
      </c>
      <c r="AO66" s="130"/>
      <c r="AQ66" s="171">
        <f t="shared" si="61"/>
        <v>0</v>
      </c>
      <c r="AR66" s="171">
        <f t="shared" si="62"/>
        <v>0</v>
      </c>
      <c r="AS66" s="171">
        <f t="shared" si="63"/>
        <v>0</v>
      </c>
      <c r="AT66" s="171">
        <f t="shared" si="64"/>
        <v>0</v>
      </c>
      <c r="AU66" s="250"/>
      <c r="AV66" s="250"/>
      <c r="AW66" s="250"/>
      <c r="AX66" s="250"/>
      <c r="AY66" s="250"/>
      <c r="AZ66" s="250"/>
      <c r="BA66" s="250"/>
      <c r="BB66" s="251">
        <f t="shared" si="66"/>
        <v>0</v>
      </c>
      <c r="BC66" s="30"/>
      <c r="BD66" s="30"/>
      <c r="BE66" s="30"/>
      <c r="BF66" s="30"/>
    </row>
    <row r="67" spans="1:58" ht="31.5" outlineLevel="2" x14ac:dyDescent="0.25">
      <c r="A67" s="115"/>
      <c r="B67" s="200"/>
      <c r="C67" s="201"/>
      <c r="D67" s="131"/>
      <c r="E67" s="318"/>
      <c r="F67" s="219"/>
      <c r="G67" s="313"/>
      <c r="H67" s="199" t="s">
        <v>408</v>
      </c>
      <c r="I67" s="130" t="s">
        <v>1</v>
      </c>
      <c r="J67" s="126">
        <v>3</v>
      </c>
      <c r="K67" s="126">
        <v>400</v>
      </c>
      <c r="L67" s="125">
        <f>IF(I67&lt;&gt;0,((VLOOKUP(I67,'1. Standard_Cost'!$B$4:$D$11,2)+VLOOKUP(I67,'1. Standard_Cost'!$B$4:$D$11,3))*J67*K67),"0")</f>
        <v>86151428.571428567</v>
      </c>
      <c r="M67" s="125">
        <f>L67*'1. Standard_Cost'!$F$4</f>
        <v>14387288.571428571</v>
      </c>
      <c r="N67" s="126"/>
      <c r="O67" s="126"/>
      <c r="P67" s="126"/>
      <c r="Q67" s="126"/>
      <c r="R67" s="127">
        <f>'1. Standard_Cost'!$B$15*N67*P67</f>
        <v>0</v>
      </c>
      <c r="S67" s="127">
        <f>N67*O67*P67*'1. Standard_Cost'!$C$15</f>
        <v>0</v>
      </c>
      <c r="T67" s="127">
        <f>N67*P67*Q67*'1. Standard_Cost'!$D$15</f>
        <v>0</v>
      </c>
      <c r="U67" s="127">
        <f>N67*O67*'1. Standard_Cost'!$E$15</f>
        <v>0</v>
      </c>
      <c r="V67" s="126"/>
      <c r="W67" s="126"/>
      <c r="X67" s="126"/>
      <c r="Y67" s="127">
        <f>+V67*((X67*'1. Standard_Cost'!$B$19)+(W67*X67*'1. Standard_Cost'!$C$19))</f>
        <v>0</v>
      </c>
      <c r="Z67" s="126"/>
      <c r="AA67" s="126"/>
      <c r="AB67" s="127">
        <f>+Z67*'1. Standard_Cost'!$B$23+AA67*'1. Standard_Cost'!$C$23</f>
        <v>0</v>
      </c>
      <c r="AC67" s="128">
        <f>109707000/12*3</f>
        <v>27426750</v>
      </c>
      <c r="AD67" s="129"/>
      <c r="AE67" s="127">
        <f>SUM(AD67,AC67,AB67,Y67,U67,T67,S67,R67)*'1. Standard_Cost'!$B$31</f>
        <v>5485350</v>
      </c>
      <c r="AF67" s="127">
        <f t="shared" si="60"/>
        <v>32912100</v>
      </c>
      <c r="AG67" s="126"/>
      <c r="AH67" s="126"/>
      <c r="AI67" s="126"/>
      <c r="AJ67" s="130"/>
      <c r="AK67" s="130"/>
      <c r="AL67" s="130"/>
      <c r="AM67" s="127">
        <f>AG67*'1. Standard_Cost'!$B$27+'Incremental_Cost Year 1'!AH67*'1. Standard_Cost'!$C$27+'Incremental_Cost Year 1'!AI67*'1. Standard_Cost'!$D$27+'Incremental_Cost Year 1'!AJ67+'Incremental_Cost Year 1'!AL67+AK67</f>
        <v>0</v>
      </c>
      <c r="AN67" s="127">
        <f>AM67*'1. Standard_Cost'!$C$31</f>
        <v>0</v>
      </c>
      <c r="AO67" s="130"/>
      <c r="AQ67" s="171">
        <f t="shared" si="61"/>
        <v>100538717.14285713</v>
      </c>
      <c r="AR67" s="171">
        <f t="shared" si="62"/>
        <v>32912100</v>
      </c>
      <c r="AS67" s="171">
        <f t="shared" si="63"/>
        <v>0</v>
      </c>
      <c r="AT67" s="171">
        <f t="shared" si="64"/>
        <v>133450817.14285713</v>
      </c>
      <c r="AU67" s="250">
        <f>AT67</f>
        <v>133450817.14285713</v>
      </c>
      <c r="AV67" s="250"/>
      <c r="AW67" s="250"/>
      <c r="AX67" s="250"/>
      <c r="AY67" s="250"/>
      <c r="AZ67" s="250"/>
      <c r="BA67" s="250"/>
      <c r="BB67" s="251">
        <f t="shared" si="66"/>
        <v>0</v>
      </c>
      <c r="BC67" s="30"/>
      <c r="BD67" s="30"/>
      <c r="BE67" s="30"/>
      <c r="BF67" s="30"/>
    </row>
    <row r="68" spans="1:58" ht="94.5" outlineLevel="2" x14ac:dyDescent="0.25">
      <c r="A68" s="115"/>
      <c r="B68" s="200"/>
      <c r="C68" s="201"/>
      <c r="D68" s="131"/>
      <c r="E68" s="318"/>
      <c r="F68" s="219"/>
      <c r="G68" s="313"/>
      <c r="H68" s="199" t="s">
        <v>409</v>
      </c>
      <c r="I68" s="130"/>
      <c r="J68" s="126"/>
      <c r="K68" s="126"/>
      <c r="L68" s="125" t="str">
        <f>IF(I68&lt;&gt;0,((VLOOKUP(I68,'1. Standard_Cost'!$B$4:$D$11,2)+VLOOKUP(I68,'1. Standard_Cost'!$B$4:$D$11,3))*J68*K68),"0")</f>
        <v>0</v>
      </c>
      <c r="M68" s="125">
        <f>L68*'1. Standard_Cost'!$F$4</f>
        <v>0</v>
      </c>
      <c r="N68" s="126"/>
      <c r="O68" s="126"/>
      <c r="P68" s="126"/>
      <c r="Q68" s="126"/>
      <c r="R68" s="127">
        <f>'1. Standard_Cost'!$B$15*N68*P68</f>
        <v>0</v>
      </c>
      <c r="S68" s="127">
        <f>N68*O68*P68*'1. Standard_Cost'!$C$15</f>
        <v>0</v>
      </c>
      <c r="T68" s="127">
        <f>N68*P68*Q68*'1. Standard_Cost'!$D$15</f>
        <v>0</v>
      </c>
      <c r="U68" s="127">
        <f>N68*O68*'1. Standard_Cost'!$E$15</f>
        <v>0</v>
      </c>
      <c r="V68" s="126"/>
      <c r="W68" s="126"/>
      <c r="X68" s="126"/>
      <c r="Y68" s="127">
        <f>+V68*((X68*'1. Standard_Cost'!$B$19)+(W68*X68*'1. Standard_Cost'!$C$19))</f>
        <v>0</v>
      </c>
      <c r="Z68" s="126"/>
      <c r="AA68" s="126"/>
      <c r="AB68" s="127">
        <f>+Z68*'1. Standard_Cost'!$B$23+AA68*'1. Standard_Cost'!$C$23</f>
        <v>0</v>
      </c>
      <c r="AC68" s="128"/>
      <c r="AD68" s="129"/>
      <c r="AE68" s="127">
        <f>SUM(AD68,AC68,AB68,Y68,U68,T68,S68,R68)*'1. Standard_Cost'!$B$31</f>
        <v>0</v>
      </c>
      <c r="AF68" s="127">
        <f>SUM(AE68,AD68,AC68,AB68,Y68,U68,T68,S68,R68)</f>
        <v>0</v>
      </c>
      <c r="AG68" s="126"/>
      <c r="AH68" s="126"/>
      <c r="AI68" s="126"/>
      <c r="AJ68" s="130"/>
      <c r="AK68" s="130"/>
      <c r="AL68" s="130"/>
      <c r="AM68" s="127">
        <f>AG68*'1. Standard_Cost'!$B$27+'Incremental_Cost Year 1'!AH68*'1. Standard_Cost'!$C$27+'Incremental_Cost Year 1'!AI68*'1. Standard_Cost'!$D$27+'Incremental_Cost Year 1'!AJ68+'Incremental_Cost Year 1'!AL68+AK68</f>
        <v>0</v>
      </c>
      <c r="AN68" s="127">
        <f>AM68*'1. Standard_Cost'!$C$31</f>
        <v>0</v>
      </c>
      <c r="AO68" s="130"/>
      <c r="AQ68" s="171">
        <f t="shared" si="61"/>
        <v>0</v>
      </c>
      <c r="AR68" s="171">
        <f t="shared" si="62"/>
        <v>0</v>
      </c>
      <c r="AS68" s="171">
        <f t="shared" si="63"/>
        <v>0</v>
      </c>
      <c r="AT68" s="171">
        <f t="shared" si="64"/>
        <v>0</v>
      </c>
      <c r="AU68" s="250"/>
      <c r="AV68" s="250"/>
      <c r="AW68" s="250"/>
      <c r="AX68" s="250"/>
      <c r="AY68" s="250"/>
      <c r="AZ68" s="250"/>
      <c r="BA68" s="250"/>
      <c r="BB68" s="251">
        <f t="shared" si="66"/>
        <v>0</v>
      </c>
      <c r="BC68" s="30"/>
      <c r="BD68" s="30"/>
      <c r="BE68" s="30"/>
      <c r="BF68" s="30"/>
    </row>
    <row r="69" spans="1:58" ht="47.25" outlineLevel="2" x14ac:dyDescent="0.25">
      <c r="A69" s="115"/>
      <c r="B69" s="200"/>
      <c r="C69" s="201"/>
      <c r="D69" s="131"/>
      <c r="E69" s="318"/>
      <c r="F69" s="219"/>
      <c r="G69" s="313"/>
      <c r="H69" s="199" t="s">
        <v>224</v>
      </c>
      <c r="I69" s="130"/>
      <c r="J69" s="126"/>
      <c r="K69" s="126"/>
      <c r="L69" s="125" t="str">
        <f>IF(I69&lt;&gt;0,((VLOOKUP(I69,'1. Standard_Cost'!$B$4:$D$11,2)+VLOOKUP(I69,'1. Standard_Cost'!$B$4:$D$11,3))*J69*K69),"0")</f>
        <v>0</v>
      </c>
      <c r="M69" s="125">
        <f>L69*'1. Standard_Cost'!$F$4</f>
        <v>0</v>
      </c>
      <c r="N69" s="126"/>
      <c r="O69" s="126"/>
      <c r="P69" s="126"/>
      <c r="Q69" s="126"/>
      <c r="R69" s="127">
        <f>'1. Standard_Cost'!$B$15*N69*P69</f>
        <v>0</v>
      </c>
      <c r="S69" s="127">
        <f>N69*O69*P69*'1. Standard_Cost'!$C$15</f>
        <v>0</v>
      </c>
      <c r="T69" s="127">
        <f>N69*P69*Q69*'1. Standard_Cost'!$D$15</f>
        <v>0</v>
      </c>
      <c r="U69" s="127">
        <f>N69*O69*'1. Standard_Cost'!$E$15</f>
        <v>0</v>
      </c>
      <c r="V69" s="126"/>
      <c r="W69" s="126"/>
      <c r="X69" s="126"/>
      <c r="Y69" s="127">
        <f>+V69*((X69*'1. Standard_Cost'!$B$19)+(W69*X69*'1. Standard_Cost'!$C$19))</f>
        <v>0</v>
      </c>
      <c r="Z69" s="126"/>
      <c r="AA69" s="126"/>
      <c r="AB69" s="127">
        <f>+Z69*'1. Standard_Cost'!$B$23+AA69*'1. Standard_Cost'!$C$23</f>
        <v>0</v>
      </c>
      <c r="AC69" s="128"/>
      <c r="AD69" s="129"/>
      <c r="AE69" s="127">
        <f>SUM(AD69,AC69,AB69,Y69,U69,T69,S69,R69)*'1. Standard_Cost'!$B$31</f>
        <v>0</v>
      </c>
      <c r="AF69" s="127"/>
      <c r="AG69" s="126"/>
      <c r="AH69" s="126"/>
      <c r="AI69" s="126"/>
      <c r="AJ69" s="130"/>
      <c r="AK69" s="130"/>
      <c r="AL69" s="130"/>
      <c r="AM69" s="127">
        <f>AG69*'1. Standard_Cost'!$B$27+'Incremental_Cost Year 1'!AH69*'1. Standard_Cost'!$C$27+'Incremental_Cost Year 1'!AI69*'1. Standard_Cost'!$D$27+'Incremental_Cost Year 1'!AJ69+'Incremental_Cost Year 1'!AL69+AK69</f>
        <v>0</v>
      </c>
      <c r="AN69" s="127">
        <f>AM69*'1. Standard_Cost'!$C$31</f>
        <v>0</v>
      </c>
      <c r="AO69" s="130"/>
      <c r="AQ69" s="171">
        <f t="shared" si="61"/>
        <v>0</v>
      </c>
      <c r="AR69" s="171">
        <f t="shared" si="62"/>
        <v>0</v>
      </c>
      <c r="AS69" s="171">
        <f t="shared" si="63"/>
        <v>0</v>
      </c>
      <c r="AT69" s="171">
        <f t="shared" si="64"/>
        <v>0</v>
      </c>
      <c r="AU69" s="250"/>
      <c r="AV69" s="250"/>
      <c r="AW69" s="250"/>
      <c r="AX69" s="250"/>
      <c r="AY69" s="250"/>
      <c r="AZ69" s="250"/>
      <c r="BA69" s="250"/>
      <c r="BB69" s="251">
        <f t="shared" si="66"/>
        <v>0</v>
      </c>
      <c r="BC69" s="30"/>
      <c r="BD69" s="30"/>
      <c r="BE69" s="30"/>
      <c r="BF69" s="30"/>
    </row>
    <row r="70" spans="1:58" ht="189" outlineLevel="2" x14ac:dyDescent="0.25">
      <c r="A70" s="115"/>
      <c r="B70" s="200"/>
      <c r="C70" s="201"/>
      <c r="D70" s="131"/>
      <c r="E70" s="318"/>
      <c r="F70" s="219"/>
      <c r="G70" s="313"/>
      <c r="H70" s="111" t="s">
        <v>410</v>
      </c>
      <c r="I70" s="130"/>
      <c r="J70" s="126"/>
      <c r="K70" s="126"/>
      <c r="L70" s="125" t="str">
        <f>IF(I70&lt;&gt;0,((VLOOKUP(I70,'1. Standard_Cost'!$B$4:$D$11,2)+VLOOKUP(I70,'1. Standard_Cost'!$B$4:$D$11,3))*J70*K70),"0")</f>
        <v>0</v>
      </c>
      <c r="M70" s="125">
        <f>L70*'1. Standard_Cost'!$F$4</f>
        <v>0</v>
      </c>
      <c r="N70" s="126"/>
      <c r="O70" s="126"/>
      <c r="P70" s="126"/>
      <c r="Q70" s="126"/>
      <c r="R70" s="127">
        <f>'1. Standard_Cost'!$B$15*N70*P70</f>
        <v>0</v>
      </c>
      <c r="S70" s="127">
        <f>N70*O70*P70*'1. Standard_Cost'!$C$15</f>
        <v>0</v>
      </c>
      <c r="T70" s="127">
        <f>N70*P70*Q70*'1. Standard_Cost'!$D$15</f>
        <v>0</v>
      </c>
      <c r="U70" s="127">
        <f>N70*O70*'1. Standard_Cost'!$E$15</f>
        <v>0</v>
      </c>
      <c r="V70" s="126"/>
      <c r="W70" s="126"/>
      <c r="X70" s="126"/>
      <c r="Y70" s="127">
        <f>+V70*((X70*'1. Standard_Cost'!$B$19)+(W70*X70*'1. Standard_Cost'!$C$19))</f>
        <v>0</v>
      </c>
      <c r="Z70" s="126"/>
      <c r="AA70" s="126"/>
      <c r="AB70" s="127">
        <f>+Z70*'1. Standard_Cost'!$B$23+AA70*'1. Standard_Cost'!$C$23</f>
        <v>0</v>
      </c>
      <c r="AC70" s="128"/>
      <c r="AD70" s="129"/>
      <c r="AE70" s="127">
        <f>SUM(AD70,AC70,AB70,Y70,U70,T70,S70,R70)*'1. Standard_Cost'!$B$31</f>
        <v>0</v>
      </c>
      <c r="AF70" s="127">
        <f t="shared" ref="AF70:AF76" si="67">SUM(AE70,AD70,AC70,AB70,Y70,U70,T70,S70,R70)</f>
        <v>0</v>
      </c>
      <c r="AG70" s="126"/>
      <c r="AH70" s="126"/>
      <c r="AI70" s="126"/>
      <c r="AJ70" s="130"/>
      <c r="AK70" s="130"/>
      <c r="AL70" s="130"/>
      <c r="AM70" s="127">
        <f>AG70*'1. Standard_Cost'!$B$27+'Incremental_Cost Year 1'!AH70*'1. Standard_Cost'!$C$27+'Incremental_Cost Year 1'!AI70*'1. Standard_Cost'!$D$27+'Incremental_Cost Year 1'!AJ70+'Incremental_Cost Year 1'!AL70+AK70</f>
        <v>0</v>
      </c>
      <c r="AN70" s="127">
        <f>AM70*'1. Standard_Cost'!$C$31</f>
        <v>0</v>
      </c>
      <c r="AO70" s="130"/>
      <c r="AQ70" s="171">
        <f t="shared" si="61"/>
        <v>0</v>
      </c>
      <c r="AR70" s="171">
        <f t="shared" si="62"/>
        <v>0</v>
      </c>
      <c r="AS70" s="171">
        <f t="shared" si="63"/>
        <v>0</v>
      </c>
      <c r="AT70" s="171">
        <f t="shared" si="64"/>
        <v>0</v>
      </c>
      <c r="AU70" s="250"/>
      <c r="AV70" s="250"/>
      <c r="AW70" s="250"/>
      <c r="AX70" s="250"/>
      <c r="AY70" s="250"/>
      <c r="AZ70" s="250"/>
      <c r="BA70" s="250"/>
      <c r="BB70" s="251">
        <f t="shared" si="66"/>
        <v>0</v>
      </c>
      <c r="BC70" s="30"/>
      <c r="BD70" s="30"/>
      <c r="BE70" s="30"/>
      <c r="BF70" s="30"/>
    </row>
    <row r="71" spans="1:58" ht="157.5" outlineLevel="2" x14ac:dyDescent="0.25">
      <c r="A71" s="115"/>
      <c r="B71" s="200"/>
      <c r="C71" s="201"/>
      <c r="D71" s="131"/>
      <c r="E71" s="318"/>
      <c r="F71" s="219"/>
      <c r="G71" s="313"/>
      <c r="H71" s="111" t="s">
        <v>411</v>
      </c>
      <c r="I71" s="130"/>
      <c r="J71" s="126"/>
      <c r="K71" s="126"/>
      <c r="L71" s="125" t="str">
        <f>IF(I71&lt;&gt;0,((VLOOKUP(I71,'1. Standard_Cost'!$B$4:$D$11,2)+VLOOKUP(I71,'1. Standard_Cost'!$B$4:$D$11,3))*J71*K71),"0")</f>
        <v>0</v>
      </c>
      <c r="M71" s="125">
        <f>L71*'1. Standard_Cost'!$F$4</f>
        <v>0</v>
      </c>
      <c r="N71" s="126"/>
      <c r="O71" s="126"/>
      <c r="P71" s="126"/>
      <c r="Q71" s="126"/>
      <c r="R71" s="127">
        <f>'1. Standard_Cost'!$B$15*N71*P71</f>
        <v>0</v>
      </c>
      <c r="S71" s="127">
        <f>N71*O71*P71*'1. Standard_Cost'!$C$15</f>
        <v>0</v>
      </c>
      <c r="T71" s="127">
        <f>N71*P71*Q71*'1. Standard_Cost'!$D$15</f>
        <v>0</v>
      </c>
      <c r="U71" s="127">
        <f>N71*O71*'1. Standard_Cost'!$E$15</f>
        <v>0</v>
      </c>
      <c r="V71" s="126"/>
      <c r="W71" s="126"/>
      <c r="X71" s="126"/>
      <c r="Y71" s="127">
        <f>+V71*((X71*'1. Standard_Cost'!$B$19)+(W71*X71*'1. Standard_Cost'!$C$19))</f>
        <v>0</v>
      </c>
      <c r="Z71" s="126"/>
      <c r="AA71" s="126"/>
      <c r="AB71" s="127">
        <f>+Z71*'1. Standard_Cost'!$B$23+AA71*'1. Standard_Cost'!$C$23</f>
        <v>0</v>
      </c>
      <c r="AC71" s="128"/>
      <c r="AD71" s="129"/>
      <c r="AE71" s="127">
        <f>SUM(AD71,AC71,AB71,Y71,U71,T71,S71,R71)*'1. Standard_Cost'!$B$31</f>
        <v>0</v>
      </c>
      <c r="AF71" s="127">
        <f t="shared" si="67"/>
        <v>0</v>
      </c>
      <c r="AG71" s="126"/>
      <c r="AH71" s="126"/>
      <c r="AI71" s="126"/>
      <c r="AJ71" s="130"/>
      <c r="AK71" s="130"/>
      <c r="AL71" s="130"/>
      <c r="AM71" s="127">
        <f>AG71*'1. Standard_Cost'!$B$27+'Incremental_Cost Year 1'!AH71*'1. Standard_Cost'!$C$27+'Incremental_Cost Year 1'!AI71*'1. Standard_Cost'!$D$27+'Incremental_Cost Year 1'!AJ71+'Incremental_Cost Year 1'!AL71+AK71</f>
        <v>0</v>
      </c>
      <c r="AN71" s="127">
        <f>AM71*'1. Standard_Cost'!$C$31</f>
        <v>0</v>
      </c>
      <c r="AO71" s="130"/>
      <c r="AQ71" s="171">
        <f t="shared" si="61"/>
        <v>0</v>
      </c>
      <c r="AR71" s="171">
        <f t="shared" si="62"/>
        <v>0</v>
      </c>
      <c r="AS71" s="171">
        <f t="shared" si="63"/>
        <v>0</v>
      </c>
      <c r="AT71" s="171">
        <f t="shared" si="64"/>
        <v>0</v>
      </c>
      <c r="AU71" s="250"/>
      <c r="AV71" s="250"/>
      <c r="AW71" s="250"/>
      <c r="AX71" s="250"/>
      <c r="AY71" s="250"/>
      <c r="AZ71" s="250"/>
      <c r="BA71" s="250"/>
      <c r="BB71" s="251">
        <f t="shared" si="66"/>
        <v>0</v>
      </c>
      <c r="BC71" s="30"/>
      <c r="BD71" s="30"/>
      <c r="BE71" s="30"/>
      <c r="BF71" s="30"/>
    </row>
    <row r="72" spans="1:58" ht="173.25" outlineLevel="2" x14ac:dyDescent="0.25">
      <c r="A72" s="115"/>
      <c r="B72" s="200"/>
      <c r="C72" s="201"/>
      <c r="D72" s="131"/>
      <c r="E72" s="318"/>
      <c r="F72" s="219"/>
      <c r="G72" s="313"/>
      <c r="H72" s="199" t="s">
        <v>412</v>
      </c>
      <c r="I72" s="130" t="s">
        <v>4</v>
      </c>
      <c r="J72" s="126">
        <v>0.5</v>
      </c>
      <c r="K72" s="126">
        <v>5</v>
      </c>
      <c r="L72" s="125">
        <f>IF(I72&lt;&gt;0,((VLOOKUP(I72,'1. Standard_Cost'!$B$4:$D$11,2)+VLOOKUP(I72,'1. Standard_Cost'!$B$4:$D$11,3))*J72*K72),"0")</f>
        <v>201875</v>
      </c>
      <c r="M72" s="125">
        <f>L72*'1. Standard_Cost'!$F$4</f>
        <v>33713.125</v>
      </c>
      <c r="N72" s="126">
        <v>5</v>
      </c>
      <c r="O72" s="126">
        <v>2</v>
      </c>
      <c r="P72" s="126">
        <v>20</v>
      </c>
      <c r="Q72" s="126"/>
      <c r="R72" s="127">
        <f>'1. Standard_Cost'!$B$15*N72*P72</f>
        <v>200000</v>
      </c>
      <c r="S72" s="127">
        <f>N72*O72*P72*'1. Standard_Cost'!$C$15</f>
        <v>300000</v>
      </c>
      <c r="T72" s="127">
        <f>N72*P72*Q72*'1. Standard_Cost'!$D$15</f>
        <v>0</v>
      </c>
      <c r="U72" s="127">
        <f>N72*O72*'1. Standard_Cost'!$E$15</f>
        <v>400000</v>
      </c>
      <c r="V72" s="126"/>
      <c r="W72" s="126"/>
      <c r="X72" s="126"/>
      <c r="Y72" s="127">
        <f>+V72*((X72*'1. Standard_Cost'!$B$19)+(W72*X72*'1. Standard_Cost'!$C$19))</f>
        <v>0</v>
      </c>
      <c r="Z72" s="126"/>
      <c r="AA72" s="126">
        <v>6</v>
      </c>
      <c r="AB72" s="127">
        <f>+Z72*'1. Standard_Cost'!$B$23+AA72*'1. Standard_Cost'!$C$23</f>
        <v>114000</v>
      </c>
      <c r="AC72" s="128">
        <f>100*300*2+100*3000*2</f>
        <v>660000</v>
      </c>
      <c r="AD72" s="129"/>
      <c r="AE72" s="127">
        <f>SUM(AD72,AC72,AB72,Y72,U72,T72,S72,R72)*'1. Standard_Cost'!$B$31</f>
        <v>334800</v>
      </c>
      <c r="AF72" s="127">
        <f t="shared" si="67"/>
        <v>2008800</v>
      </c>
      <c r="AG72" s="126"/>
      <c r="AH72" s="126"/>
      <c r="AI72" s="126"/>
      <c r="AJ72" s="130"/>
      <c r="AK72" s="130"/>
      <c r="AL72" s="130"/>
      <c r="AM72" s="127">
        <f>AG72*'1. Standard_Cost'!$B$27+'Incremental_Cost Year 1'!AH72*'1. Standard_Cost'!$C$27+'Incremental_Cost Year 1'!AI72*'1. Standard_Cost'!$D$27+'Incremental_Cost Year 1'!AJ72+'Incremental_Cost Year 1'!AL72+AK72</f>
        <v>0</v>
      </c>
      <c r="AN72" s="127">
        <f>AM72*'1. Standard_Cost'!$C$31</f>
        <v>0</v>
      </c>
      <c r="AO72" s="249"/>
      <c r="AQ72" s="171">
        <f t="shared" si="61"/>
        <v>235588.125</v>
      </c>
      <c r="AR72" s="171">
        <f t="shared" si="62"/>
        <v>2008800</v>
      </c>
      <c r="AS72" s="171">
        <f t="shared" si="63"/>
        <v>0</v>
      </c>
      <c r="AT72" s="171">
        <f t="shared" si="64"/>
        <v>2244388.125</v>
      </c>
      <c r="AU72" s="250">
        <f>AQ72</f>
        <v>235588.125</v>
      </c>
      <c r="AV72" s="250"/>
      <c r="AW72" s="250"/>
      <c r="AX72" s="250"/>
      <c r="AY72" s="250">
        <v>2008800</v>
      </c>
      <c r="AZ72" s="250"/>
      <c r="BA72" s="250"/>
      <c r="BB72" s="251">
        <f t="shared" si="66"/>
        <v>0</v>
      </c>
      <c r="BC72" s="30"/>
      <c r="BD72" s="30"/>
      <c r="BE72" s="30"/>
      <c r="BF72" s="30"/>
    </row>
    <row r="73" spans="1:58" ht="157.5" outlineLevel="2" x14ac:dyDescent="0.25">
      <c r="A73" s="115"/>
      <c r="B73" s="200"/>
      <c r="C73" s="201"/>
      <c r="D73" s="131"/>
      <c r="E73" s="318"/>
      <c r="F73" s="219"/>
      <c r="G73" s="313"/>
      <c r="H73" s="199" t="s">
        <v>413</v>
      </c>
      <c r="I73" s="130" t="s">
        <v>4</v>
      </c>
      <c r="J73" s="126">
        <v>0.2</v>
      </c>
      <c r="K73" s="126">
        <v>5</v>
      </c>
      <c r="L73" s="125">
        <f>IF(I73&lt;&gt;0,((VLOOKUP(I73,'1. Standard_Cost'!$B$4:$D$11,2)+VLOOKUP(I73,'1. Standard_Cost'!$B$4:$D$11,3))*J73*K73),"0")</f>
        <v>80750</v>
      </c>
      <c r="M73" s="125">
        <f>L73*'1. Standard_Cost'!$F$4</f>
        <v>13485.25</v>
      </c>
      <c r="N73" s="126">
        <v>2</v>
      </c>
      <c r="O73" s="126">
        <v>2</v>
      </c>
      <c r="P73" s="126">
        <v>20</v>
      </c>
      <c r="Q73" s="126"/>
      <c r="R73" s="127">
        <f>'1. Standard_Cost'!$B$15*N73*P73</f>
        <v>80000</v>
      </c>
      <c r="S73" s="127">
        <f>N73*O73*P73*'1. Standard_Cost'!$C$15</f>
        <v>120000</v>
      </c>
      <c r="T73" s="127">
        <f>N73*P73*Q73*'1. Standard_Cost'!$D$15</f>
        <v>0</v>
      </c>
      <c r="U73" s="127">
        <f>N73*O73*'1. Standard_Cost'!$E$15</f>
        <v>160000</v>
      </c>
      <c r="V73" s="126"/>
      <c r="W73" s="126"/>
      <c r="X73" s="126"/>
      <c r="Y73" s="127">
        <f>+V73*((X73*'1. Standard_Cost'!$B$19)+(W73*X73*'1. Standard_Cost'!$C$19))</f>
        <v>0</v>
      </c>
      <c r="Z73" s="126"/>
      <c r="AA73" s="126">
        <v>3</v>
      </c>
      <c r="AB73" s="127">
        <f>+Z73*'1. Standard_Cost'!$B$23+AA73*'1. Standard_Cost'!$C$23</f>
        <v>57000</v>
      </c>
      <c r="AC73" s="128">
        <f>40*3300*2</f>
        <v>264000</v>
      </c>
      <c r="AD73" s="129"/>
      <c r="AE73" s="127">
        <f>SUM(AD73,AC73,AB73,Y73,U73,T73,S73,R73)*'1. Standard_Cost'!$B$31</f>
        <v>136200</v>
      </c>
      <c r="AF73" s="127">
        <f t="shared" si="67"/>
        <v>817200</v>
      </c>
      <c r="AG73" s="126"/>
      <c r="AH73" s="126"/>
      <c r="AI73" s="126"/>
      <c r="AJ73" s="130"/>
      <c r="AK73" s="130"/>
      <c r="AL73" s="130"/>
      <c r="AM73" s="127">
        <f>AG73*'1. Standard_Cost'!$B$27+'Incremental_Cost Year 1'!AH73*'1. Standard_Cost'!$C$27+'Incremental_Cost Year 1'!AI73*'1. Standard_Cost'!$D$27+'Incremental_Cost Year 1'!AJ73+'Incremental_Cost Year 1'!AL73+AK73</f>
        <v>0</v>
      </c>
      <c r="AN73" s="127">
        <f>AM73*'1. Standard_Cost'!$C$31</f>
        <v>0</v>
      </c>
      <c r="AO73" s="249"/>
      <c r="AQ73" s="171">
        <f t="shared" si="61"/>
        <v>94235.25</v>
      </c>
      <c r="AR73" s="171">
        <f t="shared" si="62"/>
        <v>817200</v>
      </c>
      <c r="AS73" s="171">
        <f t="shared" si="63"/>
        <v>0</v>
      </c>
      <c r="AT73" s="171">
        <f t="shared" si="64"/>
        <v>911435.25</v>
      </c>
      <c r="AU73" s="250">
        <f>AQ73</f>
        <v>94235.25</v>
      </c>
      <c r="AV73" s="250"/>
      <c r="AW73" s="250"/>
      <c r="AX73" s="250"/>
      <c r="AY73" s="250">
        <f>AR73</f>
        <v>817200</v>
      </c>
      <c r="AZ73" s="250"/>
      <c r="BA73" s="250"/>
      <c r="BB73" s="251">
        <f t="shared" si="66"/>
        <v>0</v>
      </c>
      <c r="BC73" s="30"/>
      <c r="BD73" s="30"/>
      <c r="BE73" s="30"/>
      <c r="BF73" s="30"/>
    </row>
    <row r="74" spans="1:58" ht="47.25" outlineLevel="2" x14ac:dyDescent="0.25">
      <c r="A74" s="115"/>
      <c r="B74" s="200"/>
      <c r="C74" s="201"/>
      <c r="D74" s="131"/>
      <c r="E74" s="318"/>
      <c r="F74" s="219"/>
      <c r="G74" s="313"/>
      <c r="H74" s="199" t="s">
        <v>310</v>
      </c>
      <c r="I74" s="130"/>
      <c r="J74" s="126"/>
      <c r="K74" s="126"/>
      <c r="L74" s="125" t="str">
        <f>IF(I74&lt;&gt;0,((VLOOKUP(I74,'1. Standard_Cost'!$B$4:$D$11,2)+VLOOKUP(I74,'1. Standard_Cost'!$B$4:$D$11,3))*J74*K74),"0")</f>
        <v>0</v>
      </c>
      <c r="M74" s="125">
        <f>L74*'1. Standard_Cost'!$F$4</f>
        <v>0</v>
      </c>
      <c r="N74" s="126"/>
      <c r="O74" s="126"/>
      <c r="P74" s="126"/>
      <c r="Q74" s="126"/>
      <c r="R74" s="127">
        <f>'1. Standard_Cost'!$B$15*N74*P74</f>
        <v>0</v>
      </c>
      <c r="S74" s="127">
        <f>N74*O74*P74*'1. Standard_Cost'!$C$15</f>
        <v>0</v>
      </c>
      <c r="T74" s="127">
        <f>N74*P74*Q74*'1. Standard_Cost'!$D$15</f>
        <v>0</v>
      </c>
      <c r="U74" s="127">
        <f>N74*O74*'1. Standard_Cost'!$E$15</f>
        <v>0</v>
      </c>
      <c r="V74" s="126"/>
      <c r="W74" s="126"/>
      <c r="X74" s="126"/>
      <c r="Y74" s="127">
        <f>+V74*((X74*'1. Standard_Cost'!$B$19)+(W74*X74*'1. Standard_Cost'!$C$19))</f>
        <v>0</v>
      </c>
      <c r="Z74" s="126"/>
      <c r="AA74" s="126"/>
      <c r="AB74" s="127">
        <f>+Z74*'1. Standard_Cost'!$B$23+AA74*'1. Standard_Cost'!$C$23</f>
        <v>0</v>
      </c>
      <c r="AC74" s="128"/>
      <c r="AD74" s="129"/>
      <c r="AE74" s="127">
        <f>SUM(AD74,AC74,AB74,Y74,U74,T74,S74,R74)*'1. Standard_Cost'!$B$31</f>
        <v>0</v>
      </c>
      <c r="AF74" s="127">
        <f t="shared" si="67"/>
        <v>0</v>
      </c>
      <c r="AG74" s="126"/>
      <c r="AH74" s="126"/>
      <c r="AI74" s="126"/>
      <c r="AJ74" s="130"/>
      <c r="AK74" s="130"/>
      <c r="AL74" s="130"/>
      <c r="AM74" s="127">
        <f>AG74*'1. Standard_Cost'!$B$27+'Incremental_Cost Year 1'!AH74*'1. Standard_Cost'!$C$27+'Incremental_Cost Year 1'!AI74*'1. Standard_Cost'!$D$27+'Incremental_Cost Year 1'!AJ74+'Incremental_Cost Year 1'!AL74+AK74</f>
        <v>0</v>
      </c>
      <c r="AN74" s="127">
        <f>AM74*'1. Standard_Cost'!$C$31</f>
        <v>0</v>
      </c>
      <c r="AO74" s="130"/>
      <c r="AQ74" s="171">
        <f t="shared" si="61"/>
        <v>0</v>
      </c>
      <c r="AR74" s="171">
        <f t="shared" si="62"/>
        <v>0</v>
      </c>
      <c r="AS74" s="171">
        <f t="shared" si="63"/>
        <v>0</v>
      </c>
      <c r="AT74" s="171">
        <f t="shared" si="64"/>
        <v>0</v>
      </c>
      <c r="AU74" s="250"/>
      <c r="AV74" s="250"/>
      <c r="AW74" s="250"/>
      <c r="AX74" s="250"/>
      <c r="AY74" s="250"/>
      <c r="AZ74" s="250"/>
      <c r="BA74" s="250"/>
      <c r="BB74" s="251">
        <f t="shared" si="66"/>
        <v>0</v>
      </c>
      <c r="BC74" s="30"/>
      <c r="BD74" s="30"/>
      <c r="BE74" s="30"/>
      <c r="BF74" s="30"/>
    </row>
    <row r="75" spans="1:58" ht="126" outlineLevel="2" x14ac:dyDescent="0.25">
      <c r="A75" s="115"/>
      <c r="B75" s="200"/>
      <c r="C75" s="201"/>
      <c r="D75" s="131"/>
      <c r="E75" s="219"/>
      <c r="F75" s="219"/>
      <c r="G75" s="313"/>
      <c r="H75" s="112" t="s">
        <v>562</v>
      </c>
      <c r="I75" s="130" t="s">
        <v>5</v>
      </c>
      <c r="J75" s="126">
        <v>2</v>
      </c>
      <c r="K75" s="126">
        <v>72</v>
      </c>
      <c r="L75" s="125">
        <f>IF(I75&lt;&gt;0,((VLOOKUP(I75,'1. Standard_Cost'!$B$4:$D$11,2)+VLOOKUP(I75,'1. Standard_Cost'!$B$4:$D$11,3))*J75*K75),"0")</f>
        <v>10180800</v>
      </c>
      <c r="M75" s="125">
        <f>L75*'1. Standard_Cost'!$F$4</f>
        <v>1700193.6</v>
      </c>
      <c r="N75" s="126"/>
      <c r="O75" s="126"/>
      <c r="P75" s="126"/>
      <c r="Q75" s="126"/>
      <c r="R75" s="127">
        <f>'1. Standard_Cost'!$B$15*N75*P75</f>
        <v>0</v>
      </c>
      <c r="S75" s="127">
        <f>N75*O75*P75*'1. Standard_Cost'!$C$15</f>
        <v>0</v>
      </c>
      <c r="T75" s="127">
        <f>N75*P75*Q75*'1. Standard_Cost'!$D$15</f>
        <v>0</v>
      </c>
      <c r="U75" s="127">
        <f>N75*O75*'1. Standard_Cost'!$E$15</f>
        <v>0</v>
      </c>
      <c r="V75" s="126"/>
      <c r="W75" s="126"/>
      <c r="X75" s="126"/>
      <c r="Y75" s="127">
        <f>+V75*((X75*'1. Standard_Cost'!$B$19)+(W75*X75*'1. Standard_Cost'!$C$19))</f>
        <v>0</v>
      </c>
      <c r="Z75" s="126"/>
      <c r="AA75" s="126"/>
      <c r="AB75" s="127">
        <f>+Z75*'1. Standard_Cost'!$B$23+AA75*'1. Standard_Cost'!$C$23</f>
        <v>0</v>
      </c>
      <c r="AC75" s="128">
        <f>13000000/12*2</f>
        <v>2166666.6666666665</v>
      </c>
      <c r="AD75" s="129"/>
      <c r="AE75" s="127"/>
      <c r="AF75" s="127">
        <f t="shared" si="67"/>
        <v>2166666.6666666665</v>
      </c>
      <c r="AG75" s="126"/>
      <c r="AH75" s="126"/>
      <c r="AI75" s="126"/>
      <c r="AJ75" s="130">
        <v>54900000</v>
      </c>
      <c r="AK75" s="130"/>
      <c r="AL75" s="130">
        <v>18000000</v>
      </c>
      <c r="AM75" s="127">
        <f>AG75*'1. Standard_Cost'!$B$27+'Incremental_Cost Year 1'!AH75*'1. Standard_Cost'!$C$27+'Incremental_Cost Year 1'!AI75*'1. Standard_Cost'!$D$27+'Incremental_Cost Year 1'!AJ75+'Incremental_Cost Year 1'!AL75+AK75</f>
        <v>72900000</v>
      </c>
      <c r="AN75" s="127">
        <f>AM75*'1. Standard_Cost'!$C$31</f>
        <v>10935000</v>
      </c>
      <c r="AO75" s="130"/>
      <c r="AQ75" s="171">
        <f t="shared" si="61"/>
        <v>11880993.6</v>
      </c>
      <c r="AR75" s="171">
        <f t="shared" si="62"/>
        <v>2166666.6666666665</v>
      </c>
      <c r="AS75" s="171">
        <f t="shared" si="63"/>
        <v>83835000</v>
      </c>
      <c r="AT75" s="171">
        <f t="shared" si="64"/>
        <v>97882660.266666666</v>
      </c>
      <c r="AU75" s="250">
        <f>AT75</f>
        <v>97882660.266666666</v>
      </c>
      <c r="AV75" s="250"/>
      <c r="AW75" s="250"/>
      <c r="AX75" s="250"/>
      <c r="AY75" s="250"/>
      <c r="AZ75" s="250"/>
      <c r="BA75" s="250"/>
      <c r="BB75" s="251">
        <f t="shared" si="66"/>
        <v>0</v>
      </c>
      <c r="BC75" s="30"/>
      <c r="BD75" s="30"/>
      <c r="BE75" s="30"/>
      <c r="BF75" s="30"/>
    </row>
    <row r="76" spans="1:58" ht="78.75" outlineLevel="2" x14ac:dyDescent="0.25">
      <c r="A76" s="115"/>
      <c r="B76" s="200"/>
      <c r="C76" s="201"/>
      <c r="D76" s="305"/>
      <c r="E76" s="320"/>
      <c r="F76" s="122"/>
      <c r="G76" s="123"/>
      <c r="H76" s="199" t="s">
        <v>415</v>
      </c>
      <c r="I76" s="130" t="s">
        <v>3</v>
      </c>
      <c r="J76" s="126">
        <v>0.5</v>
      </c>
      <c r="K76" s="126">
        <v>3</v>
      </c>
      <c r="L76" s="125">
        <f>IF(I76&lt;&gt;0,((VLOOKUP(I76,'1. Standard_Cost'!$B$4:$D$11,2)+VLOOKUP(I76,'1. Standard_Cost'!$B$4:$D$11,3))*J76*K76),"0")</f>
        <v>151200</v>
      </c>
      <c r="M76" s="125">
        <f>L76*'1. Standard_Cost'!$F$4</f>
        <v>25250.400000000001</v>
      </c>
      <c r="N76" s="126"/>
      <c r="O76" s="126"/>
      <c r="P76" s="126"/>
      <c r="Q76" s="126"/>
      <c r="R76" s="127">
        <f>'1. Standard_Cost'!$B$15*N76*P76</f>
        <v>0</v>
      </c>
      <c r="S76" s="127">
        <f>N76*O76*P76*'1. Standard_Cost'!$C$15</f>
        <v>0</v>
      </c>
      <c r="T76" s="127">
        <f>N76*P76*Q76*'1. Standard_Cost'!$D$15</f>
        <v>0</v>
      </c>
      <c r="U76" s="127">
        <f>N76*O76*'1. Standard_Cost'!$E$15</f>
        <v>0</v>
      </c>
      <c r="V76" s="126"/>
      <c r="W76" s="126"/>
      <c r="X76" s="126"/>
      <c r="Y76" s="127">
        <f>+V76*((X76*'1. Standard_Cost'!$B$19)+(W76*X76*'1. Standard_Cost'!$C$19))</f>
        <v>0</v>
      </c>
      <c r="Z76" s="126"/>
      <c r="AA76" s="126"/>
      <c r="AB76" s="127">
        <f>+Z76*'1. Standard_Cost'!$B$23+AA76*'1. Standard_Cost'!$C$23</f>
        <v>0</v>
      </c>
      <c r="AC76" s="128">
        <v>500000</v>
      </c>
      <c r="AD76" s="129"/>
      <c r="AE76" s="127">
        <f>SUM(AD76,AC76,AB76,Y76,U76,T76,S76,R76)*'1. Standard_Cost'!$B$31</f>
        <v>100000</v>
      </c>
      <c r="AF76" s="127">
        <f t="shared" si="67"/>
        <v>600000</v>
      </c>
      <c r="AG76" s="126"/>
      <c r="AH76" s="126"/>
      <c r="AI76" s="126"/>
      <c r="AJ76" s="130"/>
      <c r="AK76" s="130"/>
      <c r="AL76" s="130"/>
      <c r="AM76" s="127">
        <f>AG76*'1. Standard_Cost'!$B$27+'Incremental_Cost Year 1'!AH76*'1. Standard_Cost'!$C$27+'Incremental_Cost Year 1'!AI76*'1. Standard_Cost'!$D$27+'Incremental_Cost Year 1'!AJ76+'Incremental_Cost Year 1'!AL76+AK76</f>
        <v>0</v>
      </c>
      <c r="AN76" s="127">
        <f>AM76*'1. Standard_Cost'!$C$31</f>
        <v>0</v>
      </c>
      <c r="AO76" s="130"/>
      <c r="AQ76" s="171">
        <f t="shared" si="61"/>
        <v>176450.4</v>
      </c>
      <c r="AR76" s="171">
        <f t="shared" si="62"/>
        <v>600000</v>
      </c>
      <c r="AS76" s="171">
        <f t="shared" si="63"/>
        <v>0</v>
      </c>
      <c r="AT76" s="171">
        <f t="shared" si="64"/>
        <v>776450.4</v>
      </c>
      <c r="AU76" s="250">
        <f>AQ76</f>
        <v>176450.4</v>
      </c>
      <c r="AV76" s="250"/>
      <c r="AW76" s="250"/>
      <c r="AX76" s="250"/>
      <c r="AY76" s="250">
        <v>600000</v>
      </c>
      <c r="AZ76" s="250"/>
      <c r="BA76" s="250"/>
      <c r="BB76" s="251">
        <f t="shared" si="66"/>
        <v>0</v>
      </c>
      <c r="BC76" s="30"/>
      <c r="BD76" s="30"/>
      <c r="BE76" s="30"/>
      <c r="BF76" s="30"/>
    </row>
    <row r="77" spans="1:58" ht="141.75" outlineLevel="1" x14ac:dyDescent="0.25">
      <c r="A77" s="115"/>
      <c r="B77" s="165"/>
      <c r="C77" s="166"/>
      <c r="D77" s="107" t="s">
        <v>416</v>
      </c>
      <c r="E77" s="139" t="s">
        <v>221</v>
      </c>
      <c r="F77" s="222">
        <v>2021</v>
      </c>
      <c r="G77" s="117">
        <v>2030</v>
      </c>
      <c r="H77" s="134" t="s">
        <v>220</v>
      </c>
      <c r="I77" s="252"/>
      <c r="J77" s="252"/>
      <c r="K77" s="252"/>
      <c r="L77" s="127">
        <f>SUM(L62:L76)</f>
        <v>144795475</v>
      </c>
      <c r="M77" s="127">
        <f>SUM(M62:M76)</f>
        <v>24180844.324999999</v>
      </c>
      <c r="N77" s="127"/>
      <c r="O77" s="252"/>
      <c r="P77" s="252"/>
      <c r="Q77" s="252"/>
      <c r="R77" s="127">
        <f>SUM(R62:R76)</f>
        <v>280000</v>
      </c>
      <c r="S77" s="127">
        <f>SUM(S62:S76)</f>
        <v>420000</v>
      </c>
      <c r="T77" s="127">
        <f>SUM(T62:T76)</f>
        <v>0</v>
      </c>
      <c r="U77" s="127">
        <f>SUM(U62:U76)</f>
        <v>560000</v>
      </c>
      <c r="V77" s="252"/>
      <c r="W77" s="252"/>
      <c r="X77" s="252"/>
      <c r="Y77" s="127">
        <f>SUM(Y62:Y76)</f>
        <v>0</v>
      </c>
      <c r="Z77" s="252"/>
      <c r="AA77" s="252"/>
      <c r="AB77" s="127">
        <f>SUM(AB62:AB76)</f>
        <v>171000</v>
      </c>
      <c r="AC77" s="127">
        <f>SUM(AC62:AC76)</f>
        <v>31017416.666666668</v>
      </c>
      <c r="AD77" s="127">
        <f>SUM(AD62:AD76)</f>
        <v>0</v>
      </c>
      <c r="AE77" s="127">
        <f>SUM(AE62:AE76)</f>
        <v>6056350</v>
      </c>
      <c r="AF77" s="127">
        <f>SUM(AF62:AF76)</f>
        <v>38504766.666666664</v>
      </c>
      <c r="AG77" s="252"/>
      <c r="AH77" s="252"/>
      <c r="AI77" s="252"/>
      <c r="AJ77" s="127">
        <f>SUM(AJ62:AJ76)</f>
        <v>54900000</v>
      </c>
      <c r="AK77" s="127">
        <f>SUM(AK62:AK76)</f>
        <v>0</v>
      </c>
      <c r="AL77" s="127">
        <f>SUM(AL62:AL76)</f>
        <v>18000000</v>
      </c>
      <c r="AM77" s="127">
        <f>SUM(AM62:AM76)</f>
        <v>72900000</v>
      </c>
      <c r="AN77" s="127">
        <f>SUM(AN62:AN76)</f>
        <v>10935000</v>
      </c>
      <c r="AO77" s="253"/>
      <c r="AP77" s="254"/>
      <c r="AQ77" s="175">
        <f>SUM(AQ62:AQ76)</f>
        <v>168976319.32499999</v>
      </c>
      <c r="AR77" s="175">
        <f>SUM(AR62:AR76)</f>
        <v>38504766.666666664</v>
      </c>
      <c r="AS77" s="175">
        <f>SUM(AS62:AS76)</f>
        <v>83835000</v>
      </c>
      <c r="AT77" s="175">
        <f>SUM(AT62:AT76)</f>
        <v>291316085.99166662</v>
      </c>
      <c r="AU77" s="175">
        <f t="shared" ref="AU77:BA77" si="68">SUM(AU62:AU76)</f>
        <v>287890085.99166662</v>
      </c>
      <c r="AV77" s="175">
        <f t="shared" si="68"/>
        <v>0</v>
      </c>
      <c r="AW77" s="175">
        <f t="shared" si="68"/>
        <v>0</v>
      </c>
      <c r="AX77" s="175">
        <f t="shared" si="68"/>
        <v>0</v>
      </c>
      <c r="AY77" s="175">
        <f t="shared" si="68"/>
        <v>3426000</v>
      </c>
      <c r="AZ77" s="175">
        <f t="shared" si="68"/>
        <v>0</v>
      </c>
      <c r="BA77" s="175">
        <f t="shared" si="68"/>
        <v>0</v>
      </c>
      <c r="BB77" s="175">
        <f>SUM(BB62:BB76)</f>
        <v>0</v>
      </c>
      <c r="BC77" s="30"/>
      <c r="BD77" s="30"/>
      <c r="BE77" s="30"/>
      <c r="BF77" s="30"/>
    </row>
    <row r="78" spans="1:58" s="80" customFormat="1" ht="15.75" x14ac:dyDescent="0.25">
      <c r="A78" s="120"/>
      <c r="B78" s="396" t="s">
        <v>298</v>
      </c>
      <c r="C78" s="389"/>
      <c r="D78" s="389"/>
      <c r="E78" s="390"/>
      <c r="F78" s="113"/>
      <c r="G78" s="113"/>
      <c r="H78" s="113" t="s">
        <v>60</v>
      </c>
      <c r="I78" s="243"/>
      <c r="J78" s="243"/>
      <c r="K78" s="243"/>
      <c r="L78" s="243">
        <f>SUM(L79,L93,L100,L106,L111,L118,L123,L134,L140)</f>
        <v>8470142.8571428563</v>
      </c>
      <c r="M78" s="243">
        <f>SUM(M79,M93,M100,M106,M111,M118,M123,M134,M140)</f>
        <v>1414513.8571428573</v>
      </c>
      <c r="N78" s="243"/>
      <c r="O78" s="243"/>
      <c r="P78" s="243"/>
      <c r="Q78" s="243"/>
      <c r="R78" s="243">
        <f>SUM(R79,R93,R100,R106,R111,R118,R123,R134,R140)</f>
        <v>0</v>
      </c>
      <c r="S78" s="243">
        <f>SUM(S79,S93,S100,S106,S111,S118,S123,S134,S140)</f>
        <v>0</v>
      </c>
      <c r="T78" s="243">
        <f>SUM(T79,T93,T100,T106,T111,T118,T123,T134,T140)</f>
        <v>0</v>
      </c>
      <c r="U78" s="243">
        <f>SUM(U79,U93,U100,U106,U111,U118,U123,U134,U140)</f>
        <v>0</v>
      </c>
      <c r="V78" s="243"/>
      <c r="W78" s="243"/>
      <c r="X78" s="243"/>
      <c r="Y78" s="243">
        <f>SUM(Y79,Y93,Y100,Y106,Y111,Y118,Y123,Y134,Y140)</f>
        <v>0</v>
      </c>
      <c r="Z78" s="243"/>
      <c r="AA78" s="243"/>
      <c r="AB78" s="243">
        <f>SUM(AB79,AB93,AB100,AB106,AB111,AB118,AB123,AB134,AB140)</f>
        <v>0</v>
      </c>
      <c r="AC78" s="243">
        <f>SUM(AC79,AC93,AC100,AC106,AC111,AC118,AC123,AC134,AC140)</f>
        <v>1810315442</v>
      </c>
      <c r="AD78" s="243">
        <f>SUM(AD79,AD93,AD100,AD106,AD111,AD118,AD123,AD134,AD140)</f>
        <v>0</v>
      </c>
      <c r="AE78" s="243">
        <f>SUM(AE79,AE93,AE100,AE106,AE111,AE118,AE123,AE134,AE140)</f>
        <v>79640</v>
      </c>
      <c r="AF78" s="243">
        <f>SUM(AF79,AF93,AF100,AF106,AF111,AF118,AF123,AF134,AF140)</f>
        <v>1810395082</v>
      </c>
      <c r="AG78" s="243"/>
      <c r="AH78" s="243"/>
      <c r="AI78" s="243"/>
      <c r="AJ78" s="243">
        <f>SUM(AJ79,AJ93,AJ100,AJ106,AJ111,AJ118,AJ123,AJ134,AJ140)</f>
        <v>0</v>
      </c>
      <c r="AK78" s="243">
        <f>SUM(AK79,AK93,AK100,AK106,AK111,AK118,AK123,AK134,AK140)</f>
        <v>0</v>
      </c>
      <c r="AL78" s="243">
        <f>SUM(AL79,AL93,AL100,AL106,AL111,AL118,AL123,AL134,AL140)</f>
        <v>0</v>
      </c>
      <c r="AM78" s="243">
        <f>SUM(AM79,AM93,AM100,AM106,AM111,AM118,AM123,AM134,AM140)</f>
        <v>0</v>
      </c>
      <c r="AN78" s="243">
        <f>SUM(AN79,AN93,AN100,AN106,AN111,AN118,AN123,AN134,AN140)</f>
        <v>0</v>
      </c>
      <c r="AO78" s="243"/>
      <c r="AP78" s="244"/>
      <c r="AQ78" s="245">
        <f>SUM(AQ79,AQ93,AQ100,AQ106,AQ111,AQ118,AQ123,AQ134,AQ140)</f>
        <v>9884656.7142857146</v>
      </c>
      <c r="AR78" s="245">
        <f>SUM(AR79,AR93,AR100,AR106,AR111,AR118,AR123,AR134,AR140)</f>
        <v>1810395082</v>
      </c>
      <c r="AS78" s="245">
        <f>SUM(AS79,AS93,AS100,AS106,AS111,AS118,AS123,AS134,AS140)</f>
        <v>0</v>
      </c>
      <c r="AT78" s="245">
        <f>SUM(AT79,AT93,AT100,AT106,AT111,AT118,AT123,AT134,AT140)</f>
        <v>1820279738.7142859</v>
      </c>
      <c r="AU78" s="245">
        <f t="shared" ref="AU78:BA78" si="69">SUM(AU79,AU93,AU100,AU106,AU111,AU118,AU123,AU134,AU140)</f>
        <v>1820279739</v>
      </c>
      <c r="AV78" s="245">
        <f t="shared" si="69"/>
        <v>0</v>
      </c>
      <c r="AW78" s="245">
        <f t="shared" si="69"/>
        <v>0</v>
      </c>
      <c r="AX78" s="245">
        <f t="shared" si="69"/>
        <v>0</v>
      </c>
      <c r="AY78" s="245">
        <f t="shared" si="69"/>
        <v>0</v>
      </c>
      <c r="AZ78" s="245">
        <f t="shared" si="69"/>
        <v>0</v>
      </c>
      <c r="BA78" s="245">
        <f t="shared" si="69"/>
        <v>0</v>
      </c>
      <c r="BB78" s="245">
        <f t="shared" ref="BB78" si="70">SUM(BB79,BB93,BB100,BB106,BB111,BB118,BB123,BB134,BB140)</f>
        <v>0.28571428521536291</v>
      </c>
    </row>
    <row r="79" spans="1:58" s="80" customFormat="1" ht="40.9" customHeight="1" x14ac:dyDescent="0.25">
      <c r="A79" s="120"/>
      <c r="B79" s="285"/>
      <c r="C79" s="391" t="s">
        <v>313</v>
      </c>
      <c r="D79" s="391"/>
      <c r="E79" s="392"/>
      <c r="F79" s="217"/>
      <c r="G79" s="217"/>
      <c r="H79" s="114" t="s">
        <v>163</v>
      </c>
      <c r="I79" s="246"/>
      <c r="J79" s="246"/>
      <c r="K79" s="246"/>
      <c r="L79" s="247">
        <f>SUM(L85,L88,L92)</f>
        <v>907200</v>
      </c>
      <c r="M79" s="247">
        <f>SUM(M85,M88,M92)</f>
        <v>151502.39999999999</v>
      </c>
      <c r="N79" s="247"/>
      <c r="O79" s="247"/>
      <c r="P79" s="247"/>
      <c r="Q79" s="247"/>
      <c r="R79" s="247">
        <f>SUM(R85,R88,R92)</f>
        <v>0</v>
      </c>
      <c r="S79" s="247">
        <f>SUM(S85,S88,S92)</f>
        <v>0</v>
      </c>
      <c r="T79" s="247">
        <f>SUM(T85,T88,T92)</f>
        <v>0</v>
      </c>
      <c r="U79" s="247">
        <f>SUM(U85,U88,U92)</f>
        <v>0</v>
      </c>
      <c r="V79" s="247"/>
      <c r="W79" s="247"/>
      <c r="X79" s="247"/>
      <c r="Y79" s="247">
        <f>SUM(Y85,Y88,Y92)</f>
        <v>0</v>
      </c>
      <c r="Z79" s="247"/>
      <c r="AA79" s="247"/>
      <c r="AB79" s="247">
        <f>SUM(AB85,AB88,AB92)</f>
        <v>0</v>
      </c>
      <c r="AC79" s="247">
        <f>SUM(AC85,AC88,AC92)</f>
        <v>563501000</v>
      </c>
      <c r="AD79" s="247">
        <f>SUM(AD85,AD88,AD92)</f>
        <v>0</v>
      </c>
      <c r="AE79" s="247">
        <f>SUM(AE85,AE88,AE92)</f>
        <v>0</v>
      </c>
      <c r="AF79" s="247">
        <f>SUM(AF85,AF88,AF92)</f>
        <v>563501000</v>
      </c>
      <c r="AG79" s="247"/>
      <c r="AH79" s="247"/>
      <c r="AI79" s="247"/>
      <c r="AJ79" s="247">
        <f>SUM(AJ85,AJ88,AJ92)</f>
        <v>0</v>
      </c>
      <c r="AK79" s="247">
        <f>SUM(AK85,AK88,AK92)</f>
        <v>0</v>
      </c>
      <c r="AL79" s="247">
        <f>SUM(AL85,AL88,AL92)</f>
        <v>0</v>
      </c>
      <c r="AM79" s="247">
        <f>SUM(AM85,AM88,AM92)</f>
        <v>0</v>
      </c>
      <c r="AN79" s="247">
        <f>SUM(AN85,AN88,AN92)</f>
        <v>0</v>
      </c>
      <c r="AO79" s="247"/>
      <c r="AP79" s="255"/>
      <c r="AQ79" s="248">
        <f>SUM(AQ85,AQ88,AQ92)</f>
        <v>1058702.3999999999</v>
      </c>
      <c r="AR79" s="248">
        <f>SUM(AR85,AR88,AR92)</f>
        <v>563501000</v>
      </c>
      <c r="AS79" s="248">
        <f>SUM(AS85,AS88,AS92)</f>
        <v>0</v>
      </c>
      <c r="AT79" s="248">
        <f>SUM(AT85,AT88,AT92)</f>
        <v>564559702.39999998</v>
      </c>
      <c r="AU79" s="248">
        <f t="shared" ref="AU79:BA79" si="71">SUM(AU85,AU88,AU92)</f>
        <v>564559702</v>
      </c>
      <c r="AV79" s="248">
        <f t="shared" si="71"/>
        <v>0</v>
      </c>
      <c r="AW79" s="248">
        <f t="shared" si="71"/>
        <v>0</v>
      </c>
      <c r="AX79" s="248">
        <f t="shared" si="71"/>
        <v>0</v>
      </c>
      <c r="AY79" s="248">
        <f t="shared" si="71"/>
        <v>0</v>
      </c>
      <c r="AZ79" s="248">
        <f t="shared" si="71"/>
        <v>0</v>
      </c>
      <c r="BA79" s="248">
        <f t="shared" si="71"/>
        <v>0</v>
      </c>
      <c r="BB79" s="248">
        <f t="shared" ref="BB79" si="72">SUM(BB85,BB88,BB92)</f>
        <v>-0.39999999990686774</v>
      </c>
    </row>
    <row r="80" spans="1:58" s="78" customFormat="1" ht="40.9" customHeight="1" outlineLevel="2" x14ac:dyDescent="0.25">
      <c r="A80" s="115"/>
      <c r="B80" s="200"/>
      <c r="C80" s="201"/>
      <c r="D80" s="202"/>
      <c r="E80" s="226"/>
      <c r="F80" s="306"/>
      <c r="G80" s="307"/>
      <c r="H80" s="164" t="s">
        <v>417</v>
      </c>
      <c r="I80" s="130"/>
      <c r="J80" s="126"/>
      <c r="K80" s="126"/>
      <c r="L80" s="125" t="str">
        <f>IF(I80&lt;&gt;0,((VLOOKUP(I80,'1. Standard_Cost'!$B$4:$D$11,2)+VLOOKUP(I80,'1. Standard_Cost'!$B$4:$D$11,3))*J80*K80),"0")</f>
        <v>0</v>
      </c>
      <c r="M80" s="125">
        <f>L80*'1. Standard_Cost'!$F$4</f>
        <v>0</v>
      </c>
      <c r="N80" s="126"/>
      <c r="O80" s="126"/>
      <c r="P80" s="126"/>
      <c r="Q80" s="126"/>
      <c r="R80" s="127">
        <f>'1. Standard_Cost'!$B$15*N80*P80</f>
        <v>0</v>
      </c>
      <c r="S80" s="127">
        <f>N80*O80*P80*'1. Standard_Cost'!$C$15</f>
        <v>0</v>
      </c>
      <c r="T80" s="127">
        <f>N80*P80*Q80*'1. Standard_Cost'!$D$15</f>
        <v>0</v>
      </c>
      <c r="U80" s="127">
        <f>N80*O80*'1. Standard_Cost'!$E$15</f>
        <v>0</v>
      </c>
      <c r="V80" s="126"/>
      <c r="W80" s="126"/>
      <c r="X80" s="126"/>
      <c r="Y80" s="127">
        <f>+V80*((X80*'1. Standard_Cost'!$B$19)+(W80*X80*'1. Standard_Cost'!$C$19))</f>
        <v>0</v>
      </c>
      <c r="Z80" s="126"/>
      <c r="AA80" s="126"/>
      <c r="AB80" s="127">
        <f>+Z80*'1. Standard_Cost'!$B$23+AA80*'1. Standard_Cost'!$C$23</f>
        <v>0</v>
      </c>
      <c r="AC80" s="128">
        <v>73000000</v>
      </c>
      <c r="AD80" s="129"/>
      <c r="AE80" s="127"/>
      <c r="AF80" s="127">
        <f>SUM(AE80,AD80,AC80,AB80,Y80,U80,T80,S80,R80)</f>
        <v>73000000</v>
      </c>
      <c r="AG80" s="126"/>
      <c r="AH80" s="126"/>
      <c r="AI80" s="126"/>
      <c r="AJ80" s="130"/>
      <c r="AK80" s="130"/>
      <c r="AL80" s="130"/>
      <c r="AM80" s="127">
        <f>AG80*'1. Standard_Cost'!$B$27+'Incremental_Cost Year 10'!AH80*'1. Standard_Cost'!$C$27+'Incremental_Cost Year 10'!AI80*'1. Standard_Cost'!$D$27+'Incremental_Cost Year 10'!AJ80+'Incremental_Cost Year 10'!AL80+AK80</f>
        <v>0</v>
      </c>
      <c r="AN80" s="127">
        <f>AM80*'1. Standard_Cost'!$C$31</f>
        <v>0</v>
      </c>
      <c r="AO80" s="130"/>
      <c r="AP80" s="256"/>
      <c r="AQ80" s="171">
        <f>L80+M80</f>
        <v>0</v>
      </c>
      <c r="AR80" s="171">
        <f>AF80</f>
        <v>73000000</v>
      </c>
      <c r="AS80" s="171">
        <f>AM80+AN80</f>
        <v>0</v>
      </c>
      <c r="AT80" s="171">
        <f>SUM(AQ80,AR80,AS80)</f>
        <v>73000000</v>
      </c>
      <c r="AU80" s="250">
        <v>73000000</v>
      </c>
      <c r="AV80" s="250"/>
      <c r="AW80" s="250"/>
      <c r="AX80" s="250"/>
      <c r="AY80" s="250"/>
      <c r="AZ80" s="250"/>
      <c r="BA80" s="250"/>
      <c r="BB80" s="251">
        <f t="shared" ref="BB80:BB84" si="73">SUM(AU80:BA80)-AT80</f>
        <v>0</v>
      </c>
    </row>
    <row r="81" spans="1:54" s="78" customFormat="1" ht="31.5" outlineLevel="2" x14ac:dyDescent="0.25">
      <c r="A81" s="115"/>
      <c r="B81" s="200"/>
      <c r="C81" s="201"/>
      <c r="D81" s="202"/>
      <c r="E81" s="202"/>
      <c r="F81" s="308"/>
      <c r="G81" s="309"/>
      <c r="H81" s="164" t="s">
        <v>418</v>
      </c>
      <c r="I81" s="130"/>
      <c r="J81" s="126"/>
      <c r="K81" s="126"/>
      <c r="L81" s="125" t="str">
        <f>IF(I81&lt;&gt;0,((VLOOKUP(I81,'1. Standard_Cost'!$B$4:$D$11,2)+VLOOKUP(I81,'1. Standard_Cost'!$B$4:$D$11,3))*J81*K81),"0")</f>
        <v>0</v>
      </c>
      <c r="M81" s="125">
        <f>L81*'1. Standard_Cost'!$F$4</f>
        <v>0</v>
      </c>
      <c r="N81" s="126"/>
      <c r="O81" s="126"/>
      <c r="P81" s="126"/>
      <c r="Q81" s="126"/>
      <c r="R81" s="127">
        <f>'1. Standard_Cost'!$B$15*N81*P81</f>
        <v>0</v>
      </c>
      <c r="S81" s="127">
        <f>N81*O81*P81*'1. Standard_Cost'!$C$15</f>
        <v>0</v>
      </c>
      <c r="T81" s="127">
        <f>N81*P81*Q81*'1. Standard_Cost'!$D$15</f>
        <v>0</v>
      </c>
      <c r="U81" s="127">
        <f>N81*O81*'1. Standard_Cost'!$E$15</f>
        <v>0</v>
      </c>
      <c r="V81" s="126"/>
      <c r="W81" s="126"/>
      <c r="X81" s="126"/>
      <c r="Y81" s="127">
        <f>+V81*((X81*'1. Standard_Cost'!$B$19)+(W81*X81*'1. Standard_Cost'!$C$19))</f>
        <v>0</v>
      </c>
      <c r="Z81" s="126"/>
      <c r="AA81" s="126"/>
      <c r="AB81" s="127">
        <f>+Z81*'1. Standard_Cost'!$B$23+AA81*'1. Standard_Cost'!$C$23</f>
        <v>0</v>
      </c>
      <c r="AC81" s="128">
        <v>32000000</v>
      </c>
      <c r="AD81" s="129"/>
      <c r="AE81" s="127"/>
      <c r="AF81" s="127">
        <f>SUM(AE81,AD81,AC81,AB81,Y81,U81,T81,S81,R81)</f>
        <v>32000000</v>
      </c>
      <c r="AG81" s="126"/>
      <c r="AH81" s="126"/>
      <c r="AI81" s="126"/>
      <c r="AJ81" s="130"/>
      <c r="AK81" s="130"/>
      <c r="AL81" s="130"/>
      <c r="AM81" s="127">
        <f>AG81*'1. Standard_Cost'!$B$27+'Incremental_Cost Year 10'!AH81*'1. Standard_Cost'!$C$27+'Incremental_Cost Year 10'!AI81*'1. Standard_Cost'!$D$27+'Incremental_Cost Year 10'!AJ81+'Incremental_Cost Year 10'!AL81+AK81</f>
        <v>0</v>
      </c>
      <c r="AN81" s="127">
        <f>AM81*'1. Standard_Cost'!$C$31</f>
        <v>0</v>
      </c>
      <c r="AO81" s="130"/>
      <c r="AP81" s="256"/>
      <c r="AQ81" s="171">
        <f>L81+M81</f>
        <v>0</v>
      </c>
      <c r="AR81" s="171">
        <f>AF81</f>
        <v>32000000</v>
      </c>
      <c r="AS81" s="171">
        <f>AM81+AN81</f>
        <v>0</v>
      </c>
      <c r="AT81" s="171">
        <f>SUM(AQ81,AR81,AS81)</f>
        <v>32000000</v>
      </c>
      <c r="AU81" s="250">
        <v>32000000</v>
      </c>
      <c r="AV81" s="250"/>
      <c r="AW81" s="250"/>
      <c r="AX81" s="250"/>
      <c r="AY81" s="250"/>
      <c r="AZ81" s="250"/>
      <c r="BA81" s="250"/>
      <c r="BB81" s="251">
        <f t="shared" si="73"/>
        <v>0</v>
      </c>
    </row>
    <row r="82" spans="1:54" s="78" customFormat="1" ht="31.5" outlineLevel="2" x14ac:dyDescent="0.25">
      <c r="A82" s="115"/>
      <c r="B82" s="200"/>
      <c r="C82" s="201"/>
      <c r="D82" s="202"/>
      <c r="E82" s="202"/>
      <c r="F82" s="308"/>
      <c r="G82" s="309"/>
      <c r="H82" s="164" t="s">
        <v>419</v>
      </c>
      <c r="I82" s="130"/>
      <c r="J82" s="126"/>
      <c r="K82" s="126"/>
      <c r="L82" s="125" t="str">
        <f>IF(I82&lt;&gt;0,((VLOOKUP(I82,'1. Standard_Cost'!$B$4:$D$11,2)+VLOOKUP(I82,'1. Standard_Cost'!$B$4:$D$11,3))*J82*K82),"0")</f>
        <v>0</v>
      </c>
      <c r="M82" s="125">
        <f>L82*'1. Standard_Cost'!$F$4</f>
        <v>0</v>
      </c>
      <c r="N82" s="126"/>
      <c r="O82" s="126"/>
      <c r="P82" s="126"/>
      <c r="Q82" s="126"/>
      <c r="R82" s="127">
        <f>'1. Standard_Cost'!$B$15*N82*P82</f>
        <v>0</v>
      </c>
      <c r="S82" s="127">
        <f>N82*O82*P82*'1. Standard_Cost'!$C$15</f>
        <v>0</v>
      </c>
      <c r="T82" s="127">
        <f>N82*P82*Q82*'1. Standard_Cost'!$D$15</f>
        <v>0</v>
      </c>
      <c r="U82" s="127">
        <f>N82*O82*'1. Standard_Cost'!$E$15</f>
        <v>0</v>
      </c>
      <c r="V82" s="126"/>
      <c r="W82" s="126"/>
      <c r="X82" s="126"/>
      <c r="Y82" s="127">
        <f>+V82*((X82*'1. Standard_Cost'!$B$19)+(W82*X82*'1. Standard_Cost'!$C$19))</f>
        <v>0</v>
      </c>
      <c r="Z82" s="126"/>
      <c r="AA82" s="126"/>
      <c r="AB82" s="127">
        <f>+Z82*'1. Standard_Cost'!$B$23+AA82*'1. Standard_Cost'!$C$23</f>
        <v>0</v>
      </c>
      <c r="AC82" s="128">
        <v>13321000</v>
      </c>
      <c r="AD82" s="129"/>
      <c r="AE82" s="127"/>
      <c r="AF82" s="127">
        <f>SUM(AE82,AD82,AC82,AB82,Y82,U82,T82,S82,R82)</f>
        <v>13321000</v>
      </c>
      <c r="AG82" s="126"/>
      <c r="AH82" s="126"/>
      <c r="AI82" s="126"/>
      <c r="AJ82" s="130"/>
      <c r="AK82" s="130"/>
      <c r="AL82" s="130"/>
      <c r="AM82" s="127">
        <f>AG82*'1. Standard_Cost'!$B$27+'Incremental_Cost Year 10'!AH82*'1. Standard_Cost'!$C$27+'Incremental_Cost Year 10'!AI82*'1. Standard_Cost'!$D$27+'Incremental_Cost Year 10'!AJ82+'Incremental_Cost Year 10'!AL82+AK82</f>
        <v>0</v>
      </c>
      <c r="AN82" s="127">
        <f>AM82*'1. Standard_Cost'!$C$31</f>
        <v>0</v>
      </c>
      <c r="AO82" s="130"/>
      <c r="AP82" s="256"/>
      <c r="AQ82" s="171">
        <f>L82+M82</f>
        <v>0</v>
      </c>
      <c r="AR82" s="171">
        <f>AF82</f>
        <v>13321000</v>
      </c>
      <c r="AS82" s="171">
        <f>AM82+AN82</f>
        <v>0</v>
      </c>
      <c r="AT82" s="171">
        <f>SUM(AQ82,AR82,AS82)</f>
        <v>13321000</v>
      </c>
      <c r="AU82" s="250">
        <v>13321000</v>
      </c>
      <c r="AV82" s="250"/>
      <c r="AW82" s="250"/>
      <c r="AX82" s="250"/>
      <c r="AY82" s="250"/>
      <c r="AZ82" s="250"/>
      <c r="BA82" s="250"/>
      <c r="BB82" s="251">
        <f t="shared" si="73"/>
        <v>0</v>
      </c>
    </row>
    <row r="83" spans="1:54" s="169" customFormat="1" ht="78.75" outlineLevel="2" x14ac:dyDescent="0.25">
      <c r="A83" s="115"/>
      <c r="B83" s="200"/>
      <c r="C83" s="201"/>
      <c r="D83" s="137"/>
      <c r="E83" s="105"/>
      <c r="F83" s="308"/>
      <c r="G83" s="309"/>
      <c r="H83" s="199" t="s">
        <v>539</v>
      </c>
      <c r="I83" s="130"/>
      <c r="J83" s="126"/>
      <c r="K83" s="126"/>
      <c r="L83" s="125" t="str">
        <f>IF(I83&lt;&gt;0,((VLOOKUP(I83,'1. Standard_Cost'!$B$4:$D$11,2)+VLOOKUP(I83,'1. Standard_Cost'!$B$4:$D$11,3))*J83*K83),"0")</f>
        <v>0</v>
      </c>
      <c r="M83" s="125">
        <f>L83*'1. Standard_Cost'!$F$4</f>
        <v>0</v>
      </c>
      <c r="N83" s="126"/>
      <c r="O83" s="126"/>
      <c r="P83" s="126"/>
      <c r="Q83" s="126"/>
      <c r="R83" s="127">
        <f>'1. Standard_Cost'!$B$15*N83*P83</f>
        <v>0</v>
      </c>
      <c r="S83" s="127">
        <f>N83*O83*P83*'1. Standard_Cost'!$C$15</f>
        <v>0</v>
      </c>
      <c r="T83" s="127">
        <f>N83*P83*Q83*'1. Standard_Cost'!$D$15</f>
        <v>0</v>
      </c>
      <c r="U83" s="127">
        <f>N83*O83*'1. Standard_Cost'!$E$15</f>
        <v>0</v>
      </c>
      <c r="V83" s="126"/>
      <c r="W83" s="126"/>
      <c r="X83" s="126"/>
      <c r="Y83" s="127">
        <f>+V83*((X83*'1. Standard_Cost'!$B$19)+(W83*X83*'1. Standard_Cost'!$C$19))</f>
        <v>0</v>
      </c>
      <c r="Z83" s="126"/>
      <c r="AA83" s="126"/>
      <c r="AB83" s="127">
        <f>+Z83*'1. Standard_Cost'!$B$23+AA83*'1. Standard_Cost'!$C$23</f>
        <v>0</v>
      </c>
      <c r="AC83" s="128">
        <v>445180000</v>
      </c>
      <c r="AD83" s="129"/>
      <c r="AE83" s="127"/>
      <c r="AF83" s="127">
        <f>SUM(AE83,AD83,AC83,AB83,Y83,U83,T83,S83,R83)</f>
        <v>445180000</v>
      </c>
      <c r="AG83" s="126"/>
      <c r="AH83" s="126"/>
      <c r="AI83" s="126"/>
      <c r="AJ83" s="130"/>
      <c r="AK83" s="130"/>
      <c r="AL83" s="130"/>
      <c r="AM83" s="127">
        <f>AG83*'1. Standard_Cost'!$B$27+'Incremental_Cost Year 10'!AH84*'1. Standard_Cost'!$C$27+'Incremental_Cost Year 10'!AI84*'1. Standard_Cost'!$D$27+'Incremental_Cost Year 10'!AJ84+'Incremental_Cost Year 10'!AL84+AK83</f>
        <v>0</v>
      </c>
      <c r="AN83" s="127">
        <f>AM83*'1. Standard_Cost'!$C$31</f>
        <v>0</v>
      </c>
      <c r="AO83" s="130"/>
      <c r="AP83" s="256"/>
      <c r="AQ83" s="171">
        <f>L83+M83</f>
        <v>0</v>
      </c>
      <c r="AR83" s="171">
        <f>AF83</f>
        <v>445180000</v>
      </c>
      <c r="AS83" s="171">
        <f>AM83+AN83</f>
        <v>0</v>
      </c>
      <c r="AT83" s="171">
        <f>SUM(AQ83,AR83,AS83)</f>
        <v>445180000</v>
      </c>
      <c r="AU83" s="250">
        <v>445180000</v>
      </c>
      <c r="AV83" s="250"/>
      <c r="AW83" s="250"/>
      <c r="AX83" s="250"/>
      <c r="AY83" s="250"/>
      <c r="AZ83" s="250"/>
      <c r="BA83" s="250"/>
      <c r="BB83" s="251">
        <f t="shared" si="73"/>
        <v>0</v>
      </c>
    </row>
    <row r="84" spans="1:54" s="78" customFormat="1" ht="31.5" outlineLevel="2" x14ac:dyDescent="0.25">
      <c r="A84" s="115"/>
      <c r="B84" s="200"/>
      <c r="C84" s="201"/>
      <c r="D84" s="137"/>
      <c r="E84" s="202"/>
      <c r="F84" s="308"/>
      <c r="G84" s="309"/>
      <c r="H84" s="164" t="s">
        <v>420</v>
      </c>
      <c r="I84" s="130"/>
      <c r="J84" s="126"/>
      <c r="K84" s="126"/>
      <c r="L84" s="125" t="str">
        <f>IF(I84&lt;&gt;0,((VLOOKUP(I84,'1. Standard_Cost'!$B$4:$D$11,2)+VLOOKUP(I84,'1. Standard_Cost'!$B$4:$D$11,3))*J84*K84),"0")</f>
        <v>0</v>
      </c>
      <c r="M84" s="125">
        <f>L84*'1. Standard_Cost'!$F$4</f>
        <v>0</v>
      </c>
      <c r="N84" s="126"/>
      <c r="O84" s="126"/>
      <c r="P84" s="126"/>
      <c r="Q84" s="126"/>
      <c r="R84" s="127">
        <f>'1. Standard_Cost'!$B$15*N84*P84</f>
        <v>0</v>
      </c>
      <c r="S84" s="127">
        <f>N84*O84*P84*'1. Standard_Cost'!$C$15</f>
        <v>0</v>
      </c>
      <c r="T84" s="127">
        <f>N84*P84*Q84*'1. Standard_Cost'!$D$15</f>
        <v>0</v>
      </c>
      <c r="U84" s="127">
        <f>N84*O84*'1. Standard_Cost'!$E$15</f>
        <v>0</v>
      </c>
      <c r="V84" s="126"/>
      <c r="W84" s="126"/>
      <c r="X84" s="126"/>
      <c r="Y84" s="127">
        <f>+V84*((X84*'1. Standard_Cost'!$B$19)+(W84*X84*'1. Standard_Cost'!$C$19))</f>
        <v>0</v>
      </c>
      <c r="Z84" s="126"/>
      <c r="AA84" s="126"/>
      <c r="AB84" s="127">
        <f>+Z84*'1. Standard_Cost'!$B$23+AA84*'1. Standard_Cost'!$C$23</f>
        <v>0</v>
      </c>
      <c r="AC84" s="128"/>
      <c r="AD84" s="129"/>
      <c r="AE84" s="127"/>
      <c r="AF84" s="127">
        <f>SUM(AE84,AD84,AC84,AB84,Y84,U84,T84,S84,R84)</f>
        <v>0</v>
      </c>
      <c r="AG84" s="126"/>
      <c r="AH84" s="126"/>
      <c r="AI84" s="126"/>
      <c r="AJ84" s="130"/>
      <c r="AK84" s="130"/>
      <c r="AL84" s="130"/>
      <c r="AM84" s="127">
        <f>AG84*'1. Standard_Cost'!$B$27+'Incremental_Cost Year 10'!AH84*'1. Standard_Cost'!$C$27+'Incremental_Cost Year 10'!AI84*'1. Standard_Cost'!$D$27+'Incremental_Cost Year 10'!AJ84+'Incremental_Cost Year 10'!AL84+AK84</f>
        <v>0</v>
      </c>
      <c r="AN84" s="127">
        <f>AM84*'1. Standard_Cost'!$C$31</f>
        <v>0</v>
      </c>
      <c r="AO84" s="130"/>
      <c r="AP84" s="256"/>
      <c r="AQ84" s="171">
        <f>L84+M84</f>
        <v>0</v>
      </c>
      <c r="AR84" s="171">
        <f>AF84</f>
        <v>0</v>
      </c>
      <c r="AS84" s="171">
        <f>AM84+AN84</f>
        <v>0</v>
      </c>
      <c r="AT84" s="171">
        <f>SUM(AQ84,AR84,AS84)</f>
        <v>0</v>
      </c>
      <c r="AU84" s="250"/>
      <c r="AV84" s="250"/>
      <c r="AW84" s="250"/>
      <c r="AX84" s="250"/>
      <c r="AY84" s="250"/>
      <c r="AZ84" s="250"/>
      <c r="BA84" s="250"/>
      <c r="BB84" s="251">
        <f t="shared" si="73"/>
        <v>0</v>
      </c>
    </row>
    <row r="85" spans="1:54" s="78" customFormat="1" ht="110.25" outlineLevel="1" x14ac:dyDescent="0.25">
      <c r="A85" s="115"/>
      <c r="B85" s="165"/>
      <c r="C85" s="166"/>
      <c r="D85" s="139" t="s">
        <v>421</v>
      </c>
      <c r="E85" s="212" t="s">
        <v>273</v>
      </c>
      <c r="F85" s="136">
        <v>2021</v>
      </c>
      <c r="G85" s="117">
        <v>2030</v>
      </c>
      <c r="H85" s="110" t="s">
        <v>175</v>
      </c>
      <c r="I85" s="252"/>
      <c r="J85" s="252"/>
      <c r="K85" s="252"/>
      <c r="L85" s="127">
        <f>SUM(L80:L84)</f>
        <v>0</v>
      </c>
      <c r="M85" s="127">
        <f>SUM(M80:M84)</f>
        <v>0</v>
      </c>
      <c r="N85" s="252"/>
      <c r="O85" s="252"/>
      <c r="P85" s="252"/>
      <c r="Q85" s="252"/>
      <c r="R85" s="127">
        <f>SUM(R80:R84)</f>
        <v>0</v>
      </c>
      <c r="S85" s="127">
        <f>SUM(S80:S84)</f>
        <v>0</v>
      </c>
      <c r="T85" s="127">
        <f>SUM(T80:T84)</f>
        <v>0</v>
      </c>
      <c r="U85" s="127">
        <f>SUM(U80:U84)</f>
        <v>0</v>
      </c>
      <c r="V85" s="252"/>
      <c r="W85" s="252"/>
      <c r="X85" s="252"/>
      <c r="Y85" s="127">
        <f>SUM(Y80:Y84)</f>
        <v>0</v>
      </c>
      <c r="Z85" s="252"/>
      <c r="AA85" s="252"/>
      <c r="AB85" s="127">
        <f>SUM(AB80:AB84)</f>
        <v>0</v>
      </c>
      <c r="AC85" s="127">
        <f>SUM(AC80:AC84)</f>
        <v>563501000</v>
      </c>
      <c r="AD85" s="127">
        <f>SUM(AD80:AD84)</f>
        <v>0</v>
      </c>
      <c r="AE85" s="127">
        <f>SUM(AE80:AE84)</f>
        <v>0</v>
      </c>
      <c r="AF85" s="127">
        <f>SUM(AF80:AF84)</f>
        <v>563501000</v>
      </c>
      <c r="AG85" s="252"/>
      <c r="AH85" s="252"/>
      <c r="AI85" s="252"/>
      <c r="AJ85" s="127">
        <f>SUM(AJ80:AJ84)</f>
        <v>0</v>
      </c>
      <c r="AK85" s="127">
        <f>SUM(AK80:AK84)</f>
        <v>0</v>
      </c>
      <c r="AL85" s="127">
        <f>SUM(AL80:AL84)</f>
        <v>0</v>
      </c>
      <c r="AM85" s="127">
        <f>SUM(AM80:AM84)</f>
        <v>0</v>
      </c>
      <c r="AN85" s="127">
        <f>SUM(AN80:AN84)</f>
        <v>0</v>
      </c>
      <c r="AO85" s="253"/>
      <c r="AP85" s="254"/>
      <c r="AQ85" s="175">
        <f t="shared" ref="AQ85:BB85" si="74">SUM(AQ80:AQ84)</f>
        <v>0</v>
      </c>
      <c r="AR85" s="175">
        <f t="shared" si="74"/>
        <v>563501000</v>
      </c>
      <c r="AS85" s="175">
        <f t="shared" si="74"/>
        <v>0</v>
      </c>
      <c r="AT85" s="175">
        <f t="shared" si="74"/>
        <v>563501000</v>
      </c>
      <c r="AU85" s="175">
        <f t="shared" si="74"/>
        <v>563501000</v>
      </c>
      <c r="AV85" s="175">
        <f t="shared" si="74"/>
        <v>0</v>
      </c>
      <c r="AW85" s="175">
        <f t="shared" si="74"/>
        <v>0</v>
      </c>
      <c r="AX85" s="175">
        <f t="shared" si="74"/>
        <v>0</v>
      </c>
      <c r="AY85" s="175">
        <f t="shared" si="74"/>
        <v>0</v>
      </c>
      <c r="AZ85" s="175">
        <f t="shared" si="74"/>
        <v>0</v>
      </c>
      <c r="BA85" s="175">
        <f t="shared" si="74"/>
        <v>0</v>
      </c>
      <c r="BB85" s="175">
        <f t="shared" si="74"/>
        <v>0</v>
      </c>
    </row>
    <row r="86" spans="1:54" s="78" customFormat="1" ht="94.5" outlineLevel="2" x14ac:dyDescent="0.25">
      <c r="A86" s="115"/>
      <c r="B86" s="200"/>
      <c r="C86" s="201"/>
      <c r="D86" s="346"/>
      <c r="E86" s="321"/>
      <c r="F86" s="277"/>
      <c r="G86" s="278"/>
      <c r="H86" s="164" t="s">
        <v>422</v>
      </c>
      <c r="I86" s="130"/>
      <c r="J86" s="126"/>
      <c r="K86" s="126"/>
      <c r="L86" s="125" t="str">
        <f>IF(I86&lt;&gt;0,((VLOOKUP(I86,'1. Standard_Cost'!$B$4:$D$11,2)+VLOOKUP(I86,'1. Standard_Cost'!$B$4:$D$11,3))*J86*K86),"0")</f>
        <v>0</v>
      </c>
      <c r="M86" s="125">
        <f>L86*'1. Standard_Cost'!$F$4</f>
        <v>0</v>
      </c>
      <c r="N86" s="126"/>
      <c r="O86" s="126"/>
      <c r="P86" s="126"/>
      <c r="Q86" s="126"/>
      <c r="R86" s="127">
        <f>'1. Standard_Cost'!$B$15*N86*P86</f>
        <v>0</v>
      </c>
      <c r="S86" s="127">
        <f>N86*O86*P86*'1. Standard_Cost'!$C$15</f>
        <v>0</v>
      </c>
      <c r="T86" s="127">
        <f>N86*P86*Q86*'1. Standard_Cost'!$D$15</f>
        <v>0</v>
      </c>
      <c r="U86" s="127">
        <f>N86*O86*'1. Standard_Cost'!$E$15</f>
        <v>0</v>
      </c>
      <c r="V86" s="126"/>
      <c r="W86" s="126"/>
      <c r="X86" s="126"/>
      <c r="Y86" s="127">
        <f>+V86*((X86*'1. Standard_Cost'!$B$19)+(W86*X86*'1. Standard_Cost'!$C$19))</f>
        <v>0</v>
      </c>
      <c r="Z86" s="126"/>
      <c r="AA86" s="126"/>
      <c r="AB86" s="127">
        <f>+Z86*'1. Standard_Cost'!$B$23+AA86*'1. Standard_Cost'!$C$23</f>
        <v>0</v>
      </c>
      <c r="AC86" s="128"/>
      <c r="AD86" s="129"/>
      <c r="AE86" s="127">
        <f>SUM(AD86,AC86,AB86,Y86,U86,T86,S86,R86)*'1. Standard_Cost'!$B$31</f>
        <v>0</v>
      </c>
      <c r="AF86" s="127">
        <f>SUM(AE86,AD86,AC86,AB86,Y86,U86,T86,S86,R86)</f>
        <v>0</v>
      </c>
      <c r="AG86" s="126"/>
      <c r="AH86" s="126"/>
      <c r="AI86" s="126"/>
      <c r="AJ86" s="130"/>
      <c r="AK86" s="130"/>
      <c r="AL86" s="130"/>
      <c r="AM86" s="127">
        <f>AG86*'1. Standard_Cost'!$B$27+'Incremental_Cost Year 10'!AH86*'1. Standard_Cost'!$C$27+'Incremental_Cost Year 10'!AI86*'1. Standard_Cost'!$D$27+'Incremental_Cost Year 10'!AJ86+'Incremental_Cost Year 10'!AL86+AK86</f>
        <v>0</v>
      </c>
      <c r="AN86" s="127">
        <f>AM86*'1. Standard_Cost'!$C$31</f>
        <v>0</v>
      </c>
      <c r="AO86" s="130"/>
      <c r="AP86" s="239"/>
      <c r="AQ86" s="171">
        <f>L86+M86</f>
        <v>0</v>
      </c>
      <c r="AR86" s="171">
        <f>AF86</f>
        <v>0</v>
      </c>
      <c r="AS86" s="171">
        <f>AM86+AN86</f>
        <v>0</v>
      </c>
      <c r="AT86" s="171">
        <f>SUM(AQ86,AR86,AS86)</f>
        <v>0</v>
      </c>
      <c r="AU86" s="250"/>
      <c r="AV86" s="250"/>
      <c r="AW86" s="250"/>
      <c r="AX86" s="250"/>
      <c r="AY86" s="250"/>
      <c r="AZ86" s="250"/>
      <c r="BA86" s="250"/>
      <c r="BB86" s="251">
        <f t="shared" ref="BB86:BB87" si="75">SUM(AU86:BA86)-AT86</f>
        <v>0</v>
      </c>
    </row>
    <row r="87" spans="1:54" s="78" customFormat="1" ht="189" outlineLevel="2" x14ac:dyDescent="0.25">
      <c r="A87" s="115"/>
      <c r="B87" s="200"/>
      <c r="C87" s="201"/>
      <c r="D87" s="133"/>
      <c r="E87" s="322"/>
      <c r="F87" s="122"/>
      <c r="G87" s="123"/>
      <c r="H87" s="199" t="s">
        <v>423</v>
      </c>
      <c r="I87" s="130"/>
      <c r="J87" s="126"/>
      <c r="K87" s="126"/>
      <c r="L87" s="125" t="str">
        <f>IF(I87&lt;&gt;0,((VLOOKUP(I87,'1. Standard_Cost'!$B$4:$D$11,2)+VLOOKUP(I87,'1. Standard_Cost'!$B$4:$D$11,3))*J87*K87),"0")</f>
        <v>0</v>
      </c>
      <c r="M87" s="125">
        <f>L87*'1. Standard_Cost'!$F$4</f>
        <v>0</v>
      </c>
      <c r="N87" s="126"/>
      <c r="O87" s="126"/>
      <c r="P87" s="126"/>
      <c r="Q87" s="126"/>
      <c r="R87" s="127">
        <f>'1. Standard_Cost'!$B$15*N87*P87</f>
        <v>0</v>
      </c>
      <c r="S87" s="127">
        <f>N87*O87*P87*'1. Standard_Cost'!$C$15</f>
        <v>0</v>
      </c>
      <c r="T87" s="127">
        <f>N87*P87*Q87*'1. Standard_Cost'!$D$15</f>
        <v>0</v>
      </c>
      <c r="U87" s="127">
        <f>N87*O87*'1. Standard_Cost'!$E$15</f>
        <v>0</v>
      </c>
      <c r="V87" s="126"/>
      <c r="W87" s="126"/>
      <c r="X87" s="126"/>
      <c r="Y87" s="127">
        <f>+V87*((X87*'1. Standard_Cost'!$B$19)+(W87*X87*'1. Standard_Cost'!$C$19))</f>
        <v>0</v>
      </c>
      <c r="Z87" s="126"/>
      <c r="AA87" s="126"/>
      <c r="AB87" s="127">
        <f>+Z87*'1. Standard_Cost'!$B$23+AA87*'1. Standard_Cost'!$C$23</f>
        <v>0</v>
      </c>
      <c r="AC87" s="128"/>
      <c r="AD87" s="129"/>
      <c r="AE87" s="127">
        <f>SUM(AD87,AC87,AB87,Y87,U87,T87,S87,R87)*'1. Standard_Cost'!$B$31</f>
        <v>0</v>
      </c>
      <c r="AF87" s="127">
        <f>SUM(AE87,AD87,AC87,AB87,Y87,U87,T87,S87,R87)</f>
        <v>0</v>
      </c>
      <c r="AG87" s="126"/>
      <c r="AH87" s="126"/>
      <c r="AI87" s="126"/>
      <c r="AJ87" s="130"/>
      <c r="AK87" s="130"/>
      <c r="AL87" s="130"/>
      <c r="AM87" s="127">
        <f>AG87*'1. Standard_Cost'!$B$27+'Incremental_Cost Year 10'!AH87*'1. Standard_Cost'!$C$27+'Incremental_Cost Year 10'!AI87*'1. Standard_Cost'!$D$27+'Incremental_Cost Year 10'!AJ87+'Incremental_Cost Year 10'!AL87+AK87</f>
        <v>0</v>
      </c>
      <c r="AN87" s="127">
        <f>AM87*'1. Standard_Cost'!$C$31</f>
        <v>0</v>
      </c>
      <c r="AO87" s="130"/>
      <c r="AP87" s="239"/>
      <c r="AQ87" s="171">
        <f>L87+M87</f>
        <v>0</v>
      </c>
      <c r="AR87" s="171">
        <f>AF87</f>
        <v>0</v>
      </c>
      <c r="AS87" s="171">
        <f>AM87+AN87</f>
        <v>0</v>
      </c>
      <c r="AT87" s="171">
        <f>SUM(AQ87,AR87,AS87)</f>
        <v>0</v>
      </c>
      <c r="AU87" s="250"/>
      <c r="AV87" s="250"/>
      <c r="AW87" s="250"/>
      <c r="AX87" s="250"/>
      <c r="AY87" s="250"/>
      <c r="AZ87" s="250"/>
      <c r="BA87" s="250"/>
      <c r="BB87" s="251">
        <f t="shared" si="75"/>
        <v>0</v>
      </c>
    </row>
    <row r="88" spans="1:54" s="78" customFormat="1" ht="63" outlineLevel="1" x14ac:dyDescent="0.25">
      <c r="A88" s="115"/>
      <c r="B88" s="165"/>
      <c r="C88" s="166"/>
      <c r="D88" s="212" t="s">
        <v>240</v>
      </c>
      <c r="E88" s="212" t="s">
        <v>269</v>
      </c>
      <c r="F88" s="117">
        <v>2024</v>
      </c>
      <c r="G88" s="117">
        <v>2030</v>
      </c>
      <c r="H88" s="110" t="s">
        <v>270</v>
      </c>
      <c r="I88" s="252"/>
      <c r="J88" s="252"/>
      <c r="K88" s="252"/>
      <c r="L88" s="127">
        <f>SUM(L86:L87)</f>
        <v>0</v>
      </c>
      <c r="M88" s="127">
        <f>SUM(M86:M87)</f>
        <v>0</v>
      </c>
      <c r="N88" s="252"/>
      <c r="O88" s="252"/>
      <c r="P88" s="252"/>
      <c r="Q88" s="252"/>
      <c r="R88" s="127">
        <f>SUM(R86:R87)</f>
        <v>0</v>
      </c>
      <c r="S88" s="127">
        <f>SUM(S86:S87)</f>
        <v>0</v>
      </c>
      <c r="T88" s="127">
        <f>SUM(T86:T87)</f>
        <v>0</v>
      </c>
      <c r="U88" s="127">
        <f>SUM(U86:U87)</f>
        <v>0</v>
      </c>
      <c r="V88" s="252"/>
      <c r="W88" s="252"/>
      <c r="X88" s="252"/>
      <c r="Y88" s="127">
        <f>SUM(Y86:Y87)</f>
        <v>0</v>
      </c>
      <c r="Z88" s="252"/>
      <c r="AA88" s="252"/>
      <c r="AB88" s="127">
        <f>SUM(AB86:AB87)</f>
        <v>0</v>
      </c>
      <c r="AC88" s="127">
        <f>SUM(AC86:AC87)</f>
        <v>0</v>
      </c>
      <c r="AD88" s="127">
        <f>SUM(AD86:AD87)</f>
        <v>0</v>
      </c>
      <c r="AE88" s="127">
        <f>SUM(AE86:AE87)</f>
        <v>0</v>
      </c>
      <c r="AF88" s="127">
        <f>SUM(AF86:AF87)</f>
        <v>0</v>
      </c>
      <c r="AG88" s="252"/>
      <c r="AH88" s="252"/>
      <c r="AI88" s="252"/>
      <c r="AJ88" s="127">
        <f>SUM(AJ86:AJ87)</f>
        <v>0</v>
      </c>
      <c r="AK88" s="127">
        <f>SUM(AK86:AK87)</f>
        <v>0</v>
      </c>
      <c r="AL88" s="127">
        <f>SUM(AL86:AL87)</f>
        <v>0</v>
      </c>
      <c r="AM88" s="127">
        <f>SUM(AM86:AM87)</f>
        <v>0</v>
      </c>
      <c r="AN88" s="127">
        <f>SUM(AN86:AN87)</f>
        <v>0</v>
      </c>
      <c r="AO88" s="253"/>
      <c r="AP88" s="254"/>
      <c r="AQ88" s="175">
        <f>SUM(AQ86:AQ87)</f>
        <v>0</v>
      </c>
      <c r="AR88" s="175">
        <f>SUM(AR86:AR87)</f>
        <v>0</v>
      </c>
      <c r="AS88" s="175">
        <f>SUM(AS86:AS87)</f>
        <v>0</v>
      </c>
      <c r="AT88" s="175">
        <f>SUM(AT86:AT87)</f>
        <v>0</v>
      </c>
      <c r="AU88" s="175">
        <f t="shared" ref="AU88:BA88" si="76">SUM(AU86:AU87)</f>
        <v>0</v>
      </c>
      <c r="AV88" s="175">
        <f t="shared" si="76"/>
        <v>0</v>
      </c>
      <c r="AW88" s="175">
        <f t="shared" si="76"/>
        <v>0</v>
      </c>
      <c r="AX88" s="175">
        <f t="shared" si="76"/>
        <v>0</v>
      </c>
      <c r="AY88" s="175">
        <f t="shared" si="76"/>
        <v>0</v>
      </c>
      <c r="AZ88" s="175">
        <f t="shared" si="76"/>
        <v>0</v>
      </c>
      <c r="BA88" s="175">
        <f t="shared" si="76"/>
        <v>0</v>
      </c>
      <c r="BB88" s="175">
        <f t="shared" ref="BB88" si="77">SUM(BB86:BB87)</f>
        <v>0</v>
      </c>
    </row>
    <row r="89" spans="1:54" s="78" customFormat="1" ht="63" outlineLevel="2" x14ac:dyDescent="0.25">
      <c r="A89" s="115"/>
      <c r="B89" s="200"/>
      <c r="C89" s="201"/>
      <c r="D89" s="346"/>
      <c r="E89" s="321"/>
      <c r="F89" s="306"/>
      <c r="G89" s="307"/>
      <c r="H89" s="199" t="s">
        <v>424</v>
      </c>
      <c r="I89" s="130"/>
      <c r="J89" s="126"/>
      <c r="K89" s="126"/>
      <c r="L89" s="125" t="str">
        <f>IF(I89&lt;&gt;0,((VLOOKUP(I89,'1. Standard_Cost'!$B$4:$D$11,2)+VLOOKUP(I89,'1. Standard_Cost'!$B$4:$D$11,3))*J89*K89),"0")</f>
        <v>0</v>
      </c>
      <c r="M89" s="125">
        <f>L89*'1. Standard_Cost'!$F$4</f>
        <v>0</v>
      </c>
      <c r="N89" s="126"/>
      <c r="O89" s="126"/>
      <c r="P89" s="126"/>
      <c r="Q89" s="126"/>
      <c r="R89" s="127">
        <f>'1. Standard_Cost'!$B$15*N89*P89</f>
        <v>0</v>
      </c>
      <c r="S89" s="127">
        <f>N89*O89*P89*'1. Standard_Cost'!$C$15</f>
        <v>0</v>
      </c>
      <c r="T89" s="127">
        <f>N89*P89*Q89*'1. Standard_Cost'!$D$15</f>
        <v>0</v>
      </c>
      <c r="U89" s="127">
        <f>N89*O89*'1. Standard_Cost'!$E$15</f>
        <v>0</v>
      </c>
      <c r="V89" s="126"/>
      <c r="W89" s="126"/>
      <c r="X89" s="126"/>
      <c r="Y89" s="127">
        <f>+V89*((X89*'1. Standard_Cost'!$B$19)+(W89*X89*'1. Standard_Cost'!$C$19))</f>
        <v>0</v>
      </c>
      <c r="Z89" s="126"/>
      <c r="AA89" s="126"/>
      <c r="AB89" s="127">
        <f>+Z89*'1. Standard_Cost'!$B$23+AA89*'1. Standard_Cost'!$C$23</f>
        <v>0</v>
      </c>
      <c r="AC89" s="128"/>
      <c r="AD89" s="129"/>
      <c r="AE89" s="127">
        <f>SUM(AD89,AC89,AB89,Y89,U89,T89,S89,R89)*'1. Standard_Cost'!$B$31</f>
        <v>0</v>
      </c>
      <c r="AF89" s="127">
        <f>SUM(AE89,AD89,AC89,AB89,Y89,U89,T89,S89,R89)</f>
        <v>0</v>
      </c>
      <c r="AG89" s="126"/>
      <c r="AH89" s="126"/>
      <c r="AI89" s="126"/>
      <c r="AJ89" s="130"/>
      <c r="AK89" s="130"/>
      <c r="AL89" s="130"/>
      <c r="AM89" s="127">
        <f>AG89*'1. Standard_Cost'!$B$27+'Incremental_Cost Year 10'!AH89*'1. Standard_Cost'!$C$27+'Incremental_Cost Year 10'!AI89*'1. Standard_Cost'!$D$27+'Incremental_Cost Year 10'!AJ89+'Incremental_Cost Year 10'!AL89+AK89</f>
        <v>0</v>
      </c>
      <c r="AN89" s="127">
        <f>AM89*'1. Standard_Cost'!$C$31</f>
        <v>0</v>
      </c>
      <c r="AO89" s="130"/>
      <c r="AP89" s="239"/>
      <c r="AQ89" s="171">
        <f>L89+M89</f>
        <v>0</v>
      </c>
      <c r="AR89" s="171">
        <f>AF89</f>
        <v>0</v>
      </c>
      <c r="AS89" s="171">
        <f>AM89+AN89</f>
        <v>0</v>
      </c>
      <c r="AT89" s="171">
        <f>SUM(AQ89,AR89,AS89)</f>
        <v>0</v>
      </c>
      <c r="AU89" s="250"/>
      <c r="AV89" s="250"/>
      <c r="AW89" s="250"/>
      <c r="AX89" s="250"/>
      <c r="AY89" s="250"/>
      <c r="AZ89" s="250"/>
      <c r="BA89" s="250"/>
      <c r="BB89" s="251">
        <f t="shared" ref="BB89:BB91" si="78">SUM(AU89:BA89)-AT89</f>
        <v>0</v>
      </c>
    </row>
    <row r="90" spans="1:54" s="78" customFormat="1" ht="94.5" outlineLevel="2" x14ac:dyDescent="0.25">
      <c r="A90" s="115"/>
      <c r="B90" s="200"/>
      <c r="C90" s="201"/>
      <c r="D90" s="203"/>
      <c r="E90" s="323"/>
      <c r="F90" s="308"/>
      <c r="G90" s="309"/>
      <c r="H90" s="199" t="s">
        <v>425</v>
      </c>
      <c r="I90" s="130"/>
      <c r="J90" s="126"/>
      <c r="K90" s="126"/>
      <c r="L90" s="125" t="str">
        <f>IF(I90&lt;&gt;0,((VLOOKUP(I90,'1. Standard_Cost'!$B$4:$D$11,2)+VLOOKUP(I90,'1. Standard_Cost'!$B$4:$D$11,3))*J90*K90),"0")</f>
        <v>0</v>
      </c>
      <c r="M90" s="125">
        <f>L90*'1. Standard_Cost'!$F$4</f>
        <v>0</v>
      </c>
      <c r="N90" s="126"/>
      <c r="O90" s="126"/>
      <c r="P90" s="126"/>
      <c r="Q90" s="126"/>
      <c r="R90" s="127">
        <f>'1. Standard_Cost'!$B$15*N90*P90</f>
        <v>0</v>
      </c>
      <c r="S90" s="127">
        <f>N90*O90*P90*'1. Standard_Cost'!$C$15</f>
        <v>0</v>
      </c>
      <c r="T90" s="127">
        <f>N90*P90*Q90*'1. Standard_Cost'!$D$15</f>
        <v>0</v>
      </c>
      <c r="U90" s="127">
        <f>N90*O90*'1. Standard_Cost'!$E$15</f>
        <v>0</v>
      </c>
      <c r="V90" s="126"/>
      <c r="W90" s="126"/>
      <c r="X90" s="126"/>
      <c r="Y90" s="127">
        <f>+V90*((X90*'1. Standard_Cost'!$B$19)+(W90*X90*'1. Standard_Cost'!$C$19))</f>
        <v>0</v>
      </c>
      <c r="Z90" s="126"/>
      <c r="AA90" s="126"/>
      <c r="AB90" s="127">
        <f>+Z90*'1. Standard_Cost'!$B$23+AA90*'1. Standard_Cost'!$C$23</f>
        <v>0</v>
      </c>
      <c r="AC90" s="128"/>
      <c r="AD90" s="129"/>
      <c r="AE90" s="127">
        <f>SUM(AD90,AC90,AB90,Y90,U90,T90,S90,R90)*'1. Standard_Cost'!$B$31</f>
        <v>0</v>
      </c>
      <c r="AF90" s="127">
        <f>SUM(AE90,AD90,AC90,AB90,Y90,U90,T90,S90,R90)</f>
        <v>0</v>
      </c>
      <c r="AG90" s="126"/>
      <c r="AH90" s="126"/>
      <c r="AI90" s="126"/>
      <c r="AJ90" s="130"/>
      <c r="AK90" s="130"/>
      <c r="AL90" s="130"/>
      <c r="AM90" s="127">
        <f>AG90*'1. Standard_Cost'!$B$27+'Incremental_Cost Year 10'!AH90*'1. Standard_Cost'!$C$27+'Incremental_Cost Year 10'!AI90*'1. Standard_Cost'!$D$27+'Incremental_Cost Year 10'!AJ90+'Incremental_Cost Year 10'!AL90+AK90</f>
        <v>0</v>
      </c>
      <c r="AN90" s="127">
        <f>AM90*'1. Standard_Cost'!$C$31</f>
        <v>0</v>
      </c>
      <c r="AO90" s="130"/>
      <c r="AP90" s="239"/>
      <c r="AQ90" s="171">
        <f>L90+M90</f>
        <v>0</v>
      </c>
      <c r="AR90" s="171">
        <f>AF90</f>
        <v>0</v>
      </c>
      <c r="AS90" s="171">
        <f>AM90+AN90</f>
        <v>0</v>
      </c>
      <c r="AT90" s="171">
        <f>SUM(AQ90,AR90,AS90)</f>
        <v>0</v>
      </c>
      <c r="AU90" s="250"/>
      <c r="AV90" s="250"/>
      <c r="AW90" s="250"/>
      <c r="AX90" s="250"/>
      <c r="AY90" s="250"/>
      <c r="AZ90" s="250"/>
      <c r="BA90" s="250"/>
      <c r="BB90" s="251">
        <f t="shared" si="78"/>
        <v>0</v>
      </c>
    </row>
    <row r="91" spans="1:54" s="78" customFormat="1" ht="78.75" outlineLevel="2" x14ac:dyDescent="0.25">
      <c r="A91" s="115"/>
      <c r="B91" s="200"/>
      <c r="C91" s="201"/>
      <c r="D91" s="133"/>
      <c r="E91" s="322"/>
      <c r="F91" s="324"/>
      <c r="G91" s="325"/>
      <c r="H91" s="109" t="s">
        <v>426</v>
      </c>
      <c r="I91" s="130" t="s">
        <v>3</v>
      </c>
      <c r="J91" s="126">
        <v>3</v>
      </c>
      <c r="K91" s="126">
        <v>3</v>
      </c>
      <c r="L91" s="125">
        <f>IF(I91&lt;&gt;0,((VLOOKUP(I91,'1. Standard_Cost'!$B$4:$D$11,2)+VLOOKUP(I91,'1. Standard_Cost'!$B$4:$D$11,3))*J91*K91),"0")</f>
        <v>907200</v>
      </c>
      <c r="M91" s="125">
        <f>L91*'1. Standard_Cost'!$F$4</f>
        <v>151502.39999999999</v>
      </c>
      <c r="N91" s="126"/>
      <c r="O91" s="126"/>
      <c r="P91" s="126"/>
      <c r="Q91" s="126"/>
      <c r="R91" s="127">
        <f>'1. Standard_Cost'!$B$15*N91*P91</f>
        <v>0</v>
      </c>
      <c r="S91" s="127">
        <f>N91*O91*P91*'1. Standard_Cost'!$C$15</f>
        <v>0</v>
      </c>
      <c r="T91" s="127">
        <f>N91*P91*Q91*'1. Standard_Cost'!$D$15</f>
        <v>0</v>
      </c>
      <c r="U91" s="127">
        <f>N91*O91*'1. Standard_Cost'!$E$15</f>
        <v>0</v>
      </c>
      <c r="V91" s="126"/>
      <c r="W91" s="126"/>
      <c r="X91" s="126"/>
      <c r="Y91" s="127">
        <f>+V91*((X91*'1. Standard_Cost'!$B$19)+(W91*X91*'1. Standard_Cost'!$C$19))</f>
        <v>0</v>
      </c>
      <c r="Z91" s="126"/>
      <c r="AA91" s="126"/>
      <c r="AB91" s="127">
        <f>+Z91*'1. Standard_Cost'!$B$23+AA91*'1. Standard_Cost'!$C$23</f>
        <v>0</v>
      </c>
      <c r="AC91" s="128"/>
      <c r="AD91" s="129"/>
      <c r="AE91" s="127">
        <f>SUM(AD91,AC91,AB91,Y91,U91,T91,S91,R91)*'1. Standard_Cost'!$B$31</f>
        <v>0</v>
      </c>
      <c r="AF91" s="127">
        <f>SUM(AE91,AD91,AC91,AB91,Y91,U91,T91,S91,R91)</f>
        <v>0</v>
      </c>
      <c r="AG91" s="126"/>
      <c r="AH91" s="126"/>
      <c r="AI91" s="126"/>
      <c r="AJ91" s="130"/>
      <c r="AK91" s="130"/>
      <c r="AL91" s="130"/>
      <c r="AM91" s="127">
        <f>AG91*'1. Standard_Cost'!$B$27+'Incremental_Cost Year 10'!AH91*'1. Standard_Cost'!$C$27+'Incremental_Cost Year 10'!AI91*'1. Standard_Cost'!$D$27+'Incremental_Cost Year 10'!AJ91+'Incremental_Cost Year 10'!AL91+AK91</f>
        <v>0</v>
      </c>
      <c r="AN91" s="127">
        <f>AM91*'1. Standard_Cost'!$C$31</f>
        <v>0</v>
      </c>
      <c r="AO91" s="130"/>
      <c r="AP91" s="239"/>
      <c r="AQ91" s="171">
        <f>L91+M91</f>
        <v>1058702.3999999999</v>
      </c>
      <c r="AR91" s="171">
        <f>AF91</f>
        <v>0</v>
      </c>
      <c r="AS91" s="171">
        <f>AM91+AN91</f>
        <v>0</v>
      </c>
      <c r="AT91" s="171">
        <f>SUM(AQ91,AR91,AS91)</f>
        <v>1058702.3999999999</v>
      </c>
      <c r="AU91" s="250">
        <v>1058702</v>
      </c>
      <c r="AV91" s="250"/>
      <c r="AW91" s="250"/>
      <c r="AX91" s="250"/>
      <c r="AY91" s="250"/>
      <c r="AZ91" s="250"/>
      <c r="BA91" s="250"/>
      <c r="BB91" s="251">
        <f t="shared" si="78"/>
        <v>-0.39999999990686774</v>
      </c>
    </row>
    <row r="92" spans="1:54" s="78" customFormat="1" ht="78.75" outlineLevel="1" x14ac:dyDescent="0.25">
      <c r="A92" s="115"/>
      <c r="B92" s="165"/>
      <c r="C92" s="166"/>
      <c r="D92" s="150" t="s">
        <v>240</v>
      </c>
      <c r="E92" s="212" t="s">
        <v>271</v>
      </c>
      <c r="F92" s="104">
        <v>2021</v>
      </c>
      <c r="G92" s="104">
        <v>2030</v>
      </c>
      <c r="H92" s="110" t="s">
        <v>272</v>
      </c>
      <c r="I92" s="252"/>
      <c r="J92" s="252"/>
      <c r="K92" s="252"/>
      <c r="L92" s="127">
        <f>SUM(L89:L91)</f>
        <v>907200</v>
      </c>
      <c r="M92" s="127">
        <f>SUM(M89:M91)</f>
        <v>151502.39999999999</v>
      </c>
      <c r="N92" s="252"/>
      <c r="O92" s="252"/>
      <c r="P92" s="252"/>
      <c r="Q92" s="252"/>
      <c r="R92" s="127">
        <f>SUM(R89:R91)</f>
        <v>0</v>
      </c>
      <c r="S92" s="127">
        <f>SUM(S89:S91)</f>
        <v>0</v>
      </c>
      <c r="T92" s="127">
        <f>SUM(T89:T91)</f>
        <v>0</v>
      </c>
      <c r="U92" s="127">
        <f>SUM(U89:U91)</f>
        <v>0</v>
      </c>
      <c r="V92" s="252"/>
      <c r="W92" s="252"/>
      <c r="X92" s="252"/>
      <c r="Y92" s="127">
        <f>SUM(Y89:Y91)</f>
        <v>0</v>
      </c>
      <c r="Z92" s="252"/>
      <c r="AA92" s="252"/>
      <c r="AB92" s="127">
        <f>SUM(AB89:AB91)</f>
        <v>0</v>
      </c>
      <c r="AC92" s="127">
        <f>SUM(AC89:AC91)</f>
        <v>0</v>
      </c>
      <c r="AD92" s="127">
        <f>SUM(AD89:AD91)</f>
        <v>0</v>
      </c>
      <c r="AE92" s="127">
        <f>SUM(AE89:AE91)</f>
        <v>0</v>
      </c>
      <c r="AF92" s="127">
        <f>SUM(AF89:AF91)</f>
        <v>0</v>
      </c>
      <c r="AG92" s="252"/>
      <c r="AH92" s="252"/>
      <c r="AI92" s="252"/>
      <c r="AJ92" s="127">
        <f>SUM(AJ89:AJ91)</f>
        <v>0</v>
      </c>
      <c r="AK92" s="127">
        <f>SUM(AK89:AK91)</f>
        <v>0</v>
      </c>
      <c r="AL92" s="127">
        <f>SUM(AL89:AL91)</f>
        <v>0</v>
      </c>
      <c r="AM92" s="127">
        <f>SUM(AM89:AM91)</f>
        <v>0</v>
      </c>
      <c r="AN92" s="127">
        <f>SUM(AN89:AN91)</f>
        <v>0</v>
      </c>
      <c r="AO92" s="253"/>
      <c r="AP92" s="254"/>
      <c r="AQ92" s="175">
        <f>SUM(AQ89:AQ91)</f>
        <v>1058702.3999999999</v>
      </c>
      <c r="AR92" s="175">
        <f>SUM(AR89:AR91)</f>
        <v>0</v>
      </c>
      <c r="AS92" s="175">
        <f>SUM(AS89:AS91)</f>
        <v>0</v>
      </c>
      <c r="AT92" s="175">
        <f>SUM(AT89:AT91)</f>
        <v>1058702.3999999999</v>
      </c>
      <c r="AU92" s="175">
        <f t="shared" ref="AU92:BA92" si="79">SUM(AU89:AU91)</f>
        <v>1058702</v>
      </c>
      <c r="AV92" s="175">
        <f t="shared" si="79"/>
        <v>0</v>
      </c>
      <c r="AW92" s="175">
        <f t="shared" si="79"/>
        <v>0</v>
      </c>
      <c r="AX92" s="175">
        <f t="shared" si="79"/>
        <v>0</v>
      </c>
      <c r="AY92" s="175">
        <f t="shared" si="79"/>
        <v>0</v>
      </c>
      <c r="AZ92" s="175">
        <f t="shared" si="79"/>
        <v>0</v>
      </c>
      <c r="BA92" s="175">
        <f t="shared" si="79"/>
        <v>0</v>
      </c>
      <c r="BB92" s="175">
        <f t="shared" ref="BB92" si="80">SUM(BB89:BB91)</f>
        <v>-0.39999999990686774</v>
      </c>
    </row>
    <row r="93" spans="1:54" s="87" customFormat="1" ht="46.15" customHeight="1" x14ac:dyDescent="0.25">
      <c r="A93" s="143"/>
      <c r="B93" s="285"/>
      <c r="C93" s="391" t="s">
        <v>537</v>
      </c>
      <c r="D93" s="391"/>
      <c r="E93" s="392"/>
      <c r="F93" s="218"/>
      <c r="G93" s="218"/>
      <c r="H93" s="144" t="s">
        <v>165</v>
      </c>
      <c r="I93" s="257"/>
      <c r="J93" s="257"/>
      <c r="K93" s="257"/>
      <c r="L93" s="258">
        <f>SUM(L99)</f>
        <v>0</v>
      </c>
      <c r="M93" s="258">
        <f>SUM(M99)</f>
        <v>0</v>
      </c>
      <c r="N93" s="257"/>
      <c r="O93" s="257"/>
      <c r="P93" s="257"/>
      <c r="Q93" s="257"/>
      <c r="R93" s="258">
        <f>SUM(R99)</f>
        <v>0</v>
      </c>
      <c r="S93" s="258">
        <f>SUM(S99)</f>
        <v>0</v>
      </c>
      <c r="T93" s="258">
        <f>SUM(T99)</f>
        <v>0</v>
      </c>
      <c r="U93" s="258">
        <f>SUM(U99)</f>
        <v>0</v>
      </c>
      <c r="V93" s="257"/>
      <c r="W93" s="257"/>
      <c r="X93" s="257"/>
      <c r="Y93" s="258">
        <f>SUM(Y99)</f>
        <v>0</v>
      </c>
      <c r="Z93" s="257"/>
      <c r="AA93" s="257"/>
      <c r="AB93" s="258">
        <f>SUM(AB99)</f>
        <v>0</v>
      </c>
      <c r="AC93" s="258">
        <f>SUM(AC99)</f>
        <v>0</v>
      </c>
      <c r="AD93" s="258">
        <f>SUM(AD99)</f>
        <v>0</v>
      </c>
      <c r="AE93" s="258">
        <f>SUM(AE99)</f>
        <v>0</v>
      </c>
      <c r="AF93" s="258">
        <f>SUM(AF99)</f>
        <v>0</v>
      </c>
      <c r="AG93" s="257"/>
      <c r="AH93" s="257"/>
      <c r="AI93" s="257"/>
      <c r="AJ93" s="258">
        <f>SUM(AJ99)</f>
        <v>0</v>
      </c>
      <c r="AK93" s="258">
        <f>SUM(AK99)</f>
        <v>0</v>
      </c>
      <c r="AL93" s="258">
        <f>SUM(AL99)</f>
        <v>0</v>
      </c>
      <c r="AM93" s="258">
        <f>SUM(AM99)</f>
        <v>0</v>
      </c>
      <c r="AN93" s="258">
        <f>SUM(AN99)</f>
        <v>0</v>
      </c>
      <c r="AO93" s="259"/>
      <c r="AP93" s="260"/>
      <c r="AQ93" s="261">
        <f>SUM(AQ99)</f>
        <v>0</v>
      </c>
      <c r="AR93" s="261">
        <f>SUM(AR99)</f>
        <v>0</v>
      </c>
      <c r="AS93" s="261">
        <f>SUM(AS99)</f>
        <v>0</v>
      </c>
      <c r="AT93" s="261">
        <f>SUM(AT99)</f>
        <v>0</v>
      </c>
      <c r="AU93" s="261">
        <f t="shared" ref="AU93:BA93" si="81">SUM(AU99)</f>
        <v>0</v>
      </c>
      <c r="AV93" s="261">
        <f t="shared" si="81"/>
        <v>0</v>
      </c>
      <c r="AW93" s="261">
        <f t="shared" si="81"/>
        <v>0</v>
      </c>
      <c r="AX93" s="261">
        <f t="shared" si="81"/>
        <v>0</v>
      </c>
      <c r="AY93" s="261">
        <f t="shared" si="81"/>
        <v>0</v>
      </c>
      <c r="AZ93" s="261">
        <f t="shared" si="81"/>
        <v>0</v>
      </c>
      <c r="BA93" s="261">
        <f t="shared" si="81"/>
        <v>0</v>
      </c>
      <c r="BB93" s="261">
        <f>SUM(BB99)</f>
        <v>0</v>
      </c>
    </row>
    <row r="94" spans="1:54" s="78" customFormat="1" ht="94.5" outlineLevel="2" x14ac:dyDescent="0.25">
      <c r="A94" s="115"/>
      <c r="B94" s="200"/>
      <c r="C94" s="201"/>
      <c r="D94" s="346"/>
      <c r="E94" s="321"/>
      <c r="F94" s="306"/>
      <c r="G94" s="307"/>
      <c r="H94" s="109" t="s">
        <v>427</v>
      </c>
      <c r="I94" s="130"/>
      <c r="J94" s="126"/>
      <c r="K94" s="126"/>
      <c r="L94" s="125" t="str">
        <f>IF(I94&lt;&gt;0,((VLOOKUP(I94,'1. Standard_Cost'!$B$4:$D$11,2)+VLOOKUP(I94,'1. Standard_Cost'!$B$4:$D$11,3))*J94*K94),"0")</f>
        <v>0</v>
      </c>
      <c r="M94" s="125">
        <f>L94*'1. Standard_Cost'!$F$4</f>
        <v>0</v>
      </c>
      <c r="N94" s="126"/>
      <c r="O94" s="126"/>
      <c r="P94" s="126"/>
      <c r="Q94" s="126"/>
      <c r="R94" s="127">
        <f>'1. Standard_Cost'!$B$15*N94*P94</f>
        <v>0</v>
      </c>
      <c r="S94" s="127">
        <f>N94*O94*P94*'1. Standard_Cost'!$C$15</f>
        <v>0</v>
      </c>
      <c r="T94" s="127">
        <f>N94*P94*Q94*'1. Standard_Cost'!$D$15</f>
        <v>0</v>
      </c>
      <c r="U94" s="127">
        <f>N94*O94*'1. Standard_Cost'!$E$15</f>
        <v>0</v>
      </c>
      <c r="V94" s="126"/>
      <c r="W94" s="126"/>
      <c r="X94" s="126"/>
      <c r="Y94" s="127">
        <f>+V94*((X94*'1. Standard_Cost'!$B$19)+(W94*X94*'1. Standard_Cost'!$C$19))</f>
        <v>0</v>
      </c>
      <c r="Z94" s="126"/>
      <c r="AA94" s="126"/>
      <c r="AB94" s="127">
        <f>+Z94*'1. Standard_Cost'!$B$23+AA94*'1. Standard_Cost'!$C$23</f>
        <v>0</v>
      </c>
      <c r="AC94" s="128"/>
      <c r="AD94" s="129"/>
      <c r="AE94" s="127">
        <f>SUM(AD94,AC94,AB94,Y94,U94,T94,S94,R94)*'1. Standard_Cost'!$B$31</f>
        <v>0</v>
      </c>
      <c r="AF94" s="127">
        <f>SUM(AE94,AD94,AC94,AB94,Y94,U94,T94,S94,R94)</f>
        <v>0</v>
      </c>
      <c r="AG94" s="126"/>
      <c r="AH94" s="126"/>
      <c r="AI94" s="126"/>
      <c r="AJ94" s="130"/>
      <c r="AK94" s="130"/>
      <c r="AL94" s="130"/>
      <c r="AM94" s="127">
        <f>AG94*'1. Standard_Cost'!$B$27+'Incremental_Cost Year 10'!AH94*'1. Standard_Cost'!$C$27+'Incremental_Cost Year 10'!AI94*'1. Standard_Cost'!$D$27+'Incremental_Cost Year 10'!AJ94+'Incremental_Cost Year 10'!AL94+AK94</f>
        <v>0</v>
      </c>
      <c r="AN94" s="127">
        <f>AM94*'1. Standard_Cost'!$C$31</f>
        <v>0</v>
      </c>
      <c r="AO94" s="130"/>
      <c r="AP94" s="239"/>
      <c r="AQ94" s="171">
        <f>L94+M94</f>
        <v>0</v>
      </c>
      <c r="AR94" s="171">
        <f>AF94</f>
        <v>0</v>
      </c>
      <c r="AS94" s="171">
        <f>AM94+AN94</f>
        <v>0</v>
      </c>
      <c r="AT94" s="171">
        <f>SUM(AQ94,AR94,AS94)</f>
        <v>0</v>
      </c>
      <c r="AU94" s="250"/>
      <c r="AV94" s="250"/>
      <c r="AW94" s="250"/>
      <c r="AX94" s="250"/>
      <c r="AY94" s="250"/>
      <c r="AZ94" s="250"/>
      <c r="BA94" s="250"/>
      <c r="BB94" s="251">
        <f t="shared" ref="BB94:BB98" si="82">SUM(AU94:BA94)-AT94</f>
        <v>0</v>
      </c>
    </row>
    <row r="95" spans="1:54" s="78" customFormat="1" ht="63" outlineLevel="2" x14ac:dyDescent="0.25">
      <c r="A95" s="115"/>
      <c r="B95" s="200"/>
      <c r="C95" s="201"/>
      <c r="D95" s="203"/>
      <c r="E95" s="323"/>
      <c r="F95" s="308"/>
      <c r="G95" s="309"/>
      <c r="H95" s="109" t="s">
        <v>428</v>
      </c>
      <c r="I95" s="130"/>
      <c r="J95" s="126"/>
      <c r="K95" s="126"/>
      <c r="L95" s="125" t="str">
        <f>IF(I95&lt;&gt;0,((VLOOKUP(I95,'1. Standard_Cost'!$B$4:$D$11,2)+VLOOKUP(I95,'1. Standard_Cost'!$B$4:$D$11,3))*J95*K95),"0")</f>
        <v>0</v>
      </c>
      <c r="M95" s="125">
        <f>L95*'1. Standard_Cost'!$F$4</f>
        <v>0</v>
      </c>
      <c r="N95" s="126"/>
      <c r="O95" s="126"/>
      <c r="P95" s="126"/>
      <c r="Q95" s="126"/>
      <c r="R95" s="127">
        <f>'1. Standard_Cost'!$B$15*N95*P95</f>
        <v>0</v>
      </c>
      <c r="S95" s="127">
        <f>N95*O95*P95*'1. Standard_Cost'!$C$15</f>
        <v>0</v>
      </c>
      <c r="T95" s="127">
        <f>N95*P95*Q95*'1. Standard_Cost'!$D$15</f>
        <v>0</v>
      </c>
      <c r="U95" s="127">
        <f>N95*O95*'1. Standard_Cost'!$E$15</f>
        <v>0</v>
      </c>
      <c r="V95" s="126"/>
      <c r="W95" s="126"/>
      <c r="X95" s="126"/>
      <c r="Y95" s="127">
        <f>+V95*((X95*'1. Standard_Cost'!$B$19)+(W95*X95*'1. Standard_Cost'!$C$19))</f>
        <v>0</v>
      </c>
      <c r="Z95" s="126"/>
      <c r="AA95" s="126"/>
      <c r="AB95" s="127">
        <f>+Z95*'1. Standard_Cost'!$B$23+AA95*'1. Standard_Cost'!$C$23</f>
        <v>0</v>
      </c>
      <c r="AC95" s="128"/>
      <c r="AD95" s="129"/>
      <c r="AE95" s="127">
        <f>SUM(AD95,AC95,AB95,Y95,U95,T95,S95,R95)*'1. Standard_Cost'!$B$31</f>
        <v>0</v>
      </c>
      <c r="AF95" s="127">
        <f>SUM(AE95,AD95,AC95,AB95,Y95,U95,T95,S95,R95)</f>
        <v>0</v>
      </c>
      <c r="AG95" s="126"/>
      <c r="AH95" s="126"/>
      <c r="AI95" s="126"/>
      <c r="AJ95" s="130"/>
      <c r="AK95" s="130"/>
      <c r="AL95" s="130"/>
      <c r="AM95" s="127">
        <f>AG95*'1. Standard_Cost'!$B$27+'Incremental_Cost Year 10'!AH95*'1. Standard_Cost'!$C$27+'Incremental_Cost Year 10'!AI95*'1. Standard_Cost'!$D$27+'Incremental_Cost Year 10'!AJ95+'Incremental_Cost Year 10'!AL95+AK95</f>
        <v>0</v>
      </c>
      <c r="AN95" s="127">
        <f>AM95*'1. Standard_Cost'!$C$31</f>
        <v>0</v>
      </c>
      <c r="AO95" s="130"/>
      <c r="AP95" s="239"/>
      <c r="AQ95" s="171">
        <f>L95+M95</f>
        <v>0</v>
      </c>
      <c r="AR95" s="171">
        <f>AF95</f>
        <v>0</v>
      </c>
      <c r="AS95" s="171">
        <f>AM95+AN95</f>
        <v>0</v>
      </c>
      <c r="AT95" s="171">
        <f>SUM(AQ95,AR95,AS95)</f>
        <v>0</v>
      </c>
      <c r="AU95" s="250"/>
      <c r="AV95" s="250"/>
      <c r="AW95" s="250"/>
      <c r="AX95" s="250"/>
      <c r="AY95" s="250"/>
      <c r="AZ95" s="250"/>
      <c r="BA95" s="250"/>
      <c r="BB95" s="251">
        <f t="shared" si="82"/>
        <v>0</v>
      </c>
    </row>
    <row r="96" spans="1:54" s="78" customFormat="1" ht="78.75" outlineLevel="2" x14ac:dyDescent="0.25">
      <c r="A96" s="115"/>
      <c r="B96" s="200"/>
      <c r="C96" s="201"/>
      <c r="D96" s="203"/>
      <c r="E96" s="323"/>
      <c r="F96" s="326"/>
      <c r="G96" s="327"/>
      <c r="H96" s="109" t="s">
        <v>429</v>
      </c>
      <c r="I96" s="130"/>
      <c r="J96" s="126"/>
      <c r="K96" s="126"/>
      <c r="L96" s="125" t="str">
        <f>IF(I96&lt;&gt;0,((VLOOKUP(I96,'1. Standard_Cost'!$B$4:$D$11,2)+VLOOKUP(I96,'1. Standard_Cost'!$B$4:$D$11,3))*J96*K96),"0")</f>
        <v>0</v>
      </c>
      <c r="M96" s="125">
        <f>L96*'1. Standard_Cost'!$F$4</f>
        <v>0</v>
      </c>
      <c r="N96" s="126"/>
      <c r="O96" s="126"/>
      <c r="P96" s="126"/>
      <c r="Q96" s="126"/>
      <c r="R96" s="127">
        <f>'1. Standard_Cost'!$B$15*N96*P96</f>
        <v>0</v>
      </c>
      <c r="S96" s="127">
        <f>N96*O96*P96*'1. Standard_Cost'!$C$15</f>
        <v>0</v>
      </c>
      <c r="T96" s="127">
        <f>N96*P96*Q96*'1. Standard_Cost'!$D$15</f>
        <v>0</v>
      </c>
      <c r="U96" s="127">
        <f>N96*O96*'1. Standard_Cost'!$E$15</f>
        <v>0</v>
      </c>
      <c r="V96" s="126"/>
      <c r="W96" s="126"/>
      <c r="X96" s="126"/>
      <c r="Y96" s="127">
        <f>+V96*((X96*'1. Standard_Cost'!$B$19)+(W96*X96*'1. Standard_Cost'!$C$19))</f>
        <v>0</v>
      </c>
      <c r="Z96" s="126"/>
      <c r="AA96" s="126"/>
      <c r="AB96" s="127">
        <f>+Z96*'1. Standard_Cost'!$B$23+AA96*'1. Standard_Cost'!$C$23</f>
        <v>0</v>
      </c>
      <c r="AC96" s="128"/>
      <c r="AD96" s="129"/>
      <c r="AE96" s="127">
        <f>SUM(AD96,AC96,AB96,Y96,U96,T96,S96,R96)*'1. Standard_Cost'!$B$31</f>
        <v>0</v>
      </c>
      <c r="AF96" s="127">
        <f>SUM(AE96,AD96,AC96,AB96,Y96,U96,T96,S96,R96)</f>
        <v>0</v>
      </c>
      <c r="AG96" s="126"/>
      <c r="AH96" s="126"/>
      <c r="AI96" s="126"/>
      <c r="AJ96" s="130"/>
      <c r="AK96" s="130"/>
      <c r="AL96" s="130"/>
      <c r="AM96" s="127">
        <f>AG96*'1. Standard_Cost'!$B$27+'Incremental_Cost Year 10'!AH96*'1. Standard_Cost'!$C$27+'Incremental_Cost Year 10'!AI96*'1. Standard_Cost'!$D$27+'Incremental_Cost Year 10'!AJ96+'Incremental_Cost Year 10'!AL96+AK96</f>
        <v>0</v>
      </c>
      <c r="AN96" s="127">
        <f>AM96*'1. Standard_Cost'!$C$31</f>
        <v>0</v>
      </c>
      <c r="AO96" s="130"/>
      <c r="AP96" s="239"/>
      <c r="AQ96" s="171">
        <f>L96+M96</f>
        <v>0</v>
      </c>
      <c r="AR96" s="171">
        <f>AF96</f>
        <v>0</v>
      </c>
      <c r="AS96" s="171">
        <f>AM96+AN96</f>
        <v>0</v>
      </c>
      <c r="AT96" s="171">
        <f>SUM(AQ96,AR96,AS96)</f>
        <v>0</v>
      </c>
      <c r="AU96" s="250"/>
      <c r="AV96" s="250"/>
      <c r="AW96" s="250"/>
      <c r="AX96" s="250"/>
      <c r="AY96" s="250"/>
      <c r="AZ96" s="250"/>
      <c r="BA96" s="250"/>
      <c r="BB96" s="251">
        <f t="shared" si="82"/>
        <v>0</v>
      </c>
    </row>
    <row r="97" spans="1:54" s="78" customFormat="1" ht="126" outlineLevel="2" x14ac:dyDescent="0.25">
      <c r="A97" s="115"/>
      <c r="B97" s="200"/>
      <c r="C97" s="201"/>
      <c r="D97" s="203"/>
      <c r="E97" s="323"/>
      <c r="F97" s="308"/>
      <c r="G97" s="309"/>
      <c r="H97" s="225" t="s">
        <v>430</v>
      </c>
      <c r="I97" s="130"/>
      <c r="J97" s="126"/>
      <c r="K97" s="126"/>
      <c r="L97" s="125" t="str">
        <f>IF(I97&lt;&gt;0,((VLOOKUP(I97,'1. Standard_Cost'!$B$4:$D$11,2)+VLOOKUP(I97,'1. Standard_Cost'!$B$4:$D$11,3))*J97*K97),"0")</f>
        <v>0</v>
      </c>
      <c r="M97" s="125">
        <f>L97*'1. Standard_Cost'!$F$4</f>
        <v>0</v>
      </c>
      <c r="N97" s="126"/>
      <c r="O97" s="126"/>
      <c r="P97" s="126"/>
      <c r="Q97" s="126"/>
      <c r="R97" s="127">
        <f>'1. Standard_Cost'!$B$15*N97*P97</f>
        <v>0</v>
      </c>
      <c r="S97" s="127">
        <f>N97*O97*P97*'1. Standard_Cost'!$C$15</f>
        <v>0</v>
      </c>
      <c r="T97" s="127">
        <f>N97*P97*Q97*'1. Standard_Cost'!$D$15</f>
        <v>0</v>
      </c>
      <c r="U97" s="127">
        <f>N97*O97*'1. Standard_Cost'!$E$15</f>
        <v>0</v>
      </c>
      <c r="V97" s="126"/>
      <c r="W97" s="126"/>
      <c r="X97" s="126"/>
      <c r="Y97" s="127">
        <f>+V97*((X97*'1. Standard_Cost'!$B$19)+(W97*X97*'1. Standard_Cost'!$C$19))</f>
        <v>0</v>
      </c>
      <c r="Z97" s="126"/>
      <c r="AA97" s="126"/>
      <c r="AB97" s="127">
        <f>+Z97*'1. Standard_Cost'!$B$23+AA97*'1. Standard_Cost'!$C$23</f>
        <v>0</v>
      </c>
      <c r="AC97" s="128"/>
      <c r="AD97" s="129"/>
      <c r="AE97" s="127">
        <f>SUM(AD97,AC97,AB97,Y97,U97,T97,S97,R97)*'1. Standard_Cost'!$B$31</f>
        <v>0</v>
      </c>
      <c r="AF97" s="127">
        <f>SUM(AE97,AD97,AC97,AB97,Y97,U97,T97,S97,R97)</f>
        <v>0</v>
      </c>
      <c r="AG97" s="126"/>
      <c r="AH97" s="126"/>
      <c r="AI97" s="126"/>
      <c r="AJ97" s="130"/>
      <c r="AK97" s="130"/>
      <c r="AL97" s="130"/>
      <c r="AM97" s="127">
        <f>AG97*'1. Standard_Cost'!$B$27+'Incremental_Cost Year 10'!AH97*'1. Standard_Cost'!$C$27+'Incremental_Cost Year 10'!AI97*'1. Standard_Cost'!$D$27+'Incremental_Cost Year 10'!AJ97+'Incremental_Cost Year 10'!AL97+AK97</f>
        <v>0</v>
      </c>
      <c r="AN97" s="127">
        <f>AM97*'1. Standard_Cost'!$C$31</f>
        <v>0</v>
      </c>
      <c r="AO97" s="130"/>
      <c r="AP97" s="239"/>
      <c r="AQ97" s="171">
        <f>L97+M97</f>
        <v>0</v>
      </c>
      <c r="AR97" s="171">
        <f>AF97</f>
        <v>0</v>
      </c>
      <c r="AS97" s="171">
        <f>AM97+AN97</f>
        <v>0</v>
      </c>
      <c r="AT97" s="171">
        <f>SUM(AQ97,AR97,AS97)</f>
        <v>0</v>
      </c>
      <c r="AU97" s="250"/>
      <c r="AV97" s="250"/>
      <c r="AW97" s="250"/>
      <c r="AX97" s="250"/>
      <c r="AY97" s="250"/>
      <c r="AZ97" s="250"/>
      <c r="BA97" s="250"/>
      <c r="BB97" s="251">
        <f t="shared" si="82"/>
        <v>0</v>
      </c>
    </row>
    <row r="98" spans="1:54" s="78" customFormat="1" ht="78.75" outlineLevel="2" x14ac:dyDescent="0.25">
      <c r="A98" s="115"/>
      <c r="B98" s="200"/>
      <c r="C98" s="201"/>
      <c r="D98" s="133"/>
      <c r="E98" s="323"/>
      <c r="F98" s="308"/>
      <c r="G98" s="309"/>
      <c r="H98" s="109" t="s">
        <v>431</v>
      </c>
      <c r="I98" s="130"/>
      <c r="J98" s="126"/>
      <c r="K98" s="126"/>
      <c r="L98" s="125" t="str">
        <f>IF(I98&lt;&gt;0,((VLOOKUP(I98,'1. Standard_Cost'!$B$4:$D$11,2)+VLOOKUP(I98,'1. Standard_Cost'!$B$4:$D$11,3))*J98*K98),"0")</f>
        <v>0</v>
      </c>
      <c r="M98" s="125">
        <f>L98*'1. Standard_Cost'!$F$4</f>
        <v>0</v>
      </c>
      <c r="N98" s="126"/>
      <c r="O98" s="126"/>
      <c r="P98" s="126"/>
      <c r="Q98" s="126"/>
      <c r="R98" s="127">
        <f>'1. Standard_Cost'!$B$15*N98*P98</f>
        <v>0</v>
      </c>
      <c r="S98" s="127">
        <f>N98*O98*P98*'1. Standard_Cost'!$C$15</f>
        <v>0</v>
      </c>
      <c r="T98" s="127">
        <f>N98*P98*Q98*'1. Standard_Cost'!$D$15</f>
        <v>0</v>
      </c>
      <c r="U98" s="127">
        <f>N98*O98*'1. Standard_Cost'!$E$15</f>
        <v>0</v>
      </c>
      <c r="V98" s="126"/>
      <c r="W98" s="126"/>
      <c r="X98" s="126"/>
      <c r="Y98" s="127">
        <f>+V98*((X98*'1. Standard_Cost'!$B$19)+(W98*X98*'1. Standard_Cost'!$C$19))</f>
        <v>0</v>
      </c>
      <c r="Z98" s="126"/>
      <c r="AA98" s="145"/>
      <c r="AB98" s="127">
        <f>+Z98*'1. Standard_Cost'!$B$23+AA98*'1. Standard_Cost'!$C$23</f>
        <v>0</v>
      </c>
      <c r="AC98" s="128"/>
      <c r="AD98" s="129"/>
      <c r="AE98" s="127">
        <f>SUM(AD98,AC98,AB98,Y98,U98,T98,S98,R98)*'1. Standard_Cost'!$B$31</f>
        <v>0</v>
      </c>
      <c r="AF98" s="127">
        <f>SUM(AE98,AD98,AC98,AB98,Y98,U98,T98,S98,R98)</f>
        <v>0</v>
      </c>
      <c r="AG98" s="126"/>
      <c r="AH98" s="126"/>
      <c r="AI98" s="126"/>
      <c r="AJ98" s="130"/>
      <c r="AK98" s="130"/>
      <c r="AL98" s="130"/>
      <c r="AM98" s="127">
        <f>AG98*'1. Standard_Cost'!$B$27+'Incremental_Cost Year 10'!AH98*'1. Standard_Cost'!$C$27+'Incremental_Cost Year 10'!AI98*'1. Standard_Cost'!$D$27+'Incremental_Cost Year 10'!AJ98+'Incremental_Cost Year 10'!AL98+AK98</f>
        <v>0</v>
      </c>
      <c r="AN98" s="127">
        <f>AM98*'1. Standard_Cost'!$C$31</f>
        <v>0</v>
      </c>
      <c r="AO98" s="262"/>
      <c r="AP98" s="239"/>
      <c r="AQ98" s="171">
        <f>L98+M98</f>
        <v>0</v>
      </c>
      <c r="AR98" s="171">
        <f>AF98</f>
        <v>0</v>
      </c>
      <c r="AS98" s="171">
        <f>AM98+AN98</f>
        <v>0</v>
      </c>
      <c r="AT98" s="171">
        <f>SUM(AQ98,AR98,AS98)</f>
        <v>0</v>
      </c>
      <c r="AU98" s="250"/>
      <c r="AV98" s="250"/>
      <c r="AW98" s="250"/>
      <c r="AX98" s="250"/>
      <c r="AY98" s="250"/>
      <c r="AZ98" s="250"/>
      <c r="BA98" s="250"/>
      <c r="BB98" s="251">
        <f t="shared" si="82"/>
        <v>0</v>
      </c>
    </row>
    <row r="99" spans="1:54" s="78" customFormat="1" ht="94.5" outlineLevel="1" x14ac:dyDescent="0.25">
      <c r="A99" s="115"/>
      <c r="B99" s="165"/>
      <c r="C99" s="166"/>
      <c r="D99" s="212" t="s">
        <v>432</v>
      </c>
      <c r="E99" s="212" t="s">
        <v>274</v>
      </c>
      <c r="F99" s="136">
        <v>2022</v>
      </c>
      <c r="G99" s="117">
        <v>2030</v>
      </c>
      <c r="H99" s="110" t="s">
        <v>164</v>
      </c>
      <c r="I99" s="252"/>
      <c r="J99" s="252"/>
      <c r="K99" s="252"/>
      <c r="L99" s="127">
        <f>SUM(L94:L98)</f>
        <v>0</v>
      </c>
      <c r="M99" s="127">
        <f>SUM(M94:M98)</f>
        <v>0</v>
      </c>
      <c r="N99" s="252"/>
      <c r="O99" s="252"/>
      <c r="P99" s="252"/>
      <c r="Q99" s="252"/>
      <c r="R99" s="127">
        <f t="shared" ref="R99:U99" si="83">SUM(R94:R98)</f>
        <v>0</v>
      </c>
      <c r="S99" s="127">
        <f t="shared" si="83"/>
        <v>0</v>
      </c>
      <c r="T99" s="127">
        <f t="shared" si="83"/>
        <v>0</v>
      </c>
      <c r="U99" s="127">
        <f t="shared" si="83"/>
        <v>0</v>
      </c>
      <c r="V99" s="252"/>
      <c r="W99" s="252"/>
      <c r="X99" s="252"/>
      <c r="Y99" s="127">
        <f t="shared" ref="Y99:Z99" si="84">SUM(Y94:Y98)</f>
        <v>0</v>
      </c>
      <c r="Z99" s="127">
        <f t="shared" si="84"/>
        <v>0</v>
      </c>
      <c r="AA99" s="252"/>
      <c r="AB99" s="127">
        <f t="shared" ref="AB99:AF99" si="85">SUM(AB94:AB98)</f>
        <v>0</v>
      </c>
      <c r="AC99" s="127">
        <f t="shared" si="85"/>
        <v>0</v>
      </c>
      <c r="AD99" s="127">
        <f t="shared" si="85"/>
        <v>0</v>
      </c>
      <c r="AE99" s="127">
        <f t="shared" si="85"/>
        <v>0</v>
      </c>
      <c r="AF99" s="127">
        <f t="shared" si="85"/>
        <v>0</v>
      </c>
      <c r="AG99" s="252"/>
      <c r="AH99" s="252"/>
      <c r="AI99" s="252"/>
      <c r="AJ99" s="127">
        <f t="shared" ref="AJ99:AN99" si="86">SUM(AJ94:AJ98)</f>
        <v>0</v>
      </c>
      <c r="AK99" s="127">
        <f t="shared" si="86"/>
        <v>0</v>
      </c>
      <c r="AL99" s="127">
        <f t="shared" si="86"/>
        <v>0</v>
      </c>
      <c r="AM99" s="127">
        <f t="shared" si="86"/>
        <v>0</v>
      </c>
      <c r="AN99" s="127">
        <f t="shared" si="86"/>
        <v>0</v>
      </c>
      <c r="AO99" s="253"/>
      <c r="AP99" s="254"/>
      <c r="AQ99" s="127">
        <f t="shared" ref="AQ99" si="87">SUM(AQ94:AQ98)</f>
        <v>0</v>
      </c>
      <c r="AR99" s="127">
        <f t="shared" ref="AR99" si="88">SUM(AR94:AR98)</f>
        <v>0</v>
      </c>
      <c r="AS99" s="127">
        <f t="shared" ref="AS99" si="89">SUM(AS94:AS98)</f>
        <v>0</v>
      </c>
      <c r="AT99" s="127">
        <f t="shared" ref="AT99" si="90">SUM(AT94:AT98)</f>
        <v>0</v>
      </c>
      <c r="AU99" s="127">
        <f t="shared" ref="AU99" si="91">SUM(AU94:AU98)</f>
        <v>0</v>
      </c>
      <c r="AV99" s="127">
        <f t="shared" ref="AV99" si="92">SUM(AV94:AV98)</f>
        <v>0</v>
      </c>
      <c r="AW99" s="127">
        <f t="shared" ref="AW99" si="93">SUM(AW94:AW98)</f>
        <v>0</v>
      </c>
      <c r="AX99" s="127">
        <f t="shared" ref="AX99" si="94">SUM(AX94:AX98)</f>
        <v>0</v>
      </c>
      <c r="AY99" s="127">
        <f t="shared" ref="AY99" si="95">SUM(AY94:AY98)</f>
        <v>0</v>
      </c>
      <c r="AZ99" s="127">
        <f t="shared" ref="AZ99" si="96">SUM(AZ94:AZ98)</f>
        <v>0</v>
      </c>
      <c r="BA99" s="127">
        <f t="shared" ref="BA99" si="97">SUM(BA94:BA98)</f>
        <v>0</v>
      </c>
      <c r="BB99" s="251">
        <f t="shared" ref="BB99" si="98">SUM(AU99:BA99)-AT99</f>
        <v>0</v>
      </c>
    </row>
    <row r="100" spans="1:54" s="87" customFormat="1" ht="47.45" customHeight="1" x14ac:dyDescent="0.25">
      <c r="A100" s="143"/>
      <c r="B100" s="285"/>
      <c r="C100" s="391" t="s">
        <v>176</v>
      </c>
      <c r="D100" s="391"/>
      <c r="E100" s="392"/>
      <c r="F100" s="218"/>
      <c r="G100" s="218"/>
      <c r="H100" s="144" t="s">
        <v>178</v>
      </c>
      <c r="I100" s="257"/>
      <c r="J100" s="257"/>
      <c r="K100" s="257"/>
      <c r="L100" s="258">
        <f>SUM(L105)</f>
        <v>0</v>
      </c>
      <c r="M100" s="258">
        <f>SUM(M105)</f>
        <v>0</v>
      </c>
      <c r="N100" s="257"/>
      <c r="O100" s="257"/>
      <c r="P100" s="257"/>
      <c r="Q100" s="257"/>
      <c r="R100" s="258">
        <f>SUM(R105)</f>
        <v>0</v>
      </c>
      <c r="S100" s="258">
        <f>SUM(S105)</f>
        <v>0</v>
      </c>
      <c r="T100" s="258">
        <f>SUM(T105)</f>
        <v>0</v>
      </c>
      <c r="U100" s="258">
        <f>SUM(U105)</f>
        <v>0</v>
      </c>
      <c r="V100" s="257"/>
      <c r="W100" s="257"/>
      <c r="X100" s="257"/>
      <c r="Y100" s="258">
        <f>SUM(Y105)</f>
        <v>0</v>
      </c>
      <c r="Z100" s="257"/>
      <c r="AA100" s="257"/>
      <c r="AB100" s="258">
        <f>SUM(AB105)</f>
        <v>0</v>
      </c>
      <c r="AC100" s="258">
        <f>AC105</f>
        <v>0</v>
      </c>
      <c r="AD100" s="258">
        <f>AD105</f>
        <v>0</v>
      </c>
      <c r="AE100" s="258">
        <f>AE105</f>
        <v>0</v>
      </c>
      <c r="AF100" s="258">
        <f>SUM(AF105)</f>
        <v>0</v>
      </c>
      <c r="AG100" s="257"/>
      <c r="AH100" s="257"/>
      <c r="AI100" s="257"/>
      <c r="AJ100" s="258">
        <f>AJ105</f>
        <v>0</v>
      </c>
      <c r="AK100" s="258">
        <f>AK105</f>
        <v>0</v>
      </c>
      <c r="AL100" s="258">
        <f>AL105</f>
        <v>0</v>
      </c>
      <c r="AM100" s="258">
        <f>AM105</f>
        <v>0</v>
      </c>
      <c r="AN100" s="258">
        <f>AN105</f>
        <v>0</v>
      </c>
      <c r="AO100" s="259"/>
      <c r="AP100" s="260"/>
      <c r="AQ100" s="261">
        <f>SUM(AQ105)</f>
        <v>0</v>
      </c>
      <c r="AR100" s="261">
        <f>SUM(AR105)</f>
        <v>0</v>
      </c>
      <c r="AS100" s="261">
        <f>SUM(AS105)</f>
        <v>0</v>
      </c>
      <c r="AT100" s="261">
        <f>SUM(AT105)</f>
        <v>0</v>
      </c>
      <c r="AU100" s="261">
        <f t="shared" ref="AU100:BA100" si="99">AU105</f>
        <v>0</v>
      </c>
      <c r="AV100" s="261">
        <f t="shared" si="99"/>
        <v>0</v>
      </c>
      <c r="AW100" s="261">
        <f t="shared" si="99"/>
        <v>0</v>
      </c>
      <c r="AX100" s="261">
        <f t="shared" si="99"/>
        <v>0</v>
      </c>
      <c r="AY100" s="261">
        <f t="shared" si="99"/>
        <v>0</v>
      </c>
      <c r="AZ100" s="261">
        <f t="shared" si="99"/>
        <v>0</v>
      </c>
      <c r="BA100" s="261">
        <f t="shared" si="99"/>
        <v>0</v>
      </c>
      <c r="BB100" s="261">
        <f>SUM(BB105)</f>
        <v>0</v>
      </c>
    </row>
    <row r="101" spans="1:54" s="78" customFormat="1" ht="47.25" outlineLevel="2" x14ac:dyDescent="0.25">
      <c r="A101" s="115"/>
      <c r="B101" s="303"/>
      <c r="C101" s="329"/>
      <c r="D101" s="342"/>
      <c r="E101" s="328"/>
      <c r="F101" s="328"/>
      <c r="G101" s="328"/>
      <c r="H101" s="199" t="s">
        <v>433</v>
      </c>
      <c r="I101" s="130"/>
      <c r="J101" s="126"/>
      <c r="K101" s="126"/>
      <c r="L101" s="125" t="str">
        <f>IF(I101&lt;&gt;0,((VLOOKUP(I101,'1. Standard_Cost'!$B$4:$D$11,2)+VLOOKUP(I101,'1. Standard_Cost'!$B$4:$D$11,3))*J101*K101),"0")</f>
        <v>0</v>
      </c>
      <c r="M101" s="125">
        <f>L101*'1. Standard_Cost'!$F$4</f>
        <v>0</v>
      </c>
      <c r="N101" s="126"/>
      <c r="O101" s="126"/>
      <c r="P101" s="126"/>
      <c r="Q101" s="126"/>
      <c r="R101" s="127">
        <f>'1. Standard_Cost'!$B$15*N101*P101</f>
        <v>0</v>
      </c>
      <c r="S101" s="127">
        <f>N101*O101*P101*'1. Standard_Cost'!$C$15</f>
        <v>0</v>
      </c>
      <c r="T101" s="127">
        <f>N101*P101*Q101*'1. Standard_Cost'!$D$15</f>
        <v>0</v>
      </c>
      <c r="U101" s="127">
        <f>N101*O101*'1. Standard_Cost'!$E$15</f>
        <v>0</v>
      </c>
      <c r="V101" s="126"/>
      <c r="W101" s="126"/>
      <c r="X101" s="126"/>
      <c r="Y101" s="127">
        <f>+V101*((X101*'1. Standard_Cost'!$B$19)+(W101*X101*'1. Standard_Cost'!$C$19))</f>
        <v>0</v>
      </c>
      <c r="Z101" s="126"/>
      <c r="AA101" s="126"/>
      <c r="AB101" s="127">
        <f>+Z101*'1. Standard_Cost'!$B$23+AA101*'1. Standard_Cost'!$C$23</f>
        <v>0</v>
      </c>
      <c r="AC101" s="128"/>
      <c r="AD101" s="129"/>
      <c r="AE101" s="127">
        <f>SUM(AD101,AC101,AB101,Y101,U101,T101,S101,R101)*'1. Standard_Cost'!$B$31</f>
        <v>0</v>
      </c>
      <c r="AF101" s="127">
        <f>SUM(AE101,AD101,AC101,AB101,Y101,U101,T101,S101,R101)</f>
        <v>0</v>
      </c>
      <c r="AG101" s="126"/>
      <c r="AH101" s="126"/>
      <c r="AI101" s="126"/>
      <c r="AJ101" s="130"/>
      <c r="AK101" s="130"/>
      <c r="AL101" s="130"/>
      <c r="AM101" s="127">
        <f>AG101*'1. Standard_Cost'!$B$27+'Incremental_Cost Year 10'!AH101*'1. Standard_Cost'!$C$27+'Incremental_Cost Year 10'!AI101*'1. Standard_Cost'!$D$27+'Incremental_Cost Year 10'!AJ101+'Incremental_Cost Year 10'!AL101+AK101</f>
        <v>0</v>
      </c>
      <c r="AN101" s="127">
        <f>AM101*'1. Standard_Cost'!$C$31</f>
        <v>0</v>
      </c>
      <c r="AO101" s="130"/>
      <c r="AP101" s="239"/>
      <c r="AQ101" s="171">
        <f>L101+M101</f>
        <v>0</v>
      </c>
      <c r="AR101" s="171">
        <f>AF101</f>
        <v>0</v>
      </c>
      <c r="AS101" s="171">
        <f>AM101+AN101</f>
        <v>0</v>
      </c>
      <c r="AT101" s="171">
        <f>SUM(AQ101,AR101,AS101)</f>
        <v>0</v>
      </c>
      <c r="AU101" s="250"/>
      <c r="AV101" s="250"/>
      <c r="AW101" s="250"/>
      <c r="AX101" s="250"/>
      <c r="AY101" s="250"/>
      <c r="AZ101" s="250"/>
      <c r="BA101" s="250"/>
      <c r="BB101" s="251">
        <f t="shared" ref="BB101:BB104" si="100">SUM(AU101:BA101)-AT101</f>
        <v>0</v>
      </c>
    </row>
    <row r="102" spans="1:54" s="78" customFormat="1" ht="47.25" outlineLevel="2" x14ac:dyDescent="0.25">
      <c r="A102" s="115"/>
      <c r="B102" s="200"/>
      <c r="C102" s="330"/>
      <c r="D102" s="343"/>
      <c r="E102" s="328"/>
      <c r="F102" s="328"/>
      <c r="G102" s="328"/>
      <c r="H102" s="199" t="s">
        <v>434</v>
      </c>
      <c r="I102" s="130"/>
      <c r="J102" s="126"/>
      <c r="K102" s="126"/>
      <c r="L102" s="125" t="str">
        <f>IF(I102&lt;&gt;0,((VLOOKUP(I102,'1. Standard_Cost'!$B$4:$D$11,2)+VLOOKUP(I102,'1. Standard_Cost'!$B$4:$D$11,3))*J102*K102),"0")</f>
        <v>0</v>
      </c>
      <c r="M102" s="125">
        <f>L102*'1. Standard_Cost'!$F$4</f>
        <v>0</v>
      </c>
      <c r="N102" s="126"/>
      <c r="O102" s="126"/>
      <c r="P102" s="126"/>
      <c r="Q102" s="126"/>
      <c r="R102" s="127">
        <f>'1. Standard_Cost'!$B$15*N102*P102</f>
        <v>0</v>
      </c>
      <c r="S102" s="127">
        <f>N102*O102*P102*'1. Standard_Cost'!$C$15</f>
        <v>0</v>
      </c>
      <c r="T102" s="127">
        <f>N102*P102*Q102*'1. Standard_Cost'!$D$15</f>
        <v>0</v>
      </c>
      <c r="U102" s="127">
        <f>N102*O102*'1. Standard_Cost'!$E$15</f>
        <v>0</v>
      </c>
      <c r="V102" s="126"/>
      <c r="W102" s="126"/>
      <c r="X102" s="126"/>
      <c r="Y102" s="127">
        <f>+V102*((X102*'1. Standard_Cost'!$B$19)+(W102*X102*'1. Standard_Cost'!$C$19))</f>
        <v>0</v>
      </c>
      <c r="Z102" s="126"/>
      <c r="AA102" s="126"/>
      <c r="AB102" s="127">
        <f>+Z102*'1. Standard_Cost'!$B$23+AA102*'1. Standard_Cost'!$C$23</f>
        <v>0</v>
      </c>
      <c r="AC102" s="128"/>
      <c r="AD102" s="129"/>
      <c r="AE102" s="127">
        <f>SUM(AD102,AC102,AB102,Y102,U102,T102,S102,R102)*'1. Standard_Cost'!$B$31</f>
        <v>0</v>
      </c>
      <c r="AF102" s="127">
        <f>SUM(AE102,AD102,AC102,AB102,Y102,U102,T102,S102,R102)</f>
        <v>0</v>
      </c>
      <c r="AG102" s="126"/>
      <c r="AH102" s="126"/>
      <c r="AI102" s="126"/>
      <c r="AJ102" s="130"/>
      <c r="AK102" s="130"/>
      <c r="AL102" s="130"/>
      <c r="AM102" s="127">
        <f>AG102*'1. Standard_Cost'!$B$27+'Incremental_Cost Year 10'!AH102*'1. Standard_Cost'!$C$27+'Incremental_Cost Year 10'!AI102*'1. Standard_Cost'!$D$27+'Incremental_Cost Year 10'!AJ102+'Incremental_Cost Year 10'!AL102+AK102</f>
        <v>0</v>
      </c>
      <c r="AN102" s="127">
        <f>AM102*'1. Standard_Cost'!$C$31</f>
        <v>0</v>
      </c>
      <c r="AO102" s="130"/>
      <c r="AP102" s="239"/>
      <c r="AQ102" s="171">
        <f>L102+M102</f>
        <v>0</v>
      </c>
      <c r="AR102" s="171">
        <f>AF102</f>
        <v>0</v>
      </c>
      <c r="AS102" s="171">
        <f>AM102+AN102</f>
        <v>0</v>
      </c>
      <c r="AT102" s="171">
        <f>SUM(AQ102,AR102,AS102)</f>
        <v>0</v>
      </c>
      <c r="AU102" s="250"/>
      <c r="AV102" s="250"/>
      <c r="AW102" s="250"/>
      <c r="AX102" s="250"/>
      <c r="AY102" s="250"/>
      <c r="AZ102" s="250"/>
      <c r="BA102" s="250"/>
      <c r="BB102" s="251">
        <f t="shared" si="100"/>
        <v>0</v>
      </c>
    </row>
    <row r="103" spans="1:54" s="78" customFormat="1" ht="31.5" outlineLevel="2" x14ac:dyDescent="0.25">
      <c r="A103" s="115"/>
      <c r="B103" s="200"/>
      <c r="C103" s="330"/>
      <c r="D103" s="343"/>
      <c r="E103" s="328"/>
      <c r="F103" s="328"/>
      <c r="G103" s="328"/>
      <c r="H103" s="103" t="s">
        <v>435</v>
      </c>
      <c r="I103" s="130"/>
      <c r="J103" s="126"/>
      <c r="K103" s="126"/>
      <c r="L103" s="125" t="str">
        <f>IF(I103&lt;&gt;0,((VLOOKUP(I103,'1. Standard_Cost'!$B$4:$D$11,2)+VLOOKUP(I103,'1. Standard_Cost'!$B$4:$D$11,3))*J103*K103),"0")</f>
        <v>0</v>
      </c>
      <c r="M103" s="125">
        <f>L103*'1. Standard_Cost'!$F$4</f>
        <v>0</v>
      </c>
      <c r="N103" s="126"/>
      <c r="O103" s="126"/>
      <c r="P103" s="126"/>
      <c r="Q103" s="126"/>
      <c r="R103" s="127">
        <f>'1. Standard_Cost'!$B$15*N103*P103</f>
        <v>0</v>
      </c>
      <c r="S103" s="127">
        <f>N103*O103*P103*'1. Standard_Cost'!$C$15</f>
        <v>0</v>
      </c>
      <c r="T103" s="127">
        <f>N103*P103*Q103*'1. Standard_Cost'!$D$15</f>
        <v>0</v>
      </c>
      <c r="U103" s="127">
        <f>N103*O103*'1. Standard_Cost'!$E$15</f>
        <v>0</v>
      </c>
      <c r="V103" s="126"/>
      <c r="W103" s="126"/>
      <c r="X103" s="126"/>
      <c r="Y103" s="127">
        <f>+V103*((X103*'1. Standard_Cost'!$B$19)+(W103*X103*'1. Standard_Cost'!$C$19))</f>
        <v>0</v>
      </c>
      <c r="Z103" s="126"/>
      <c r="AA103" s="126"/>
      <c r="AB103" s="127">
        <f>+Z103*'1. Standard_Cost'!$B$23+AA103*'1. Standard_Cost'!$C$23</f>
        <v>0</v>
      </c>
      <c r="AC103" s="128"/>
      <c r="AD103" s="129"/>
      <c r="AE103" s="127">
        <f>SUM(AD103,AC103,AB103,Y103,U103,T103,S103,R103)*'1. Standard_Cost'!$B$31</f>
        <v>0</v>
      </c>
      <c r="AF103" s="127">
        <f>SUM(AE103,AD103,AC103,AB103,Y103,U103,T103,S103,R103)</f>
        <v>0</v>
      </c>
      <c r="AG103" s="126"/>
      <c r="AH103" s="126"/>
      <c r="AI103" s="126"/>
      <c r="AJ103" s="130"/>
      <c r="AK103" s="130"/>
      <c r="AL103" s="130"/>
      <c r="AM103" s="127">
        <f>AG103*'1. Standard_Cost'!$B$27+'Incremental_Cost Year 10'!AH103*'1. Standard_Cost'!$C$27+'Incremental_Cost Year 10'!AI103*'1. Standard_Cost'!$D$27+'Incremental_Cost Year 10'!AJ103+'Incremental_Cost Year 10'!AL103+AK103</f>
        <v>0</v>
      </c>
      <c r="AN103" s="127">
        <f>AM103*'1. Standard_Cost'!$C$31</f>
        <v>0</v>
      </c>
      <c r="AO103" s="130"/>
      <c r="AP103" s="239"/>
      <c r="AQ103" s="171">
        <f>L103+M103</f>
        <v>0</v>
      </c>
      <c r="AR103" s="171">
        <f>AF103</f>
        <v>0</v>
      </c>
      <c r="AS103" s="171">
        <f>AM103+AN103</f>
        <v>0</v>
      </c>
      <c r="AT103" s="171">
        <f>SUM(AQ103,AR103,AS103)</f>
        <v>0</v>
      </c>
      <c r="AU103" s="250"/>
      <c r="AV103" s="250"/>
      <c r="AW103" s="250"/>
      <c r="AX103" s="250"/>
      <c r="AY103" s="250"/>
      <c r="AZ103" s="250"/>
      <c r="BA103" s="250"/>
      <c r="BB103" s="251">
        <f t="shared" si="100"/>
        <v>0</v>
      </c>
    </row>
    <row r="104" spans="1:54" s="78" customFormat="1" ht="63" outlineLevel="2" x14ac:dyDescent="0.25">
      <c r="A104" s="115"/>
      <c r="B104" s="310"/>
      <c r="C104" s="331"/>
      <c r="D104" s="344"/>
      <c r="E104" s="328"/>
      <c r="F104" s="328"/>
      <c r="G104" s="328"/>
      <c r="H104" s="103" t="s">
        <v>436</v>
      </c>
      <c r="I104" s="130"/>
      <c r="J104" s="126"/>
      <c r="K104" s="126"/>
      <c r="L104" s="125" t="str">
        <f>IF(I104&lt;&gt;0,((VLOOKUP(I104,'1. Standard_Cost'!$B$4:$D$11,2)+VLOOKUP(I104,'1. Standard_Cost'!$B$4:$D$11,3))*J104*K104),"0")</f>
        <v>0</v>
      </c>
      <c r="M104" s="125">
        <f>L104*'1. Standard_Cost'!$F$4</f>
        <v>0</v>
      </c>
      <c r="N104" s="126"/>
      <c r="O104" s="126"/>
      <c r="P104" s="126"/>
      <c r="Q104" s="126"/>
      <c r="R104" s="127">
        <f>'1. Standard_Cost'!$B$15*N104*P104</f>
        <v>0</v>
      </c>
      <c r="S104" s="127">
        <f>N104*O104*P104*'1. Standard_Cost'!$C$15</f>
        <v>0</v>
      </c>
      <c r="T104" s="127">
        <f>N104*P104*Q104*'1. Standard_Cost'!$D$15</f>
        <v>0</v>
      </c>
      <c r="U104" s="127">
        <f>N104*O104*'1. Standard_Cost'!$E$15</f>
        <v>0</v>
      </c>
      <c r="V104" s="126"/>
      <c r="W104" s="126"/>
      <c r="X104" s="126"/>
      <c r="Y104" s="127">
        <f>+V104*((X104*'1. Standard_Cost'!$B$19)+(W104*X104*'1. Standard_Cost'!$C$19))</f>
        <v>0</v>
      </c>
      <c r="Z104" s="126"/>
      <c r="AA104" s="145"/>
      <c r="AB104" s="127">
        <f>+Z104*'1. Standard_Cost'!$B$23+AA104*'1. Standard_Cost'!$C$23</f>
        <v>0</v>
      </c>
      <c r="AC104" s="128"/>
      <c r="AD104" s="129"/>
      <c r="AE104" s="127">
        <f>SUM(AD104,AC104,AB104,Y104,U104,T104,S104,R104)*'1. Standard_Cost'!$B$31</f>
        <v>0</v>
      </c>
      <c r="AF104" s="127">
        <f>SUM(AE104,AD104,AC104,AB104,Y104,U104,T104,S104,R104)</f>
        <v>0</v>
      </c>
      <c r="AG104" s="126"/>
      <c r="AH104" s="126"/>
      <c r="AI104" s="126"/>
      <c r="AJ104" s="130"/>
      <c r="AK104" s="130"/>
      <c r="AL104" s="130"/>
      <c r="AM104" s="127">
        <f>AG104*'1. Standard_Cost'!$B$27+'Incremental_Cost Year 10'!AH104*'1. Standard_Cost'!$C$27+'Incremental_Cost Year 10'!AI104*'1. Standard_Cost'!$D$27+'Incremental_Cost Year 10'!AJ104+'Incremental_Cost Year 10'!AL104+AK104</f>
        <v>0</v>
      </c>
      <c r="AN104" s="127">
        <f>AM104*'1. Standard_Cost'!$C$31</f>
        <v>0</v>
      </c>
      <c r="AO104" s="262"/>
      <c r="AP104" s="239"/>
      <c r="AQ104" s="171">
        <f>L104+M104</f>
        <v>0</v>
      </c>
      <c r="AR104" s="171">
        <f>AF104</f>
        <v>0</v>
      </c>
      <c r="AS104" s="171">
        <f>AM104+AN104</f>
        <v>0</v>
      </c>
      <c r="AT104" s="171">
        <f>SUM(AQ104,AR104,AS104)</f>
        <v>0</v>
      </c>
      <c r="AU104" s="250"/>
      <c r="AV104" s="250"/>
      <c r="AW104" s="250"/>
      <c r="AX104" s="250"/>
      <c r="AY104" s="250"/>
      <c r="AZ104" s="250"/>
      <c r="BA104" s="250"/>
      <c r="BB104" s="251">
        <f t="shared" si="100"/>
        <v>0</v>
      </c>
    </row>
    <row r="105" spans="1:54" s="78" customFormat="1" ht="47.25" outlineLevel="1" x14ac:dyDescent="0.25">
      <c r="A105" s="115"/>
      <c r="B105" s="165"/>
      <c r="C105" s="166"/>
      <c r="D105" s="229" t="s">
        <v>432</v>
      </c>
      <c r="E105" s="212" t="s">
        <v>275</v>
      </c>
      <c r="F105" s="136">
        <v>2023</v>
      </c>
      <c r="G105" s="117">
        <v>2030</v>
      </c>
      <c r="H105" s="110" t="s">
        <v>177</v>
      </c>
      <c r="I105" s="252"/>
      <c r="J105" s="252"/>
      <c r="K105" s="252"/>
      <c r="L105" s="127">
        <f>SUM(L101:L104)</f>
        <v>0</v>
      </c>
      <c r="M105" s="127">
        <f>SUM(M101:M104)</f>
        <v>0</v>
      </c>
      <c r="N105" s="127"/>
      <c r="O105" s="252"/>
      <c r="P105" s="252"/>
      <c r="Q105" s="252"/>
      <c r="R105" s="127">
        <f>SUM(R101:R104)</f>
        <v>0</v>
      </c>
      <c r="S105" s="127">
        <f>SUM(S101:S104)</f>
        <v>0</v>
      </c>
      <c r="T105" s="127">
        <f>SUM(T101:T104)</f>
        <v>0</v>
      </c>
      <c r="U105" s="127">
        <f>SUM(U101:U104)</f>
        <v>0</v>
      </c>
      <c r="V105" s="252"/>
      <c r="W105" s="252"/>
      <c r="X105" s="252"/>
      <c r="Y105" s="127">
        <f>SUM(Y101:Y104)</f>
        <v>0</v>
      </c>
      <c r="Z105" s="252"/>
      <c r="AA105" s="252"/>
      <c r="AB105" s="127">
        <f>SUM(AB101:AB104)</f>
        <v>0</v>
      </c>
      <c r="AC105" s="127">
        <f>SUM(AC101:AC104)</f>
        <v>0</v>
      </c>
      <c r="AD105" s="127">
        <f>SUM(AD101:AD104)</f>
        <v>0</v>
      </c>
      <c r="AE105" s="127">
        <f>SUM(AE101:AE104)</f>
        <v>0</v>
      </c>
      <c r="AF105" s="127">
        <f>SUM(AF101:AF104)</f>
        <v>0</v>
      </c>
      <c r="AG105" s="252"/>
      <c r="AH105" s="252"/>
      <c r="AI105" s="252"/>
      <c r="AJ105" s="127">
        <f>SUM(AJ101:AJ104)</f>
        <v>0</v>
      </c>
      <c r="AK105" s="127">
        <f>SUM(AK101:AK104)</f>
        <v>0</v>
      </c>
      <c r="AL105" s="127">
        <f>SUM(AL101:AL104)</f>
        <v>0</v>
      </c>
      <c r="AM105" s="127">
        <f>SUM(AM101:AM104)</f>
        <v>0</v>
      </c>
      <c r="AN105" s="127">
        <f>SUM(AN101:AN104)</f>
        <v>0</v>
      </c>
      <c r="AO105" s="253"/>
      <c r="AP105" s="254"/>
      <c r="AQ105" s="175">
        <f t="shared" ref="AQ105:BB105" si="101">SUM(AQ101:AQ104)</f>
        <v>0</v>
      </c>
      <c r="AR105" s="175">
        <f t="shared" si="101"/>
        <v>0</v>
      </c>
      <c r="AS105" s="175">
        <f t="shared" si="101"/>
        <v>0</v>
      </c>
      <c r="AT105" s="175">
        <f t="shared" si="101"/>
        <v>0</v>
      </c>
      <c r="AU105" s="175">
        <f t="shared" si="101"/>
        <v>0</v>
      </c>
      <c r="AV105" s="175">
        <f t="shared" si="101"/>
        <v>0</v>
      </c>
      <c r="AW105" s="175">
        <f t="shared" si="101"/>
        <v>0</v>
      </c>
      <c r="AX105" s="175">
        <f t="shared" si="101"/>
        <v>0</v>
      </c>
      <c r="AY105" s="175">
        <f t="shared" si="101"/>
        <v>0</v>
      </c>
      <c r="AZ105" s="175">
        <f t="shared" si="101"/>
        <v>0</v>
      </c>
      <c r="BA105" s="175">
        <f t="shared" si="101"/>
        <v>0</v>
      </c>
      <c r="BB105" s="175">
        <f t="shared" si="101"/>
        <v>0</v>
      </c>
    </row>
    <row r="106" spans="1:54" s="87" customFormat="1" ht="46.15" customHeight="1" x14ac:dyDescent="0.25">
      <c r="A106" s="143"/>
      <c r="B106" s="285"/>
      <c r="C106" s="391" t="s">
        <v>276</v>
      </c>
      <c r="D106" s="391"/>
      <c r="E106" s="392"/>
      <c r="F106" s="218"/>
      <c r="G106" s="218"/>
      <c r="H106" s="144" t="s">
        <v>258</v>
      </c>
      <c r="I106" s="257"/>
      <c r="J106" s="257"/>
      <c r="K106" s="257"/>
      <c r="L106" s="258">
        <f>SUM(L110)</f>
        <v>0</v>
      </c>
      <c r="M106" s="258">
        <f>SUM(M110)</f>
        <v>0</v>
      </c>
      <c r="N106" s="257"/>
      <c r="O106" s="257"/>
      <c r="P106" s="257"/>
      <c r="Q106" s="257"/>
      <c r="R106" s="258">
        <f>SUM(R110)</f>
        <v>0</v>
      </c>
      <c r="S106" s="258">
        <f>SUM(S110)</f>
        <v>0</v>
      </c>
      <c r="T106" s="258">
        <f>SUM(T110)</f>
        <v>0</v>
      </c>
      <c r="U106" s="258">
        <f>SUM(U110)</f>
        <v>0</v>
      </c>
      <c r="V106" s="257"/>
      <c r="W106" s="257"/>
      <c r="X106" s="257"/>
      <c r="Y106" s="258">
        <f>SUM(Y110)</f>
        <v>0</v>
      </c>
      <c r="Z106" s="258"/>
      <c r="AA106" s="258"/>
      <c r="AB106" s="258">
        <f>SUM(AB110)</f>
        <v>0</v>
      </c>
      <c r="AC106" s="258">
        <f>SUM(AC110)</f>
        <v>0</v>
      </c>
      <c r="AD106" s="258">
        <f>SUM(AD110)</f>
        <v>0</v>
      </c>
      <c r="AE106" s="258">
        <f>SUM(AE110)</f>
        <v>0</v>
      </c>
      <c r="AF106" s="258">
        <f>SUM(AF110)</f>
        <v>0</v>
      </c>
      <c r="AG106" s="257"/>
      <c r="AH106" s="257"/>
      <c r="AI106" s="257"/>
      <c r="AJ106" s="258">
        <f>SUM(AJ110)</f>
        <v>0</v>
      </c>
      <c r="AK106" s="258">
        <f>SUM(AK110)</f>
        <v>0</v>
      </c>
      <c r="AL106" s="258">
        <f>SUM(AL110)</f>
        <v>0</v>
      </c>
      <c r="AM106" s="258">
        <f>SUM(AM110)</f>
        <v>0</v>
      </c>
      <c r="AN106" s="258">
        <f>SUM(AN110)</f>
        <v>0</v>
      </c>
      <c r="AO106" s="259"/>
      <c r="AP106" s="260"/>
      <c r="AQ106" s="261">
        <f>SUM(AQ110)</f>
        <v>0</v>
      </c>
      <c r="AR106" s="261">
        <f>SUM(AR110)</f>
        <v>0</v>
      </c>
      <c r="AS106" s="261">
        <f>SUM(AS110)</f>
        <v>0</v>
      </c>
      <c r="AT106" s="261">
        <f>SUM(AT110)</f>
        <v>0</v>
      </c>
      <c r="AU106" s="261">
        <f t="shared" ref="AU106:BA106" si="102">SUM(AU110)</f>
        <v>0</v>
      </c>
      <c r="AV106" s="261">
        <f t="shared" si="102"/>
        <v>0</v>
      </c>
      <c r="AW106" s="261">
        <f t="shared" si="102"/>
        <v>0</v>
      </c>
      <c r="AX106" s="261">
        <f t="shared" si="102"/>
        <v>0</v>
      </c>
      <c r="AY106" s="261">
        <f t="shared" si="102"/>
        <v>0</v>
      </c>
      <c r="AZ106" s="261">
        <f t="shared" si="102"/>
        <v>0</v>
      </c>
      <c r="BA106" s="261">
        <f t="shared" si="102"/>
        <v>0</v>
      </c>
      <c r="BB106" s="261">
        <f>SUM(BB110)</f>
        <v>0</v>
      </c>
    </row>
    <row r="107" spans="1:54" s="78" customFormat="1" ht="46.15" customHeight="1" outlineLevel="2" x14ac:dyDescent="0.25">
      <c r="A107" s="115"/>
      <c r="B107" s="200"/>
      <c r="C107" s="201"/>
      <c r="D107" s="202"/>
      <c r="E107" s="226"/>
      <c r="F107" s="306"/>
      <c r="G107" s="307"/>
      <c r="H107" s="199" t="s">
        <v>437</v>
      </c>
      <c r="I107" s="130"/>
      <c r="J107" s="126"/>
      <c r="K107" s="126"/>
      <c r="L107" s="125" t="str">
        <f>IF(I107&lt;&gt;0,((VLOOKUP(I107,'1. Standard_Cost'!$B$4:$D$11,2)+VLOOKUP(I107,'1. Standard_Cost'!$B$4:$D$11,3))*J107*K107),"0")</f>
        <v>0</v>
      </c>
      <c r="M107" s="125">
        <f>L107*'1. Standard_Cost'!$F$4</f>
        <v>0</v>
      </c>
      <c r="N107" s="126"/>
      <c r="O107" s="126"/>
      <c r="P107" s="126"/>
      <c r="Q107" s="126"/>
      <c r="R107" s="127">
        <f>'1. Standard_Cost'!$B$15*N107*P107</f>
        <v>0</v>
      </c>
      <c r="S107" s="127">
        <f>N107*O107*P107*'1. Standard_Cost'!$C$15</f>
        <v>0</v>
      </c>
      <c r="T107" s="127">
        <f>N107*P107*Q107*'1. Standard_Cost'!$D$15</f>
        <v>0</v>
      </c>
      <c r="U107" s="127">
        <f>N107*O107*'1. Standard_Cost'!$E$15</f>
        <v>0</v>
      </c>
      <c r="V107" s="126"/>
      <c r="W107" s="126"/>
      <c r="X107" s="126"/>
      <c r="Y107" s="127">
        <f>+V107*((X107*'1. Standard_Cost'!$B$19)+(W107*X107*'1. Standard_Cost'!$C$19))</f>
        <v>0</v>
      </c>
      <c r="Z107" s="126"/>
      <c r="AA107" s="126"/>
      <c r="AB107" s="127">
        <f>+Z107*'1. Standard_Cost'!$B$23+AA107*'1. Standard_Cost'!$C$23</f>
        <v>0</v>
      </c>
      <c r="AC107" s="128"/>
      <c r="AD107" s="129"/>
      <c r="AE107" s="127">
        <f>SUM(AD107,AC107,AB107,Y107,U107,T107,S107,R107)*'1. Standard_Cost'!$B$31</f>
        <v>0</v>
      </c>
      <c r="AF107" s="127">
        <f>SUM(AE107,AD107,AC107,AB107,Y107,U107,T107,S107,R107)</f>
        <v>0</v>
      </c>
      <c r="AG107" s="126"/>
      <c r="AH107" s="126"/>
      <c r="AI107" s="126"/>
      <c r="AJ107" s="130"/>
      <c r="AK107" s="130"/>
      <c r="AL107" s="130"/>
      <c r="AM107" s="127">
        <f>AG107*'1. Standard_Cost'!$B$27+'Incremental_Cost Year 10'!AH107*'1. Standard_Cost'!$C$27+'Incremental_Cost Year 10'!AI107*'1. Standard_Cost'!$D$27+'Incremental_Cost Year 10'!AJ107+'Incremental_Cost Year 10'!AL107+AK107</f>
        <v>0</v>
      </c>
      <c r="AN107" s="127">
        <f>AM107*'1. Standard_Cost'!$C$31</f>
        <v>0</v>
      </c>
      <c r="AO107" s="130"/>
      <c r="AP107" s="239"/>
      <c r="AQ107" s="171">
        <f>L107+M107</f>
        <v>0</v>
      </c>
      <c r="AR107" s="171">
        <f>AF107</f>
        <v>0</v>
      </c>
      <c r="AS107" s="171">
        <f>AM107+AN107</f>
        <v>0</v>
      </c>
      <c r="AT107" s="171">
        <f>SUM(AQ107,AR107,AS107)</f>
        <v>0</v>
      </c>
      <c r="AU107" s="250"/>
      <c r="AV107" s="250"/>
      <c r="AW107" s="250"/>
      <c r="AX107" s="250"/>
      <c r="AY107" s="250"/>
      <c r="AZ107" s="250"/>
      <c r="BA107" s="250"/>
      <c r="BB107" s="251">
        <f t="shared" ref="BB107:BB109" si="103">SUM(AU107:BA107)-AT107</f>
        <v>0</v>
      </c>
    </row>
    <row r="108" spans="1:54" s="78" customFormat="1" ht="78.75" outlineLevel="2" x14ac:dyDescent="0.25">
      <c r="A108" s="115"/>
      <c r="B108" s="200"/>
      <c r="C108" s="201"/>
      <c r="D108" s="202"/>
      <c r="E108" s="202"/>
      <c r="F108" s="308"/>
      <c r="G108" s="309"/>
      <c r="H108" s="199" t="s">
        <v>438</v>
      </c>
      <c r="I108" s="130"/>
      <c r="J108" s="126"/>
      <c r="K108" s="126"/>
      <c r="L108" s="125" t="str">
        <f>IF(I108&lt;&gt;0,((VLOOKUP(I108,'1. Standard_Cost'!$B$4:$D$11,2)+VLOOKUP(I108,'1. Standard_Cost'!$B$4:$D$11,3))*J108*K108),"0")</f>
        <v>0</v>
      </c>
      <c r="M108" s="125">
        <f>L108*'1. Standard_Cost'!$F$4</f>
        <v>0</v>
      </c>
      <c r="N108" s="126"/>
      <c r="O108" s="126"/>
      <c r="P108" s="126"/>
      <c r="Q108" s="126"/>
      <c r="R108" s="127">
        <f>'1. Standard_Cost'!$B$15*N108*P108</f>
        <v>0</v>
      </c>
      <c r="S108" s="127">
        <f>N108*O108*P108*'1. Standard_Cost'!$C$15</f>
        <v>0</v>
      </c>
      <c r="T108" s="127">
        <f>N108*P108*Q108*'1. Standard_Cost'!$D$15</f>
        <v>0</v>
      </c>
      <c r="U108" s="127">
        <f>N108*O108*'1. Standard_Cost'!$E$15</f>
        <v>0</v>
      </c>
      <c r="V108" s="126"/>
      <c r="W108" s="126"/>
      <c r="X108" s="126"/>
      <c r="Y108" s="127">
        <f>+V108*((X108*'1. Standard_Cost'!$B$19)+(W108*X108*'1. Standard_Cost'!$C$19))</f>
        <v>0</v>
      </c>
      <c r="Z108" s="126"/>
      <c r="AA108" s="126"/>
      <c r="AB108" s="127">
        <f>+Z108*'1. Standard_Cost'!$B$23+AA108*'1. Standard_Cost'!$C$23</f>
        <v>0</v>
      </c>
      <c r="AC108" s="128"/>
      <c r="AD108" s="129"/>
      <c r="AE108" s="127">
        <f>SUM(AD108,AC108,AB108,Y108,U108,T108,S108,R108)*'1. Standard_Cost'!$B$31</f>
        <v>0</v>
      </c>
      <c r="AF108" s="127">
        <f>SUM(AE108,AD108,AC108,AB108,Y108,U108,T108,S108,R108)</f>
        <v>0</v>
      </c>
      <c r="AG108" s="126"/>
      <c r="AH108" s="126"/>
      <c r="AI108" s="126"/>
      <c r="AJ108" s="130"/>
      <c r="AK108" s="130"/>
      <c r="AL108" s="130"/>
      <c r="AM108" s="127">
        <f>AG108*'1. Standard_Cost'!$B$27+'Incremental_Cost Year 10'!AH108*'1. Standard_Cost'!$C$27+'Incremental_Cost Year 10'!AI108*'1. Standard_Cost'!$D$27+'Incremental_Cost Year 10'!AJ108+'Incremental_Cost Year 10'!AL108+AK108</f>
        <v>0</v>
      </c>
      <c r="AN108" s="127">
        <f>AM108*'1. Standard_Cost'!$C$31</f>
        <v>0</v>
      </c>
      <c r="AO108" s="130"/>
      <c r="AP108" s="239"/>
      <c r="AQ108" s="171">
        <f>L108+M108</f>
        <v>0</v>
      </c>
      <c r="AR108" s="171">
        <f>AF108</f>
        <v>0</v>
      </c>
      <c r="AS108" s="171">
        <f>AM108+AN108</f>
        <v>0</v>
      </c>
      <c r="AT108" s="171">
        <f>SUM(AQ108,AR108,AS108)</f>
        <v>0</v>
      </c>
      <c r="AU108" s="250"/>
      <c r="AV108" s="250"/>
      <c r="AW108" s="250"/>
      <c r="AX108" s="250"/>
      <c r="AY108" s="250"/>
      <c r="AZ108" s="250"/>
      <c r="BA108" s="250"/>
      <c r="BB108" s="251">
        <f t="shared" si="103"/>
        <v>0</v>
      </c>
    </row>
    <row r="109" spans="1:54" s="78" customFormat="1" ht="78.75" outlineLevel="2" x14ac:dyDescent="0.25">
      <c r="A109" s="115"/>
      <c r="B109" s="200"/>
      <c r="C109" s="201"/>
      <c r="D109" s="202"/>
      <c r="E109" s="310"/>
      <c r="F109" s="311"/>
      <c r="G109" s="312"/>
      <c r="H109" s="199" t="s">
        <v>439</v>
      </c>
      <c r="I109" s="130"/>
      <c r="J109" s="126"/>
      <c r="K109" s="126"/>
      <c r="L109" s="125" t="str">
        <f>IF(I109&lt;&gt;0,((VLOOKUP(I109,'1. Standard_Cost'!$B$4:$D$11,2)+VLOOKUP(I109,'1. Standard_Cost'!$B$4:$D$11,3))*J109*K109),"0")</f>
        <v>0</v>
      </c>
      <c r="M109" s="125">
        <f>L109*'1. Standard_Cost'!$F$4</f>
        <v>0</v>
      </c>
      <c r="N109" s="126"/>
      <c r="O109" s="126"/>
      <c r="P109" s="126"/>
      <c r="Q109" s="126"/>
      <c r="R109" s="127">
        <f>'1. Standard_Cost'!$B$15*N109*P109</f>
        <v>0</v>
      </c>
      <c r="S109" s="127">
        <f>N109*O109*P109*'1. Standard_Cost'!$C$15</f>
        <v>0</v>
      </c>
      <c r="T109" s="127">
        <f>N109*P109*Q109*'1. Standard_Cost'!$D$15</f>
        <v>0</v>
      </c>
      <c r="U109" s="127">
        <f>N109*O109*'1. Standard_Cost'!$E$15</f>
        <v>0</v>
      </c>
      <c r="V109" s="126"/>
      <c r="W109" s="126"/>
      <c r="X109" s="126"/>
      <c r="Y109" s="127">
        <f>+V109*((X109*'1. Standard_Cost'!$B$19)+(W109*X109*'1. Standard_Cost'!$C$19))</f>
        <v>0</v>
      </c>
      <c r="Z109" s="126"/>
      <c r="AA109" s="126"/>
      <c r="AB109" s="127">
        <f>+Z109*'1. Standard_Cost'!$B$23+AA109*'1. Standard_Cost'!$C$23</f>
        <v>0</v>
      </c>
      <c r="AC109" s="128"/>
      <c r="AD109" s="129"/>
      <c r="AE109" s="127">
        <f>SUM(AD109,AC109,AB109,Y109,U109,T109,S109,R109)*'1. Standard_Cost'!$B$31</f>
        <v>0</v>
      </c>
      <c r="AF109" s="127">
        <f>SUM(AE109,AD109,AC109,AB109,Y109,U109,T109,S109,R109)</f>
        <v>0</v>
      </c>
      <c r="AG109" s="126"/>
      <c r="AH109" s="126"/>
      <c r="AI109" s="126"/>
      <c r="AJ109" s="130"/>
      <c r="AK109" s="130"/>
      <c r="AL109" s="130"/>
      <c r="AM109" s="127">
        <f>AG109*'1. Standard_Cost'!$B$27+'Incremental_Cost Year 10'!AH109*'1. Standard_Cost'!$C$27+'Incremental_Cost Year 10'!AI109*'1. Standard_Cost'!$D$27+'Incremental_Cost Year 10'!AJ109+'Incremental_Cost Year 10'!AL109+AK109</f>
        <v>0</v>
      </c>
      <c r="AN109" s="127">
        <f>AM109*'1. Standard_Cost'!$C$31</f>
        <v>0</v>
      </c>
      <c r="AO109" s="130"/>
      <c r="AP109" s="239"/>
      <c r="AQ109" s="171">
        <f>L109+M109</f>
        <v>0</v>
      </c>
      <c r="AR109" s="171">
        <f>AF109</f>
        <v>0</v>
      </c>
      <c r="AS109" s="171">
        <f>AM109+AN109</f>
        <v>0</v>
      </c>
      <c r="AT109" s="171">
        <f>SUM(AQ109,AR109,AS109)</f>
        <v>0</v>
      </c>
      <c r="AU109" s="250"/>
      <c r="AV109" s="250"/>
      <c r="AW109" s="250"/>
      <c r="AX109" s="250"/>
      <c r="AY109" s="250"/>
      <c r="AZ109" s="250"/>
      <c r="BA109" s="250"/>
      <c r="BB109" s="251">
        <f t="shared" si="103"/>
        <v>0</v>
      </c>
    </row>
    <row r="110" spans="1:54" s="78" customFormat="1" ht="63" outlineLevel="1" x14ac:dyDescent="0.25">
      <c r="A110" s="115"/>
      <c r="B110" s="200"/>
      <c r="C110" s="201"/>
      <c r="D110" s="227" t="s">
        <v>432</v>
      </c>
      <c r="E110" s="226" t="s">
        <v>568</v>
      </c>
      <c r="F110" s="136">
        <v>2025</v>
      </c>
      <c r="G110" s="117">
        <v>2030</v>
      </c>
      <c r="H110" s="110" t="s">
        <v>277</v>
      </c>
      <c r="I110" s="252"/>
      <c r="J110" s="252"/>
      <c r="K110" s="252"/>
      <c r="L110" s="127">
        <f>SUM(L107:L109)</f>
        <v>0</v>
      </c>
      <c r="M110" s="127">
        <f>SUM(M107:M109)</f>
        <v>0</v>
      </c>
      <c r="N110" s="127"/>
      <c r="O110" s="252"/>
      <c r="P110" s="252"/>
      <c r="Q110" s="252"/>
      <c r="R110" s="127">
        <f>SUM(R107:R109)</f>
        <v>0</v>
      </c>
      <c r="S110" s="127">
        <f>SUM(S107:S109)</f>
        <v>0</v>
      </c>
      <c r="T110" s="127">
        <f>SUM(T107:T109)</f>
        <v>0</v>
      </c>
      <c r="U110" s="127">
        <f>SUM(U107:U109)</f>
        <v>0</v>
      </c>
      <c r="V110" s="252"/>
      <c r="W110" s="252"/>
      <c r="X110" s="252"/>
      <c r="Y110" s="127">
        <f>SUM(Y107:Y109)</f>
        <v>0</v>
      </c>
      <c r="Z110" s="252"/>
      <c r="AA110" s="252"/>
      <c r="AB110" s="127">
        <f>SUM(AB107:AB109)</f>
        <v>0</v>
      </c>
      <c r="AC110" s="127">
        <f>SUM(AC107:AC109)</f>
        <v>0</v>
      </c>
      <c r="AD110" s="127">
        <f>SUM(AD107:AD109)</f>
        <v>0</v>
      </c>
      <c r="AE110" s="127">
        <f>SUM(AE107:AE109)</f>
        <v>0</v>
      </c>
      <c r="AF110" s="127">
        <f>SUM(AF107:AF109)</f>
        <v>0</v>
      </c>
      <c r="AG110" s="252"/>
      <c r="AH110" s="252"/>
      <c r="AI110" s="252"/>
      <c r="AJ110" s="127">
        <f>SUM(AJ107:AJ109)</f>
        <v>0</v>
      </c>
      <c r="AK110" s="127">
        <f>SUM(AK107:AK109)</f>
        <v>0</v>
      </c>
      <c r="AL110" s="127">
        <f>SUM(AL107:AL109)</f>
        <v>0</v>
      </c>
      <c r="AM110" s="127">
        <f>SUM(AM107:AM109)</f>
        <v>0</v>
      </c>
      <c r="AN110" s="127">
        <f>SUM(AN107:AN109)</f>
        <v>0</v>
      </c>
      <c r="AO110" s="253"/>
      <c r="AP110" s="254"/>
      <c r="AQ110" s="175">
        <f t="shared" ref="AQ110:BB110" si="104">SUM(AQ107:AQ109)</f>
        <v>0</v>
      </c>
      <c r="AR110" s="175">
        <f t="shared" si="104"/>
        <v>0</v>
      </c>
      <c r="AS110" s="175">
        <f t="shared" si="104"/>
        <v>0</v>
      </c>
      <c r="AT110" s="175">
        <f t="shared" si="104"/>
        <v>0</v>
      </c>
      <c r="AU110" s="175">
        <f t="shared" si="104"/>
        <v>0</v>
      </c>
      <c r="AV110" s="175">
        <f t="shared" si="104"/>
        <v>0</v>
      </c>
      <c r="AW110" s="175">
        <f t="shared" si="104"/>
        <v>0</v>
      </c>
      <c r="AX110" s="175">
        <f t="shared" si="104"/>
        <v>0</v>
      </c>
      <c r="AY110" s="175">
        <f t="shared" si="104"/>
        <v>0</v>
      </c>
      <c r="AZ110" s="175">
        <f t="shared" si="104"/>
        <v>0</v>
      </c>
      <c r="BA110" s="175">
        <f t="shared" si="104"/>
        <v>0</v>
      </c>
      <c r="BB110" s="175">
        <f t="shared" si="104"/>
        <v>0</v>
      </c>
    </row>
    <row r="111" spans="1:54" s="87" customFormat="1" ht="46.15" customHeight="1" x14ac:dyDescent="0.25">
      <c r="A111" s="143"/>
      <c r="B111" s="285"/>
      <c r="C111" s="391" t="s">
        <v>278</v>
      </c>
      <c r="D111" s="391"/>
      <c r="E111" s="392"/>
      <c r="F111" s="218"/>
      <c r="G111" s="218"/>
      <c r="H111" s="144" t="s">
        <v>262</v>
      </c>
      <c r="I111" s="257"/>
      <c r="J111" s="257"/>
      <c r="K111" s="257"/>
      <c r="L111" s="258">
        <f>SUM(L117)</f>
        <v>3973300</v>
      </c>
      <c r="M111" s="258">
        <f>SUM(M117)</f>
        <v>663541.10000000009</v>
      </c>
      <c r="N111" s="257"/>
      <c r="O111" s="257"/>
      <c r="P111" s="257"/>
      <c r="Q111" s="257"/>
      <c r="R111" s="258">
        <f>SUM(R117)</f>
        <v>0</v>
      </c>
      <c r="S111" s="258">
        <f>SUM(S117)</f>
        <v>0</v>
      </c>
      <c r="T111" s="258">
        <f>SUM(T117)</f>
        <v>0</v>
      </c>
      <c r="U111" s="258">
        <f>SUM(U117)</f>
        <v>0</v>
      </c>
      <c r="V111" s="257"/>
      <c r="W111" s="257"/>
      <c r="X111" s="257"/>
      <c r="Y111" s="258">
        <f>SUM(Y117)</f>
        <v>0</v>
      </c>
      <c r="Z111" s="258"/>
      <c r="AA111" s="258"/>
      <c r="AB111" s="258">
        <f>SUM(AB117)</f>
        <v>0</v>
      </c>
      <c r="AC111" s="258">
        <f>SUM(AC117)</f>
        <v>556520</v>
      </c>
      <c r="AD111" s="258">
        <f>SUM(AD117)</f>
        <v>0</v>
      </c>
      <c r="AE111" s="258">
        <f>SUM(AE117)</f>
        <v>79640</v>
      </c>
      <c r="AF111" s="258">
        <f>SUM(AF117)</f>
        <v>636160</v>
      </c>
      <c r="AG111" s="257"/>
      <c r="AH111" s="257"/>
      <c r="AI111" s="257"/>
      <c r="AJ111" s="258">
        <f>SUM(AJ117)</f>
        <v>0</v>
      </c>
      <c r="AK111" s="258">
        <f>SUM(AK117)</f>
        <v>0</v>
      </c>
      <c r="AL111" s="258">
        <f>SUM(AL117)</f>
        <v>0</v>
      </c>
      <c r="AM111" s="258">
        <f>SUM(AM117)</f>
        <v>0</v>
      </c>
      <c r="AN111" s="258">
        <f>SUM(AN117)</f>
        <v>0</v>
      </c>
      <c r="AO111" s="259"/>
      <c r="AP111" s="260"/>
      <c r="AQ111" s="261">
        <f>SUM(AQ117)</f>
        <v>4636841.0999999996</v>
      </c>
      <c r="AR111" s="261">
        <f>SUM(AR117)</f>
        <v>636160</v>
      </c>
      <c r="AS111" s="261">
        <f>SUM(AS117)</f>
        <v>0</v>
      </c>
      <c r="AT111" s="261">
        <f>SUM(AT117)</f>
        <v>5273001.0999999996</v>
      </c>
      <c r="AU111" s="261">
        <f t="shared" ref="AU111:BA111" si="105">SUM(AU117)</f>
        <v>5273002</v>
      </c>
      <c r="AV111" s="261">
        <f t="shared" si="105"/>
        <v>0</v>
      </c>
      <c r="AW111" s="261">
        <f t="shared" si="105"/>
        <v>0</v>
      </c>
      <c r="AX111" s="261">
        <f t="shared" si="105"/>
        <v>0</v>
      </c>
      <c r="AY111" s="261">
        <f t="shared" si="105"/>
        <v>0</v>
      </c>
      <c r="AZ111" s="261">
        <f t="shared" si="105"/>
        <v>0</v>
      </c>
      <c r="BA111" s="261">
        <f t="shared" si="105"/>
        <v>0</v>
      </c>
      <c r="BB111" s="261">
        <f>SUM(BB117)</f>
        <v>0.89999999990686774</v>
      </c>
    </row>
    <row r="112" spans="1:54" s="78" customFormat="1" ht="78.75" outlineLevel="2" x14ac:dyDescent="0.25">
      <c r="A112" s="115"/>
      <c r="B112" s="200"/>
      <c r="C112" s="201"/>
      <c r="D112" s="210"/>
      <c r="E112" s="321"/>
      <c r="F112" s="306"/>
      <c r="G112" s="307"/>
      <c r="H112" s="199" t="s">
        <v>440</v>
      </c>
      <c r="I112" s="130" t="s">
        <v>2</v>
      </c>
      <c r="J112" s="126">
        <v>1</v>
      </c>
      <c r="K112" s="126">
        <v>6</v>
      </c>
      <c r="L112" s="125">
        <f>IF(I112&lt;&gt;0,((VLOOKUP(I112,'1. Standard_Cost'!$B$4:$D$11,2)+VLOOKUP(I112,'1. Standard_Cost'!$B$4:$D$11,3))*J112*K112),"0")</f>
        <v>726000</v>
      </c>
      <c r="M112" s="125">
        <f>L112*'1. Standard_Cost'!$F$4</f>
        <v>121242</v>
      </c>
      <c r="N112" s="126"/>
      <c r="O112" s="126"/>
      <c r="P112" s="126"/>
      <c r="Q112" s="126"/>
      <c r="R112" s="127">
        <f>'1. Standard_Cost'!$B$15*N112*P112</f>
        <v>0</v>
      </c>
      <c r="S112" s="127">
        <f>N112*O112*P112*'1. Standard_Cost'!$C$15</f>
        <v>0</v>
      </c>
      <c r="T112" s="127">
        <f>N112*P112*Q112*'1. Standard_Cost'!$D$15</f>
        <v>0</v>
      </c>
      <c r="U112" s="127">
        <f>N112*O112*'1. Standard_Cost'!$E$15</f>
        <v>0</v>
      </c>
      <c r="V112" s="126"/>
      <c r="W112" s="126"/>
      <c r="X112" s="126"/>
      <c r="Y112" s="127">
        <f>+V112*((X112*'1. Standard_Cost'!$B$19)+(W112*X112*'1. Standard_Cost'!$C$19))</f>
        <v>0</v>
      </c>
      <c r="Z112" s="126"/>
      <c r="AA112" s="126"/>
      <c r="AB112" s="127">
        <f>+Z112*'1. Standard_Cost'!$B$23+AA112*'1. Standard_Cost'!$C$23</f>
        <v>0</v>
      </c>
      <c r="AC112" s="128">
        <v>101700</v>
      </c>
      <c r="AD112" s="129"/>
      <c r="AE112" s="127">
        <f>SUM(AD112,AC112,AB112,Y112,U112,T112,S112,R112)*'1. Standard_Cost'!$B$31</f>
        <v>20340</v>
      </c>
      <c r="AF112" s="127">
        <f>SUM(AE112,AD112,AC112,AB112,Y112,U112,T112,S112,R112)</f>
        <v>122040</v>
      </c>
      <c r="AG112" s="126"/>
      <c r="AH112" s="126"/>
      <c r="AI112" s="126"/>
      <c r="AJ112" s="130"/>
      <c r="AK112" s="130"/>
      <c r="AL112" s="130"/>
      <c r="AM112" s="127">
        <f>AG112*'1. Standard_Cost'!$B$27+'Incremental_Cost Year 10'!AH112*'1. Standard_Cost'!$C$27+'Incremental_Cost Year 10'!AI112*'1. Standard_Cost'!$D$27+'Incremental_Cost Year 10'!AJ112+'Incremental_Cost Year 10'!AL112+AK112</f>
        <v>0</v>
      </c>
      <c r="AN112" s="127">
        <f>AM112*'1. Standard_Cost'!$C$31</f>
        <v>0</v>
      </c>
      <c r="AO112" s="130"/>
      <c r="AP112" s="239"/>
      <c r="AQ112" s="171">
        <f>L112+M112</f>
        <v>847242</v>
      </c>
      <c r="AR112" s="171">
        <f>AF112</f>
        <v>122040</v>
      </c>
      <c r="AS112" s="171">
        <f>AM112+AN112</f>
        <v>0</v>
      </c>
      <c r="AT112" s="171">
        <f>SUM(AQ112,AR112,AS112)</f>
        <v>969282</v>
      </c>
      <c r="AU112" s="250">
        <v>969282</v>
      </c>
      <c r="AV112" s="250"/>
      <c r="AW112" s="250"/>
      <c r="AX112" s="250"/>
      <c r="AY112" s="250"/>
      <c r="AZ112" s="250"/>
      <c r="BA112" s="250"/>
      <c r="BB112" s="251">
        <f t="shared" ref="BB112:BB116" si="106">SUM(AU112:BA112)-AT112</f>
        <v>0</v>
      </c>
    </row>
    <row r="113" spans="1:54" s="78" customFormat="1" ht="63" outlineLevel="2" x14ac:dyDescent="0.25">
      <c r="A113" s="115"/>
      <c r="B113" s="200"/>
      <c r="C113" s="201"/>
      <c r="D113" s="208"/>
      <c r="E113" s="323"/>
      <c r="F113" s="308"/>
      <c r="G113" s="309"/>
      <c r="H113" s="199" t="s">
        <v>441</v>
      </c>
      <c r="I113" s="130" t="s">
        <v>3</v>
      </c>
      <c r="J113" s="126">
        <v>3</v>
      </c>
      <c r="K113" s="126">
        <v>7</v>
      </c>
      <c r="L113" s="125">
        <f>IF(I113&lt;&gt;0,((VLOOKUP(I113,'1. Standard_Cost'!$B$4:$D$11,2)+VLOOKUP(I113,'1. Standard_Cost'!$B$4:$D$11,3))*J113*K113),"0")</f>
        <v>2116800</v>
      </c>
      <c r="M113" s="125">
        <f>L113*'1. Standard_Cost'!$F$4</f>
        <v>353505.60000000003</v>
      </c>
      <c r="N113" s="126"/>
      <c r="O113" s="126"/>
      <c r="P113" s="126"/>
      <c r="Q113" s="126"/>
      <c r="R113" s="127">
        <f>'1. Standard_Cost'!$B$15*N113*P113</f>
        <v>0</v>
      </c>
      <c r="S113" s="127">
        <f>N113*O113*P113*'1. Standard_Cost'!$C$15</f>
        <v>0</v>
      </c>
      <c r="T113" s="127">
        <f>N113*P113*Q113*'1. Standard_Cost'!$D$15</f>
        <v>0</v>
      </c>
      <c r="U113" s="127">
        <f>N113*O113*'1. Standard_Cost'!$E$15</f>
        <v>0</v>
      </c>
      <c r="V113" s="126"/>
      <c r="W113" s="126"/>
      <c r="X113" s="126"/>
      <c r="Y113" s="127">
        <f>+V113*((X113*'1. Standard_Cost'!$B$19)+(W113*X113*'1. Standard_Cost'!$C$19))</f>
        <v>0</v>
      </c>
      <c r="Z113" s="126"/>
      <c r="AA113" s="126"/>
      <c r="AB113" s="127">
        <f>+Z113*'1. Standard_Cost'!$B$23+AA113*'1. Standard_Cost'!$C$23</f>
        <v>0</v>
      </c>
      <c r="AC113" s="128">
        <v>296500</v>
      </c>
      <c r="AD113" s="129"/>
      <c r="AE113" s="127">
        <f>SUM(AD113,AC113,AB113,Y113,U113,T113,S113,R113)*'1. Standard_Cost'!$B$31</f>
        <v>59300</v>
      </c>
      <c r="AF113" s="127">
        <f>SUM(AE113,AD113,AC113,AB113,Y113,U113,T113,S113,R113)</f>
        <v>355800</v>
      </c>
      <c r="AG113" s="126"/>
      <c r="AH113" s="126"/>
      <c r="AI113" s="126"/>
      <c r="AJ113" s="130"/>
      <c r="AK113" s="130"/>
      <c r="AL113" s="130"/>
      <c r="AM113" s="127">
        <f>AG113*'1. Standard_Cost'!$B$27+'Incremental_Cost Year 10'!AH113*'1. Standard_Cost'!$C$27+'Incremental_Cost Year 10'!AI113*'1. Standard_Cost'!$D$27+'Incremental_Cost Year 10'!AJ113+'Incremental_Cost Year 10'!AL113+AK113</f>
        <v>0</v>
      </c>
      <c r="AN113" s="127">
        <f>AM113*'1. Standard_Cost'!$C$31</f>
        <v>0</v>
      </c>
      <c r="AO113" s="130"/>
      <c r="AP113" s="239"/>
      <c r="AQ113" s="171">
        <f>L113+M113</f>
        <v>2470305.6</v>
      </c>
      <c r="AR113" s="171">
        <f>AF113</f>
        <v>355800</v>
      </c>
      <c r="AS113" s="171">
        <f>AM113+AN113</f>
        <v>0</v>
      </c>
      <c r="AT113" s="171">
        <f>SUM(AQ113,AR113,AS113)</f>
        <v>2826105.6</v>
      </c>
      <c r="AU113" s="250">
        <v>2826106</v>
      </c>
      <c r="AV113" s="250"/>
      <c r="AW113" s="250"/>
      <c r="AX113" s="250"/>
      <c r="AY113" s="250"/>
      <c r="AZ113" s="250"/>
      <c r="BA113" s="250"/>
      <c r="BB113" s="251">
        <f t="shared" si="106"/>
        <v>0.39999999990686774</v>
      </c>
    </row>
    <row r="114" spans="1:54" s="78" customFormat="1" ht="78.75" outlineLevel="2" x14ac:dyDescent="0.25">
      <c r="A114" s="115"/>
      <c r="B114" s="200"/>
      <c r="C114" s="201"/>
      <c r="D114" s="203"/>
      <c r="E114" s="323"/>
      <c r="F114" s="308"/>
      <c r="G114" s="309"/>
      <c r="H114" s="199" t="s">
        <v>547</v>
      </c>
      <c r="I114" s="130" t="s">
        <v>4</v>
      </c>
      <c r="J114" s="126">
        <v>2</v>
      </c>
      <c r="K114" s="126">
        <v>7</v>
      </c>
      <c r="L114" s="125">
        <f>IF(I114&lt;&gt;0,((VLOOKUP(I114,'1. Standard_Cost'!$B$4:$D$11,2)+VLOOKUP(I114,'1. Standard_Cost'!$B$4:$D$11,3))*J114*K114),"0")</f>
        <v>1130500</v>
      </c>
      <c r="M114" s="125">
        <f>L114*'1. Standard_Cost'!$F$4</f>
        <v>188793.5</v>
      </c>
      <c r="N114" s="126"/>
      <c r="O114" s="126"/>
      <c r="P114" s="126"/>
      <c r="Q114" s="126"/>
      <c r="R114" s="127">
        <f>'1. Standard_Cost'!$B$15*N114*P114</f>
        <v>0</v>
      </c>
      <c r="S114" s="127">
        <f>N114*O114*P114*'1. Standard_Cost'!$C$15</f>
        <v>0</v>
      </c>
      <c r="T114" s="127">
        <f>N114*P114*Q114*'1. Standard_Cost'!$D$15</f>
        <v>0</v>
      </c>
      <c r="U114" s="127">
        <f>N114*O114*'1. Standard_Cost'!$E$15</f>
        <v>0</v>
      </c>
      <c r="V114" s="126"/>
      <c r="W114" s="126"/>
      <c r="X114" s="126"/>
      <c r="Y114" s="127">
        <f>+V114*((X114*'1. Standard_Cost'!$B$19)+(W114*X114*'1. Standard_Cost'!$C$19))</f>
        <v>0</v>
      </c>
      <c r="Z114" s="126"/>
      <c r="AA114" s="126"/>
      <c r="AB114" s="127">
        <f>+Z114*'1. Standard_Cost'!$B$23+AA114*'1. Standard_Cost'!$C$23</f>
        <v>0</v>
      </c>
      <c r="AC114" s="128">
        <v>158320</v>
      </c>
      <c r="AD114" s="129"/>
      <c r="AE114" s="127"/>
      <c r="AF114" s="127">
        <f>SUM(AE114,AD114,AC114,AB114,Y114,U114,T114,S114,R114)</f>
        <v>158320</v>
      </c>
      <c r="AG114" s="126"/>
      <c r="AH114" s="126"/>
      <c r="AI114" s="126"/>
      <c r="AJ114" s="130"/>
      <c r="AK114" s="130"/>
      <c r="AL114" s="130"/>
      <c r="AM114" s="127">
        <f>AG114*'1. Standard_Cost'!$B$27+'Incremental_Cost Year 10'!AH114*'1. Standard_Cost'!$C$27+'Incremental_Cost Year 10'!AI114*'1. Standard_Cost'!$D$27+'Incremental_Cost Year 10'!AJ114+'Incremental_Cost Year 10'!AL114+AK114</f>
        <v>0</v>
      </c>
      <c r="AN114" s="127">
        <f>AM114*'1. Standard_Cost'!$C$31</f>
        <v>0</v>
      </c>
      <c r="AO114" s="130"/>
      <c r="AP114" s="239"/>
      <c r="AQ114" s="171">
        <f>L114+M114</f>
        <v>1319293.5</v>
      </c>
      <c r="AR114" s="171">
        <f>AF114</f>
        <v>158320</v>
      </c>
      <c r="AS114" s="171">
        <f>AM114+AN114</f>
        <v>0</v>
      </c>
      <c r="AT114" s="171">
        <f>SUM(AQ114,AR114,AS114)</f>
        <v>1477613.5</v>
      </c>
      <c r="AU114" s="250">
        <v>1477614</v>
      </c>
      <c r="AV114" s="250"/>
      <c r="AW114" s="250"/>
      <c r="AX114" s="250"/>
      <c r="AY114" s="250"/>
      <c r="AZ114" s="250"/>
      <c r="BA114" s="250"/>
      <c r="BB114" s="251">
        <f t="shared" si="106"/>
        <v>0.5</v>
      </c>
    </row>
    <row r="115" spans="1:54" s="78" customFormat="1" ht="31.5" outlineLevel="2" x14ac:dyDescent="0.25">
      <c r="A115" s="115"/>
      <c r="B115" s="200"/>
      <c r="C115" s="201"/>
      <c r="D115" s="203"/>
      <c r="E115" s="323"/>
      <c r="F115" s="308"/>
      <c r="G115" s="309"/>
      <c r="H115" s="199" t="s">
        <v>279</v>
      </c>
      <c r="I115" s="130"/>
      <c r="J115" s="126"/>
      <c r="K115" s="126"/>
      <c r="L115" s="125" t="str">
        <f>IF(I115&lt;&gt;0,((VLOOKUP(I115,'1. Standard_Cost'!$B$4:$D$11,2)+VLOOKUP(I115,'1. Standard_Cost'!$B$4:$D$11,3))*J115*K115),"0")</f>
        <v>0</v>
      </c>
      <c r="M115" s="125">
        <f>L115*'1. Standard_Cost'!$F$4</f>
        <v>0</v>
      </c>
      <c r="N115" s="126"/>
      <c r="O115" s="126"/>
      <c r="P115" s="126"/>
      <c r="Q115" s="126"/>
      <c r="R115" s="127">
        <f>'1. Standard_Cost'!$B$15*N115*P115</f>
        <v>0</v>
      </c>
      <c r="S115" s="127">
        <f>N115*O115*P115*'1. Standard_Cost'!$C$15</f>
        <v>0</v>
      </c>
      <c r="T115" s="127">
        <f>N115*P115*Q115*'1. Standard_Cost'!$D$15</f>
        <v>0</v>
      </c>
      <c r="U115" s="127">
        <f>N115*O115*'1. Standard_Cost'!$E$15</f>
        <v>0</v>
      </c>
      <c r="V115" s="126"/>
      <c r="W115" s="126"/>
      <c r="X115" s="126"/>
      <c r="Y115" s="127">
        <f>+V115*((X115*'1. Standard_Cost'!$B$19)+(W115*X115*'1. Standard_Cost'!$C$19))</f>
        <v>0</v>
      </c>
      <c r="Z115" s="126"/>
      <c r="AA115" s="126"/>
      <c r="AB115" s="127">
        <f>+Z115*'1. Standard_Cost'!$B$23+AA115*'1. Standard_Cost'!$C$23</f>
        <v>0</v>
      </c>
      <c r="AC115" s="128"/>
      <c r="AD115" s="129"/>
      <c r="AE115" s="127">
        <f>SUM(AD115,AC115,AB115,Y115,U115,T115,S115,R115)*'1. Standard_Cost'!$B$31</f>
        <v>0</v>
      </c>
      <c r="AF115" s="127">
        <f>SUM(AE115,AD115,AC115,AB115,Y115,U115,T115,S115,R115)</f>
        <v>0</v>
      </c>
      <c r="AG115" s="126"/>
      <c r="AH115" s="126"/>
      <c r="AI115" s="126"/>
      <c r="AJ115" s="130"/>
      <c r="AK115" s="130"/>
      <c r="AL115" s="130"/>
      <c r="AM115" s="127">
        <f>AG115*'1. Standard_Cost'!$B$27+'Incremental_Cost Year 10'!AH115*'1. Standard_Cost'!$C$27+'Incremental_Cost Year 10'!AI115*'1. Standard_Cost'!$D$27+'Incremental_Cost Year 10'!AJ115+'Incremental_Cost Year 10'!AL115+AK115</f>
        <v>0</v>
      </c>
      <c r="AN115" s="127">
        <f>AM115*'1. Standard_Cost'!$C$31</f>
        <v>0</v>
      </c>
      <c r="AO115" s="130"/>
      <c r="AP115" s="239"/>
      <c r="AQ115" s="171">
        <f>L115+M115</f>
        <v>0</v>
      </c>
      <c r="AR115" s="171">
        <f>AF115</f>
        <v>0</v>
      </c>
      <c r="AS115" s="171">
        <f>AM115+AN115</f>
        <v>0</v>
      </c>
      <c r="AT115" s="171">
        <f>SUM(AQ115,AR115,AS115)</f>
        <v>0</v>
      </c>
      <c r="AU115" s="250"/>
      <c r="AV115" s="250"/>
      <c r="AW115" s="250"/>
      <c r="AX115" s="250"/>
      <c r="AY115" s="250"/>
      <c r="AZ115" s="250"/>
      <c r="BA115" s="250"/>
      <c r="BB115" s="251">
        <f t="shared" si="106"/>
        <v>0</v>
      </c>
    </row>
    <row r="116" spans="1:54" s="78" customFormat="1" ht="47.25" outlineLevel="2" x14ac:dyDescent="0.25">
      <c r="A116" s="115"/>
      <c r="B116" s="200"/>
      <c r="C116" s="201"/>
      <c r="D116" s="211"/>
      <c r="E116" s="322"/>
      <c r="F116" s="311"/>
      <c r="G116" s="312"/>
      <c r="H116" s="199" t="s">
        <v>442</v>
      </c>
      <c r="I116" s="130"/>
      <c r="J116" s="126"/>
      <c r="K116" s="126"/>
      <c r="L116" s="125" t="str">
        <f>IF(I116&lt;&gt;0,((VLOOKUP(I116,'1. Standard_Cost'!$B$4:$D$11,2)+VLOOKUP(I116,'1. Standard_Cost'!$B$4:$D$11,3))*J116*K116),"0")</f>
        <v>0</v>
      </c>
      <c r="M116" s="125">
        <f>L116*'1. Standard_Cost'!$F$4</f>
        <v>0</v>
      </c>
      <c r="N116" s="126"/>
      <c r="O116" s="126"/>
      <c r="P116" s="126"/>
      <c r="Q116" s="126"/>
      <c r="R116" s="127">
        <f>'1. Standard_Cost'!$B$15*N116*P116</f>
        <v>0</v>
      </c>
      <c r="S116" s="127">
        <f>N116*O116*P116*'1. Standard_Cost'!$C$15</f>
        <v>0</v>
      </c>
      <c r="T116" s="127">
        <f>N116*P116*Q116*'1. Standard_Cost'!$D$15</f>
        <v>0</v>
      </c>
      <c r="U116" s="127">
        <f>N116*O116*'1. Standard_Cost'!$E$15</f>
        <v>0</v>
      </c>
      <c r="V116" s="126"/>
      <c r="W116" s="126"/>
      <c r="X116" s="126"/>
      <c r="Y116" s="127">
        <f>+V116*((X116*'1. Standard_Cost'!$B$19)+(W116*X116*'1. Standard_Cost'!$C$19))</f>
        <v>0</v>
      </c>
      <c r="Z116" s="126"/>
      <c r="AA116" s="126"/>
      <c r="AB116" s="127">
        <f>+Z116*'1. Standard_Cost'!$B$23+AA116*'1. Standard_Cost'!$C$23</f>
        <v>0</v>
      </c>
      <c r="AC116" s="128"/>
      <c r="AD116" s="129"/>
      <c r="AE116" s="127">
        <f>SUM(AD116,AC116,AB116,Y116,U116,T116,S116,R116)*'1. Standard_Cost'!$B$31</f>
        <v>0</v>
      </c>
      <c r="AF116" s="127">
        <f>SUM(AE116,AD116,AC116,AB116,Y116,U116,T116,S116,R116)</f>
        <v>0</v>
      </c>
      <c r="AG116" s="126"/>
      <c r="AH116" s="126"/>
      <c r="AI116" s="126"/>
      <c r="AJ116" s="130"/>
      <c r="AK116" s="130"/>
      <c r="AL116" s="130"/>
      <c r="AM116" s="127">
        <f>AG116*'1. Standard_Cost'!$B$27+'Incremental_Cost Year 10'!AH116*'1. Standard_Cost'!$C$27+'Incremental_Cost Year 10'!AI116*'1. Standard_Cost'!$D$27+'Incremental_Cost Year 10'!AJ116+'Incremental_Cost Year 10'!AL116+AK116</f>
        <v>0</v>
      </c>
      <c r="AN116" s="127">
        <f>AM116*'1. Standard_Cost'!$C$31</f>
        <v>0</v>
      </c>
      <c r="AO116" s="130"/>
      <c r="AP116" s="239"/>
      <c r="AQ116" s="171">
        <f>L116+M116</f>
        <v>0</v>
      </c>
      <c r="AR116" s="171">
        <f>AF116</f>
        <v>0</v>
      </c>
      <c r="AS116" s="171">
        <f>AM116+AN116</f>
        <v>0</v>
      </c>
      <c r="AT116" s="171">
        <f>SUM(AQ116,AR116,AS116)</f>
        <v>0</v>
      </c>
      <c r="AU116" s="250"/>
      <c r="AV116" s="250"/>
      <c r="AW116" s="250"/>
      <c r="AX116" s="250"/>
      <c r="AY116" s="250"/>
      <c r="AZ116" s="250"/>
      <c r="BA116" s="250"/>
      <c r="BB116" s="251">
        <f t="shared" si="106"/>
        <v>0</v>
      </c>
    </row>
    <row r="117" spans="1:54" s="78" customFormat="1" ht="47.25" outlineLevel="1" x14ac:dyDescent="0.25">
      <c r="A117" s="115"/>
      <c r="B117" s="165"/>
      <c r="C117" s="166"/>
      <c r="D117" s="229" t="s">
        <v>432</v>
      </c>
      <c r="E117" s="212" t="s">
        <v>280</v>
      </c>
      <c r="F117" s="136">
        <v>2021</v>
      </c>
      <c r="G117" s="117">
        <v>2030</v>
      </c>
      <c r="H117" s="110" t="s">
        <v>281</v>
      </c>
      <c r="I117" s="252"/>
      <c r="J117" s="252"/>
      <c r="K117" s="252"/>
      <c r="L117" s="127">
        <f>SUM(L112:L116)</f>
        <v>3973300</v>
      </c>
      <c r="M117" s="127">
        <f>SUM(M112:M116)</f>
        <v>663541.10000000009</v>
      </c>
      <c r="N117" s="127"/>
      <c r="O117" s="252"/>
      <c r="P117" s="252"/>
      <c r="Q117" s="252"/>
      <c r="R117" s="127">
        <f>SUM(R112:R116)</f>
        <v>0</v>
      </c>
      <c r="S117" s="127">
        <f>SUM(S112:S116)</f>
        <v>0</v>
      </c>
      <c r="T117" s="127">
        <f>SUM(T112:T116)</f>
        <v>0</v>
      </c>
      <c r="U117" s="127">
        <f>SUM(U112:U116)</f>
        <v>0</v>
      </c>
      <c r="V117" s="252"/>
      <c r="W117" s="252"/>
      <c r="X117" s="252"/>
      <c r="Y117" s="127">
        <f>SUM(Y112:Y116)</f>
        <v>0</v>
      </c>
      <c r="Z117" s="252"/>
      <c r="AA117" s="252"/>
      <c r="AB117" s="127">
        <f>SUM(AB112:AB116)</f>
        <v>0</v>
      </c>
      <c r="AC117" s="127">
        <f>SUM(AC112:AC116)</f>
        <v>556520</v>
      </c>
      <c r="AD117" s="127">
        <f>SUM(AD112:AD116)</f>
        <v>0</v>
      </c>
      <c r="AE117" s="127">
        <f>SUM(AE112:AE116)</f>
        <v>79640</v>
      </c>
      <c r="AF117" s="127">
        <f>SUM(AF112:AF116)</f>
        <v>636160</v>
      </c>
      <c r="AG117" s="252"/>
      <c r="AH117" s="252"/>
      <c r="AI117" s="252"/>
      <c r="AJ117" s="127">
        <f>SUM(AJ112:AJ116)</f>
        <v>0</v>
      </c>
      <c r="AK117" s="127">
        <f>SUM(AK112:AK116)</f>
        <v>0</v>
      </c>
      <c r="AL117" s="127">
        <f>SUM(AL112:AL116)</f>
        <v>0</v>
      </c>
      <c r="AM117" s="127">
        <f>SUM(AM112:AM116)</f>
        <v>0</v>
      </c>
      <c r="AN117" s="127">
        <f>SUM(AN112:AN116)</f>
        <v>0</v>
      </c>
      <c r="AO117" s="253"/>
      <c r="AP117" s="254"/>
      <c r="AQ117" s="175">
        <f t="shared" ref="AQ117:BB117" si="107">SUM(AQ112:AQ116)</f>
        <v>4636841.0999999996</v>
      </c>
      <c r="AR117" s="175">
        <f t="shared" si="107"/>
        <v>636160</v>
      </c>
      <c r="AS117" s="175">
        <f t="shared" si="107"/>
        <v>0</v>
      </c>
      <c r="AT117" s="175">
        <f t="shared" si="107"/>
        <v>5273001.0999999996</v>
      </c>
      <c r="AU117" s="175">
        <f t="shared" si="107"/>
        <v>5273002</v>
      </c>
      <c r="AV117" s="175">
        <f t="shared" si="107"/>
        <v>0</v>
      </c>
      <c r="AW117" s="175">
        <f t="shared" si="107"/>
        <v>0</v>
      </c>
      <c r="AX117" s="175">
        <f t="shared" si="107"/>
        <v>0</v>
      </c>
      <c r="AY117" s="175">
        <f t="shared" si="107"/>
        <v>0</v>
      </c>
      <c r="AZ117" s="175">
        <f t="shared" si="107"/>
        <v>0</v>
      </c>
      <c r="BA117" s="175">
        <f t="shared" si="107"/>
        <v>0</v>
      </c>
      <c r="BB117" s="175">
        <f t="shared" si="107"/>
        <v>0.89999999990686774</v>
      </c>
    </row>
    <row r="118" spans="1:54" s="87" customFormat="1" ht="60" customHeight="1" x14ac:dyDescent="0.25">
      <c r="A118" s="143"/>
      <c r="B118" s="285"/>
      <c r="C118" s="391" t="s">
        <v>282</v>
      </c>
      <c r="D118" s="391"/>
      <c r="E118" s="392"/>
      <c r="F118" s="218"/>
      <c r="G118" s="218"/>
      <c r="H118" s="144" t="s">
        <v>266</v>
      </c>
      <c r="I118" s="257"/>
      <c r="J118" s="257"/>
      <c r="K118" s="257"/>
      <c r="L118" s="258">
        <f>SUM(L122)</f>
        <v>0</v>
      </c>
      <c r="M118" s="258">
        <f>SUM(M122)</f>
        <v>0</v>
      </c>
      <c r="N118" s="257"/>
      <c r="O118" s="257"/>
      <c r="P118" s="257"/>
      <c r="Q118" s="257"/>
      <c r="R118" s="258">
        <f>SUM(R122)</f>
        <v>0</v>
      </c>
      <c r="S118" s="258">
        <f>SUM(S122)</f>
        <v>0</v>
      </c>
      <c r="T118" s="258">
        <f>SUM(T122)</f>
        <v>0</v>
      </c>
      <c r="U118" s="258">
        <f>SUM(U122)</f>
        <v>0</v>
      </c>
      <c r="V118" s="257"/>
      <c r="W118" s="257"/>
      <c r="X118" s="257"/>
      <c r="Y118" s="258">
        <f>SUM(Y122)</f>
        <v>0</v>
      </c>
      <c r="Z118" s="258"/>
      <c r="AA118" s="258"/>
      <c r="AB118" s="258">
        <f>SUM(AB122)</f>
        <v>0</v>
      </c>
      <c r="AC118" s="258">
        <f>SUM(AC122)</f>
        <v>0</v>
      </c>
      <c r="AD118" s="258">
        <f>SUM(AD122)</f>
        <v>0</v>
      </c>
      <c r="AE118" s="258">
        <f>SUM(AE122)</f>
        <v>0</v>
      </c>
      <c r="AF118" s="258">
        <f>SUM(AF122)</f>
        <v>0</v>
      </c>
      <c r="AG118" s="257"/>
      <c r="AH118" s="257"/>
      <c r="AI118" s="257"/>
      <c r="AJ118" s="258">
        <f>SUM(AJ122)</f>
        <v>0</v>
      </c>
      <c r="AK118" s="258">
        <f>SUM(AK122)</f>
        <v>0</v>
      </c>
      <c r="AL118" s="258">
        <f>SUM(AL122)</f>
        <v>0</v>
      </c>
      <c r="AM118" s="258">
        <f>SUM(AM122)</f>
        <v>0</v>
      </c>
      <c r="AN118" s="258">
        <f>SUM(AN122)</f>
        <v>0</v>
      </c>
      <c r="AO118" s="259"/>
      <c r="AP118" s="260"/>
      <c r="AQ118" s="261">
        <f>SUM(AQ122)</f>
        <v>0</v>
      </c>
      <c r="AR118" s="261">
        <f>SUM(AR122)</f>
        <v>0</v>
      </c>
      <c r="AS118" s="261">
        <f>SUM(AS122)</f>
        <v>0</v>
      </c>
      <c r="AT118" s="261">
        <f>SUM(AT122)</f>
        <v>0</v>
      </c>
      <c r="AU118" s="261">
        <f t="shared" ref="AU118:BA118" si="108">SUM(AU122)</f>
        <v>0</v>
      </c>
      <c r="AV118" s="261">
        <f t="shared" si="108"/>
        <v>0</v>
      </c>
      <c r="AW118" s="261">
        <f t="shared" si="108"/>
        <v>0</v>
      </c>
      <c r="AX118" s="261">
        <f t="shared" si="108"/>
        <v>0</v>
      </c>
      <c r="AY118" s="261">
        <f t="shared" si="108"/>
        <v>0</v>
      </c>
      <c r="AZ118" s="261">
        <f t="shared" si="108"/>
        <v>0</v>
      </c>
      <c r="BA118" s="261">
        <f t="shared" si="108"/>
        <v>0</v>
      </c>
      <c r="BB118" s="261">
        <f>SUM(BB122)</f>
        <v>0</v>
      </c>
    </row>
    <row r="119" spans="1:54" s="78" customFormat="1" ht="94.5" outlineLevel="2" x14ac:dyDescent="0.25">
      <c r="A119" s="115"/>
      <c r="B119" s="200"/>
      <c r="C119" s="201"/>
      <c r="D119" s="348"/>
      <c r="E119" s="321"/>
      <c r="F119" s="306"/>
      <c r="G119" s="307"/>
      <c r="H119" s="199" t="s">
        <v>443</v>
      </c>
      <c r="I119" s="130"/>
      <c r="J119" s="126"/>
      <c r="K119" s="126"/>
      <c r="L119" s="125" t="str">
        <f>IF(I119&lt;&gt;0,((VLOOKUP(I119,'1. Standard_Cost'!$B$4:$D$11,2)+VLOOKUP(I119,'1. Standard_Cost'!$B$4:$D$11,3))*J119*K119),"0")</f>
        <v>0</v>
      </c>
      <c r="M119" s="125">
        <f>L119*'1. Standard_Cost'!$F$4</f>
        <v>0</v>
      </c>
      <c r="N119" s="126"/>
      <c r="O119" s="126"/>
      <c r="P119" s="126"/>
      <c r="Q119" s="126"/>
      <c r="R119" s="127">
        <f>'1. Standard_Cost'!$B$15*N119*P119</f>
        <v>0</v>
      </c>
      <c r="S119" s="127">
        <f>N119*O119*P119*'1. Standard_Cost'!$C$15</f>
        <v>0</v>
      </c>
      <c r="T119" s="127">
        <f>N119*P119*Q119*'1. Standard_Cost'!$D$15</f>
        <v>0</v>
      </c>
      <c r="U119" s="127">
        <f>N119*O119*'1. Standard_Cost'!$E$15</f>
        <v>0</v>
      </c>
      <c r="V119" s="126"/>
      <c r="W119" s="126"/>
      <c r="X119" s="126"/>
      <c r="Y119" s="127">
        <f>+V119*((X119*'1. Standard_Cost'!$B$19)+(W119*X119*'1. Standard_Cost'!$C$19))</f>
        <v>0</v>
      </c>
      <c r="Z119" s="126"/>
      <c r="AA119" s="126"/>
      <c r="AB119" s="127">
        <f>+Z119*'1. Standard_Cost'!$B$23+AA119*'1. Standard_Cost'!$C$23</f>
        <v>0</v>
      </c>
      <c r="AC119" s="128"/>
      <c r="AD119" s="129"/>
      <c r="AE119" s="127">
        <f>SUM(AD119,AC119,AB119,Y119,U119,T119,S119,R119)*'1. Standard_Cost'!$B$31</f>
        <v>0</v>
      </c>
      <c r="AF119" s="127">
        <f>SUM(AE119,AD119,AC119,AB119,Y119,U119,T119,S119,R119)</f>
        <v>0</v>
      </c>
      <c r="AG119" s="126"/>
      <c r="AH119" s="126"/>
      <c r="AI119" s="126"/>
      <c r="AJ119" s="130"/>
      <c r="AK119" s="130"/>
      <c r="AL119" s="130"/>
      <c r="AM119" s="127">
        <f>AG119*'1. Standard_Cost'!$B$27+'Incremental_Cost Year 10'!AH119*'1. Standard_Cost'!$C$27+'Incremental_Cost Year 10'!AI119*'1. Standard_Cost'!$D$27+'Incremental_Cost Year 10'!AJ119+'Incremental_Cost Year 10'!AL119+AK119</f>
        <v>0</v>
      </c>
      <c r="AN119" s="127">
        <f>AM119*'1. Standard_Cost'!$C$31</f>
        <v>0</v>
      </c>
      <c r="AO119" s="130"/>
      <c r="AP119" s="239"/>
      <c r="AQ119" s="171">
        <f>L119+M119</f>
        <v>0</v>
      </c>
      <c r="AR119" s="171">
        <f>AF119</f>
        <v>0</v>
      </c>
      <c r="AS119" s="171">
        <f>AM119+AN119</f>
        <v>0</v>
      </c>
      <c r="AT119" s="171">
        <f>SUM(AQ119,AR119,AS119)</f>
        <v>0</v>
      </c>
      <c r="AU119" s="250"/>
      <c r="AV119" s="250"/>
      <c r="AW119" s="250"/>
      <c r="AX119" s="250"/>
      <c r="AY119" s="250"/>
      <c r="AZ119" s="250"/>
      <c r="BA119" s="250"/>
      <c r="BB119" s="251">
        <f t="shared" ref="BB119:BB121" si="109">SUM(AU119:BA119)-AT119</f>
        <v>0</v>
      </c>
    </row>
    <row r="120" spans="1:54" s="78" customFormat="1" ht="110.25" outlineLevel="2" x14ac:dyDescent="0.25">
      <c r="A120" s="115"/>
      <c r="B120" s="200"/>
      <c r="C120" s="201"/>
      <c r="D120" s="132"/>
      <c r="E120" s="323"/>
      <c r="F120" s="308"/>
      <c r="G120" s="309"/>
      <c r="H120" s="199" t="s">
        <v>444</v>
      </c>
      <c r="I120" s="130"/>
      <c r="J120" s="126"/>
      <c r="K120" s="126"/>
      <c r="L120" s="125" t="str">
        <f>IF(I120&lt;&gt;0,((VLOOKUP(I120,'1. Standard_Cost'!$B$4:$D$11,2)+VLOOKUP(I120,'1. Standard_Cost'!$B$4:$D$11,3))*J120*K120),"0")</f>
        <v>0</v>
      </c>
      <c r="M120" s="125">
        <f>L120*'1. Standard_Cost'!$F$4</f>
        <v>0</v>
      </c>
      <c r="N120" s="126"/>
      <c r="O120" s="126"/>
      <c r="P120" s="126"/>
      <c r="Q120" s="126"/>
      <c r="R120" s="127">
        <f>'1. Standard_Cost'!$B$15*N120*P120</f>
        <v>0</v>
      </c>
      <c r="S120" s="127">
        <f>N120*O120*P120*'1. Standard_Cost'!$C$15</f>
        <v>0</v>
      </c>
      <c r="T120" s="127">
        <f>N120*P120*Q120*'1. Standard_Cost'!$D$15</f>
        <v>0</v>
      </c>
      <c r="U120" s="127">
        <f>N120*O120*'1. Standard_Cost'!$E$15</f>
        <v>0</v>
      </c>
      <c r="V120" s="126"/>
      <c r="W120" s="126"/>
      <c r="X120" s="126"/>
      <c r="Y120" s="127">
        <f>+V120*((X120*'1. Standard_Cost'!$B$19)+(W120*X120*'1. Standard_Cost'!$C$19))</f>
        <v>0</v>
      </c>
      <c r="Z120" s="126"/>
      <c r="AA120" s="126"/>
      <c r="AB120" s="127">
        <f>+Z120*'1. Standard_Cost'!$B$23+AA120*'1. Standard_Cost'!$C$23</f>
        <v>0</v>
      </c>
      <c r="AC120" s="128"/>
      <c r="AD120" s="129"/>
      <c r="AE120" s="127">
        <f>SUM(AD120,AC120,AB120,Y120,U120,T120,S120,R120)*'1. Standard_Cost'!$B$31</f>
        <v>0</v>
      </c>
      <c r="AF120" s="127">
        <f>SUM(AE120,AD120,AC120,AB120,Y120,U120,T120,S120,R120)</f>
        <v>0</v>
      </c>
      <c r="AG120" s="126"/>
      <c r="AH120" s="126"/>
      <c r="AI120" s="126"/>
      <c r="AJ120" s="130"/>
      <c r="AK120" s="130"/>
      <c r="AL120" s="130"/>
      <c r="AM120" s="127">
        <f>AG120*'1. Standard_Cost'!$B$27+'Incremental_Cost Year 10'!AH120*'1. Standard_Cost'!$C$27+'Incremental_Cost Year 10'!AI120*'1. Standard_Cost'!$D$27+'Incremental_Cost Year 10'!AJ120+'Incremental_Cost Year 10'!AL120+AK120</f>
        <v>0</v>
      </c>
      <c r="AN120" s="127">
        <f>AM120*'1. Standard_Cost'!$C$31</f>
        <v>0</v>
      </c>
      <c r="AO120" s="130"/>
      <c r="AP120" s="239"/>
      <c r="AQ120" s="171">
        <f>L120+M120</f>
        <v>0</v>
      </c>
      <c r="AR120" s="171">
        <f>AF120</f>
        <v>0</v>
      </c>
      <c r="AS120" s="171">
        <f>AM120+AN120</f>
        <v>0</v>
      </c>
      <c r="AT120" s="171">
        <f>SUM(AQ120,AR120,AS120)</f>
        <v>0</v>
      </c>
      <c r="AU120" s="250"/>
      <c r="AV120" s="250"/>
      <c r="AW120" s="250"/>
      <c r="AX120" s="250"/>
      <c r="AY120" s="250"/>
      <c r="AZ120" s="250"/>
      <c r="BA120" s="250"/>
      <c r="BB120" s="251">
        <f t="shared" si="109"/>
        <v>0</v>
      </c>
    </row>
    <row r="121" spans="1:54" s="78" customFormat="1" ht="110.25" outlineLevel="2" x14ac:dyDescent="0.25">
      <c r="A121" s="115"/>
      <c r="B121" s="200"/>
      <c r="C121" s="201"/>
      <c r="D121" s="349"/>
      <c r="E121" s="322"/>
      <c r="F121" s="311"/>
      <c r="G121" s="312"/>
      <c r="H121" s="199" t="s">
        <v>445</v>
      </c>
      <c r="I121" s="130"/>
      <c r="J121" s="126"/>
      <c r="K121" s="126"/>
      <c r="L121" s="125" t="str">
        <f>IF(I121&lt;&gt;0,((VLOOKUP(I121,'1. Standard_Cost'!$B$4:$D$11,2)+VLOOKUP(I121,'1. Standard_Cost'!$B$4:$D$11,3))*J121*K121),"0")</f>
        <v>0</v>
      </c>
      <c r="M121" s="125">
        <f>L121*'1. Standard_Cost'!$F$4</f>
        <v>0</v>
      </c>
      <c r="N121" s="126"/>
      <c r="O121" s="126"/>
      <c r="P121" s="126"/>
      <c r="Q121" s="126"/>
      <c r="R121" s="127">
        <f>'1. Standard_Cost'!$B$15*N121*P121</f>
        <v>0</v>
      </c>
      <c r="S121" s="127">
        <f>N121*O121*P121*'1. Standard_Cost'!$C$15</f>
        <v>0</v>
      </c>
      <c r="T121" s="127">
        <f>N121*P121*Q121*'1. Standard_Cost'!$D$15</f>
        <v>0</v>
      </c>
      <c r="U121" s="127">
        <f>N121*O121*'1. Standard_Cost'!$E$15</f>
        <v>0</v>
      </c>
      <c r="V121" s="126"/>
      <c r="W121" s="126"/>
      <c r="X121" s="126"/>
      <c r="Y121" s="127">
        <f>+V121*((X121*'1. Standard_Cost'!$B$19)+(W121*X121*'1. Standard_Cost'!$C$19))</f>
        <v>0</v>
      </c>
      <c r="Z121" s="126"/>
      <c r="AA121" s="126"/>
      <c r="AB121" s="127">
        <f>+Z121*'1. Standard_Cost'!$B$23+AA121*'1. Standard_Cost'!$C$23</f>
        <v>0</v>
      </c>
      <c r="AC121" s="128"/>
      <c r="AD121" s="129"/>
      <c r="AE121" s="127">
        <f>SUM(AD121,AC121,AB121,Y121,U121,T121,S121,R121)*'1. Standard_Cost'!$B$31</f>
        <v>0</v>
      </c>
      <c r="AF121" s="127">
        <f>SUM(AE121,AD121,AC121,AB121,Y121,U121,T121,S121,R121)</f>
        <v>0</v>
      </c>
      <c r="AG121" s="126"/>
      <c r="AH121" s="126"/>
      <c r="AI121" s="126"/>
      <c r="AJ121" s="130"/>
      <c r="AK121" s="130"/>
      <c r="AL121" s="130"/>
      <c r="AM121" s="127">
        <f>AG121*'1. Standard_Cost'!$B$27+'Incremental_Cost Year 10'!AH121*'1. Standard_Cost'!$C$27+'Incremental_Cost Year 10'!AI121*'1. Standard_Cost'!$D$27+'Incremental_Cost Year 10'!AJ121+'Incremental_Cost Year 10'!AL121+AK121</f>
        <v>0</v>
      </c>
      <c r="AN121" s="127">
        <f>AM121*'1. Standard_Cost'!$C$31</f>
        <v>0</v>
      </c>
      <c r="AO121" s="130"/>
      <c r="AP121" s="239"/>
      <c r="AQ121" s="171">
        <f>L121+M121</f>
        <v>0</v>
      </c>
      <c r="AR121" s="171">
        <f>AF121</f>
        <v>0</v>
      </c>
      <c r="AS121" s="171">
        <f>AM121+AN121</f>
        <v>0</v>
      </c>
      <c r="AT121" s="171">
        <f>SUM(AQ121,AR121,AS121)</f>
        <v>0</v>
      </c>
      <c r="AU121" s="250"/>
      <c r="AV121" s="250"/>
      <c r="AW121" s="250"/>
      <c r="AX121" s="250"/>
      <c r="AY121" s="250"/>
      <c r="AZ121" s="250"/>
      <c r="BA121" s="250"/>
      <c r="BB121" s="251">
        <f t="shared" si="109"/>
        <v>0</v>
      </c>
    </row>
    <row r="122" spans="1:54" s="78" customFormat="1" ht="63" outlineLevel="1" x14ac:dyDescent="0.25">
      <c r="A122" s="115"/>
      <c r="B122" s="200"/>
      <c r="C122" s="201"/>
      <c r="D122" s="146" t="s">
        <v>432</v>
      </c>
      <c r="E122" s="212" t="s">
        <v>283</v>
      </c>
      <c r="F122" s="136">
        <v>2022</v>
      </c>
      <c r="G122" s="117">
        <v>2025</v>
      </c>
      <c r="H122" s="110" t="s">
        <v>268</v>
      </c>
      <c r="I122" s="252"/>
      <c r="J122" s="252"/>
      <c r="K122" s="252"/>
      <c r="L122" s="127">
        <f>SUM(L119:L121)</f>
        <v>0</v>
      </c>
      <c r="M122" s="127">
        <f>SUM(M119:M121)</f>
        <v>0</v>
      </c>
      <c r="N122" s="127"/>
      <c r="O122" s="252"/>
      <c r="P122" s="252"/>
      <c r="Q122" s="252"/>
      <c r="R122" s="127">
        <f>SUM(R119:R121)</f>
        <v>0</v>
      </c>
      <c r="S122" s="127">
        <f>SUM(S119:S121)</f>
        <v>0</v>
      </c>
      <c r="T122" s="127">
        <f>SUM(T119:T121)</f>
        <v>0</v>
      </c>
      <c r="U122" s="127">
        <f>SUM(U119:U121)</f>
        <v>0</v>
      </c>
      <c r="V122" s="252"/>
      <c r="W122" s="252"/>
      <c r="X122" s="252"/>
      <c r="Y122" s="127">
        <f>SUM(Y119:Y121)</f>
        <v>0</v>
      </c>
      <c r="Z122" s="252"/>
      <c r="AA122" s="252"/>
      <c r="AB122" s="127">
        <f>SUM(AB119:AB121)</f>
        <v>0</v>
      </c>
      <c r="AC122" s="127">
        <f>SUM(AC119:AC121)</f>
        <v>0</v>
      </c>
      <c r="AD122" s="127">
        <f>SUM(AD119:AD121)</f>
        <v>0</v>
      </c>
      <c r="AE122" s="127">
        <f>SUM(AE119:AE121)</f>
        <v>0</v>
      </c>
      <c r="AF122" s="127">
        <f>SUM(AF119:AF121)</f>
        <v>0</v>
      </c>
      <c r="AG122" s="252"/>
      <c r="AH122" s="252"/>
      <c r="AI122" s="252"/>
      <c r="AJ122" s="127">
        <f>SUM(AJ119:AJ121)</f>
        <v>0</v>
      </c>
      <c r="AK122" s="127">
        <f>SUM(AK119:AK121)</f>
        <v>0</v>
      </c>
      <c r="AL122" s="127">
        <f>SUM(AL119:AL121)</f>
        <v>0</v>
      </c>
      <c r="AM122" s="127">
        <f>SUM(AM119:AM121)</f>
        <v>0</v>
      </c>
      <c r="AN122" s="127">
        <f>SUM(AN119:AN121)</f>
        <v>0</v>
      </c>
      <c r="AO122" s="253"/>
      <c r="AP122" s="254"/>
      <c r="AQ122" s="175">
        <f t="shared" ref="AQ122:BB122" si="110">SUM(AQ119:AQ121)</f>
        <v>0</v>
      </c>
      <c r="AR122" s="175">
        <f t="shared" si="110"/>
        <v>0</v>
      </c>
      <c r="AS122" s="175">
        <f t="shared" si="110"/>
        <v>0</v>
      </c>
      <c r="AT122" s="175">
        <f t="shared" si="110"/>
        <v>0</v>
      </c>
      <c r="AU122" s="175">
        <f t="shared" si="110"/>
        <v>0</v>
      </c>
      <c r="AV122" s="175">
        <f t="shared" si="110"/>
        <v>0</v>
      </c>
      <c r="AW122" s="175">
        <f t="shared" si="110"/>
        <v>0</v>
      </c>
      <c r="AX122" s="175">
        <f t="shared" si="110"/>
        <v>0</v>
      </c>
      <c r="AY122" s="175">
        <f t="shared" si="110"/>
        <v>0</v>
      </c>
      <c r="AZ122" s="175">
        <f t="shared" si="110"/>
        <v>0</v>
      </c>
      <c r="BA122" s="175">
        <f t="shared" si="110"/>
        <v>0</v>
      </c>
      <c r="BB122" s="175">
        <f t="shared" si="110"/>
        <v>0</v>
      </c>
    </row>
    <row r="123" spans="1:54" s="87" customFormat="1" ht="61.9" customHeight="1" x14ac:dyDescent="0.25">
      <c r="A123" s="143"/>
      <c r="B123" s="285"/>
      <c r="C123" s="391" t="s">
        <v>287</v>
      </c>
      <c r="D123" s="391"/>
      <c r="E123" s="392"/>
      <c r="F123" s="284"/>
      <c r="G123" s="282"/>
      <c r="H123" s="144" t="s">
        <v>288</v>
      </c>
      <c r="I123" s="257"/>
      <c r="J123" s="257"/>
      <c r="K123" s="257"/>
      <c r="L123" s="258">
        <f>SUM(L133)</f>
        <v>3589642.8571428568</v>
      </c>
      <c r="M123" s="258">
        <f>SUM(M133)</f>
        <v>599470.35714285716</v>
      </c>
      <c r="N123" s="257"/>
      <c r="O123" s="257"/>
      <c r="P123" s="257"/>
      <c r="Q123" s="257"/>
      <c r="R123" s="258">
        <f>SUM(R133)</f>
        <v>0</v>
      </c>
      <c r="S123" s="258">
        <f>SUM(S133)</f>
        <v>0</v>
      </c>
      <c r="T123" s="258">
        <f>SUM(T133)</f>
        <v>0</v>
      </c>
      <c r="U123" s="258">
        <f>SUM(U133)</f>
        <v>0</v>
      </c>
      <c r="V123" s="257"/>
      <c r="W123" s="257"/>
      <c r="X123" s="257"/>
      <c r="Y123" s="258">
        <f>SUM(Y133)</f>
        <v>0</v>
      </c>
      <c r="Z123" s="258"/>
      <c r="AA123" s="258"/>
      <c r="AB123" s="258">
        <f>SUM(AB133)</f>
        <v>0</v>
      </c>
      <c r="AC123" s="258">
        <f>SUM(AC133)</f>
        <v>2413172</v>
      </c>
      <c r="AD123" s="258">
        <f>SUM(AD133)</f>
        <v>0</v>
      </c>
      <c r="AE123" s="258">
        <f>SUM(AE133)</f>
        <v>0</v>
      </c>
      <c r="AF123" s="258">
        <f>SUM(AF133)</f>
        <v>2413172</v>
      </c>
      <c r="AG123" s="257"/>
      <c r="AH123" s="257"/>
      <c r="AI123" s="257"/>
      <c r="AJ123" s="258">
        <f>SUM(AJ133)</f>
        <v>0</v>
      </c>
      <c r="AK123" s="258">
        <f>SUM(AK133)</f>
        <v>0</v>
      </c>
      <c r="AL123" s="258">
        <f>SUM(AL133)</f>
        <v>0</v>
      </c>
      <c r="AM123" s="258">
        <f>SUM(AM133)</f>
        <v>0</v>
      </c>
      <c r="AN123" s="258">
        <f>SUM(AN133)</f>
        <v>0</v>
      </c>
      <c r="AO123" s="259"/>
      <c r="AP123" s="260"/>
      <c r="AQ123" s="261">
        <f>SUM(AQ133)</f>
        <v>4189113.2142857146</v>
      </c>
      <c r="AR123" s="261">
        <f>SUM(AR133)</f>
        <v>2413172</v>
      </c>
      <c r="AS123" s="261">
        <f>SUM(AS133)</f>
        <v>0</v>
      </c>
      <c r="AT123" s="261">
        <f>SUM(AT133)</f>
        <v>6602285.2142857146</v>
      </c>
      <c r="AU123" s="261">
        <f t="shared" ref="AU123:BA123" si="111">SUM(AU133)</f>
        <v>6602285</v>
      </c>
      <c r="AV123" s="261">
        <f t="shared" si="111"/>
        <v>0</v>
      </c>
      <c r="AW123" s="261">
        <f t="shared" si="111"/>
        <v>0</v>
      </c>
      <c r="AX123" s="261">
        <f t="shared" si="111"/>
        <v>0</v>
      </c>
      <c r="AY123" s="261">
        <f t="shared" si="111"/>
        <v>0</v>
      </c>
      <c r="AZ123" s="261">
        <f t="shared" si="111"/>
        <v>0</v>
      </c>
      <c r="BA123" s="261">
        <f t="shared" si="111"/>
        <v>0</v>
      </c>
      <c r="BB123" s="261">
        <f t="shared" ref="BB123" si="112">SUM(BB133)</f>
        <v>-0.21428571478463709</v>
      </c>
    </row>
    <row r="124" spans="1:54" s="78" customFormat="1" ht="78.75" outlineLevel="2" x14ac:dyDescent="0.25">
      <c r="A124" s="115"/>
      <c r="B124" s="200"/>
      <c r="C124" s="201"/>
      <c r="D124" s="346"/>
      <c r="E124" s="321"/>
      <c r="F124" s="306"/>
      <c r="G124" s="307"/>
      <c r="H124" s="199" t="s">
        <v>549</v>
      </c>
      <c r="I124" s="130"/>
      <c r="J124" s="126"/>
      <c r="K124" s="126"/>
      <c r="L124" s="125" t="str">
        <f>IF(I124&lt;&gt;0,((VLOOKUP(I124,'1. Standard_Cost'!$B$4:$D$11,2)+VLOOKUP(I124,'1. Standard_Cost'!$B$4:$D$11,3))*J124*K124),"0")</f>
        <v>0</v>
      </c>
      <c r="M124" s="125">
        <f>L124*'1. Standard_Cost'!$F$4</f>
        <v>0</v>
      </c>
      <c r="N124" s="126"/>
      <c r="O124" s="126"/>
      <c r="P124" s="126"/>
      <c r="Q124" s="126"/>
      <c r="R124" s="127">
        <f>'1. Standard_Cost'!$B$15*N124*P124</f>
        <v>0</v>
      </c>
      <c r="S124" s="127">
        <f>N124*O124*P124*'1. Standard_Cost'!$C$15</f>
        <v>0</v>
      </c>
      <c r="T124" s="127">
        <f>N124*P124*Q124*'1. Standard_Cost'!$D$15</f>
        <v>0</v>
      </c>
      <c r="U124" s="127">
        <f>N124*O124*'1. Standard_Cost'!$E$15</f>
        <v>0</v>
      </c>
      <c r="V124" s="126"/>
      <c r="W124" s="126"/>
      <c r="X124" s="126"/>
      <c r="Y124" s="127">
        <f>+V124*((X124*'1. Standard_Cost'!$B$19)+(W124*X124*'1. Standard_Cost'!$C$19))</f>
        <v>0</v>
      </c>
      <c r="Z124" s="126"/>
      <c r="AA124" s="126"/>
      <c r="AB124" s="127">
        <f>+Z124*'1. Standard_Cost'!$B$23+AA124*'1. Standard_Cost'!$C$23</f>
        <v>0</v>
      </c>
      <c r="AC124" s="128"/>
      <c r="AD124" s="129"/>
      <c r="AE124" s="127">
        <f>SUM(AD124,AC124,AB124,Y124,U124,T124,S124,R124)*'1. Standard_Cost'!$B$31</f>
        <v>0</v>
      </c>
      <c r="AF124" s="127">
        <f t="shared" ref="AF124:AF132" si="113">SUM(AE124,AD124,AC124,AB124,Y124,U124,T124,S124,R124)</f>
        <v>0</v>
      </c>
      <c r="AG124" s="126"/>
      <c r="AH124" s="126"/>
      <c r="AI124" s="126"/>
      <c r="AJ124" s="130"/>
      <c r="AK124" s="130"/>
      <c r="AL124" s="130"/>
      <c r="AM124" s="127">
        <f>AG124*'1. Standard_Cost'!$B$27+'Incremental_Cost Year 10'!AH124*'1. Standard_Cost'!$C$27+'Incremental_Cost Year 10'!AI124*'1. Standard_Cost'!$D$27+'Incremental_Cost Year 10'!AJ124+'Incremental_Cost Year 10'!AL124+AK124</f>
        <v>0</v>
      </c>
      <c r="AN124" s="127">
        <f>AM124*'1. Standard_Cost'!$C$31</f>
        <v>0</v>
      </c>
      <c r="AO124" s="130"/>
      <c r="AP124" s="239"/>
      <c r="AQ124" s="171">
        <f t="shared" ref="AQ124:AQ132" si="114">L124+M124</f>
        <v>0</v>
      </c>
      <c r="AR124" s="171">
        <f t="shared" ref="AR124:AR132" si="115">AF124</f>
        <v>0</v>
      </c>
      <c r="AS124" s="171">
        <f t="shared" ref="AS124:AS132" si="116">AM124+AN124</f>
        <v>0</v>
      </c>
      <c r="AT124" s="171">
        <f t="shared" ref="AT124:AT132" si="117">SUM(AQ124,AR124,AS124)</f>
        <v>0</v>
      </c>
      <c r="AU124" s="250"/>
      <c r="AV124" s="250"/>
      <c r="AW124" s="250"/>
      <c r="AX124" s="250"/>
      <c r="AY124" s="250"/>
      <c r="AZ124" s="250"/>
      <c r="BA124" s="250"/>
      <c r="BB124" s="251">
        <f t="shared" ref="BB124:BB132" si="118">SUM(AU124:BA124)-AT124</f>
        <v>0</v>
      </c>
    </row>
    <row r="125" spans="1:54" s="78" customFormat="1" ht="47.25" outlineLevel="2" x14ac:dyDescent="0.25">
      <c r="A125" s="115"/>
      <c r="B125" s="200"/>
      <c r="C125" s="201"/>
      <c r="D125" s="131"/>
      <c r="E125" s="323"/>
      <c r="F125" s="308"/>
      <c r="G125" s="309"/>
      <c r="H125" s="199" t="s">
        <v>446</v>
      </c>
      <c r="I125" s="130" t="s">
        <v>1</v>
      </c>
      <c r="J125" s="126">
        <v>2</v>
      </c>
      <c r="K125" s="126">
        <v>12</v>
      </c>
      <c r="L125" s="125">
        <f>IF(I125&lt;&gt;0,((VLOOKUP(I125,'1. Standard_Cost'!$B$4:$D$11,2)+VLOOKUP(I125,'1. Standard_Cost'!$B$4:$D$11,3))*J125*K125),"0")</f>
        <v>1723028.5714285714</v>
      </c>
      <c r="M125" s="125">
        <f>L125*'1. Standard_Cost'!$F$4</f>
        <v>287745.77142857143</v>
      </c>
      <c r="N125" s="126"/>
      <c r="O125" s="126"/>
      <c r="P125" s="126"/>
      <c r="Q125" s="126"/>
      <c r="R125" s="127">
        <f>'1. Standard_Cost'!$B$15*N125*P125</f>
        <v>0</v>
      </c>
      <c r="S125" s="127">
        <f>N125*O125*P125*'1. Standard_Cost'!$C$15</f>
        <v>0</v>
      </c>
      <c r="T125" s="127">
        <f>N125*P125*Q125*'1. Standard_Cost'!$D$15</f>
        <v>0</v>
      </c>
      <c r="U125" s="127">
        <f>N125*O125*'1. Standard_Cost'!$E$15</f>
        <v>0</v>
      </c>
      <c r="V125" s="126"/>
      <c r="W125" s="126"/>
      <c r="X125" s="126"/>
      <c r="Y125" s="127">
        <f>+V125*((X125*'1. Standard_Cost'!$B$19)+(W125*X125*'1. Standard_Cost'!$C$19))</f>
        <v>0</v>
      </c>
      <c r="Z125" s="126"/>
      <c r="AA125" s="126"/>
      <c r="AB125" s="127">
        <f>+Z125*'1. Standard_Cost'!$B$23+AA125*'1. Standard_Cost'!$C$23</f>
        <v>0</v>
      </c>
      <c r="AC125" s="128">
        <v>1448000</v>
      </c>
      <c r="AD125" s="129"/>
      <c r="AE125" s="127">
        <v>0</v>
      </c>
      <c r="AF125" s="127">
        <f t="shared" si="113"/>
        <v>1448000</v>
      </c>
      <c r="AG125" s="126"/>
      <c r="AH125" s="126"/>
      <c r="AI125" s="126"/>
      <c r="AJ125" s="130"/>
      <c r="AK125" s="130"/>
      <c r="AL125" s="130"/>
      <c r="AM125" s="127">
        <f>AG125*'1. Standard_Cost'!$B$27+'Incremental_Cost Year 10'!AH125*'1. Standard_Cost'!$C$27+'Incremental_Cost Year 10'!AI125*'1. Standard_Cost'!$D$27+'Incremental_Cost Year 10'!AJ125+'Incremental_Cost Year 10'!AL125+AK125</f>
        <v>0</v>
      </c>
      <c r="AN125" s="127">
        <f>AM125*'1. Standard_Cost'!$C$31</f>
        <v>0</v>
      </c>
      <c r="AO125" s="130"/>
      <c r="AP125" s="239"/>
      <c r="AQ125" s="171">
        <f t="shared" si="114"/>
        <v>2010774.3428571429</v>
      </c>
      <c r="AR125" s="171">
        <f t="shared" si="115"/>
        <v>1448000</v>
      </c>
      <c r="AS125" s="171">
        <f t="shared" si="116"/>
        <v>0</v>
      </c>
      <c r="AT125" s="171">
        <f t="shared" si="117"/>
        <v>3458774.3428571429</v>
      </c>
      <c r="AU125" s="250">
        <v>3458774</v>
      </c>
      <c r="AV125" s="250"/>
      <c r="AW125" s="250"/>
      <c r="AX125" s="250"/>
      <c r="AY125" s="250"/>
      <c r="AZ125" s="250"/>
      <c r="BA125" s="250"/>
      <c r="BB125" s="251">
        <f t="shared" si="118"/>
        <v>-0.34285714291036129</v>
      </c>
    </row>
    <row r="126" spans="1:54" s="78" customFormat="1" ht="47.25" outlineLevel="2" x14ac:dyDescent="0.25">
      <c r="A126" s="115"/>
      <c r="B126" s="200"/>
      <c r="C126" s="201"/>
      <c r="D126" s="131"/>
      <c r="E126" s="323"/>
      <c r="F126" s="308"/>
      <c r="G126" s="309"/>
      <c r="H126" s="199" t="s">
        <v>447</v>
      </c>
      <c r="I126" s="130" t="s">
        <v>1</v>
      </c>
      <c r="J126" s="126">
        <v>2</v>
      </c>
      <c r="K126" s="126">
        <v>8</v>
      </c>
      <c r="L126" s="125">
        <f>IF(I126&lt;&gt;0,((VLOOKUP(I126,'1. Standard_Cost'!$B$4:$D$11,2)+VLOOKUP(I126,'1. Standard_Cost'!$B$4:$D$11,3))*J126*K126),"0")</f>
        <v>1148685.7142857143</v>
      </c>
      <c r="M126" s="125">
        <f>L126*'1. Standard_Cost'!$F$4</f>
        <v>191830.51428571431</v>
      </c>
      <c r="N126" s="126"/>
      <c r="O126" s="126"/>
      <c r="P126" s="126"/>
      <c r="Q126" s="126"/>
      <c r="R126" s="127">
        <f>'1. Standard_Cost'!$B$15*N126*P126</f>
        <v>0</v>
      </c>
      <c r="S126" s="127">
        <f>N126*O126*P126*'1. Standard_Cost'!$C$15</f>
        <v>0</v>
      </c>
      <c r="T126" s="127">
        <f>N126*P126*Q126*'1. Standard_Cost'!$D$15</f>
        <v>0</v>
      </c>
      <c r="U126" s="127">
        <f>N126*O126*'1. Standard_Cost'!$E$15</f>
        <v>0</v>
      </c>
      <c r="V126" s="126"/>
      <c r="W126" s="126"/>
      <c r="X126" s="126"/>
      <c r="Y126" s="127">
        <f>+V126*((X126*'1. Standard_Cost'!$B$19)+(W126*X126*'1. Standard_Cost'!$C$19))</f>
        <v>0</v>
      </c>
      <c r="Z126" s="126"/>
      <c r="AA126" s="126"/>
      <c r="AB126" s="127">
        <f>+Z126*'1. Standard_Cost'!$B$23+AA126*'1. Standard_Cost'!$C$23</f>
        <v>0</v>
      </c>
      <c r="AC126" s="128">
        <v>965172</v>
      </c>
      <c r="AD126" s="129"/>
      <c r="AE126" s="127">
        <v>0</v>
      </c>
      <c r="AF126" s="127">
        <f t="shared" si="113"/>
        <v>965172</v>
      </c>
      <c r="AG126" s="126"/>
      <c r="AH126" s="126"/>
      <c r="AI126" s="126"/>
      <c r="AJ126" s="130"/>
      <c r="AK126" s="130"/>
      <c r="AL126" s="130"/>
      <c r="AM126" s="127">
        <f>AG126*'1. Standard_Cost'!$B$27+'Incremental_Cost Year 10'!AH126*'1. Standard_Cost'!$C$27+'Incremental_Cost Year 10'!AI126*'1. Standard_Cost'!$D$27+'Incremental_Cost Year 10'!AJ126+'Incremental_Cost Year 10'!AL126+AK126</f>
        <v>0</v>
      </c>
      <c r="AN126" s="127">
        <f>AM126*'1. Standard_Cost'!$C$31</f>
        <v>0</v>
      </c>
      <c r="AO126" s="130"/>
      <c r="AP126" s="239"/>
      <c r="AQ126" s="171">
        <f t="shared" si="114"/>
        <v>1340516.2285714287</v>
      </c>
      <c r="AR126" s="171">
        <f t="shared" si="115"/>
        <v>965172</v>
      </c>
      <c r="AS126" s="171">
        <f t="shared" si="116"/>
        <v>0</v>
      </c>
      <c r="AT126" s="171">
        <f t="shared" si="117"/>
        <v>2305688.2285714289</v>
      </c>
      <c r="AU126" s="250">
        <v>2305688</v>
      </c>
      <c r="AV126" s="250"/>
      <c r="AW126" s="250"/>
      <c r="AX126" s="250"/>
      <c r="AY126" s="250"/>
      <c r="AZ126" s="250"/>
      <c r="BA126" s="250"/>
      <c r="BB126" s="251">
        <f t="shared" si="118"/>
        <v>-0.22857142891734838</v>
      </c>
    </row>
    <row r="127" spans="1:54" s="78" customFormat="1" ht="47.25" outlineLevel="2" x14ac:dyDescent="0.25">
      <c r="A127" s="115"/>
      <c r="B127" s="200"/>
      <c r="C127" s="201"/>
      <c r="D127" s="131"/>
      <c r="E127" s="323"/>
      <c r="F127" s="308"/>
      <c r="G127" s="309"/>
      <c r="H127" s="199" t="s">
        <v>448</v>
      </c>
      <c r="I127" s="130" t="s">
        <v>1</v>
      </c>
      <c r="J127" s="126">
        <v>2</v>
      </c>
      <c r="K127" s="126">
        <v>5</v>
      </c>
      <c r="L127" s="125">
        <f>IF(I127&lt;&gt;0,((VLOOKUP(I127,'1. Standard_Cost'!$B$4:$D$11,2)+VLOOKUP(I127,'1. Standard_Cost'!$B$4:$D$11,3))*J127*K127),"0")</f>
        <v>717928.57142857148</v>
      </c>
      <c r="M127" s="125">
        <f>L127*'1. Standard_Cost'!$F$4</f>
        <v>119894.07142857145</v>
      </c>
      <c r="N127" s="126"/>
      <c r="O127" s="126"/>
      <c r="P127" s="126"/>
      <c r="Q127" s="126"/>
      <c r="R127" s="127">
        <f>'1. Standard_Cost'!$B$15*N127*P127</f>
        <v>0</v>
      </c>
      <c r="S127" s="127">
        <f>N127*O127*P127*'1. Standard_Cost'!$C$15</f>
        <v>0</v>
      </c>
      <c r="T127" s="127">
        <f>N127*P127*Q127*'1. Standard_Cost'!$D$15</f>
        <v>0</v>
      </c>
      <c r="U127" s="127">
        <f>N127*O127*'1. Standard_Cost'!$E$15</f>
        <v>0</v>
      </c>
      <c r="V127" s="126"/>
      <c r="W127" s="126"/>
      <c r="X127" s="126"/>
      <c r="Y127" s="127">
        <f>+V127*((X127*'1. Standard_Cost'!$B$19)+(W127*X127*'1. Standard_Cost'!$C$19))</f>
        <v>0</v>
      </c>
      <c r="Z127" s="126"/>
      <c r="AA127" s="126"/>
      <c r="AB127" s="127">
        <f>+Z127*'1. Standard_Cost'!$B$23+AA127*'1. Standard_Cost'!$C$23</f>
        <v>0</v>
      </c>
      <c r="AC127" s="128"/>
      <c r="AD127" s="129"/>
      <c r="AE127" s="127">
        <f>SUM(AD127,AC127,AB127,Y127,U127,T127,S127,R127)*'1. Standard_Cost'!$B$31</f>
        <v>0</v>
      </c>
      <c r="AF127" s="127">
        <f t="shared" si="113"/>
        <v>0</v>
      </c>
      <c r="AG127" s="126"/>
      <c r="AH127" s="126"/>
      <c r="AI127" s="126"/>
      <c r="AJ127" s="130"/>
      <c r="AK127" s="130"/>
      <c r="AL127" s="130"/>
      <c r="AM127" s="127">
        <f>AG127*'1. Standard_Cost'!$B$27+'Incremental_Cost Year 10'!AH127*'1. Standard_Cost'!$C$27+'Incremental_Cost Year 10'!AI127*'1. Standard_Cost'!$D$27+'Incremental_Cost Year 10'!AJ127+'Incremental_Cost Year 10'!AL127+AK127</f>
        <v>0</v>
      </c>
      <c r="AN127" s="127">
        <f>AM127*'1. Standard_Cost'!$C$31</f>
        <v>0</v>
      </c>
      <c r="AO127" s="130"/>
      <c r="AP127" s="239"/>
      <c r="AQ127" s="171">
        <f t="shared" si="114"/>
        <v>837822.64285714296</v>
      </c>
      <c r="AR127" s="171">
        <f t="shared" si="115"/>
        <v>0</v>
      </c>
      <c r="AS127" s="171">
        <f t="shared" si="116"/>
        <v>0</v>
      </c>
      <c r="AT127" s="171">
        <f t="shared" si="117"/>
        <v>837822.64285714296</v>
      </c>
      <c r="AU127" s="250">
        <v>837823</v>
      </c>
      <c r="AV127" s="250"/>
      <c r="AW127" s="250"/>
      <c r="AX127" s="250"/>
      <c r="AY127" s="250"/>
      <c r="AZ127" s="250"/>
      <c r="BA127" s="250"/>
      <c r="BB127" s="251">
        <f t="shared" si="118"/>
        <v>0.35714285704307258</v>
      </c>
    </row>
    <row r="128" spans="1:54" s="78" customFormat="1" ht="63" outlineLevel="2" x14ac:dyDescent="0.25">
      <c r="A128" s="115"/>
      <c r="B128" s="200"/>
      <c r="C128" s="201"/>
      <c r="D128" s="131"/>
      <c r="E128" s="323"/>
      <c r="F128" s="326"/>
      <c r="G128" s="309"/>
      <c r="H128" s="199" t="s">
        <v>449</v>
      </c>
      <c r="I128" s="130"/>
      <c r="J128" s="126"/>
      <c r="K128" s="126"/>
      <c r="L128" s="125" t="str">
        <f>IF(I128&lt;&gt;0,((VLOOKUP(I128,'1. Standard_Cost'!$B$4:$D$11,2)+VLOOKUP(I128,'1. Standard_Cost'!$B$4:$D$11,3))*J128*K128),"0")</f>
        <v>0</v>
      </c>
      <c r="M128" s="125">
        <f>L128*'1. Standard_Cost'!$F$4</f>
        <v>0</v>
      </c>
      <c r="N128" s="126"/>
      <c r="O128" s="126"/>
      <c r="P128" s="126"/>
      <c r="Q128" s="126"/>
      <c r="R128" s="127">
        <f>'1. Standard_Cost'!$B$15*N128*P128</f>
        <v>0</v>
      </c>
      <c r="S128" s="127">
        <f>N128*O128*P128*'1. Standard_Cost'!$C$15</f>
        <v>0</v>
      </c>
      <c r="T128" s="127">
        <f>N128*P128*Q128*'1. Standard_Cost'!$D$15</f>
        <v>0</v>
      </c>
      <c r="U128" s="127">
        <f>N128*O128*'1. Standard_Cost'!$E$15</f>
        <v>0</v>
      </c>
      <c r="V128" s="126"/>
      <c r="W128" s="126"/>
      <c r="X128" s="126"/>
      <c r="Y128" s="127">
        <f>+V128*((X128*'1. Standard_Cost'!$B$19)+(W128*X128*'1. Standard_Cost'!$C$19))</f>
        <v>0</v>
      </c>
      <c r="Z128" s="126"/>
      <c r="AA128" s="126"/>
      <c r="AB128" s="127">
        <f>+Z128*'1. Standard_Cost'!$B$23+AA128*'1. Standard_Cost'!$C$23</f>
        <v>0</v>
      </c>
      <c r="AC128" s="128"/>
      <c r="AD128" s="129"/>
      <c r="AE128" s="127">
        <f>SUM(AD128,AC128,AB128,Y128,U128,T128,S128,R128)*'1. Standard_Cost'!$B$31</f>
        <v>0</v>
      </c>
      <c r="AF128" s="127">
        <f t="shared" si="113"/>
        <v>0</v>
      </c>
      <c r="AG128" s="126"/>
      <c r="AH128" s="126"/>
      <c r="AI128" s="126"/>
      <c r="AJ128" s="130"/>
      <c r="AK128" s="130"/>
      <c r="AL128" s="130"/>
      <c r="AM128" s="127">
        <f>AG128*'1. Standard_Cost'!$B$27+'Incremental_Cost Year 10'!AH128*'1. Standard_Cost'!$C$27+'Incremental_Cost Year 10'!AI128*'1. Standard_Cost'!$D$27+'Incremental_Cost Year 10'!AJ128+'Incremental_Cost Year 10'!AL128+AK128</f>
        <v>0</v>
      </c>
      <c r="AN128" s="127">
        <f>AM128*'1. Standard_Cost'!$C$31</f>
        <v>0</v>
      </c>
      <c r="AO128" s="130"/>
      <c r="AP128" s="239"/>
      <c r="AQ128" s="171">
        <f t="shared" si="114"/>
        <v>0</v>
      </c>
      <c r="AR128" s="171">
        <f t="shared" si="115"/>
        <v>0</v>
      </c>
      <c r="AS128" s="171">
        <f t="shared" si="116"/>
        <v>0</v>
      </c>
      <c r="AT128" s="171">
        <f t="shared" si="117"/>
        <v>0</v>
      </c>
      <c r="AU128" s="250"/>
      <c r="AV128" s="250"/>
      <c r="AW128" s="250"/>
      <c r="AX128" s="250"/>
      <c r="AY128" s="250"/>
      <c r="AZ128" s="250"/>
      <c r="BA128" s="250"/>
      <c r="BB128" s="251">
        <f t="shared" si="118"/>
        <v>0</v>
      </c>
    </row>
    <row r="129" spans="1:54" s="78" customFormat="1" ht="31.5" outlineLevel="2" x14ac:dyDescent="0.25">
      <c r="A129" s="115"/>
      <c r="B129" s="200"/>
      <c r="C129" s="201"/>
      <c r="D129" s="131"/>
      <c r="E129" s="323"/>
      <c r="F129" s="326"/>
      <c r="G129" s="309"/>
      <c r="H129" s="199" t="s">
        <v>284</v>
      </c>
      <c r="I129" s="130"/>
      <c r="J129" s="126"/>
      <c r="K129" s="126"/>
      <c r="L129" s="125" t="str">
        <f>IF(I129&lt;&gt;0,((VLOOKUP(I129,'1. Standard_Cost'!$B$4:$D$11,2)+VLOOKUP(I129,'1. Standard_Cost'!$B$4:$D$11,3))*J129*K129),"0")</f>
        <v>0</v>
      </c>
      <c r="M129" s="125">
        <f>L129*'1. Standard_Cost'!$F$4</f>
        <v>0</v>
      </c>
      <c r="N129" s="126"/>
      <c r="O129" s="126"/>
      <c r="P129" s="126"/>
      <c r="Q129" s="126"/>
      <c r="R129" s="127">
        <f>'1. Standard_Cost'!$B$15*N129*P129</f>
        <v>0</v>
      </c>
      <c r="S129" s="127">
        <f>N129*O129*P129*'1. Standard_Cost'!$C$15</f>
        <v>0</v>
      </c>
      <c r="T129" s="127">
        <f>N129*P129*Q129*'1. Standard_Cost'!$D$15</f>
        <v>0</v>
      </c>
      <c r="U129" s="127">
        <f>N129*O129*'1. Standard_Cost'!$E$15</f>
        <v>0</v>
      </c>
      <c r="V129" s="126"/>
      <c r="W129" s="126"/>
      <c r="X129" s="126"/>
      <c r="Y129" s="127">
        <f>+V129*((X129*'1. Standard_Cost'!$B$19)+(W129*X129*'1. Standard_Cost'!$C$19))</f>
        <v>0</v>
      </c>
      <c r="Z129" s="126"/>
      <c r="AA129" s="126"/>
      <c r="AB129" s="127">
        <f>+Z129*'1. Standard_Cost'!$B$23+AA129*'1. Standard_Cost'!$C$23</f>
        <v>0</v>
      </c>
      <c r="AC129" s="128"/>
      <c r="AD129" s="129"/>
      <c r="AE129" s="127">
        <f>SUM(AD129,AC129,AB129,Y129,U129,T129,S129,R129)*'1. Standard_Cost'!$B$31</f>
        <v>0</v>
      </c>
      <c r="AF129" s="127">
        <f t="shared" si="113"/>
        <v>0</v>
      </c>
      <c r="AG129" s="126"/>
      <c r="AH129" s="126"/>
      <c r="AI129" s="126"/>
      <c r="AJ129" s="130"/>
      <c r="AK129" s="130"/>
      <c r="AL129" s="130"/>
      <c r="AM129" s="127">
        <f>AG129*'1. Standard_Cost'!$B$27+'Incremental_Cost Year 10'!AH129*'1. Standard_Cost'!$C$27+'Incremental_Cost Year 10'!AI129*'1. Standard_Cost'!$D$27+'Incremental_Cost Year 10'!AJ129+'Incremental_Cost Year 10'!AL129+AK129</f>
        <v>0</v>
      </c>
      <c r="AN129" s="127">
        <f>AM129*'1. Standard_Cost'!$C$31</f>
        <v>0</v>
      </c>
      <c r="AO129" s="130"/>
      <c r="AP129" s="239"/>
      <c r="AQ129" s="171">
        <f t="shared" si="114"/>
        <v>0</v>
      </c>
      <c r="AR129" s="171">
        <f t="shared" si="115"/>
        <v>0</v>
      </c>
      <c r="AS129" s="171">
        <f t="shared" si="116"/>
        <v>0</v>
      </c>
      <c r="AT129" s="171">
        <f t="shared" si="117"/>
        <v>0</v>
      </c>
      <c r="AU129" s="250"/>
      <c r="AV129" s="250"/>
      <c r="AW129" s="250"/>
      <c r="AX129" s="250"/>
      <c r="AY129" s="250"/>
      <c r="AZ129" s="250"/>
      <c r="BA129" s="250"/>
      <c r="BB129" s="251">
        <f t="shared" si="118"/>
        <v>0</v>
      </c>
    </row>
    <row r="130" spans="1:54" s="78" customFormat="1" ht="63" outlineLevel="2" x14ac:dyDescent="0.25">
      <c r="A130" s="115"/>
      <c r="B130" s="200"/>
      <c r="C130" s="201"/>
      <c r="D130" s="131"/>
      <c r="E130" s="323"/>
      <c r="F130" s="326"/>
      <c r="G130" s="309"/>
      <c r="H130" s="199" t="s">
        <v>450</v>
      </c>
      <c r="I130" s="130"/>
      <c r="J130" s="126"/>
      <c r="K130" s="126"/>
      <c r="L130" s="125" t="str">
        <f>IF(I130&lt;&gt;0,((VLOOKUP(I130,'1. Standard_Cost'!$B$4:$D$11,2)+VLOOKUP(I130,'1. Standard_Cost'!$B$4:$D$11,3))*J130*K130),"0")</f>
        <v>0</v>
      </c>
      <c r="M130" s="125">
        <f>L130*'1. Standard_Cost'!$F$4</f>
        <v>0</v>
      </c>
      <c r="N130" s="126"/>
      <c r="O130" s="126"/>
      <c r="P130" s="126"/>
      <c r="Q130" s="126"/>
      <c r="R130" s="127">
        <f>'1. Standard_Cost'!$B$15*N130*P130</f>
        <v>0</v>
      </c>
      <c r="S130" s="127">
        <f>N130*O130*P130*'1. Standard_Cost'!$C$15</f>
        <v>0</v>
      </c>
      <c r="T130" s="127">
        <f>N130*P130*Q130*'1. Standard_Cost'!$D$15</f>
        <v>0</v>
      </c>
      <c r="U130" s="127">
        <f>N130*O130*'1. Standard_Cost'!$E$15</f>
        <v>0</v>
      </c>
      <c r="V130" s="126"/>
      <c r="W130" s="126"/>
      <c r="X130" s="126"/>
      <c r="Y130" s="127">
        <f>+V130*((X130*'1. Standard_Cost'!$B$19)+(W130*X130*'1. Standard_Cost'!$C$19))</f>
        <v>0</v>
      </c>
      <c r="Z130" s="126"/>
      <c r="AA130" s="126"/>
      <c r="AB130" s="127">
        <f>+Z130*'1. Standard_Cost'!$B$23+AA130*'1. Standard_Cost'!$C$23</f>
        <v>0</v>
      </c>
      <c r="AC130" s="128"/>
      <c r="AD130" s="129"/>
      <c r="AE130" s="127">
        <f>SUM(AD130,AC130,AB130,Y130,U130,T130,S130,R130)*'1. Standard_Cost'!$B$31</f>
        <v>0</v>
      </c>
      <c r="AF130" s="127">
        <f t="shared" si="113"/>
        <v>0</v>
      </c>
      <c r="AG130" s="126"/>
      <c r="AH130" s="126"/>
      <c r="AI130" s="126"/>
      <c r="AJ130" s="130"/>
      <c r="AK130" s="130"/>
      <c r="AL130" s="130"/>
      <c r="AM130" s="127">
        <f>AG130*'1. Standard_Cost'!$B$27+'Incremental_Cost Year 10'!AH130*'1. Standard_Cost'!$C$27+'Incremental_Cost Year 10'!AI130*'1. Standard_Cost'!$D$27+'Incremental_Cost Year 10'!AJ130+'Incremental_Cost Year 10'!AL130+AK130</f>
        <v>0</v>
      </c>
      <c r="AN130" s="127">
        <f>AM130*'1. Standard_Cost'!$C$31</f>
        <v>0</v>
      </c>
      <c r="AO130" s="130"/>
      <c r="AP130" s="239"/>
      <c r="AQ130" s="171">
        <f t="shared" si="114"/>
        <v>0</v>
      </c>
      <c r="AR130" s="171">
        <f t="shared" si="115"/>
        <v>0</v>
      </c>
      <c r="AS130" s="171">
        <f t="shared" si="116"/>
        <v>0</v>
      </c>
      <c r="AT130" s="171">
        <f t="shared" si="117"/>
        <v>0</v>
      </c>
      <c r="AU130" s="250"/>
      <c r="AV130" s="250"/>
      <c r="AW130" s="250"/>
      <c r="AX130" s="250"/>
      <c r="AY130" s="250"/>
      <c r="AZ130" s="250"/>
      <c r="BA130" s="250"/>
      <c r="BB130" s="251">
        <f t="shared" si="118"/>
        <v>0</v>
      </c>
    </row>
    <row r="131" spans="1:54" s="78" customFormat="1" ht="31.5" outlineLevel="2" x14ac:dyDescent="0.25">
      <c r="A131" s="115"/>
      <c r="B131" s="200"/>
      <c r="C131" s="201"/>
      <c r="D131" s="131"/>
      <c r="E131" s="323"/>
      <c r="F131" s="326"/>
      <c r="G131" s="309"/>
      <c r="H131" s="225" t="s">
        <v>285</v>
      </c>
      <c r="I131" s="130"/>
      <c r="J131" s="126"/>
      <c r="K131" s="126"/>
      <c r="L131" s="125" t="str">
        <f>IF(I131&lt;&gt;0,((VLOOKUP(I131,'1. Standard_Cost'!$B$4:$D$11,2)+VLOOKUP(I131,'1. Standard_Cost'!$B$4:$D$11,3))*J131*K131),"0")</f>
        <v>0</v>
      </c>
      <c r="M131" s="125">
        <f>L131*'1. Standard_Cost'!$F$4</f>
        <v>0</v>
      </c>
      <c r="N131" s="126"/>
      <c r="O131" s="126"/>
      <c r="P131" s="126"/>
      <c r="Q131" s="126"/>
      <c r="R131" s="127">
        <f>'1. Standard_Cost'!$B$15*N131*P131</f>
        <v>0</v>
      </c>
      <c r="S131" s="127">
        <f>N131*O131*P131*'1. Standard_Cost'!$C$15</f>
        <v>0</v>
      </c>
      <c r="T131" s="127">
        <f>N131*P131*Q131*'1. Standard_Cost'!$D$15</f>
        <v>0</v>
      </c>
      <c r="U131" s="127">
        <f>N131*O131*'1. Standard_Cost'!$E$15</f>
        <v>0</v>
      </c>
      <c r="V131" s="126"/>
      <c r="W131" s="126"/>
      <c r="X131" s="126"/>
      <c r="Y131" s="127">
        <f>+V131*((X131*'1. Standard_Cost'!$B$19)+(W131*X131*'1. Standard_Cost'!$C$19))</f>
        <v>0</v>
      </c>
      <c r="Z131" s="126"/>
      <c r="AA131" s="126"/>
      <c r="AB131" s="127">
        <f>+Z131*'1. Standard_Cost'!$B$23+AA131*'1. Standard_Cost'!$C$23</f>
        <v>0</v>
      </c>
      <c r="AC131" s="128"/>
      <c r="AD131" s="129"/>
      <c r="AE131" s="127">
        <f>SUM(AD131,AC131,AB131,Y131,U131,T131,S131,R131)*'1. Standard_Cost'!$B$31</f>
        <v>0</v>
      </c>
      <c r="AF131" s="127">
        <f t="shared" si="113"/>
        <v>0</v>
      </c>
      <c r="AG131" s="126"/>
      <c r="AH131" s="126"/>
      <c r="AI131" s="126"/>
      <c r="AJ131" s="130"/>
      <c r="AK131" s="130"/>
      <c r="AL131" s="130"/>
      <c r="AM131" s="127">
        <f>AG131*'1. Standard_Cost'!$B$27+'Incremental_Cost Year 10'!AH131*'1. Standard_Cost'!$C$27+'Incremental_Cost Year 10'!AI131*'1. Standard_Cost'!$D$27+'Incremental_Cost Year 10'!AJ131+'Incremental_Cost Year 10'!AL131+AK131</f>
        <v>0</v>
      </c>
      <c r="AN131" s="127">
        <f>AM131*'1. Standard_Cost'!$C$31</f>
        <v>0</v>
      </c>
      <c r="AO131" s="130"/>
      <c r="AP131" s="239"/>
      <c r="AQ131" s="171">
        <f t="shared" si="114"/>
        <v>0</v>
      </c>
      <c r="AR131" s="171">
        <f t="shared" si="115"/>
        <v>0</v>
      </c>
      <c r="AS131" s="171">
        <f t="shared" si="116"/>
        <v>0</v>
      </c>
      <c r="AT131" s="171">
        <f t="shared" si="117"/>
        <v>0</v>
      </c>
      <c r="AU131" s="250"/>
      <c r="AV131" s="250"/>
      <c r="AW131" s="250"/>
      <c r="AX131" s="250"/>
      <c r="AY131" s="250"/>
      <c r="AZ131" s="250"/>
      <c r="BA131" s="250"/>
      <c r="BB131" s="251">
        <f t="shared" si="118"/>
        <v>0</v>
      </c>
    </row>
    <row r="132" spans="1:54" s="78" customFormat="1" ht="126" outlineLevel="2" x14ac:dyDescent="0.25">
      <c r="A132" s="115"/>
      <c r="B132" s="147"/>
      <c r="C132" s="314"/>
      <c r="D132" s="305"/>
      <c r="E132" s="322"/>
      <c r="F132" s="324"/>
      <c r="G132" s="312"/>
      <c r="H132" s="225" t="s">
        <v>451</v>
      </c>
      <c r="I132" s="130"/>
      <c r="J132" s="126"/>
      <c r="K132" s="126"/>
      <c r="L132" s="125" t="str">
        <f>IF(I132&lt;&gt;0,((VLOOKUP(I132,'1. Standard_Cost'!$B$4:$D$11,2)+VLOOKUP(I132,'1. Standard_Cost'!$B$4:$D$11,3))*J132*K132),"0")</f>
        <v>0</v>
      </c>
      <c r="M132" s="125">
        <f>L132*'1. Standard_Cost'!$F$4</f>
        <v>0</v>
      </c>
      <c r="N132" s="126"/>
      <c r="O132" s="126"/>
      <c r="P132" s="126"/>
      <c r="Q132" s="126"/>
      <c r="R132" s="127">
        <f>'1. Standard_Cost'!$B$15*N132*P132</f>
        <v>0</v>
      </c>
      <c r="S132" s="127">
        <f>N132*O132*P132*'1. Standard_Cost'!$C$15</f>
        <v>0</v>
      </c>
      <c r="T132" s="127">
        <f>N132*P132*Q132*'1. Standard_Cost'!$D$15</f>
        <v>0</v>
      </c>
      <c r="U132" s="127">
        <f>N132*O132*'1. Standard_Cost'!$E$15</f>
        <v>0</v>
      </c>
      <c r="V132" s="126"/>
      <c r="W132" s="126"/>
      <c r="X132" s="126"/>
      <c r="Y132" s="127">
        <f>+V132*((X132*'1. Standard_Cost'!$B$19)+(W132*X132*'1. Standard_Cost'!$C$19))</f>
        <v>0</v>
      </c>
      <c r="Z132" s="126"/>
      <c r="AA132" s="126"/>
      <c r="AB132" s="127">
        <f>+Z132*'1. Standard_Cost'!$B$23+AA132*'1. Standard_Cost'!$C$23</f>
        <v>0</v>
      </c>
      <c r="AC132" s="128"/>
      <c r="AD132" s="129"/>
      <c r="AE132" s="127">
        <f>SUM(AD132,AC132,AB132,Y132,U132,T132,S132,R132)*'1. Standard_Cost'!$B$31</f>
        <v>0</v>
      </c>
      <c r="AF132" s="127">
        <f t="shared" si="113"/>
        <v>0</v>
      </c>
      <c r="AG132" s="126"/>
      <c r="AH132" s="126"/>
      <c r="AI132" s="126"/>
      <c r="AJ132" s="130"/>
      <c r="AK132" s="130"/>
      <c r="AL132" s="130"/>
      <c r="AM132" s="127">
        <f>AG132*'1. Standard_Cost'!$B$27+'Incremental_Cost Year 10'!AH132*'1. Standard_Cost'!$C$27+'Incremental_Cost Year 10'!AI132*'1. Standard_Cost'!$D$27+'Incremental_Cost Year 10'!AJ132+'Incremental_Cost Year 10'!AL132+AK132</f>
        <v>0</v>
      </c>
      <c r="AN132" s="127">
        <f>AM132*'1. Standard_Cost'!$C$31</f>
        <v>0</v>
      </c>
      <c r="AO132" s="130"/>
      <c r="AP132" s="239"/>
      <c r="AQ132" s="171">
        <f t="shared" si="114"/>
        <v>0</v>
      </c>
      <c r="AR132" s="171">
        <f t="shared" si="115"/>
        <v>0</v>
      </c>
      <c r="AS132" s="171">
        <f t="shared" si="116"/>
        <v>0</v>
      </c>
      <c r="AT132" s="171">
        <f t="shared" si="117"/>
        <v>0</v>
      </c>
      <c r="AU132" s="250"/>
      <c r="AV132" s="250"/>
      <c r="AW132" s="250"/>
      <c r="AX132" s="250"/>
      <c r="AY132" s="250"/>
      <c r="AZ132" s="250"/>
      <c r="BA132" s="250"/>
      <c r="BB132" s="251">
        <f t="shared" si="118"/>
        <v>0</v>
      </c>
    </row>
    <row r="133" spans="1:54" s="78" customFormat="1" ht="156" customHeight="1" outlineLevel="1" x14ac:dyDescent="0.25">
      <c r="A133" s="115"/>
      <c r="B133" s="200"/>
      <c r="C133" s="201"/>
      <c r="D133" s="146" t="s">
        <v>561</v>
      </c>
      <c r="E133" s="310" t="s">
        <v>452</v>
      </c>
      <c r="F133" s="121">
        <v>2021</v>
      </c>
      <c r="G133" s="223">
        <v>2030</v>
      </c>
      <c r="H133" s="110" t="s">
        <v>286</v>
      </c>
      <c r="I133" s="252"/>
      <c r="J133" s="252"/>
      <c r="K133" s="252"/>
      <c r="L133" s="127">
        <f>SUM(L124:L132)</f>
        <v>3589642.8571428568</v>
      </c>
      <c r="M133" s="127">
        <f>SUM(M124:M132)</f>
        <v>599470.35714285716</v>
      </c>
      <c r="N133" s="127"/>
      <c r="O133" s="252"/>
      <c r="P133" s="252"/>
      <c r="Q133" s="252"/>
      <c r="R133" s="127">
        <f>SUM(R124:R132)</f>
        <v>0</v>
      </c>
      <c r="S133" s="127">
        <f>SUM(S124:S132)</f>
        <v>0</v>
      </c>
      <c r="T133" s="127">
        <f>SUM(T124:T132)</f>
        <v>0</v>
      </c>
      <c r="U133" s="127">
        <f>SUM(U124:U132)</f>
        <v>0</v>
      </c>
      <c r="V133" s="252"/>
      <c r="W133" s="252"/>
      <c r="X133" s="252"/>
      <c r="Y133" s="127">
        <f>SUM(Y124:Y132)</f>
        <v>0</v>
      </c>
      <c r="Z133" s="252"/>
      <c r="AA133" s="252"/>
      <c r="AB133" s="127">
        <f>SUM(AB124:AB132)</f>
        <v>0</v>
      </c>
      <c r="AC133" s="127">
        <f>SUM(AC124:AC132)</f>
        <v>2413172</v>
      </c>
      <c r="AD133" s="127">
        <f>SUM(AD124:AD132)</f>
        <v>0</v>
      </c>
      <c r="AE133" s="127">
        <f>SUM(AE124:AE132)</f>
        <v>0</v>
      </c>
      <c r="AF133" s="127">
        <f>SUM(AF124:AF132)</f>
        <v>2413172</v>
      </c>
      <c r="AG133" s="252"/>
      <c r="AH133" s="252"/>
      <c r="AI133" s="252"/>
      <c r="AJ133" s="127">
        <f>SUM(AJ124:AJ132)</f>
        <v>0</v>
      </c>
      <c r="AK133" s="127">
        <f>SUM(AK124:AK132)</f>
        <v>0</v>
      </c>
      <c r="AL133" s="127">
        <f>SUM(AL124:AL132)</f>
        <v>0</v>
      </c>
      <c r="AM133" s="127">
        <f>SUM(AM124:AM132)</f>
        <v>0</v>
      </c>
      <c r="AN133" s="127">
        <f>SUM(AN124:AN132)</f>
        <v>0</v>
      </c>
      <c r="AO133" s="253"/>
      <c r="AP133" s="254"/>
      <c r="AQ133" s="175">
        <f t="shared" ref="AQ133:BB133" si="119">SUM(AQ124:AQ132)</f>
        <v>4189113.2142857146</v>
      </c>
      <c r="AR133" s="175">
        <f t="shared" si="119"/>
        <v>2413172</v>
      </c>
      <c r="AS133" s="175">
        <f t="shared" si="119"/>
        <v>0</v>
      </c>
      <c r="AT133" s="175">
        <f t="shared" si="119"/>
        <v>6602285.2142857146</v>
      </c>
      <c r="AU133" s="175">
        <f t="shared" si="119"/>
        <v>6602285</v>
      </c>
      <c r="AV133" s="175">
        <f t="shared" si="119"/>
        <v>0</v>
      </c>
      <c r="AW133" s="175">
        <f t="shared" si="119"/>
        <v>0</v>
      </c>
      <c r="AX133" s="175">
        <f t="shared" si="119"/>
        <v>0</v>
      </c>
      <c r="AY133" s="175">
        <f t="shared" si="119"/>
        <v>0</v>
      </c>
      <c r="AZ133" s="175">
        <f t="shared" si="119"/>
        <v>0</v>
      </c>
      <c r="BA133" s="175">
        <f t="shared" si="119"/>
        <v>0</v>
      </c>
      <c r="BB133" s="175">
        <f t="shared" si="119"/>
        <v>-0.21428571478463709</v>
      </c>
    </row>
    <row r="134" spans="1:54" s="87" customFormat="1" ht="58.9" customHeight="1" x14ac:dyDescent="0.25">
      <c r="A134" s="143"/>
      <c r="B134" s="285"/>
      <c r="C134" s="391" t="s">
        <v>289</v>
      </c>
      <c r="D134" s="391"/>
      <c r="E134" s="392"/>
      <c r="F134" s="284"/>
      <c r="G134" s="282"/>
      <c r="H134" s="144" t="s">
        <v>290</v>
      </c>
      <c r="I134" s="257"/>
      <c r="J134" s="257"/>
      <c r="K134" s="257"/>
      <c r="L134" s="258">
        <f>SUM(L139)</f>
        <v>0</v>
      </c>
      <c r="M134" s="258">
        <f>SUM(M139)</f>
        <v>0</v>
      </c>
      <c r="N134" s="257"/>
      <c r="O134" s="257"/>
      <c r="P134" s="257"/>
      <c r="Q134" s="257"/>
      <c r="R134" s="258">
        <f>SUM(R139)</f>
        <v>0</v>
      </c>
      <c r="S134" s="258">
        <f>SUM(S139)</f>
        <v>0</v>
      </c>
      <c r="T134" s="258">
        <f>SUM(T139)</f>
        <v>0</v>
      </c>
      <c r="U134" s="258">
        <f>SUM(U139)</f>
        <v>0</v>
      </c>
      <c r="V134" s="257"/>
      <c r="W134" s="257"/>
      <c r="X134" s="257"/>
      <c r="Y134" s="258">
        <f>SUM(Y139)</f>
        <v>0</v>
      </c>
      <c r="Z134" s="258"/>
      <c r="AA134" s="258"/>
      <c r="AB134" s="258">
        <f>SUM(AB139)</f>
        <v>0</v>
      </c>
      <c r="AC134" s="258">
        <f>SUM(AC139)</f>
        <v>1243844750</v>
      </c>
      <c r="AD134" s="258">
        <f>SUM(AD139)</f>
        <v>0</v>
      </c>
      <c r="AE134" s="258">
        <f>SUM(AE139)</f>
        <v>0</v>
      </c>
      <c r="AF134" s="258">
        <f>SUM(AF139)</f>
        <v>1243844750</v>
      </c>
      <c r="AG134" s="257"/>
      <c r="AH134" s="257"/>
      <c r="AI134" s="257"/>
      <c r="AJ134" s="258">
        <f>SUM(AJ139)</f>
        <v>0</v>
      </c>
      <c r="AK134" s="258">
        <f>SUM(AK139)</f>
        <v>0</v>
      </c>
      <c r="AL134" s="258">
        <f>SUM(AL139)</f>
        <v>0</v>
      </c>
      <c r="AM134" s="258">
        <f>SUM(AM139)</f>
        <v>0</v>
      </c>
      <c r="AN134" s="258">
        <f>SUM(AN139)</f>
        <v>0</v>
      </c>
      <c r="AO134" s="259"/>
      <c r="AP134" s="260"/>
      <c r="AQ134" s="261">
        <f>SUM(AQ139)</f>
        <v>0</v>
      </c>
      <c r="AR134" s="261">
        <f>SUM(AR139)</f>
        <v>1243844750</v>
      </c>
      <c r="AS134" s="261">
        <f>SUM(AS139)</f>
        <v>0</v>
      </c>
      <c r="AT134" s="261">
        <f>SUM(AT139)</f>
        <v>1243844750</v>
      </c>
      <c r="AU134" s="261">
        <f t="shared" ref="AU134:BA134" si="120">SUM(AU139)</f>
        <v>1243844750</v>
      </c>
      <c r="AV134" s="261">
        <f t="shared" si="120"/>
        <v>0</v>
      </c>
      <c r="AW134" s="261">
        <f t="shared" si="120"/>
        <v>0</v>
      </c>
      <c r="AX134" s="261">
        <f t="shared" si="120"/>
        <v>0</v>
      </c>
      <c r="AY134" s="261">
        <f t="shared" si="120"/>
        <v>0</v>
      </c>
      <c r="AZ134" s="261">
        <f t="shared" si="120"/>
        <v>0</v>
      </c>
      <c r="BA134" s="261">
        <f t="shared" si="120"/>
        <v>0</v>
      </c>
      <c r="BB134" s="261">
        <f t="shared" ref="BB134" si="121">SUM(BB139)</f>
        <v>0</v>
      </c>
    </row>
    <row r="135" spans="1:54" s="78" customFormat="1" ht="126" outlineLevel="2" x14ac:dyDescent="0.25">
      <c r="A135" s="115"/>
      <c r="B135" s="200"/>
      <c r="C135" s="201"/>
      <c r="D135" s="346"/>
      <c r="E135" s="321"/>
      <c r="F135" s="337"/>
      <c r="G135" s="338"/>
      <c r="H135" s="199" t="s">
        <v>453</v>
      </c>
      <c r="I135" s="130"/>
      <c r="J135" s="126"/>
      <c r="K135" s="126"/>
      <c r="L135" s="125" t="str">
        <f>IF(I135&lt;&gt;0,((VLOOKUP(I135,'1. Standard_Cost'!$B$4:$D$11,2)+VLOOKUP(I135,'1. Standard_Cost'!$B$4:$D$11,3))*J135*K135),"0")</f>
        <v>0</v>
      </c>
      <c r="M135" s="125">
        <f>L135*'1. Standard_Cost'!$F$4</f>
        <v>0</v>
      </c>
      <c r="N135" s="126"/>
      <c r="O135" s="126"/>
      <c r="P135" s="126"/>
      <c r="Q135" s="126"/>
      <c r="R135" s="127">
        <f>'1. Standard_Cost'!$B$15*N135*P135</f>
        <v>0</v>
      </c>
      <c r="S135" s="127">
        <f>N135*O135*P135*'1. Standard_Cost'!$C$15</f>
        <v>0</v>
      </c>
      <c r="T135" s="127">
        <f>N135*P135*Q135*'1. Standard_Cost'!$D$15</f>
        <v>0</v>
      </c>
      <c r="U135" s="127">
        <f>N135*O135*'1. Standard_Cost'!$E$15</f>
        <v>0</v>
      </c>
      <c r="V135" s="126"/>
      <c r="W135" s="126"/>
      <c r="X135" s="126"/>
      <c r="Y135" s="127">
        <f>+V135*((X135*'1. Standard_Cost'!$B$19)+(W135*X135*'1. Standard_Cost'!$C$19))</f>
        <v>0</v>
      </c>
      <c r="Z135" s="126"/>
      <c r="AA135" s="126"/>
      <c r="AB135" s="127">
        <f>+Z135*'1. Standard_Cost'!$B$23+AA135*'1. Standard_Cost'!$C$23</f>
        <v>0</v>
      </c>
      <c r="AC135" s="128">
        <f>4975379000/4</f>
        <v>1243844750</v>
      </c>
      <c r="AD135" s="129"/>
      <c r="AE135" s="127"/>
      <c r="AF135" s="127">
        <f>SUM(AE135,AD135,AC135,AB135,Y135,U135,T135,S135,R135)</f>
        <v>1243844750</v>
      </c>
      <c r="AG135" s="126"/>
      <c r="AH135" s="126"/>
      <c r="AI135" s="126"/>
      <c r="AJ135" s="130"/>
      <c r="AK135" s="130"/>
      <c r="AL135" s="130"/>
      <c r="AM135" s="127">
        <f>AG135*'1. Standard_Cost'!$B$27+'Incremental_Cost Year 10'!AH135*'1. Standard_Cost'!$C$27+'Incremental_Cost Year 10'!AI135*'1. Standard_Cost'!$D$27+'Incremental_Cost Year 10'!AJ135+'Incremental_Cost Year 10'!AL135+AK135</f>
        <v>0</v>
      </c>
      <c r="AN135" s="127">
        <f>AM135*'1. Standard_Cost'!$C$31</f>
        <v>0</v>
      </c>
      <c r="AO135" s="130"/>
      <c r="AP135" s="239"/>
      <c r="AQ135" s="171">
        <f>L135+M135</f>
        <v>0</v>
      </c>
      <c r="AR135" s="171">
        <f>AF135</f>
        <v>1243844750</v>
      </c>
      <c r="AS135" s="171">
        <f>AM135+AN135</f>
        <v>0</v>
      </c>
      <c r="AT135" s="171">
        <f>SUM(AQ135,AR135,AS135)</f>
        <v>1243844750</v>
      </c>
      <c r="AU135" s="250">
        <v>1243844750</v>
      </c>
      <c r="AV135" s="250"/>
      <c r="AW135" s="250"/>
      <c r="AX135" s="250"/>
      <c r="AY135" s="250"/>
      <c r="AZ135" s="250"/>
      <c r="BA135" s="250"/>
      <c r="BB135" s="251">
        <f t="shared" ref="BB135:BB138" si="122">SUM(AU135:BA135)-AT135</f>
        <v>0</v>
      </c>
    </row>
    <row r="136" spans="1:54" s="78" customFormat="1" ht="78.75" outlineLevel="2" x14ac:dyDescent="0.25">
      <c r="A136" s="115"/>
      <c r="B136" s="200"/>
      <c r="C136" s="201"/>
      <c r="D136" s="203"/>
      <c r="E136" s="323"/>
      <c r="F136" s="335"/>
      <c r="G136" s="336"/>
      <c r="H136" s="199" t="s">
        <v>454</v>
      </c>
      <c r="I136" s="130"/>
      <c r="J136" s="126"/>
      <c r="K136" s="126"/>
      <c r="L136" s="125" t="str">
        <f>IF(I136&lt;&gt;0,((VLOOKUP(I136,'1. Standard_Cost'!$B$4:$D$11,2)+VLOOKUP(I136,'1. Standard_Cost'!$B$4:$D$11,3))*J136*K136),"0")</f>
        <v>0</v>
      </c>
      <c r="M136" s="125">
        <f>L136*'1. Standard_Cost'!$F$4</f>
        <v>0</v>
      </c>
      <c r="N136" s="126"/>
      <c r="O136" s="126"/>
      <c r="P136" s="126"/>
      <c r="Q136" s="126"/>
      <c r="R136" s="127">
        <f>'1. Standard_Cost'!$B$15*N136*P136</f>
        <v>0</v>
      </c>
      <c r="S136" s="127">
        <f>N136*O136*P136*'1. Standard_Cost'!$C$15</f>
        <v>0</v>
      </c>
      <c r="T136" s="127">
        <f>N136*P136*Q136*'1. Standard_Cost'!$D$15</f>
        <v>0</v>
      </c>
      <c r="U136" s="127">
        <f>N136*O136*'1. Standard_Cost'!$E$15</f>
        <v>0</v>
      </c>
      <c r="V136" s="126"/>
      <c r="W136" s="126"/>
      <c r="X136" s="126"/>
      <c r="Y136" s="127">
        <f>+V136*((X136*'1. Standard_Cost'!$B$19)+(W136*X136*'1. Standard_Cost'!$C$19))</f>
        <v>0</v>
      </c>
      <c r="Z136" s="126"/>
      <c r="AA136" s="126"/>
      <c r="AB136" s="127">
        <f>+Z136*'1. Standard_Cost'!$B$23+AA136*'1. Standard_Cost'!$C$23</f>
        <v>0</v>
      </c>
      <c r="AC136" s="128"/>
      <c r="AD136" s="129"/>
      <c r="AE136" s="127">
        <f>SUM(AD136,AC136,AB136,Y136,U136,T136,S136,R136)*'1. Standard_Cost'!$B$31</f>
        <v>0</v>
      </c>
      <c r="AF136" s="127">
        <f>SUM(AE136,AD136,AC136,AB136,Y136,U136,T136,S136,R136)</f>
        <v>0</v>
      </c>
      <c r="AG136" s="126"/>
      <c r="AH136" s="126"/>
      <c r="AI136" s="126"/>
      <c r="AJ136" s="130"/>
      <c r="AK136" s="130"/>
      <c r="AL136" s="130"/>
      <c r="AM136" s="127">
        <f>AG136*'1. Standard_Cost'!$B$27+'Incremental_Cost Year 10'!AH136*'1. Standard_Cost'!$C$27+'Incremental_Cost Year 10'!AI136*'1. Standard_Cost'!$D$27+'Incremental_Cost Year 10'!AJ136+'Incremental_Cost Year 10'!AL136+AK136</f>
        <v>0</v>
      </c>
      <c r="AN136" s="127">
        <f>AM136*'1. Standard_Cost'!$C$31</f>
        <v>0</v>
      </c>
      <c r="AO136" s="130"/>
      <c r="AP136" s="239"/>
      <c r="AQ136" s="171">
        <f>L136+M136</f>
        <v>0</v>
      </c>
      <c r="AR136" s="171">
        <f>AF136</f>
        <v>0</v>
      </c>
      <c r="AS136" s="171">
        <f>AM136+AN136</f>
        <v>0</v>
      </c>
      <c r="AT136" s="171">
        <f>SUM(AQ136,AR136,AS136)</f>
        <v>0</v>
      </c>
      <c r="AU136" s="250"/>
      <c r="AV136" s="250"/>
      <c r="AW136" s="250"/>
      <c r="AX136" s="250"/>
      <c r="AY136" s="250"/>
      <c r="AZ136" s="250"/>
      <c r="BA136" s="250"/>
      <c r="BB136" s="251">
        <f t="shared" si="122"/>
        <v>0</v>
      </c>
    </row>
    <row r="137" spans="1:54" s="78" customFormat="1" ht="110.25" outlineLevel="2" x14ac:dyDescent="0.25">
      <c r="A137" s="115"/>
      <c r="B137" s="200"/>
      <c r="C137" s="201"/>
      <c r="D137" s="203"/>
      <c r="E137" s="323"/>
      <c r="F137" s="335"/>
      <c r="G137" s="336"/>
      <c r="H137" s="199" t="s">
        <v>455</v>
      </c>
      <c r="I137" s="130"/>
      <c r="J137" s="126"/>
      <c r="K137" s="126"/>
      <c r="L137" s="125" t="str">
        <f>IF(I137&lt;&gt;0,((VLOOKUP(I137,'1. Standard_Cost'!$B$4:$D$11,2)+VLOOKUP(I137,'1. Standard_Cost'!$B$4:$D$11,3))*J137*K137),"0")</f>
        <v>0</v>
      </c>
      <c r="M137" s="125">
        <f>L137*'1. Standard_Cost'!$F$4</f>
        <v>0</v>
      </c>
      <c r="N137" s="126"/>
      <c r="O137" s="126"/>
      <c r="P137" s="126"/>
      <c r="Q137" s="126"/>
      <c r="R137" s="127">
        <f>'1. Standard_Cost'!$B$15*N137*P137</f>
        <v>0</v>
      </c>
      <c r="S137" s="127">
        <f>N137*O137*P137*'1. Standard_Cost'!$C$15</f>
        <v>0</v>
      </c>
      <c r="T137" s="127">
        <f>N137*P137*Q137*'1. Standard_Cost'!$D$15</f>
        <v>0</v>
      </c>
      <c r="U137" s="127">
        <f>N137*O137*'1. Standard_Cost'!$E$15</f>
        <v>0</v>
      </c>
      <c r="V137" s="126"/>
      <c r="W137" s="126"/>
      <c r="X137" s="126"/>
      <c r="Y137" s="127">
        <f>+V137*((X137*'1. Standard_Cost'!$B$19)+(W137*X137*'1. Standard_Cost'!$C$19))</f>
        <v>0</v>
      </c>
      <c r="Z137" s="126"/>
      <c r="AA137" s="126"/>
      <c r="AB137" s="127">
        <f>+Z137*'1. Standard_Cost'!$B$23+AA137*'1. Standard_Cost'!$C$23</f>
        <v>0</v>
      </c>
      <c r="AC137" s="128"/>
      <c r="AD137" s="129"/>
      <c r="AE137" s="127">
        <f>SUM(AD137,AC137,AB137,Y137,U137,T137,S137,R137)*'1. Standard_Cost'!$B$31</f>
        <v>0</v>
      </c>
      <c r="AF137" s="127">
        <f>SUM(AE137,AD137,AC137,AB137,Y137,U137,T137,S137,R137)</f>
        <v>0</v>
      </c>
      <c r="AG137" s="126"/>
      <c r="AH137" s="126"/>
      <c r="AI137" s="126"/>
      <c r="AJ137" s="130"/>
      <c r="AK137" s="130"/>
      <c r="AL137" s="130"/>
      <c r="AM137" s="127">
        <f>AG137*'1. Standard_Cost'!$B$27+'Incremental_Cost Year 10'!AH137*'1. Standard_Cost'!$C$27+'Incremental_Cost Year 10'!AI137*'1. Standard_Cost'!$D$27+'Incremental_Cost Year 10'!AJ137+'Incremental_Cost Year 10'!AL137+AK137</f>
        <v>0</v>
      </c>
      <c r="AN137" s="127">
        <f>AM137*'1. Standard_Cost'!$C$31</f>
        <v>0</v>
      </c>
      <c r="AO137" s="130"/>
      <c r="AP137" s="239"/>
      <c r="AQ137" s="171">
        <f>L137+M137</f>
        <v>0</v>
      </c>
      <c r="AR137" s="171">
        <f>AF137</f>
        <v>0</v>
      </c>
      <c r="AS137" s="171">
        <f>AM137+AN137</f>
        <v>0</v>
      </c>
      <c r="AT137" s="171">
        <f>SUM(AQ137,AR137,AS137)</f>
        <v>0</v>
      </c>
      <c r="AU137" s="250"/>
      <c r="AV137" s="250"/>
      <c r="AW137" s="250"/>
      <c r="AX137" s="250"/>
      <c r="AY137" s="250"/>
      <c r="AZ137" s="250"/>
      <c r="BA137" s="250"/>
      <c r="BB137" s="251">
        <f t="shared" si="122"/>
        <v>0</v>
      </c>
    </row>
    <row r="138" spans="1:54" s="78" customFormat="1" ht="78.75" outlineLevel="2" x14ac:dyDescent="0.25">
      <c r="A138" s="115"/>
      <c r="B138" s="200"/>
      <c r="C138" s="334"/>
      <c r="D138" s="347"/>
      <c r="E138" s="323"/>
      <c r="F138" s="335"/>
      <c r="G138" s="336"/>
      <c r="H138" s="199" t="s">
        <v>456</v>
      </c>
      <c r="I138" s="130"/>
      <c r="J138" s="126"/>
      <c r="K138" s="126"/>
      <c r="L138" s="125" t="str">
        <f>IF(I138&lt;&gt;0,((VLOOKUP(I138,'1. Standard_Cost'!$B$4:$D$11,2)+VLOOKUP(I138,'1. Standard_Cost'!$B$4:$D$11,3))*J138*K138),"0")</f>
        <v>0</v>
      </c>
      <c r="M138" s="125">
        <f>L138*'1. Standard_Cost'!$F$4</f>
        <v>0</v>
      </c>
      <c r="N138" s="126"/>
      <c r="O138" s="126"/>
      <c r="P138" s="126"/>
      <c r="Q138" s="126"/>
      <c r="R138" s="127">
        <f>'1. Standard_Cost'!$B$15*N138*P138</f>
        <v>0</v>
      </c>
      <c r="S138" s="127">
        <f>N138*O138*P138*'1. Standard_Cost'!$C$15</f>
        <v>0</v>
      </c>
      <c r="T138" s="127">
        <f>N138*P138*Q138*'1. Standard_Cost'!$D$15</f>
        <v>0</v>
      </c>
      <c r="U138" s="127">
        <f>N138*O138*'1. Standard_Cost'!$E$15</f>
        <v>0</v>
      </c>
      <c r="V138" s="126"/>
      <c r="W138" s="126"/>
      <c r="X138" s="126"/>
      <c r="Y138" s="127">
        <f>+V138*((X138*'1. Standard_Cost'!$B$19)+(W138*X138*'1. Standard_Cost'!$C$19))</f>
        <v>0</v>
      </c>
      <c r="Z138" s="126"/>
      <c r="AA138" s="145"/>
      <c r="AB138" s="127">
        <f>+Z138*'1. Standard_Cost'!$B$23+AA138*'1. Standard_Cost'!$C$23</f>
        <v>0</v>
      </c>
      <c r="AC138" s="128"/>
      <c r="AD138" s="129"/>
      <c r="AE138" s="127">
        <f>SUM(AD138,AC138,AB138,Y138,U138,T138,S138,R138)*'1. Standard_Cost'!$B$31</f>
        <v>0</v>
      </c>
      <c r="AF138" s="127">
        <f>SUM(AE138,AD138,AC138,AB138,Y138,U138,T138,S138,R138)</f>
        <v>0</v>
      </c>
      <c r="AG138" s="126"/>
      <c r="AH138" s="126"/>
      <c r="AI138" s="126"/>
      <c r="AJ138" s="130"/>
      <c r="AK138" s="130"/>
      <c r="AL138" s="130"/>
      <c r="AM138" s="127">
        <f>AG138*'1. Standard_Cost'!$B$27+'Incremental_Cost Year 10'!AH138*'1. Standard_Cost'!$C$27+'Incremental_Cost Year 10'!AI138*'1. Standard_Cost'!$D$27+'Incremental_Cost Year 10'!AJ138+'Incremental_Cost Year 10'!AL138+AK138</f>
        <v>0</v>
      </c>
      <c r="AN138" s="127">
        <f>AM138*'1. Standard_Cost'!$C$31</f>
        <v>0</v>
      </c>
      <c r="AO138" s="262"/>
      <c r="AP138" s="239"/>
      <c r="AQ138" s="171">
        <f>L138+M138</f>
        <v>0</v>
      </c>
      <c r="AR138" s="171">
        <f>AF138</f>
        <v>0</v>
      </c>
      <c r="AS138" s="171">
        <f>AM138+AN138</f>
        <v>0</v>
      </c>
      <c r="AT138" s="171">
        <f>SUM(AQ138,AR138,AS138)</f>
        <v>0</v>
      </c>
      <c r="AU138" s="250"/>
      <c r="AV138" s="250"/>
      <c r="AW138" s="250"/>
      <c r="AX138" s="250"/>
      <c r="AY138" s="250"/>
      <c r="AZ138" s="250"/>
      <c r="BA138" s="250"/>
      <c r="BB138" s="251">
        <f t="shared" si="122"/>
        <v>0</v>
      </c>
    </row>
    <row r="139" spans="1:54" s="78" customFormat="1" ht="47.25" outlineLevel="1" x14ac:dyDescent="0.25">
      <c r="A139" s="115"/>
      <c r="B139" s="165"/>
      <c r="C139" s="166"/>
      <c r="D139" s="228" t="s">
        <v>233</v>
      </c>
      <c r="E139" s="212" t="s">
        <v>291</v>
      </c>
      <c r="F139" s="136">
        <v>2022</v>
      </c>
      <c r="G139" s="117">
        <v>2030</v>
      </c>
      <c r="H139" s="110" t="s">
        <v>292</v>
      </c>
      <c r="I139" s="252"/>
      <c r="J139" s="252"/>
      <c r="K139" s="252"/>
      <c r="L139" s="127">
        <f>SUM(L135:L138)</f>
        <v>0</v>
      </c>
      <c r="M139" s="127">
        <f>SUM(M135:M138)</f>
        <v>0</v>
      </c>
      <c r="N139" s="127"/>
      <c r="O139" s="252"/>
      <c r="P139" s="252"/>
      <c r="Q139" s="252"/>
      <c r="R139" s="127">
        <f>SUM(R135:R138)</f>
        <v>0</v>
      </c>
      <c r="S139" s="127">
        <f>SUM(S135:S138)</f>
        <v>0</v>
      </c>
      <c r="T139" s="127">
        <f>SUM(T135:T138)</f>
        <v>0</v>
      </c>
      <c r="U139" s="127">
        <f>SUM(U135:U138)</f>
        <v>0</v>
      </c>
      <c r="V139" s="252"/>
      <c r="W139" s="252"/>
      <c r="X139" s="252"/>
      <c r="Y139" s="127">
        <f>SUM(Y135:Y138)</f>
        <v>0</v>
      </c>
      <c r="Z139" s="252"/>
      <c r="AA139" s="252"/>
      <c r="AB139" s="127">
        <f>SUM(AB135:AB138)</f>
        <v>0</v>
      </c>
      <c r="AC139" s="127">
        <f>SUM(AC135:AC138)</f>
        <v>1243844750</v>
      </c>
      <c r="AD139" s="127">
        <f>SUM(AD135:AD138)</f>
        <v>0</v>
      </c>
      <c r="AE139" s="127">
        <f>SUM(AE135:AE138)</f>
        <v>0</v>
      </c>
      <c r="AF139" s="127">
        <f>SUM(AF135:AF138)</f>
        <v>1243844750</v>
      </c>
      <c r="AG139" s="252"/>
      <c r="AH139" s="252"/>
      <c r="AI139" s="252"/>
      <c r="AJ139" s="127">
        <f>SUM(AJ135:AJ138)</f>
        <v>0</v>
      </c>
      <c r="AK139" s="127">
        <f>SUM(AK135:AK138)</f>
        <v>0</v>
      </c>
      <c r="AL139" s="127">
        <f>SUM(AL135:AL138)</f>
        <v>0</v>
      </c>
      <c r="AM139" s="127">
        <f>SUM(AM135:AM138)</f>
        <v>0</v>
      </c>
      <c r="AN139" s="127">
        <f>SUM(AN135:AN138)</f>
        <v>0</v>
      </c>
      <c r="AO139" s="253"/>
      <c r="AP139" s="254"/>
      <c r="AQ139" s="175">
        <f t="shared" ref="AQ139:BB139" si="123">SUM(AQ135:AQ138)</f>
        <v>0</v>
      </c>
      <c r="AR139" s="175">
        <f t="shared" si="123"/>
        <v>1243844750</v>
      </c>
      <c r="AS139" s="175">
        <f t="shared" si="123"/>
        <v>0</v>
      </c>
      <c r="AT139" s="175">
        <f t="shared" si="123"/>
        <v>1243844750</v>
      </c>
      <c r="AU139" s="175">
        <f t="shared" si="123"/>
        <v>1243844750</v>
      </c>
      <c r="AV139" s="175">
        <f t="shared" si="123"/>
        <v>0</v>
      </c>
      <c r="AW139" s="175">
        <f t="shared" si="123"/>
        <v>0</v>
      </c>
      <c r="AX139" s="175">
        <f t="shared" si="123"/>
        <v>0</v>
      </c>
      <c r="AY139" s="175">
        <f t="shared" si="123"/>
        <v>0</v>
      </c>
      <c r="AZ139" s="175">
        <f t="shared" si="123"/>
        <v>0</v>
      </c>
      <c r="BA139" s="175">
        <f t="shared" si="123"/>
        <v>0</v>
      </c>
      <c r="BB139" s="175">
        <f t="shared" si="123"/>
        <v>0</v>
      </c>
    </row>
    <row r="140" spans="1:54" s="87" customFormat="1" ht="64.150000000000006" customHeight="1" x14ac:dyDescent="0.25">
      <c r="A140" s="143"/>
      <c r="B140" s="285"/>
      <c r="C140" s="391" t="s">
        <v>293</v>
      </c>
      <c r="D140" s="391"/>
      <c r="E140" s="392"/>
      <c r="F140" s="284"/>
      <c r="G140" s="282"/>
      <c r="H140" s="144" t="s">
        <v>294</v>
      </c>
      <c r="I140" s="257"/>
      <c r="J140" s="257"/>
      <c r="K140" s="257"/>
      <c r="L140" s="258">
        <f>SUM(L149)</f>
        <v>0</v>
      </c>
      <c r="M140" s="258">
        <f>SUM(M149)</f>
        <v>0</v>
      </c>
      <c r="N140" s="257"/>
      <c r="O140" s="257"/>
      <c r="P140" s="257"/>
      <c r="Q140" s="257"/>
      <c r="R140" s="258">
        <f>SUM(R149)</f>
        <v>0</v>
      </c>
      <c r="S140" s="258">
        <f>SUM(S149)</f>
        <v>0</v>
      </c>
      <c r="T140" s="258">
        <f>SUM(T149)</f>
        <v>0</v>
      </c>
      <c r="U140" s="258">
        <f>SUM(U149)</f>
        <v>0</v>
      </c>
      <c r="V140" s="257"/>
      <c r="W140" s="257"/>
      <c r="X140" s="257"/>
      <c r="Y140" s="258">
        <f>SUM(Y149)</f>
        <v>0</v>
      </c>
      <c r="Z140" s="258"/>
      <c r="AA140" s="258"/>
      <c r="AB140" s="258">
        <f>SUM(AB149)</f>
        <v>0</v>
      </c>
      <c r="AC140" s="258">
        <f>SUM(AC149)</f>
        <v>0</v>
      </c>
      <c r="AD140" s="258">
        <f>SUM(AD149)</f>
        <v>0</v>
      </c>
      <c r="AE140" s="258">
        <f>SUM(AE149)</f>
        <v>0</v>
      </c>
      <c r="AF140" s="258">
        <f>SUM(AF149)</f>
        <v>0</v>
      </c>
      <c r="AG140" s="257"/>
      <c r="AH140" s="257"/>
      <c r="AI140" s="257"/>
      <c r="AJ140" s="258">
        <f>SUM(AJ149)</f>
        <v>0</v>
      </c>
      <c r="AK140" s="258">
        <f>SUM(AK149)</f>
        <v>0</v>
      </c>
      <c r="AL140" s="258">
        <f>SUM(AL149)</f>
        <v>0</v>
      </c>
      <c r="AM140" s="258">
        <f>SUM(AM149)</f>
        <v>0</v>
      </c>
      <c r="AN140" s="258">
        <f>SUM(AN149)</f>
        <v>0</v>
      </c>
      <c r="AO140" s="259"/>
      <c r="AP140" s="260"/>
      <c r="AQ140" s="261">
        <f>SUM(AQ149)</f>
        <v>0</v>
      </c>
      <c r="AR140" s="261">
        <f>SUM(AR149)</f>
        <v>0</v>
      </c>
      <c r="AS140" s="261">
        <f>SUM(AS149)</f>
        <v>0</v>
      </c>
      <c r="AT140" s="261">
        <f>SUM(AT149)</f>
        <v>0</v>
      </c>
      <c r="AU140" s="261">
        <f t="shared" ref="AU140:BA140" si="124">SUM(AU149)</f>
        <v>0</v>
      </c>
      <c r="AV140" s="261">
        <f t="shared" si="124"/>
        <v>0</v>
      </c>
      <c r="AW140" s="261">
        <f t="shared" si="124"/>
        <v>0</v>
      </c>
      <c r="AX140" s="261">
        <f t="shared" si="124"/>
        <v>0</v>
      </c>
      <c r="AY140" s="261">
        <f t="shared" si="124"/>
        <v>0</v>
      </c>
      <c r="AZ140" s="261">
        <f t="shared" si="124"/>
        <v>0</v>
      </c>
      <c r="BA140" s="261">
        <f t="shared" si="124"/>
        <v>0</v>
      </c>
      <c r="BB140" s="261">
        <f t="shared" ref="BB140" si="125">SUM(BB149)</f>
        <v>0</v>
      </c>
    </row>
    <row r="141" spans="1:54" s="78" customFormat="1" ht="78.75" outlineLevel="2" x14ac:dyDescent="0.25">
      <c r="A141" s="115"/>
      <c r="B141" s="303"/>
      <c r="C141" s="329"/>
      <c r="D141" s="342"/>
      <c r="E141" s="328"/>
      <c r="F141" s="328"/>
      <c r="G141" s="328"/>
      <c r="H141" s="199" t="s">
        <v>457</v>
      </c>
      <c r="I141" s="130"/>
      <c r="J141" s="126"/>
      <c r="K141" s="126"/>
      <c r="L141" s="125" t="str">
        <f>IF(I141&lt;&gt;0,((VLOOKUP(I141,'1. Standard_Cost'!$B$4:$D$11,2)+VLOOKUP(I141,'1. Standard_Cost'!$B$4:$D$11,3))*J141*K141),"0")</f>
        <v>0</v>
      </c>
      <c r="M141" s="125">
        <f>L141*'1. Standard_Cost'!$F$4</f>
        <v>0</v>
      </c>
      <c r="N141" s="126"/>
      <c r="O141" s="126"/>
      <c r="P141" s="126"/>
      <c r="Q141" s="126"/>
      <c r="R141" s="127">
        <f>'1. Standard_Cost'!$B$15*N141*P141</f>
        <v>0</v>
      </c>
      <c r="S141" s="127">
        <f>N141*O141*P141*'1. Standard_Cost'!$C$15</f>
        <v>0</v>
      </c>
      <c r="T141" s="127">
        <f>N141*P141*Q141*'1. Standard_Cost'!$D$15</f>
        <v>0</v>
      </c>
      <c r="U141" s="127">
        <f>N141*O141*'1. Standard_Cost'!$E$15</f>
        <v>0</v>
      </c>
      <c r="V141" s="126"/>
      <c r="W141" s="126"/>
      <c r="X141" s="126"/>
      <c r="Y141" s="127">
        <f>+V141*((X141*'1. Standard_Cost'!$B$19)+(W141*X141*'1. Standard_Cost'!$C$19))</f>
        <v>0</v>
      </c>
      <c r="Z141" s="126"/>
      <c r="AA141" s="126"/>
      <c r="AB141" s="127">
        <f>+Z141*'1. Standard_Cost'!$B$23+AA141*'1. Standard_Cost'!$C$23</f>
        <v>0</v>
      </c>
      <c r="AC141" s="128"/>
      <c r="AD141" s="129"/>
      <c r="AE141" s="127">
        <f>SUM(AD141,AC141,AB141,Y141,U141,T141,S141,R141)*'1. Standard_Cost'!$B$31</f>
        <v>0</v>
      </c>
      <c r="AF141" s="127">
        <f t="shared" ref="AF141:AF148" si="126">SUM(AE141,AD141,AC141,AB141,Y141,U141,T141,S141,R141)</f>
        <v>0</v>
      </c>
      <c r="AG141" s="126"/>
      <c r="AH141" s="126"/>
      <c r="AI141" s="126"/>
      <c r="AJ141" s="130"/>
      <c r="AK141" s="130"/>
      <c r="AL141" s="130"/>
      <c r="AM141" s="127">
        <f>AG141*'1. Standard_Cost'!$B$27+'Incremental_Cost Year 10'!AH141*'1. Standard_Cost'!$C$27+'Incremental_Cost Year 10'!AI141*'1. Standard_Cost'!$D$27+'Incremental_Cost Year 10'!AJ141+'Incremental_Cost Year 10'!AL141+AK141</f>
        <v>0</v>
      </c>
      <c r="AN141" s="127">
        <f>AM141*'1. Standard_Cost'!$C$31</f>
        <v>0</v>
      </c>
      <c r="AO141" s="130"/>
      <c r="AP141" s="239"/>
      <c r="AQ141" s="171">
        <f t="shared" ref="AQ141:AQ148" si="127">L141+M141</f>
        <v>0</v>
      </c>
      <c r="AR141" s="171">
        <f t="shared" ref="AR141:AR148" si="128">AF141</f>
        <v>0</v>
      </c>
      <c r="AS141" s="171">
        <f t="shared" ref="AS141:AS148" si="129">AM141+AN141</f>
        <v>0</v>
      </c>
      <c r="AT141" s="171">
        <f t="shared" ref="AT141:AT148" si="130">SUM(AQ141,AR141,AS141)</f>
        <v>0</v>
      </c>
      <c r="AU141" s="250"/>
      <c r="AV141" s="250"/>
      <c r="AW141" s="250"/>
      <c r="AX141" s="250"/>
      <c r="AY141" s="250"/>
      <c r="AZ141" s="250"/>
      <c r="BA141" s="250"/>
      <c r="BB141" s="251">
        <f t="shared" ref="BB141:BB148" si="131">SUM(AU141:BA141)-AT141</f>
        <v>0</v>
      </c>
    </row>
    <row r="142" spans="1:54" s="78" customFormat="1" ht="47.25" outlineLevel="2" x14ac:dyDescent="0.25">
      <c r="A142" s="115"/>
      <c r="B142" s="200"/>
      <c r="C142" s="330"/>
      <c r="D142" s="343"/>
      <c r="E142" s="328"/>
      <c r="F142" s="328"/>
      <c r="G142" s="328"/>
      <c r="H142" s="199" t="s">
        <v>458</v>
      </c>
      <c r="I142" s="130"/>
      <c r="J142" s="126"/>
      <c r="K142" s="126"/>
      <c r="L142" s="125" t="str">
        <f>IF(I142&lt;&gt;0,((VLOOKUP(I142,'1. Standard_Cost'!$B$4:$D$11,2)+VLOOKUP(I142,'1. Standard_Cost'!$B$4:$D$11,3))*J142*K142),"0")</f>
        <v>0</v>
      </c>
      <c r="M142" s="125">
        <f>L142*'1. Standard_Cost'!$F$4</f>
        <v>0</v>
      </c>
      <c r="N142" s="126"/>
      <c r="O142" s="126"/>
      <c r="P142" s="126"/>
      <c r="Q142" s="126"/>
      <c r="R142" s="127">
        <f>'1. Standard_Cost'!$B$15*N142*P142</f>
        <v>0</v>
      </c>
      <c r="S142" s="127">
        <f>N142*O142*P142*'1. Standard_Cost'!$C$15</f>
        <v>0</v>
      </c>
      <c r="T142" s="127">
        <f>N142*P142*Q142*'1. Standard_Cost'!$D$15</f>
        <v>0</v>
      </c>
      <c r="U142" s="127">
        <f>N142*O142*'1. Standard_Cost'!$E$15</f>
        <v>0</v>
      </c>
      <c r="V142" s="126"/>
      <c r="W142" s="126"/>
      <c r="X142" s="126"/>
      <c r="Y142" s="127">
        <f>+V142*((X142*'1. Standard_Cost'!$B$19)+(W142*X142*'1. Standard_Cost'!$C$19))</f>
        <v>0</v>
      </c>
      <c r="Z142" s="126"/>
      <c r="AA142" s="126"/>
      <c r="AB142" s="127">
        <f>+Z142*'1. Standard_Cost'!$B$23+AA142*'1. Standard_Cost'!$C$23</f>
        <v>0</v>
      </c>
      <c r="AC142" s="128"/>
      <c r="AD142" s="129"/>
      <c r="AE142" s="127">
        <f>SUM(AD142,AC142,AB142,Y142,U142,T142,S142,R142)*'1. Standard_Cost'!$B$31</f>
        <v>0</v>
      </c>
      <c r="AF142" s="127">
        <f t="shared" si="126"/>
        <v>0</v>
      </c>
      <c r="AG142" s="126"/>
      <c r="AH142" s="126"/>
      <c r="AI142" s="126"/>
      <c r="AJ142" s="130"/>
      <c r="AK142" s="130"/>
      <c r="AL142" s="130"/>
      <c r="AM142" s="127">
        <f>AG142*'1. Standard_Cost'!$B$27+'Incremental_Cost Year 10'!AH142*'1. Standard_Cost'!$C$27+'Incremental_Cost Year 10'!AI142*'1. Standard_Cost'!$D$27+'Incremental_Cost Year 10'!AJ142+'Incremental_Cost Year 10'!AL142+AK142</f>
        <v>0</v>
      </c>
      <c r="AN142" s="127">
        <f>AM142*'1. Standard_Cost'!$C$31</f>
        <v>0</v>
      </c>
      <c r="AO142" s="130"/>
      <c r="AP142" s="239"/>
      <c r="AQ142" s="171">
        <f t="shared" si="127"/>
        <v>0</v>
      </c>
      <c r="AR142" s="171">
        <f t="shared" si="128"/>
        <v>0</v>
      </c>
      <c r="AS142" s="171">
        <f t="shared" si="129"/>
        <v>0</v>
      </c>
      <c r="AT142" s="171">
        <f t="shared" si="130"/>
        <v>0</v>
      </c>
      <c r="AU142" s="250"/>
      <c r="AV142" s="250"/>
      <c r="AW142" s="250"/>
      <c r="AX142" s="250"/>
      <c r="AY142" s="250"/>
      <c r="AZ142" s="250"/>
      <c r="BA142" s="250"/>
      <c r="BB142" s="251">
        <f t="shared" si="131"/>
        <v>0</v>
      </c>
    </row>
    <row r="143" spans="1:54" s="78" customFormat="1" ht="94.5" outlineLevel="2" x14ac:dyDescent="0.25">
      <c r="A143" s="115"/>
      <c r="B143" s="200"/>
      <c r="C143" s="330"/>
      <c r="D143" s="343"/>
      <c r="E143" s="328"/>
      <c r="F143" s="328"/>
      <c r="G143" s="328"/>
      <c r="H143" s="199" t="s">
        <v>459</v>
      </c>
      <c r="I143" s="130"/>
      <c r="J143" s="126"/>
      <c r="K143" s="126"/>
      <c r="L143" s="125" t="str">
        <f>IF(I143&lt;&gt;0,((VLOOKUP(I143,'1. Standard_Cost'!$B$4:$D$11,2)+VLOOKUP(I143,'1. Standard_Cost'!$B$4:$D$11,3))*J143*K143),"0")</f>
        <v>0</v>
      </c>
      <c r="M143" s="125">
        <f>L143*'1. Standard_Cost'!$F$4</f>
        <v>0</v>
      </c>
      <c r="N143" s="126"/>
      <c r="O143" s="126"/>
      <c r="P143" s="126"/>
      <c r="Q143" s="126"/>
      <c r="R143" s="127">
        <f>'1. Standard_Cost'!$B$15*N143*P143</f>
        <v>0</v>
      </c>
      <c r="S143" s="127">
        <f>N143*O143*P143*'1. Standard_Cost'!$C$15</f>
        <v>0</v>
      </c>
      <c r="T143" s="127">
        <f>N143*P143*Q143*'1. Standard_Cost'!$D$15</f>
        <v>0</v>
      </c>
      <c r="U143" s="127">
        <f>N143*O143*'1. Standard_Cost'!$E$15</f>
        <v>0</v>
      </c>
      <c r="V143" s="126"/>
      <c r="W143" s="126"/>
      <c r="X143" s="126"/>
      <c r="Y143" s="127">
        <f>+V143*((X143*'1. Standard_Cost'!$B$19)+(W143*X143*'1. Standard_Cost'!$C$19))</f>
        <v>0</v>
      </c>
      <c r="Z143" s="126"/>
      <c r="AA143" s="126"/>
      <c r="AB143" s="127">
        <f>+Z143*'1. Standard_Cost'!$B$23+AA143*'1. Standard_Cost'!$C$23</f>
        <v>0</v>
      </c>
      <c r="AC143" s="128"/>
      <c r="AD143" s="129"/>
      <c r="AE143" s="127">
        <f>SUM(AD143,AC143,AB143,Y143,U143,T143,S143,R143)*'1. Standard_Cost'!$B$31</f>
        <v>0</v>
      </c>
      <c r="AF143" s="127">
        <f t="shared" si="126"/>
        <v>0</v>
      </c>
      <c r="AG143" s="126"/>
      <c r="AH143" s="126"/>
      <c r="AI143" s="126"/>
      <c r="AJ143" s="130"/>
      <c r="AK143" s="130"/>
      <c r="AL143" s="130"/>
      <c r="AM143" s="127">
        <f>AG143*'1. Standard_Cost'!$B$27+'Incremental_Cost Year 10'!AH143*'1. Standard_Cost'!$C$27+'Incremental_Cost Year 10'!AI143*'1. Standard_Cost'!$D$27+'Incremental_Cost Year 10'!AJ143+'Incremental_Cost Year 10'!AL143+AK143</f>
        <v>0</v>
      </c>
      <c r="AN143" s="127">
        <f>AM143*'1. Standard_Cost'!$C$31</f>
        <v>0</v>
      </c>
      <c r="AO143" s="130"/>
      <c r="AP143" s="239"/>
      <c r="AQ143" s="171">
        <f t="shared" si="127"/>
        <v>0</v>
      </c>
      <c r="AR143" s="171">
        <f t="shared" si="128"/>
        <v>0</v>
      </c>
      <c r="AS143" s="171">
        <f t="shared" si="129"/>
        <v>0</v>
      </c>
      <c r="AT143" s="171">
        <f t="shared" si="130"/>
        <v>0</v>
      </c>
      <c r="AU143" s="250"/>
      <c r="AV143" s="250"/>
      <c r="AW143" s="250"/>
      <c r="AX143" s="250"/>
      <c r="AY143" s="250"/>
      <c r="AZ143" s="250"/>
      <c r="BA143" s="250"/>
      <c r="BB143" s="251">
        <f t="shared" si="131"/>
        <v>0</v>
      </c>
    </row>
    <row r="144" spans="1:54" s="78" customFormat="1" ht="47.25" outlineLevel="2" x14ac:dyDescent="0.25">
      <c r="A144" s="115"/>
      <c r="B144" s="200"/>
      <c r="C144" s="330"/>
      <c r="D144" s="343"/>
      <c r="E144" s="328"/>
      <c r="F144" s="328"/>
      <c r="G144" s="328"/>
      <c r="H144" s="199" t="s">
        <v>460</v>
      </c>
      <c r="I144" s="130"/>
      <c r="J144" s="126"/>
      <c r="K144" s="126"/>
      <c r="L144" s="125" t="str">
        <f>IF(I144&lt;&gt;0,((VLOOKUP(I144,'1. Standard_Cost'!$B$4:$D$11,2)+VLOOKUP(I144,'1. Standard_Cost'!$B$4:$D$11,3))*J144*K144),"0")</f>
        <v>0</v>
      </c>
      <c r="M144" s="125">
        <f>L144*'1. Standard_Cost'!$F$4</f>
        <v>0</v>
      </c>
      <c r="N144" s="126"/>
      <c r="O144" s="126"/>
      <c r="P144" s="126"/>
      <c r="Q144" s="126"/>
      <c r="R144" s="127">
        <f>'1. Standard_Cost'!$B$15*N144*P144</f>
        <v>0</v>
      </c>
      <c r="S144" s="127">
        <f>N144*O144*P144*'1. Standard_Cost'!$C$15</f>
        <v>0</v>
      </c>
      <c r="T144" s="127">
        <f>N144*P144*Q144*'1. Standard_Cost'!$D$15</f>
        <v>0</v>
      </c>
      <c r="U144" s="127">
        <f>N144*O144*'1. Standard_Cost'!$E$15</f>
        <v>0</v>
      </c>
      <c r="V144" s="126"/>
      <c r="W144" s="126"/>
      <c r="X144" s="126"/>
      <c r="Y144" s="127">
        <f>+V144*((X144*'1. Standard_Cost'!$B$19)+(W144*X144*'1. Standard_Cost'!$C$19))</f>
        <v>0</v>
      </c>
      <c r="Z144" s="126"/>
      <c r="AA144" s="126"/>
      <c r="AB144" s="127">
        <f>+Z144*'1. Standard_Cost'!$B$23+AA144*'1. Standard_Cost'!$C$23</f>
        <v>0</v>
      </c>
      <c r="AC144" s="128"/>
      <c r="AD144" s="129"/>
      <c r="AE144" s="127">
        <f>SUM(AD144,AC144,AB144,Y144,U144,T144,S144,R144)*'1. Standard_Cost'!$B$31</f>
        <v>0</v>
      </c>
      <c r="AF144" s="127">
        <f t="shared" si="126"/>
        <v>0</v>
      </c>
      <c r="AG144" s="126"/>
      <c r="AH144" s="126"/>
      <c r="AI144" s="126"/>
      <c r="AJ144" s="130"/>
      <c r="AK144" s="130"/>
      <c r="AL144" s="130"/>
      <c r="AM144" s="127">
        <f>AG144*'1. Standard_Cost'!$B$27+'Incremental_Cost Year 10'!AH144*'1. Standard_Cost'!$C$27+'Incremental_Cost Year 10'!AI144*'1. Standard_Cost'!$D$27+'Incremental_Cost Year 10'!AJ144+'Incremental_Cost Year 10'!AL144+AK144</f>
        <v>0</v>
      </c>
      <c r="AN144" s="127">
        <f>AM144*'1. Standard_Cost'!$C$31</f>
        <v>0</v>
      </c>
      <c r="AO144" s="130"/>
      <c r="AP144" s="239"/>
      <c r="AQ144" s="171">
        <f t="shared" si="127"/>
        <v>0</v>
      </c>
      <c r="AR144" s="171">
        <f t="shared" si="128"/>
        <v>0</v>
      </c>
      <c r="AS144" s="171">
        <f t="shared" si="129"/>
        <v>0</v>
      </c>
      <c r="AT144" s="171">
        <f t="shared" si="130"/>
        <v>0</v>
      </c>
      <c r="AU144" s="250"/>
      <c r="AV144" s="250"/>
      <c r="AW144" s="250"/>
      <c r="AX144" s="250"/>
      <c r="AY144" s="250"/>
      <c r="AZ144" s="250"/>
      <c r="BA144" s="250"/>
      <c r="BB144" s="251">
        <f t="shared" si="131"/>
        <v>0</v>
      </c>
    </row>
    <row r="145" spans="1:58" s="78" customFormat="1" ht="94.5" outlineLevel="2" x14ac:dyDescent="0.25">
      <c r="A145" s="115"/>
      <c r="B145" s="200"/>
      <c r="C145" s="330"/>
      <c r="D145" s="343"/>
      <c r="E145" s="328"/>
      <c r="F145" s="328"/>
      <c r="G145" s="328"/>
      <c r="H145" s="199" t="s">
        <v>461</v>
      </c>
      <c r="I145" s="130"/>
      <c r="J145" s="126"/>
      <c r="K145" s="126"/>
      <c r="L145" s="125" t="str">
        <f>IF(I145&lt;&gt;0,((VLOOKUP(I145,'1. Standard_Cost'!$B$4:$D$11,2)+VLOOKUP(I145,'1. Standard_Cost'!$B$4:$D$11,3))*J145*K145),"0")</f>
        <v>0</v>
      </c>
      <c r="M145" s="125">
        <f>L145*'1. Standard_Cost'!$F$4</f>
        <v>0</v>
      </c>
      <c r="N145" s="126"/>
      <c r="O145" s="126"/>
      <c r="P145" s="126"/>
      <c r="Q145" s="126"/>
      <c r="R145" s="127">
        <f>'1. Standard_Cost'!$B$15*N145*P145</f>
        <v>0</v>
      </c>
      <c r="S145" s="127">
        <f>N145*O145*P145*'1. Standard_Cost'!$C$15</f>
        <v>0</v>
      </c>
      <c r="T145" s="127">
        <f>N145*P145*Q145*'1. Standard_Cost'!$D$15</f>
        <v>0</v>
      </c>
      <c r="U145" s="127">
        <f>N145*O145*'1. Standard_Cost'!$E$15</f>
        <v>0</v>
      </c>
      <c r="V145" s="126"/>
      <c r="W145" s="126"/>
      <c r="X145" s="126"/>
      <c r="Y145" s="127">
        <f>+V145*((X145*'1. Standard_Cost'!$B$19)+(W145*X145*'1. Standard_Cost'!$C$19))</f>
        <v>0</v>
      </c>
      <c r="Z145" s="126"/>
      <c r="AA145" s="126"/>
      <c r="AB145" s="127">
        <f>+Z145*'1. Standard_Cost'!$B$23+AA145*'1. Standard_Cost'!$C$23</f>
        <v>0</v>
      </c>
      <c r="AC145" s="128"/>
      <c r="AD145" s="129"/>
      <c r="AE145" s="127">
        <f>SUM(AD145,AC145,AB145,Y145,U145,T145,S145,R145)*'1. Standard_Cost'!$B$31</f>
        <v>0</v>
      </c>
      <c r="AF145" s="127">
        <f t="shared" si="126"/>
        <v>0</v>
      </c>
      <c r="AG145" s="126"/>
      <c r="AH145" s="126"/>
      <c r="AI145" s="126"/>
      <c r="AJ145" s="130"/>
      <c r="AK145" s="130"/>
      <c r="AL145" s="130"/>
      <c r="AM145" s="127">
        <f>AG145*'1. Standard_Cost'!$B$27+'Incremental_Cost Year 10'!AH145*'1. Standard_Cost'!$C$27+'Incremental_Cost Year 10'!AI145*'1. Standard_Cost'!$D$27+'Incremental_Cost Year 10'!AJ145+'Incremental_Cost Year 10'!AL145+AK145</f>
        <v>0</v>
      </c>
      <c r="AN145" s="127">
        <f>AM145*'1. Standard_Cost'!$C$31</f>
        <v>0</v>
      </c>
      <c r="AO145" s="130"/>
      <c r="AP145" s="239"/>
      <c r="AQ145" s="171">
        <f t="shared" si="127"/>
        <v>0</v>
      </c>
      <c r="AR145" s="171">
        <f t="shared" si="128"/>
        <v>0</v>
      </c>
      <c r="AS145" s="171">
        <f t="shared" si="129"/>
        <v>0</v>
      </c>
      <c r="AT145" s="171">
        <f t="shared" si="130"/>
        <v>0</v>
      </c>
      <c r="AU145" s="250"/>
      <c r="AV145" s="250"/>
      <c r="AW145" s="250"/>
      <c r="AX145" s="250"/>
      <c r="AY145" s="250"/>
      <c r="AZ145" s="250"/>
      <c r="BA145" s="250"/>
      <c r="BB145" s="251">
        <f t="shared" si="131"/>
        <v>0</v>
      </c>
    </row>
    <row r="146" spans="1:58" s="78" customFormat="1" ht="173.25" outlineLevel="2" x14ac:dyDescent="0.25">
      <c r="A146" s="115"/>
      <c r="B146" s="200"/>
      <c r="C146" s="330"/>
      <c r="D146" s="343"/>
      <c r="E146" s="328"/>
      <c r="F146" s="328"/>
      <c r="G146" s="328"/>
      <c r="H146" s="199" t="s">
        <v>462</v>
      </c>
      <c r="I146" s="130"/>
      <c r="J146" s="126"/>
      <c r="K146" s="126"/>
      <c r="L146" s="125" t="str">
        <f>IF(I146&lt;&gt;0,((VLOOKUP(I146,'1. Standard_Cost'!$B$4:$D$11,2)+VLOOKUP(I146,'1. Standard_Cost'!$B$4:$D$11,3))*J146*K146),"0")</f>
        <v>0</v>
      </c>
      <c r="M146" s="125">
        <f>L146*'1. Standard_Cost'!$F$4</f>
        <v>0</v>
      </c>
      <c r="N146" s="126"/>
      <c r="O146" s="126"/>
      <c r="P146" s="126"/>
      <c r="Q146" s="126"/>
      <c r="R146" s="127">
        <f>'1. Standard_Cost'!$B$15*N146*P146</f>
        <v>0</v>
      </c>
      <c r="S146" s="127">
        <f>N146*O146*P146*'1. Standard_Cost'!$C$15</f>
        <v>0</v>
      </c>
      <c r="T146" s="127">
        <f>N146*P146*Q146*'1. Standard_Cost'!$D$15</f>
        <v>0</v>
      </c>
      <c r="U146" s="127">
        <f>N146*O146*'1. Standard_Cost'!$E$15</f>
        <v>0</v>
      </c>
      <c r="V146" s="126"/>
      <c r="W146" s="126"/>
      <c r="X146" s="126"/>
      <c r="Y146" s="127">
        <f>+V146*((X146*'1. Standard_Cost'!$B$19)+(W146*X146*'1. Standard_Cost'!$C$19))</f>
        <v>0</v>
      </c>
      <c r="Z146" s="126"/>
      <c r="AA146" s="126"/>
      <c r="AB146" s="127">
        <f>+Z146*'1. Standard_Cost'!$B$23+AA146*'1. Standard_Cost'!$C$23</f>
        <v>0</v>
      </c>
      <c r="AC146" s="128"/>
      <c r="AD146" s="129"/>
      <c r="AE146" s="127">
        <f>SUM(AD146,AC146,AB146,Y146,U146,T146,S146,R146)*'1. Standard_Cost'!$B$31</f>
        <v>0</v>
      </c>
      <c r="AF146" s="127">
        <f t="shared" si="126"/>
        <v>0</v>
      </c>
      <c r="AG146" s="126"/>
      <c r="AH146" s="126"/>
      <c r="AI146" s="126"/>
      <c r="AJ146" s="130"/>
      <c r="AK146" s="130"/>
      <c r="AL146" s="130"/>
      <c r="AM146" s="127">
        <f>AG146*'1. Standard_Cost'!$B$27+'Incremental_Cost Year 10'!AH146*'1. Standard_Cost'!$C$27+'Incremental_Cost Year 10'!AI146*'1. Standard_Cost'!$D$27+'Incremental_Cost Year 10'!AJ146+'Incremental_Cost Year 10'!AL146+AK146</f>
        <v>0</v>
      </c>
      <c r="AN146" s="127">
        <f>AM146*'1. Standard_Cost'!$C$31</f>
        <v>0</v>
      </c>
      <c r="AO146" s="130"/>
      <c r="AP146" s="239"/>
      <c r="AQ146" s="171">
        <f t="shared" si="127"/>
        <v>0</v>
      </c>
      <c r="AR146" s="171">
        <f t="shared" si="128"/>
        <v>0</v>
      </c>
      <c r="AS146" s="171">
        <f t="shared" si="129"/>
        <v>0</v>
      </c>
      <c r="AT146" s="171">
        <f t="shared" si="130"/>
        <v>0</v>
      </c>
      <c r="AU146" s="250"/>
      <c r="AV146" s="250"/>
      <c r="AW146" s="250"/>
      <c r="AX146" s="250"/>
      <c r="AY146" s="250"/>
      <c r="AZ146" s="250"/>
      <c r="BA146" s="250"/>
      <c r="BB146" s="251">
        <f t="shared" si="131"/>
        <v>0</v>
      </c>
    </row>
    <row r="147" spans="1:58" s="78" customFormat="1" ht="94.5" outlineLevel="2" x14ac:dyDescent="0.25">
      <c r="A147" s="115"/>
      <c r="B147" s="200"/>
      <c r="C147" s="330"/>
      <c r="D147" s="343"/>
      <c r="E147" s="328"/>
      <c r="F147" s="328"/>
      <c r="G147" s="328"/>
      <c r="H147" s="199" t="s">
        <v>295</v>
      </c>
      <c r="I147" s="130"/>
      <c r="J147" s="126"/>
      <c r="K147" s="126"/>
      <c r="L147" s="125" t="str">
        <f>IF(I147&lt;&gt;0,((VLOOKUP(I147,'1. Standard_Cost'!$B$4:$D$11,2)+VLOOKUP(I147,'1. Standard_Cost'!$B$4:$D$11,3))*J147*K147),"0")</f>
        <v>0</v>
      </c>
      <c r="M147" s="125">
        <f>L147*'1. Standard_Cost'!$F$4</f>
        <v>0</v>
      </c>
      <c r="N147" s="126"/>
      <c r="O147" s="126"/>
      <c r="P147" s="126"/>
      <c r="Q147" s="126"/>
      <c r="R147" s="127">
        <f>'1. Standard_Cost'!$B$15*N147*P147</f>
        <v>0</v>
      </c>
      <c r="S147" s="127">
        <f>N147*O147*P147*'1. Standard_Cost'!$C$15</f>
        <v>0</v>
      </c>
      <c r="T147" s="127">
        <f>N147*P147*Q147*'1. Standard_Cost'!$D$15</f>
        <v>0</v>
      </c>
      <c r="U147" s="127">
        <f>N147*O147*'1. Standard_Cost'!$E$15</f>
        <v>0</v>
      </c>
      <c r="V147" s="126"/>
      <c r="W147" s="126"/>
      <c r="X147" s="126"/>
      <c r="Y147" s="127">
        <f>+V147*((X147*'1. Standard_Cost'!$B$19)+(W147*X147*'1. Standard_Cost'!$C$19))</f>
        <v>0</v>
      </c>
      <c r="Z147" s="126"/>
      <c r="AA147" s="126"/>
      <c r="AB147" s="127">
        <f>+Z147*'1. Standard_Cost'!$B$23+AA147*'1. Standard_Cost'!$C$23</f>
        <v>0</v>
      </c>
      <c r="AC147" s="128"/>
      <c r="AD147" s="129"/>
      <c r="AE147" s="127">
        <f>SUM(AD147,AC147,AB147,Y147,U147,T147,S147,R147)*'1. Standard_Cost'!$B$31</f>
        <v>0</v>
      </c>
      <c r="AF147" s="127">
        <f t="shared" si="126"/>
        <v>0</v>
      </c>
      <c r="AG147" s="126"/>
      <c r="AH147" s="126"/>
      <c r="AI147" s="126"/>
      <c r="AJ147" s="130"/>
      <c r="AK147" s="130"/>
      <c r="AL147" s="130"/>
      <c r="AM147" s="127">
        <f>AG147*'1. Standard_Cost'!$B$27+'Incremental_Cost Year 10'!AH147*'1. Standard_Cost'!$C$27+'Incremental_Cost Year 10'!AI147*'1. Standard_Cost'!$D$27+'Incremental_Cost Year 10'!AJ147+'Incremental_Cost Year 10'!AL147+AK147</f>
        <v>0</v>
      </c>
      <c r="AN147" s="127">
        <f>AM147*'1. Standard_Cost'!$C$31</f>
        <v>0</v>
      </c>
      <c r="AO147" s="130"/>
      <c r="AP147" s="239"/>
      <c r="AQ147" s="171">
        <f t="shared" si="127"/>
        <v>0</v>
      </c>
      <c r="AR147" s="171">
        <f t="shared" si="128"/>
        <v>0</v>
      </c>
      <c r="AS147" s="171">
        <f t="shared" si="129"/>
        <v>0</v>
      </c>
      <c r="AT147" s="171">
        <f t="shared" si="130"/>
        <v>0</v>
      </c>
      <c r="AU147" s="250"/>
      <c r="AV147" s="250"/>
      <c r="AW147" s="250"/>
      <c r="AX147" s="250"/>
      <c r="AY147" s="250"/>
      <c r="AZ147" s="250"/>
      <c r="BA147" s="250"/>
      <c r="BB147" s="251">
        <f t="shared" si="131"/>
        <v>0</v>
      </c>
    </row>
    <row r="148" spans="1:58" s="78" customFormat="1" ht="15.6" customHeight="1" outlineLevel="2" x14ac:dyDescent="0.25">
      <c r="A148" s="115"/>
      <c r="B148" s="147"/>
      <c r="C148" s="341"/>
      <c r="D148" s="343"/>
      <c r="E148" s="328"/>
      <c r="F148" s="328"/>
      <c r="G148" s="328"/>
      <c r="H148" s="199" t="s">
        <v>463</v>
      </c>
      <c r="I148" s="130"/>
      <c r="J148" s="126"/>
      <c r="K148" s="126"/>
      <c r="L148" s="125" t="str">
        <f>IF(I148&lt;&gt;0,((VLOOKUP(I148,'1. Standard_Cost'!$B$4:$D$11,2)+VLOOKUP(I148,'1. Standard_Cost'!$B$4:$D$11,3))*J148*K148),"0")</f>
        <v>0</v>
      </c>
      <c r="M148" s="125">
        <f>L148*'1. Standard_Cost'!$F$4</f>
        <v>0</v>
      </c>
      <c r="N148" s="126"/>
      <c r="O148" s="126"/>
      <c r="P148" s="126"/>
      <c r="Q148" s="126"/>
      <c r="R148" s="127">
        <f>'1. Standard_Cost'!$B$15*N148*P148</f>
        <v>0</v>
      </c>
      <c r="S148" s="127">
        <f>N148*O148*P148*'1. Standard_Cost'!$C$15</f>
        <v>0</v>
      </c>
      <c r="T148" s="127">
        <f>N148*P148*Q148*'1. Standard_Cost'!$D$15</f>
        <v>0</v>
      </c>
      <c r="U148" s="127">
        <f>N148*O148*'1. Standard_Cost'!$E$15</f>
        <v>0</v>
      </c>
      <c r="V148" s="126"/>
      <c r="W148" s="126"/>
      <c r="X148" s="126"/>
      <c r="Y148" s="127">
        <f>+V148*((X148*'1. Standard_Cost'!$B$19)+(W148*X148*'1. Standard_Cost'!$C$19))</f>
        <v>0</v>
      </c>
      <c r="Z148" s="126"/>
      <c r="AA148" s="126"/>
      <c r="AB148" s="127">
        <f>+Z148*'1. Standard_Cost'!$B$23+AA148*'1. Standard_Cost'!$C$23</f>
        <v>0</v>
      </c>
      <c r="AC148" s="128"/>
      <c r="AD148" s="129"/>
      <c r="AE148" s="127">
        <f>SUM(AD148,AC148,AB148,Y148,U148,T148,S148,R148)*'1. Standard_Cost'!$B$31</f>
        <v>0</v>
      </c>
      <c r="AF148" s="127">
        <f t="shared" si="126"/>
        <v>0</v>
      </c>
      <c r="AG148" s="126"/>
      <c r="AH148" s="126"/>
      <c r="AI148" s="126"/>
      <c r="AJ148" s="130"/>
      <c r="AK148" s="130"/>
      <c r="AL148" s="130"/>
      <c r="AM148" s="127">
        <f>AG148*'1. Standard_Cost'!$B$27+'Incremental_Cost Year 10'!AH148*'1. Standard_Cost'!$C$27+'Incremental_Cost Year 10'!AI148*'1. Standard_Cost'!$D$27+'Incremental_Cost Year 10'!AJ148+'Incremental_Cost Year 10'!AL148+AK148</f>
        <v>0</v>
      </c>
      <c r="AN148" s="127">
        <f>AM148*'1. Standard_Cost'!$C$31</f>
        <v>0</v>
      </c>
      <c r="AO148" s="130"/>
      <c r="AP148" s="239"/>
      <c r="AQ148" s="171">
        <f t="shared" si="127"/>
        <v>0</v>
      </c>
      <c r="AR148" s="171">
        <f t="shared" si="128"/>
        <v>0</v>
      </c>
      <c r="AS148" s="171">
        <f t="shared" si="129"/>
        <v>0</v>
      </c>
      <c r="AT148" s="171">
        <f t="shared" si="130"/>
        <v>0</v>
      </c>
      <c r="AU148" s="250"/>
      <c r="AV148" s="250"/>
      <c r="AW148" s="250"/>
      <c r="AX148" s="250"/>
      <c r="AY148" s="250"/>
      <c r="AZ148" s="250"/>
      <c r="BA148" s="250"/>
      <c r="BB148" s="251">
        <f t="shared" si="131"/>
        <v>0</v>
      </c>
    </row>
    <row r="149" spans="1:58" s="78" customFormat="1" ht="141.75" outlineLevel="1" x14ac:dyDescent="0.25">
      <c r="A149" s="115"/>
      <c r="B149" s="165"/>
      <c r="C149" s="166"/>
      <c r="D149" s="228" t="s">
        <v>464</v>
      </c>
      <c r="E149" s="345" t="s">
        <v>296</v>
      </c>
      <c r="F149" s="136">
        <v>2024</v>
      </c>
      <c r="G149" s="117">
        <v>2030</v>
      </c>
      <c r="H149" s="110" t="s">
        <v>297</v>
      </c>
      <c r="I149" s="252"/>
      <c r="J149" s="252"/>
      <c r="K149" s="252"/>
      <c r="L149" s="127">
        <f>SUM(L141:L148)</f>
        <v>0</v>
      </c>
      <c r="M149" s="127">
        <f>SUM(M141:M148)</f>
        <v>0</v>
      </c>
      <c r="N149" s="127"/>
      <c r="O149" s="252"/>
      <c r="P149" s="252"/>
      <c r="Q149" s="252"/>
      <c r="R149" s="127">
        <f>SUM(R141:R148)</f>
        <v>0</v>
      </c>
      <c r="S149" s="127">
        <f>SUM(S141:S148)</f>
        <v>0</v>
      </c>
      <c r="T149" s="127">
        <f>SUM(T141:T148)</f>
        <v>0</v>
      </c>
      <c r="U149" s="127">
        <f>SUM(U141:U148)</f>
        <v>0</v>
      </c>
      <c r="V149" s="252"/>
      <c r="W149" s="252"/>
      <c r="X149" s="252"/>
      <c r="Y149" s="127">
        <f>SUM(Y141:Y148)</f>
        <v>0</v>
      </c>
      <c r="Z149" s="252"/>
      <c r="AA149" s="252"/>
      <c r="AB149" s="127">
        <f>SUM(AB141:AB148)</f>
        <v>0</v>
      </c>
      <c r="AC149" s="127">
        <f>SUM(AC141:AC148)</f>
        <v>0</v>
      </c>
      <c r="AD149" s="127">
        <f>SUM(AD141:AD148)</f>
        <v>0</v>
      </c>
      <c r="AE149" s="127">
        <f>SUM(AE141:AE148)</f>
        <v>0</v>
      </c>
      <c r="AF149" s="127">
        <f>SUM(AF141:AF148)</f>
        <v>0</v>
      </c>
      <c r="AG149" s="252"/>
      <c r="AH149" s="252"/>
      <c r="AI149" s="252"/>
      <c r="AJ149" s="127">
        <f>SUM(AJ141:AJ148)</f>
        <v>0</v>
      </c>
      <c r="AK149" s="127">
        <f>SUM(AK141:AK148)</f>
        <v>0</v>
      </c>
      <c r="AL149" s="127">
        <f>SUM(AL141:AL148)</f>
        <v>0</v>
      </c>
      <c r="AM149" s="127">
        <f>SUM(AM141:AM148)</f>
        <v>0</v>
      </c>
      <c r="AN149" s="127">
        <f>SUM(AN141:AN148)</f>
        <v>0</v>
      </c>
      <c r="AO149" s="253"/>
      <c r="AP149" s="254"/>
      <c r="AQ149" s="175">
        <f t="shared" ref="AQ149:BB149" si="132">SUM(AQ141:AQ148)</f>
        <v>0</v>
      </c>
      <c r="AR149" s="175">
        <f t="shared" si="132"/>
        <v>0</v>
      </c>
      <c r="AS149" s="175">
        <f t="shared" si="132"/>
        <v>0</v>
      </c>
      <c r="AT149" s="175">
        <f t="shared" si="132"/>
        <v>0</v>
      </c>
      <c r="AU149" s="175">
        <f t="shared" si="132"/>
        <v>0</v>
      </c>
      <c r="AV149" s="175">
        <f t="shared" si="132"/>
        <v>0</v>
      </c>
      <c r="AW149" s="175">
        <f t="shared" si="132"/>
        <v>0</v>
      </c>
      <c r="AX149" s="175">
        <f t="shared" si="132"/>
        <v>0</v>
      </c>
      <c r="AY149" s="175">
        <f t="shared" si="132"/>
        <v>0</v>
      </c>
      <c r="AZ149" s="175">
        <f t="shared" si="132"/>
        <v>0</v>
      </c>
      <c r="BA149" s="175">
        <f t="shared" si="132"/>
        <v>0</v>
      </c>
      <c r="BB149" s="175">
        <f t="shared" si="132"/>
        <v>0</v>
      </c>
    </row>
    <row r="150" spans="1:58" s="32" customFormat="1" ht="43.9" customHeight="1" x14ac:dyDescent="0.25">
      <c r="A150" s="120"/>
      <c r="B150" s="388" t="s">
        <v>231</v>
      </c>
      <c r="C150" s="393"/>
      <c r="D150" s="393"/>
      <c r="E150" s="394"/>
      <c r="F150" s="113"/>
      <c r="G150" s="113"/>
      <c r="H150" s="148" t="s">
        <v>166</v>
      </c>
      <c r="I150" s="265"/>
      <c r="J150" s="243"/>
      <c r="K150" s="243"/>
      <c r="L150" s="243">
        <f>L151+L163+L182</f>
        <v>1592750050</v>
      </c>
      <c r="M150" s="243">
        <f>M151+M163+M182</f>
        <v>265989258.35000002</v>
      </c>
      <c r="N150" s="243"/>
      <c r="O150" s="243"/>
      <c r="P150" s="243"/>
      <c r="Q150" s="243"/>
      <c r="R150" s="243">
        <f>R151+R163+R182</f>
        <v>0</v>
      </c>
      <c r="S150" s="243">
        <f>S151+S163+S182</f>
        <v>0</v>
      </c>
      <c r="T150" s="243">
        <f>T151+T163+T182</f>
        <v>0</v>
      </c>
      <c r="U150" s="243">
        <f>U151+U163+U182</f>
        <v>0</v>
      </c>
      <c r="V150" s="243"/>
      <c r="W150" s="243"/>
      <c r="X150" s="243"/>
      <c r="Y150" s="243"/>
      <c r="Z150" s="243">
        <v>0</v>
      </c>
      <c r="AA150" s="243"/>
      <c r="AB150" s="243">
        <f>AB151+AB163+AB182</f>
        <v>570000</v>
      </c>
      <c r="AC150" s="243">
        <f>AC151+AC163+AC182</f>
        <v>4050572730</v>
      </c>
      <c r="AD150" s="243">
        <f>AD151+AD163+AD182</f>
        <v>0</v>
      </c>
      <c r="AE150" s="243">
        <f>AE151+AE163+AE182</f>
        <v>14397151</v>
      </c>
      <c r="AF150" s="243">
        <f>AF151+AF163+AF182</f>
        <v>4065539881</v>
      </c>
      <c r="AG150" s="243"/>
      <c r="AH150" s="243"/>
      <c r="AI150" s="243"/>
      <c r="AJ150" s="243">
        <f>AJ151+AJ163+AJ182</f>
        <v>641134000</v>
      </c>
      <c r="AK150" s="243">
        <f>AK151+AK163+AK182</f>
        <v>0</v>
      </c>
      <c r="AL150" s="243">
        <f>AL151+AL163+AL182</f>
        <v>302394667.33333337</v>
      </c>
      <c r="AM150" s="243">
        <f>AM151+AM163+AM182</f>
        <v>943528667.33333325</v>
      </c>
      <c r="AN150" s="243">
        <f>AN151+AN163+AN182</f>
        <v>0</v>
      </c>
      <c r="AO150" s="243"/>
      <c r="AP150" s="244"/>
      <c r="AQ150" s="243">
        <f t="shared" ref="AQ150:BB150" si="133">AQ151+AQ163+AQ182</f>
        <v>1858739308.3499999</v>
      </c>
      <c r="AR150" s="243">
        <f t="shared" si="133"/>
        <v>4065539881</v>
      </c>
      <c r="AS150" s="243">
        <f t="shared" si="133"/>
        <v>943528667.33333325</v>
      </c>
      <c r="AT150" s="243">
        <f t="shared" si="133"/>
        <v>6867807856.6833324</v>
      </c>
      <c r="AU150" s="243">
        <f t="shared" ref="AU150:BA150" si="134">AU151+AU163+AU182</f>
        <v>6579978690.4666672</v>
      </c>
      <c r="AV150" s="243">
        <f t="shared" si="134"/>
        <v>45200000</v>
      </c>
      <c r="AW150" s="243">
        <f t="shared" si="134"/>
        <v>55200000</v>
      </c>
      <c r="AX150" s="243">
        <f t="shared" si="134"/>
        <v>0</v>
      </c>
      <c r="AY150" s="243">
        <f t="shared" si="134"/>
        <v>0</v>
      </c>
      <c r="AZ150" s="243">
        <f t="shared" si="134"/>
        <v>186745167</v>
      </c>
      <c r="BA150" s="243">
        <f t="shared" si="134"/>
        <v>0</v>
      </c>
      <c r="BB150" s="243">
        <f t="shared" si="133"/>
        <v>-683999.21666656912</v>
      </c>
      <c r="BC150" s="72"/>
      <c r="BD150" s="72"/>
      <c r="BE150" s="72"/>
      <c r="BF150" s="72"/>
    </row>
    <row r="151" spans="1:58" s="42" customFormat="1" ht="67.150000000000006" customHeight="1" x14ac:dyDescent="0.25">
      <c r="A151" s="143"/>
      <c r="B151" s="285"/>
      <c r="C151" s="391" t="s">
        <v>232</v>
      </c>
      <c r="D151" s="391"/>
      <c r="E151" s="392"/>
      <c r="F151" s="280"/>
      <c r="G151" s="282"/>
      <c r="H151" s="149" t="s">
        <v>167</v>
      </c>
      <c r="I151" s="257"/>
      <c r="J151" s="257"/>
      <c r="K151" s="257"/>
      <c r="L151" s="258">
        <f>L156+L159+L162</f>
        <v>1838200</v>
      </c>
      <c r="M151" s="258">
        <f>M156+M159+M162</f>
        <v>306979.40000000002</v>
      </c>
      <c r="N151" s="257"/>
      <c r="O151" s="257"/>
      <c r="P151" s="257"/>
      <c r="Q151" s="257"/>
      <c r="R151" s="258">
        <f>R156+R159+R162</f>
        <v>0</v>
      </c>
      <c r="S151" s="258">
        <f>S156+S159+S162</f>
        <v>0</v>
      </c>
      <c r="T151" s="258">
        <f>T156+T159+T162</f>
        <v>0</v>
      </c>
      <c r="U151" s="258">
        <f>U156+U159+U162</f>
        <v>0</v>
      </c>
      <c r="V151" s="257"/>
      <c r="W151" s="257"/>
      <c r="X151" s="257"/>
      <c r="Y151" s="258"/>
      <c r="Z151" s="258">
        <v>0</v>
      </c>
      <c r="AA151" s="257"/>
      <c r="AB151" s="258">
        <f>AB156+AB159+AB162</f>
        <v>0</v>
      </c>
      <c r="AC151" s="258">
        <f>AC156+AC159+AC162</f>
        <v>6050000</v>
      </c>
      <c r="AD151" s="258">
        <f>AD156+AD159+AD162</f>
        <v>0</v>
      </c>
      <c r="AE151" s="258">
        <f>AE156+AE159+AE162</f>
        <v>1210000</v>
      </c>
      <c r="AF151" s="258">
        <f>AF156+AF159+AF162</f>
        <v>7260000</v>
      </c>
      <c r="AG151" s="257"/>
      <c r="AH151" s="257"/>
      <c r="AI151" s="257"/>
      <c r="AJ151" s="258">
        <f>AJ156+AJ159+AJ162</f>
        <v>335734000</v>
      </c>
      <c r="AK151" s="258">
        <f>AK156+AK159+AK162</f>
        <v>0</v>
      </c>
      <c r="AL151" s="258">
        <f>AL156+AL159+AL162</f>
        <v>159615833.33333334</v>
      </c>
      <c r="AM151" s="258">
        <f>AM156+AM159+AM162</f>
        <v>495349833.33333331</v>
      </c>
      <c r="AN151" s="258">
        <f>AN156+AN159+AN162</f>
        <v>0</v>
      </c>
      <c r="AO151" s="259"/>
      <c r="AP151" s="260"/>
      <c r="AQ151" s="258">
        <f t="shared" ref="AQ151:BB151" si="135">AQ156+AQ159+AQ162</f>
        <v>2145179.4</v>
      </c>
      <c r="AR151" s="258">
        <f t="shared" si="135"/>
        <v>7260000</v>
      </c>
      <c r="AS151" s="258">
        <f t="shared" si="135"/>
        <v>495349833.33333331</v>
      </c>
      <c r="AT151" s="258">
        <f t="shared" si="135"/>
        <v>504755012.73333329</v>
      </c>
      <c r="AU151" s="258">
        <f t="shared" si="135"/>
        <v>318009845.66666669</v>
      </c>
      <c r="AV151" s="258">
        <f t="shared" si="135"/>
        <v>0</v>
      </c>
      <c r="AW151" s="258">
        <f t="shared" si="135"/>
        <v>0</v>
      </c>
      <c r="AX151" s="258">
        <f t="shared" si="135"/>
        <v>0</v>
      </c>
      <c r="AY151" s="258">
        <f t="shared" si="135"/>
        <v>0</v>
      </c>
      <c r="AZ151" s="258">
        <f t="shared" si="135"/>
        <v>186745167</v>
      </c>
      <c r="BA151" s="258">
        <f t="shared" si="135"/>
        <v>0</v>
      </c>
      <c r="BB151" s="258">
        <f t="shared" si="135"/>
        <v>-6.6666664555668831E-2</v>
      </c>
      <c r="BC151" s="73"/>
      <c r="BD151" s="73"/>
      <c r="BE151" s="73"/>
      <c r="BF151" s="73"/>
    </row>
    <row r="152" spans="1:58" ht="47.25" outlineLevel="2" x14ac:dyDescent="0.25">
      <c r="A152" s="115"/>
      <c r="B152" s="200"/>
      <c r="C152" s="201"/>
      <c r="D152" s="202"/>
      <c r="E152" s="276"/>
      <c r="F152" s="306"/>
      <c r="G152" s="307"/>
      <c r="H152" s="199" t="s">
        <v>465</v>
      </c>
      <c r="I152" s="130"/>
      <c r="J152" s="126"/>
      <c r="K152" s="126"/>
      <c r="L152" s="125" t="str">
        <f>IF(I152&lt;&gt;0,((VLOOKUP(I152,'1. Standard_Cost'!$B$4:$D$11,2)+VLOOKUP(I152,'1. Standard_Cost'!$B$4:$D$11,3))*J152*K152),"0")</f>
        <v>0</v>
      </c>
      <c r="M152" s="125">
        <f>L152*'1. Standard_Cost'!$F$4</f>
        <v>0</v>
      </c>
      <c r="N152" s="126"/>
      <c r="O152" s="126"/>
      <c r="P152" s="126"/>
      <c r="Q152" s="126"/>
      <c r="R152" s="127">
        <f>'1. Standard_Cost'!$B$15*N152*P152</f>
        <v>0</v>
      </c>
      <c r="S152" s="127">
        <f>N152*O152*P152*'1. Standard_Cost'!$C$15</f>
        <v>0</v>
      </c>
      <c r="T152" s="127">
        <f>N152*P152*Q152*'1. Standard_Cost'!$D$15</f>
        <v>0</v>
      </c>
      <c r="U152" s="127">
        <f>N152*O152*'1. Standard_Cost'!$E$15</f>
        <v>0</v>
      </c>
      <c r="V152" s="126"/>
      <c r="W152" s="126"/>
      <c r="X152" s="126"/>
      <c r="Y152" s="127">
        <f>+V152*((X152*'1. Standard_Cost'!$B$19)+(W152*X152*'1. Standard_Cost'!$C$19))</f>
        <v>0</v>
      </c>
      <c r="Z152" s="126"/>
      <c r="AA152" s="126"/>
      <c r="AB152" s="127">
        <f>+Z152*'1. Standard_Cost'!$B$23+AA152*'1. Standard_Cost'!$C$23</f>
        <v>0</v>
      </c>
      <c r="AC152" s="128"/>
      <c r="AD152" s="129"/>
      <c r="AE152" s="127">
        <f>SUM(AD152,AC152,AB152,Y152,U152,T152,S152,R152)*'1. Standard_Cost'!$B$31</f>
        <v>0</v>
      </c>
      <c r="AF152" s="127">
        <f>SUM(AE152,AD152,AC152,AB152,Y152,U152,T152,S152,R152)</f>
        <v>0</v>
      </c>
      <c r="AG152" s="126"/>
      <c r="AH152" s="126"/>
      <c r="AI152" s="126"/>
      <c r="AJ152" s="130">
        <f>177734000+158000000</f>
        <v>335734000</v>
      </c>
      <c r="AK152" s="130"/>
      <c r="AL152" s="130">
        <v>132164000</v>
      </c>
      <c r="AM152" s="127">
        <f>AG152*'1. Standard_Cost'!$B$27+'Incremental_Cost Year 1'!AH152*'1. Standard_Cost'!$C$27+'Incremental_Cost Year 1'!AI152*'1. Standard_Cost'!$D$27+'Incremental_Cost Year 1'!AJ152+'Incremental_Cost Year 1'!AL152+AK152</f>
        <v>467898000</v>
      </c>
      <c r="AN152" s="127"/>
      <c r="AO152" s="130"/>
      <c r="AP152" s="256"/>
      <c r="AQ152" s="171">
        <f>L152+M152</f>
        <v>0</v>
      </c>
      <c r="AR152" s="171">
        <f>AF152</f>
        <v>0</v>
      </c>
      <c r="AS152" s="171">
        <f>AM152+AN152</f>
        <v>467898000</v>
      </c>
      <c r="AT152" s="171">
        <f>SUM(AQ152,AR152,AS152)</f>
        <v>467898000</v>
      </c>
      <c r="AU152" s="250">
        <v>309898000</v>
      </c>
      <c r="AV152" s="250"/>
      <c r="AW152" s="250"/>
      <c r="AX152" s="250"/>
      <c r="AY152" s="250"/>
      <c r="AZ152" s="250">
        <v>158000000</v>
      </c>
      <c r="BA152" s="250"/>
      <c r="BB152" s="251">
        <f>SUM(AU152:BA152)-AT152</f>
        <v>0</v>
      </c>
      <c r="BC152" s="71"/>
      <c r="BD152" s="71"/>
      <c r="BE152" s="71"/>
      <c r="BF152" s="71"/>
    </row>
    <row r="153" spans="1:58" ht="110.25" outlineLevel="2" x14ac:dyDescent="0.25">
      <c r="A153" s="115"/>
      <c r="B153" s="200"/>
      <c r="C153" s="201"/>
      <c r="D153" s="116"/>
      <c r="E153" s="230"/>
      <c r="F153" s="308"/>
      <c r="G153" s="309"/>
      <c r="H153" s="199" t="s">
        <v>466</v>
      </c>
      <c r="I153" s="130"/>
      <c r="J153" s="126"/>
      <c r="K153" s="126"/>
      <c r="L153" s="125" t="str">
        <f>IF(I153&lt;&gt;0,((VLOOKUP(I153,'1. Standard_Cost'!$B$4:$D$11,2)+VLOOKUP(I153,'1. Standard_Cost'!$B$4:$D$11,3))*J153*K153),"0")</f>
        <v>0</v>
      </c>
      <c r="M153" s="125">
        <f>L153*'1. Standard_Cost'!$F$4</f>
        <v>0</v>
      </c>
      <c r="N153" s="126"/>
      <c r="O153" s="126"/>
      <c r="P153" s="126"/>
      <c r="Q153" s="126"/>
      <c r="R153" s="127">
        <f>'1. Standard_Cost'!$B$15*N153*P153</f>
        <v>0</v>
      </c>
      <c r="S153" s="127">
        <f>N153*O153*P153*'1. Standard_Cost'!$C$15</f>
        <v>0</v>
      </c>
      <c r="T153" s="127">
        <f>N153*P153*Q153*'1. Standard_Cost'!$D$15</f>
        <v>0</v>
      </c>
      <c r="U153" s="127">
        <f>N153*O153*'1. Standard_Cost'!$E$15</f>
        <v>0</v>
      </c>
      <c r="V153" s="126"/>
      <c r="W153" s="126"/>
      <c r="X153" s="126"/>
      <c r="Y153" s="127">
        <f>+V153*((X153*'1. Standard_Cost'!$B$19)+(W153*X153*'1. Standard_Cost'!$C$19))</f>
        <v>0</v>
      </c>
      <c r="Z153" s="126"/>
      <c r="AA153" s="126"/>
      <c r="AB153" s="127">
        <f>+Z153*'1. Standard_Cost'!$B$23+AA153*'1. Standard_Cost'!$C$23</f>
        <v>0</v>
      </c>
      <c r="AC153" s="128"/>
      <c r="AD153" s="129"/>
      <c r="AE153" s="127">
        <f>SUM(AD153,AC153,AB153,Y153,U153,T153,S153,R153)*'1. Standard_Cost'!$B$31</f>
        <v>0</v>
      </c>
      <c r="AF153" s="127">
        <f>SUM(AE153,AD153,AC153,AB153,Y153,U153,T153,S153,R153)</f>
        <v>0</v>
      </c>
      <c r="AG153" s="126"/>
      <c r="AH153" s="126"/>
      <c r="AI153" s="126"/>
      <c r="AJ153" s="130"/>
      <c r="AK153" s="130"/>
      <c r="AL153" s="130"/>
      <c r="AM153" s="127">
        <f>AG153*'1. Standard_Cost'!$B$27+'Incremental_Cost Year 1'!AH153*'1. Standard_Cost'!$C$27+'Incremental_Cost Year 1'!AI153*'1. Standard_Cost'!$D$27+'Incremental_Cost Year 1'!AJ153+'Incremental_Cost Year 1'!AL153+AK153</f>
        <v>0</v>
      </c>
      <c r="AN153" s="127">
        <f>AM153*'1. Standard_Cost'!$C$31</f>
        <v>0</v>
      </c>
      <c r="AO153" s="130"/>
      <c r="AP153" s="256"/>
      <c r="AQ153" s="171">
        <f>L153+M153</f>
        <v>0</v>
      </c>
      <c r="AR153" s="171">
        <f>AF153</f>
        <v>0</v>
      </c>
      <c r="AS153" s="171">
        <f>AM153+AN153</f>
        <v>0</v>
      </c>
      <c r="AT153" s="171">
        <f>SUM(AQ153,AR153,AS153)</f>
        <v>0</v>
      </c>
      <c r="AU153" s="250"/>
      <c r="AV153" s="250"/>
      <c r="AW153" s="250"/>
      <c r="AX153" s="250"/>
      <c r="AY153" s="250"/>
      <c r="AZ153" s="250"/>
      <c r="BA153" s="250"/>
      <c r="BB153" s="251">
        <f t="shared" ref="BB153:BB155" si="136">SUM(AU153:BA153)-AT153</f>
        <v>0</v>
      </c>
      <c r="BC153" s="71"/>
      <c r="BD153" s="71"/>
      <c r="BE153" s="71"/>
      <c r="BF153" s="71"/>
    </row>
    <row r="154" spans="1:58" ht="63" outlineLevel="2" x14ac:dyDescent="0.25">
      <c r="A154" s="115"/>
      <c r="B154" s="200"/>
      <c r="C154" s="201"/>
      <c r="D154" s="139"/>
      <c r="E154" s="230"/>
      <c r="F154" s="308"/>
      <c r="G154" s="309"/>
      <c r="H154" s="199" t="s">
        <v>467</v>
      </c>
      <c r="I154" s="130"/>
      <c r="J154" s="126"/>
      <c r="K154" s="126"/>
      <c r="L154" s="125" t="str">
        <f>IF(I154&lt;&gt;0,((VLOOKUP(I154,'1. Standard_Cost'!$B$4:$D$11,2)+VLOOKUP(I154,'1. Standard_Cost'!$B$4:$D$11,3))*J154*K154),"0")</f>
        <v>0</v>
      </c>
      <c r="M154" s="125">
        <f>L154*'1. Standard_Cost'!$F$4</f>
        <v>0</v>
      </c>
      <c r="N154" s="126"/>
      <c r="O154" s="126"/>
      <c r="P154" s="126"/>
      <c r="Q154" s="126"/>
      <c r="R154" s="127">
        <f>'1. Standard_Cost'!$B$15*N154*P154</f>
        <v>0</v>
      </c>
      <c r="S154" s="127">
        <f>N154*O154*P154*'1. Standard_Cost'!$C$15</f>
        <v>0</v>
      </c>
      <c r="T154" s="127">
        <f>N154*P154*Q154*'1. Standard_Cost'!$D$15</f>
        <v>0</v>
      </c>
      <c r="U154" s="127">
        <f>N154*O154*'1. Standard_Cost'!$E$15</f>
        <v>0</v>
      </c>
      <c r="V154" s="126"/>
      <c r="W154" s="126"/>
      <c r="X154" s="126"/>
      <c r="Y154" s="127">
        <f>+V154*((X154*'1. Standard_Cost'!$B$19)+(W154*X154*'1. Standard_Cost'!$C$19))</f>
        <v>0</v>
      </c>
      <c r="Z154" s="126"/>
      <c r="AA154" s="126"/>
      <c r="AB154" s="127">
        <f>+Z154*'1. Standard_Cost'!$B$23+AA154*'1. Standard_Cost'!$C$23</f>
        <v>0</v>
      </c>
      <c r="AC154" s="128"/>
      <c r="AD154" s="129"/>
      <c r="AE154" s="127">
        <f>SUM(AD154,AC154,AB154,Y154,U154,T154,S154,R154)*'1. Standard_Cost'!$B$31</f>
        <v>0</v>
      </c>
      <c r="AF154" s="127">
        <f>SUM(AE154,AD154,AC154,AB154,Y154,U154,T154,S154,R154)</f>
        <v>0</v>
      </c>
      <c r="AG154" s="126"/>
      <c r="AH154" s="126"/>
      <c r="AI154" s="126"/>
      <c r="AJ154" s="130"/>
      <c r="AK154" s="130"/>
      <c r="AL154" s="130"/>
      <c r="AM154" s="127">
        <f>AG154*'1. Standard_Cost'!$B$27+'Incremental_Cost Year 1'!AH154*'1. Standard_Cost'!$C$27+'Incremental_Cost Year 1'!AI154*'1. Standard_Cost'!$D$27+'Incremental_Cost Year 1'!AJ154+'Incremental_Cost Year 1'!AL154+AK154</f>
        <v>0</v>
      </c>
      <c r="AN154" s="127">
        <f>AM154*'1. Standard_Cost'!$C$31</f>
        <v>0</v>
      </c>
      <c r="AO154" s="130"/>
      <c r="AP154" s="256"/>
      <c r="AQ154" s="171">
        <f>L154+M154</f>
        <v>0</v>
      </c>
      <c r="AR154" s="171">
        <f>AF154</f>
        <v>0</v>
      </c>
      <c r="AS154" s="171">
        <f>AM154+AN154</f>
        <v>0</v>
      </c>
      <c r="AT154" s="171">
        <f>SUM(AQ154,AR154,AS154)</f>
        <v>0</v>
      </c>
      <c r="AU154" s="250"/>
      <c r="AV154" s="250"/>
      <c r="AW154" s="250"/>
      <c r="AX154" s="250"/>
      <c r="AY154" s="250"/>
      <c r="AZ154" s="250"/>
      <c r="BA154" s="250"/>
      <c r="BB154" s="251">
        <f t="shared" si="136"/>
        <v>0</v>
      </c>
      <c r="BC154" s="71"/>
      <c r="BD154" s="71"/>
      <c r="BE154" s="71"/>
      <c r="BF154" s="71"/>
    </row>
    <row r="155" spans="1:58" ht="126" outlineLevel="2" x14ac:dyDescent="0.25">
      <c r="A155" s="115"/>
      <c r="B155" s="200"/>
      <c r="C155" s="201"/>
      <c r="D155" s="151"/>
      <c r="E155" s="121"/>
      <c r="F155" s="311"/>
      <c r="G155" s="312"/>
      <c r="H155" s="199" t="s">
        <v>540</v>
      </c>
      <c r="I155" s="130"/>
      <c r="J155" s="126"/>
      <c r="K155" s="126"/>
      <c r="L155" s="125" t="str">
        <f>IF(I155&lt;&gt;0,((VLOOKUP(I155,'1. Standard_Cost'!$B$4:$D$11,2)+VLOOKUP(I155,'1. Standard_Cost'!$B$4:$D$11,3))*J155*K155),"0")</f>
        <v>0</v>
      </c>
      <c r="M155" s="125">
        <f>L155*'1. Standard_Cost'!$F$4</f>
        <v>0</v>
      </c>
      <c r="N155" s="126"/>
      <c r="O155" s="126"/>
      <c r="P155" s="126"/>
      <c r="Q155" s="126"/>
      <c r="R155" s="127">
        <f>'1. Standard_Cost'!$B$15*N155*P155</f>
        <v>0</v>
      </c>
      <c r="S155" s="127">
        <f>N155*O155*P155*'1. Standard_Cost'!$C$15</f>
        <v>0</v>
      </c>
      <c r="T155" s="127">
        <f>N155*P155*Q155*'1. Standard_Cost'!$D$15</f>
        <v>0</v>
      </c>
      <c r="U155" s="127">
        <f>N155*O155*'1. Standard_Cost'!$E$15</f>
        <v>0</v>
      </c>
      <c r="V155" s="126"/>
      <c r="W155" s="126"/>
      <c r="X155" s="126"/>
      <c r="Y155" s="127">
        <f>+V155*((X155*'1. Standard_Cost'!$B$19)+(W155*X155*'1. Standard_Cost'!$C$19))</f>
        <v>0</v>
      </c>
      <c r="Z155" s="126"/>
      <c r="AA155" s="126"/>
      <c r="AB155" s="127">
        <f>+Z155*'1. Standard_Cost'!$B$23+AA155*'1. Standard_Cost'!$C$23</f>
        <v>0</v>
      </c>
      <c r="AC155" s="128">
        <v>4300000</v>
      </c>
      <c r="AD155" s="129"/>
      <c r="AE155" s="127">
        <f>SUM(AD155,AC155,AB155,Y155,U155,T155,S155,R155)*'1. Standard_Cost'!$B$31</f>
        <v>860000</v>
      </c>
      <c r="AF155" s="127">
        <f>SUM(AE155,AD155,AC155,AB155,Y155,U155,T155,S155,R155)</f>
        <v>5160000</v>
      </c>
      <c r="AG155" s="126"/>
      <c r="AH155" s="126"/>
      <c r="AI155" s="126"/>
      <c r="AJ155" s="130"/>
      <c r="AK155" s="130"/>
      <c r="AL155" s="130"/>
      <c r="AM155" s="127">
        <f>AG155*'1. Standard_Cost'!$B$27+'Incremental_Cost Year 1'!AH155*'1. Standard_Cost'!$C$27+'Incremental_Cost Year 1'!AI155*'1. Standard_Cost'!$D$27+'Incremental_Cost Year 1'!AJ155+'Incremental_Cost Year 1'!AL155+AK155</f>
        <v>0</v>
      </c>
      <c r="AN155" s="127">
        <f>AM155*'1. Standard_Cost'!$C$31</f>
        <v>0</v>
      </c>
      <c r="AO155" s="130"/>
      <c r="AP155" s="256"/>
      <c r="AQ155" s="171">
        <f>L155+M155</f>
        <v>0</v>
      </c>
      <c r="AR155" s="171">
        <f>AF155</f>
        <v>5160000</v>
      </c>
      <c r="AS155" s="171">
        <f>AM155+AN155</f>
        <v>0</v>
      </c>
      <c r="AT155" s="171">
        <f>SUM(AQ155,AR155,AS155)</f>
        <v>5160000</v>
      </c>
      <c r="AU155" s="250"/>
      <c r="AV155" s="250"/>
      <c r="AW155" s="250"/>
      <c r="AX155" s="250"/>
      <c r="AY155" s="250"/>
      <c r="AZ155" s="250">
        <v>5160000</v>
      </c>
      <c r="BA155" s="250"/>
      <c r="BB155" s="251">
        <f t="shared" si="136"/>
        <v>0</v>
      </c>
      <c r="BC155" s="71"/>
      <c r="BD155" s="71"/>
      <c r="BE155" s="71"/>
      <c r="BF155" s="71"/>
    </row>
    <row r="156" spans="1:58" ht="47.25" outlineLevel="2" x14ac:dyDescent="0.25">
      <c r="A156" s="115"/>
      <c r="B156" s="165"/>
      <c r="C156" s="166"/>
      <c r="D156" s="212" t="s">
        <v>233</v>
      </c>
      <c r="E156" s="212" t="s">
        <v>468</v>
      </c>
      <c r="F156" s="136">
        <v>2021</v>
      </c>
      <c r="G156" s="117">
        <v>2025</v>
      </c>
      <c r="H156" s="110" t="s">
        <v>168</v>
      </c>
      <c r="I156" s="252"/>
      <c r="J156" s="252"/>
      <c r="K156" s="252"/>
      <c r="L156" s="127">
        <f>SUM(L152:L155)</f>
        <v>0</v>
      </c>
      <c r="M156" s="127">
        <f>SUM(M152:M155)</f>
        <v>0</v>
      </c>
      <c r="N156" s="252"/>
      <c r="O156" s="252"/>
      <c r="P156" s="252"/>
      <c r="Q156" s="252"/>
      <c r="R156" s="127">
        <f>SUM(R152:R155)</f>
        <v>0</v>
      </c>
      <c r="S156" s="127">
        <f>SUM(S152:S155)</f>
        <v>0</v>
      </c>
      <c r="T156" s="127">
        <f>SUM(T152:T155)</f>
        <v>0</v>
      </c>
      <c r="U156" s="127">
        <f>SUM(U152:U155)</f>
        <v>0</v>
      </c>
      <c r="V156" s="252"/>
      <c r="W156" s="252"/>
      <c r="X156" s="252"/>
      <c r="Y156" s="127">
        <f>SUM(Y152:Y155)</f>
        <v>0</v>
      </c>
      <c r="Z156" s="252"/>
      <c r="AA156" s="252"/>
      <c r="AB156" s="127">
        <f>SUM(AB152:AB155)</f>
        <v>0</v>
      </c>
      <c r="AC156" s="127">
        <f>SUM(AC152:AC155)</f>
        <v>4300000</v>
      </c>
      <c r="AD156" s="127">
        <f>SUM(AD152:AD155)</f>
        <v>0</v>
      </c>
      <c r="AE156" s="127">
        <f>SUM(AE152:AE155)</f>
        <v>860000</v>
      </c>
      <c r="AF156" s="127">
        <f>SUM(AF152:AF155)</f>
        <v>5160000</v>
      </c>
      <c r="AG156" s="252"/>
      <c r="AH156" s="252"/>
      <c r="AI156" s="252"/>
      <c r="AJ156" s="127">
        <f>SUM(AJ152:AJ155)</f>
        <v>335734000</v>
      </c>
      <c r="AK156" s="127">
        <f>SUM(AK152:AK155)</f>
        <v>0</v>
      </c>
      <c r="AL156" s="127">
        <f>SUM(AL152:AL155)</f>
        <v>132164000</v>
      </c>
      <c r="AM156" s="127">
        <f>SUM(AM152:AM155)</f>
        <v>467898000</v>
      </c>
      <c r="AN156" s="127">
        <f>SUM(AN152:AN155)</f>
        <v>0</v>
      </c>
      <c r="AO156" s="253"/>
      <c r="AP156" s="254"/>
      <c r="AQ156" s="175">
        <f>SUM(AQ152:AQ155)</f>
        <v>0</v>
      </c>
      <c r="AR156" s="175">
        <f>SUM(AR152:AR155)</f>
        <v>5160000</v>
      </c>
      <c r="AS156" s="175">
        <f>SUM(AS152:AS155)</f>
        <v>467898000</v>
      </c>
      <c r="AT156" s="175">
        <f>SUM(AT152:AT155)</f>
        <v>473058000</v>
      </c>
      <c r="AU156" s="175">
        <f t="shared" ref="AU156:BA156" si="137">SUM(AU152:AU155)</f>
        <v>309898000</v>
      </c>
      <c r="AV156" s="175">
        <f t="shared" si="137"/>
        <v>0</v>
      </c>
      <c r="AW156" s="175">
        <f t="shared" si="137"/>
        <v>0</v>
      </c>
      <c r="AX156" s="175">
        <f t="shared" si="137"/>
        <v>0</v>
      </c>
      <c r="AY156" s="175">
        <f t="shared" si="137"/>
        <v>0</v>
      </c>
      <c r="AZ156" s="175">
        <f t="shared" si="137"/>
        <v>163160000</v>
      </c>
      <c r="BA156" s="175">
        <f t="shared" si="137"/>
        <v>0</v>
      </c>
      <c r="BB156" s="175">
        <f>SUM(BB152:BB155)</f>
        <v>0</v>
      </c>
      <c r="BC156" s="71"/>
      <c r="BD156" s="71"/>
      <c r="BE156" s="71"/>
      <c r="BF156" s="71"/>
    </row>
    <row r="157" spans="1:58" ht="126" outlineLevel="1" x14ac:dyDescent="0.25">
      <c r="A157" s="115"/>
      <c r="B157" s="200"/>
      <c r="C157" s="201"/>
      <c r="D157" s="342"/>
      <c r="E157" s="328"/>
      <c r="F157" s="328"/>
      <c r="G157" s="328"/>
      <c r="H157" s="213" t="s">
        <v>469</v>
      </c>
      <c r="I157" s="130"/>
      <c r="J157" s="126"/>
      <c r="K157" s="126"/>
      <c r="L157" s="125" t="str">
        <f>IF(I157&lt;&gt;0,((VLOOKUP(I157,'1. Standard_Cost'!$B$4:$D$11,2)+VLOOKUP(I157,'1. Standard_Cost'!$B$4:$D$11,3))*J157*K157),"0")</f>
        <v>0</v>
      </c>
      <c r="M157" s="125">
        <f>L157*'1. Standard_Cost'!$F$4</f>
        <v>0</v>
      </c>
      <c r="N157" s="126"/>
      <c r="O157" s="126"/>
      <c r="P157" s="126"/>
      <c r="Q157" s="126"/>
      <c r="R157" s="127">
        <f>'1. Standard_Cost'!$B$15*N157*P157</f>
        <v>0</v>
      </c>
      <c r="S157" s="127">
        <f>N157*O157*P157*'1. Standard_Cost'!$C$15</f>
        <v>0</v>
      </c>
      <c r="T157" s="127">
        <f>N157*P157*Q157*'1. Standard_Cost'!$D$15</f>
        <v>0</v>
      </c>
      <c r="U157" s="127">
        <f>N157*O157*'1. Standard_Cost'!$E$15</f>
        <v>0</v>
      </c>
      <c r="V157" s="126"/>
      <c r="W157" s="126"/>
      <c r="X157" s="126"/>
      <c r="Y157" s="127">
        <f>+V157*((X157*'1. Standard_Cost'!$B$19)+(W157*X157*'1. Standard_Cost'!$C$19))</f>
        <v>0</v>
      </c>
      <c r="Z157" s="126"/>
      <c r="AA157" s="126"/>
      <c r="AB157" s="127">
        <f>+Z157*'1. Standard_Cost'!$B$23+AA157*'1. Standard_Cost'!$C$23</f>
        <v>0</v>
      </c>
      <c r="AC157" s="128"/>
      <c r="AD157" s="129"/>
      <c r="AE157" s="127">
        <f>SUM(AD157,AC157,AB157,Y157,U157,T157,S157,R157)*'1. Standard_Cost'!$B$31</f>
        <v>0</v>
      </c>
      <c r="AF157" s="127">
        <f>SUM(AE157,AD157,AC157,AB157,Y157,U157,T157,S157,R157)</f>
        <v>0</v>
      </c>
      <c r="AG157" s="126"/>
      <c r="AH157" s="126"/>
      <c r="AI157" s="126"/>
      <c r="AJ157" s="130"/>
      <c r="AK157" s="130"/>
      <c r="AL157" s="130">
        <f>SUM(23200000+141511000)/6</f>
        <v>27451833.333333332</v>
      </c>
      <c r="AM157" s="127">
        <f>AG157*'1. Standard_Cost'!$B$27+'Incremental_Cost Year 1'!AH157*'1. Standard_Cost'!$C$27+'Incremental_Cost Year 1'!AI157*'1. Standard_Cost'!$D$27+'Incremental_Cost Year 1'!AJ157+'Incremental_Cost Year 1'!AL157+AK157</f>
        <v>27451833.333333332</v>
      </c>
      <c r="AN157" s="127"/>
      <c r="AO157" s="130"/>
      <c r="AP157" s="256"/>
      <c r="AQ157" s="171">
        <f>L157+M157</f>
        <v>0</v>
      </c>
      <c r="AR157" s="171">
        <f>AF157</f>
        <v>0</v>
      </c>
      <c r="AS157" s="171">
        <f>AM157+AN157</f>
        <v>27451833.333333332</v>
      </c>
      <c r="AT157" s="171">
        <f>SUM(AQ157,AR157,AS157)</f>
        <v>27451833.333333332</v>
      </c>
      <c r="AU157" s="250">
        <f>23200000/6</f>
        <v>3866666.6666666665</v>
      </c>
      <c r="AV157" s="250"/>
      <c r="AW157" s="250"/>
      <c r="AX157" s="250"/>
      <c r="AY157" s="250"/>
      <c r="AZ157" s="250">
        <v>23585167</v>
      </c>
      <c r="BA157" s="250"/>
      <c r="BB157" s="251">
        <f t="shared" ref="BB157:BB158" si="138">SUM(AU157:BA157)-AT157</f>
        <v>0.3333333358168602</v>
      </c>
      <c r="BC157" s="71"/>
      <c r="BD157" s="71"/>
      <c r="BE157" s="71"/>
      <c r="BF157" s="71"/>
    </row>
    <row r="158" spans="1:58" ht="47.25" outlineLevel="2" x14ac:dyDescent="0.25">
      <c r="A158" s="115"/>
      <c r="B158" s="200"/>
      <c r="C158" s="201"/>
      <c r="D158" s="344"/>
      <c r="E158" s="328"/>
      <c r="F158" s="328"/>
      <c r="G158" s="328"/>
      <c r="H158" s="199" t="s">
        <v>470</v>
      </c>
      <c r="I158" s="130"/>
      <c r="J158" s="126"/>
      <c r="K158" s="126"/>
      <c r="L158" s="125" t="str">
        <f>IF(I158&lt;&gt;0,((VLOOKUP(I158,'1. Standard_Cost'!$B$4:$D$11,2)+VLOOKUP(I158,'1. Standard_Cost'!$B$4:$D$11,3))*J158*K158),"0")</f>
        <v>0</v>
      </c>
      <c r="M158" s="125">
        <f>L158*'1. Standard_Cost'!$F$4</f>
        <v>0</v>
      </c>
      <c r="N158" s="126"/>
      <c r="O158" s="126"/>
      <c r="P158" s="126"/>
      <c r="Q158" s="126"/>
      <c r="R158" s="127">
        <f>'1. Standard_Cost'!$B$15*N158*P158</f>
        <v>0</v>
      </c>
      <c r="S158" s="127">
        <f>N158*O158*P158*'1. Standard_Cost'!$C$15</f>
        <v>0</v>
      </c>
      <c r="T158" s="127">
        <f>N158*P158*Q158*'1. Standard_Cost'!$D$15</f>
        <v>0</v>
      </c>
      <c r="U158" s="127">
        <f>N158*O158*'1. Standard_Cost'!$E$15</f>
        <v>0</v>
      </c>
      <c r="V158" s="126"/>
      <c r="W158" s="126"/>
      <c r="X158" s="126"/>
      <c r="Y158" s="127">
        <f>+V158*((X158*'1. Standard_Cost'!$B$19)+(W158*X158*'1. Standard_Cost'!$C$19))</f>
        <v>0</v>
      </c>
      <c r="Z158" s="126"/>
      <c r="AA158" s="126"/>
      <c r="AB158" s="127">
        <f>+Z158*'1. Standard_Cost'!$B$23+AA158*'1. Standard_Cost'!$C$23</f>
        <v>0</v>
      </c>
      <c r="AC158" s="128"/>
      <c r="AD158" s="129"/>
      <c r="AE158" s="127">
        <f>SUM(AD158,AC158,AB158,Y158,U158,T158,S158,R158)*'1. Standard_Cost'!$B$31</f>
        <v>0</v>
      </c>
      <c r="AF158" s="127">
        <f>SUM(AE158,AD158,AC158,AB158,Y158,U158,T158,S158,R158)</f>
        <v>0</v>
      </c>
      <c r="AG158" s="126"/>
      <c r="AH158" s="126"/>
      <c r="AI158" s="126"/>
      <c r="AJ158" s="130"/>
      <c r="AK158" s="130"/>
      <c r="AL158" s="130"/>
      <c r="AM158" s="127">
        <f>AG158*'1. Standard_Cost'!$B$27+'Incremental_Cost Year 1'!AH158*'1. Standard_Cost'!$C$27+'Incremental_Cost Year 1'!AI158*'1. Standard_Cost'!$D$27+'Incremental_Cost Year 1'!AJ158+'Incremental_Cost Year 1'!AL158+AK158</f>
        <v>0</v>
      </c>
      <c r="AN158" s="127">
        <f>AM158*'1. Standard_Cost'!$C$31</f>
        <v>0</v>
      </c>
      <c r="AO158" s="130"/>
      <c r="AP158" s="256"/>
      <c r="AQ158" s="171">
        <f>L158+M158</f>
        <v>0</v>
      </c>
      <c r="AR158" s="171">
        <f>AF158</f>
        <v>0</v>
      </c>
      <c r="AS158" s="171">
        <f>AM158+AN158</f>
        <v>0</v>
      </c>
      <c r="AT158" s="171">
        <f>SUM(AQ158,AR158,AS158)</f>
        <v>0</v>
      </c>
      <c r="AU158" s="250"/>
      <c r="AV158" s="250"/>
      <c r="AW158" s="250"/>
      <c r="AX158" s="250"/>
      <c r="AY158" s="250"/>
      <c r="AZ158" s="250"/>
      <c r="BA158" s="250"/>
      <c r="BB158" s="251">
        <f t="shared" si="138"/>
        <v>0</v>
      </c>
      <c r="BC158" s="71"/>
      <c r="BD158" s="71"/>
      <c r="BE158" s="71"/>
      <c r="BF158" s="71"/>
    </row>
    <row r="159" spans="1:58" ht="63" outlineLevel="2" x14ac:dyDescent="0.25">
      <c r="A159" s="115"/>
      <c r="B159" s="165"/>
      <c r="C159" s="166"/>
      <c r="D159" s="150" t="s">
        <v>471</v>
      </c>
      <c r="E159" s="212" t="s">
        <v>472</v>
      </c>
      <c r="F159" s="106">
        <v>2021</v>
      </c>
      <c r="G159" s="104">
        <v>2030</v>
      </c>
      <c r="H159" s="110" t="s">
        <v>179</v>
      </c>
      <c r="I159" s="252"/>
      <c r="J159" s="252"/>
      <c r="K159" s="252"/>
      <c r="L159" s="127">
        <f>SUM(L157:L158)</f>
        <v>0</v>
      </c>
      <c r="M159" s="127">
        <f>SUM(M157:M158)</f>
        <v>0</v>
      </c>
      <c r="N159" s="252"/>
      <c r="O159" s="252"/>
      <c r="P159" s="252"/>
      <c r="Q159" s="252"/>
      <c r="R159" s="127">
        <f>SUM(R157:R158)</f>
        <v>0</v>
      </c>
      <c r="S159" s="127">
        <f>SUM(S157:S158)</f>
        <v>0</v>
      </c>
      <c r="T159" s="127">
        <f>SUM(T157:T158)</f>
        <v>0</v>
      </c>
      <c r="U159" s="127">
        <f>SUM(U157:U158)</f>
        <v>0</v>
      </c>
      <c r="V159" s="252"/>
      <c r="W159" s="252"/>
      <c r="X159" s="252"/>
      <c r="Y159" s="127">
        <f>SUM(Y157:Y158)</f>
        <v>0</v>
      </c>
      <c r="Z159" s="252"/>
      <c r="AA159" s="252"/>
      <c r="AB159" s="127">
        <f>SUM(AB157:AB158)</f>
        <v>0</v>
      </c>
      <c r="AC159" s="127">
        <f>SUM(AC157:AC158)</f>
        <v>0</v>
      </c>
      <c r="AD159" s="127">
        <f>SUM(AD157:AD158)</f>
        <v>0</v>
      </c>
      <c r="AE159" s="127">
        <f>SUM(AE157:AE158)</f>
        <v>0</v>
      </c>
      <c r="AF159" s="127">
        <f>SUM(AF157:AF158)</f>
        <v>0</v>
      </c>
      <c r="AG159" s="252"/>
      <c r="AH159" s="252"/>
      <c r="AI159" s="252"/>
      <c r="AJ159" s="127">
        <f>SUM(AJ157:AJ158)</f>
        <v>0</v>
      </c>
      <c r="AK159" s="127">
        <f>SUM(AK157:AK158)</f>
        <v>0</v>
      </c>
      <c r="AL159" s="127">
        <f>SUM(AL157:AL158)</f>
        <v>27451833.333333332</v>
      </c>
      <c r="AM159" s="127">
        <f>SUM(AM157:AM158)</f>
        <v>27451833.333333332</v>
      </c>
      <c r="AN159" s="127">
        <f>SUM(AN157:AN158)</f>
        <v>0</v>
      </c>
      <c r="AO159" s="253"/>
      <c r="AP159" s="254"/>
      <c r="AQ159" s="175">
        <f t="shared" ref="AQ159:BB159" si="139">SUM(AQ157:AQ158)</f>
        <v>0</v>
      </c>
      <c r="AR159" s="175">
        <f t="shared" si="139"/>
        <v>0</v>
      </c>
      <c r="AS159" s="175">
        <f t="shared" si="139"/>
        <v>27451833.333333332</v>
      </c>
      <c r="AT159" s="175">
        <f t="shared" si="139"/>
        <v>27451833.333333332</v>
      </c>
      <c r="AU159" s="175">
        <f t="shared" si="139"/>
        <v>3866666.6666666665</v>
      </c>
      <c r="AV159" s="175">
        <f t="shared" si="139"/>
        <v>0</v>
      </c>
      <c r="AW159" s="175">
        <f t="shared" si="139"/>
        <v>0</v>
      </c>
      <c r="AX159" s="175">
        <f t="shared" si="139"/>
        <v>0</v>
      </c>
      <c r="AY159" s="175">
        <f t="shared" si="139"/>
        <v>0</v>
      </c>
      <c r="AZ159" s="175">
        <f t="shared" si="139"/>
        <v>23585167</v>
      </c>
      <c r="BA159" s="175">
        <f t="shared" si="139"/>
        <v>0</v>
      </c>
      <c r="BB159" s="175">
        <f t="shared" si="139"/>
        <v>0.3333333358168602</v>
      </c>
      <c r="BC159" s="71"/>
      <c r="BD159" s="71"/>
      <c r="BE159" s="71"/>
      <c r="BF159" s="71"/>
    </row>
    <row r="160" spans="1:58" ht="94.5" outlineLevel="2" x14ac:dyDescent="0.25">
      <c r="A160" s="115"/>
      <c r="B160" s="200"/>
      <c r="C160" s="201"/>
      <c r="D160" s="328"/>
      <c r="E160" s="328"/>
      <c r="F160" s="328"/>
      <c r="G160" s="328"/>
      <c r="H160" s="199" t="s">
        <v>473</v>
      </c>
      <c r="I160" s="130"/>
      <c r="J160" s="126"/>
      <c r="K160" s="126"/>
      <c r="L160" s="125" t="str">
        <f>IF(I160&lt;&gt;0,((VLOOKUP(I160,'1. Standard_Cost'!$B$4:$D$11,2)+VLOOKUP(I160,'1. Standard_Cost'!$B$4:$D$11,3))*J160*K160),"0")</f>
        <v>0</v>
      </c>
      <c r="M160" s="125">
        <f>L160*'1. Standard_Cost'!$F$4</f>
        <v>0</v>
      </c>
      <c r="N160" s="126"/>
      <c r="O160" s="126"/>
      <c r="P160" s="126"/>
      <c r="Q160" s="126"/>
      <c r="R160" s="127">
        <f>'1. Standard_Cost'!$B$15*N160*P160</f>
        <v>0</v>
      </c>
      <c r="S160" s="127">
        <f>N160*O160*P160*'1. Standard_Cost'!$C$15</f>
        <v>0</v>
      </c>
      <c r="T160" s="127">
        <f>N160*P160*Q160*'1. Standard_Cost'!$D$15</f>
        <v>0</v>
      </c>
      <c r="U160" s="127">
        <f>N160*O160*'1. Standard_Cost'!$E$15</f>
        <v>0</v>
      </c>
      <c r="V160" s="126"/>
      <c r="W160" s="126"/>
      <c r="X160" s="126"/>
      <c r="Y160" s="127">
        <f>+V160*((X160*'1. Standard_Cost'!$B$19)+(W160*X160*'1. Standard_Cost'!$C$19))</f>
        <v>0</v>
      </c>
      <c r="Z160" s="126"/>
      <c r="AA160" s="126"/>
      <c r="AB160" s="127">
        <f>+Z160*'1. Standard_Cost'!$B$23+AA160*'1. Standard_Cost'!$C$23</f>
        <v>0</v>
      </c>
      <c r="AC160" s="128"/>
      <c r="AD160" s="129"/>
      <c r="AE160" s="127">
        <f>SUM(AD160,AC160,AB160,Y160,U160,T160,S160,R160)*'1. Standard_Cost'!$B$31</f>
        <v>0</v>
      </c>
      <c r="AF160" s="127">
        <f>SUM(AE160,AD160,AC160,AB160,Y160,U160,T160,S160,R160)</f>
        <v>0</v>
      </c>
      <c r="AG160" s="126"/>
      <c r="AH160" s="126"/>
      <c r="AI160" s="126"/>
      <c r="AJ160" s="130"/>
      <c r="AK160" s="130"/>
      <c r="AL160" s="130"/>
      <c r="AM160" s="127">
        <f>AG160*'1. Standard_Cost'!$B$27+'Incremental_Cost Year 1'!AH160*'1. Standard_Cost'!$C$27+'Incremental_Cost Year 1'!AI160*'1. Standard_Cost'!$D$27+'Incremental_Cost Year 1'!AJ160+'Incremental_Cost Year 1'!AL160+AK160</f>
        <v>0</v>
      </c>
      <c r="AN160" s="127">
        <f>AM160*'1. Standard_Cost'!$C$31</f>
        <v>0</v>
      </c>
      <c r="AO160" s="130"/>
      <c r="AP160" s="256"/>
      <c r="AQ160" s="171">
        <f>L160+M160</f>
        <v>0</v>
      </c>
      <c r="AR160" s="171">
        <f>AF160</f>
        <v>0</v>
      </c>
      <c r="AS160" s="171">
        <f>AM160+AN160</f>
        <v>0</v>
      </c>
      <c r="AT160" s="171">
        <f>SUM(AQ160,AR160,AS160)</f>
        <v>0</v>
      </c>
      <c r="AU160" s="250"/>
      <c r="AV160" s="250"/>
      <c r="AW160" s="250"/>
      <c r="AX160" s="250"/>
      <c r="AY160" s="250"/>
      <c r="AZ160" s="250"/>
      <c r="BA160" s="250"/>
      <c r="BB160" s="251">
        <f t="shared" ref="BB160:BB161" si="140">SUM(AU160:BA160)-AT160</f>
        <v>0</v>
      </c>
      <c r="BC160" s="71"/>
      <c r="BD160" s="71"/>
      <c r="BE160" s="71"/>
      <c r="BF160" s="71"/>
    </row>
    <row r="161" spans="1:58" ht="47.25" outlineLevel="2" x14ac:dyDescent="0.25">
      <c r="A161" s="115"/>
      <c r="B161" s="200"/>
      <c r="C161" s="201"/>
      <c r="D161" s="328"/>
      <c r="E161" s="328"/>
      <c r="F161" s="328"/>
      <c r="G161" s="328"/>
      <c r="H161" s="213" t="s">
        <v>311</v>
      </c>
      <c r="I161" s="130" t="s">
        <v>5</v>
      </c>
      <c r="J161" s="126">
        <v>2</v>
      </c>
      <c r="K161" s="126">
        <v>13</v>
      </c>
      <c r="L161" s="125">
        <f>IF(I161&lt;&gt;0,((VLOOKUP(I161,'1. Standard_Cost'!$B$4:$D$11,2)+VLOOKUP(I161,'1. Standard_Cost'!$B$4:$D$11,3))*J161*K161),"0")</f>
        <v>1838200</v>
      </c>
      <c r="M161" s="125">
        <f>L161*'1. Standard_Cost'!$F$4</f>
        <v>306979.40000000002</v>
      </c>
      <c r="N161" s="126"/>
      <c r="O161" s="126"/>
      <c r="P161" s="126"/>
      <c r="Q161" s="126"/>
      <c r="R161" s="127">
        <f>'1. Standard_Cost'!$B$15*N161*P161</f>
        <v>0</v>
      </c>
      <c r="S161" s="127">
        <f>N161*O161*P161*'1. Standard_Cost'!$C$15</f>
        <v>0</v>
      </c>
      <c r="T161" s="127">
        <f>N161*P161*Q161*'1. Standard_Cost'!$D$15</f>
        <v>0</v>
      </c>
      <c r="U161" s="127">
        <f>N161*O161*'1. Standard_Cost'!$E$15</f>
        <v>0</v>
      </c>
      <c r="V161" s="126"/>
      <c r="W161" s="126"/>
      <c r="X161" s="126"/>
      <c r="Y161" s="127">
        <f>+V161*((X161*'1. Standard_Cost'!$B$19)+(W161*X161*'1. Standard_Cost'!$C$19))</f>
        <v>0</v>
      </c>
      <c r="Z161" s="126"/>
      <c r="AA161" s="126"/>
      <c r="AB161" s="127">
        <f>+Z161*'1. Standard_Cost'!$B$23+AA161*'1. Standard_Cost'!$C$23</f>
        <v>0</v>
      </c>
      <c r="AC161" s="128">
        <v>1750000</v>
      </c>
      <c r="AD161" s="129"/>
      <c r="AE161" s="127">
        <f>SUM(AD161,AC161,AB161,Y161,U161,T161,S161,R161)*'1. Standard_Cost'!$B$31</f>
        <v>350000</v>
      </c>
      <c r="AF161" s="127">
        <f>SUM(AE161,AD161,AC161,AB161,Y161,U161,T161,S161,R161)</f>
        <v>2100000</v>
      </c>
      <c r="AG161" s="126"/>
      <c r="AH161" s="126"/>
      <c r="AI161" s="126"/>
      <c r="AJ161" s="130"/>
      <c r="AK161" s="130"/>
      <c r="AL161" s="130"/>
      <c r="AM161" s="127">
        <f>AG161*'1. Standard_Cost'!$B$27+'Incremental_Cost Year 1'!AH161*'1. Standard_Cost'!$C$27+'Incremental_Cost Year 1'!AI161*'1. Standard_Cost'!$D$27+'Incremental_Cost Year 1'!AJ161+'Incremental_Cost Year 1'!AL161+AK161</f>
        <v>0</v>
      </c>
      <c r="AN161" s="127">
        <f>AM161*'1. Standard_Cost'!$C$31</f>
        <v>0</v>
      </c>
      <c r="AO161" s="130"/>
      <c r="AP161" s="256"/>
      <c r="AQ161" s="171">
        <f>L161+M161</f>
        <v>2145179.4</v>
      </c>
      <c r="AR161" s="171">
        <f>AF161</f>
        <v>2100000</v>
      </c>
      <c r="AS161" s="171">
        <f>AM161+AN161</f>
        <v>0</v>
      </c>
      <c r="AT161" s="171">
        <f>SUM(AQ161,AR161,AS161)</f>
        <v>4245179.4000000004</v>
      </c>
      <c r="AU161" s="250">
        <v>4245179</v>
      </c>
      <c r="AV161" s="250"/>
      <c r="AW161" s="250"/>
      <c r="AX161" s="250"/>
      <c r="AY161" s="250"/>
      <c r="AZ161" s="250"/>
      <c r="BA161" s="250"/>
      <c r="BB161" s="251">
        <f t="shared" si="140"/>
        <v>-0.40000000037252903</v>
      </c>
      <c r="BC161" s="71"/>
      <c r="BD161" s="71"/>
      <c r="BE161" s="71"/>
      <c r="BF161" s="71"/>
    </row>
    <row r="162" spans="1:58" ht="47.25" outlineLevel="2" x14ac:dyDescent="0.25">
      <c r="A162" s="115"/>
      <c r="B162" s="165"/>
      <c r="C162" s="166"/>
      <c r="D162" s="107" t="s">
        <v>233</v>
      </c>
      <c r="E162" s="212" t="s">
        <v>474</v>
      </c>
      <c r="F162" s="136">
        <v>2021</v>
      </c>
      <c r="G162" s="117">
        <v>2030</v>
      </c>
      <c r="H162" s="110" t="s">
        <v>180</v>
      </c>
      <c r="I162" s="252"/>
      <c r="J162" s="252"/>
      <c r="K162" s="252"/>
      <c r="L162" s="127">
        <f>SUM(L160:L161)</f>
        <v>1838200</v>
      </c>
      <c r="M162" s="127">
        <f>SUM(M160:M161)</f>
        <v>306979.40000000002</v>
      </c>
      <c r="N162" s="252"/>
      <c r="O162" s="252"/>
      <c r="P162" s="252"/>
      <c r="Q162" s="252"/>
      <c r="R162" s="127">
        <f>SUM(R160:R161)</f>
        <v>0</v>
      </c>
      <c r="S162" s="127">
        <f>SUM(S160:S161)</f>
        <v>0</v>
      </c>
      <c r="T162" s="127">
        <f>SUM(T160:T161)</f>
        <v>0</v>
      </c>
      <c r="U162" s="127">
        <f>SUM(U160:U161)</f>
        <v>0</v>
      </c>
      <c r="V162" s="252"/>
      <c r="W162" s="252"/>
      <c r="X162" s="252"/>
      <c r="Y162" s="127">
        <f>SUM(Y160:Y161)</f>
        <v>0</v>
      </c>
      <c r="Z162" s="252"/>
      <c r="AA162" s="252"/>
      <c r="AB162" s="127">
        <f>SUM(AB160:AB161)</f>
        <v>0</v>
      </c>
      <c r="AC162" s="127">
        <f>SUM(AC160:AC161)</f>
        <v>1750000</v>
      </c>
      <c r="AD162" s="127">
        <f>SUM(AD160:AD161)</f>
        <v>0</v>
      </c>
      <c r="AE162" s="127">
        <f>SUM(AE160:AE161)</f>
        <v>350000</v>
      </c>
      <c r="AF162" s="127">
        <f>SUM(AF160:AF161)</f>
        <v>2100000</v>
      </c>
      <c r="AG162" s="252"/>
      <c r="AH162" s="252"/>
      <c r="AI162" s="252"/>
      <c r="AJ162" s="127">
        <f>SUM(AJ160:AJ161)</f>
        <v>0</v>
      </c>
      <c r="AK162" s="127">
        <f>SUM(AK160:AK161)</f>
        <v>0</v>
      </c>
      <c r="AL162" s="127">
        <f>SUM(AL160:AL161)</f>
        <v>0</v>
      </c>
      <c r="AM162" s="127">
        <f>SUM(AM160:AM161)</f>
        <v>0</v>
      </c>
      <c r="AN162" s="127">
        <f>SUM(AN160:AN161)</f>
        <v>0</v>
      </c>
      <c r="AO162" s="253"/>
      <c r="AP162" s="254"/>
      <c r="AQ162" s="175">
        <f>SUM(AQ160:AQ161)</f>
        <v>2145179.4</v>
      </c>
      <c r="AR162" s="175">
        <f>SUM(AR160:AR161)</f>
        <v>2100000</v>
      </c>
      <c r="AS162" s="175">
        <f>SUM(AS160:AS161)</f>
        <v>0</v>
      </c>
      <c r="AT162" s="175">
        <f>SUM(AT160:AT161)</f>
        <v>4245179.4000000004</v>
      </c>
      <c r="AU162" s="175">
        <f t="shared" ref="AU162:BA162" si="141">SUM(AU160:AU161)</f>
        <v>4245179</v>
      </c>
      <c r="AV162" s="175">
        <f t="shared" si="141"/>
        <v>0</v>
      </c>
      <c r="AW162" s="175">
        <f t="shared" si="141"/>
        <v>0</v>
      </c>
      <c r="AX162" s="175">
        <f t="shared" si="141"/>
        <v>0</v>
      </c>
      <c r="AY162" s="175">
        <f t="shared" si="141"/>
        <v>0</v>
      </c>
      <c r="AZ162" s="175">
        <f t="shared" si="141"/>
        <v>0</v>
      </c>
      <c r="BA162" s="175">
        <f t="shared" si="141"/>
        <v>0</v>
      </c>
      <c r="BB162" s="175">
        <f>SUM(BB160:BB161)</f>
        <v>-0.40000000037252903</v>
      </c>
      <c r="BC162" s="71"/>
      <c r="BD162" s="71"/>
      <c r="BE162" s="71"/>
      <c r="BF162" s="71"/>
    </row>
    <row r="163" spans="1:58" ht="47.45" customHeight="1" outlineLevel="2" x14ac:dyDescent="0.25">
      <c r="A163" s="143"/>
      <c r="B163" s="285"/>
      <c r="C163" s="391" t="s">
        <v>234</v>
      </c>
      <c r="D163" s="391"/>
      <c r="E163" s="392"/>
      <c r="F163" s="280"/>
      <c r="G163" s="282"/>
      <c r="H163" s="144" t="s">
        <v>169</v>
      </c>
      <c r="I163" s="257"/>
      <c r="J163" s="257"/>
      <c r="K163" s="257"/>
      <c r="L163" s="258">
        <f>L168+L178+L181</f>
        <v>48025750</v>
      </c>
      <c r="M163" s="258">
        <f>M168+M178+M181</f>
        <v>8020300.25</v>
      </c>
      <c r="N163" s="257"/>
      <c r="O163" s="257"/>
      <c r="P163" s="257"/>
      <c r="Q163" s="257"/>
      <c r="R163" s="258">
        <f>R168+R178+R181</f>
        <v>0</v>
      </c>
      <c r="S163" s="258">
        <f>S168+S178+S181</f>
        <v>0</v>
      </c>
      <c r="T163" s="258">
        <f>T168+T178+T181</f>
        <v>0</v>
      </c>
      <c r="U163" s="258">
        <f>U168+U178+U181</f>
        <v>0</v>
      </c>
      <c r="V163" s="257"/>
      <c r="W163" s="257"/>
      <c r="X163" s="257"/>
      <c r="Y163" s="258">
        <f>Y168+Y178+Y181</f>
        <v>0</v>
      </c>
      <c r="Z163" s="258"/>
      <c r="AA163" s="258"/>
      <c r="AB163" s="258">
        <f>AB168+AB178+AB181</f>
        <v>570000</v>
      </c>
      <c r="AC163" s="258">
        <f>AC168+AC178+AC181</f>
        <v>2679382730</v>
      </c>
      <c r="AD163" s="258">
        <f>AD168+AD178+AD181</f>
        <v>0</v>
      </c>
      <c r="AE163" s="258">
        <f>AE168+AE178+AE181</f>
        <v>13172151</v>
      </c>
      <c r="AF163" s="258">
        <f>AF168+AF178+AF181</f>
        <v>2693124881</v>
      </c>
      <c r="AG163" s="257"/>
      <c r="AH163" s="257"/>
      <c r="AI163" s="257"/>
      <c r="AJ163" s="258">
        <f>AJ168+AJ178+AJ181</f>
        <v>305400000</v>
      </c>
      <c r="AK163" s="258">
        <f>AK168+AK178+AK181</f>
        <v>0</v>
      </c>
      <c r="AL163" s="258">
        <f>AL168+AL178+AL181</f>
        <v>142778834</v>
      </c>
      <c r="AM163" s="258">
        <f>AM168+AM178+AM181</f>
        <v>448178834</v>
      </c>
      <c r="AN163" s="258">
        <f>AN168+AN178+AN181</f>
        <v>0</v>
      </c>
      <c r="AO163" s="259"/>
      <c r="AP163" s="260"/>
      <c r="AQ163" s="261">
        <f t="shared" ref="AQ163:BB163" si="142">AQ168+AQ178+AQ181</f>
        <v>56046050.25</v>
      </c>
      <c r="AR163" s="261">
        <f t="shared" si="142"/>
        <v>2693124881</v>
      </c>
      <c r="AS163" s="261">
        <f t="shared" si="142"/>
        <v>448178834</v>
      </c>
      <c r="AT163" s="261">
        <f t="shared" si="142"/>
        <v>3197349765.25</v>
      </c>
      <c r="AU163" s="261">
        <f t="shared" ref="AU163:BA163" si="143">AU168+AU178+AU181</f>
        <v>3096265765.8000002</v>
      </c>
      <c r="AV163" s="261">
        <f t="shared" si="143"/>
        <v>45200000</v>
      </c>
      <c r="AW163" s="261">
        <f t="shared" si="143"/>
        <v>55200000</v>
      </c>
      <c r="AX163" s="261">
        <f t="shared" si="143"/>
        <v>0</v>
      </c>
      <c r="AY163" s="261">
        <f t="shared" si="143"/>
        <v>0</v>
      </c>
      <c r="AZ163" s="261">
        <f t="shared" si="143"/>
        <v>0</v>
      </c>
      <c r="BA163" s="261">
        <f t="shared" si="143"/>
        <v>0</v>
      </c>
      <c r="BB163" s="261">
        <f t="shared" si="142"/>
        <v>-683999.45</v>
      </c>
      <c r="BC163" s="73"/>
      <c r="BD163" s="73"/>
      <c r="BE163" s="73"/>
      <c r="BF163" s="73"/>
    </row>
    <row r="164" spans="1:58" ht="78.75" outlineLevel="2" x14ac:dyDescent="0.25">
      <c r="A164" s="115"/>
      <c r="B164" s="200"/>
      <c r="C164" s="201"/>
      <c r="D164" s="333"/>
      <c r="E164" s="277"/>
      <c r="F164" s="306"/>
      <c r="G164" s="307"/>
      <c r="H164" s="199" t="s">
        <v>475</v>
      </c>
      <c r="I164" s="130" t="s">
        <v>4</v>
      </c>
      <c r="J164" s="126">
        <v>1</v>
      </c>
      <c r="K164" s="126">
        <v>7</v>
      </c>
      <c r="L164" s="125">
        <f>IF(I164&lt;&gt;0,((VLOOKUP(I164,'1. Standard_Cost'!$B$4:$D$11,2)+VLOOKUP(I164,'1. Standard_Cost'!$B$4:$D$11,3))*J164*K164),"0")</f>
        <v>565250</v>
      </c>
      <c r="M164" s="125">
        <f>L164*'1. Standard_Cost'!$F$4</f>
        <v>94396.75</v>
      </c>
      <c r="N164" s="126"/>
      <c r="O164" s="126"/>
      <c r="P164" s="126"/>
      <c r="Q164" s="126"/>
      <c r="R164" s="127">
        <f>'1. Standard_Cost'!$B$15*N164*P164</f>
        <v>0</v>
      </c>
      <c r="S164" s="127">
        <f>N164*O164*P164*'1. Standard_Cost'!$C$15</f>
        <v>0</v>
      </c>
      <c r="T164" s="127">
        <f>N164*P164*Q164*'1. Standard_Cost'!$D$15</f>
        <v>0</v>
      </c>
      <c r="U164" s="127">
        <f>N164*O164*'1. Standard_Cost'!$E$15</f>
        <v>0</v>
      </c>
      <c r="V164" s="126"/>
      <c r="W164" s="126"/>
      <c r="X164" s="126"/>
      <c r="Y164" s="127">
        <f>+V164*((X164*'1. Standard_Cost'!$B$19)+(W164*X164*'1. Standard_Cost'!$C$19))</f>
        <v>0</v>
      </c>
      <c r="Z164" s="126"/>
      <c r="AA164" s="126">
        <v>30</v>
      </c>
      <c r="AB164" s="127">
        <f>+Z164*'1. Standard_Cost'!$B$23+AA164*'1. Standard_Cost'!$C$23</f>
        <v>570000</v>
      </c>
      <c r="AC164" s="128">
        <v>150000</v>
      </c>
      <c r="AD164" s="129"/>
      <c r="AE164" s="127">
        <f>SUM(AD164,AC164,AB164,Y164,U164,T164,S164,R164)*'1. Standard_Cost'!$B$31</f>
        <v>144000</v>
      </c>
      <c r="AF164" s="127">
        <f>SUM(AE164,AD164,AC164,AB164,Y164,U164,T164,S164,R164)</f>
        <v>864000</v>
      </c>
      <c r="AG164" s="126"/>
      <c r="AH164" s="126"/>
      <c r="AI164" s="126"/>
      <c r="AJ164" s="130"/>
      <c r="AK164" s="130"/>
      <c r="AL164" s="130"/>
      <c r="AM164" s="127">
        <f>AG164*'1. Standard_Cost'!$B$27+'Incremental_Cost Year 1'!AH164*'1. Standard_Cost'!$C$27+'Incremental_Cost Year 1'!AI164*'1. Standard_Cost'!$D$27+'Incremental_Cost Year 1'!AJ164+'Incremental_Cost Year 1'!AL164+AK164</f>
        <v>0</v>
      </c>
      <c r="AN164" s="127">
        <f>AM164*'1. Standard_Cost'!$C$31</f>
        <v>0</v>
      </c>
      <c r="AO164" s="130"/>
      <c r="AP164" s="256"/>
      <c r="AQ164" s="171">
        <f>L164+M164</f>
        <v>659646.75</v>
      </c>
      <c r="AR164" s="171">
        <f>AF164</f>
        <v>864000</v>
      </c>
      <c r="AS164" s="171">
        <f>AM164+AN164</f>
        <v>0</v>
      </c>
      <c r="AT164" s="171">
        <f>SUM(AQ164,AR164,AS164)</f>
        <v>1523646.75</v>
      </c>
      <c r="AU164" s="250">
        <v>839647</v>
      </c>
      <c r="AV164" s="250"/>
      <c r="AW164" s="250"/>
      <c r="AX164" s="250"/>
      <c r="AY164" s="250"/>
      <c r="AZ164" s="250"/>
      <c r="BA164" s="250"/>
      <c r="BB164" s="251">
        <f t="shared" ref="BB164:BB167" si="144">SUM(AU164:BA164)-AT164</f>
        <v>-683999.75</v>
      </c>
      <c r="BC164" s="71"/>
      <c r="BD164" s="71"/>
      <c r="BE164" s="71"/>
      <c r="BF164" s="71"/>
    </row>
    <row r="165" spans="1:58" ht="78.75" outlineLevel="2" x14ac:dyDescent="0.25">
      <c r="A165" s="115"/>
      <c r="B165" s="200"/>
      <c r="C165" s="201"/>
      <c r="D165" s="151"/>
      <c r="E165" s="219"/>
      <c r="F165" s="308"/>
      <c r="G165" s="309"/>
      <c r="H165" s="199" t="s">
        <v>476</v>
      </c>
      <c r="I165" s="130"/>
      <c r="J165" s="126"/>
      <c r="K165" s="126"/>
      <c r="L165" s="125" t="str">
        <f>IF(I165&lt;&gt;0,((VLOOKUP(I165,'1. Standard_Cost'!$B$4:$D$11,2)+VLOOKUP(I165,'1. Standard_Cost'!$B$4:$D$11,3))*J165*K165),"0")</f>
        <v>0</v>
      </c>
      <c r="M165" s="125">
        <f>L165*'1. Standard_Cost'!$F$4</f>
        <v>0</v>
      </c>
      <c r="N165" s="126"/>
      <c r="O165" s="126"/>
      <c r="P165" s="126"/>
      <c r="Q165" s="126"/>
      <c r="R165" s="127">
        <f>'1. Standard_Cost'!$B$15*N165*P165</f>
        <v>0</v>
      </c>
      <c r="S165" s="127">
        <f>N165*O165*P165*'1. Standard_Cost'!$C$15</f>
        <v>0</v>
      </c>
      <c r="T165" s="127">
        <f>N165*P165*Q165*'1. Standard_Cost'!$D$15</f>
        <v>0</v>
      </c>
      <c r="U165" s="127">
        <f>N165*O165*'1. Standard_Cost'!$E$15</f>
        <v>0</v>
      </c>
      <c r="V165" s="126"/>
      <c r="W165" s="126"/>
      <c r="X165" s="126"/>
      <c r="Y165" s="127">
        <f>+V165*((X165*'1. Standard_Cost'!$B$19)+(W165*X165*'1. Standard_Cost'!$C$19))</f>
        <v>0</v>
      </c>
      <c r="Z165" s="126"/>
      <c r="AA165" s="126"/>
      <c r="AB165" s="127">
        <f>+Z165*'1. Standard_Cost'!$B$23+AA165*'1. Standard_Cost'!$C$23</f>
        <v>0</v>
      </c>
      <c r="AC165" s="128"/>
      <c r="AD165" s="129"/>
      <c r="AE165" s="127">
        <f>SUM(AD165,AC165,AB165,Y165,U165,T165,S165,R165)*'1. Standard_Cost'!$B$31</f>
        <v>0</v>
      </c>
      <c r="AF165" s="127">
        <f>SUM(AE165,AD165,AC165,AB165,Y165,U165,T165,S165,R165)</f>
        <v>0</v>
      </c>
      <c r="AG165" s="126"/>
      <c r="AH165" s="126"/>
      <c r="AI165" s="126"/>
      <c r="AJ165" s="130"/>
      <c r="AK165" s="130"/>
      <c r="AL165" s="130"/>
      <c r="AM165" s="127">
        <f>AG165*'1. Standard_Cost'!$B$27+'Incremental_Cost Year 1'!AH165*'1. Standard_Cost'!$C$27+'Incremental_Cost Year 1'!AI165*'1. Standard_Cost'!$D$27+'Incremental_Cost Year 1'!AJ165+'Incremental_Cost Year 1'!AL165+AK165</f>
        <v>0</v>
      </c>
      <c r="AN165" s="127">
        <f>AM165*'1. Standard_Cost'!$C$31</f>
        <v>0</v>
      </c>
      <c r="AO165" s="130"/>
      <c r="AP165" s="256"/>
      <c r="AQ165" s="171">
        <f>L165+M165</f>
        <v>0</v>
      </c>
      <c r="AR165" s="171">
        <f>AF165</f>
        <v>0</v>
      </c>
      <c r="AS165" s="171">
        <f>AM165+AN165</f>
        <v>0</v>
      </c>
      <c r="AT165" s="171">
        <f>SUM(AQ165,AR165,AS165)</f>
        <v>0</v>
      </c>
      <c r="AU165" s="250"/>
      <c r="AV165" s="250"/>
      <c r="AW165" s="250"/>
      <c r="AX165" s="250"/>
      <c r="AY165" s="250"/>
      <c r="AZ165" s="250"/>
      <c r="BA165" s="250"/>
      <c r="BB165" s="251">
        <f t="shared" si="144"/>
        <v>0</v>
      </c>
      <c r="BC165" s="71"/>
      <c r="BD165" s="71"/>
      <c r="BE165" s="71"/>
      <c r="BF165" s="71"/>
    </row>
    <row r="166" spans="1:58" ht="110.25" outlineLevel="2" x14ac:dyDescent="0.25">
      <c r="A166" s="115"/>
      <c r="B166" s="200"/>
      <c r="C166" s="201"/>
      <c r="D166" s="151"/>
      <c r="E166" s="219"/>
      <c r="F166" s="308"/>
      <c r="G166" s="309"/>
      <c r="H166" s="199" t="s">
        <v>541</v>
      </c>
      <c r="I166" s="130"/>
      <c r="J166" s="126"/>
      <c r="K166" s="126"/>
      <c r="L166" s="125" t="str">
        <f>IF(I166&lt;&gt;0,((VLOOKUP(I166,'1. Standard_Cost'!$B$4:$D$11,2)+VLOOKUP(I166,'1. Standard_Cost'!$B$4:$D$11,3))*J166*K166),"0")</f>
        <v>0</v>
      </c>
      <c r="M166" s="125">
        <f>L166*'1. Standard_Cost'!$F$4</f>
        <v>0</v>
      </c>
      <c r="N166" s="126"/>
      <c r="O166" s="126"/>
      <c r="P166" s="126"/>
      <c r="Q166" s="126"/>
      <c r="R166" s="127">
        <f>'1. Standard_Cost'!$B$15*N166*P166</f>
        <v>0</v>
      </c>
      <c r="S166" s="127">
        <f>N166*O166*P166*'1. Standard_Cost'!$C$15</f>
        <v>0</v>
      </c>
      <c r="T166" s="127">
        <f>N166*P166*Q166*'1. Standard_Cost'!$D$15</f>
        <v>0</v>
      </c>
      <c r="U166" s="127">
        <f>N166*O166*'1. Standard_Cost'!$E$15</f>
        <v>0</v>
      </c>
      <c r="V166" s="126"/>
      <c r="W166" s="126"/>
      <c r="X166" s="126"/>
      <c r="Y166" s="127">
        <f>+V166*((X166*'1. Standard_Cost'!$B$19)+(W166*X166*'1. Standard_Cost'!$C$19))</f>
        <v>0</v>
      </c>
      <c r="Z166" s="126"/>
      <c r="AA166" s="126"/>
      <c r="AB166" s="127">
        <f>+Z166*'1. Standard_Cost'!$B$23+AA166*'1. Standard_Cost'!$C$23</f>
        <v>0</v>
      </c>
      <c r="AC166" s="128"/>
      <c r="AD166" s="129"/>
      <c r="AE166" s="127">
        <f>SUM(AD166,AC166,AB166,Y166,U166,T166,S166,R166)*'1. Standard_Cost'!$B$31</f>
        <v>0</v>
      </c>
      <c r="AF166" s="127">
        <f>SUM(AE166,AD166,AC166,AB166,Y166,U166,T166,S166,R166)</f>
        <v>0</v>
      </c>
      <c r="AG166" s="126"/>
      <c r="AH166" s="126"/>
      <c r="AI166" s="126"/>
      <c r="AJ166" s="130"/>
      <c r="AK166" s="130"/>
      <c r="AL166" s="130"/>
      <c r="AM166" s="127">
        <f>AG166*'1. Standard_Cost'!$B$27+'Incremental_Cost Year 1'!AH166*'1. Standard_Cost'!$C$27+'Incremental_Cost Year 1'!AI166*'1. Standard_Cost'!$D$27+'Incremental_Cost Year 1'!AJ166+'Incremental_Cost Year 1'!AL166+AK166</f>
        <v>0</v>
      </c>
      <c r="AN166" s="127">
        <f>AM166*'1. Standard_Cost'!$C$31</f>
        <v>0</v>
      </c>
      <c r="AO166" s="130"/>
      <c r="AP166" s="256"/>
      <c r="AQ166" s="171">
        <f>L166+M166</f>
        <v>0</v>
      </c>
      <c r="AR166" s="171">
        <f>AF166</f>
        <v>0</v>
      </c>
      <c r="AS166" s="171">
        <f>AM166+AN166</f>
        <v>0</v>
      </c>
      <c r="AT166" s="171">
        <f>SUM(AQ166,AR166,AS166)</f>
        <v>0</v>
      </c>
      <c r="AU166" s="250"/>
      <c r="AV166" s="250"/>
      <c r="AW166" s="250"/>
      <c r="AX166" s="250"/>
      <c r="AY166" s="250"/>
      <c r="AZ166" s="250"/>
      <c r="BA166" s="250"/>
      <c r="BB166" s="251">
        <f t="shared" si="144"/>
        <v>0</v>
      </c>
      <c r="BC166" s="71"/>
      <c r="BD166" s="71"/>
      <c r="BE166" s="71"/>
      <c r="BF166" s="71"/>
    </row>
    <row r="167" spans="1:58" ht="31.5" outlineLevel="2" x14ac:dyDescent="0.25">
      <c r="A167" s="115"/>
      <c r="B167" s="200"/>
      <c r="C167" s="201"/>
      <c r="D167" s="310"/>
      <c r="E167" s="122"/>
      <c r="F167" s="311"/>
      <c r="G167" s="312"/>
      <c r="H167" s="199" t="s">
        <v>315</v>
      </c>
      <c r="I167" s="130" t="s">
        <v>4</v>
      </c>
      <c r="J167" s="126">
        <v>2</v>
      </c>
      <c r="K167" s="126">
        <v>214</v>
      </c>
      <c r="L167" s="125">
        <f>IF(I167&lt;&gt;0,((VLOOKUP(I167,'1. Standard_Cost'!$B$4:$D$11,2)+VLOOKUP(I167,'1. Standard_Cost'!$B$4:$D$11,3))*J167*K167),"0")</f>
        <v>34561000</v>
      </c>
      <c r="M167" s="125">
        <f>L167*'1. Standard_Cost'!$F$4</f>
        <v>5771687</v>
      </c>
      <c r="N167" s="126"/>
      <c r="O167" s="126"/>
      <c r="P167" s="126"/>
      <c r="Q167" s="126"/>
      <c r="R167" s="127">
        <f>'1. Standard_Cost'!$B$15*N167*P167</f>
        <v>0</v>
      </c>
      <c r="S167" s="127">
        <f>N167*O167*P167*'1. Standard_Cost'!$C$15</f>
        <v>0</v>
      </c>
      <c r="T167" s="127">
        <f>N167*P167*Q167*'1. Standard_Cost'!$D$15</f>
        <v>0</v>
      </c>
      <c r="U167" s="127">
        <f>N167*O167*'1. Standard_Cost'!$E$15</f>
        <v>0</v>
      </c>
      <c r="V167" s="126"/>
      <c r="W167" s="126"/>
      <c r="X167" s="126"/>
      <c r="Y167" s="127">
        <f>+V167*((X167*'1. Standard_Cost'!$B$19)+(W167*X167*'1. Standard_Cost'!$C$19))</f>
        <v>0</v>
      </c>
      <c r="Z167" s="126"/>
      <c r="AA167" s="126"/>
      <c r="AB167" s="127">
        <f>+Z167*'1. Standard_Cost'!$B$23+AA167*'1. Standard_Cost'!$C$23</f>
        <v>0</v>
      </c>
      <c r="AC167" s="128">
        <v>65000000</v>
      </c>
      <c r="AD167" s="129"/>
      <c r="AE167" s="127">
        <f>SUM(AD167,AC167,AB167,Y167,U167,T167,S167,R167)*'1. Standard_Cost'!$B$31</f>
        <v>13000000</v>
      </c>
      <c r="AF167" s="127">
        <f>SUM(AE167,AD167,AC167,AB167,Y167,U167,T167,S167,R167)</f>
        <v>78000000</v>
      </c>
      <c r="AG167" s="126"/>
      <c r="AH167" s="126"/>
      <c r="AI167" s="126"/>
      <c r="AJ167" s="130"/>
      <c r="AK167" s="130"/>
      <c r="AL167" s="130"/>
      <c r="AM167" s="127">
        <f>AG167*'1. Standard_Cost'!$B$27+'Incremental_Cost Year 1'!AH167*'1. Standard_Cost'!$C$27+'Incremental_Cost Year 1'!AI167*'1. Standard_Cost'!$D$27+'Incremental_Cost Year 1'!AJ167+'Incremental_Cost Year 1'!AL167+AK167</f>
        <v>0</v>
      </c>
      <c r="AN167" s="127">
        <f>AM167*'1. Standard_Cost'!$C$31</f>
        <v>0</v>
      </c>
      <c r="AO167" s="130"/>
      <c r="AP167" s="256"/>
      <c r="AQ167" s="171">
        <f>L167+M167</f>
        <v>40332687</v>
      </c>
      <c r="AR167" s="171">
        <f>AF167</f>
        <v>78000000</v>
      </c>
      <c r="AS167" s="171">
        <f>AM167+AN167</f>
        <v>0</v>
      </c>
      <c r="AT167" s="171">
        <f>SUM(AQ167,AR167,AS167)</f>
        <v>118332687</v>
      </c>
      <c r="AU167" s="250">
        <v>118332687</v>
      </c>
      <c r="AV167" s="250"/>
      <c r="AW167" s="250"/>
      <c r="AX167" s="250"/>
      <c r="AY167" s="250"/>
      <c r="AZ167" s="250"/>
      <c r="BA167" s="250"/>
      <c r="BB167" s="251">
        <f t="shared" si="144"/>
        <v>0</v>
      </c>
      <c r="BC167" s="71"/>
      <c r="BD167" s="71"/>
      <c r="BE167" s="71"/>
      <c r="BF167" s="71"/>
    </row>
    <row r="168" spans="1:58" ht="78.75" outlineLevel="2" x14ac:dyDescent="0.25">
      <c r="A168" s="115"/>
      <c r="B168" s="165"/>
      <c r="C168" s="166"/>
      <c r="D168" s="139" t="s">
        <v>477</v>
      </c>
      <c r="E168" s="212" t="s">
        <v>478</v>
      </c>
      <c r="F168" s="136">
        <v>2021</v>
      </c>
      <c r="G168" s="117">
        <v>2030</v>
      </c>
      <c r="H168" s="110" t="s">
        <v>170</v>
      </c>
      <c r="I168" s="252"/>
      <c r="J168" s="252"/>
      <c r="K168" s="252"/>
      <c r="L168" s="127">
        <f>SUM(L164:L167)</f>
        <v>35126250</v>
      </c>
      <c r="M168" s="127">
        <f>SUM(M164:M167)</f>
        <v>5866083.75</v>
      </c>
      <c r="N168" s="252"/>
      <c r="O168" s="252"/>
      <c r="P168" s="252"/>
      <c r="Q168" s="252"/>
      <c r="R168" s="127">
        <f>SUM(R164:R167)</f>
        <v>0</v>
      </c>
      <c r="S168" s="127">
        <f>SUM(S164:S167)</f>
        <v>0</v>
      </c>
      <c r="T168" s="127">
        <f>SUM(T164:T167)</f>
        <v>0</v>
      </c>
      <c r="U168" s="127">
        <f>SUM(U164:U167)</f>
        <v>0</v>
      </c>
      <c r="V168" s="252"/>
      <c r="W168" s="252"/>
      <c r="X168" s="252"/>
      <c r="Y168" s="127">
        <f>SUM(Y164:Y167)</f>
        <v>0</v>
      </c>
      <c r="Z168" s="127"/>
      <c r="AA168" s="252"/>
      <c r="AB168" s="127">
        <f>SUM(AB164:AB167)</f>
        <v>570000</v>
      </c>
      <c r="AC168" s="127">
        <f>SUM(AC164:AC167)</f>
        <v>65150000</v>
      </c>
      <c r="AD168" s="127">
        <f>SUM(AD164:AD167)</f>
        <v>0</v>
      </c>
      <c r="AE168" s="127">
        <f>SUM(AE164:AE167)</f>
        <v>13144000</v>
      </c>
      <c r="AF168" s="127">
        <f>SUM(AF164:AF167)</f>
        <v>78864000</v>
      </c>
      <c r="AG168" s="252"/>
      <c r="AH168" s="252"/>
      <c r="AI168" s="252"/>
      <c r="AJ168" s="127">
        <f>SUM(AJ164:AJ167)</f>
        <v>0</v>
      </c>
      <c r="AK168" s="127">
        <f>SUM(AK164:AK167)</f>
        <v>0</v>
      </c>
      <c r="AL168" s="127">
        <f>SUM(AL164:AL167)</f>
        <v>0</v>
      </c>
      <c r="AM168" s="127">
        <f>SUM(AM164:AM167)</f>
        <v>0</v>
      </c>
      <c r="AN168" s="127">
        <f>SUM(AN164:AN167)</f>
        <v>0</v>
      </c>
      <c r="AO168" s="253"/>
      <c r="AP168" s="254"/>
      <c r="AQ168" s="175">
        <f>SUM(AQ164:AQ167)</f>
        <v>40992333.75</v>
      </c>
      <c r="AR168" s="175">
        <f>SUM(AR164:AR167)</f>
        <v>78864000</v>
      </c>
      <c r="AS168" s="175">
        <f>SUM(AS164:AS167)</f>
        <v>0</v>
      </c>
      <c r="AT168" s="175">
        <f>SUM(AT164:AT167)</f>
        <v>119856333.75</v>
      </c>
      <c r="AU168" s="175">
        <f t="shared" ref="AU168:BA168" si="145">SUM(AU164:AU167)</f>
        <v>119172334</v>
      </c>
      <c r="AV168" s="175">
        <f t="shared" si="145"/>
        <v>0</v>
      </c>
      <c r="AW168" s="175">
        <f t="shared" si="145"/>
        <v>0</v>
      </c>
      <c r="AX168" s="175">
        <f t="shared" si="145"/>
        <v>0</v>
      </c>
      <c r="AY168" s="175">
        <f t="shared" si="145"/>
        <v>0</v>
      </c>
      <c r="AZ168" s="175">
        <f t="shared" si="145"/>
        <v>0</v>
      </c>
      <c r="BA168" s="175">
        <f t="shared" si="145"/>
        <v>0</v>
      </c>
      <c r="BB168" s="175">
        <f>SUM(BB164:BB167)</f>
        <v>-683999.75</v>
      </c>
      <c r="BC168" s="71"/>
      <c r="BD168" s="71"/>
      <c r="BE168" s="71"/>
      <c r="BF168" s="71"/>
    </row>
    <row r="169" spans="1:58" ht="31.5" outlineLevel="1" x14ac:dyDescent="0.25">
      <c r="A169" s="115"/>
      <c r="B169" s="200"/>
      <c r="C169" s="201"/>
      <c r="D169" s="342"/>
      <c r="E169" s="328"/>
      <c r="F169" s="328"/>
      <c r="G169" s="328"/>
      <c r="H169" s="199" t="s">
        <v>479</v>
      </c>
      <c r="I169" s="130"/>
      <c r="J169" s="126"/>
      <c r="K169" s="126"/>
      <c r="L169" s="125" t="str">
        <f>IF(I169&lt;&gt;0,((VLOOKUP(I169,'1. Standard_Cost'!$B$4:$D$11,2)+VLOOKUP(I169,'1. Standard_Cost'!$B$4:$D$11,3))*J169*K169),"0")</f>
        <v>0</v>
      </c>
      <c r="M169" s="125">
        <f>L169*'1. Standard_Cost'!$F$4</f>
        <v>0</v>
      </c>
      <c r="N169" s="126"/>
      <c r="O169" s="126"/>
      <c r="P169" s="126"/>
      <c r="Q169" s="126"/>
      <c r="R169" s="127">
        <f>'1. Standard_Cost'!$B$15*N169*P169</f>
        <v>0</v>
      </c>
      <c r="S169" s="127">
        <f>N169*O169*P169*'1. Standard_Cost'!$C$15</f>
        <v>0</v>
      </c>
      <c r="T169" s="127">
        <f>N169*P169*Q169*'1. Standard_Cost'!$D$15</f>
        <v>0</v>
      </c>
      <c r="U169" s="127">
        <f>N169*O169*'1. Standard_Cost'!$E$15</f>
        <v>0</v>
      </c>
      <c r="V169" s="126"/>
      <c r="W169" s="126"/>
      <c r="X169" s="126"/>
      <c r="Y169" s="127">
        <f>+V169*((X169*'1. Standard_Cost'!$B$19)+(W169*X169*'1. Standard_Cost'!$C$19))</f>
        <v>0</v>
      </c>
      <c r="Z169" s="126"/>
      <c r="AA169" s="126"/>
      <c r="AB169" s="127">
        <f>+Z169*'1. Standard_Cost'!$B$23+AA169*'1. Standard_Cost'!$C$23</f>
        <v>0</v>
      </c>
      <c r="AC169" s="128">
        <f>620000000/8*2</f>
        <v>155000000</v>
      </c>
      <c r="AD169" s="129"/>
      <c r="AE169" s="127"/>
      <c r="AF169" s="127">
        <f t="shared" ref="AF169:AF177" si="146">SUM(AE169,AD169,AC169,AB169,Y169,U169,T169,S169,R169)</f>
        <v>155000000</v>
      </c>
      <c r="AG169" s="126"/>
      <c r="AH169" s="126"/>
      <c r="AI169" s="126"/>
      <c r="AJ169" s="130"/>
      <c r="AK169" s="130"/>
      <c r="AL169" s="130"/>
      <c r="AM169" s="127">
        <f>AG169*'1. Standard_Cost'!$B$27+'Incremental_Cost Year 1'!AH169*'1. Standard_Cost'!$C$27+'Incremental_Cost Year 1'!AI169*'1. Standard_Cost'!$D$27+'Incremental_Cost Year 1'!AJ169+'Incremental_Cost Year 1'!AL169+AK169</f>
        <v>0</v>
      </c>
      <c r="AN169" s="127">
        <f>AM169*'1. Standard_Cost'!$C$31</f>
        <v>0</v>
      </c>
      <c r="AO169" s="130"/>
      <c r="AP169" s="256"/>
      <c r="AQ169" s="171">
        <f t="shared" ref="AQ169:AQ177" si="147">L169+M169</f>
        <v>0</v>
      </c>
      <c r="AR169" s="171">
        <f t="shared" ref="AR169:AR177" si="148">AF169</f>
        <v>155000000</v>
      </c>
      <c r="AS169" s="171">
        <f t="shared" ref="AS169:AS177" si="149">AM169+AN169</f>
        <v>0</v>
      </c>
      <c r="AT169" s="171">
        <f t="shared" ref="AT169:AT177" si="150">SUM(AQ169,AR169,AS169)</f>
        <v>155000000</v>
      </c>
      <c r="AU169" s="250">
        <v>155000000</v>
      </c>
      <c r="AV169" s="250"/>
      <c r="AW169" s="250"/>
      <c r="AX169" s="250"/>
      <c r="AY169" s="250"/>
      <c r="AZ169" s="250"/>
      <c r="BA169" s="250"/>
      <c r="BB169" s="251">
        <f t="shared" ref="BB169:BB177" si="151">SUM(AU169:BA169)-AT169</f>
        <v>0</v>
      </c>
      <c r="BC169" s="71"/>
      <c r="BD169" s="71"/>
      <c r="BE169" s="71"/>
      <c r="BF169" s="71"/>
    </row>
    <row r="170" spans="1:58" ht="47.25" outlineLevel="2" x14ac:dyDescent="0.25">
      <c r="A170" s="115"/>
      <c r="B170" s="200"/>
      <c r="C170" s="201"/>
      <c r="D170" s="343"/>
      <c r="E170" s="328"/>
      <c r="F170" s="328"/>
      <c r="G170" s="328"/>
      <c r="H170" s="213" t="s">
        <v>480</v>
      </c>
      <c r="I170" s="130"/>
      <c r="J170" s="126"/>
      <c r="K170" s="126"/>
      <c r="L170" s="125" t="str">
        <f>IF(I170&lt;&gt;0,((VLOOKUP(I170,'1. Standard_Cost'!$B$4:$D$11,2)+VLOOKUP(I170,'1. Standard_Cost'!$B$4:$D$11,3))*J170*K170),"0")</f>
        <v>0</v>
      </c>
      <c r="M170" s="125">
        <f>L170*'1. Standard_Cost'!$F$4</f>
        <v>0</v>
      </c>
      <c r="N170" s="126"/>
      <c r="O170" s="126"/>
      <c r="P170" s="126"/>
      <c r="Q170" s="126"/>
      <c r="R170" s="127">
        <f>'1. Standard_Cost'!$B$15*N170*P170</f>
        <v>0</v>
      </c>
      <c r="S170" s="127">
        <f>N170*O170*P170*'1. Standard_Cost'!$C$15</f>
        <v>0</v>
      </c>
      <c r="T170" s="127">
        <f>N170*P170*Q170*'1. Standard_Cost'!$D$15</f>
        <v>0</v>
      </c>
      <c r="U170" s="127">
        <f>N170*O170*'1. Standard_Cost'!$E$15</f>
        <v>0</v>
      </c>
      <c r="V170" s="126"/>
      <c r="W170" s="126"/>
      <c r="X170" s="126"/>
      <c r="Y170" s="127">
        <f>+V170*((X170*'1. Standard_Cost'!$B$19)+(W170*X170*'1. Standard_Cost'!$C$19))</f>
        <v>0</v>
      </c>
      <c r="Z170" s="126"/>
      <c r="AA170" s="126"/>
      <c r="AB170" s="127">
        <f>+Z170*'1. Standard_Cost'!$B$23+AA170*'1. Standard_Cost'!$C$23</f>
        <v>0</v>
      </c>
      <c r="AC170" s="266">
        <f>1783012000/8*3</f>
        <v>668629500</v>
      </c>
      <c r="AD170" s="129"/>
      <c r="AE170" s="127"/>
      <c r="AF170" s="127">
        <f t="shared" si="146"/>
        <v>668629500</v>
      </c>
      <c r="AG170" s="126"/>
      <c r="AH170" s="126"/>
      <c r="AI170" s="126"/>
      <c r="AJ170" s="130"/>
      <c r="AK170" s="130"/>
      <c r="AL170" s="130"/>
      <c r="AM170" s="127">
        <f>AG170*'1. Standard_Cost'!$B$27+'Incremental_Cost Year 1'!AH170*'1. Standard_Cost'!$C$27+'Incremental_Cost Year 1'!AI170*'1. Standard_Cost'!$D$27+'Incremental_Cost Year 1'!AJ170+'Incremental_Cost Year 1'!AL170+AK170</f>
        <v>0</v>
      </c>
      <c r="AN170" s="127">
        <f>AM170*'1. Standard_Cost'!$C$31</f>
        <v>0</v>
      </c>
      <c r="AO170" s="130"/>
      <c r="AP170" s="256"/>
      <c r="AQ170" s="171">
        <f t="shared" si="147"/>
        <v>0</v>
      </c>
      <c r="AR170" s="171">
        <f t="shared" si="148"/>
        <v>668629500</v>
      </c>
      <c r="AS170" s="171">
        <f t="shared" si="149"/>
        <v>0</v>
      </c>
      <c r="AT170" s="171">
        <f t="shared" si="150"/>
        <v>668629500</v>
      </c>
      <c r="AU170" s="250">
        <v>668629500</v>
      </c>
      <c r="AV170" s="250"/>
      <c r="AW170" s="250"/>
      <c r="AX170" s="250"/>
      <c r="AY170" s="250"/>
      <c r="AZ170" s="250"/>
      <c r="BA170" s="250"/>
      <c r="BB170" s="251">
        <f t="shared" si="151"/>
        <v>0</v>
      </c>
      <c r="BC170" s="71"/>
      <c r="BD170" s="71"/>
      <c r="BE170" s="71"/>
      <c r="BF170" s="71"/>
    </row>
    <row r="171" spans="1:58" ht="31.5" outlineLevel="2" x14ac:dyDescent="0.25">
      <c r="A171" s="115"/>
      <c r="B171" s="200"/>
      <c r="C171" s="201"/>
      <c r="D171" s="343"/>
      <c r="E171" s="328"/>
      <c r="F171" s="328"/>
      <c r="G171" s="328"/>
      <c r="H171" s="213" t="s">
        <v>481</v>
      </c>
      <c r="I171" s="130"/>
      <c r="J171" s="126"/>
      <c r="K171" s="126"/>
      <c r="L171" s="125" t="str">
        <f>IF(I171&lt;&gt;0,((VLOOKUP(I171,'1. Standard_Cost'!$B$4:$D$11,2)+VLOOKUP(I171,'1. Standard_Cost'!$B$4:$D$11,3))*J171*K171),"0")</f>
        <v>0</v>
      </c>
      <c r="M171" s="125">
        <f>L171*'1. Standard_Cost'!$F$4</f>
        <v>0</v>
      </c>
      <c r="N171" s="126"/>
      <c r="O171" s="126"/>
      <c r="P171" s="126"/>
      <c r="Q171" s="126"/>
      <c r="R171" s="127">
        <f>'1. Standard_Cost'!$B$15*N171*P171</f>
        <v>0</v>
      </c>
      <c r="S171" s="127">
        <f>N171*O171*P171*'1. Standard_Cost'!$C$15</f>
        <v>0</v>
      </c>
      <c r="T171" s="127">
        <f>N171*P171*Q171*'1. Standard_Cost'!$D$15</f>
        <v>0</v>
      </c>
      <c r="U171" s="127">
        <f>N171*O171*'1. Standard_Cost'!$E$15</f>
        <v>0</v>
      </c>
      <c r="V171" s="126"/>
      <c r="W171" s="126"/>
      <c r="X171" s="126"/>
      <c r="Y171" s="127">
        <f>+V171*((X171*'1. Standard_Cost'!$B$19)+(W171*X171*'1. Standard_Cost'!$C$19))</f>
        <v>0</v>
      </c>
      <c r="Z171" s="126"/>
      <c r="AA171" s="126"/>
      <c r="AB171" s="127">
        <f>+Z171*'1. Standard_Cost'!$B$23+AA171*'1. Standard_Cost'!$C$23</f>
        <v>0</v>
      </c>
      <c r="AC171" s="128">
        <f>1704982000/12*3</f>
        <v>426245500</v>
      </c>
      <c r="AD171" s="129"/>
      <c r="AE171" s="127"/>
      <c r="AF171" s="127">
        <f t="shared" si="146"/>
        <v>426245500</v>
      </c>
      <c r="AG171" s="126"/>
      <c r="AH171" s="126"/>
      <c r="AI171" s="126"/>
      <c r="AJ171" s="130"/>
      <c r="AK171" s="130"/>
      <c r="AL171" s="130"/>
      <c r="AM171" s="127">
        <f>AG171*'1. Standard_Cost'!$B$27+'Incremental_Cost Year 1'!AH171*'1. Standard_Cost'!$C$27+'Incremental_Cost Year 1'!AI171*'1. Standard_Cost'!$D$27+'Incremental_Cost Year 1'!AJ171+'Incremental_Cost Year 1'!AL171+AK171</f>
        <v>0</v>
      </c>
      <c r="AN171" s="127">
        <f>AM171*'1. Standard_Cost'!$C$31</f>
        <v>0</v>
      </c>
      <c r="AO171" s="130"/>
      <c r="AP171" s="256"/>
      <c r="AQ171" s="171">
        <f t="shared" si="147"/>
        <v>0</v>
      </c>
      <c r="AR171" s="171">
        <f t="shared" si="148"/>
        <v>426245500</v>
      </c>
      <c r="AS171" s="171">
        <f t="shared" si="149"/>
        <v>0</v>
      </c>
      <c r="AT171" s="171">
        <f t="shared" si="150"/>
        <v>426245500</v>
      </c>
      <c r="AU171" s="250">
        <v>426245500</v>
      </c>
      <c r="AV171" s="250"/>
      <c r="AW171" s="250"/>
      <c r="AX171" s="250"/>
      <c r="AY171" s="250"/>
      <c r="AZ171" s="250"/>
      <c r="BA171" s="250"/>
      <c r="BB171" s="251">
        <f t="shared" si="151"/>
        <v>0</v>
      </c>
      <c r="BC171" s="71"/>
      <c r="BD171" s="71"/>
      <c r="BE171" s="71"/>
      <c r="BF171" s="71"/>
    </row>
    <row r="172" spans="1:58" ht="47.25" outlineLevel="2" x14ac:dyDescent="0.25">
      <c r="A172" s="115"/>
      <c r="B172" s="200"/>
      <c r="C172" s="201"/>
      <c r="D172" s="343"/>
      <c r="E172" s="328"/>
      <c r="F172" s="328"/>
      <c r="G172" s="328"/>
      <c r="H172" s="213" t="s">
        <v>542</v>
      </c>
      <c r="I172" s="130"/>
      <c r="J172" s="126"/>
      <c r="K172" s="126"/>
      <c r="L172" s="125" t="str">
        <f>IF(I172&lt;&gt;0,((VLOOKUP(I172,'1. Standard_Cost'!$B$4:$D$11,2)+VLOOKUP(I172,'1. Standard_Cost'!$B$4:$D$11,3))*J172*K172),"0")</f>
        <v>0</v>
      </c>
      <c r="M172" s="125">
        <f>L172*'1. Standard_Cost'!$F$4</f>
        <v>0</v>
      </c>
      <c r="N172" s="126"/>
      <c r="O172" s="126"/>
      <c r="P172" s="126"/>
      <c r="Q172" s="126"/>
      <c r="R172" s="127">
        <f>'1. Standard_Cost'!$B$15*N172*P172</f>
        <v>0</v>
      </c>
      <c r="S172" s="127">
        <f>N172*O172*P172*'1. Standard_Cost'!$C$15</f>
        <v>0</v>
      </c>
      <c r="T172" s="127">
        <f>N172*P172*Q172*'1. Standard_Cost'!$D$15</f>
        <v>0</v>
      </c>
      <c r="U172" s="127">
        <f>N172*O172*'1. Standard_Cost'!$E$15</f>
        <v>0</v>
      </c>
      <c r="V172" s="126"/>
      <c r="W172" s="126"/>
      <c r="X172" s="126"/>
      <c r="Y172" s="127">
        <f>+V172*((X172*'1. Standard_Cost'!$B$19)+(W172*X172*'1. Standard_Cost'!$C$19))</f>
        <v>0</v>
      </c>
      <c r="Z172" s="126"/>
      <c r="AA172" s="126"/>
      <c r="AB172" s="127">
        <f>+Z172*'1. Standard_Cost'!$B$23+AA172*'1. Standard_Cost'!$C$23</f>
        <v>0</v>
      </c>
      <c r="AC172" s="128"/>
      <c r="AD172" s="129"/>
      <c r="AE172" s="127"/>
      <c r="AF172" s="127">
        <f t="shared" si="146"/>
        <v>0</v>
      </c>
      <c r="AG172" s="126"/>
      <c r="AH172" s="126"/>
      <c r="AI172" s="126"/>
      <c r="AJ172" s="130">
        <v>305400000</v>
      </c>
      <c r="AK172" s="130"/>
      <c r="AL172" s="130">
        <v>142778834</v>
      </c>
      <c r="AM172" s="127">
        <f>AG172*'1. Standard_Cost'!$B$27+'Incremental_Cost Year 1'!AH172*'1. Standard_Cost'!$C$27+'Incremental_Cost Year 1'!AI172*'1. Standard_Cost'!$D$27+'Incremental_Cost Year 1'!AJ172+'Incremental_Cost Year 1'!AL172+AK172</f>
        <v>448178834</v>
      </c>
      <c r="AN172" s="127"/>
      <c r="AO172" s="130"/>
      <c r="AP172" s="256"/>
      <c r="AQ172" s="171">
        <f t="shared" si="147"/>
        <v>0</v>
      </c>
      <c r="AR172" s="171">
        <f t="shared" si="148"/>
        <v>0</v>
      </c>
      <c r="AS172" s="171">
        <f t="shared" si="149"/>
        <v>448178834</v>
      </c>
      <c r="AT172" s="171">
        <f t="shared" si="150"/>
        <v>448178834</v>
      </c>
      <c r="AU172" s="250">
        <v>347778834</v>
      </c>
      <c r="AV172" s="250">
        <v>45200000</v>
      </c>
      <c r="AW172" s="250">
        <v>55200000</v>
      </c>
      <c r="AX172" s="250"/>
      <c r="AY172" s="250"/>
      <c r="AZ172" s="250"/>
      <c r="BA172" s="250"/>
      <c r="BB172" s="251">
        <f t="shared" si="151"/>
        <v>0</v>
      </c>
      <c r="BC172" s="71"/>
      <c r="BD172" s="71"/>
      <c r="BE172" s="71"/>
      <c r="BF172" s="71"/>
    </row>
    <row r="173" spans="1:58" ht="31.5" outlineLevel="2" x14ac:dyDescent="0.25">
      <c r="A173" s="115"/>
      <c r="B173" s="200"/>
      <c r="C173" s="201"/>
      <c r="D173" s="343"/>
      <c r="E173" s="328"/>
      <c r="F173" s="328"/>
      <c r="G173" s="328"/>
      <c r="H173" s="213" t="s">
        <v>482</v>
      </c>
      <c r="I173" s="130" t="s">
        <v>3</v>
      </c>
      <c r="J173" s="126">
        <v>2</v>
      </c>
      <c r="K173" s="126">
        <v>59</v>
      </c>
      <c r="L173" s="125">
        <f>IF(I173&lt;&gt;0,((VLOOKUP(I173,'1. Standard_Cost'!$B$4:$D$11,2)+VLOOKUP(I173,'1. Standard_Cost'!$B$4:$D$11,3))*J173*K173),"0")</f>
        <v>11894400</v>
      </c>
      <c r="M173" s="125">
        <f>L173*'1. Standard_Cost'!$F$4</f>
        <v>1986364.8</v>
      </c>
      <c r="N173" s="126"/>
      <c r="O173" s="126"/>
      <c r="P173" s="126"/>
      <c r="Q173" s="126"/>
      <c r="R173" s="127">
        <f>'1. Standard_Cost'!$B$15*N173*P173</f>
        <v>0</v>
      </c>
      <c r="S173" s="127">
        <f>N173*O173*P173*'1. Standard_Cost'!$C$15</f>
        <v>0</v>
      </c>
      <c r="T173" s="127">
        <f>N173*P173*Q173*'1. Standard_Cost'!$D$15</f>
        <v>0</v>
      </c>
      <c r="U173" s="127">
        <f>N173*O173*'1. Standard_Cost'!$E$15</f>
        <v>0</v>
      </c>
      <c r="V173" s="126"/>
      <c r="W173" s="126"/>
      <c r="X173" s="126"/>
      <c r="Y173" s="127">
        <f>+V173*((X173*'1. Standard_Cost'!$B$19)+(W173*X173*'1. Standard_Cost'!$C$19))</f>
        <v>0</v>
      </c>
      <c r="Z173" s="126"/>
      <c r="AA173" s="126"/>
      <c r="AB173" s="127">
        <f>+Z173*'1. Standard_Cost'!$B$23+AA173*'1. Standard_Cost'!$C$23</f>
        <v>0</v>
      </c>
      <c r="AC173" s="128">
        <f>401488000/12*3</f>
        <v>100372000</v>
      </c>
      <c r="AD173" s="129"/>
      <c r="AE173" s="127"/>
      <c r="AF173" s="127">
        <f t="shared" si="146"/>
        <v>100372000</v>
      </c>
      <c r="AG173" s="126"/>
      <c r="AH173" s="126"/>
      <c r="AI173" s="126"/>
      <c r="AJ173" s="130"/>
      <c r="AK173" s="130"/>
      <c r="AL173" s="130"/>
      <c r="AM173" s="127">
        <f>AG173*'1. Standard_Cost'!$B$27+'Incremental_Cost Year 1'!AH173*'1. Standard_Cost'!$C$27+'Incremental_Cost Year 1'!AI173*'1. Standard_Cost'!$D$27+'Incremental_Cost Year 1'!AJ173+'Incremental_Cost Year 1'!AL173+AK173</f>
        <v>0</v>
      </c>
      <c r="AN173" s="127">
        <f>AM173*'1. Standard_Cost'!$C$31</f>
        <v>0</v>
      </c>
      <c r="AO173" s="130"/>
      <c r="AP173" s="256"/>
      <c r="AQ173" s="171">
        <f t="shared" si="147"/>
        <v>13880764.800000001</v>
      </c>
      <c r="AR173" s="171">
        <f t="shared" si="148"/>
        <v>100372000</v>
      </c>
      <c r="AS173" s="171">
        <f t="shared" si="149"/>
        <v>0</v>
      </c>
      <c r="AT173" s="171">
        <f t="shared" si="150"/>
        <v>114252764.8</v>
      </c>
      <c r="AU173" s="250">
        <v>114252764.8</v>
      </c>
      <c r="AV173" s="250"/>
      <c r="AW173" s="250"/>
      <c r="AX173" s="250"/>
      <c r="AY173" s="250"/>
      <c r="AZ173" s="250"/>
      <c r="BA173" s="250"/>
      <c r="BB173" s="251">
        <f t="shared" si="151"/>
        <v>0</v>
      </c>
      <c r="BC173" s="71"/>
      <c r="BD173" s="71"/>
      <c r="BE173" s="71"/>
      <c r="BF173" s="71"/>
    </row>
    <row r="174" spans="1:58" ht="15.75" outlineLevel="2" x14ac:dyDescent="0.25">
      <c r="A174" s="115"/>
      <c r="B174" s="200"/>
      <c r="C174" s="201"/>
      <c r="D174" s="343"/>
      <c r="E174" s="328"/>
      <c r="F174" s="328"/>
      <c r="G174" s="328"/>
      <c r="H174" s="199"/>
      <c r="I174" s="130"/>
      <c r="J174" s="126"/>
      <c r="K174" s="126"/>
      <c r="L174" s="125" t="str">
        <f>IF(I174&lt;&gt;0,((VLOOKUP(I174,'1. Standard_Cost'!$B$4:$D$11,2)+VLOOKUP(I174,'1. Standard_Cost'!$B$4:$D$11,3))*J174*K174),"0")</f>
        <v>0</v>
      </c>
      <c r="M174" s="125">
        <f>L174*'1. Standard_Cost'!$F$4</f>
        <v>0</v>
      </c>
      <c r="N174" s="126"/>
      <c r="O174" s="126"/>
      <c r="P174" s="126"/>
      <c r="Q174" s="126"/>
      <c r="R174" s="127">
        <f>'1. Standard_Cost'!$B$15*N174*P174</f>
        <v>0</v>
      </c>
      <c r="S174" s="127">
        <f>N174*O174*P174*'1. Standard_Cost'!$C$15</f>
        <v>0</v>
      </c>
      <c r="T174" s="127">
        <f>N174*P174*Q174*'1. Standard_Cost'!$D$15</f>
        <v>0</v>
      </c>
      <c r="U174" s="127">
        <f>N174*O174*'1. Standard_Cost'!$E$15</f>
        <v>0</v>
      </c>
      <c r="V174" s="126"/>
      <c r="W174" s="126"/>
      <c r="X174" s="126"/>
      <c r="Y174" s="127">
        <f>+V174*((X174*'1. Standard_Cost'!$B$19)+(W174*X174*'1. Standard_Cost'!$C$19))</f>
        <v>0</v>
      </c>
      <c r="Z174" s="126"/>
      <c r="AA174" s="126"/>
      <c r="AB174" s="127">
        <f>+Z174*'1. Standard_Cost'!$B$23+AA174*'1. Standard_Cost'!$C$23</f>
        <v>0</v>
      </c>
      <c r="AC174" s="128"/>
      <c r="AD174" s="129"/>
      <c r="AE174" s="127"/>
      <c r="AF174" s="127">
        <f t="shared" si="146"/>
        <v>0</v>
      </c>
      <c r="AG174" s="126"/>
      <c r="AH174" s="126"/>
      <c r="AI174" s="126"/>
      <c r="AJ174" s="130"/>
      <c r="AK174" s="130"/>
      <c r="AL174" s="130"/>
      <c r="AM174" s="127">
        <f>AG174*'1. Standard_Cost'!$B$27+'Incremental_Cost Year 1'!AH174*'1. Standard_Cost'!$C$27+'Incremental_Cost Year 1'!AI174*'1. Standard_Cost'!$D$27+'Incremental_Cost Year 1'!AJ174+'Incremental_Cost Year 1'!AL174+AK174</f>
        <v>0</v>
      </c>
      <c r="AN174" s="127">
        <f>AM174*'1. Standard_Cost'!$C$31</f>
        <v>0</v>
      </c>
      <c r="AO174" s="130"/>
      <c r="AP174" s="256"/>
      <c r="AQ174" s="171">
        <f t="shared" si="147"/>
        <v>0</v>
      </c>
      <c r="AR174" s="171">
        <f t="shared" si="148"/>
        <v>0</v>
      </c>
      <c r="AS174" s="171">
        <f t="shared" si="149"/>
        <v>0</v>
      </c>
      <c r="AT174" s="171">
        <f t="shared" si="150"/>
        <v>0</v>
      </c>
      <c r="AU174" s="250"/>
      <c r="AV174" s="250"/>
      <c r="AW174" s="250"/>
      <c r="AX174" s="250"/>
      <c r="AY174" s="250"/>
      <c r="AZ174" s="250"/>
      <c r="BA174" s="250"/>
      <c r="BB174" s="251">
        <f t="shared" si="151"/>
        <v>0</v>
      </c>
      <c r="BC174" s="71"/>
      <c r="BD174" s="71"/>
      <c r="BE174" s="71"/>
      <c r="BF174" s="71"/>
    </row>
    <row r="175" spans="1:58" ht="47.25" outlineLevel="2" x14ac:dyDescent="0.25">
      <c r="A175" s="115"/>
      <c r="B175" s="200"/>
      <c r="C175" s="201"/>
      <c r="D175" s="343"/>
      <c r="E175" s="328"/>
      <c r="F175" s="328"/>
      <c r="G175" s="328"/>
      <c r="H175" s="213" t="s">
        <v>483</v>
      </c>
      <c r="I175" s="130"/>
      <c r="J175" s="126"/>
      <c r="K175" s="126"/>
      <c r="L175" s="125" t="str">
        <f>IF(I175&lt;&gt;0,((VLOOKUP(I175,'1. Standard_Cost'!$B$4:$D$11,2)+VLOOKUP(I175,'1. Standard_Cost'!$B$4:$D$11,3))*J175*K175),"0")</f>
        <v>0</v>
      </c>
      <c r="M175" s="125">
        <f>L175*'1. Standard_Cost'!$F$4</f>
        <v>0</v>
      </c>
      <c r="N175" s="126"/>
      <c r="O175" s="126"/>
      <c r="P175" s="126"/>
      <c r="Q175" s="126"/>
      <c r="R175" s="127">
        <f>'1. Standard_Cost'!$B$15*N175*P175</f>
        <v>0</v>
      </c>
      <c r="S175" s="127">
        <f>N175*O175*P175*'1. Standard_Cost'!$C$15</f>
        <v>0</v>
      </c>
      <c r="T175" s="127">
        <f>N175*P175*Q175*'1. Standard_Cost'!$D$15</f>
        <v>0</v>
      </c>
      <c r="U175" s="127">
        <f>N175*O175*'1. Standard_Cost'!$E$15</f>
        <v>0</v>
      </c>
      <c r="V175" s="126"/>
      <c r="W175" s="126"/>
      <c r="X175" s="126"/>
      <c r="Y175" s="127">
        <f>+V175*((X175*'1. Standard_Cost'!$B$19)+(W175*X175*'1. Standard_Cost'!$C$19))</f>
        <v>0</v>
      </c>
      <c r="Z175" s="126"/>
      <c r="AA175" s="126"/>
      <c r="AB175" s="127">
        <f>+Z175*'1. Standard_Cost'!$B$23+AA175*'1. Standard_Cost'!$C$23</f>
        <v>0</v>
      </c>
      <c r="AC175" s="128">
        <f>4975379900/12*3</f>
        <v>1243844975</v>
      </c>
      <c r="AD175" s="129"/>
      <c r="AE175" s="127"/>
      <c r="AF175" s="127">
        <f t="shared" si="146"/>
        <v>1243844975</v>
      </c>
      <c r="AG175" s="126"/>
      <c r="AH175" s="126"/>
      <c r="AI175" s="126"/>
      <c r="AJ175" s="130"/>
      <c r="AK175" s="130"/>
      <c r="AL175" s="130"/>
      <c r="AM175" s="127">
        <f>AG175*'1. Standard_Cost'!$B$27+'Incremental_Cost Year 1'!AH175*'1. Standard_Cost'!$C$27+'Incremental_Cost Year 1'!AI175*'1. Standard_Cost'!$D$27+'Incremental_Cost Year 1'!AJ175+'Incremental_Cost Year 1'!AL175+AK175</f>
        <v>0</v>
      </c>
      <c r="AN175" s="127">
        <f>AM175*'1. Standard_Cost'!$C$31</f>
        <v>0</v>
      </c>
      <c r="AO175" s="130"/>
      <c r="AP175" s="256"/>
      <c r="AQ175" s="171">
        <f t="shared" si="147"/>
        <v>0</v>
      </c>
      <c r="AR175" s="171">
        <f t="shared" si="148"/>
        <v>1243844975</v>
      </c>
      <c r="AS175" s="171">
        <f t="shared" si="149"/>
        <v>0</v>
      </c>
      <c r="AT175" s="171">
        <f t="shared" si="150"/>
        <v>1243844975</v>
      </c>
      <c r="AU175" s="250">
        <v>1243844975</v>
      </c>
      <c r="AV175" s="250"/>
      <c r="AW175" s="250"/>
      <c r="AX175" s="250"/>
      <c r="AY175" s="250"/>
      <c r="AZ175" s="250"/>
      <c r="BA175" s="250"/>
      <c r="BB175" s="251">
        <f t="shared" si="151"/>
        <v>0</v>
      </c>
      <c r="BC175" s="71"/>
      <c r="BD175" s="71"/>
      <c r="BE175" s="71"/>
      <c r="BF175" s="71"/>
    </row>
    <row r="176" spans="1:58" ht="63" outlineLevel="2" x14ac:dyDescent="0.25">
      <c r="A176" s="115"/>
      <c r="B176" s="200"/>
      <c r="C176" s="201"/>
      <c r="D176" s="343"/>
      <c r="E176" s="328"/>
      <c r="F176" s="328"/>
      <c r="G176" s="328"/>
      <c r="H176" s="199" t="s">
        <v>484</v>
      </c>
      <c r="I176" s="130" t="s">
        <v>1</v>
      </c>
      <c r="J176" s="126">
        <v>2</v>
      </c>
      <c r="K176" s="126">
        <v>7</v>
      </c>
      <c r="L176" s="125">
        <f>IF(I176&lt;&gt;0,((VLOOKUP(I176,'1. Standard_Cost'!$B$4:$D$11,2)+VLOOKUP(I176,'1. Standard_Cost'!$B$4:$D$11,3))*J176*K176),"0")</f>
        <v>1005100</v>
      </c>
      <c r="M176" s="125">
        <f>L176*'1. Standard_Cost'!$F$4</f>
        <v>167851.7</v>
      </c>
      <c r="N176" s="126"/>
      <c r="O176" s="126"/>
      <c r="P176" s="126"/>
      <c r="Q176" s="126"/>
      <c r="R176" s="127">
        <f>'1. Standard_Cost'!$B$15*N176*P176</f>
        <v>0</v>
      </c>
      <c r="S176" s="127">
        <f>N176*O176*P176*'1. Standard_Cost'!$C$15</f>
        <v>0</v>
      </c>
      <c r="T176" s="127">
        <f>N176*P176*Q176*'1. Standard_Cost'!$D$15</f>
        <v>0</v>
      </c>
      <c r="U176" s="127">
        <f>N176*O176*'1. Standard_Cost'!$E$15</f>
        <v>0</v>
      </c>
      <c r="V176" s="126"/>
      <c r="W176" s="126"/>
      <c r="X176" s="126"/>
      <c r="Y176" s="127">
        <f>+V176*((X176*'1. Standard_Cost'!$B$19)+(W176*X176*'1. Standard_Cost'!$C$19))</f>
        <v>0</v>
      </c>
      <c r="Z176" s="126"/>
      <c r="AA176" s="126"/>
      <c r="AB176" s="127">
        <f>+Z176*'1. Standard_Cost'!$B$23+AA176*'1. Standard_Cost'!$C$23</f>
        <v>0</v>
      </c>
      <c r="AC176" s="128">
        <v>140755</v>
      </c>
      <c r="AD176" s="129"/>
      <c r="AE176" s="127">
        <f>SUM(AD176,AC176,AB176,Y176,U176,T176,S176,R176)*'1. Standard_Cost'!$B$31</f>
        <v>28151</v>
      </c>
      <c r="AF176" s="127">
        <f t="shared" si="146"/>
        <v>168906</v>
      </c>
      <c r="AG176" s="126"/>
      <c r="AH176" s="126"/>
      <c r="AI176" s="126"/>
      <c r="AJ176" s="130"/>
      <c r="AK176" s="130"/>
      <c r="AL176" s="130"/>
      <c r="AM176" s="127">
        <f>AG176*'1. Standard_Cost'!$B$27+'Incremental_Cost Year 1'!AH176*'1. Standard_Cost'!$C$27+'Incremental_Cost Year 1'!AI176*'1. Standard_Cost'!$D$27+'Incremental_Cost Year 1'!AJ176+'Incremental_Cost Year 1'!AL176+AK176</f>
        <v>0</v>
      </c>
      <c r="AN176" s="127">
        <f>AM176*'1. Standard_Cost'!$C$31</f>
        <v>0</v>
      </c>
      <c r="AO176" s="130"/>
      <c r="AP176" s="256"/>
      <c r="AQ176" s="171">
        <f t="shared" si="147"/>
        <v>1172951.7</v>
      </c>
      <c r="AR176" s="171">
        <f t="shared" si="148"/>
        <v>168906</v>
      </c>
      <c r="AS176" s="171">
        <f t="shared" si="149"/>
        <v>0</v>
      </c>
      <c r="AT176" s="171">
        <f t="shared" si="150"/>
        <v>1341857.7</v>
      </c>
      <c r="AU176" s="250">
        <v>1341858</v>
      </c>
      <c r="AV176" s="250"/>
      <c r="AW176" s="250"/>
      <c r="AX176" s="250"/>
      <c r="AY176" s="250"/>
      <c r="AZ176" s="250"/>
      <c r="BA176" s="250"/>
      <c r="BB176" s="251">
        <f t="shared" si="151"/>
        <v>0.30000000004656613</v>
      </c>
      <c r="BC176" s="71"/>
      <c r="BD176" s="71"/>
      <c r="BE176" s="71"/>
      <c r="BF176" s="71"/>
    </row>
    <row r="177" spans="1:58" ht="15.75" outlineLevel="2" x14ac:dyDescent="0.25">
      <c r="A177" s="115"/>
      <c r="B177" s="200"/>
      <c r="C177" s="201"/>
      <c r="D177" s="344"/>
      <c r="E177" s="328"/>
      <c r="F177" s="328"/>
      <c r="G177" s="328"/>
      <c r="H177" s="231" t="s">
        <v>235</v>
      </c>
      <c r="I177" s="130"/>
      <c r="J177" s="126"/>
      <c r="K177" s="126"/>
      <c r="L177" s="125" t="str">
        <f>IF(I177&lt;&gt;0,((VLOOKUP(I177,'1. Standard_Cost'!$B$4:$D$11,2)+VLOOKUP(I177,'1. Standard_Cost'!$B$4:$D$11,3))*J177*K177),"0")</f>
        <v>0</v>
      </c>
      <c r="M177" s="125">
        <f>L177*'1. Standard_Cost'!$F$4</f>
        <v>0</v>
      </c>
      <c r="N177" s="126"/>
      <c r="O177" s="126"/>
      <c r="P177" s="126"/>
      <c r="Q177" s="126"/>
      <c r="R177" s="127">
        <f>'1. Standard_Cost'!$B$15*N177*P177</f>
        <v>0</v>
      </c>
      <c r="S177" s="127">
        <f>N177*O177*P177*'1. Standard_Cost'!$C$15</f>
        <v>0</v>
      </c>
      <c r="T177" s="127">
        <f>N177*P177*Q177*'1. Standard_Cost'!$D$15</f>
        <v>0</v>
      </c>
      <c r="U177" s="127">
        <f>N177*O177*'1. Standard_Cost'!$E$15</f>
        <v>0</v>
      </c>
      <c r="V177" s="126"/>
      <c r="W177" s="126"/>
      <c r="X177" s="126"/>
      <c r="Y177" s="127">
        <f>+V177*((X177*'1. Standard_Cost'!$B$19)+(W177*X177*'1. Standard_Cost'!$C$19))</f>
        <v>0</v>
      </c>
      <c r="Z177" s="126"/>
      <c r="AA177" s="126"/>
      <c r="AB177" s="127">
        <f>+Z177*'1. Standard_Cost'!$B$23+AA177*'1. Standard_Cost'!$C$23</f>
        <v>0</v>
      </c>
      <c r="AC177" s="128">
        <v>20000000</v>
      </c>
      <c r="AD177" s="129"/>
      <c r="AE177" s="127"/>
      <c r="AF177" s="127">
        <f t="shared" si="146"/>
        <v>20000000</v>
      </c>
      <c r="AG177" s="126"/>
      <c r="AH177" s="126"/>
      <c r="AI177" s="126"/>
      <c r="AJ177" s="130"/>
      <c r="AK177" s="130"/>
      <c r="AL177" s="130"/>
      <c r="AM177" s="127">
        <f>AG177*'1. Standard_Cost'!$B$27+'Incremental_Cost Year 1'!AH177*'1. Standard_Cost'!$C$27+'Incremental_Cost Year 1'!AI177*'1. Standard_Cost'!$D$27+'Incremental_Cost Year 1'!AJ177+'Incremental_Cost Year 1'!AL177+AK177</f>
        <v>0</v>
      </c>
      <c r="AN177" s="127">
        <f>AM177*'1. Standard_Cost'!$C$31</f>
        <v>0</v>
      </c>
      <c r="AO177" s="130"/>
      <c r="AP177" s="256"/>
      <c r="AQ177" s="171">
        <f t="shared" si="147"/>
        <v>0</v>
      </c>
      <c r="AR177" s="171">
        <f t="shared" si="148"/>
        <v>20000000</v>
      </c>
      <c r="AS177" s="171">
        <f t="shared" si="149"/>
        <v>0</v>
      </c>
      <c r="AT177" s="171">
        <f t="shared" si="150"/>
        <v>20000000</v>
      </c>
      <c r="AU177" s="250">
        <v>20000000</v>
      </c>
      <c r="AV177" s="250"/>
      <c r="AW177" s="250"/>
      <c r="AX177" s="250"/>
      <c r="AY177" s="250"/>
      <c r="AZ177" s="250"/>
      <c r="BA177" s="250"/>
      <c r="BB177" s="251">
        <f t="shared" si="151"/>
        <v>0</v>
      </c>
      <c r="BC177" s="71"/>
      <c r="BD177" s="71"/>
      <c r="BE177" s="71"/>
      <c r="BF177" s="71"/>
    </row>
    <row r="178" spans="1:58" ht="78.75" outlineLevel="2" x14ac:dyDescent="0.25">
      <c r="A178" s="115"/>
      <c r="B178" s="165"/>
      <c r="C178" s="166"/>
      <c r="D178" s="150" t="s">
        <v>485</v>
      </c>
      <c r="E178" s="212" t="s">
        <v>486</v>
      </c>
      <c r="F178" s="106">
        <v>2021</v>
      </c>
      <c r="G178" s="104">
        <v>2030</v>
      </c>
      <c r="H178" s="110" t="s">
        <v>181</v>
      </c>
      <c r="I178" s="252"/>
      <c r="J178" s="252"/>
      <c r="K178" s="252"/>
      <c r="L178" s="127">
        <f>SUM(L169:L177)</f>
        <v>12899500</v>
      </c>
      <c r="M178" s="127">
        <f>SUM(M169:M177)</f>
        <v>2154216.5</v>
      </c>
      <c r="N178" s="252"/>
      <c r="O178" s="252"/>
      <c r="P178" s="252"/>
      <c r="Q178" s="252"/>
      <c r="R178" s="127">
        <f>SUM(R169:R177)</f>
        <v>0</v>
      </c>
      <c r="S178" s="127">
        <f>SUM(S169:S177)</f>
        <v>0</v>
      </c>
      <c r="T178" s="127">
        <f>SUM(T169:T177)</f>
        <v>0</v>
      </c>
      <c r="U178" s="127">
        <f>SUM(U169:U177)</f>
        <v>0</v>
      </c>
      <c r="V178" s="252"/>
      <c r="W178" s="252"/>
      <c r="X178" s="252"/>
      <c r="Y178" s="127">
        <f>SUM(Y169:Y177)</f>
        <v>0</v>
      </c>
      <c r="Z178" s="127"/>
      <c r="AA178" s="252"/>
      <c r="AB178" s="127">
        <f>SUM(AB169:AB177)</f>
        <v>0</v>
      </c>
      <c r="AC178" s="127">
        <f>SUM(AC169:AC177)</f>
        <v>2614232730</v>
      </c>
      <c r="AD178" s="127">
        <f>SUM(AD169:AD177)</f>
        <v>0</v>
      </c>
      <c r="AE178" s="127">
        <f>SUM(AE169:AE177)</f>
        <v>28151</v>
      </c>
      <c r="AF178" s="127">
        <f>SUM(AF169:AF177)</f>
        <v>2614260881</v>
      </c>
      <c r="AG178" s="252"/>
      <c r="AH178" s="252"/>
      <c r="AI178" s="252"/>
      <c r="AJ178" s="127">
        <f>SUM(AJ169:AJ177)</f>
        <v>305400000</v>
      </c>
      <c r="AK178" s="127">
        <f>SUM(AK169:AK177)</f>
        <v>0</v>
      </c>
      <c r="AL178" s="127">
        <f>SUM(AL169:AL177)</f>
        <v>142778834</v>
      </c>
      <c r="AM178" s="127">
        <f>SUM(AM169:AM177)</f>
        <v>448178834</v>
      </c>
      <c r="AN178" s="127">
        <f>SUM(AN169:AN177)</f>
        <v>0</v>
      </c>
      <c r="AO178" s="253"/>
      <c r="AP178" s="254"/>
      <c r="AQ178" s="175">
        <f>SUM(AQ169:AQ177)</f>
        <v>15053716.5</v>
      </c>
      <c r="AR178" s="175">
        <f>SUM(AR169:AR177)</f>
        <v>2614260881</v>
      </c>
      <c r="AS178" s="175">
        <f>SUM(AS169:AS177)</f>
        <v>448178834</v>
      </c>
      <c r="AT178" s="175">
        <f>SUM(AT169:AT177)</f>
        <v>3077493431.5</v>
      </c>
      <c r="AU178" s="175">
        <f t="shared" ref="AU178:BA178" si="152">SUM(AU169:AU177)</f>
        <v>2977093431.8000002</v>
      </c>
      <c r="AV178" s="175">
        <f t="shared" si="152"/>
        <v>45200000</v>
      </c>
      <c r="AW178" s="175">
        <f t="shared" si="152"/>
        <v>55200000</v>
      </c>
      <c r="AX178" s="175">
        <f t="shared" si="152"/>
        <v>0</v>
      </c>
      <c r="AY178" s="175">
        <f t="shared" si="152"/>
        <v>0</v>
      </c>
      <c r="AZ178" s="175">
        <f t="shared" si="152"/>
        <v>0</v>
      </c>
      <c r="BA178" s="175">
        <f t="shared" si="152"/>
        <v>0</v>
      </c>
      <c r="BB178" s="175">
        <f>SUM(BB169:BB177)</f>
        <v>0.30000000004656613</v>
      </c>
      <c r="BC178" s="71"/>
      <c r="BD178" s="71"/>
      <c r="BE178" s="71"/>
      <c r="BF178" s="71"/>
    </row>
    <row r="179" spans="1:58" ht="31.5" outlineLevel="2" x14ac:dyDescent="0.25">
      <c r="A179" s="115"/>
      <c r="B179" s="200"/>
      <c r="C179" s="201"/>
      <c r="D179" s="210"/>
      <c r="E179" s="328"/>
      <c r="F179" s="328"/>
      <c r="G179" s="328"/>
      <c r="H179" s="199" t="s">
        <v>487</v>
      </c>
      <c r="I179" s="130"/>
      <c r="J179" s="126"/>
      <c r="K179" s="126"/>
      <c r="L179" s="125" t="str">
        <f>IF(I179&lt;&gt;0,((VLOOKUP(I179,'1. Standard_Cost'!$B$4:$D$11,2)+VLOOKUP(I179,'1. Standard_Cost'!$B$4:$D$11,3))*J179*K179),"0")</f>
        <v>0</v>
      </c>
      <c r="M179" s="125">
        <f>L179*'1. Standard_Cost'!$F$4</f>
        <v>0</v>
      </c>
      <c r="N179" s="126"/>
      <c r="O179" s="126"/>
      <c r="P179" s="126"/>
      <c r="Q179" s="126"/>
      <c r="R179" s="127">
        <f>'1. Standard_Cost'!$B$15*N179*P179</f>
        <v>0</v>
      </c>
      <c r="S179" s="127">
        <f>N179*O179*P179*'1. Standard_Cost'!$C$15</f>
        <v>0</v>
      </c>
      <c r="T179" s="127">
        <f>N179*P179*Q179*'1. Standard_Cost'!$D$15</f>
        <v>0</v>
      </c>
      <c r="U179" s="127">
        <f>N179*O179*'1. Standard_Cost'!$E$15</f>
        <v>0</v>
      </c>
      <c r="V179" s="126"/>
      <c r="W179" s="126"/>
      <c r="X179" s="126"/>
      <c r="Y179" s="127">
        <f>+V179*((X179*'1. Standard_Cost'!$B$19)+(W179*X179*'1. Standard_Cost'!$C$19))</f>
        <v>0</v>
      </c>
      <c r="Z179" s="126"/>
      <c r="AA179" s="126"/>
      <c r="AB179" s="127">
        <f>+Z179*'1. Standard_Cost'!$B$23+AA179*'1. Standard_Cost'!$C$23</f>
        <v>0</v>
      </c>
      <c r="AC179" s="128"/>
      <c r="AD179" s="129"/>
      <c r="AE179" s="127">
        <f>SUM(AD179,AC179,AB179,Y179,U179,T179,S179,R179)*'1. Standard_Cost'!$B$31</f>
        <v>0</v>
      </c>
      <c r="AF179" s="127">
        <f>SUM(AE179,AD179,AC179,AB179,Y179,U179,T179,S179,R179)</f>
        <v>0</v>
      </c>
      <c r="AG179" s="126"/>
      <c r="AH179" s="126"/>
      <c r="AI179" s="126"/>
      <c r="AJ179" s="130"/>
      <c r="AK179" s="130"/>
      <c r="AL179" s="130"/>
      <c r="AM179" s="127">
        <f>AG179*'1. Standard_Cost'!$B$27+'Incremental_Cost Year 1'!AH179*'1. Standard_Cost'!$C$27+'Incremental_Cost Year 1'!AI179*'1. Standard_Cost'!$D$27+'Incremental_Cost Year 1'!AJ179+'Incremental_Cost Year 1'!AL179+AK179</f>
        <v>0</v>
      </c>
      <c r="AN179" s="127">
        <f>AM179*'1. Standard_Cost'!$C$31</f>
        <v>0</v>
      </c>
      <c r="AO179" s="130"/>
      <c r="AP179" s="256"/>
      <c r="AQ179" s="171">
        <f>L179+M179</f>
        <v>0</v>
      </c>
      <c r="AR179" s="171">
        <f>AF179</f>
        <v>0</v>
      </c>
      <c r="AS179" s="171">
        <f>AM179+AN179</f>
        <v>0</v>
      </c>
      <c r="AT179" s="171">
        <f>SUM(AQ179,AR179,AS179)</f>
        <v>0</v>
      </c>
      <c r="AU179" s="250"/>
      <c r="AV179" s="250"/>
      <c r="AW179" s="250"/>
      <c r="AX179" s="250"/>
      <c r="AY179" s="250"/>
      <c r="AZ179" s="250"/>
      <c r="BA179" s="250"/>
      <c r="BB179" s="251">
        <f t="shared" ref="BB179:BB180" si="153">SUM(AU179:BA179)-AT179</f>
        <v>0</v>
      </c>
      <c r="BC179" s="71"/>
      <c r="BD179" s="71"/>
      <c r="BE179" s="71"/>
      <c r="BF179" s="71"/>
    </row>
    <row r="180" spans="1:58" ht="94.5" outlineLevel="2" x14ac:dyDescent="0.25">
      <c r="A180" s="115"/>
      <c r="B180" s="200"/>
      <c r="C180" s="201"/>
      <c r="D180" s="211"/>
      <c r="E180" s="328"/>
      <c r="F180" s="328"/>
      <c r="G180" s="328"/>
      <c r="H180" s="213" t="s">
        <v>488</v>
      </c>
      <c r="I180" s="130"/>
      <c r="J180" s="126"/>
      <c r="K180" s="126"/>
      <c r="L180" s="125" t="str">
        <f>IF(I180&lt;&gt;0,((VLOOKUP(I180,'1. Standard_Cost'!$B$4:$D$11,2)+VLOOKUP(I180,'1. Standard_Cost'!$B$4:$D$11,3))*J180*K180),"0")</f>
        <v>0</v>
      </c>
      <c r="M180" s="125">
        <f>L180*'1. Standard_Cost'!$F$4</f>
        <v>0</v>
      </c>
      <c r="N180" s="126"/>
      <c r="O180" s="126"/>
      <c r="P180" s="126"/>
      <c r="Q180" s="126"/>
      <c r="R180" s="127">
        <f>'1. Standard_Cost'!$B$15*N180*P180</f>
        <v>0</v>
      </c>
      <c r="S180" s="127">
        <f>N180*O180*P180*'1. Standard_Cost'!$C$15</f>
        <v>0</v>
      </c>
      <c r="T180" s="127">
        <f>N180*P180*Q180*'1. Standard_Cost'!$D$15</f>
        <v>0</v>
      </c>
      <c r="U180" s="127">
        <f>N180*O180*'1. Standard_Cost'!$E$15</f>
        <v>0</v>
      </c>
      <c r="V180" s="126"/>
      <c r="W180" s="126"/>
      <c r="X180" s="126"/>
      <c r="Y180" s="127">
        <f>+V180*((X180*'1. Standard_Cost'!$B$19)+(W180*X180*'1. Standard_Cost'!$C$19))</f>
        <v>0</v>
      </c>
      <c r="Z180" s="126"/>
      <c r="AA180" s="126"/>
      <c r="AB180" s="127">
        <f>+Z180*'1. Standard_Cost'!$B$23+AA180*'1. Standard_Cost'!$C$23</f>
        <v>0</v>
      </c>
      <c r="AC180" s="128"/>
      <c r="AD180" s="129"/>
      <c r="AE180" s="127">
        <f>SUM(AD180,AC180,AB180,Y180,U180,T180,S180,R180)*'1. Standard_Cost'!$B$31</f>
        <v>0</v>
      </c>
      <c r="AF180" s="127">
        <f>SUM(AE180,AD180,AC180,AB180,Y180,U180,T180,S180,R180)</f>
        <v>0</v>
      </c>
      <c r="AG180" s="126"/>
      <c r="AH180" s="126"/>
      <c r="AI180" s="126"/>
      <c r="AJ180" s="130"/>
      <c r="AK180" s="130"/>
      <c r="AL180" s="130"/>
      <c r="AM180" s="127">
        <f>AG180*'1. Standard_Cost'!$B$27+'Incremental_Cost Year 1'!AH180*'1. Standard_Cost'!$C$27+'Incremental_Cost Year 1'!AI180*'1. Standard_Cost'!$D$27+'Incremental_Cost Year 1'!AJ180+'Incremental_Cost Year 1'!AL180+AK180</f>
        <v>0</v>
      </c>
      <c r="AN180" s="127">
        <f>AM180*'1. Standard_Cost'!$C$31</f>
        <v>0</v>
      </c>
      <c r="AO180" s="130"/>
      <c r="AP180" s="256"/>
      <c r="AQ180" s="171">
        <f>L180+M180</f>
        <v>0</v>
      </c>
      <c r="AR180" s="171">
        <f>AF180</f>
        <v>0</v>
      </c>
      <c r="AS180" s="171">
        <f>AM180+AN180</f>
        <v>0</v>
      </c>
      <c r="AT180" s="171">
        <f>SUM(AQ180,AR180,AS180)</f>
        <v>0</v>
      </c>
      <c r="AU180" s="250"/>
      <c r="AV180" s="250"/>
      <c r="AW180" s="250"/>
      <c r="AX180" s="250"/>
      <c r="AY180" s="250"/>
      <c r="AZ180" s="250"/>
      <c r="BA180" s="250"/>
      <c r="BB180" s="251">
        <f t="shared" si="153"/>
        <v>0</v>
      </c>
      <c r="BC180" s="71"/>
      <c r="BD180" s="71"/>
      <c r="BE180" s="71"/>
      <c r="BF180" s="71"/>
    </row>
    <row r="181" spans="1:58" ht="63" outlineLevel="2" x14ac:dyDescent="0.25">
      <c r="A181" s="115"/>
      <c r="B181" s="165"/>
      <c r="C181" s="166"/>
      <c r="D181" s="110" t="s">
        <v>489</v>
      </c>
      <c r="E181" s="139" t="s">
        <v>490</v>
      </c>
      <c r="F181" s="104">
        <v>2022</v>
      </c>
      <c r="G181" s="104">
        <v>2025</v>
      </c>
      <c r="H181" s="150" t="s">
        <v>236</v>
      </c>
      <c r="I181" s="252"/>
      <c r="J181" s="252"/>
      <c r="K181" s="252"/>
      <c r="L181" s="127">
        <f>SUM(L179:L180)</f>
        <v>0</v>
      </c>
      <c r="M181" s="127">
        <f>SUM(M179:M180)</f>
        <v>0</v>
      </c>
      <c r="N181" s="252"/>
      <c r="O181" s="252"/>
      <c r="P181" s="252"/>
      <c r="Q181" s="252"/>
      <c r="R181" s="127">
        <f>SUM(R179:R180)</f>
        <v>0</v>
      </c>
      <c r="S181" s="127">
        <f>SUM(S179:S180)</f>
        <v>0</v>
      </c>
      <c r="T181" s="127">
        <f>SUM(T179:T180)</f>
        <v>0</v>
      </c>
      <c r="U181" s="127">
        <f>SUM(U179:U180)</f>
        <v>0</v>
      </c>
      <c r="V181" s="252"/>
      <c r="W181" s="252"/>
      <c r="X181" s="252"/>
      <c r="Y181" s="127">
        <f>SUM(Y179:Y180)</f>
        <v>0</v>
      </c>
      <c r="Z181" s="127"/>
      <c r="AA181" s="252"/>
      <c r="AB181" s="127">
        <f>SUM(AB179:AB180)</f>
        <v>0</v>
      </c>
      <c r="AC181" s="127">
        <f>SUM(AC179:AC180)</f>
        <v>0</v>
      </c>
      <c r="AD181" s="127">
        <f>SUM(AD179:AD180)</f>
        <v>0</v>
      </c>
      <c r="AE181" s="127">
        <f>SUM(AE179:AE180)</f>
        <v>0</v>
      </c>
      <c r="AF181" s="127">
        <f>SUM(AF179:AF180)</f>
        <v>0</v>
      </c>
      <c r="AG181" s="252"/>
      <c r="AH181" s="252"/>
      <c r="AI181" s="252"/>
      <c r="AJ181" s="127">
        <f>SUM(AJ179:AJ180)</f>
        <v>0</v>
      </c>
      <c r="AK181" s="127">
        <f>SUM(AK179:AK180)</f>
        <v>0</v>
      </c>
      <c r="AL181" s="127">
        <f>SUM(AL179:AL180)</f>
        <v>0</v>
      </c>
      <c r="AM181" s="127">
        <f>SUM(AM179:AM180)</f>
        <v>0</v>
      </c>
      <c r="AN181" s="127">
        <f>SUM(AN179:AN180)</f>
        <v>0</v>
      </c>
      <c r="AO181" s="253"/>
      <c r="AP181" s="254"/>
      <c r="AQ181" s="175">
        <f t="shared" ref="AQ181:BB181" si="154">SUM(AQ179:AQ180)</f>
        <v>0</v>
      </c>
      <c r="AR181" s="175">
        <f t="shared" si="154"/>
        <v>0</v>
      </c>
      <c r="AS181" s="175">
        <f t="shared" si="154"/>
        <v>0</v>
      </c>
      <c r="AT181" s="175">
        <f t="shared" si="154"/>
        <v>0</v>
      </c>
      <c r="AU181" s="175">
        <f t="shared" si="154"/>
        <v>0</v>
      </c>
      <c r="AV181" s="175">
        <f t="shared" si="154"/>
        <v>0</v>
      </c>
      <c r="AW181" s="175">
        <f t="shared" si="154"/>
        <v>0</v>
      </c>
      <c r="AX181" s="175">
        <f t="shared" si="154"/>
        <v>0</v>
      </c>
      <c r="AY181" s="175">
        <f t="shared" si="154"/>
        <v>0</v>
      </c>
      <c r="AZ181" s="175">
        <f t="shared" si="154"/>
        <v>0</v>
      </c>
      <c r="BA181" s="175">
        <f t="shared" si="154"/>
        <v>0</v>
      </c>
      <c r="BB181" s="175">
        <f t="shared" si="154"/>
        <v>0</v>
      </c>
      <c r="BC181" s="71"/>
      <c r="BD181" s="71"/>
      <c r="BE181" s="71"/>
      <c r="BF181" s="71"/>
    </row>
    <row r="182" spans="1:58" ht="47.45" customHeight="1" outlineLevel="2" x14ac:dyDescent="0.25">
      <c r="A182" s="143"/>
      <c r="B182" s="285"/>
      <c r="C182" s="391" t="s">
        <v>237</v>
      </c>
      <c r="D182" s="391"/>
      <c r="E182" s="392"/>
      <c r="F182" s="280"/>
      <c r="G182" s="282"/>
      <c r="H182" s="144" t="s">
        <v>182</v>
      </c>
      <c r="I182" s="257"/>
      <c r="J182" s="257"/>
      <c r="K182" s="257"/>
      <c r="L182" s="258">
        <f>L190+L193+L196</f>
        <v>1542886100</v>
      </c>
      <c r="M182" s="258">
        <f>M190+M193+M196</f>
        <v>257661978.70000002</v>
      </c>
      <c r="N182" s="257"/>
      <c r="O182" s="257"/>
      <c r="P182" s="257"/>
      <c r="Q182" s="257"/>
      <c r="R182" s="258">
        <f>R190+R193+R196</f>
        <v>0</v>
      </c>
      <c r="S182" s="258">
        <f>S190+S193+S196</f>
        <v>0</v>
      </c>
      <c r="T182" s="258">
        <f>T190+T193+T196</f>
        <v>0</v>
      </c>
      <c r="U182" s="258">
        <f>U190+U193+U196</f>
        <v>0</v>
      </c>
      <c r="V182" s="257"/>
      <c r="W182" s="257"/>
      <c r="X182" s="257"/>
      <c r="Y182" s="258">
        <f>Y190+Y193+Y196</f>
        <v>0</v>
      </c>
      <c r="Z182" s="258"/>
      <c r="AA182" s="258"/>
      <c r="AB182" s="258">
        <f>AB190+AB193+AB196</f>
        <v>0</v>
      </c>
      <c r="AC182" s="258">
        <f>AC190+AC193+AC196</f>
        <v>1365140000</v>
      </c>
      <c r="AD182" s="258">
        <f>AD190+AD193+AD196</f>
        <v>0</v>
      </c>
      <c r="AE182" s="258">
        <f>AE190+AE193+AE196</f>
        <v>15000</v>
      </c>
      <c r="AF182" s="258">
        <f>AF190+AF193+AF196</f>
        <v>1365155000</v>
      </c>
      <c r="AG182" s="257"/>
      <c r="AH182" s="257"/>
      <c r="AI182" s="257"/>
      <c r="AJ182" s="258">
        <f>AJ190+AJ193+AJ196</f>
        <v>0</v>
      </c>
      <c r="AK182" s="258">
        <f>AK190+AK193+AK196</f>
        <v>0</v>
      </c>
      <c r="AL182" s="258">
        <f>AL190+AL193+AL196</f>
        <v>0</v>
      </c>
      <c r="AM182" s="258">
        <f>AM190+AM193+AM196</f>
        <v>0</v>
      </c>
      <c r="AN182" s="258">
        <f>AN190+AN193+AN196</f>
        <v>0</v>
      </c>
      <c r="AO182" s="259"/>
      <c r="AP182" s="260"/>
      <c r="AQ182" s="261">
        <f>AQ190+AQ193+AQ196</f>
        <v>1800548078.6999998</v>
      </c>
      <c r="AR182" s="261">
        <f>AR190+AR193+AR196</f>
        <v>1365155000</v>
      </c>
      <c r="AS182" s="261">
        <f>AS190+AS193+AS196</f>
        <v>0</v>
      </c>
      <c r="AT182" s="261">
        <f>AT190+AT193+AT196</f>
        <v>3165703078.6999998</v>
      </c>
      <c r="AU182" s="261">
        <f t="shared" ref="AU182:BA182" si="155">AU190+AU193+AU196</f>
        <v>3165703079</v>
      </c>
      <c r="AV182" s="261">
        <f t="shared" si="155"/>
        <v>0</v>
      </c>
      <c r="AW182" s="261">
        <f t="shared" si="155"/>
        <v>0</v>
      </c>
      <c r="AX182" s="261">
        <f t="shared" si="155"/>
        <v>0</v>
      </c>
      <c r="AY182" s="261">
        <f t="shared" si="155"/>
        <v>0</v>
      </c>
      <c r="AZ182" s="261">
        <f t="shared" si="155"/>
        <v>0</v>
      </c>
      <c r="BA182" s="261">
        <f t="shared" si="155"/>
        <v>0</v>
      </c>
      <c r="BB182" s="261">
        <f>BB190+BB193+BB196</f>
        <v>0.3000000953907147</v>
      </c>
      <c r="BC182" s="73"/>
      <c r="BD182" s="73"/>
      <c r="BE182" s="73"/>
      <c r="BF182" s="73"/>
    </row>
    <row r="183" spans="1:58" ht="94.5" outlineLevel="2" x14ac:dyDescent="0.25">
      <c r="A183" s="115"/>
      <c r="B183" s="303"/>
      <c r="C183" s="329"/>
      <c r="D183" s="342"/>
      <c r="E183" s="328"/>
      <c r="F183" s="328"/>
      <c r="G183" s="328"/>
      <c r="H183" s="199" t="s">
        <v>544</v>
      </c>
      <c r="I183" s="130" t="s">
        <v>5</v>
      </c>
      <c r="J183" s="126">
        <v>2</v>
      </c>
      <c r="K183" s="126">
        <v>10887</v>
      </c>
      <c r="L183" s="125">
        <f>IF(I183&lt;&gt;0,((VLOOKUP(I183,'1. Standard_Cost'!$B$4:$D$11,2)+VLOOKUP(I183,'1. Standard_Cost'!$B$4:$D$11,3))*J183*K183),"0")</f>
        <v>1539421800</v>
      </c>
      <c r="M183" s="125">
        <f>L183*'1. Standard_Cost'!$F$4</f>
        <v>257083440.60000002</v>
      </c>
      <c r="N183" s="126"/>
      <c r="O183" s="126"/>
      <c r="P183" s="126"/>
      <c r="Q183" s="126"/>
      <c r="R183" s="127">
        <f>'1. Standard_Cost'!$B$15*N183*P183</f>
        <v>0</v>
      </c>
      <c r="S183" s="127">
        <f>N183*O183*P183*'1. Standard_Cost'!$C$15</f>
        <v>0</v>
      </c>
      <c r="T183" s="127">
        <f>N183*P183*Q183*'1. Standard_Cost'!$D$15</f>
        <v>0</v>
      </c>
      <c r="U183" s="127">
        <f>N183*O183*'1. Standard_Cost'!$E$15</f>
        <v>0</v>
      </c>
      <c r="V183" s="126"/>
      <c r="W183" s="126"/>
      <c r="X183" s="126"/>
      <c r="Y183" s="127">
        <f>+V183*((X183*'1. Standard_Cost'!$B$19)+(W183*X183*'1. Standard_Cost'!$C$19))</f>
        <v>0</v>
      </c>
      <c r="Z183" s="126"/>
      <c r="AA183" s="126"/>
      <c r="AB183" s="127">
        <f>+Z183*'1. Standard_Cost'!$B$23+AA183*'1. Standard_Cost'!$C$23</f>
        <v>0</v>
      </c>
      <c r="AC183" s="128">
        <v>1364065000</v>
      </c>
      <c r="AD183" s="129"/>
      <c r="AE183" s="127"/>
      <c r="AF183" s="127">
        <f t="shared" ref="AF183:AF189" si="156">SUM(AE183,AD183,AC183,AB183,Y183,U183,T183,S183,R183)</f>
        <v>1364065000</v>
      </c>
      <c r="AG183" s="126"/>
      <c r="AH183" s="126"/>
      <c r="AI183" s="126"/>
      <c r="AJ183" s="130"/>
      <c r="AK183" s="130"/>
      <c r="AL183" s="130"/>
      <c r="AM183" s="127">
        <f>AG183*'1. Standard_Cost'!$B$27+'Incremental_Cost Year 1'!AH183*'1. Standard_Cost'!$C$27+'Incremental_Cost Year 1'!AI183*'1. Standard_Cost'!$D$27+'Incremental_Cost Year 1'!AJ183+'Incremental_Cost Year 1'!AL183+AK183</f>
        <v>0</v>
      </c>
      <c r="AN183" s="127">
        <f>AM183*'1. Standard_Cost'!$C$31</f>
        <v>0</v>
      </c>
      <c r="AO183" s="130"/>
      <c r="AP183" s="256"/>
      <c r="AQ183" s="171">
        <f t="shared" ref="AQ183:AQ189" si="157">L183+M183</f>
        <v>1796505240.5999999</v>
      </c>
      <c r="AR183" s="171">
        <f t="shared" ref="AR183:AR189" si="158">AF183</f>
        <v>1364065000</v>
      </c>
      <c r="AS183" s="171">
        <f t="shared" ref="AS183:AS189" si="159">AM183+AN183</f>
        <v>0</v>
      </c>
      <c r="AT183" s="171">
        <f t="shared" ref="AT183:AT189" si="160">SUM(AQ183,AR183,AS183)</f>
        <v>3160570240.5999999</v>
      </c>
      <c r="AU183" s="250">
        <v>3160570241</v>
      </c>
      <c r="AV183" s="250"/>
      <c r="AW183" s="250"/>
      <c r="AX183" s="250"/>
      <c r="AY183" s="250"/>
      <c r="AZ183" s="250"/>
      <c r="BA183" s="250"/>
      <c r="BB183" s="251">
        <f t="shared" ref="BB183:BB189" si="161">SUM(AU183:BA183)-AT183</f>
        <v>0.40000009536743164</v>
      </c>
      <c r="BC183" s="71"/>
      <c r="BD183" s="71"/>
      <c r="BE183" s="71"/>
      <c r="BF183" s="71"/>
    </row>
    <row r="184" spans="1:58" s="169" customFormat="1" ht="78.75" outlineLevel="2" x14ac:dyDescent="0.25">
      <c r="A184" s="115"/>
      <c r="B184" s="200"/>
      <c r="C184" s="330"/>
      <c r="D184" s="343"/>
      <c r="E184" s="328"/>
      <c r="F184" s="328"/>
      <c r="G184" s="328"/>
      <c r="H184" s="213" t="s">
        <v>543</v>
      </c>
      <c r="I184" s="130"/>
      <c r="J184" s="126"/>
      <c r="K184" s="126"/>
      <c r="L184" s="125"/>
      <c r="M184" s="125">
        <f>L184*'1. Standard_Cost'!$F$4</f>
        <v>0</v>
      </c>
      <c r="N184" s="126"/>
      <c r="O184" s="126"/>
      <c r="P184" s="126"/>
      <c r="Q184" s="126"/>
      <c r="R184" s="127">
        <f>'1. Standard_Cost'!$B$15*N184*P184</f>
        <v>0</v>
      </c>
      <c r="S184" s="127">
        <f>N184*O184*P184*'1. Standard_Cost'!$C$15</f>
        <v>0</v>
      </c>
      <c r="T184" s="127">
        <f>N184*P184*Q184*'1. Standard_Cost'!$D$15</f>
        <v>0</v>
      </c>
      <c r="U184" s="127">
        <f>N184*O184*'1. Standard_Cost'!$E$15</f>
        <v>0</v>
      </c>
      <c r="V184" s="126"/>
      <c r="W184" s="126"/>
      <c r="X184" s="126"/>
      <c r="Y184" s="127">
        <f>+V184*((X184*'1. Standard_Cost'!$B$19)+(W184*X184*'1. Standard_Cost'!$C$19))</f>
        <v>0</v>
      </c>
      <c r="Z184" s="126"/>
      <c r="AA184" s="126"/>
      <c r="AB184" s="127">
        <f>+Z184*'1. Standard_Cost'!$B$23+AA184*'1. Standard_Cost'!$C$23</f>
        <v>0</v>
      </c>
      <c r="AC184" s="128"/>
      <c r="AD184" s="129"/>
      <c r="AE184" s="127"/>
      <c r="AF184" s="127">
        <f t="shared" si="156"/>
        <v>0</v>
      </c>
      <c r="AG184" s="126"/>
      <c r="AH184" s="126"/>
      <c r="AI184" s="126"/>
      <c r="AJ184" s="130"/>
      <c r="AK184" s="130"/>
      <c r="AL184" s="130"/>
      <c r="AM184" s="127">
        <f>AG184*'1. Standard_Cost'!$B$27+'Incremental_Cost Year 1'!AH184*'1. Standard_Cost'!$C$27+'Incremental_Cost Year 1'!AI184*'1. Standard_Cost'!$D$27+'Incremental_Cost Year 1'!AJ184+'Incremental_Cost Year 1'!AL184+AK184</f>
        <v>0</v>
      </c>
      <c r="AN184" s="127">
        <f>AM184*'1. Standard_Cost'!$C$31</f>
        <v>0</v>
      </c>
      <c r="AO184" s="130"/>
      <c r="AP184" s="256"/>
      <c r="AQ184" s="171">
        <f t="shared" si="157"/>
        <v>0</v>
      </c>
      <c r="AR184" s="171">
        <f t="shared" si="158"/>
        <v>0</v>
      </c>
      <c r="AS184" s="171">
        <f t="shared" si="159"/>
        <v>0</v>
      </c>
      <c r="AT184" s="171">
        <f t="shared" si="160"/>
        <v>0</v>
      </c>
      <c r="AU184" s="250"/>
      <c r="AV184" s="250"/>
      <c r="AW184" s="250"/>
      <c r="AX184" s="250"/>
      <c r="AY184" s="250"/>
      <c r="AZ184" s="250"/>
      <c r="BA184" s="250"/>
      <c r="BB184" s="251">
        <f t="shared" si="161"/>
        <v>0</v>
      </c>
    </row>
    <row r="185" spans="1:58" ht="63" outlineLevel="2" x14ac:dyDescent="0.25">
      <c r="A185" s="115"/>
      <c r="B185" s="200"/>
      <c r="C185" s="330"/>
      <c r="D185" s="343"/>
      <c r="E185" s="328"/>
      <c r="F185" s="328"/>
      <c r="G185" s="328"/>
      <c r="H185" s="199" t="s">
        <v>491</v>
      </c>
      <c r="I185" s="130"/>
      <c r="J185" s="126"/>
      <c r="K185" s="126"/>
      <c r="L185" s="125" t="str">
        <f>IF(I185&lt;&gt;0,((VLOOKUP(I185,'1. Standard_Cost'!$B$4:$D$11,2)+VLOOKUP(I185,'1. Standard_Cost'!$B$4:$D$11,3))*J185*K185),"0")</f>
        <v>0</v>
      </c>
      <c r="M185" s="125">
        <f>L185*'1. Standard_Cost'!$F$4</f>
        <v>0</v>
      </c>
      <c r="N185" s="126"/>
      <c r="O185" s="126"/>
      <c r="P185" s="126"/>
      <c r="Q185" s="126"/>
      <c r="R185" s="127">
        <f>'1. Standard_Cost'!$B$15*N185*P185</f>
        <v>0</v>
      </c>
      <c r="S185" s="127">
        <f>N185*O185*P185*'1. Standard_Cost'!$C$15</f>
        <v>0</v>
      </c>
      <c r="T185" s="127">
        <f>N185*P185*Q185*'1. Standard_Cost'!$D$15</f>
        <v>0</v>
      </c>
      <c r="U185" s="127">
        <f>N185*O185*'1. Standard_Cost'!$E$15</f>
        <v>0</v>
      </c>
      <c r="V185" s="126"/>
      <c r="W185" s="126"/>
      <c r="X185" s="126"/>
      <c r="Y185" s="127">
        <f>+V185*((X185*'1. Standard_Cost'!$B$19)+(W185*X185*'1. Standard_Cost'!$C$19))</f>
        <v>0</v>
      </c>
      <c r="Z185" s="126"/>
      <c r="AA185" s="126"/>
      <c r="AB185" s="127">
        <f>+Z185*'1. Standard_Cost'!$B$23+AA185*'1. Standard_Cost'!$C$23</f>
        <v>0</v>
      </c>
      <c r="AC185" s="128"/>
      <c r="AD185" s="129"/>
      <c r="AE185" s="127">
        <f>SUM(AD185,AC185,AB185,Y185,U185,T185,S185,R185)*'1. Standard_Cost'!$B$31</f>
        <v>0</v>
      </c>
      <c r="AF185" s="127">
        <f t="shared" si="156"/>
        <v>0</v>
      </c>
      <c r="AG185" s="126"/>
      <c r="AH185" s="126"/>
      <c r="AI185" s="126"/>
      <c r="AJ185" s="130"/>
      <c r="AK185" s="130"/>
      <c r="AL185" s="130"/>
      <c r="AM185" s="127">
        <f>AG185*'1. Standard_Cost'!$B$27+'Incremental_Cost Year 1'!AH185*'1. Standard_Cost'!$C$27+'Incremental_Cost Year 1'!AI185*'1. Standard_Cost'!$D$27+'Incremental_Cost Year 1'!AJ185+'Incremental_Cost Year 1'!AL185+AK185</f>
        <v>0</v>
      </c>
      <c r="AN185" s="127">
        <f>AM185*'1. Standard_Cost'!$C$31</f>
        <v>0</v>
      </c>
      <c r="AO185" s="130"/>
      <c r="AP185" s="256"/>
      <c r="AQ185" s="171">
        <f t="shared" si="157"/>
        <v>0</v>
      </c>
      <c r="AR185" s="171">
        <f t="shared" si="158"/>
        <v>0</v>
      </c>
      <c r="AS185" s="171">
        <f t="shared" si="159"/>
        <v>0</v>
      </c>
      <c r="AT185" s="171">
        <f t="shared" si="160"/>
        <v>0</v>
      </c>
      <c r="AU185" s="250"/>
      <c r="AV185" s="250"/>
      <c r="AW185" s="250"/>
      <c r="AX185" s="250"/>
      <c r="AY185" s="250"/>
      <c r="AZ185" s="250"/>
      <c r="BA185" s="250"/>
      <c r="BB185" s="251">
        <f t="shared" si="161"/>
        <v>0</v>
      </c>
      <c r="BC185" s="71"/>
      <c r="BD185" s="71"/>
      <c r="BE185" s="71"/>
      <c r="BF185" s="71"/>
    </row>
    <row r="186" spans="1:58" ht="78.75" outlineLevel="2" x14ac:dyDescent="0.25">
      <c r="A186" s="115"/>
      <c r="B186" s="200"/>
      <c r="C186" s="330"/>
      <c r="D186" s="343"/>
      <c r="E186" s="328"/>
      <c r="F186" s="328"/>
      <c r="G186" s="328"/>
      <c r="H186" s="199" t="s">
        <v>492</v>
      </c>
      <c r="I186" s="130"/>
      <c r="J186" s="126"/>
      <c r="K186" s="126"/>
      <c r="L186" s="125" t="str">
        <f>IF(I186&lt;&gt;0,((VLOOKUP(I186,'1. Standard_Cost'!$B$4:$D$11,2)+VLOOKUP(I186,'1. Standard_Cost'!$B$4:$D$11,3))*J186*K186),"0")</f>
        <v>0</v>
      </c>
      <c r="M186" s="125">
        <f>L186*'1. Standard_Cost'!$F$4</f>
        <v>0</v>
      </c>
      <c r="N186" s="126"/>
      <c r="O186" s="126"/>
      <c r="P186" s="126"/>
      <c r="Q186" s="126"/>
      <c r="R186" s="127">
        <f>'1. Standard_Cost'!$B$15*N186*P186</f>
        <v>0</v>
      </c>
      <c r="S186" s="127">
        <f>N186*O186*P186*'1. Standard_Cost'!$C$15</f>
        <v>0</v>
      </c>
      <c r="T186" s="127">
        <f>N186*P186*Q186*'1. Standard_Cost'!$D$15</f>
        <v>0</v>
      </c>
      <c r="U186" s="127">
        <f>N186*O186*'1. Standard_Cost'!$E$15</f>
        <v>0</v>
      </c>
      <c r="V186" s="126"/>
      <c r="W186" s="126"/>
      <c r="X186" s="126"/>
      <c r="Y186" s="127">
        <f>+V186*((X186*'1. Standard_Cost'!$B$19)+(W186*X186*'1. Standard_Cost'!$C$19))</f>
        <v>0</v>
      </c>
      <c r="Z186" s="126"/>
      <c r="AA186" s="126"/>
      <c r="AB186" s="127">
        <f>+Z186*'1. Standard_Cost'!$B$23+AA186*'1. Standard_Cost'!$C$23</f>
        <v>0</v>
      </c>
      <c r="AC186" s="128"/>
      <c r="AD186" s="129"/>
      <c r="AE186" s="127">
        <f>SUM(AD186,AC186,AB186,Y186,U186,T186,S186,R186)*'1. Standard_Cost'!$B$31</f>
        <v>0</v>
      </c>
      <c r="AF186" s="127">
        <f t="shared" si="156"/>
        <v>0</v>
      </c>
      <c r="AG186" s="126"/>
      <c r="AH186" s="126"/>
      <c r="AI186" s="126"/>
      <c r="AJ186" s="130"/>
      <c r="AK186" s="130"/>
      <c r="AL186" s="130"/>
      <c r="AM186" s="127">
        <f>AG186*'1. Standard_Cost'!$B$27+'Incremental_Cost Year 1'!AH186*'1. Standard_Cost'!$C$27+'Incremental_Cost Year 1'!AI186*'1. Standard_Cost'!$D$27+'Incremental_Cost Year 1'!AJ186+'Incremental_Cost Year 1'!AL186+AK186</f>
        <v>0</v>
      </c>
      <c r="AN186" s="127">
        <f>AM186*'1. Standard_Cost'!$C$31</f>
        <v>0</v>
      </c>
      <c r="AO186" s="130"/>
      <c r="AP186" s="256"/>
      <c r="AQ186" s="171">
        <f t="shared" si="157"/>
        <v>0</v>
      </c>
      <c r="AR186" s="171">
        <f t="shared" si="158"/>
        <v>0</v>
      </c>
      <c r="AS186" s="171">
        <f t="shared" si="159"/>
        <v>0</v>
      </c>
      <c r="AT186" s="171">
        <f t="shared" si="160"/>
        <v>0</v>
      </c>
      <c r="AU186" s="250"/>
      <c r="AV186" s="250"/>
      <c r="AW186" s="250"/>
      <c r="AX186" s="250"/>
      <c r="AY186" s="250"/>
      <c r="AZ186" s="250"/>
      <c r="BA186" s="250"/>
      <c r="BB186" s="251">
        <f t="shared" si="161"/>
        <v>0</v>
      </c>
      <c r="BC186" s="71"/>
      <c r="BD186" s="71"/>
      <c r="BE186" s="71"/>
      <c r="BF186" s="71"/>
    </row>
    <row r="187" spans="1:58" ht="78.75" outlineLevel="2" x14ac:dyDescent="0.25">
      <c r="A187" s="115"/>
      <c r="B187" s="200"/>
      <c r="C187" s="330"/>
      <c r="D187" s="343"/>
      <c r="E187" s="328"/>
      <c r="F187" s="328"/>
      <c r="G187" s="328"/>
      <c r="H187" s="199" t="s">
        <v>493</v>
      </c>
      <c r="I187" s="130"/>
      <c r="J187" s="126"/>
      <c r="K187" s="126"/>
      <c r="L187" s="125" t="str">
        <f>IF(I187&lt;&gt;0,((VLOOKUP(I187,'1. Standard_Cost'!$B$4:$D$11,2)+VLOOKUP(I187,'1. Standard_Cost'!$B$4:$D$11,3))*J187*K187),"0")</f>
        <v>0</v>
      </c>
      <c r="M187" s="125">
        <f>L187*'1. Standard_Cost'!$F$4</f>
        <v>0</v>
      </c>
      <c r="N187" s="126"/>
      <c r="O187" s="126"/>
      <c r="P187" s="126"/>
      <c r="Q187" s="126"/>
      <c r="R187" s="127">
        <f>'1. Standard_Cost'!$B$15*N187*P187</f>
        <v>0</v>
      </c>
      <c r="S187" s="127">
        <f>N187*O187*P187*'1. Standard_Cost'!$C$15</f>
        <v>0</v>
      </c>
      <c r="T187" s="127">
        <f>N187*P187*Q187*'1. Standard_Cost'!$D$15</f>
        <v>0</v>
      </c>
      <c r="U187" s="127">
        <f>N187*O187*'1. Standard_Cost'!$E$15</f>
        <v>0</v>
      </c>
      <c r="V187" s="126"/>
      <c r="W187" s="126"/>
      <c r="X187" s="126"/>
      <c r="Y187" s="127">
        <f>+V187*((X187*'1. Standard_Cost'!$B$19)+(W187*X187*'1. Standard_Cost'!$C$19))</f>
        <v>0</v>
      </c>
      <c r="Z187" s="126"/>
      <c r="AA187" s="126"/>
      <c r="AB187" s="127">
        <f>+Z187*'1. Standard_Cost'!$B$23+AA187*'1. Standard_Cost'!$C$23</f>
        <v>0</v>
      </c>
      <c r="AC187" s="128"/>
      <c r="AD187" s="129"/>
      <c r="AE187" s="127">
        <f>SUM(AD187,AC187,AB187,Y187,U187,T187,S187,R187)*'1. Standard_Cost'!$B$31</f>
        <v>0</v>
      </c>
      <c r="AF187" s="127">
        <f t="shared" si="156"/>
        <v>0</v>
      </c>
      <c r="AG187" s="126"/>
      <c r="AH187" s="126"/>
      <c r="AI187" s="126"/>
      <c r="AJ187" s="130"/>
      <c r="AK187" s="130"/>
      <c r="AL187" s="130"/>
      <c r="AM187" s="127">
        <f>AG187*'1. Standard_Cost'!$B$27+'Incremental_Cost Year 1'!AH187*'1. Standard_Cost'!$C$27+'Incremental_Cost Year 1'!AI187*'1. Standard_Cost'!$D$27+'Incremental_Cost Year 1'!AJ187+'Incremental_Cost Year 1'!AL187+AK187</f>
        <v>0</v>
      </c>
      <c r="AN187" s="127">
        <f>AM187*'1. Standard_Cost'!$C$31</f>
        <v>0</v>
      </c>
      <c r="AO187" s="130"/>
      <c r="AP187" s="256"/>
      <c r="AQ187" s="171">
        <f t="shared" si="157"/>
        <v>0</v>
      </c>
      <c r="AR187" s="171">
        <f t="shared" si="158"/>
        <v>0</v>
      </c>
      <c r="AS187" s="171">
        <f t="shared" si="159"/>
        <v>0</v>
      </c>
      <c r="AT187" s="171">
        <f t="shared" si="160"/>
        <v>0</v>
      </c>
      <c r="AU187" s="250"/>
      <c r="AV187" s="250"/>
      <c r="AW187" s="250"/>
      <c r="AX187" s="250"/>
      <c r="AY187" s="250"/>
      <c r="AZ187" s="250"/>
      <c r="BA187" s="250"/>
      <c r="BB187" s="251">
        <f t="shared" si="161"/>
        <v>0</v>
      </c>
      <c r="BC187" s="71"/>
      <c r="BD187" s="71"/>
      <c r="BE187" s="71"/>
      <c r="BF187" s="71"/>
    </row>
    <row r="188" spans="1:58" s="169" customFormat="1" ht="78.75" outlineLevel="2" x14ac:dyDescent="0.25">
      <c r="A188" s="115"/>
      <c r="B188" s="200"/>
      <c r="C188" s="330"/>
      <c r="D188" s="343"/>
      <c r="E188" s="328"/>
      <c r="F188" s="328"/>
      <c r="G188" s="328"/>
      <c r="H188" s="199" t="s">
        <v>494</v>
      </c>
      <c r="I188" s="130"/>
      <c r="J188" s="126"/>
      <c r="K188" s="126"/>
      <c r="L188" s="125" t="str">
        <f>IF(I188&lt;&gt;0,((VLOOKUP(I188,'1. Standard_Cost'!$B$4:$D$11,2)+VLOOKUP(I188,'1. Standard_Cost'!$B$4:$D$11,3))*J188*K188),"0")</f>
        <v>0</v>
      </c>
      <c r="M188" s="125">
        <f>L188*'1. Standard_Cost'!$F$4</f>
        <v>0</v>
      </c>
      <c r="N188" s="126"/>
      <c r="O188" s="126"/>
      <c r="P188" s="126"/>
      <c r="Q188" s="126"/>
      <c r="R188" s="127">
        <f>'1. Standard_Cost'!$B$15*N188*P188</f>
        <v>0</v>
      </c>
      <c r="S188" s="127">
        <f>N188*O188*P188*'1. Standard_Cost'!$C$15</f>
        <v>0</v>
      </c>
      <c r="T188" s="127">
        <f>N188*P188*Q188*'1. Standard_Cost'!$D$15</f>
        <v>0</v>
      </c>
      <c r="U188" s="127">
        <f>N188*O188*'1. Standard_Cost'!$E$15</f>
        <v>0</v>
      </c>
      <c r="V188" s="126"/>
      <c r="W188" s="126"/>
      <c r="X188" s="126"/>
      <c r="Y188" s="127">
        <f>+V188*((X188*'1. Standard_Cost'!$B$19)+(W188*X188*'1. Standard_Cost'!$C$19))</f>
        <v>0</v>
      </c>
      <c r="Z188" s="126"/>
      <c r="AA188" s="126"/>
      <c r="AB188" s="127">
        <f>+Z188*'1. Standard_Cost'!$B$23+AA188*'1. Standard_Cost'!$C$23</f>
        <v>0</v>
      </c>
      <c r="AC188" s="128"/>
      <c r="AD188" s="129"/>
      <c r="AE188" s="127">
        <f>SUM(AD188,AC188,AB188,Y188,U188,T188,S188,R188)*'1. Standard_Cost'!$B$31</f>
        <v>0</v>
      </c>
      <c r="AF188" s="127">
        <f t="shared" si="156"/>
        <v>0</v>
      </c>
      <c r="AG188" s="126"/>
      <c r="AH188" s="126"/>
      <c r="AI188" s="126"/>
      <c r="AJ188" s="130"/>
      <c r="AK188" s="130"/>
      <c r="AL188" s="130"/>
      <c r="AM188" s="127">
        <f>AG188*'1. Standard_Cost'!$B$27+'Incremental_Cost Year 1'!AH188*'1. Standard_Cost'!$C$27+'Incremental_Cost Year 1'!AI188*'1. Standard_Cost'!$D$27+'Incremental_Cost Year 1'!AJ188+'Incremental_Cost Year 1'!AL188+AK188</f>
        <v>0</v>
      </c>
      <c r="AN188" s="127">
        <f>AM188*'1. Standard_Cost'!$C$31</f>
        <v>0</v>
      </c>
      <c r="AO188" s="130"/>
      <c r="AP188" s="256"/>
      <c r="AQ188" s="171">
        <f t="shared" si="157"/>
        <v>0</v>
      </c>
      <c r="AR188" s="171">
        <f t="shared" si="158"/>
        <v>0</v>
      </c>
      <c r="AS188" s="171">
        <f t="shared" si="159"/>
        <v>0</v>
      </c>
      <c r="AT188" s="171">
        <f t="shared" si="160"/>
        <v>0</v>
      </c>
      <c r="AU188" s="250"/>
      <c r="AV188" s="250"/>
      <c r="AW188" s="250"/>
      <c r="AX188" s="250"/>
      <c r="AY188" s="250"/>
      <c r="AZ188" s="250"/>
      <c r="BA188" s="250"/>
      <c r="BB188" s="251">
        <f t="shared" si="161"/>
        <v>0</v>
      </c>
    </row>
    <row r="189" spans="1:58" ht="47.25" outlineLevel="2" x14ac:dyDescent="0.25">
      <c r="A189" s="115"/>
      <c r="B189" s="200"/>
      <c r="C189" s="330"/>
      <c r="D189" s="343"/>
      <c r="E189" s="328"/>
      <c r="F189" s="328"/>
      <c r="G189" s="328"/>
      <c r="H189" s="199" t="s">
        <v>495</v>
      </c>
      <c r="I189" s="130"/>
      <c r="J189" s="126"/>
      <c r="K189" s="126"/>
      <c r="L189" s="125" t="str">
        <f>IF(I189&lt;&gt;0,((VLOOKUP(I189,'1. Standard_Cost'!$B$4:$D$11,2)+VLOOKUP(I189,'1. Standard_Cost'!$B$4:$D$11,3))*J189*K189),"0")</f>
        <v>0</v>
      </c>
      <c r="M189" s="125">
        <f>L189*'1. Standard_Cost'!$F$4</f>
        <v>0</v>
      </c>
      <c r="N189" s="126"/>
      <c r="O189" s="126"/>
      <c r="P189" s="126"/>
      <c r="Q189" s="126"/>
      <c r="R189" s="127">
        <f>'1. Standard_Cost'!$B$15*N189*P189</f>
        <v>0</v>
      </c>
      <c r="S189" s="127">
        <f>N189*O189*P189*'1. Standard_Cost'!$C$15</f>
        <v>0</v>
      </c>
      <c r="T189" s="127">
        <f>N189*P189*Q189*'1. Standard_Cost'!$D$15</f>
        <v>0</v>
      </c>
      <c r="U189" s="127">
        <f>N189*O189*'1. Standard_Cost'!$E$15</f>
        <v>0</v>
      </c>
      <c r="V189" s="126"/>
      <c r="W189" s="126"/>
      <c r="X189" s="126"/>
      <c r="Y189" s="127">
        <f>+V189*((X189*'1. Standard_Cost'!$B$19)+(W189*X189*'1. Standard_Cost'!$C$19))</f>
        <v>0</v>
      </c>
      <c r="Z189" s="126"/>
      <c r="AA189" s="126"/>
      <c r="AB189" s="127">
        <f>+Z189*'1. Standard_Cost'!$B$23+AA189*'1. Standard_Cost'!$C$23</f>
        <v>0</v>
      </c>
      <c r="AC189" s="128"/>
      <c r="AD189" s="129"/>
      <c r="AE189" s="127">
        <f>SUM(AD189,AC189,AB189,Y189,U189,T189,S189,R189)*'1. Standard_Cost'!$B$31</f>
        <v>0</v>
      </c>
      <c r="AF189" s="127">
        <f t="shared" si="156"/>
        <v>0</v>
      </c>
      <c r="AG189" s="126"/>
      <c r="AH189" s="126"/>
      <c r="AI189" s="126"/>
      <c r="AJ189" s="130"/>
      <c r="AK189" s="130"/>
      <c r="AL189" s="130"/>
      <c r="AM189" s="127">
        <f>AG189*'1. Standard_Cost'!$B$27+'Incremental_Cost Year 1'!AH189*'1. Standard_Cost'!$C$27+'Incremental_Cost Year 1'!AI189*'1. Standard_Cost'!$D$27+'Incremental_Cost Year 1'!AJ189+'Incremental_Cost Year 1'!AL189+AK189</f>
        <v>0</v>
      </c>
      <c r="AN189" s="127">
        <f>AM189*'1. Standard_Cost'!$C$31</f>
        <v>0</v>
      </c>
      <c r="AO189" s="130"/>
      <c r="AP189" s="256"/>
      <c r="AQ189" s="171">
        <f t="shared" si="157"/>
        <v>0</v>
      </c>
      <c r="AR189" s="171">
        <f t="shared" si="158"/>
        <v>0</v>
      </c>
      <c r="AS189" s="171">
        <f t="shared" si="159"/>
        <v>0</v>
      </c>
      <c r="AT189" s="171">
        <f t="shared" si="160"/>
        <v>0</v>
      </c>
      <c r="AU189" s="250"/>
      <c r="AV189" s="250"/>
      <c r="AW189" s="250"/>
      <c r="AX189" s="250"/>
      <c r="AY189" s="250"/>
      <c r="AZ189" s="250"/>
      <c r="BA189" s="250"/>
      <c r="BB189" s="251">
        <f t="shared" si="161"/>
        <v>0</v>
      </c>
      <c r="BC189" s="71"/>
      <c r="BD189" s="71"/>
      <c r="BE189" s="71"/>
      <c r="BF189" s="71"/>
    </row>
    <row r="190" spans="1:58" ht="15.75" outlineLevel="2" x14ac:dyDescent="0.25">
      <c r="A190" s="115"/>
      <c r="B190" s="200"/>
      <c r="C190" s="330"/>
      <c r="D190" s="343"/>
      <c r="E190" s="328"/>
      <c r="F190" s="328"/>
      <c r="G190" s="328"/>
      <c r="H190" s="110" t="s">
        <v>183</v>
      </c>
      <c r="I190" s="252"/>
      <c r="J190" s="252"/>
      <c r="K190" s="252"/>
      <c r="L190" s="127">
        <f>SUM(L183:L189)</f>
        <v>1539421800</v>
      </c>
      <c r="M190" s="127">
        <f>SUM(M183:M189)</f>
        <v>257083440.60000002</v>
      </c>
      <c r="N190" s="252"/>
      <c r="O190" s="252"/>
      <c r="P190" s="252"/>
      <c r="Q190" s="252"/>
      <c r="R190" s="127">
        <f>SUM(R183:R189)</f>
        <v>0</v>
      </c>
      <c r="S190" s="127">
        <f>SUM(S183:S189)</f>
        <v>0</v>
      </c>
      <c r="T190" s="127">
        <f>SUM(T183:T189)</f>
        <v>0</v>
      </c>
      <c r="U190" s="127">
        <f>SUM(U183:U189)</f>
        <v>0</v>
      </c>
      <c r="V190" s="252"/>
      <c r="W190" s="252"/>
      <c r="X190" s="252"/>
      <c r="Y190" s="127">
        <f>SUM(Y183:Y189)</f>
        <v>0</v>
      </c>
      <c r="Z190" s="127"/>
      <c r="AA190" s="252"/>
      <c r="AB190" s="127">
        <f>SUM(AB183:AB189)</f>
        <v>0</v>
      </c>
      <c r="AC190" s="127">
        <f>SUM(AC183:AC188)</f>
        <v>1364065000</v>
      </c>
      <c r="AD190" s="127">
        <f>SUM(AD183:AD188)</f>
        <v>0</v>
      </c>
      <c r="AE190" s="127">
        <f>SUM(AE183:AE189)</f>
        <v>0</v>
      </c>
      <c r="AF190" s="127">
        <f>SUM(AF183:AF189)</f>
        <v>1364065000</v>
      </c>
      <c r="AG190" s="252"/>
      <c r="AH190" s="252"/>
      <c r="AI190" s="252"/>
      <c r="AJ190" s="127">
        <f>SUM(AJ183:AJ188)</f>
        <v>0</v>
      </c>
      <c r="AK190" s="127">
        <f>SUM(AK183:AK188)</f>
        <v>0</v>
      </c>
      <c r="AL190" s="127">
        <f>SUM(AL183:AL188)</f>
        <v>0</v>
      </c>
      <c r="AM190" s="127">
        <f>SUM(AM183:AM189)</f>
        <v>0</v>
      </c>
      <c r="AN190" s="127">
        <f>SUM(AN183:AN189)</f>
        <v>0</v>
      </c>
      <c r="AO190" s="253"/>
      <c r="AP190" s="254"/>
      <c r="AQ190" s="175">
        <f>SUM(AQ183:AQ189)</f>
        <v>1796505240.5999999</v>
      </c>
      <c r="AR190" s="175">
        <f>SUM(AR183:AR189)</f>
        <v>1364065000</v>
      </c>
      <c r="AS190" s="175">
        <f>SUM(AS183:AS189)</f>
        <v>0</v>
      </c>
      <c r="AT190" s="175">
        <f>SUM(AT183:AT189)</f>
        <v>3160570240.5999999</v>
      </c>
      <c r="AU190" s="175">
        <f t="shared" ref="AU190:BA190" si="162">SUM(AU183:AU188)</f>
        <v>3160570241</v>
      </c>
      <c r="AV190" s="175">
        <f t="shared" si="162"/>
        <v>0</v>
      </c>
      <c r="AW190" s="175">
        <f t="shared" si="162"/>
        <v>0</v>
      </c>
      <c r="AX190" s="175">
        <f t="shared" si="162"/>
        <v>0</v>
      </c>
      <c r="AY190" s="175">
        <f t="shared" si="162"/>
        <v>0</v>
      </c>
      <c r="AZ190" s="175">
        <f t="shared" si="162"/>
        <v>0</v>
      </c>
      <c r="BA190" s="175">
        <f t="shared" si="162"/>
        <v>0</v>
      </c>
      <c r="BB190" s="175">
        <f>SUM(BB183:BB189)</f>
        <v>0.40000009536743164</v>
      </c>
      <c r="BC190" s="71"/>
      <c r="BD190" s="71"/>
      <c r="BE190" s="71"/>
      <c r="BF190" s="71"/>
    </row>
    <row r="191" spans="1:58" ht="47.25" outlineLevel="2" x14ac:dyDescent="0.25">
      <c r="A191" s="115"/>
      <c r="B191" s="200"/>
      <c r="C191" s="330"/>
      <c r="D191" s="343"/>
      <c r="E191" s="328"/>
      <c r="F191" s="328"/>
      <c r="G191" s="328"/>
      <c r="H191" s="213" t="s">
        <v>496</v>
      </c>
      <c r="I191" s="130" t="s">
        <v>5</v>
      </c>
      <c r="J191" s="126">
        <v>2</v>
      </c>
      <c r="K191" s="126">
        <v>20</v>
      </c>
      <c r="L191" s="125">
        <f>IF(I191&lt;&gt;0,((VLOOKUP(I191,'1. Standard_Cost'!$B$4:$D$11,2)+VLOOKUP(I191,'1. Standard_Cost'!$B$4:$D$11,3))*J191*K191),"0")</f>
        <v>2828000</v>
      </c>
      <c r="M191" s="125">
        <f>L191*'1. Standard_Cost'!$F$4</f>
        <v>472276</v>
      </c>
      <c r="N191" s="126"/>
      <c r="O191" s="126"/>
      <c r="P191" s="126"/>
      <c r="Q191" s="126"/>
      <c r="R191" s="127">
        <f>'1. Standard_Cost'!$B$15*N191*P191</f>
        <v>0</v>
      </c>
      <c r="S191" s="127">
        <f>N191*O191*P191*'1. Standard_Cost'!$C$15</f>
        <v>0</v>
      </c>
      <c r="T191" s="127">
        <f>N191*P191*Q191*'1. Standard_Cost'!$D$15</f>
        <v>0</v>
      </c>
      <c r="U191" s="127">
        <f>N191*O191*'1. Standard_Cost'!$E$15</f>
        <v>0</v>
      </c>
      <c r="V191" s="126"/>
      <c r="W191" s="126"/>
      <c r="X191" s="126"/>
      <c r="Y191" s="127">
        <f>+V191*((X191*'1. Standard_Cost'!$B$19)+(W191*X191*'1. Standard_Cost'!$C$19))</f>
        <v>0</v>
      </c>
      <c r="Z191" s="126"/>
      <c r="AA191" s="126"/>
      <c r="AB191" s="127">
        <f>+Z191*'1. Standard_Cost'!$B$23+AA191*'1. Standard_Cost'!$C$23</f>
        <v>0</v>
      </c>
      <c r="AC191" s="128">
        <v>1000000</v>
      </c>
      <c r="AD191" s="129"/>
      <c r="AE191" s="127"/>
      <c r="AF191" s="127">
        <f>SUM(AE191,AD191,AC191,AB191,Y191,U191,T191,S191,R191)</f>
        <v>1000000</v>
      </c>
      <c r="AG191" s="126"/>
      <c r="AH191" s="126"/>
      <c r="AI191" s="126"/>
      <c r="AJ191" s="130"/>
      <c r="AK191" s="130"/>
      <c r="AL191" s="130"/>
      <c r="AM191" s="127">
        <f>AG191*'1. Standard_Cost'!$B$27+'Incremental_Cost Year 1'!AH191*'1. Standard_Cost'!$C$27+'Incremental_Cost Year 1'!AI191*'1. Standard_Cost'!$D$27+'Incremental_Cost Year 1'!AJ191+'Incremental_Cost Year 1'!AL191+AK191</f>
        <v>0</v>
      </c>
      <c r="AN191" s="127">
        <f>AM191*'1. Standard_Cost'!$C$31</f>
        <v>0</v>
      </c>
      <c r="AO191" s="130"/>
      <c r="AP191" s="256"/>
      <c r="AQ191" s="171">
        <f>L191+M191</f>
        <v>3300276</v>
      </c>
      <c r="AR191" s="171">
        <f>AF191</f>
        <v>1000000</v>
      </c>
      <c r="AS191" s="171">
        <f>AM191+AN191</f>
        <v>0</v>
      </c>
      <c r="AT191" s="171">
        <f>SUM(AQ191,AR191,AS191)</f>
        <v>4300276</v>
      </c>
      <c r="AU191" s="250">
        <v>4300276</v>
      </c>
      <c r="AV191" s="250"/>
      <c r="AW191" s="250"/>
      <c r="AX191" s="250"/>
      <c r="AY191" s="250"/>
      <c r="AZ191" s="250"/>
      <c r="BA191" s="250"/>
      <c r="BB191" s="251">
        <f t="shared" ref="BB191:BB192" si="163">SUM(AU191:BA191)-AT191</f>
        <v>0</v>
      </c>
      <c r="BC191" s="71"/>
      <c r="BD191" s="71"/>
      <c r="BE191" s="71"/>
      <c r="BF191" s="71"/>
    </row>
    <row r="192" spans="1:58" ht="47.25" outlineLevel="2" x14ac:dyDescent="0.25">
      <c r="A192" s="115"/>
      <c r="B192" s="200"/>
      <c r="C192" s="330"/>
      <c r="D192" s="343"/>
      <c r="E192" s="328"/>
      <c r="F192" s="328"/>
      <c r="G192" s="328"/>
      <c r="H192" s="199" t="s">
        <v>238</v>
      </c>
      <c r="I192" s="130"/>
      <c r="J192" s="126"/>
      <c r="K192" s="126"/>
      <c r="L192" s="125" t="str">
        <f>IF(I192&lt;&gt;0,((VLOOKUP(I192,'1. Standard_Cost'!$B$4:$D$11,2)+VLOOKUP(I192,'1. Standard_Cost'!$B$4:$D$11,3))*J192*K192),"0")</f>
        <v>0</v>
      </c>
      <c r="M192" s="125">
        <f>L192*'1. Standard_Cost'!$F$4</f>
        <v>0</v>
      </c>
      <c r="N192" s="126"/>
      <c r="O192" s="126"/>
      <c r="P192" s="126"/>
      <c r="Q192" s="126"/>
      <c r="R192" s="127">
        <f>'1. Standard_Cost'!$B$15*N192*P192</f>
        <v>0</v>
      </c>
      <c r="S192" s="127">
        <f>N192*O192*P192*'1. Standard_Cost'!$C$15</f>
        <v>0</v>
      </c>
      <c r="T192" s="127">
        <f>N192*P192*Q192*'1. Standard_Cost'!$D$15</f>
        <v>0</v>
      </c>
      <c r="U192" s="127">
        <f>N192*O192*'1. Standard_Cost'!$E$15</f>
        <v>0</v>
      </c>
      <c r="V192" s="126"/>
      <c r="W192" s="126"/>
      <c r="X192" s="126"/>
      <c r="Y192" s="127">
        <f>+V192*((X192*'1. Standard_Cost'!$B$19)+(W192*X192*'1. Standard_Cost'!$C$19))</f>
        <v>0</v>
      </c>
      <c r="Z192" s="126"/>
      <c r="AA192" s="126"/>
      <c r="AB192" s="127">
        <f>+Z192*'1. Standard_Cost'!$B$23+AA192*'1. Standard_Cost'!$C$23</f>
        <v>0</v>
      </c>
      <c r="AC192" s="128"/>
      <c r="AD192" s="129"/>
      <c r="AE192" s="127">
        <f>SUM(AD192,AC192,AB192,Y192,U192,T192,S192,R192)*'1. Standard_Cost'!$B$31</f>
        <v>0</v>
      </c>
      <c r="AF192" s="127">
        <f>SUM(AE192,AD192,AC192,AB192,Y192,U192,T192,S192,R192)</f>
        <v>0</v>
      </c>
      <c r="AG192" s="126"/>
      <c r="AH192" s="126"/>
      <c r="AI192" s="126"/>
      <c r="AJ192" s="130"/>
      <c r="AK192" s="130"/>
      <c r="AL192" s="130"/>
      <c r="AM192" s="127">
        <f>AG192*'1. Standard_Cost'!$B$27+'Incremental_Cost Year 1'!AH192*'1. Standard_Cost'!$C$27+'Incremental_Cost Year 1'!AI192*'1. Standard_Cost'!$D$27+'Incremental_Cost Year 1'!AJ192+'Incremental_Cost Year 1'!AL192+AK192</f>
        <v>0</v>
      </c>
      <c r="AN192" s="127">
        <f>AM192*'1. Standard_Cost'!$C$31</f>
        <v>0</v>
      </c>
      <c r="AO192" s="130"/>
      <c r="AP192" s="256"/>
      <c r="AQ192" s="171">
        <f>L192+M192</f>
        <v>0</v>
      </c>
      <c r="AR192" s="171">
        <f>AF192</f>
        <v>0</v>
      </c>
      <c r="AS192" s="171">
        <f>AM192+AN192</f>
        <v>0</v>
      </c>
      <c r="AT192" s="171">
        <f>SUM(AQ192,AR192,AS192)</f>
        <v>0</v>
      </c>
      <c r="AU192" s="250"/>
      <c r="AV192" s="250"/>
      <c r="AW192" s="250"/>
      <c r="AX192" s="250"/>
      <c r="AY192" s="250"/>
      <c r="AZ192" s="250"/>
      <c r="BA192" s="250"/>
      <c r="BB192" s="251">
        <f t="shared" si="163"/>
        <v>0</v>
      </c>
      <c r="BC192" s="71"/>
      <c r="BD192" s="71"/>
      <c r="BE192" s="71"/>
      <c r="BF192" s="71"/>
    </row>
    <row r="193" spans="1:58" ht="15.75" outlineLevel="1" x14ac:dyDescent="0.25">
      <c r="A193" s="115"/>
      <c r="B193" s="200"/>
      <c r="C193" s="330"/>
      <c r="D193" s="343"/>
      <c r="E193" s="328"/>
      <c r="F193" s="328"/>
      <c r="G193" s="328"/>
      <c r="H193" s="150" t="s">
        <v>239</v>
      </c>
      <c r="I193" s="252"/>
      <c r="J193" s="252"/>
      <c r="K193" s="252"/>
      <c r="L193" s="127">
        <f>SUM(L191:L192)</f>
        <v>2828000</v>
      </c>
      <c r="M193" s="127">
        <f>SUM(M191:M192)</f>
        <v>472276</v>
      </c>
      <c r="N193" s="252"/>
      <c r="O193" s="252"/>
      <c r="P193" s="252"/>
      <c r="Q193" s="252"/>
      <c r="R193" s="127">
        <f>SUM(R191:R192)</f>
        <v>0</v>
      </c>
      <c r="S193" s="127">
        <f>SUM(S191:S192)</f>
        <v>0</v>
      </c>
      <c r="T193" s="127">
        <f>SUM(T191:T192)</f>
        <v>0</v>
      </c>
      <c r="U193" s="127">
        <f>SUM(U191:U192)</f>
        <v>0</v>
      </c>
      <c r="V193" s="252"/>
      <c r="W193" s="252"/>
      <c r="X193" s="252"/>
      <c r="Y193" s="127">
        <f>SUM(Y191:Y192)</f>
        <v>0</v>
      </c>
      <c r="Z193" s="127"/>
      <c r="AA193" s="252"/>
      <c r="AB193" s="127">
        <f>SUM(AB191:AB192)</f>
        <v>0</v>
      </c>
      <c r="AC193" s="127">
        <f>SUM(AC191:AC192)</f>
        <v>1000000</v>
      </c>
      <c r="AD193" s="127">
        <f>SUM(AD191:AD192)</f>
        <v>0</v>
      </c>
      <c r="AE193" s="127">
        <f>SUM(AE191:AE192)</f>
        <v>0</v>
      </c>
      <c r="AF193" s="127">
        <f>SUM(AF191:AF192)</f>
        <v>1000000</v>
      </c>
      <c r="AG193" s="252"/>
      <c r="AH193" s="252"/>
      <c r="AI193" s="252"/>
      <c r="AJ193" s="127">
        <f>SUM(AJ191:AJ192)</f>
        <v>0</v>
      </c>
      <c r="AK193" s="127">
        <f>SUM(AK191:AK192)</f>
        <v>0</v>
      </c>
      <c r="AL193" s="127">
        <f>SUM(AL191:AL192)</f>
        <v>0</v>
      </c>
      <c r="AM193" s="127">
        <f>SUM(AM191:AM192)</f>
        <v>0</v>
      </c>
      <c r="AN193" s="127">
        <f>SUM(AN191:AN192)</f>
        <v>0</v>
      </c>
      <c r="AO193" s="253"/>
      <c r="AP193" s="254"/>
      <c r="AQ193" s="175">
        <f>SUM(AQ191:AQ192)</f>
        <v>3300276</v>
      </c>
      <c r="AR193" s="175">
        <f>SUM(AR191:AR192)</f>
        <v>1000000</v>
      </c>
      <c r="AS193" s="175">
        <f>SUM(AS191:AS192)</f>
        <v>0</v>
      </c>
      <c r="AT193" s="175">
        <f>SUM(AT191:AT192)</f>
        <v>4300276</v>
      </c>
      <c r="AU193" s="175">
        <f t="shared" ref="AU193:BA193" si="164">SUM(AU191:AU192)</f>
        <v>4300276</v>
      </c>
      <c r="AV193" s="175">
        <f t="shared" si="164"/>
        <v>0</v>
      </c>
      <c r="AW193" s="175">
        <f t="shared" si="164"/>
        <v>0</v>
      </c>
      <c r="AX193" s="175">
        <f t="shared" si="164"/>
        <v>0</v>
      </c>
      <c r="AY193" s="175">
        <f t="shared" si="164"/>
        <v>0</v>
      </c>
      <c r="AZ193" s="175">
        <f t="shared" si="164"/>
        <v>0</v>
      </c>
      <c r="BA193" s="175">
        <f t="shared" si="164"/>
        <v>0</v>
      </c>
      <c r="BB193" s="175">
        <f>SUM(BB191:BB192)</f>
        <v>0</v>
      </c>
      <c r="BC193" s="71"/>
      <c r="BD193" s="71"/>
      <c r="BE193" s="71"/>
      <c r="BF193" s="71"/>
    </row>
    <row r="194" spans="1:58" ht="47.25" outlineLevel="2" x14ac:dyDescent="0.25">
      <c r="A194" s="115"/>
      <c r="B194" s="200"/>
      <c r="C194" s="330"/>
      <c r="D194" s="343"/>
      <c r="E194" s="328"/>
      <c r="F194" s="328"/>
      <c r="G194" s="328"/>
      <c r="H194" s="199" t="s">
        <v>497</v>
      </c>
      <c r="I194" s="130" t="s">
        <v>5</v>
      </c>
      <c r="J194" s="126">
        <v>3</v>
      </c>
      <c r="K194" s="126">
        <v>3</v>
      </c>
      <c r="L194" s="125">
        <f>IF(I194&lt;&gt;0,((VLOOKUP(I194,'1. Standard_Cost'!$B$4:$D$11,2)+VLOOKUP(I194,'1. Standard_Cost'!$B$4:$D$11,3))*J194*K194),"0")</f>
        <v>636300</v>
      </c>
      <c r="M194" s="125">
        <f>L194*'1. Standard_Cost'!$F$4</f>
        <v>106262.1</v>
      </c>
      <c r="N194" s="126"/>
      <c r="O194" s="126"/>
      <c r="P194" s="126"/>
      <c r="Q194" s="126"/>
      <c r="R194" s="127">
        <f>'1. Standard_Cost'!$B$15*N194*P194</f>
        <v>0</v>
      </c>
      <c r="S194" s="127">
        <f>N194*O194*P194*'1. Standard_Cost'!$C$15</f>
        <v>0</v>
      </c>
      <c r="T194" s="127">
        <f>N194*P194*Q194*'1. Standard_Cost'!$D$15</f>
        <v>0</v>
      </c>
      <c r="U194" s="127">
        <f>N194*O194*'1. Standard_Cost'!$E$15</f>
        <v>0</v>
      </c>
      <c r="V194" s="126"/>
      <c r="W194" s="126"/>
      <c r="X194" s="126"/>
      <c r="Y194" s="127">
        <f>+V194*((X194*'1. Standard_Cost'!$B$19)+(W194*X194*'1. Standard_Cost'!$C$19))</f>
        <v>0</v>
      </c>
      <c r="Z194" s="126"/>
      <c r="AA194" s="126"/>
      <c r="AB194" s="127">
        <f>+Z194*'1. Standard_Cost'!$B$23+AA194*'1. Standard_Cost'!$C$23</f>
        <v>0</v>
      </c>
      <c r="AC194" s="128">
        <v>75000</v>
      </c>
      <c r="AD194" s="129"/>
      <c r="AE194" s="127">
        <f>SUM(AD194,AC194,AB194,Y194,U194,T194,S194,R194)*'1. Standard_Cost'!$B$31</f>
        <v>15000</v>
      </c>
      <c r="AF194" s="127">
        <f>SUM(AE194,AD194,AC194,AB194,Y194,U194,T194,S194,R194)</f>
        <v>90000</v>
      </c>
      <c r="AG194" s="126"/>
      <c r="AH194" s="126"/>
      <c r="AI194" s="126"/>
      <c r="AJ194" s="130"/>
      <c r="AK194" s="130"/>
      <c r="AL194" s="130"/>
      <c r="AM194" s="127">
        <f>AG194*'1. Standard_Cost'!$B$27+'Incremental_Cost Year 1'!AH194*'1. Standard_Cost'!$C$27+'Incremental_Cost Year 1'!AI194*'1. Standard_Cost'!$D$27+'Incremental_Cost Year 1'!AJ194+'Incremental_Cost Year 1'!AL194+AK194</f>
        <v>0</v>
      </c>
      <c r="AN194" s="127">
        <f>AM194*'1. Standard_Cost'!$C$31</f>
        <v>0</v>
      </c>
      <c r="AO194" s="130"/>
      <c r="AP194" s="256"/>
      <c r="AQ194" s="171">
        <f>L194+M194</f>
        <v>742562.1</v>
      </c>
      <c r="AR194" s="171">
        <f>AF194</f>
        <v>90000</v>
      </c>
      <c r="AS194" s="171">
        <f>AM194+AN194</f>
        <v>0</v>
      </c>
      <c r="AT194" s="171">
        <f>SUM(AQ194,AR194,AS194)</f>
        <v>832562.1</v>
      </c>
      <c r="AU194" s="250">
        <v>832562</v>
      </c>
      <c r="AV194" s="250"/>
      <c r="AW194" s="250"/>
      <c r="AX194" s="250"/>
      <c r="AY194" s="250"/>
      <c r="AZ194" s="250"/>
      <c r="BA194" s="250"/>
      <c r="BB194" s="251">
        <f t="shared" ref="BB194:BB195" si="165">SUM(AU194:BA194)-AT194</f>
        <v>-9.9999999976716936E-2</v>
      </c>
      <c r="BC194" s="71"/>
      <c r="BD194" s="71"/>
      <c r="BE194" s="71"/>
      <c r="BF194" s="71"/>
    </row>
    <row r="195" spans="1:58" ht="47.25" outlineLevel="2" x14ac:dyDescent="0.25">
      <c r="A195" s="115"/>
      <c r="B195" s="147"/>
      <c r="C195" s="341"/>
      <c r="D195" s="344"/>
      <c r="E195" s="328"/>
      <c r="F195" s="328"/>
      <c r="G195" s="328"/>
      <c r="H195" s="199" t="s">
        <v>498</v>
      </c>
      <c r="I195" s="130"/>
      <c r="J195" s="126"/>
      <c r="K195" s="126"/>
      <c r="L195" s="125" t="str">
        <f>IF(I195&lt;&gt;0,((VLOOKUP(I195,'1. Standard_Cost'!$B$4:$D$11,2)+VLOOKUP(I195,'1. Standard_Cost'!$B$4:$D$11,3))*J195*K195),"0")</f>
        <v>0</v>
      </c>
      <c r="M195" s="125">
        <f>L195*'1. Standard_Cost'!$F$4</f>
        <v>0</v>
      </c>
      <c r="N195" s="126"/>
      <c r="O195" s="126"/>
      <c r="P195" s="126"/>
      <c r="Q195" s="126"/>
      <c r="R195" s="127">
        <f>'1. Standard_Cost'!$B$15*N195*P195</f>
        <v>0</v>
      </c>
      <c r="S195" s="127">
        <f>N195*O195*P195*'1. Standard_Cost'!$C$15</f>
        <v>0</v>
      </c>
      <c r="T195" s="127">
        <f>N195*P195*Q195*'1. Standard_Cost'!$D$15</f>
        <v>0</v>
      </c>
      <c r="U195" s="127">
        <f>N195*O195*'1. Standard_Cost'!$E$15</f>
        <v>0</v>
      </c>
      <c r="V195" s="126"/>
      <c r="W195" s="126"/>
      <c r="X195" s="126"/>
      <c r="Y195" s="127">
        <f>+V195*((X195*'1. Standard_Cost'!$B$19)+(W195*X195*'1. Standard_Cost'!$C$19))</f>
        <v>0</v>
      </c>
      <c r="Z195" s="126"/>
      <c r="AA195" s="126"/>
      <c r="AB195" s="127">
        <f>+Z195*'1. Standard_Cost'!$B$23+AA195*'1. Standard_Cost'!$C$23</f>
        <v>0</v>
      </c>
      <c r="AC195" s="128"/>
      <c r="AD195" s="129"/>
      <c r="AE195" s="127">
        <f>SUM(AD195,AC195,AB195,Y195,U195,T195,S195,R195)*'1. Standard_Cost'!$B$31</f>
        <v>0</v>
      </c>
      <c r="AF195" s="127">
        <f>SUM(AE195,AD195,AC195,AB195,Y195,U195,T195,S195,R195)</f>
        <v>0</v>
      </c>
      <c r="AG195" s="126"/>
      <c r="AH195" s="126"/>
      <c r="AI195" s="126"/>
      <c r="AJ195" s="130"/>
      <c r="AK195" s="130"/>
      <c r="AL195" s="130"/>
      <c r="AM195" s="127">
        <f>AG195*'1. Standard_Cost'!$B$27+'Incremental_Cost Year 1'!AH195*'1. Standard_Cost'!$C$27+'Incremental_Cost Year 1'!AI195*'1. Standard_Cost'!$D$27+'Incremental_Cost Year 1'!AJ195+'Incremental_Cost Year 1'!AL195+AK195</f>
        <v>0</v>
      </c>
      <c r="AN195" s="127">
        <f>AM195*'1. Standard_Cost'!$C$31</f>
        <v>0</v>
      </c>
      <c r="AO195" s="130"/>
      <c r="AP195" s="256"/>
      <c r="AQ195" s="171">
        <f>L195+M195</f>
        <v>0</v>
      </c>
      <c r="AR195" s="171">
        <f>AF195</f>
        <v>0</v>
      </c>
      <c r="AS195" s="171">
        <f>AM195+AN195</f>
        <v>0</v>
      </c>
      <c r="AT195" s="171">
        <f>SUM(AQ195,AR195,AS195)</f>
        <v>0</v>
      </c>
      <c r="AU195" s="250"/>
      <c r="AV195" s="250"/>
      <c r="AW195" s="250"/>
      <c r="AX195" s="250"/>
      <c r="AY195" s="250"/>
      <c r="AZ195" s="250"/>
      <c r="BA195" s="250"/>
      <c r="BB195" s="251">
        <f t="shared" si="165"/>
        <v>0</v>
      </c>
      <c r="BC195" s="71"/>
      <c r="BD195" s="71"/>
      <c r="BE195" s="71"/>
      <c r="BF195" s="71"/>
    </row>
    <row r="196" spans="1:58" ht="63" outlineLevel="1" x14ac:dyDescent="0.25">
      <c r="A196" s="115"/>
      <c r="B196" s="200"/>
      <c r="C196" s="201"/>
      <c r="D196" s="107" t="s">
        <v>240</v>
      </c>
      <c r="E196" s="212" t="s">
        <v>499</v>
      </c>
      <c r="F196" s="104">
        <v>2021</v>
      </c>
      <c r="G196" s="104">
        <v>2030</v>
      </c>
      <c r="H196" s="150" t="s">
        <v>241</v>
      </c>
      <c r="I196" s="252"/>
      <c r="J196" s="252"/>
      <c r="K196" s="252"/>
      <c r="L196" s="127">
        <f>SUM(L194:L195)</f>
        <v>636300</v>
      </c>
      <c r="M196" s="127">
        <f>SUM(M194:M195)</f>
        <v>106262.1</v>
      </c>
      <c r="N196" s="252"/>
      <c r="O196" s="252"/>
      <c r="P196" s="252"/>
      <c r="Q196" s="252"/>
      <c r="R196" s="127">
        <f>SUM(R194:R195)</f>
        <v>0</v>
      </c>
      <c r="S196" s="127">
        <f>SUM(S194:S195)</f>
        <v>0</v>
      </c>
      <c r="T196" s="127">
        <f>SUM(T194:T195)</f>
        <v>0</v>
      </c>
      <c r="U196" s="127">
        <f>SUM(U194:U195)</f>
        <v>0</v>
      </c>
      <c r="V196" s="252"/>
      <c r="W196" s="252"/>
      <c r="X196" s="252"/>
      <c r="Y196" s="127">
        <f>SUM(Y194:Y195)</f>
        <v>0</v>
      </c>
      <c r="Z196" s="127"/>
      <c r="AA196" s="252"/>
      <c r="AB196" s="127">
        <f>SUM(AB194:AB195)</f>
        <v>0</v>
      </c>
      <c r="AC196" s="127">
        <f>SUM(AC194:AC195)</f>
        <v>75000</v>
      </c>
      <c r="AD196" s="127">
        <f>SUM(AD194:AD195)</f>
        <v>0</v>
      </c>
      <c r="AE196" s="127">
        <f>SUM(AE194:AE195)</f>
        <v>15000</v>
      </c>
      <c r="AF196" s="127">
        <f>SUM(AF194:AF195)</f>
        <v>90000</v>
      </c>
      <c r="AG196" s="252"/>
      <c r="AH196" s="252"/>
      <c r="AI196" s="252"/>
      <c r="AJ196" s="127">
        <f>SUM(AJ194:AJ195)</f>
        <v>0</v>
      </c>
      <c r="AK196" s="127">
        <f>SUM(AK194:AK195)</f>
        <v>0</v>
      </c>
      <c r="AL196" s="127">
        <f>SUM(AL194:AL195)</f>
        <v>0</v>
      </c>
      <c r="AM196" s="127">
        <f>SUM(AM194:AM195)</f>
        <v>0</v>
      </c>
      <c r="AN196" s="127">
        <f>SUM(AN194:AN195)</f>
        <v>0</v>
      </c>
      <c r="AO196" s="253"/>
      <c r="AP196" s="254"/>
      <c r="AQ196" s="175">
        <f>SUM(AQ194:AQ195)</f>
        <v>742562.1</v>
      </c>
      <c r="AR196" s="175">
        <f>SUM(AR194:AR195)</f>
        <v>90000</v>
      </c>
      <c r="AS196" s="175">
        <f>SUM(AS194:AS195)</f>
        <v>0</v>
      </c>
      <c r="AT196" s="175">
        <f>SUM(AT194:AT195)</f>
        <v>832562.1</v>
      </c>
      <c r="AU196" s="175">
        <f t="shared" ref="AU196:BA196" si="166">SUM(AU194:AU195)</f>
        <v>832562</v>
      </c>
      <c r="AV196" s="175">
        <f t="shared" si="166"/>
        <v>0</v>
      </c>
      <c r="AW196" s="175">
        <f t="shared" si="166"/>
        <v>0</v>
      </c>
      <c r="AX196" s="175">
        <f t="shared" si="166"/>
        <v>0</v>
      </c>
      <c r="AY196" s="175">
        <f t="shared" si="166"/>
        <v>0</v>
      </c>
      <c r="AZ196" s="175">
        <f t="shared" si="166"/>
        <v>0</v>
      </c>
      <c r="BA196" s="175">
        <f t="shared" si="166"/>
        <v>0</v>
      </c>
      <c r="BB196" s="175">
        <f>SUM(BB194:BB195)</f>
        <v>-9.9999999976716936E-2</v>
      </c>
      <c r="BC196" s="71"/>
      <c r="BD196" s="71"/>
      <c r="BE196" s="71"/>
      <c r="BF196" s="71"/>
    </row>
    <row r="197" spans="1:58" s="75" customFormat="1" ht="70.150000000000006" customHeight="1" x14ac:dyDescent="0.25">
      <c r="A197" s="120"/>
      <c r="B197" s="396" t="s">
        <v>243</v>
      </c>
      <c r="C197" s="389"/>
      <c r="D197" s="389"/>
      <c r="E197" s="390"/>
      <c r="F197" s="279"/>
      <c r="G197" s="279"/>
      <c r="H197" s="279" t="s">
        <v>184</v>
      </c>
      <c r="I197" s="243"/>
      <c r="J197" s="243"/>
      <c r="K197" s="243"/>
      <c r="L197" s="243">
        <f>SUM(L198,L213,L221,L226,L232,L238)</f>
        <v>219181042.85714287</v>
      </c>
      <c r="M197" s="243">
        <f>SUM(M198,M213,M221,M226,M232,M238)</f>
        <v>36603234.157142863</v>
      </c>
      <c r="N197" s="243"/>
      <c r="O197" s="243"/>
      <c r="P197" s="243"/>
      <c r="Q197" s="243"/>
      <c r="R197" s="243">
        <f>SUM(R198,R213,R221,R226,R232,R238)</f>
        <v>0</v>
      </c>
      <c r="S197" s="243">
        <f>SUM(S198,S213,S221,S226,S232,S238)</f>
        <v>0</v>
      </c>
      <c r="T197" s="243">
        <f>SUM(T198,T213,T221,T226,T232,T238)</f>
        <v>0</v>
      </c>
      <c r="U197" s="243">
        <f>SUM(U198,U213,U221,U226,U232,U238)</f>
        <v>0</v>
      </c>
      <c r="V197" s="243"/>
      <c r="W197" s="243"/>
      <c r="X197" s="243"/>
      <c r="Y197" s="243">
        <f>SUM(Y198,Y213,Y221,Y226,Y232,Y238)</f>
        <v>0</v>
      </c>
      <c r="Z197" s="243">
        <f>SUM(Z198,Z213,Z221,Z226,Z232,Z238)</f>
        <v>0</v>
      </c>
      <c r="AA197" s="243"/>
      <c r="AB197" s="243">
        <f>SUM(AB198,AB213,AB221,AB226,AB232,AB238)</f>
        <v>1710000</v>
      </c>
      <c r="AC197" s="243">
        <f>SUM(AC198,AC213,AC221,AC226,AC232,AC238)</f>
        <v>284153666.66666669</v>
      </c>
      <c r="AD197" s="243">
        <f>SUM(AD198,AD213,AD221,AD226,AD232,AD238)</f>
        <v>0</v>
      </c>
      <c r="AE197" s="243">
        <f>SUM(AE198,AE213,AE221,AE226,AE232,AE238)</f>
        <v>406800</v>
      </c>
      <c r="AF197" s="243">
        <f>SUM(AF198,AF213,AF221,AF226,AF232,AF238)</f>
        <v>286270466.66666669</v>
      </c>
      <c r="AG197" s="243"/>
      <c r="AH197" s="243"/>
      <c r="AI197" s="243"/>
      <c r="AJ197" s="243">
        <f>SUM(AJ198,AJ213,AJ221,AJ226,AJ232,AJ238)</f>
        <v>0</v>
      </c>
      <c r="AK197" s="243">
        <f>SUM(AK198,AK213,AK221,AK226,AK232,AK238)</f>
        <v>0</v>
      </c>
      <c r="AL197" s="243">
        <f>SUM(AL198,AL213,AL221,AL226,AL232,AL238)</f>
        <v>220000000</v>
      </c>
      <c r="AM197" s="243">
        <f>SUM(AM198,AM213,AM221,AM226,AM232,AM238)</f>
        <v>220000000</v>
      </c>
      <c r="AN197" s="243">
        <f>SUM(AN198,AN213,AN221,AN226,AN232,AN238)</f>
        <v>3000000</v>
      </c>
      <c r="AO197" s="243"/>
      <c r="AP197" s="244"/>
      <c r="AQ197" s="245">
        <f>SUM(AQ198,AQ213,AQ221,AQ226,AQ232,AQ238)</f>
        <v>255784277.01428574</v>
      </c>
      <c r="AR197" s="245">
        <f>SUM(AR198,AR213,AR221,AR226,AR232,AR238)</f>
        <v>286270466.66666669</v>
      </c>
      <c r="AS197" s="245">
        <f>SUM(AS198,AS213,AS221,AS226,AS232,AS238)</f>
        <v>223000000</v>
      </c>
      <c r="AT197" s="245">
        <f>SUM(AT198,AT213,AT221,AT226,AT232,AT238)</f>
        <v>765054743.68095243</v>
      </c>
      <c r="AU197" s="245">
        <f t="shared" ref="AU197:BA197" si="167">SUM(AU198,AU213,AU221,AU226,AU232,AU238)</f>
        <v>539973943.68095243</v>
      </c>
      <c r="AV197" s="245">
        <f t="shared" si="167"/>
        <v>0</v>
      </c>
      <c r="AW197" s="245">
        <f t="shared" si="167"/>
        <v>223000000</v>
      </c>
      <c r="AX197" s="245">
        <f t="shared" si="167"/>
        <v>0</v>
      </c>
      <c r="AY197" s="245">
        <f t="shared" si="167"/>
        <v>2080800</v>
      </c>
      <c r="AZ197" s="245">
        <f t="shared" si="167"/>
        <v>0</v>
      </c>
      <c r="BA197" s="245">
        <f t="shared" si="167"/>
        <v>0</v>
      </c>
      <c r="BB197" s="245">
        <f t="shared" ref="BB197" si="168">SUM(BB198,BB213,BB221,BB226,BB232,BB238)</f>
        <v>0</v>
      </c>
    </row>
    <row r="198" spans="1:58" s="76" customFormat="1" ht="49.15" customHeight="1" x14ac:dyDescent="0.25">
      <c r="A198" s="143"/>
      <c r="B198" s="332"/>
      <c r="C198" s="397" t="s">
        <v>244</v>
      </c>
      <c r="D198" s="397"/>
      <c r="E198" s="398"/>
      <c r="F198" s="284"/>
      <c r="G198" s="340"/>
      <c r="H198" s="144" t="s">
        <v>185</v>
      </c>
      <c r="I198" s="269"/>
      <c r="J198" s="257"/>
      <c r="K198" s="257"/>
      <c r="L198" s="258">
        <f>SUM(L203,L209,L212)</f>
        <v>5605642.8571428573</v>
      </c>
      <c r="M198" s="258">
        <f>SUM(M203,M209,M212)</f>
        <v>936142.35714285716</v>
      </c>
      <c r="N198" s="257"/>
      <c r="O198" s="257"/>
      <c r="P198" s="257"/>
      <c r="Q198" s="257"/>
      <c r="R198" s="258">
        <f>SUM(R203,R209,R212)</f>
        <v>0</v>
      </c>
      <c r="S198" s="258">
        <f>SUM(S203,S209,S212)</f>
        <v>0</v>
      </c>
      <c r="T198" s="258">
        <f>SUM(T203,T209,T212)</f>
        <v>0</v>
      </c>
      <c r="U198" s="258">
        <f>SUM(U203,U209,U212)</f>
        <v>0</v>
      </c>
      <c r="V198" s="257"/>
      <c r="W198" s="257"/>
      <c r="X198" s="257"/>
      <c r="Y198" s="258">
        <f>SUM(Y203,Y209,Y212)</f>
        <v>0</v>
      </c>
      <c r="Z198" s="258">
        <f>SUM(Z203,Z209,Z212)</f>
        <v>0</v>
      </c>
      <c r="AA198" s="257"/>
      <c r="AB198" s="258">
        <f>SUM(AB203,AB209,AB212)</f>
        <v>1710000</v>
      </c>
      <c r="AC198" s="258">
        <f>SUM(AC203,AC209,AC212)</f>
        <v>24000</v>
      </c>
      <c r="AD198" s="258">
        <f>SUM(AD203,AD209,AD212)</f>
        <v>0</v>
      </c>
      <c r="AE198" s="258">
        <f>SUM(AE203,AE209,AE212)</f>
        <v>346800</v>
      </c>
      <c r="AF198" s="258">
        <f>SUM(AF203,AF209,AF212)</f>
        <v>2080800</v>
      </c>
      <c r="AG198" s="257"/>
      <c r="AH198" s="257"/>
      <c r="AI198" s="257"/>
      <c r="AJ198" s="258">
        <f>SUM(AJ203,AJ209,AJ212)</f>
        <v>0</v>
      </c>
      <c r="AK198" s="258">
        <f>SUM(AK203,AK209,AK212)</f>
        <v>0</v>
      </c>
      <c r="AL198" s="258">
        <f>SUM(AL203,AL209,AL212)</f>
        <v>220000000</v>
      </c>
      <c r="AM198" s="258">
        <f>SUM(AM203,AM209,AM212)</f>
        <v>220000000</v>
      </c>
      <c r="AN198" s="258">
        <f>SUM(AN203,AN209,AN212)</f>
        <v>3000000</v>
      </c>
      <c r="AO198" s="259"/>
      <c r="AP198" s="260"/>
      <c r="AQ198" s="261">
        <f>SUM(AQ203,AQ209,AQ212)</f>
        <v>6541785.2142857146</v>
      </c>
      <c r="AR198" s="261">
        <f>SUM(AR203,AR209,AR212)</f>
        <v>2080800</v>
      </c>
      <c r="AS198" s="261">
        <f>SUM(AS203,AS209,AS212)</f>
        <v>223000000</v>
      </c>
      <c r="AT198" s="261">
        <f>SUM(AT203,AT209,AT212)</f>
        <v>231622585.2142857</v>
      </c>
      <c r="AU198" s="261">
        <f t="shared" ref="AU198:BA198" si="169">SUM(AU203,AU209,AU212)</f>
        <v>6541785.2142857146</v>
      </c>
      <c r="AV198" s="261">
        <f t="shared" si="169"/>
        <v>0</v>
      </c>
      <c r="AW198" s="261">
        <f t="shared" si="169"/>
        <v>223000000</v>
      </c>
      <c r="AX198" s="261">
        <f t="shared" si="169"/>
        <v>0</v>
      </c>
      <c r="AY198" s="261">
        <f t="shared" si="169"/>
        <v>2080800</v>
      </c>
      <c r="AZ198" s="261">
        <f t="shared" si="169"/>
        <v>0</v>
      </c>
      <c r="BA198" s="261">
        <f t="shared" si="169"/>
        <v>0</v>
      </c>
      <c r="BB198" s="261">
        <f t="shared" ref="BB198" si="170">SUM(BB203,BB209,BB212)</f>
        <v>0</v>
      </c>
    </row>
    <row r="199" spans="1:58" s="74" customFormat="1" ht="63" outlineLevel="2" x14ac:dyDescent="0.25">
      <c r="A199" s="115"/>
      <c r="B199" s="200"/>
      <c r="C199" s="201"/>
      <c r="D199" s="202"/>
      <c r="E199" s="226"/>
      <c r="F199" s="277"/>
      <c r="G199" s="278"/>
      <c r="H199" s="199" t="s">
        <v>500</v>
      </c>
      <c r="I199" s="130" t="s">
        <v>1</v>
      </c>
      <c r="J199" s="126">
        <v>1</v>
      </c>
      <c r="K199" s="126">
        <v>50</v>
      </c>
      <c r="L199" s="125">
        <f>IF(I199&lt;&gt;0,((VLOOKUP(I199,'1. Standard_Cost'!$B$4:$D$11,2)+VLOOKUP(I199,'1. Standard_Cost'!$B$4:$D$11,3))*J199*K199),"0")</f>
        <v>3589642.8571428573</v>
      </c>
      <c r="M199" s="125">
        <f>L199*'1. Standard_Cost'!$F$4</f>
        <v>599470.35714285716</v>
      </c>
      <c r="N199" s="126"/>
      <c r="O199" s="126"/>
      <c r="P199" s="126"/>
      <c r="Q199" s="126"/>
      <c r="R199" s="127">
        <f>'1. Standard_Cost'!$B$15*N199*P199</f>
        <v>0</v>
      </c>
      <c r="S199" s="127">
        <f>N199*O199*P199*'1. Standard_Cost'!$C$15</f>
        <v>0</v>
      </c>
      <c r="T199" s="127">
        <f>N199*P199*Q199*'1. Standard_Cost'!$D$15</f>
        <v>0</v>
      </c>
      <c r="U199" s="127">
        <f>N199*O199*'1. Standard_Cost'!$E$15</f>
        <v>0</v>
      </c>
      <c r="V199" s="126"/>
      <c r="W199" s="126"/>
      <c r="X199" s="126"/>
      <c r="Y199" s="127">
        <f>+V199*((X199*'1. Standard_Cost'!$B$19)+(W199*X199*'1. Standard_Cost'!$C$19))</f>
        <v>0</v>
      </c>
      <c r="Z199" s="126"/>
      <c r="AA199" s="126"/>
      <c r="AB199" s="127">
        <f>+Z199*'1. Standard_Cost'!$B$23+AA199*'1. Standard_Cost'!$C$23</f>
        <v>0</v>
      </c>
      <c r="AC199" s="128"/>
      <c r="AD199" s="129"/>
      <c r="AE199" s="127">
        <f>SUM(AD199,AC199,AB199,Y199,U199,T199,S199,R199)*'1. Standard_Cost'!$B$31</f>
        <v>0</v>
      </c>
      <c r="AF199" s="127">
        <f>SUM(AE199,AD199,AC199,AB199,Y199,U199,T199,S199,R199)</f>
        <v>0</v>
      </c>
      <c r="AG199" s="126"/>
      <c r="AH199" s="126"/>
      <c r="AI199" s="126"/>
      <c r="AJ199" s="130"/>
      <c r="AK199" s="130"/>
      <c r="AL199" s="130"/>
      <c r="AM199" s="127">
        <f>AG199*'1. Standard_Cost'!$B$27+'Incremental_Cost Year 1'!AH199*'1. Standard_Cost'!$C$27+'Incremental_Cost Year 1'!AI199*'1. Standard_Cost'!$D$27+'Incremental_Cost Year 1'!AJ199+'Incremental_Cost Year 1'!AL199+AK199</f>
        <v>0</v>
      </c>
      <c r="AN199" s="127">
        <f>AM199*'1. Standard_Cost'!$C$31</f>
        <v>0</v>
      </c>
      <c r="AO199" s="130"/>
      <c r="AP199" s="239"/>
      <c r="AQ199" s="171">
        <f>L199+M199</f>
        <v>4189113.2142857146</v>
      </c>
      <c r="AR199" s="171">
        <f>AF199</f>
        <v>0</v>
      </c>
      <c r="AS199" s="171">
        <f>AM199+AN199</f>
        <v>0</v>
      </c>
      <c r="AT199" s="171">
        <f>SUM(AQ199,AR199,AS199)</f>
        <v>4189113.2142857146</v>
      </c>
      <c r="AU199" s="250">
        <f>AT199</f>
        <v>4189113.2142857146</v>
      </c>
      <c r="AV199" s="250"/>
      <c r="AW199" s="250"/>
      <c r="AX199" s="250"/>
      <c r="AY199" s="250"/>
      <c r="AZ199" s="250"/>
      <c r="BA199" s="250"/>
      <c r="BB199" s="251">
        <f t="shared" ref="BB199:BB202" si="171">SUM(AU199:BA199)-AT199</f>
        <v>0</v>
      </c>
    </row>
    <row r="200" spans="1:58" s="74" customFormat="1" ht="94.5" outlineLevel="2" x14ac:dyDescent="0.25">
      <c r="A200" s="115"/>
      <c r="B200" s="200"/>
      <c r="C200" s="201"/>
      <c r="D200" s="202"/>
      <c r="E200" s="202"/>
      <c r="F200" s="219"/>
      <c r="G200" s="313"/>
      <c r="H200" s="199" t="s">
        <v>501</v>
      </c>
      <c r="I200" s="130" t="s">
        <v>3</v>
      </c>
      <c r="J200" s="126">
        <v>2</v>
      </c>
      <c r="K200" s="126">
        <v>10</v>
      </c>
      <c r="L200" s="125">
        <f>IF(I200&lt;&gt;0,((VLOOKUP(I200,'1. Standard_Cost'!$B$4:$D$11,2)+VLOOKUP(I200,'1. Standard_Cost'!$B$4:$D$11,3))*J200*K200),"0")</f>
        <v>2016000</v>
      </c>
      <c r="M200" s="125">
        <f>L200*'1. Standard_Cost'!$F$4</f>
        <v>336672</v>
      </c>
      <c r="N200" s="126"/>
      <c r="O200" s="126"/>
      <c r="P200" s="126"/>
      <c r="Q200" s="126"/>
      <c r="R200" s="127">
        <f>'1. Standard_Cost'!$B$15*N200*P200</f>
        <v>0</v>
      </c>
      <c r="S200" s="127">
        <f>N200*O200*P200*'1. Standard_Cost'!$C$15</f>
        <v>0</v>
      </c>
      <c r="T200" s="127">
        <f>N200*P200*Q200*'1. Standard_Cost'!$D$15</f>
        <v>0</v>
      </c>
      <c r="U200" s="127">
        <f>N200*O200*'1. Standard_Cost'!$E$15</f>
        <v>0</v>
      </c>
      <c r="V200" s="126"/>
      <c r="W200" s="126"/>
      <c r="X200" s="126"/>
      <c r="Y200" s="127">
        <f>+V200*((X200*'1. Standard_Cost'!$B$19)+(W200*X200*'1. Standard_Cost'!$C$19))</f>
        <v>0</v>
      </c>
      <c r="Z200" s="126"/>
      <c r="AA200" s="126">
        <v>90</v>
      </c>
      <c r="AB200" s="127">
        <f>+Z200*'1. Standard_Cost'!$B$23+AA200*'1. Standard_Cost'!$C$23</f>
        <v>1710000</v>
      </c>
      <c r="AC200" s="128">
        <f>4*20*300</f>
        <v>24000</v>
      </c>
      <c r="AD200" s="129"/>
      <c r="AE200" s="127">
        <f>SUM(AD200,AC200,AB200,Y200,U200,T200,S200,R200)*'1. Standard_Cost'!$B$31</f>
        <v>346800</v>
      </c>
      <c r="AF200" s="127">
        <f>SUM(AE200,AD200,AC200,AB200,Y200,U200,T200,S200,R200)</f>
        <v>2080800</v>
      </c>
      <c r="AG200" s="126"/>
      <c r="AH200" s="126"/>
      <c r="AI200" s="126"/>
      <c r="AJ200" s="130"/>
      <c r="AK200" s="130"/>
      <c r="AL200" s="130"/>
      <c r="AM200" s="127">
        <f>AG200*'1. Standard_Cost'!$B$27+'Incremental_Cost Year 1'!AH200*'1. Standard_Cost'!$C$27+'Incremental_Cost Year 1'!AI200*'1. Standard_Cost'!$D$27+'Incremental_Cost Year 1'!AJ200+'Incremental_Cost Year 1'!AL200+AK200</f>
        <v>0</v>
      </c>
      <c r="AN200" s="127">
        <f>AM200*'1. Standard_Cost'!$C$31</f>
        <v>0</v>
      </c>
      <c r="AO200" s="130"/>
      <c r="AP200" s="239"/>
      <c r="AQ200" s="171">
        <f>L200+M200</f>
        <v>2352672</v>
      </c>
      <c r="AR200" s="171">
        <f>AF200</f>
        <v>2080800</v>
      </c>
      <c r="AS200" s="171">
        <f>AM200+AN200</f>
        <v>0</v>
      </c>
      <c r="AT200" s="171">
        <f>SUM(AQ200,AR200,AS200)</f>
        <v>4433472</v>
      </c>
      <c r="AU200" s="250">
        <f>AQ200</f>
        <v>2352672</v>
      </c>
      <c r="AV200" s="250"/>
      <c r="AW200" s="250"/>
      <c r="AX200" s="250"/>
      <c r="AY200" s="250">
        <v>2080800</v>
      </c>
      <c r="AZ200" s="250"/>
      <c r="BA200" s="250"/>
      <c r="BB200" s="251">
        <f t="shared" si="171"/>
        <v>0</v>
      </c>
    </row>
    <row r="201" spans="1:58" s="74" customFormat="1" ht="31.5" outlineLevel="2" x14ac:dyDescent="0.25">
      <c r="A201" s="115"/>
      <c r="B201" s="200"/>
      <c r="C201" s="201"/>
      <c r="D201" s="202"/>
      <c r="E201" s="202"/>
      <c r="F201" s="219"/>
      <c r="G201" s="313"/>
      <c r="H201" s="199" t="s">
        <v>502</v>
      </c>
      <c r="I201" s="130"/>
      <c r="J201" s="126"/>
      <c r="K201" s="126"/>
      <c r="L201" s="125" t="str">
        <f>IF(I201&lt;&gt;0,((VLOOKUP(I201,'1. Standard_Cost'!$B$4:$D$11,2)+VLOOKUP(I201,'1. Standard_Cost'!$B$4:$D$11,3))*J201*K201),"0")</f>
        <v>0</v>
      </c>
      <c r="M201" s="125">
        <f>L201*'1. Standard_Cost'!$F$4</f>
        <v>0</v>
      </c>
      <c r="N201" s="126"/>
      <c r="O201" s="126"/>
      <c r="P201" s="126"/>
      <c r="Q201" s="126"/>
      <c r="R201" s="127">
        <f>'1. Standard_Cost'!$B$15*N201*P201</f>
        <v>0</v>
      </c>
      <c r="S201" s="127">
        <f>N201*O201*P201*'1. Standard_Cost'!$C$15</f>
        <v>0</v>
      </c>
      <c r="T201" s="127">
        <f>N201*P201*Q201*'1. Standard_Cost'!$D$15</f>
        <v>0</v>
      </c>
      <c r="U201" s="127">
        <f>N201*O201*'1. Standard_Cost'!$E$15</f>
        <v>0</v>
      </c>
      <c r="V201" s="126"/>
      <c r="W201" s="126"/>
      <c r="X201" s="126"/>
      <c r="Y201" s="127">
        <f>+V201*((X201*'1. Standard_Cost'!$B$19)+(W201*X201*'1. Standard_Cost'!$C$19))</f>
        <v>0</v>
      </c>
      <c r="Z201" s="126"/>
      <c r="AA201" s="126"/>
      <c r="AB201" s="127">
        <f>+Z201*'1. Standard_Cost'!$B$23+AA201*'1. Standard_Cost'!$C$23</f>
        <v>0</v>
      </c>
      <c r="AC201" s="128"/>
      <c r="AD201" s="129"/>
      <c r="AE201" s="127">
        <f>SUM(AD201,AC201,AB201,Y201,U201,T201,S201,R201)*'1. Standard_Cost'!$B$31</f>
        <v>0</v>
      </c>
      <c r="AF201" s="127">
        <f>SUM(AE201,AD201,AC201,AB201,Y201,U201,T201,S201,R201)</f>
        <v>0</v>
      </c>
      <c r="AG201" s="126"/>
      <c r="AH201" s="126"/>
      <c r="AI201" s="126"/>
      <c r="AJ201" s="130"/>
      <c r="AK201" s="130"/>
      <c r="AL201" s="130"/>
      <c r="AM201" s="127">
        <f>AG201*'1. Standard_Cost'!$B$27+'Incremental_Cost Year 1'!AH201*'1. Standard_Cost'!$C$27+'Incremental_Cost Year 1'!AI201*'1. Standard_Cost'!$D$27+'Incremental_Cost Year 1'!AJ201+'Incremental_Cost Year 1'!AL201+AK201</f>
        <v>0</v>
      </c>
      <c r="AN201" s="127">
        <f>AM201*'1. Standard_Cost'!$C$31</f>
        <v>0</v>
      </c>
      <c r="AO201" s="130"/>
      <c r="AP201" s="239"/>
      <c r="AQ201" s="171">
        <f>L201+M201</f>
        <v>0</v>
      </c>
      <c r="AR201" s="171">
        <f>AF201</f>
        <v>0</v>
      </c>
      <c r="AS201" s="171">
        <f>AM201+AN201</f>
        <v>0</v>
      </c>
      <c r="AT201" s="171">
        <f>SUM(AQ201,AR201,AS201)</f>
        <v>0</v>
      </c>
      <c r="AU201" s="250"/>
      <c r="AV201" s="250"/>
      <c r="AW201" s="250"/>
      <c r="AX201" s="250"/>
      <c r="AY201" s="250"/>
      <c r="AZ201" s="250"/>
      <c r="BA201" s="250"/>
      <c r="BB201" s="251">
        <f t="shared" si="171"/>
        <v>0</v>
      </c>
    </row>
    <row r="202" spans="1:58" s="74" customFormat="1" ht="47.25" outlineLevel="2" x14ac:dyDescent="0.25">
      <c r="A202" s="115"/>
      <c r="B202" s="200"/>
      <c r="C202" s="201"/>
      <c r="D202" s="202"/>
      <c r="E202" s="310"/>
      <c r="F202" s="122"/>
      <c r="G202" s="123"/>
      <c r="H202" s="199" t="s">
        <v>545</v>
      </c>
      <c r="I202" s="130"/>
      <c r="J202" s="126"/>
      <c r="K202" s="126"/>
      <c r="L202" s="125" t="str">
        <f>IF(I202&lt;&gt;0,((VLOOKUP(I202,'1. Standard_Cost'!$B$4:$D$11,2)+VLOOKUP(I202,'1. Standard_Cost'!$B$4:$D$11,3))*J202*K202),"0")</f>
        <v>0</v>
      </c>
      <c r="M202" s="125">
        <f>L202*'1. Standard_Cost'!$F$4</f>
        <v>0</v>
      </c>
      <c r="N202" s="126"/>
      <c r="O202" s="126"/>
      <c r="P202" s="126"/>
      <c r="Q202" s="126"/>
      <c r="R202" s="127">
        <f>'1. Standard_Cost'!$B$15*N202*P202</f>
        <v>0</v>
      </c>
      <c r="S202" s="127">
        <f>N202*O202*P202*'1. Standard_Cost'!$C$15</f>
        <v>0</v>
      </c>
      <c r="T202" s="127">
        <f>N202*P202*Q202*'1. Standard_Cost'!$D$15</f>
        <v>0</v>
      </c>
      <c r="U202" s="127">
        <f>N202*O202*'1. Standard_Cost'!$E$15</f>
        <v>0</v>
      </c>
      <c r="V202" s="126"/>
      <c r="W202" s="126"/>
      <c r="X202" s="126"/>
      <c r="Y202" s="127">
        <f>+V202*((X202*'1. Standard_Cost'!$B$19)+(W202*X202*'1. Standard_Cost'!$C$19))</f>
        <v>0</v>
      </c>
      <c r="Z202" s="126"/>
      <c r="AA202" s="126"/>
      <c r="AB202" s="127">
        <f>+Z202*'1. Standard_Cost'!$B$23+AA202*'1. Standard_Cost'!$C$23</f>
        <v>0</v>
      </c>
      <c r="AC202" s="128"/>
      <c r="AD202" s="129"/>
      <c r="AE202" s="127">
        <f>SUM(AD202,AC202,AB202,Y202,U202,T202,S202,R202)*'1. Standard_Cost'!$B$31</f>
        <v>0</v>
      </c>
      <c r="AF202" s="127">
        <f>SUM(AE202,AD202,AC202,AB202,Y202,U202,T202,S202,R202)</f>
        <v>0</v>
      </c>
      <c r="AG202" s="126"/>
      <c r="AH202" s="126"/>
      <c r="AI202" s="126"/>
      <c r="AJ202" s="130"/>
      <c r="AK202" s="130"/>
      <c r="AL202" s="130">
        <v>200000000</v>
      </c>
      <c r="AM202" s="127">
        <f>AG202*'1. Standard_Cost'!$B$27+'Incremental_Cost Year 1'!AH202*'1. Standard_Cost'!$C$27+'Incremental_Cost Year 1'!AI202*'1. Standard_Cost'!$D$27+'Incremental_Cost Year 1'!AJ202+'Incremental_Cost Year 1'!AL202+AK202</f>
        <v>200000000</v>
      </c>
      <c r="AN202" s="127"/>
      <c r="AO202" s="130"/>
      <c r="AP202" s="239"/>
      <c r="AQ202" s="171">
        <f>L202+M202</f>
        <v>0</v>
      </c>
      <c r="AR202" s="171">
        <f>AF202</f>
        <v>0</v>
      </c>
      <c r="AS202" s="171">
        <f>AM202+AN202</f>
        <v>200000000</v>
      </c>
      <c r="AT202" s="171">
        <f>SUM(AQ202,AR202,AS202)</f>
        <v>200000000</v>
      </c>
      <c r="AU202" s="250"/>
      <c r="AV202" s="250"/>
      <c r="AW202" s="250">
        <v>200000000</v>
      </c>
      <c r="AX202" s="250"/>
      <c r="AY202" s="250"/>
      <c r="AZ202" s="250"/>
      <c r="BA202" s="250"/>
      <c r="BB202" s="251">
        <f t="shared" si="171"/>
        <v>0</v>
      </c>
    </row>
    <row r="203" spans="1:58" s="74" customFormat="1" ht="47.25" outlineLevel="1" x14ac:dyDescent="0.25">
      <c r="A203" s="115"/>
      <c r="B203" s="165"/>
      <c r="C203" s="166"/>
      <c r="D203" s="212" t="s">
        <v>240</v>
      </c>
      <c r="E203" s="212" t="s">
        <v>245</v>
      </c>
      <c r="F203" s="117">
        <v>2021</v>
      </c>
      <c r="G203" s="117">
        <v>2025</v>
      </c>
      <c r="H203" s="110" t="s">
        <v>186</v>
      </c>
      <c r="I203" s="252"/>
      <c r="J203" s="252"/>
      <c r="K203" s="252"/>
      <c r="L203" s="127">
        <f>SUM(L199:L202)</f>
        <v>5605642.8571428573</v>
      </c>
      <c r="M203" s="127">
        <f>SUM(M199:M202)</f>
        <v>936142.35714285716</v>
      </c>
      <c r="N203" s="252"/>
      <c r="O203" s="252"/>
      <c r="P203" s="252"/>
      <c r="Q203" s="252"/>
      <c r="R203" s="127">
        <f>SUM(R199:R202)</f>
        <v>0</v>
      </c>
      <c r="S203" s="127">
        <f>SUM(S199:S202)</f>
        <v>0</v>
      </c>
      <c r="T203" s="127">
        <f>SUM(T199:T202)</f>
        <v>0</v>
      </c>
      <c r="U203" s="127">
        <f>SUM(U199:U202)</f>
        <v>0</v>
      </c>
      <c r="V203" s="252"/>
      <c r="W203" s="252"/>
      <c r="X203" s="252"/>
      <c r="Y203" s="127">
        <f>SUM(Y199:Y202)</f>
        <v>0</v>
      </c>
      <c r="Z203" s="252"/>
      <c r="AA203" s="252"/>
      <c r="AB203" s="127">
        <f>SUM(AB199:AB202)</f>
        <v>1710000</v>
      </c>
      <c r="AC203" s="127">
        <f>SUM(AC199:AC202)</f>
        <v>24000</v>
      </c>
      <c r="AD203" s="127">
        <f>SUM(AD199:AD202)</f>
        <v>0</v>
      </c>
      <c r="AE203" s="127">
        <f>SUM(AE199:AE202)</f>
        <v>346800</v>
      </c>
      <c r="AF203" s="127">
        <f>SUM(AF199:AF202)</f>
        <v>2080800</v>
      </c>
      <c r="AG203" s="252"/>
      <c r="AH203" s="252"/>
      <c r="AI203" s="252"/>
      <c r="AJ203" s="127">
        <f>SUM(AJ199:AJ202)</f>
        <v>0</v>
      </c>
      <c r="AK203" s="127">
        <f>SUM(AK199:AK202)</f>
        <v>0</v>
      </c>
      <c r="AL203" s="127">
        <f>SUM(AL199:AL202)</f>
        <v>200000000</v>
      </c>
      <c r="AM203" s="127">
        <f>SUM(AM199:AM202)</f>
        <v>200000000</v>
      </c>
      <c r="AN203" s="127">
        <f>SUM(AN199:AN202)</f>
        <v>0</v>
      </c>
      <c r="AO203" s="253"/>
      <c r="AP203" s="254"/>
      <c r="AQ203" s="175">
        <f>SUM(AQ199:AQ202)</f>
        <v>6541785.2142857146</v>
      </c>
      <c r="AR203" s="175">
        <f>SUM(AR199:AR202)</f>
        <v>2080800</v>
      </c>
      <c r="AS203" s="175">
        <f>SUM(AS199:AS202)</f>
        <v>200000000</v>
      </c>
      <c r="AT203" s="175">
        <f>SUM(AT199:AT202)</f>
        <v>208622585.2142857</v>
      </c>
      <c r="AU203" s="175">
        <f t="shared" ref="AU203:BA203" si="172">SUM(AU199:AU202)</f>
        <v>6541785.2142857146</v>
      </c>
      <c r="AV203" s="175">
        <f t="shared" si="172"/>
        <v>0</v>
      </c>
      <c r="AW203" s="175">
        <f t="shared" si="172"/>
        <v>200000000</v>
      </c>
      <c r="AX203" s="175">
        <f t="shared" si="172"/>
        <v>0</v>
      </c>
      <c r="AY203" s="175">
        <f t="shared" si="172"/>
        <v>2080800</v>
      </c>
      <c r="AZ203" s="175">
        <f t="shared" si="172"/>
        <v>0</v>
      </c>
      <c r="BA203" s="175">
        <f t="shared" si="172"/>
        <v>0</v>
      </c>
      <c r="BB203" s="175">
        <f t="shared" ref="BB203" si="173">SUM(BB199:BB202)</f>
        <v>0</v>
      </c>
    </row>
    <row r="204" spans="1:58" s="74" customFormat="1" ht="78.75" outlineLevel="2" x14ac:dyDescent="0.25">
      <c r="A204" s="115"/>
      <c r="B204" s="200"/>
      <c r="C204" s="201"/>
      <c r="D204" s="202"/>
      <c r="E204" s="226"/>
      <c r="F204" s="277"/>
      <c r="G204" s="278"/>
      <c r="H204" s="199" t="s">
        <v>503</v>
      </c>
      <c r="I204" s="130"/>
      <c r="J204" s="126"/>
      <c r="K204" s="126"/>
      <c r="L204" s="125" t="str">
        <f>IF(I204&lt;&gt;0,((VLOOKUP(I204,'1. Standard_Cost'!$B$4:$D$11,2)+VLOOKUP(I204,'1. Standard_Cost'!$B$4:$D$11,3))*J204*K204),"0")</f>
        <v>0</v>
      </c>
      <c r="M204" s="125">
        <f>L204*'1. Standard_Cost'!$F$4</f>
        <v>0</v>
      </c>
      <c r="N204" s="126"/>
      <c r="O204" s="126"/>
      <c r="P204" s="126"/>
      <c r="Q204" s="126"/>
      <c r="R204" s="127">
        <f>'1. Standard_Cost'!$B$15*N204*P204</f>
        <v>0</v>
      </c>
      <c r="S204" s="127">
        <f>N204*O204*P204*'1. Standard_Cost'!$C$15</f>
        <v>0</v>
      </c>
      <c r="T204" s="127">
        <f>N204*P204*Q204*'1. Standard_Cost'!$D$15</f>
        <v>0</v>
      </c>
      <c r="U204" s="127">
        <f>N204*O204*'1. Standard_Cost'!$E$15</f>
        <v>0</v>
      </c>
      <c r="V204" s="126"/>
      <c r="W204" s="126"/>
      <c r="X204" s="126"/>
      <c r="Y204" s="127">
        <f>+V204*((X204*'1. Standard_Cost'!$B$19)+(W204*X204*'1. Standard_Cost'!$C$19))</f>
        <v>0</v>
      </c>
      <c r="Z204" s="126"/>
      <c r="AA204" s="126"/>
      <c r="AB204" s="127">
        <f>+Z204*'1. Standard_Cost'!$B$23+AA204*'1. Standard_Cost'!$C$23</f>
        <v>0</v>
      </c>
      <c r="AC204" s="128"/>
      <c r="AD204" s="129"/>
      <c r="AE204" s="127">
        <f>SUM(AD204,AC204,AB204,Y204,U204,T204,S204,R204)*'1. Standard_Cost'!$B$31</f>
        <v>0</v>
      </c>
      <c r="AF204" s="127">
        <f>SUM(AE204,AD204,AC204,AB204,Y204,U204,T204,S204,R204)</f>
        <v>0</v>
      </c>
      <c r="AG204" s="126"/>
      <c r="AH204" s="126"/>
      <c r="AI204" s="126"/>
      <c r="AJ204" s="130"/>
      <c r="AK204" s="130"/>
      <c r="AL204" s="130">
        <v>20000000</v>
      </c>
      <c r="AM204" s="127">
        <f>AG204*'1. Standard_Cost'!$B$27+'Incremental_Cost Year 1'!AH204*'1. Standard_Cost'!$C$27+'Incremental_Cost Year 1'!AI204*'1. Standard_Cost'!$D$27+'Incremental_Cost Year 1'!AJ204+'Incremental_Cost Year 1'!AL204+AK204</f>
        <v>20000000</v>
      </c>
      <c r="AN204" s="127">
        <f>AM204*'1. Standard_Cost'!$C$31</f>
        <v>3000000</v>
      </c>
      <c r="AO204" s="130"/>
      <c r="AP204" s="239"/>
      <c r="AQ204" s="171">
        <f>L204+M204</f>
        <v>0</v>
      </c>
      <c r="AR204" s="171">
        <f>AF204</f>
        <v>0</v>
      </c>
      <c r="AS204" s="171">
        <f>AM204+AN204</f>
        <v>23000000</v>
      </c>
      <c r="AT204" s="171">
        <f>SUM(AQ204,AR204,AS204)</f>
        <v>23000000</v>
      </c>
      <c r="AU204" s="250"/>
      <c r="AV204" s="250"/>
      <c r="AW204" s="250">
        <f>AT204</f>
        <v>23000000</v>
      </c>
      <c r="AX204" s="250"/>
      <c r="AY204" s="250"/>
      <c r="AZ204" s="250"/>
      <c r="BA204" s="250"/>
      <c r="BB204" s="251">
        <f t="shared" ref="BB204:BB208" si="174">SUM(AU204:BA204)-AT204</f>
        <v>0</v>
      </c>
    </row>
    <row r="205" spans="1:58" s="74" customFormat="1" ht="47.25" outlineLevel="2" x14ac:dyDescent="0.25">
      <c r="A205" s="115"/>
      <c r="B205" s="200"/>
      <c r="C205" s="201"/>
      <c r="D205" s="202"/>
      <c r="E205" s="202"/>
      <c r="F205" s="219"/>
      <c r="G205" s="313"/>
      <c r="H205" s="199" t="s">
        <v>504</v>
      </c>
      <c r="I205" s="130"/>
      <c r="J205" s="126"/>
      <c r="K205" s="126"/>
      <c r="L205" s="125" t="str">
        <f>IF(I205&lt;&gt;0,((VLOOKUP(I205,'1. Standard_Cost'!$B$4:$D$11,2)+VLOOKUP(I205,'1. Standard_Cost'!$B$4:$D$11,3))*J205*K205),"0")</f>
        <v>0</v>
      </c>
      <c r="M205" s="125">
        <f>L205*'1. Standard_Cost'!$F$4</f>
        <v>0</v>
      </c>
      <c r="N205" s="126"/>
      <c r="O205" s="126"/>
      <c r="P205" s="126"/>
      <c r="Q205" s="126"/>
      <c r="R205" s="127">
        <f>'1. Standard_Cost'!$B$15*N205*P205</f>
        <v>0</v>
      </c>
      <c r="S205" s="127">
        <f>N205*O205*P205*'1. Standard_Cost'!$C$15</f>
        <v>0</v>
      </c>
      <c r="T205" s="127">
        <f>N205*P205*Q205*'1. Standard_Cost'!$D$15</f>
        <v>0</v>
      </c>
      <c r="U205" s="127">
        <f>N205*O205*'1. Standard_Cost'!$E$15</f>
        <v>0</v>
      </c>
      <c r="V205" s="126"/>
      <c r="W205" s="126"/>
      <c r="X205" s="126"/>
      <c r="Y205" s="127">
        <f>+V205*((X205*'1. Standard_Cost'!$B$19)+(W205*X205*'1. Standard_Cost'!$C$19))</f>
        <v>0</v>
      </c>
      <c r="Z205" s="126"/>
      <c r="AA205" s="126"/>
      <c r="AB205" s="127">
        <f>+Z205*'1. Standard_Cost'!$B$23+AA205*'1. Standard_Cost'!$C$23</f>
        <v>0</v>
      </c>
      <c r="AC205" s="128">
        <v>0</v>
      </c>
      <c r="AD205" s="129"/>
      <c r="AE205" s="127">
        <f>SUM(AD205,AC205,AB205,Y205,U205,T205,S205,R205)*'1. Standard_Cost'!$B$31</f>
        <v>0</v>
      </c>
      <c r="AF205" s="127">
        <f>SUM(AE205,AD205,AC205,AB205,Y205,U205,T205,S205,R205)</f>
        <v>0</v>
      </c>
      <c r="AG205" s="126"/>
      <c r="AH205" s="126"/>
      <c r="AI205" s="126"/>
      <c r="AJ205" s="130"/>
      <c r="AK205" s="130"/>
      <c r="AL205" s="130"/>
      <c r="AM205" s="127">
        <f>AG205*'1. Standard_Cost'!$B$27+'Incremental_Cost Year 1'!AH205*'1. Standard_Cost'!$C$27+'Incremental_Cost Year 1'!AI205*'1. Standard_Cost'!$D$27+'Incremental_Cost Year 1'!AJ205+'Incremental_Cost Year 1'!AL205+AK205</f>
        <v>0</v>
      </c>
      <c r="AN205" s="127">
        <f>AM205*'1. Standard_Cost'!$C$31</f>
        <v>0</v>
      </c>
      <c r="AO205" s="130"/>
      <c r="AP205" s="239"/>
      <c r="AQ205" s="171">
        <f>L205+M205</f>
        <v>0</v>
      </c>
      <c r="AR205" s="171">
        <f>AF205</f>
        <v>0</v>
      </c>
      <c r="AS205" s="171">
        <f>AM205+AN205</f>
        <v>0</v>
      </c>
      <c r="AT205" s="171">
        <f>SUM(AQ205,AR205,AS205)</f>
        <v>0</v>
      </c>
      <c r="AU205" s="250">
        <f>AT205</f>
        <v>0</v>
      </c>
      <c r="AV205" s="250"/>
      <c r="AW205" s="250"/>
      <c r="AX205" s="250"/>
      <c r="AY205" s="250"/>
      <c r="AZ205" s="250"/>
      <c r="BA205" s="250"/>
      <c r="BB205" s="251">
        <f t="shared" si="174"/>
        <v>0</v>
      </c>
    </row>
    <row r="206" spans="1:58" s="74" customFormat="1" ht="63" outlineLevel="2" x14ac:dyDescent="0.25">
      <c r="A206" s="115"/>
      <c r="B206" s="200"/>
      <c r="C206" s="201"/>
      <c r="D206" s="202"/>
      <c r="E206" s="202"/>
      <c r="F206" s="308"/>
      <c r="G206" s="309"/>
      <c r="H206" s="199" t="s">
        <v>246</v>
      </c>
      <c r="I206" s="130"/>
      <c r="J206" s="126"/>
      <c r="K206" s="126"/>
      <c r="L206" s="125" t="str">
        <f>IF(I206&lt;&gt;0,((VLOOKUP(I206,'1. Standard_Cost'!$B$4:$D$11,2)+VLOOKUP(I206,'1. Standard_Cost'!$B$4:$D$11,3))*J206*K206),"0")</f>
        <v>0</v>
      </c>
      <c r="M206" s="125">
        <f>L206*'1. Standard_Cost'!$F$4</f>
        <v>0</v>
      </c>
      <c r="N206" s="126"/>
      <c r="O206" s="126"/>
      <c r="P206" s="126"/>
      <c r="Q206" s="126"/>
      <c r="R206" s="127">
        <f>'1. Standard_Cost'!$B$15*N206*P206</f>
        <v>0</v>
      </c>
      <c r="S206" s="127">
        <f>N206*O206*P206*'1. Standard_Cost'!$C$15</f>
        <v>0</v>
      </c>
      <c r="T206" s="127">
        <f>N206*P206*Q206*'1. Standard_Cost'!$D$15</f>
        <v>0</v>
      </c>
      <c r="U206" s="127">
        <f>N206*O206*'1. Standard_Cost'!$E$15</f>
        <v>0</v>
      </c>
      <c r="V206" s="126"/>
      <c r="W206" s="126"/>
      <c r="X206" s="126"/>
      <c r="Y206" s="127">
        <f>+V206*((X206*'1. Standard_Cost'!$B$19)+(W206*X206*'1. Standard_Cost'!$C$19))</f>
        <v>0</v>
      </c>
      <c r="Z206" s="126"/>
      <c r="AA206" s="126"/>
      <c r="AB206" s="127">
        <f>+Z206*'1. Standard_Cost'!$B$23+AA206*'1. Standard_Cost'!$C$23</f>
        <v>0</v>
      </c>
      <c r="AC206" s="128"/>
      <c r="AD206" s="129"/>
      <c r="AE206" s="127">
        <f>SUM(AD206,AC206,AB206,Y206,U206,T206,S206,R206)*'1. Standard_Cost'!$B$31</f>
        <v>0</v>
      </c>
      <c r="AF206" s="127">
        <f>SUM(AE206,AD206,AC206,AB206,Y206,U206,T206,S206,R206)</f>
        <v>0</v>
      </c>
      <c r="AG206" s="126"/>
      <c r="AH206" s="126"/>
      <c r="AI206" s="126"/>
      <c r="AJ206" s="130"/>
      <c r="AK206" s="130"/>
      <c r="AL206" s="130"/>
      <c r="AM206" s="127">
        <f>AG206*'1. Standard_Cost'!$B$27+'Incremental_Cost Year 1'!AH206*'1. Standard_Cost'!$C$27+'Incremental_Cost Year 1'!AI206*'1. Standard_Cost'!$D$27+'Incremental_Cost Year 1'!AJ206+'Incremental_Cost Year 1'!AL206+AK206</f>
        <v>0</v>
      </c>
      <c r="AN206" s="127">
        <f>AM206*'1. Standard_Cost'!$C$31</f>
        <v>0</v>
      </c>
      <c r="AO206" s="130"/>
      <c r="AP206" s="239"/>
      <c r="AQ206" s="171">
        <f>L206+M206</f>
        <v>0</v>
      </c>
      <c r="AR206" s="171">
        <f>AF206</f>
        <v>0</v>
      </c>
      <c r="AS206" s="171">
        <f>AM206+AN206</f>
        <v>0</v>
      </c>
      <c r="AT206" s="171">
        <f>SUM(AQ206,AR206,AS206)</f>
        <v>0</v>
      </c>
      <c r="AU206" s="250"/>
      <c r="AV206" s="250"/>
      <c r="AW206" s="250"/>
      <c r="AX206" s="250"/>
      <c r="AY206" s="250"/>
      <c r="AZ206" s="250"/>
      <c r="BA206" s="250"/>
      <c r="BB206" s="251">
        <f t="shared" si="174"/>
        <v>0</v>
      </c>
    </row>
    <row r="207" spans="1:58" s="74" customFormat="1" ht="63" outlineLevel="2" x14ac:dyDescent="0.25">
      <c r="A207" s="115"/>
      <c r="B207" s="200"/>
      <c r="C207" s="201"/>
      <c r="D207" s="202"/>
      <c r="E207" s="202"/>
      <c r="F207" s="308"/>
      <c r="G207" s="309"/>
      <c r="H207" s="199" t="s">
        <v>505</v>
      </c>
      <c r="I207" s="130"/>
      <c r="J207" s="126"/>
      <c r="K207" s="126"/>
      <c r="L207" s="125" t="str">
        <f>IF(I207&lt;&gt;0,((VLOOKUP(I207,'1. Standard_Cost'!$B$4:$D$11,2)+VLOOKUP(I207,'1. Standard_Cost'!$B$4:$D$11,3))*J207*K207),"0")</f>
        <v>0</v>
      </c>
      <c r="M207" s="125">
        <f>L207*'1. Standard_Cost'!$F$4</f>
        <v>0</v>
      </c>
      <c r="N207" s="126"/>
      <c r="O207" s="126"/>
      <c r="P207" s="126"/>
      <c r="Q207" s="126"/>
      <c r="R207" s="127">
        <f>'1. Standard_Cost'!$B$15*N207*P207</f>
        <v>0</v>
      </c>
      <c r="S207" s="127">
        <f>N207*O207*P207*'1. Standard_Cost'!$C$15</f>
        <v>0</v>
      </c>
      <c r="T207" s="127">
        <f>N207*P207*Q207*'1. Standard_Cost'!$D$15</f>
        <v>0</v>
      </c>
      <c r="U207" s="127">
        <f>N207*O207*'1. Standard_Cost'!$E$15</f>
        <v>0</v>
      </c>
      <c r="V207" s="126"/>
      <c r="W207" s="126"/>
      <c r="X207" s="126"/>
      <c r="Y207" s="127">
        <f>+V207*((X207*'1. Standard_Cost'!$B$19)+(W207*X207*'1. Standard_Cost'!$C$19))</f>
        <v>0</v>
      </c>
      <c r="Z207" s="126"/>
      <c r="AA207" s="126"/>
      <c r="AB207" s="127">
        <f>+Z207*'1. Standard_Cost'!$B$23+AA207*'1. Standard_Cost'!$C$23</f>
        <v>0</v>
      </c>
      <c r="AC207" s="128"/>
      <c r="AD207" s="129"/>
      <c r="AE207" s="127">
        <f>SUM(AD207,AC207,AB207,Y207,U207,T207,S207,R207)*'1. Standard_Cost'!$B$31</f>
        <v>0</v>
      </c>
      <c r="AF207" s="127">
        <f>SUM(AE207,AD207,AC207,AB207,Y207,U207,T207,S207,R207)</f>
        <v>0</v>
      </c>
      <c r="AG207" s="126"/>
      <c r="AH207" s="126"/>
      <c r="AI207" s="126"/>
      <c r="AJ207" s="130"/>
      <c r="AK207" s="130"/>
      <c r="AL207" s="130"/>
      <c r="AM207" s="127">
        <f>AG207*'1. Standard_Cost'!$B$27+'Incremental_Cost Year 1'!AH207*'1. Standard_Cost'!$C$27+'Incremental_Cost Year 1'!AI207*'1. Standard_Cost'!$D$27+'Incremental_Cost Year 1'!AJ207+'Incremental_Cost Year 1'!AL207+AK207</f>
        <v>0</v>
      </c>
      <c r="AN207" s="127">
        <f>AM207*'1. Standard_Cost'!$C$31</f>
        <v>0</v>
      </c>
      <c r="AO207" s="130"/>
      <c r="AP207" s="239"/>
      <c r="AQ207" s="171">
        <f>L207+M207</f>
        <v>0</v>
      </c>
      <c r="AR207" s="171">
        <f>AF207</f>
        <v>0</v>
      </c>
      <c r="AS207" s="171">
        <f>AM207+AN207</f>
        <v>0</v>
      </c>
      <c r="AT207" s="171">
        <f>SUM(AQ207,AR207,AS207)</f>
        <v>0</v>
      </c>
      <c r="AU207" s="250"/>
      <c r="AV207" s="250"/>
      <c r="AW207" s="250"/>
      <c r="AX207" s="250"/>
      <c r="AY207" s="250"/>
      <c r="AZ207" s="250"/>
      <c r="BA207" s="250"/>
      <c r="BB207" s="251">
        <f t="shared" si="174"/>
        <v>0</v>
      </c>
    </row>
    <row r="208" spans="1:58" s="74" customFormat="1" ht="63" outlineLevel="2" x14ac:dyDescent="0.25">
      <c r="A208" s="115"/>
      <c r="B208" s="200"/>
      <c r="C208" s="201"/>
      <c r="D208" s="202"/>
      <c r="E208" s="310"/>
      <c r="F208" s="311"/>
      <c r="G208" s="312"/>
      <c r="H208" s="199" t="s">
        <v>506</v>
      </c>
      <c r="I208" s="130"/>
      <c r="J208" s="126"/>
      <c r="K208" s="126"/>
      <c r="L208" s="125" t="str">
        <f>IF(I208&lt;&gt;0,((VLOOKUP(I208,'1. Standard_Cost'!$B$4:$D$11,2)+VLOOKUP(I208,'1. Standard_Cost'!$B$4:$D$11,3))*J208*K208),"0")</f>
        <v>0</v>
      </c>
      <c r="M208" s="125">
        <f>L208*'1. Standard_Cost'!$F$4</f>
        <v>0</v>
      </c>
      <c r="N208" s="126"/>
      <c r="O208" s="126"/>
      <c r="P208" s="126"/>
      <c r="Q208" s="126"/>
      <c r="R208" s="127">
        <f>'1. Standard_Cost'!$B$15*N208*P208</f>
        <v>0</v>
      </c>
      <c r="S208" s="127">
        <f>N208*O208*P208*'1. Standard_Cost'!$C$15</f>
        <v>0</v>
      </c>
      <c r="T208" s="127">
        <f>N208*P208*Q208*'1. Standard_Cost'!$D$15</f>
        <v>0</v>
      </c>
      <c r="U208" s="127">
        <f>N208*O208*'1. Standard_Cost'!$E$15</f>
        <v>0</v>
      </c>
      <c r="V208" s="126"/>
      <c r="W208" s="126"/>
      <c r="X208" s="126"/>
      <c r="Y208" s="127">
        <f>+V208*((X208*'1. Standard_Cost'!$B$19)+(W208*X208*'1. Standard_Cost'!$C$19))</f>
        <v>0</v>
      </c>
      <c r="Z208" s="126"/>
      <c r="AA208" s="126"/>
      <c r="AB208" s="127">
        <f>+Z208*'1. Standard_Cost'!$B$23+AA208*'1. Standard_Cost'!$C$23</f>
        <v>0</v>
      </c>
      <c r="AC208" s="128"/>
      <c r="AD208" s="129"/>
      <c r="AE208" s="127">
        <f>SUM(AD208,AC208,AB208,Y208,U208,T208,S208,R208)*'1. Standard_Cost'!$B$31</f>
        <v>0</v>
      </c>
      <c r="AF208" s="127">
        <f>SUM(AE208,AD208,AC208,AB208,Y208,U208,T208,S208,R208)</f>
        <v>0</v>
      </c>
      <c r="AG208" s="126"/>
      <c r="AH208" s="126"/>
      <c r="AI208" s="126"/>
      <c r="AJ208" s="130"/>
      <c r="AK208" s="130"/>
      <c r="AL208" s="130"/>
      <c r="AM208" s="127">
        <f>AG208*'1. Standard_Cost'!$B$27+'Incremental_Cost Year 1'!AH208*'1. Standard_Cost'!$C$27+'Incremental_Cost Year 1'!AI208*'1. Standard_Cost'!$D$27+'Incremental_Cost Year 1'!AJ208+'Incremental_Cost Year 1'!AL208+AK208</f>
        <v>0</v>
      </c>
      <c r="AN208" s="127">
        <f>AM208*'1. Standard_Cost'!$C$31</f>
        <v>0</v>
      </c>
      <c r="AO208" s="130"/>
      <c r="AP208" s="239"/>
      <c r="AQ208" s="171">
        <f>L208+M208</f>
        <v>0</v>
      </c>
      <c r="AR208" s="171">
        <f>AF208</f>
        <v>0</v>
      </c>
      <c r="AS208" s="171">
        <f>AM208+AN208</f>
        <v>0</v>
      </c>
      <c r="AT208" s="171">
        <f>SUM(AQ208,AR208,AS208)</f>
        <v>0</v>
      </c>
      <c r="AU208" s="250"/>
      <c r="AV208" s="250"/>
      <c r="AW208" s="250"/>
      <c r="AX208" s="250"/>
      <c r="AY208" s="250"/>
      <c r="AZ208" s="250"/>
      <c r="BA208" s="250"/>
      <c r="BB208" s="251">
        <f t="shared" si="174"/>
        <v>0</v>
      </c>
    </row>
    <row r="209" spans="1:54" s="74" customFormat="1" ht="63" outlineLevel="1" x14ac:dyDescent="0.25">
      <c r="A209" s="115"/>
      <c r="B209" s="165"/>
      <c r="C209" s="166"/>
      <c r="D209" s="150" t="s">
        <v>507</v>
      </c>
      <c r="E209" s="212" t="s">
        <v>247</v>
      </c>
      <c r="F209" s="311">
        <v>2021</v>
      </c>
      <c r="G209" s="312">
        <v>2025</v>
      </c>
      <c r="H209" s="110" t="s">
        <v>187</v>
      </c>
      <c r="I209" s="252"/>
      <c r="J209" s="252"/>
      <c r="K209" s="252"/>
      <c r="L209" s="127">
        <f>SUM(L204:L208)</f>
        <v>0</v>
      </c>
      <c r="M209" s="127">
        <f>SUM(M204:M208)</f>
        <v>0</v>
      </c>
      <c r="N209" s="252"/>
      <c r="O209" s="252"/>
      <c r="P209" s="252"/>
      <c r="Q209" s="252"/>
      <c r="R209" s="127">
        <f t="shared" ref="R209:U209" si="175">SUM(R204:R208)</f>
        <v>0</v>
      </c>
      <c r="S209" s="127">
        <f t="shared" si="175"/>
        <v>0</v>
      </c>
      <c r="T209" s="127">
        <f t="shared" si="175"/>
        <v>0</v>
      </c>
      <c r="U209" s="127">
        <f t="shared" si="175"/>
        <v>0</v>
      </c>
      <c r="V209" s="252"/>
      <c r="W209" s="252"/>
      <c r="X209" s="252"/>
      <c r="Y209" s="127">
        <f>SUM(Y204:Y208)</f>
        <v>0</v>
      </c>
      <c r="Z209" s="252"/>
      <c r="AA209" s="252"/>
      <c r="AB209" s="127">
        <f t="shared" ref="AB209:AF209" si="176">SUM(AB204:AB208)</f>
        <v>0</v>
      </c>
      <c r="AC209" s="127">
        <f t="shared" si="176"/>
        <v>0</v>
      </c>
      <c r="AD209" s="127">
        <f t="shared" si="176"/>
        <v>0</v>
      </c>
      <c r="AE209" s="127">
        <f t="shared" si="176"/>
        <v>0</v>
      </c>
      <c r="AF209" s="127">
        <f t="shared" si="176"/>
        <v>0</v>
      </c>
      <c r="AG209" s="252"/>
      <c r="AH209" s="252"/>
      <c r="AI209" s="252"/>
      <c r="AJ209" s="127">
        <f t="shared" ref="AJ209:AN209" si="177">SUM(AJ204:AJ208)</f>
        <v>0</v>
      </c>
      <c r="AK209" s="127">
        <f t="shared" si="177"/>
        <v>0</v>
      </c>
      <c r="AL209" s="127">
        <f t="shared" si="177"/>
        <v>20000000</v>
      </c>
      <c r="AM209" s="127">
        <f t="shared" si="177"/>
        <v>20000000</v>
      </c>
      <c r="AN209" s="127">
        <f t="shared" si="177"/>
        <v>3000000</v>
      </c>
      <c r="AO209" s="253"/>
      <c r="AP209" s="254"/>
      <c r="AQ209" s="127">
        <f t="shared" ref="AQ209:BB209" si="178">SUM(AQ204:AQ208)</f>
        <v>0</v>
      </c>
      <c r="AR209" s="127">
        <f t="shared" si="178"/>
        <v>0</v>
      </c>
      <c r="AS209" s="127">
        <f t="shared" si="178"/>
        <v>23000000</v>
      </c>
      <c r="AT209" s="127">
        <f t="shared" si="178"/>
        <v>23000000</v>
      </c>
      <c r="AU209" s="127">
        <f t="shared" si="178"/>
        <v>0</v>
      </c>
      <c r="AV209" s="127">
        <f t="shared" si="178"/>
        <v>0</v>
      </c>
      <c r="AW209" s="127">
        <f t="shared" si="178"/>
        <v>23000000</v>
      </c>
      <c r="AX209" s="127">
        <f t="shared" si="178"/>
        <v>0</v>
      </c>
      <c r="AY209" s="127">
        <f t="shared" si="178"/>
        <v>0</v>
      </c>
      <c r="AZ209" s="127">
        <f t="shared" si="178"/>
        <v>0</v>
      </c>
      <c r="BA209" s="127">
        <f t="shared" si="178"/>
        <v>0</v>
      </c>
      <c r="BB209" s="127">
        <f t="shared" si="178"/>
        <v>0</v>
      </c>
    </row>
    <row r="210" spans="1:54" s="74" customFormat="1" ht="126" outlineLevel="2" x14ac:dyDescent="0.25">
      <c r="A210" s="115"/>
      <c r="B210" s="200"/>
      <c r="C210" s="201"/>
      <c r="D210" s="202"/>
      <c r="E210" s="226"/>
      <c r="F210" s="277"/>
      <c r="G210" s="278"/>
      <c r="H210" s="199" t="s">
        <v>508</v>
      </c>
      <c r="I210" s="130"/>
      <c r="J210" s="126"/>
      <c r="K210" s="126"/>
      <c r="L210" s="125" t="str">
        <f>IF(I210&lt;&gt;0,((VLOOKUP(I210,'1. Standard_Cost'!$B$4:$D$11,2)+VLOOKUP(I210,'1. Standard_Cost'!$B$4:$D$11,3))*J210*K210),"0")</f>
        <v>0</v>
      </c>
      <c r="M210" s="125">
        <f>L210*'1. Standard_Cost'!$F$4</f>
        <v>0</v>
      </c>
      <c r="N210" s="126"/>
      <c r="O210" s="126"/>
      <c r="P210" s="126"/>
      <c r="Q210" s="126"/>
      <c r="R210" s="127">
        <f>'1. Standard_Cost'!$B$15*N210*P210</f>
        <v>0</v>
      </c>
      <c r="S210" s="127">
        <f>N210*O210*P210*'1. Standard_Cost'!$C$15</f>
        <v>0</v>
      </c>
      <c r="T210" s="127">
        <f>N210*P210*Q210*'1. Standard_Cost'!$D$15</f>
        <v>0</v>
      </c>
      <c r="U210" s="127">
        <f>N210*O210*'1. Standard_Cost'!$E$15</f>
        <v>0</v>
      </c>
      <c r="V210" s="126"/>
      <c r="W210" s="126"/>
      <c r="X210" s="126"/>
      <c r="Y210" s="127">
        <f>+V210*((X210*'1. Standard_Cost'!$B$19)+(W210*X210*'1. Standard_Cost'!$C$19))</f>
        <v>0</v>
      </c>
      <c r="Z210" s="126"/>
      <c r="AA210" s="126"/>
      <c r="AB210" s="127">
        <f>+Z210*'1. Standard_Cost'!$B$23+AA210*'1. Standard_Cost'!$C$23</f>
        <v>0</v>
      </c>
      <c r="AC210" s="128"/>
      <c r="AD210" s="129"/>
      <c r="AE210" s="127">
        <f>SUM(AD210,AC210,AB210,Y210,U210,T210,S210,R210)*'1. Standard_Cost'!$B$31</f>
        <v>0</v>
      </c>
      <c r="AF210" s="127">
        <f>SUM(AE210,AD210,AC210,AB210,Y210,U210,T210,S210,R210)</f>
        <v>0</v>
      </c>
      <c r="AG210" s="126"/>
      <c r="AH210" s="126"/>
      <c r="AI210" s="126"/>
      <c r="AJ210" s="130"/>
      <c r="AK210" s="130"/>
      <c r="AL210" s="130"/>
      <c r="AM210" s="127">
        <f>AG210*'1. Standard_Cost'!$B$27+'Incremental_Cost Year 1'!AH210*'1. Standard_Cost'!$C$27+'Incremental_Cost Year 1'!AI210*'1. Standard_Cost'!$D$27+'Incremental_Cost Year 1'!AJ210+'Incremental_Cost Year 1'!AL210+AK210</f>
        <v>0</v>
      </c>
      <c r="AN210" s="127">
        <f>AM210*'1. Standard_Cost'!$C$31</f>
        <v>0</v>
      </c>
      <c r="AO210" s="130"/>
      <c r="AP210" s="239"/>
      <c r="AQ210" s="171">
        <f>L210+M210</f>
        <v>0</v>
      </c>
      <c r="AR210" s="171">
        <f>AF210</f>
        <v>0</v>
      </c>
      <c r="AS210" s="171">
        <f>AM210+AN210</f>
        <v>0</v>
      </c>
      <c r="AT210" s="171">
        <f>SUM(AQ210,AR210,AS210)</f>
        <v>0</v>
      </c>
      <c r="AU210" s="250"/>
      <c r="AV210" s="250"/>
      <c r="AW210" s="250"/>
      <c r="AX210" s="250"/>
      <c r="AY210" s="250"/>
      <c r="AZ210" s="250"/>
      <c r="BA210" s="250"/>
      <c r="BB210" s="251">
        <f t="shared" ref="BB210:BB211" si="179">SUM(AU210:BA210)-AT210</f>
        <v>0</v>
      </c>
    </row>
    <row r="211" spans="1:54" s="74" customFormat="1" ht="126" outlineLevel="2" x14ac:dyDescent="0.25">
      <c r="A211" s="115"/>
      <c r="B211" s="200"/>
      <c r="C211" s="201"/>
      <c r="D211" s="202"/>
      <c r="E211" s="310"/>
      <c r="F211" s="122"/>
      <c r="G211" s="123"/>
      <c r="H211" s="199" t="s">
        <v>509</v>
      </c>
      <c r="I211" s="130"/>
      <c r="J211" s="126"/>
      <c r="K211" s="126"/>
      <c r="L211" s="125" t="str">
        <f>IF(I211&lt;&gt;0,((VLOOKUP(I211,'1. Standard_Cost'!$B$4:$D$11,2)+VLOOKUP(I211,'1. Standard_Cost'!$B$4:$D$11,3))*J211*K211),"0")</f>
        <v>0</v>
      </c>
      <c r="M211" s="125">
        <f>L211*'1. Standard_Cost'!$F$4</f>
        <v>0</v>
      </c>
      <c r="N211" s="126"/>
      <c r="O211" s="126"/>
      <c r="P211" s="126"/>
      <c r="Q211" s="126"/>
      <c r="R211" s="127">
        <f>'1. Standard_Cost'!$B$15*N211*P211</f>
        <v>0</v>
      </c>
      <c r="S211" s="127">
        <f>N211*O211*P211*'1. Standard_Cost'!$C$15</f>
        <v>0</v>
      </c>
      <c r="T211" s="127">
        <f>N211*P211*Q211*'1. Standard_Cost'!$D$15</f>
        <v>0</v>
      </c>
      <c r="U211" s="127">
        <f>N211*O211*'1. Standard_Cost'!$E$15</f>
        <v>0</v>
      </c>
      <c r="V211" s="126"/>
      <c r="W211" s="126"/>
      <c r="X211" s="126"/>
      <c r="Y211" s="127">
        <f>+V211*((X211*'1. Standard_Cost'!$B$19)+(W211*X211*'1. Standard_Cost'!$C$19))</f>
        <v>0</v>
      </c>
      <c r="Z211" s="126"/>
      <c r="AA211" s="126"/>
      <c r="AB211" s="127">
        <f>+Z211*'1. Standard_Cost'!$B$23+AA211*'1. Standard_Cost'!$C$23</f>
        <v>0</v>
      </c>
      <c r="AC211" s="128"/>
      <c r="AD211" s="129"/>
      <c r="AE211" s="127">
        <f>SUM(AD211,AC211,AB211,Y211,U211,T211,S211,R211)*'1. Standard_Cost'!$B$31</f>
        <v>0</v>
      </c>
      <c r="AF211" s="127">
        <f>SUM(AE211,AD211,AC211,AB211,Y211,U211,T211,S211,R211)</f>
        <v>0</v>
      </c>
      <c r="AG211" s="126"/>
      <c r="AH211" s="126"/>
      <c r="AI211" s="126"/>
      <c r="AJ211" s="130"/>
      <c r="AK211" s="130"/>
      <c r="AL211" s="130"/>
      <c r="AM211" s="127">
        <f>AG211*'1. Standard_Cost'!$B$27+'Incremental_Cost Year 1'!AH211*'1. Standard_Cost'!$C$27+'Incremental_Cost Year 1'!AI211*'1. Standard_Cost'!$D$27+'Incremental_Cost Year 1'!AJ211+'Incremental_Cost Year 1'!AL211+AK211</f>
        <v>0</v>
      </c>
      <c r="AN211" s="127">
        <f>AM211*'1. Standard_Cost'!$C$31</f>
        <v>0</v>
      </c>
      <c r="AO211" s="130"/>
      <c r="AP211" s="239"/>
      <c r="AQ211" s="171">
        <f>L211+M211</f>
        <v>0</v>
      </c>
      <c r="AR211" s="171">
        <f>AF211</f>
        <v>0</v>
      </c>
      <c r="AS211" s="171">
        <f>AM211+AN211</f>
        <v>0</v>
      </c>
      <c r="AT211" s="171">
        <f>SUM(AQ211,AR211,AS211)</f>
        <v>0</v>
      </c>
      <c r="AU211" s="250"/>
      <c r="AV211" s="250"/>
      <c r="AW211" s="250"/>
      <c r="AX211" s="250"/>
      <c r="AY211" s="250"/>
      <c r="AZ211" s="250"/>
      <c r="BA211" s="250"/>
      <c r="BB211" s="251">
        <f t="shared" si="179"/>
        <v>0</v>
      </c>
    </row>
    <row r="212" spans="1:54" s="74" customFormat="1" ht="47.25" outlineLevel="1" x14ac:dyDescent="0.25">
      <c r="A212" s="115"/>
      <c r="B212" s="165"/>
      <c r="C212" s="166"/>
      <c r="D212" s="107" t="s">
        <v>233</v>
      </c>
      <c r="E212" s="212" t="s">
        <v>248</v>
      </c>
      <c r="F212" s="136">
        <v>2022</v>
      </c>
      <c r="G212" s="117">
        <v>2025</v>
      </c>
      <c r="H212" s="110" t="s">
        <v>188</v>
      </c>
      <c r="I212" s="252"/>
      <c r="J212" s="252"/>
      <c r="K212" s="252"/>
      <c r="L212" s="127">
        <f>SUM(L210:L211)</f>
        <v>0</v>
      </c>
      <c r="M212" s="127">
        <f>SUM(M210:M211)</f>
        <v>0</v>
      </c>
      <c r="N212" s="252"/>
      <c r="O212" s="252"/>
      <c r="P212" s="252"/>
      <c r="Q212" s="252"/>
      <c r="R212" s="127">
        <f>SUM(R210:R211)</f>
        <v>0</v>
      </c>
      <c r="S212" s="127">
        <f>SUM(S210:S211)</f>
        <v>0</v>
      </c>
      <c r="T212" s="127">
        <f>SUM(T210:T211)</f>
        <v>0</v>
      </c>
      <c r="U212" s="127">
        <f>SUM(U210:U211)</f>
        <v>0</v>
      </c>
      <c r="V212" s="252"/>
      <c r="W212" s="252"/>
      <c r="X212" s="252"/>
      <c r="Y212" s="127">
        <f>SUM(Y210:Y211)</f>
        <v>0</v>
      </c>
      <c r="Z212" s="252"/>
      <c r="AA212" s="252"/>
      <c r="AB212" s="127">
        <f>SUM(AB210:AB211)</f>
        <v>0</v>
      </c>
      <c r="AC212" s="127">
        <f>SUM(AC210:AC211)</f>
        <v>0</v>
      </c>
      <c r="AD212" s="127">
        <f>SUM(AD210:AD211)</f>
        <v>0</v>
      </c>
      <c r="AE212" s="127">
        <f>SUM(AE210:AE211)</f>
        <v>0</v>
      </c>
      <c r="AF212" s="127">
        <f>SUM(AF210:AF211)</f>
        <v>0</v>
      </c>
      <c r="AG212" s="252"/>
      <c r="AH212" s="252"/>
      <c r="AI212" s="252"/>
      <c r="AJ212" s="127">
        <f>SUM(AJ210:AJ211)</f>
        <v>0</v>
      </c>
      <c r="AK212" s="127">
        <f>SUM(AK210:AK211)</f>
        <v>0</v>
      </c>
      <c r="AL212" s="127">
        <f>SUM(AL210:AL211)</f>
        <v>0</v>
      </c>
      <c r="AM212" s="127">
        <f>SUM(AM210:AM211)</f>
        <v>0</v>
      </c>
      <c r="AN212" s="127">
        <f>SUM(AN210:AN211)</f>
        <v>0</v>
      </c>
      <c r="AO212" s="253"/>
      <c r="AP212" s="254"/>
      <c r="AQ212" s="175">
        <f>SUM(AQ210:AQ211)</f>
        <v>0</v>
      </c>
      <c r="AR212" s="175">
        <f>SUM(AR210:AR211)</f>
        <v>0</v>
      </c>
      <c r="AS212" s="175">
        <f>SUM(AS210:AS211)</f>
        <v>0</v>
      </c>
      <c r="AT212" s="175">
        <f>SUM(AT210:AT211)</f>
        <v>0</v>
      </c>
      <c r="AU212" s="175">
        <f t="shared" ref="AU212:BA212" si="180">SUM(AU210:AU211)</f>
        <v>0</v>
      </c>
      <c r="AV212" s="175">
        <f t="shared" si="180"/>
        <v>0</v>
      </c>
      <c r="AW212" s="175">
        <f t="shared" si="180"/>
        <v>0</v>
      </c>
      <c r="AX212" s="175">
        <f t="shared" si="180"/>
        <v>0</v>
      </c>
      <c r="AY212" s="175">
        <f t="shared" si="180"/>
        <v>0</v>
      </c>
      <c r="AZ212" s="175">
        <f t="shared" si="180"/>
        <v>0</v>
      </c>
      <c r="BA212" s="175">
        <f t="shared" si="180"/>
        <v>0</v>
      </c>
      <c r="BB212" s="175">
        <f t="shared" ref="BB212" si="181">SUM(BB210:BB211)</f>
        <v>0</v>
      </c>
    </row>
    <row r="213" spans="1:54" s="76" customFormat="1" ht="50.45" customHeight="1" x14ac:dyDescent="0.25">
      <c r="A213" s="143"/>
      <c r="B213" s="332"/>
      <c r="C213" s="397" t="s">
        <v>249</v>
      </c>
      <c r="D213" s="397"/>
      <c r="E213" s="398"/>
      <c r="F213" s="284"/>
      <c r="G213" s="340"/>
      <c r="H213" s="144" t="s">
        <v>299</v>
      </c>
      <c r="I213" s="257"/>
      <c r="J213" s="257"/>
      <c r="K213" s="257"/>
      <c r="L213" s="258">
        <f>SUM(L220)</f>
        <v>162586871.42857143</v>
      </c>
      <c r="M213" s="258">
        <f>SUM(M220)</f>
        <v>27152007.528571434</v>
      </c>
      <c r="N213" s="257"/>
      <c r="O213" s="257"/>
      <c r="P213" s="257"/>
      <c r="Q213" s="257"/>
      <c r="R213" s="258">
        <f>SUM(R220)</f>
        <v>0</v>
      </c>
      <c r="S213" s="258">
        <f>SUM(S220)</f>
        <v>0</v>
      </c>
      <c r="T213" s="258">
        <f>SUM(T220)</f>
        <v>0</v>
      </c>
      <c r="U213" s="258">
        <f>SUM(U220)</f>
        <v>0</v>
      </c>
      <c r="V213" s="257"/>
      <c r="W213" s="257"/>
      <c r="X213" s="257"/>
      <c r="Y213" s="258">
        <f>SUM(Y220)</f>
        <v>0</v>
      </c>
      <c r="Z213" s="258"/>
      <c r="AA213" s="258"/>
      <c r="AB213" s="258">
        <f>SUM(AB220)</f>
        <v>0</v>
      </c>
      <c r="AC213" s="258">
        <f>SUM(AC220)</f>
        <v>283829666.66666669</v>
      </c>
      <c r="AD213" s="258">
        <f>SUM(AD220)</f>
        <v>0</v>
      </c>
      <c r="AE213" s="258">
        <f>SUM(AE220)</f>
        <v>0</v>
      </c>
      <c r="AF213" s="258">
        <f>SUM(AF220)</f>
        <v>283829666.66666669</v>
      </c>
      <c r="AG213" s="257"/>
      <c r="AH213" s="257"/>
      <c r="AI213" s="257"/>
      <c r="AJ213" s="258">
        <f>SUM(AJ220)</f>
        <v>0</v>
      </c>
      <c r="AK213" s="258">
        <f>SUM(AK220)</f>
        <v>0</v>
      </c>
      <c r="AL213" s="258">
        <f>SUM(AL220)</f>
        <v>0</v>
      </c>
      <c r="AM213" s="258">
        <f>SUM(AM220)</f>
        <v>0</v>
      </c>
      <c r="AN213" s="258">
        <f>SUM(AN220)</f>
        <v>0</v>
      </c>
      <c r="AO213" s="259"/>
      <c r="AP213" s="260"/>
      <c r="AQ213" s="261">
        <f>SUM(AQ220)</f>
        <v>189738878.95714289</v>
      </c>
      <c r="AR213" s="261">
        <f>SUM(AR220)</f>
        <v>283829666.66666669</v>
      </c>
      <c r="AS213" s="261">
        <f>SUM(AS220)</f>
        <v>0</v>
      </c>
      <c r="AT213" s="261">
        <f>SUM(AT220)</f>
        <v>473568545.62380958</v>
      </c>
      <c r="AU213" s="261">
        <f t="shared" ref="AU213:BA213" si="182">SUM(AU220)</f>
        <v>473568545.62380958</v>
      </c>
      <c r="AV213" s="261">
        <f t="shared" si="182"/>
        <v>0</v>
      </c>
      <c r="AW213" s="261">
        <f t="shared" si="182"/>
        <v>0</v>
      </c>
      <c r="AX213" s="261">
        <f t="shared" si="182"/>
        <v>0</v>
      </c>
      <c r="AY213" s="261">
        <f t="shared" si="182"/>
        <v>0</v>
      </c>
      <c r="AZ213" s="261">
        <f t="shared" si="182"/>
        <v>0</v>
      </c>
      <c r="BA213" s="261">
        <f t="shared" si="182"/>
        <v>0</v>
      </c>
      <c r="BB213" s="261">
        <f t="shared" ref="BB213" si="183">SUM(BB220)</f>
        <v>0</v>
      </c>
    </row>
    <row r="214" spans="1:54" s="74" customFormat="1" ht="31.5" outlineLevel="2" x14ac:dyDescent="0.25">
      <c r="A214" s="115"/>
      <c r="B214" s="200"/>
      <c r="C214" s="201"/>
      <c r="D214" s="210"/>
      <c r="E214" s="328"/>
      <c r="F214" s="328"/>
      <c r="G214" s="328"/>
      <c r="H214" s="199" t="s">
        <v>510</v>
      </c>
      <c r="I214" s="130"/>
      <c r="J214" s="126"/>
      <c r="K214" s="126"/>
      <c r="L214" s="125" t="str">
        <f>IF(I214&lt;&gt;0,((VLOOKUP(I214,'1. Standard_Cost'!$B$4:$D$11,2)+VLOOKUP(I214,'1. Standard_Cost'!$B$4:$D$11,3))*J214*K214),"0")</f>
        <v>0</v>
      </c>
      <c r="M214" s="125">
        <f>L214*'1. Standard_Cost'!$F$4</f>
        <v>0</v>
      </c>
      <c r="N214" s="126"/>
      <c r="O214" s="126"/>
      <c r="P214" s="126"/>
      <c r="Q214" s="126"/>
      <c r="R214" s="127">
        <f>'1. Standard_Cost'!$B$15*N214*P214</f>
        <v>0</v>
      </c>
      <c r="S214" s="127">
        <f>N214*O214*P214*'1. Standard_Cost'!$C$15</f>
        <v>0</v>
      </c>
      <c r="T214" s="127">
        <f>N214*P214*Q214*'1. Standard_Cost'!$D$15</f>
        <v>0</v>
      </c>
      <c r="U214" s="127">
        <f>N214*O214*'1. Standard_Cost'!$E$15</f>
        <v>0</v>
      </c>
      <c r="V214" s="126"/>
      <c r="W214" s="126"/>
      <c r="X214" s="126"/>
      <c r="Y214" s="127">
        <f>+V214*((X214*'1. Standard_Cost'!$B$19)+(W214*X214*'1. Standard_Cost'!$C$19))</f>
        <v>0</v>
      </c>
      <c r="Z214" s="126"/>
      <c r="AA214" s="126"/>
      <c r="AB214" s="127">
        <f>+Z214*'1. Standard_Cost'!$B$23+AA214*'1. Standard_Cost'!$C$23</f>
        <v>0</v>
      </c>
      <c r="AC214" s="128"/>
      <c r="AD214" s="129"/>
      <c r="AE214" s="127">
        <f>SUM(AD214,AC214,AB214,Y214,U214,T214,S214,R214)*'1. Standard_Cost'!$B$31</f>
        <v>0</v>
      </c>
      <c r="AF214" s="127">
        <f t="shared" ref="AF214:AF219" si="184">SUM(AE214,AD214,AC214,AB214,Y214,U214,T214,S214,R214)</f>
        <v>0</v>
      </c>
      <c r="AG214" s="126"/>
      <c r="AH214" s="126"/>
      <c r="AI214" s="126"/>
      <c r="AJ214" s="130"/>
      <c r="AK214" s="130"/>
      <c r="AL214" s="130"/>
      <c r="AM214" s="127">
        <f>AG214*'1. Standard_Cost'!$B$27+'Incremental_Cost Year 1'!AH214*'1. Standard_Cost'!$C$27+'Incremental_Cost Year 1'!AI214*'1. Standard_Cost'!$D$27+'Incremental_Cost Year 1'!AJ214+'Incremental_Cost Year 1'!AL214+AK214</f>
        <v>0</v>
      </c>
      <c r="AN214" s="127">
        <f>AM214*'1. Standard_Cost'!$C$31</f>
        <v>0</v>
      </c>
      <c r="AO214" s="130"/>
      <c r="AP214" s="239"/>
      <c r="AQ214" s="171">
        <f t="shared" ref="AQ214:AQ219" si="185">L214+M214</f>
        <v>0</v>
      </c>
      <c r="AR214" s="171">
        <f t="shared" ref="AR214:AR219" si="186">AF214</f>
        <v>0</v>
      </c>
      <c r="AS214" s="171">
        <f t="shared" ref="AS214:AS219" si="187">AM214+AN214</f>
        <v>0</v>
      </c>
      <c r="AT214" s="171">
        <f t="shared" ref="AT214:AT219" si="188">SUM(AQ214,AR214,AS214)</f>
        <v>0</v>
      </c>
      <c r="AU214" s="250"/>
      <c r="AV214" s="250"/>
      <c r="AW214" s="250"/>
      <c r="AX214" s="250"/>
      <c r="AY214" s="250"/>
      <c r="AZ214" s="250"/>
      <c r="BA214" s="250"/>
      <c r="BB214" s="251">
        <f t="shared" ref="BB214:BB219" si="189">SUM(AU214:BA214)-AT214</f>
        <v>0</v>
      </c>
    </row>
    <row r="215" spans="1:54" s="74" customFormat="1" ht="47.25" outlineLevel="2" x14ac:dyDescent="0.25">
      <c r="A215" s="115"/>
      <c r="B215" s="200"/>
      <c r="C215" s="201"/>
      <c r="D215" s="203"/>
      <c r="E215" s="328"/>
      <c r="F215" s="328"/>
      <c r="G215" s="328"/>
      <c r="H215" s="199" t="s">
        <v>511</v>
      </c>
      <c r="I215" s="130"/>
      <c r="J215" s="126"/>
      <c r="K215" s="126"/>
      <c r="L215" s="125" t="str">
        <f>IF(I215&lt;&gt;0,((VLOOKUP(I215,'1. Standard_Cost'!$B$4:$D$11,2)+VLOOKUP(I215,'1. Standard_Cost'!$B$4:$D$11,3))*J215*K215),"0")</f>
        <v>0</v>
      </c>
      <c r="M215" s="125">
        <f>L215*'1. Standard_Cost'!$F$4</f>
        <v>0</v>
      </c>
      <c r="N215" s="126"/>
      <c r="O215" s="126"/>
      <c r="P215" s="126"/>
      <c r="Q215" s="126"/>
      <c r="R215" s="127">
        <f>'1. Standard_Cost'!$B$15*N215*P215</f>
        <v>0</v>
      </c>
      <c r="S215" s="127">
        <f>N215*O215*P215*'1. Standard_Cost'!$C$15</f>
        <v>0</v>
      </c>
      <c r="T215" s="127">
        <f>N215*P215*Q215*'1. Standard_Cost'!$D$15</f>
        <v>0</v>
      </c>
      <c r="U215" s="127">
        <f>N215*O215*'1. Standard_Cost'!$E$15</f>
        <v>0</v>
      </c>
      <c r="V215" s="126"/>
      <c r="W215" s="126"/>
      <c r="X215" s="126"/>
      <c r="Y215" s="127">
        <f>+V215*((X215*'1. Standard_Cost'!$B$19)+(W215*X215*'1. Standard_Cost'!$C$19))</f>
        <v>0</v>
      </c>
      <c r="Z215" s="126"/>
      <c r="AA215" s="126"/>
      <c r="AB215" s="127">
        <f>+Z215*'1. Standard_Cost'!$B$23+AA215*'1. Standard_Cost'!$C$23</f>
        <v>0</v>
      </c>
      <c r="AC215" s="128"/>
      <c r="AD215" s="129"/>
      <c r="AE215" s="127">
        <f>SUM(AD215,AC215,AB215,Y215,U215,T215,S215,R215)*'1. Standard_Cost'!$B$31</f>
        <v>0</v>
      </c>
      <c r="AF215" s="127">
        <f t="shared" si="184"/>
        <v>0</v>
      </c>
      <c r="AG215" s="126"/>
      <c r="AH215" s="126"/>
      <c r="AI215" s="126"/>
      <c r="AJ215" s="130"/>
      <c r="AK215" s="130"/>
      <c r="AL215" s="130"/>
      <c r="AM215" s="127">
        <f>AG215*'1. Standard_Cost'!$B$27+'Incremental_Cost Year 1'!AH215*'1. Standard_Cost'!$C$27+'Incremental_Cost Year 1'!AI215*'1. Standard_Cost'!$D$27+'Incremental_Cost Year 1'!AJ215+'Incremental_Cost Year 1'!AL215+AK215</f>
        <v>0</v>
      </c>
      <c r="AN215" s="127">
        <f>AM215*'1. Standard_Cost'!$C$31</f>
        <v>0</v>
      </c>
      <c r="AO215" s="130"/>
      <c r="AP215" s="239"/>
      <c r="AQ215" s="171">
        <f t="shared" si="185"/>
        <v>0</v>
      </c>
      <c r="AR215" s="171">
        <f t="shared" si="186"/>
        <v>0</v>
      </c>
      <c r="AS215" s="171">
        <f t="shared" si="187"/>
        <v>0</v>
      </c>
      <c r="AT215" s="171">
        <f t="shared" si="188"/>
        <v>0</v>
      </c>
      <c r="AU215" s="250"/>
      <c r="AV215" s="250"/>
      <c r="AW215" s="250"/>
      <c r="AX215" s="250"/>
      <c r="AY215" s="250"/>
      <c r="AZ215" s="250"/>
      <c r="BA215" s="250"/>
      <c r="BB215" s="251">
        <f t="shared" si="189"/>
        <v>0</v>
      </c>
    </row>
    <row r="216" spans="1:54" s="74" customFormat="1" ht="78.75" outlineLevel="2" x14ac:dyDescent="0.25">
      <c r="A216" s="115"/>
      <c r="B216" s="200"/>
      <c r="C216" s="201"/>
      <c r="D216" s="203"/>
      <c r="E216" s="328"/>
      <c r="F216" s="328"/>
      <c r="G216" s="328"/>
      <c r="H216" s="199" t="s">
        <v>512</v>
      </c>
      <c r="I216" s="130"/>
      <c r="J216" s="126"/>
      <c r="K216" s="126"/>
      <c r="L216" s="125" t="str">
        <f>IF(I216&lt;&gt;0,((VLOOKUP(I216,'1. Standard_Cost'!$B$4:$D$11,2)+VLOOKUP(I216,'1. Standard_Cost'!$B$4:$D$11,3))*J216*K216),"0")</f>
        <v>0</v>
      </c>
      <c r="M216" s="125">
        <f>L216*'1. Standard_Cost'!$F$4</f>
        <v>0</v>
      </c>
      <c r="N216" s="126"/>
      <c r="O216" s="126"/>
      <c r="P216" s="126"/>
      <c r="Q216" s="126"/>
      <c r="R216" s="127">
        <f>'1. Standard_Cost'!$B$15*N216*P216</f>
        <v>0</v>
      </c>
      <c r="S216" s="127">
        <f>N216*O216*P216*'1. Standard_Cost'!$C$15</f>
        <v>0</v>
      </c>
      <c r="T216" s="127">
        <f>N216*P216*Q216*'1. Standard_Cost'!$D$15</f>
        <v>0</v>
      </c>
      <c r="U216" s="127">
        <f>N216*O216*'1. Standard_Cost'!$E$15</f>
        <v>0</v>
      </c>
      <c r="V216" s="126"/>
      <c r="W216" s="126"/>
      <c r="X216" s="126"/>
      <c r="Y216" s="127">
        <f>+V216*((X216*'1. Standard_Cost'!$B$19)+(W216*X216*'1. Standard_Cost'!$C$19))</f>
        <v>0</v>
      </c>
      <c r="Z216" s="126"/>
      <c r="AA216" s="126"/>
      <c r="AB216" s="127">
        <f>+Z216*'1. Standard_Cost'!$B$23+AA216*'1. Standard_Cost'!$C$23</f>
        <v>0</v>
      </c>
      <c r="AC216" s="128"/>
      <c r="AD216" s="129"/>
      <c r="AE216" s="127">
        <f>SUM(AD216,AC216,AB216,Y216,U216,T216,S216,R216)*'1. Standard_Cost'!$B$31</f>
        <v>0</v>
      </c>
      <c r="AF216" s="127">
        <f t="shared" si="184"/>
        <v>0</v>
      </c>
      <c r="AG216" s="126"/>
      <c r="AH216" s="126"/>
      <c r="AI216" s="126"/>
      <c r="AJ216" s="130"/>
      <c r="AK216" s="130"/>
      <c r="AL216" s="130"/>
      <c r="AM216" s="127">
        <f>AG216*'1. Standard_Cost'!$B$27+'Incremental_Cost Year 1'!AH216*'1. Standard_Cost'!$C$27+'Incremental_Cost Year 1'!AI216*'1. Standard_Cost'!$D$27+'Incremental_Cost Year 1'!AJ216+'Incremental_Cost Year 1'!AL216+AK216</f>
        <v>0</v>
      </c>
      <c r="AN216" s="127">
        <f>AM216*'1. Standard_Cost'!$C$31</f>
        <v>0</v>
      </c>
      <c r="AO216" s="130"/>
      <c r="AP216" s="239"/>
      <c r="AQ216" s="171">
        <f t="shared" si="185"/>
        <v>0</v>
      </c>
      <c r="AR216" s="171">
        <f t="shared" si="186"/>
        <v>0</v>
      </c>
      <c r="AS216" s="171">
        <f t="shared" si="187"/>
        <v>0</v>
      </c>
      <c r="AT216" s="171">
        <f t="shared" si="188"/>
        <v>0</v>
      </c>
      <c r="AU216" s="250"/>
      <c r="AV216" s="250"/>
      <c r="AW216" s="250"/>
      <c r="AX216" s="250"/>
      <c r="AY216" s="250"/>
      <c r="AZ216" s="250"/>
      <c r="BA216" s="250"/>
      <c r="BB216" s="251">
        <f t="shared" si="189"/>
        <v>0</v>
      </c>
    </row>
    <row r="217" spans="1:54" s="74" customFormat="1" ht="47.25" outlineLevel="2" x14ac:dyDescent="0.25">
      <c r="A217" s="115"/>
      <c r="B217" s="200"/>
      <c r="C217" s="201"/>
      <c r="D217" s="203"/>
      <c r="E217" s="328"/>
      <c r="F217" s="328"/>
      <c r="G217" s="328"/>
      <c r="H217" s="213" t="s">
        <v>250</v>
      </c>
      <c r="I217" s="130" t="s">
        <v>1</v>
      </c>
      <c r="J217" s="126">
        <v>2</v>
      </c>
      <c r="K217" s="126">
        <v>824</v>
      </c>
      <c r="L217" s="125">
        <f>IF(I217&lt;&gt;0,((VLOOKUP(I217,'1. Standard_Cost'!$B$4:$D$11,2)+VLOOKUP(I217,'1. Standard_Cost'!$B$4:$D$11,3))*J217*K217),"0")</f>
        <v>118314628.57142858</v>
      </c>
      <c r="M217" s="125">
        <f>L217*'1. Standard_Cost'!$F$4</f>
        <v>19758542.971428573</v>
      </c>
      <c r="N217" s="126"/>
      <c r="O217" s="126"/>
      <c r="P217" s="126"/>
      <c r="Q217" s="126"/>
      <c r="R217" s="127">
        <f>'1. Standard_Cost'!$B$15*N217*P217</f>
        <v>0</v>
      </c>
      <c r="S217" s="127">
        <f>N217*O217*P217*'1. Standard_Cost'!$C$15</f>
        <v>0</v>
      </c>
      <c r="T217" s="127">
        <f>N217*P217*Q217*'1. Standard_Cost'!$D$15</f>
        <v>0</v>
      </c>
      <c r="U217" s="127">
        <f>N217*O217*'1. Standard_Cost'!$E$15</f>
        <v>0</v>
      </c>
      <c r="V217" s="126"/>
      <c r="W217" s="126"/>
      <c r="X217" s="126"/>
      <c r="Y217" s="127">
        <f>+V217*((X217*'1. Standard_Cost'!$B$19)+(W217*X217*'1. Standard_Cost'!$C$19))</f>
        <v>0</v>
      </c>
      <c r="Z217" s="126"/>
      <c r="AA217" s="126"/>
      <c r="AB217" s="127">
        <f>+Z217*'1. Standard_Cost'!$B$23+AA217*'1. Standard_Cost'!$C$23</f>
        <v>0</v>
      </c>
      <c r="AC217" s="128">
        <f>(230000000+250000000*2)/12*2</f>
        <v>121666666.66666667</v>
      </c>
      <c r="AD217" s="129"/>
      <c r="AE217" s="127"/>
      <c r="AF217" s="127">
        <f t="shared" si="184"/>
        <v>121666666.66666667</v>
      </c>
      <c r="AG217" s="126"/>
      <c r="AH217" s="126"/>
      <c r="AI217" s="126"/>
      <c r="AJ217" s="130"/>
      <c r="AK217" s="130"/>
      <c r="AL217" s="130"/>
      <c r="AM217" s="127">
        <f>AG217*'1. Standard_Cost'!$B$27+'Incremental_Cost Year 1'!AH217*'1. Standard_Cost'!$C$27+'Incremental_Cost Year 1'!AI217*'1. Standard_Cost'!$D$27+'Incremental_Cost Year 1'!AJ217+'Incremental_Cost Year 1'!AL217+AK217</f>
        <v>0</v>
      </c>
      <c r="AN217" s="127">
        <f>AM217*'1. Standard_Cost'!$C$31</f>
        <v>0</v>
      </c>
      <c r="AO217" s="130"/>
      <c r="AP217" s="239"/>
      <c r="AQ217" s="171">
        <f t="shared" si="185"/>
        <v>138073171.54285717</v>
      </c>
      <c r="AR217" s="171">
        <f t="shared" si="186"/>
        <v>121666666.66666667</v>
      </c>
      <c r="AS217" s="171">
        <f t="shared" si="187"/>
        <v>0</v>
      </c>
      <c r="AT217" s="171">
        <f t="shared" si="188"/>
        <v>259739838.20952386</v>
      </c>
      <c r="AU217" s="250">
        <f>AT217</f>
        <v>259739838.20952386</v>
      </c>
      <c r="AV217" s="250"/>
      <c r="AW217" s="250"/>
      <c r="AX217" s="250"/>
      <c r="AY217" s="250"/>
      <c r="AZ217" s="250"/>
      <c r="BA217" s="250"/>
      <c r="BB217" s="251">
        <f t="shared" si="189"/>
        <v>0</v>
      </c>
    </row>
    <row r="218" spans="1:54" s="74" customFormat="1" ht="47.25" outlineLevel="2" x14ac:dyDescent="0.25">
      <c r="A218" s="115"/>
      <c r="B218" s="200"/>
      <c r="C218" s="201"/>
      <c r="D218" s="203"/>
      <c r="E218" s="328"/>
      <c r="F218" s="328"/>
      <c r="G218" s="328"/>
      <c r="H218" s="213" t="s">
        <v>513</v>
      </c>
      <c r="I218" s="130" t="s">
        <v>1</v>
      </c>
      <c r="J218" s="126">
        <v>2</v>
      </c>
      <c r="K218" s="126">
        <v>123</v>
      </c>
      <c r="L218" s="125">
        <f>IF(I218&lt;&gt;0,((VLOOKUP(I218,'1. Standard_Cost'!$B$4:$D$11,2)+VLOOKUP(I218,'1. Standard_Cost'!$B$4:$D$11,3))*J218*K218),"0")</f>
        <v>17661042.857142858</v>
      </c>
      <c r="M218" s="125">
        <f>L218*'1. Standard_Cost'!$F$4</f>
        <v>2949394.1571428576</v>
      </c>
      <c r="N218" s="126"/>
      <c r="O218" s="126"/>
      <c r="P218" s="126"/>
      <c r="Q218" s="126"/>
      <c r="R218" s="127">
        <f>'1. Standard_Cost'!$B$15*N218*P218</f>
        <v>0</v>
      </c>
      <c r="S218" s="127">
        <f>N218*O218*P218*'1. Standard_Cost'!$C$15</f>
        <v>0</v>
      </c>
      <c r="T218" s="127">
        <f>N218*P218*Q218*'1. Standard_Cost'!$D$15</f>
        <v>0</v>
      </c>
      <c r="U218" s="127">
        <f>N218*O218*'1. Standard_Cost'!$E$15</f>
        <v>0</v>
      </c>
      <c r="V218" s="126"/>
      <c r="W218" s="126"/>
      <c r="X218" s="126"/>
      <c r="Y218" s="127">
        <f>+V218*((X218*'1. Standard_Cost'!$B$19)+(W218*X218*'1. Standard_Cost'!$C$19))</f>
        <v>0</v>
      </c>
      <c r="Z218" s="126"/>
      <c r="AA218" s="126"/>
      <c r="AB218" s="127">
        <f>+Z218*'1. Standard_Cost'!$B$23+AA218*'1. Standard_Cost'!$C$23</f>
        <v>0</v>
      </c>
      <c r="AC218" s="128">
        <f>(220000000*3)/12*2</f>
        <v>110000000</v>
      </c>
      <c r="AD218" s="129"/>
      <c r="AE218" s="127"/>
      <c r="AF218" s="127">
        <f t="shared" si="184"/>
        <v>110000000</v>
      </c>
      <c r="AG218" s="126"/>
      <c r="AH218" s="126"/>
      <c r="AI218" s="126"/>
      <c r="AJ218" s="130"/>
      <c r="AK218" s="130"/>
      <c r="AL218" s="130"/>
      <c r="AM218" s="127">
        <f>AG218*'1. Standard_Cost'!$B$27+'Incremental_Cost Year 1'!AH218*'1. Standard_Cost'!$C$27+'Incremental_Cost Year 1'!AI218*'1. Standard_Cost'!$D$27+'Incremental_Cost Year 1'!AJ218+'Incremental_Cost Year 1'!AL218+AK218</f>
        <v>0</v>
      </c>
      <c r="AN218" s="127">
        <f>AM218*'1. Standard_Cost'!$C$31</f>
        <v>0</v>
      </c>
      <c r="AO218" s="130"/>
      <c r="AP218" s="239"/>
      <c r="AQ218" s="171">
        <f t="shared" si="185"/>
        <v>20610437.014285717</v>
      </c>
      <c r="AR218" s="171">
        <f t="shared" si="186"/>
        <v>110000000</v>
      </c>
      <c r="AS218" s="171">
        <f t="shared" si="187"/>
        <v>0</v>
      </c>
      <c r="AT218" s="171">
        <f t="shared" si="188"/>
        <v>130610437.01428571</v>
      </c>
      <c r="AU218" s="250">
        <f>AT218</f>
        <v>130610437.01428571</v>
      </c>
      <c r="AV218" s="250"/>
      <c r="AW218" s="250"/>
      <c r="AX218" s="250"/>
      <c r="AY218" s="250"/>
      <c r="AZ218" s="250"/>
      <c r="BA218" s="250"/>
      <c r="BB218" s="251">
        <f t="shared" si="189"/>
        <v>0</v>
      </c>
    </row>
    <row r="219" spans="1:54" s="74" customFormat="1" ht="63" outlineLevel="2" x14ac:dyDescent="0.25">
      <c r="A219" s="115"/>
      <c r="B219" s="200"/>
      <c r="C219" s="201"/>
      <c r="D219" s="203"/>
      <c r="E219" s="328"/>
      <c r="F219" s="328"/>
      <c r="G219" s="328"/>
      <c r="H219" s="199" t="s">
        <v>514</v>
      </c>
      <c r="I219" s="130" t="s">
        <v>3</v>
      </c>
      <c r="J219" s="126">
        <v>3</v>
      </c>
      <c r="K219" s="126">
        <v>88</v>
      </c>
      <c r="L219" s="125">
        <f>IF(I219&lt;&gt;0,((VLOOKUP(I219,'1. Standard_Cost'!$B$4:$D$11,2)+VLOOKUP(I219,'1. Standard_Cost'!$B$4:$D$11,3))*J219*K219),"0")</f>
        <v>26611200</v>
      </c>
      <c r="M219" s="125">
        <f>L219*'1. Standard_Cost'!$F$4</f>
        <v>4444070.4000000004</v>
      </c>
      <c r="N219" s="126"/>
      <c r="O219" s="126"/>
      <c r="P219" s="126"/>
      <c r="Q219" s="126"/>
      <c r="R219" s="127">
        <f>'1. Standard_Cost'!$B$15*N219*P219</f>
        <v>0</v>
      </c>
      <c r="S219" s="127">
        <f>N219*O219*P219*'1. Standard_Cost'!$C$15</f>
        <v>0</v>
      </c>
      <c r="T219" s="127">
        <f>N219*P219*Q219*'1. Standard_Cost'!$D$15</f>
        <v>0</v>
      </c>
      <c r="U219" s="127">
        <f>N219*O219*'1. Standard_Cost'!$E$15</f>
        <v>0</v>
      </c>
      <c r="V219" s="126"/>
      <c r="W219" s="126"/>
      <c r="X219" s="126"/>
      <c r="Y219" s="127">
        <f>+V219*((X219*'1. Standard_Cost'!$B$19)+(W219*X219*'1. Standard_Cost'!$C$19))</f>
        <v>0</v>
      </c>
      <c r="Z219" s="126"/>
      <c r="AA219" s="126"/>
      <c r="AB219" s="127">
        <f>+Z219*'1. Standard_Cost'!$B$23+AA219*'1. Standard_Cost'!$C$23</f>
        <v>0</v>
      </c>
      <c r="AC219" s="128">
        <v>52163000</v>
      </c>
      <c r="AD219" s="129"/>
      <c r="AE219" s="127"/>
      <c r="AF219" s="127">
        <f t="shared" si="184"/>
        <v>52163000</v>
      </c>
      <c r="AG219" s="126"/>
      <c r="AH219" s="126"/>
      <c r="AI219" s="126"/>
      <c r="AJ219" s="130"/>
      <c r="AK219" s="130"/>
      <c r="AL219" s="130"/>
      <c r="AM219" s="127">
        <f>AG219*'1. Standard_Cost'!$B$27+'Incremental_Cost Year 1'!AH219*'1. Standard_Cost'!$C$27+'Incremental_Cost Year 1'!AI219*'1. Standard_Cost'!$D$27+'Incremental_Cost Year 1'!AJ219+'Incremental_Cost Year 1'!AL219+AK219</f>
        <v>0</v>
      </c>
      <c r="AN219" s="127">
        <f>AM219*'1. Standard_Cost'!$C$31</f>
        <v>0</v>
      </c>
      <c r="AO219" s="130"/>
      <c r="AP219" s="239"/>
      <c r="AQ219" s="171">
        <f t="shared" si="185"/>
        <v>31055270.399999999</v>
      </c>
      <c r="AR219" s="171">
        <f t="shared" si="186"/>
        <v>52163000</v>
      </c>
      <c r="AS219" s="171">
        <f t="shared" si="187"/>
        <v>0</v>
      </c>
      <c r="AT219" s="171">
        <f t="shared" si="188"/>
        <v>83218270.400000006</v>
      </c>
      <c r="AU219" s="250">
        <f>AT219</f>
        <v>83218270.400000006</v>
      </c>
      <c r="AV219" s="250"/>
      <c r="AW219" s="250"/>
      <c r="AX219" s="250"/>
      <c r="AY219" s="250"/>
      <c r="AZ219" s="250"/>
      <c r="BA219" s="250"/>
      <c r="BB219" s="251">
        <f t="shared" si="189"/>
        <v>0</v>
      </c>
    </row>
    <row r="220" spans="1:54" s="74" customFormat="1" ht="78.75" outlineLevel="1" x14ac:dyDescent="0.25">
      <c r="A220" s="115"/>
      <c r="B220" s="165"/>
      <c r="C220" s="166"/>
      <c r="D220" s="139" t="s">
        <v>557</v>
      </c>
      <c r="E220" s="212" t="s">
        <v>251</v>
      </c>
      <c r="F220" s="352">
        <v>2021</v>
      </c>
      <c r="G220" s="353">
        <v>2030</v>
      </c>
      <c r="H220" s="150" t="s">
        <v>252</v>
      </c>
      <c r="I220" s="252"/>
      <c r="J220" s="252"/>
      <c r="K220" s="252"/>
      <c r="L220" s="127">
        <f>SUM(L214:L219)</f>
        <v>162586871.42857143</v>
      </c>
      <c r="M220" s="127">
        <f>SUM(M214:M219)</f>
        <v>27152007.528571434</v>
      </c>
      <c r="N220" s="252"/>
      <c r="O220" s="252"/>
      <c r="P220" s="252"/>
      <c r="Q220" s="252"/>
      <c r="R220" s="127">
        <f>SUM(R214:R219)</f>
        <v>0</v>
      </c>
      <c r="S220" s="127">
        <f>SUM(S214:S219)</f>
        <v>0</v>
      </c>
      <c r="T220" s="127">
        <f>SUM(T214:T219)</f>
        <v>0</v>
      </c>
      <c r="U220" s="127">
        <f>SUM(U214:U219)</f>
        <v>0</v>
      </c>
      <c r="V220" s="252"/>
      <c r="W220" s="252"/>
      <c r="X220" s="252"/>
      <c r="Y220" s="127">
        <f>SUM(Y214:Y219)</f>
        <v>0</v>
      </c>
      <c r="Z220" s="127"/>
      <c r="AA220" s="252"/>
      <c r="AB220" s="127">
        <f>SUM(AB214:AB219)</f>
        <v>0</v>
      </c>
      <c r="AC220" s="127">
        <f>SUM(AC214:AC219)</f>
        <v>283829666.66666669</v>
      </c>
      <c r="AD220" s="127">
        <f>SUM(AD214:AD219)</f>
        <v>0</v>
      </c>
      <c r="AE220" s="127">
        <f>SUM(AE214:AE219)</f>
        <v>0</v>
      </c>
      <c r="AF220" s="127">
        <f>SUM(AF214:AF219)</f>
        <v>283829666.66666669</v>
      </c>
      <c r="AG220" s="252"/>
      <c r="AH220" s="252"/>
      <c r="AI220" s="252"/>
      <c r="AJ220" s="127">
        <f>SUM(AJ214:AJ219)</f>
        <v>0</v>
      </c>
      <c r="AK220" s="127">
        <f>SUM(AK214:AK219)</f>
        <v>0</v>
      </c>
      <c r="AL220" s="127">
        <f>SUM(AL214:AL219)</f>
        <v>0</v>
      </c>
      <c r="AM220" s="127">
        <f>SUM(AM214:AM219)</f>
        <v>0</v>
      </c>
      <c r="AN220" s="127">
        <f>SUM(AN214:AN219)</f>
        <v>0</v>
      </c>
      <c r="AO220" s="253"/>
      <c r="AP220" s="254"/>
      <c r="AQ220" s="175">
        <f>SUM(AQ214:AQ219)</f>
        <v>189738878.95714289</v>
      </c>
      <c r="AR220" s="175">
        <f>SUM(AR214:AR219)</f>
        <v>283829666.66666669</v>
      </c>
      <c r="AS220" s="175">
        <f>SUM(AS214:AS219)</f>
        <v>0</v>
      </c>
      <c r="AT220" s="175">
        <f>SUM(AT214:AT219)</f>
        <v>473568545.62380958</v>
      </c>
      <c r="AU220" s="175">
        <f t="shared" ref="AU220:BA220" si="190">SUM(AU214:AU219)</f>
        <v>473568545.62380958</v>
      </c>
      <c r="AV220" s="175">
        <f t="shared" si="190"/>
        <v>0</v>
      </c>
      <c r="AW220" s="175">
        <f t="shared" si="190"/>
        <v>0</v>
      </c>
      <c r="AX220" s="175">
        <f t="shared" si="190"/>
        <v>0</v>
      </c>
      <c r="AY220" s="175">
        <f t="shared" si="190"/>
        <v>0</v>
      </c>
      <c r="AZ220" s="175">
        <f t="shared" si="190"/>
        <v>0</v>
      </c>
      <c r="BA220" s="175">
        <f t="shared" si="190"/>
        <v>0</v>
      </c>
      <c r="BB220" s="175">
        <f t="shared" ref="BB220" si="191">SUM(BB214:BB219)</f>
        <v>0</v>
      </c>
    </row>
    <row r="221" spans="1:54" s="76" customFormat="1" ht="60" customHeight="1" x14ac:dyDescent="0.25">
      <c r="A221" s="143"/>
      <c r="B221" s="332"/>
      <c r="C221" s="397" t="s">
        <v>253</v>
      </c>
      <c r="D221" s="397"/>
      <c r="E221" s="398"/>
      <c r="F221" s="284"/>
      <c r="G221" s="340"/>
      <c r="H221" s="144" t="s">
        <v>300</v>
      </c>
      <c r="I221" s="257"/>
      <c r="J221" s="257"/>
      <c r="K221" s="257"/>
      <c r="L221" s="258">
        <f>SUM(L225)</f>
        <v>34776000</v>
      </c>
      <c r="M221" s="258">
        <f>SUM(M225)</f>
        <v>5807592</v>
      </c>
      <c r="N221" s="257"/>
      <c r="O221" s="257"/>
      <c r="P221" s="257"/>
      <c r="Q221" s="257"/>
      <c r="R221" s="258">
        <f>SUM(R225)</f>
        <v>0</v>
      </c>
      <c r="S221" s="258">
        <f>SUM(S225)</f>
        <v>0</v>
      </c>
      <c r="T221" s="258">
        <f>SUM(T225)</f>
        <v>0</v>
      </c>
      <c r="U221" s="258">
        <f>SUM(U225)</f>
        <v>0</v>
      </c>
      <c r="V221" s="257"/>
      <c r="W221" s="257"/>
      <c r="X221" s="257"/>
      <c r="Y221" s="258">
        <f>SUM(Y225)</f>
        <v>0</v>
      </c>
      <c r="Z221" s="258"/>
      <c r="AA221" s="258"/>
      <c r="AB221" s="258">
        <f>SUM(AB225)</f>
        <v>0</v>
      </c>
      <c r="AC221" s="258">
        <f>SUM(AC225)</f>
        <v>0</v>
      </c>
      <c r="AD221" s="258">
        <f>SUM(AD225)</f>
        <v>0</v>
      </c>
      <c r="AE221" s="258">
        <f>SUM(AE225)</f>
        <v>0</v>
      </c>
      <c r="AF221" s="258">
        <f>SUM(AF225)</f>
        <v>0</v>
      </c>
      <c r="AG221" s="257"/>
      <c r="AH221" s="257"/>
      <c r="AI221" s="257"/>
      <c r="AJ221" s="258">
        <f>SUM(AJ225)</f>
        <v>0</v>
      </c>
      <c r="AK221" s="258">
        <f>SUM(AK225)</f>
        <v>0</v>
      </c>
      <c r="AL221" s="258">
        <f>SUM(AL225)</f>
        <v>0</v>
      </c>
      <c r="AM221" s="258">
        <f>SUM(AM225)</f>
        <v>0</v>
      </c>
      <c r="AN221" s="258">
        <f>SUM(AN225)</f>
        <v>0</v>
      </c>
      <c r="AO221" s="259"/>
      <c r="AP221" s="260"/>
      <c r="AQ221" s="261">
        <f>SUM(AQ225)</f>
        <v>40583592</v>
      </c>
      <c r="AR221" s="261">
        <f>SUM(AR225)</f>
        <v>0</v>
      </c>
      <c r="AS221" s="261">
        <f>SUM(AS225)</f>
        <v>0</v>
      </c>
      <c r="AT221" s="261">
        <f>SUM(AT225)</f>
        <v>40583592</v>
      </c>
      <c r="AU221" s="261">
        <f t="shared" ref="AU221:BA221" si="192">SUM(AU225)</f>
        <v>40583592</v>
      </c>
      <c r="AV221" s="261">
        <f t="shared" si="192"/>
        <v>0</v>
      </c>
      <c r="AW221" s="261">
        <f t="shared" si="192"/>
        <v>0</v>
      </c>
      <c r="AX221" s="261">
        <f t="shared" si="192"/>
        <v>0</v>
      </c>
      <c r="AY221" s="261">
        <f t="shared" si="192"/>
        <v>0</v>
      </c>
      <c r="AZ221" s="261">
        <f t="shared" si="192"/>
        <v>0</v>
      </c>
      <c r="BA221" s="261">
        <f t="shared" si="192"/>
        <v>0</v>
      </c>
      <c r="BB221" s="261">
        <f t="shared" ref="BB221" si="193">SUM(BB225)</f>
        <v>0</v>
      </c>
    </row>
    <row r="222" spans="1:54" s="74" customFormat="1" ht="63" outlineLevel="2" x14ac:dyDescent="0.25">
      <c r="A222" s="115"/>
      <c r="B222" s="200"/>
      <c r="C222" s="201"/>
      <c r="D222" s="342"/>
      <c r="E222" s="328"/>
      <c r="F222" s="328"/>
      <c r="G222" s="328"/>
      <c r="H222" s="199" t="s">
        <v>515</v>
      </c>
      <c r="I222" s="130" t="s">
        <v>3</v>
      </c>
      <c r="J222" s="126">
        <v>3</v>
      </c>
      <c r="K222" s="126">
        <v>15</v>
      </c>
      <c r="L222" s="125">
        <f>IF(I222&lt;&gt;0,((VLOOKUP(I222,'1. Standard_Cost'!$B$4:$D$11,2)+VLOOKUP(I222,'1. Standard_Cost'!$B$4:$D$11,3))*J222*K222),"0")</f>
        <v>4536000</v>
      </c>
      <c r="M222" s="125">
        <f>L222*'1. Standard_Cost'!$F$4</f>
        <v>757512</v>
      </c>
      <c r="N222" s="126"/>
      <c r="O222" s="126"/>
      <c r="P222" s="126"/>
      <c r="Q222" s="126"/>
      <c r="R222" s="127">
        <f>'1. Standard_Cost'!$B$15*N222*P222</f>
        <v>0</v>
      </c>
      <c r="S222" s="127">
        <f>N222*O222*P222*'1. Standard_Cost'!$C$15</f>
        <v>0</v>
      </c>
      <c r="T222" s="127">
        <f>N222*P222*Q222*'1. Standard_Cost'!$D$15</f>
        <v>0</v>
      </c>
      <c r="U222" s="127">
        <f>N222*O222*'1. Standard_Cost'!$E$15</f>
        <v>0</v>
      </c>
      <c r="V222" s="126"/>
      <c r="W222" s="126"/>
      <c r="X222" s="126"/>
      <c r="Y222" s="127">
        <f>+V222*((X222*'1. Standard_Cost'!$B$19)+(W222*X222*'1. Standard_Cost'!$C$19))</f>
        <v>0</v>
      </c>
      <c r="Z222" s="126"/>
      <c r="AA222" s="126"/>
      <c r="AB222" s="127">
        <f>+Z222*'1. Standard_Cost'!$B$23+AA222*'1. Standard_Cost'!$C$23</f>
        <v>0</v>
      </c>
      <c r="AC222" s="128"/>
      <c r="AD222" s="129"/>
      <c r="AE222" s="127">
        <f>SUM(AD222,AC222,AB222,Y222,U222,T222,S222,R222)*'1. Standard_Cost'!$B$31</f>
        <v>0</v>
      </c>
      <c r="AF222" s="127">
        <f>SUM(AE222,AD222,AC222,AB222,Y222,U222,T222,S222,R222)</f>
        <v>0</v>
      </c>
      <c r="AG222" s="126"/>
      <c r="AH222" s="126"/>
      <c r="AI222" s="126"/>
      <c r="AJ222" s="130"/>
      <c r="AK222" s="130"/>
      <c r="AL222" s="130"/>
      <c r="AM222" s="127">
        <f>AG222*'1. Standard_Cost'!$B$27+'Incremental_Cost Year 1'!AH222*'1. Standard_Cost'!$C$27+'Incremental_Cost Year 1'!AI222*'1. Standard_Cost'!$D$27+'Incremental_Cost Year 1'!AJ222+'Incremental_Cost Year 1'!AL222+AK222</f>
        <v>0</v>
      </c>
      <c r="AN222" s="127">
        <f>AM222*'1. Standard_Cost'!$C$31</f>
        <v>0</v>
      </c>
      <c r="AO222" s="130"/>
      <c r="AP222" s="239"/>
      <c r="AQ222" s="171">
        <f>L222+M222</f>
        <v>5293512</v>
      </c>
      <c r="AR222" s="171">
        <f>AF222</f>
        <v>0</v>
      </c>
      <c r="AS222" s="171">
        <f>AM222+AN222</f>
        <v>0</v>
      </c>
      <c r="AT222" s="171">
        <f>SUM(AQ222,AR222,AS222)</f>
        <v>5293512</v>
      </c>
      <c r="AU222" s="250">
        <f>AT222</f>
        <v>5293512</v>
      </c>
      <c r="AV222" s="250"/>
      <c r="AW222" s="250"/>
      <c r="AX222" s="250"/>
      <c r="AY222" s="250"/>
      <c r="AZ222" s="250"/>
      <c r="BA222" s="250"/>
      <c r="BB222" s="251">
        <f t="shared" ref="BB222:BB224" si="194">SUM(AU222:BA222)-AT222</f>
        <v>0</v>
      </c>
    </row>
    <row r="223" spans="1:54" s="74" customFormat="1" ht="63" outlineLevel="2" x14ac:dyDescent="0.25">
      <c r="A223" s="115"/>
      <c r="B223" s="200"/>
      <c r="C223" s="201"/>
      <c r="D223" s="343"/>
      <c r="E223" s="328"/>
      <c r="F223" s="328"/>
      <c r="G223" s="328"/>
      <c r="H223" s="199" t="s">
        <v>516</v>
      </c>
      <c r="I223" s="130" t="s">
        <v>3</v>
      </c>
      <c r="J223" s="126">
        <v>3</v>
      </c>
      <c r="K223" s="126">
        <v>100</v>
      </c>
      <c r="L223" s="125">
        <f>IF(I223&lt;&gt;0,((VLOOKUP(I223,'1. Standard_Cost'!$B$4:$D$11,2)+VLOOKUP(I223,'1. Standard_Cost'!$B$4:$D$11,3))*J223*K223),"0")</f>
        <v>30240000</v>
      </c>
      <c r="M223" s="125">
        <f>L223*'1. Standard_Cost'!$F$4</f>
        <v>5050080</v>
      </c>
      <c r="N223" s="126"/>
      <c r="O223" s="126"/>
      <c r="P223" s="126"/>
      <c r="Q223" s="126"/>
      <c r="R223" s="127">
        <f>'1. Standard_Cost'!$B$15*N223*P223</f>
        <v>0</v>
      </c>
      <c r="S223" s="127">
        <f>N223*O223*P223*'1. Standard_Cost'!$C$15</f>
        <v>0</v>
      </c>
      <c r="T223" s="127">
        <f>N223*P223*Q223*'1. Standard_Cost'!$D$15</f>
        <v>0</v>
      </c>
      <c r="U223" s="127">
        <f>N223*O223*'1. Standard_Cost'!$E$15</f>
        <v>0</v>
      </c>
      <c r="V223" s="126"/>
      <c r="W223" s="126"/>
      <c r="X223" s="126"/>
      <c r="Y223" s="127">
        <f>+V223*((X223*'1. Standard_Cost'!$B$19)+(W223*X223*'1. Standard_Cost'!$C$19))</f>
        <v>0</v>
      </c>
      <c r="Z223" s="126"/>
      <c r="AA223" s="126"/>
      <c r="AB223" s="127">
        <f>+Z223*'1. Standard_Cost'!$B$23+AA223*'1. Standard_Cost'!$C$23</f>
        <v>0</v>
      </c>
      <c r="AC223" s="128"/>
      <c r="AD223" s="129"/>
      <c r="AE223" s="127">
        <f>SUM(AD223,AC223,AB223,Y223,U223,T223,S223,R223)*'1. Standard_Cost'!$B$31</f>
        <v>0</v>
      </c>
      <c r="AF223" s="127">
        <f>SUM(AE223,AD223,AC223,AB223,Y223,U223,T223,S223,R223)</f>
        <v>0</v>
      </c>
      <c r="AG223" s="126"/>
      <c r="AH223" s="126"/>
      <c r="AI223" s="126"/>
      <c r="AJ223" s="130"/>
      <c r="AK223" s="130"/>
      <c r="AL223" s="130"/>
      <c r="AM223" s="127">
        <f>AG223*'1. Standard_Cost'!$B$27+'Incremental_Cost Year 1'!AH223*'1. Standard_Cost'!$C$27+'Incremental_Cost Year 1'!AI223*'1. Standard_Cost'!$D$27+'Incremental_Cost Year 1'!AJ223+'Incremental_Cost Year 1'!AL223+AK223</f>
        <v>0</v>
      </c>
      <c r="AN223" s="127">
        <f>AM223*'1. Standard_Cost'!$C$31</f>
        <v>0</v>
      </c>
      <c r="AO223" s="130"/>
      <c r="AP223" s="239"/>
      <c r="AQ223" s="171">
        <f>L223+M223</f>
        <v>35290080</v>
      </c>
      <c r="AR223" s="171">
        <f>AF223</f>
        <v>0</v>
      </c>
      <c r="AS223" s="171">
        <f>AM223+AN223</f>
        <v>0</v>
      </c>
      <c r="AT223" s="171">
        <f>SUM(AQ223,AR223,AS223)</f>
        <v>35290080</v>
      </c>
      <c r="AU223" s="250">
        <f>AT223</f>
        <v>35290080</v>
      </c>
      <c r="AV223" s="250"/>
      <c r="AW223" s="250"/>
      <c r="AX223" s="250"/>
      <c r="AY223" s="250"/>
      <c r="AZ223" s="250"/>
      <c r="BA223" s="250"/>
      <c r="BB223" s="251">
        <f t="shared" si="194"/>
        <v>0</v>
      </c>
    </row>
    <row r="224" spans="1:54" s="74" customFormat="1" ht="31.5" outlineLevel="2" x14ac:dyDescent="0.25">
      <c r="A224" s="115"/>
      <c r="B224" s="200"/>
      <c r="C224" s="201"/>
      <c r="D224" s="344"/>
      <c r="E224" s="328"/>
      <c r="F224" s="328"/>
      <c r="G224" s="328"/>
      <c r="H224" s="199" t="s">
        <v>254</v>
      </c>
      <c r="I224" s="130"/>
      <c r="J224" s="126"/>
      <c r="K224" s="126"/>
      <c r="L224" s="125" t="str">
        <f>IF(I224&lt;&gt;0,((VLOOKUP(I224,'1. Standard_Cost'!$B$4:$D$11,2)+VLOOKUP(I224,'1. Standard_Cost'!$B$4:$D$11,3))*J224*K224),"0")</f>
        <v>0</v>
      </c>
      <c r="M224" s="125">
        <f>L224*'1. Standard_Cost'!$F$4</f>
        <v>0</v>
      </c>
      <c r="N224" s="126"/>
      <c r="O224" s="126"/>
      <c r="P224" s="126"/>
      <c r="Q224" s="126"/>
      <c r="R224" s="127">
        <f>'1. Standard_Cost'!$B$15*N224*P224</f>
        <v>0</v>
      </c>
      <c r="S224" s="127">
        <f>N224*O224*P224*'1. Standard_Cost'!$C$15</f>
        <v>0</v>
      </c>
      <c r="T224" s="127">
        <f>N224*P224*Q224*'1. Standard_Cost'!$D$15</f>
        <v>0</v>
      </c>
      <c r="U224" s="127">
        <f>N224*O224*'1. Standard_Cost'!$E$15</f>
        <v>0</v>
      </c>
      <c r="V224" s="126"/>
      <c r="W224" s="126"/>
      <c r="X224" s="126"/>
      <c r="Y224" s="127">
        <f>+V224*((X224*'1. Standard_Cost'!$B$19)+(W224*X224*'1. Standard_Cost'!$C$19))</f>
        <v>0</v>
      </c>
      <c r="Z224" s="126"/>
      <c r="AA224" s="126"/>
      <c r="AB224" s="127">
        <f>+Z224*'1. Standard_Cost'!$B$23+AA224*'1. Standard_Cost'!$C$23</f>
        <v>0</v>
      </c>
      <c r="AC224" s="128"/>
      <c r="AD224" s="129"/>
      <c r="AE224" s="127">
        <f>SUM(AD224,AC224,AB224,Y224,U224,T224,S224,R224)*'1. Standard_Cost'!$B$31</f>
        <v>0</v>
      </c>
      <c r="AF224" s="127">
        <f>SUM(AE224,AD224,AC224,AB224,Y224,U224,T224,S224,R224)</f>
        <v>0</v>
      </c>
      <c r="AG224" s="126"/>
      <c r="AH224" s="126"/>
      <c r="AI224" s="126"/>
      <c r="AJ224" s="130"/>
      <c r="AK224" s="130"/>
      <c r="AL224" s="130"/>
      <c r="AM224" s="127">
        <f>AG224*'1. Standard_Cost'!$B$27+'Incremental_Cost Year 1'!AH224*'1. Standard_Cost'!$C$27+'Incremental_Cost Year 1'!AI224*'1. Standard_Cost'!$D$27+'Incremental_Cost Year 1'!AJ224+'Incremental_Cost Year 1'!AL224+AK224</f>
        <v>0</v>
      </c>
      <c r="AN224" s="127">
        <f>AM224*'1. Standard_Cost'!$C$31</f>
        <v>0</v>
      </c>
      <c r="AO224" s="130"/>
      <c r="AP224" s="239"/>
      <c r="AQ224" s="171">
        <f>L224+M224</f>
        <v>0</v>
      </c>
      <c r="AR224" s="171">
        <f>AF224</f>
        <v>0</v>
      </c>
      <c r="AS224" s="171">
        <f>AM224+AN224</f>
        <v>0</v>
      </c>
      <c r="AT224" s="171">
        <f>SUM(AQ224,AR224,AS224)</f>
        <v>0</v>
      </c>
      <c r="AU224" s="250"/>
      <c r="AV224" s="250"/>
      <c r="AW224" s="250"/>
      <c r="AX224" s="250"/>
      <c r="AY224" s="250"/>
      <c r="AZ224" s="250"/>
      <c r="BA224" s="250"/>
      <c r="BB224" s="251">
        <f t="shared" si="194"/>
        <v>0</v>
      </c>
    </row>
    <row r="225" spans="1:54" s="74" customFormat="1" ht="47.25" outlineLevel="1" x14ac:dyDescent="0.25">
      <c r="A225" s="115"/>
      <c r="B225" s="165"/>
      <c r="C225" s="166"/>
      <c r="D225" s="150" t="s">
        <v>240</v>
      </c>
      <c r="E225" s="212" t="s">
        <v>255</v>
      </c>
      <c r="F225" s="142">
        <v>2021</v>
      </c>
      <c r="G225" s="209">
        <v>2022</v>
      </c>
      <c r="H225" s="150" t="s">
        <v>256</v>
      </c>
      <c r="I225" s="252"/>
      <c r="J225" s="252"/>
      <c r="K225" s="252"/>
      <c r="L225" s="127">
        <f>SUM(L222:L224)</f>
        <v>34776000</v>
      </c>
      <c r="M225" s="127">
        <f>SUM(M222:M224)</f>
        <v>5807592</v>
      </c>
      <c r="N225" s="252"/>
      <c r="O225" s="252"/>
      <c r="P225" s="252"/>
      <c r="Q225" s="252"/>
      <c r="R225" s="127">
        <f>SUM(R222:R224)</f>
        <v>0</v>
      </c>
      <c r="S225" s="127">
        <f>SUM(S222:S224)</f>
        <v>0</v>
      </c>
      <c r="T225" s="127">
        <f>SUM(T222:T224)</f>
        <v>0</v>
      </c>
      <c r="U225" s="127">
        <f>SUM(U222:U224)</f>
        <v>0</v>
      </c>
      <c r="V225" s="252"/>
      <c r="W225" s="252"/>
      <c r="X225" s="252"/>
      <c r="Y225" s="127">
        <f>SUM(Y222:Y224)</f>
        <v>0</v>
      </c>
      <c r="Z225" s="127"/>
      <c r="AA225" s="252"/>
      <c r="AB225" s="127">
        <f>SUM(AB222:AB224)</f>
        <v>0</v>
      </c>
      <c r="AC225" s="127">
        <f>SUM(AC222:AC224)</f>
        <v>0</v>
      </c>
      <c r="AD225" s="127">
        <f>SUM(AD222:AD224)</f>
        <v>0</v>
      </c>
      <c r="AE225" s="127">
        <f>SUM(AE222:AE224)</f>
        <v>0</v>
      </c>
      <c r="AF225" s="127">
        <f>SUM(AF222:AF224)</f>
        <v>0</v>
      </c>
      <c r="AG225" s="252"/>
      <c r="AH225" s="252"/>
      <c r="AI225" s="252"/>
      <c r="AJ225" s="127">
        <f>SUM(AJ222:AJ224)</f>
        <v>0</v>
      </c>
      <c r="AK225" s="127">
        <f>SUM(AK222:AK224)</f>
        <v>0</v>
      </c>
      <c r="AL225" s="127">
        <f>SUM(AL222:AL224)</f>
        <v>0</v>
      </c>
      <c r="AM225" s="127">
        <f>SUM(AM222:AM224)</f>
        <v>0</v>
      </c>
      <c r="AN225" s="127">
        <f>SUM(AN222:AN224)</f>
        <v>0</v>
      </c>
      <c r="AO225" s="253"/>
      <c r="AP225" s="254"/>
      <c r="AQ225" s="175">
        <f>SUM(AQ222:AQ224)</f>
        <v>40583592</v>
      </c>
      <c r="AR225" s="175">
        <f>SUM(AR222:AR224)</f>
        <v>0</v>
      </c>
      <c r="AS225" s="175">
        <f>SUM(AS222:AS224)</f>
        <v>0</v>
      </c>
      <c r="AT225" s="175">
        <f>SUM(AT222:AT224)</f>
        <v>40583592</v>
      </c>
      <c r="AU225" s="175">
        <f t="shared" ref="AU225:BA225" si="195">SUM(AU222:AU224)</f>
        <v>40583592</v>
      </c>
      <c r="AV225" s="175">
        <f t="shared" si="195"/>
        <v>0</v>
      </c>
      <c r="AW225" s="175">
        <f t="shared" si="195"/>
        <v>0</v>
      </c>
      <c r="AX225" s="175">
        <f t="shared" si="195"/>
        <v>0</v>
      </c>
      <c r="AY225" s="175">
        <f t="shared" si="195"/>
        <v>0</v>
      </c>
      <c r="AZ225" s="175">
        <f t="shared" si="195"/>
        <v>0</v>
      </c>
      <c r="BA225" s="175">
        <f t="shared" si="195"/>
        <v>0</v>
      </c>
      <c r="BB225" s="175">
        <f t="shared" ref="BB225" si="196">SUM(BB222:BB224)</f>
        <v>0</v>
      </c>
    </row>
    <row r="226" spans="1:54" s="76" customFormat="1" ht="61.9" customHeight="1" x14ac:dyDescent="0.25">
      <c r="A226" s="143"/>
      <c r="B226" s="332"/>
      <c r="C226" s="397" t="s">
        <v>257</v>
      </c>
      <c r="D226" s="397"/>
      <c r="E226" s="398"/>
      <c r="F226" s="284"/>
      <c r="G226" s="340"/>
      <c r="H226" s="144" t="s">
        <v>301</v>
      </c>
      <c r="I226" s="257"/>
      <c r="J226" s="257"/>
      <c r="K226" s="257"/>
      <c r="L226" s="258">
        <f>SUM(L231)</f>
        <v>11774028.571428573</v>
      </c>
      <c r="M226" s="258">
        <f>SUM(M231)</f>
        <v>1966262.7714285718</v>
      </c>
      <c r="N226" s="257"/>
      <c r="O226" s="257"/>
      <c r="P226" s="257"/>
      <c r="Q226" s="257"/>
      <c r="R226" s="258">
        <f>SUM(R231)</f>
        <v>0</v>
      </c>
      <c r="S226" s="258">
        <f>SUM(S231)</f>
        <v>0</v>
      </c>
      <c r="T226" s="258">
        <f>SUM(T231)</f>
        <v>0</v>
      </c>
      <c r="U226" s="258">
        <f>SUM(U231)</f>
        <v>0</v>
      </c>
      <c r="V226" s="257"/>
      <c r="W226" s="257"/>
      <c r="X226" s="257"/>
      <c r="Y226" s="258">
        <f>SUM(Y231)</f>
        <v>0</v>
      </c>
      <c r="Z226" s="258"/>
      <c r="AA226" s="258"/>
      <c r="AB226" s="258">
        <f>SUM(AB231)</f>
        <v>0</v>
      </c>
      <c r="AC226" s="258">
        <f>SUM(AC231)</f>
        <v>300000</v>
      </c>
      <c r="AD226" s="258">
        <f>SUM(AD231)</f>
        <v>0</v>
      </c>
      <c r="AE226" s="258">
        <f>SUM(AE231)</f>
        <v>60000</v>
      </c>
      <c r="AF226" s="258">
        <f>SUM(AF231)</f>
        <v>360000</v>
      </c>
      <c r="AG226" s="257"/>
      <c r="AH226" s="257"/>
      <c r="AI226" s="257"/>
      <c r="AJ226" s="258">
        <f>SUM(AJ231)</f>
        <v>0</v>
      </c>
      <c r="AK226" s="258">
        <f>SUM(AK231)</f>
        <v>0</v>
      </c>
      <c r="AL226" s="258">
        <f>SUM(AL231)</f>
        <v>0</v>
      </c>
      <c r="AM226" s="258">
        <f>SUM(AM231)</f>
        <v>0</v>
      </c>
      <c r="AN226" s="258">
        <f>SUM(AN231)</f>
        <v>0</v>
      </c>
      <c r="AO226" s="259"/>
      <c r="AP226" s="260"/>
      <c r="AQ226" s="261">
        <f>SUM(AQ231)</f>
        <v>13740291.342857143</v>
      </c>
      <c r="AR226" s="261">
        <f>SUM(AR231)</f>
        <v>360000</v>
      </c>
      <c r="AS226" s="261">
        <f>SUM(AS231)</f>
        <v>0</v>
      </c>
      <c r="AT226" s="261">
        <f>SUM(AT231)</f>
        <v>14100291.342857143</v>
      </c>
      <c r="AU226" s="261">
        <f t="shared" ref="AU226:BA226" si="197">SUM(AU231)</f>
        <v>14100291.342857143</v>
      </c>
      <c r="AV226" s="261">
        <f t="shared" si="197"/>
        <v>0</v>
      </c>
      <c r="AW226" s="261">
        <f t="shared" si="197"/>
        <v>0</v>
      </c>
      <c r="AX226" s="261">
        <f t="shared" si="197"/>
        <v>0</v>
      </c>
      <c r="AY226" s="261">
        <f t="shared" si="197"/>
        <v>0</v>
      </c>
      <c r="AZ226" s="261">
        <f t="shared" si="197"/>
        <v>0</v>
      </c>
      <c r="BA226" s="261">
        <f t="shared" si="197"/>
        <v>0</v>
      </c>
      <c r="BB226" s="261">
        <f t="shared" ref="BB226" si="198">SUM(BB231)</f>
        <v>0</v>
      </c>
    </row>
    <row r="227" spans="1:54" s="74" customFormat="1" ht="47.25" outlineLevel="2" x14ac:dyDescent="0.25">
      <c r="A227" s="115"/>
      <c r="B227" s="200"/>
      <c r="C227" s="201"/>
      <c r="D227" s="210"/>
      <c r="E227" s="328"/>
      <c r="F227" s="328"/>
      <c r="G227" s="328"/>
      <c r="H227" s="199" t="s">
        <v>517</v>
      </c>
      <c r="I227" s="130" t="s">
        <v>1</v>
      </c>
      <c r="J227" s="126">
        <v>2</v>
      </c>
      <c r="K227" s="126">
        <v>72</v>
      </c>
      <c r="L227" s="125">
        <f>IF(I227&lt;&gt;0,((VLOOKUP(I227,'1. Standard_Cost'!$B$4:$D$11,2)+VLOOKUP(I227,'1. Standard_Cost'!$B$4:$D$11,3))*J227*K227),"0")</f>
        <v>10338171.428571429</v>
      </c>
      <c r="M227" s="125">
        <f>L227*'1. Standard_Cost'!$F$4</f>
        <v>1726474.6285714288</v>
      </c>
      <c r="N227" s="126"/>
      <c r="O227" s="126"/>
      <c r="P227" s="126"/>
      <c r="Q227" s="126"/>
      <c r="R227" s="127">
        <f>'1. Standard_Cost'!$B$15*N227*P227</f>
        <v>0</v>
      </c>
      <c r="S227" s="127">
        <f>N227*O227*P227*'1. Standard_Cost'!$C$15</f>
        <v>0</v>
      </c>
      <c r="T227" s="127">
        <f>N227*P227*Q227*'1. Standard_Cost'!$D$15</f>
        <v>0</v>
      </c>
      <c r="U227" s="127">
        <f>N227*O227*'1. Standard_Cost'!$E$15</f>
        <v>0</v>
      </c>
      <c r="V227" s="126"/>
      <c r="W227" s="126"/>
      <c r="X227" s="126"/>
      <c r="Y227" s="127">
        <f>+V227*((X227*'1. Standard_Cost'!$B$19)+(W227*X227*'1. Standard_Cost'!$C$19))</f>
        <v>0</v>
      </c>
      <c r="Z227" s="126"/>
      <c r="AA227" s="126"/>
      <c r="AB227" s="127">
        <f>+Z227*'1. Standard_Cost'!$B$23+AA227*'1. Standard_Cost'!$C$23</f>
        <v>0</v>
      </c>
      <c r="AC227" s="128"/>
      <c r="AD227" s="129"/>
      <c r="AE227" s="127">
        <f>SUM(AD227,AC227,AB227,Y227,U227,T227,S227,R227)*'1. Standard_Cost'!$B$31</f>
        <v>0</v>
      </c>
      <c r="AF227" s="127">
        <f>SUM(AE227,AD227,AC227,AB227,Y227,U227,T227,S227,R227)</f>
        <v>0</v>
      </c>
      <c r="AG227" s="126"/>
      <c r="AH227" s="126"/>
      <c r="AI227" s="126"/>
      <c r="AJ227" s="130"/>
      <c r="AK227" s="130"/>
      <c r="AL227" s="130"/>
      <c r="AM227" s="127">
        <f>AG227*'1. Standard_Cost'!$B$27+'Incremental_Cost Year 1'!AH227*'1. Standard_Cost'!$C$27+'Incremental_Cost Year 1'!AI227*'1. Standard_Cost'!$D$27+'Incremental_Cost Year 1'!AJ227+'Incremental_Cost Year 1'!AL227+AK227</f>
        <v>0</v>
      </c>
      <c r="AN227" s="127">
        <f>AM227*'1. Standard_Cost'!$C$31</f>
        <v>0</v>
      </c>
      <c r="AO227" s="130"/>
      <c r="AP227" s="239"/>
      <c r="AQ227" s="171">
        <f>L227+M227</f>
        <v>12064646.057142857</v>
      </c>
      <c r="AR227" s="171">
        <f>AF227</f>
        <v>0</v>
      </c>
      <c r="AS227" s="171">
        <f>AM227+AN227</f>
        <v>0</v>
      </c>
      <c r="AT227" s="171">
        <f>SUM(AQ227,AR227,AS227)</f>
        <v>12064646.057142857</v>
      </c>
      <c r="AU227" s="250">
        <f>AT227</f>
        <v>12064646.057142857</v>
      </c>
      <c r="AV227" s="250"/>
      <c r="AW227" s="250"/>
      <c r="AX227" s="250"/>
      <c r="AY227" s="250"/>
      <c r="AZ227" s="250"/>
      <c r="BA227" s="250"/>
      <c r="BB227" s="251">
        <f t="shared" ref="BB227:BB230" si="199">SUM(AU227:BA227)-AT227</f>
        <v>0</v>
      </c>
    </row>
    <row r="228" spans="1:54" s="74" customFormat="1" ht="94.5" outlineLevel="2" x14ac:dyDescent="0.25">
      <c r="A228" s="115"/>
      <c r="B228" s="200"/>
      <c r="C228" s="201"/>
      <c r="D228" s="203"/>
      <c r="E228" s="328"/>
      <c r="F228" s="328"/>
      <c r="G228" s="328"/>
      <c r="H228" s="199" t="s">
        <v>518</v>
      </c>
      <c r="I228" s="130" t="s">
        <v>1</v>
      </c>
      <c r="J228" s="126">
        <v>2</v>
      </c>
      <c r="K228" s="126">
        <v>10</v>
      </c>
      <c r="L228" s="125">
        <f>IF(I228&lt;&gt;0,((VLOOKUP(I228,'1. Standard_Cost'!$B$4:$D$11,2)+VLOOKUP(I228,'1. Standard_Cost'!$B$4:$D$11,3))*J228*K228),"0")</f>
        <v>1435857.142857143</v>
      </c>
      <c r="M228" s="125">
        <f>L228*'1. Standard_Cost'!$F$4</f>
        <v>239788.1428571429</v>
      </c>
      <c r="N228" s="126"/>
      <c r="O228" s="126"/>
      <c r="P228" s="126"/>
      <c r="Q228" s="126"/>
      <c r="R228" s="127">
        <f>'1. Standard_Cost'!$B$15*N228*P228</f>
        <v>0</v>
      </c>
      <c r="S228" s="127">
        <f>N228*O228*P228*'1. Standard_Cost'!$C$15</f>
        <v>0</v>
      </c>
      <c r="T228" s="127">
        <f>N228*P228*Q228*'1. Standard_Cost'!$D$15</f>
        <v>0</v>
      </c>
      <c r="U228" s="127">
        <f>N228*O228*'1. Standard_Cost'!$E$15</f>
        <v>0</v>
      </c>
      <c r="V228" s="126"/>
      <c r="W228" s="126"/>
      <c r="X228" s="126"/>
      <c r="Y228" s="127">
        <f>+V228*((X228*'1. Standard_Cost'!$B$19)+(W228*X228*'1. Standard_Cost'!$C$19))</f>
        <v>0</v>
      </c>
      <c r="Z228" s="126"/>
      <c r="AA228" s="126"/>
      <c r="AB228" s="127">
        <f>+Z228*'1. Standard_Cost'!$B$23+AA228*'1. Standard_Cost'!$C$23</f>
        <v>0</v>
      </c>
      <c r="AC228" s="128">
        <f>300000</f>
        <v>300000</v>
      </c>
      <c r="AD228" s="129"/>
      <c r="AE228" s="127">
        <f>SUM(AD228,AC228,AB228,Y228,U228,T228,S228,R228)*'1. Standard_Cost'!$B$31</f>
        <v>60000</v>
      </c>
      <c r="AF228" s="127">
        <f>SUM(AE228,AD228,AC228,AB228,Y228,U228,T228,S228,R228)</f>
        <v>360000</v>
      </c>
      <c r="AG228" s="126"/>
      <c r="AH228" s="126"/>
      <c r="AI228" s="126"/>
      <c r="AJ228" s="130"/>
      <c r="AK228" s="130"/>
      <c r="AL228" s="130"/>
      <c r="AM228" s="127">
        <f>AG228*'1. Standard_Cost'!$B$27+'Incremental_Cost Year 1'!AH228*'1. Standard_Cost'!$C$27+'Incremental_Cost Year 1'!AI228*'1. Standard_Cost'!$D$27+'Incremental_Cost Year 1'!AJ228+'Incremental_Cost Year 1'!AL228+AK228</f>
        <v>0</v>
      </c>
      <c r="AN228" s="127">
        <f>AM228*'1. Standard_Cost'!$C$31</f>
        <v>0</v>
      </c>
      <c r="AO228" s="130"/>
      <c r="AP228" s="239"/>
      <c r="AQ228" s="171">
        <f>L228+M228</f>
        <v>1675645.2857142859</v>
      </c>
      <c r="AR228" s="171">
        <f>AF228</f>
        <v>360000</v>
      </c>
      <c r="AS228" s="171">
        <f>AM228+AN228</f>
        <v>0</v>
      </c>
      <c r="AT228" s="171">
        <f>SUM(AQ228,AR228,AS228)</f>
        <v>2035645.2857142859</v>
      </c>
      <c r="AU228" s="250">
        <f>AT228</f>
        <v>2035645.2857142859</v>
      </c>
      <c r="AV228" s="250"/>
      <c r="AW228" s="250"/>
      <c r="AX228" s="250"/>
      <c r="AY228" s="250"/>
      <c r="AZ228" s="250"/>
      <c r="BA228" s="250"/>
      <c r="BB228" s="251">
        <f t="shared" si="199"/>
        <v>0</v>
      </c>
    </row>
    <row r="229" spans="1:54" s="74" customFormat="1" ht="110.25" outlineLevel="2" x14ac:dyDescent="0.25">
      <c r="A229" s="115"/>
      <c r="B229" s="200"/>
      <c r="C229" s="201"/>
      <c r="D229" s="203"/>
      <c r="E229" s="328"/>
      <c r="F229" s="328"/>
      <c r="G229" s="328"/>
      <c r="H229" s="199" t="s">
        <v>519</v>
      </c>
      <c r="I229" s="130"/>
      <c r="J229" s="126"/>
      <c r="K229" s="126"/>
      <c r="L229" s="125" t="str">
        <f>IF(I229&lt;&gt;0,((VLOOKUP(I229,'1. Standard_Cost'!$B$4:$D$11,2)+VLOOKUP(I229,'1. Standard_Cost'!$B$4:$D$11,3))*J229*K229),"0")</f>
        <v>0</v>
      </c>
      <c r="M229" s="125">
        <f>L229*'1. Standard_Cost'!$F$4</f>
        <v>0</v>
      </c>
      <c r="N229" s="126"/>
      <c r="O229" s="126"/>
      <c r="P229" s="126"/>
      <c r="Q229" s="126"/>
      <c r="R229" s="127">
        <f>'1. Standard_Cost'!$B$15*N229*P229</f>
        <v>0</v>
      </c>
      <c r="S229" s="127">
        <f>N229*O229*P229*'1. Standard_Cost'!$C$15</f>
        <v>0</v>
      </c>
      <c r="T229" s="127">
        <f>N229*P229*Q229*'1. Standard_Cost'!$D$15</f>
        <v>0</v>
      </c>
      <c r="U229" s="127">
        <f>N229*O229*'1. Standard_Cost'!$E$15</f>
        <v>0</v>
      </c>
      <c r="V229" s="126"/>
      <c r="W229" s="126"/>
      <c r="X229" s="126"/>
      <c r="Y229" s="127">
        <f>+V229*((X229*'1. Standard_Cost'!$B$19)+(W229*X229*'1. Standard_Cost'!$C$19))</f>
        <v>0</v>
      </c>
      <c r="Z229" s="126"/>
      <c r="AA229" s="126"/>
      <c r="AB229" s="127">
        <f>+Z229*'1. Standard_Cost'!$B$23+AA229*'1. Standard_Cost'!$C$23</f>
        <v>0</v>
      </c>
      <c r="AC229" s="128"/>
      <c r="AD229" s="129"/>
      <c r="AE229" s="127">
        <f>SUM(AD229,AC229,AB229,Y229,U229,T229,S229,R229)*'1. Standard_Cost'!$B$31</f>
        <v>0</v>
      </c>
      <c r="AF229" s="127">
        <f>SUM(AE229,AD229,AC229,AB229,Y229,U229,T229,S229,R229)</f>
        <v>0</v>
      </c>
      <c r="AG229" s="126"/>
      <c r="AH229" s="126"/>
      <c r="AI229" s="126"/>
      <c r="AJ229" s="130"/>
      <c r="AK229" s="130"/>
      <c r="AL229" s="130"/>
      <c r="AM229" s="127">
        <f>AG229*'1. Standard_Cost'!$B$27+'Incremental_Cost Year 1'!AH229*'1. Standard_Cost'!$C$27+'Incremental_Cost Year 1'!AI229*'1. Standard_Cost'!$D$27+'Incremental_Cost Year 1'!AJ229+'Incremental_Cost Year 1'!AL229+AK229</f>
        <v>0</v>
      </c>
      <c r="AN229" s="127">
        <f>AM229*'1. Standard_Cost'!$C$31</f>
        <v>0</v>
      </c>
      <c r="AO229" s="130"/>
      <c r="AP229" s="239"/>
      <c r="AQ229" s="171">
        <f>L229+M229</f>
        <v>0</v>
      </c>
      <c r="AR229" s="171">
        <f>AF229</f>
        <v>0</v>
      </c>
      <c r="AS229" s="171">
        <f>AM229+AN229</f>
        <v>0</v>
      </c>
      <c r="AT229" s="171">
        <f>SUM(AQ229,AR229,AS229)</f>
        <v>0</v>
      </c>
      <c r="AU229" s="250"/>
      <c r="AV229" s="250"/>
      <c r="AW229" s="250"/>
      <c r="AX229" s="250"/>
      <c r="AY229" s="250"/>
      <c r="AZ229" s="250"/>
      <c r="BA229" s="250"/>
      <c r="BB229" s="251">
        <f t="shared" si="199"/>
        <v>0</v>
      </c>
    </row>
    <row r="230" spans="1:54" s="74" customFormat="1" ht="110.25" outlineLevel="2" x14ac:dyDescent="0.25">
      <c r="A230" s="115"/>
      <c r="B230" s="200"/>
      <c r="C230" s="201"/>
      <c r="D230" s="133"/>
      <c r="E230" s="328"/>
      <c r="F230" s="328"/>
      <c r="G230" s="328"/>
      <c r="H230" s="199" t="s">
        <v>520</v>
      </c>
      <c r="I230" s="130"/>
      <c r="J230" s="126"/>
      <c r="K230" s="126"/>
      <c r="L230" s="125" t="str">
        <f>IF(I230&lt;&gt;0,((VLOOKUP(I230,'1. Standard_Cost'!$B$4:$D$11,2)+VLOOKUP(I230,'1. Standard_Cost'!$B$4:$D$11,3))*J230*K230),"0")</f>
        <v>0</v>
      </c>
      <c r="M230" s="125">
        <f>L230*'1. Standard_Cost'!$F$4</f>
        <v>0</v>
      </c>
      <c r="N230" s="126"/>
      <c r="O230" s="126"/>
      <c r="P230" s="126"/>
      <c r="Q230" s="126"/>
      <c r="R230" s="127">
        <f>'1. Standard_Cost'!$B$15*N230*P230</f>
        <v>0</v>
      </c>
      <c r="S230" s="127">
        <f>N230*O230*P230*'1. Standard_Cost'!$C$15</f>
        <v>0</v>
      </c>
      <c r="T230" s="127">
        <f>N230*P230*Q230*'1. Standard_Cost'!$D$15</f>
        <v>0</v>
      </c>
      <c r="U230" s="127">
        <f>N230*O230*'1. Standard_Cost'!$E$15</f>
        <v>0</v>
      </c>
      <c r="V230" s="126"/>
      <c r="W230" s="126"/>
      <c r="X230" s="126"/>
      <c r="Y230" s="127">
        <f>+V230*((X230*'1. Standard_Cost'!$B$19)+(W230*X230*'1. Standard_Cost'!$C$19))</f>
        <v>0</v>
      </c>
      <c r="Z230" s="126"/>
      <c r="AA230" s="126"/>
      <c r="AB230" s="127">
        <f>+Z230*'1. Standard_Cost'!$B$23+AA230*'1. Standard_Cost'!$C$23</f>
        <v>0</v>
      </c>
      <c r="AC230" s="128"/>
      <c r="AD230" s="129"/>
      <c r="AE230" s="127">
        <f>SUM(AD230,AC230,AB230,Y230,U230,T230,S230,R230)*'1. Standard_Cost'!$B$31</f>
        <v>0</v>
      </c>
      <c r="AF230" s="127">
        <f>SUM(AE230,AD230,AC230,AB230,Y230,U230,T230,S230,R230)</f>
        <v>0</v>
      </c>
      <c r="AG230" s="126"/>
      <c r="AH230" s="126"/>
      <c r="AI230" s="126"/>
      <c r="AJ230" s="130"/>
      <c r="AK230" s="130"/>
      <c r="AL230" s="130"/>
      <c r="AM230" s="127">
        <f>AG230*'1. Standard_Cost'!$B$27+'Incremental_Cost Year 1'!AH230*'1. Standard_Cost'!$C$27+'Incremental_Cost Year 1'!AI230*'1. Standard_Cost'!$D$27+'Incremental_Cost Year 1'!AJ230+'Incremental_Cost Year 1'!AL230+AK230</f>
        <v>0</v>
      </c>
      <c r="AN230" s="127">
        <f>AM230*'1. Standard_Cost'!$C$31</f>
        <v>0</v>
      </c>
      <c r="AO230" s="130"/>
      <c r="AP230" s="239"/>
      <c r="AQ230" s="171">
        <f>L230+M230</f>
        <v>0</v>
      </c>
      <c r="AR230" s="171">
        <f>AF230</f>
        <v>0</v>
      </c>
      <c r="AS230" s="171">
        <f>AM230+AN230</f>
        <v>0</v>
      </c>
      <c r="AT230" s="171">
        <f>SUM(AQ230,AR230,AS230)</f>
        <v>0</v>
      </c>
      <c r="AU230" s="250"/>
      <c r="AV230" s="250"/>
      <c r="AW230" s="250"/>
      <c r="AX230" s="250"/>
      <c r="AY230" s="250"/>
      <c r="AZ230" s="250"/>
      <c r="BA230" s="250"/>
      <c r="BB230" s="251">
        <f t="shared" si="199"/>
        <v>0</v>
      </c>
    </row>
    <row r="231" spans="1:54" s="74" customFormat="1" ht="63" outlineLevel="1" x14ac:dyDescent="0.25">
      <c r="A231" s="115"/>
      <c r="B231" s="165"/>
      <c r="C231" s="166"/>
      <c r="D231" s="107" t="s">
        <v>507</v>
      </c>
      <c r="E231" s="212" t="s">
        <v>259</v>
      </c>
      <c r="F231" s="142">
        <v>2021</v>
      </c>
      <c r="G231" s="209">
        <v>2025</v>
      </c>
      <c r="H231" s="150" t="s">
        <v>260</v>
      </c>
      <c r="I231" s="252"/>
      <c r="J231" s="252"/>
      <c r="K231" s="252"/>
      <c r="L231" s="127">
        <f>SUM(L227:L230)</f>
        <v>11774028.571428573</v>
      </c>
      <c r="M231" s="127">
        <f>SUM(M227:M230)</f>
        <v>1966262.7714285718</v>
      </c>
      <c r="N231" s="252"/>
      <c r="O231" s="252"/>
      <c r="P231" s="252"/>
      <c r="Q231" s="252"/>
      <c r="R231" s="127">
        <f>SUM(R227:R230)</f>
        <v>0</v>
      </c>
      <c r="S231" s="127">
        <f>SUM(S227:S230)</f>
        <v>0</v>
      </c>
      <c r="T231" s="127">
        <f>SUM(T227:T230)</f>
        <v>0</v>
      </c>
      <c r="U231" s="127">
        <f>SUM(U227:U230)</f>
        <v>0</v>
      </c>
      <c r="V231" s="252"/>
      <c r="W231" s="252"/>
      <c r="X231" s="252"/>
      <c r="Y231" s="127">
        <f>SUM(Y227:Y230)</f>
        <v>0</v>
      </c>
      <c r="Z231" s="127"/>
      <c r="AA231" s="252"/>
      <c r="AB231" s="127">
        <f>SUM(AB227:AB230)</f>
        <v>0</v>
      </c>
      <c r="AC231" s="127">
        <f>SUM(AC227:AC230)</f>
        <v>300000</v>
      </c>
      <c r="AD231" s="127">
        <f>SUM(AD227:AD230)</f>
        <v>0</v>
      </c>
      <c r="AE231" s="127">
        <f>SUM(AE227:AE230)</f>
        <v>60000</v>
      </c>
      <c r="AF231" s="127">
        <f>SUM(AF227:AF230)</f>
        <v>360000</v>
      </c>
      <c r="AG231" s="252"/>
      <c r="AH231" s="252"/>
      <c r="AI231" s="252"/>
      <c r="AJ231" s="127">
        <f>SUM(AJ227:AJ230)</f>
        <v>0</v>
      </c>
      <c r="AK231" s="127">
        <f>SUM(AK227:AK230)</f>
        <v>0</v>
      </c>
      <c r="AL231" s="127">
        <f>SUM(AL227:AL230)</f>
        <v>0</v>
      </c>
      <c r="AM231" s="127">
        <f>SUM(AM227:AM230)</f>
        <v>0</v>
      </c>
      <c r="AN231" s="127">
        <f>SUM(AN227:AN230)</f>
        <v>0</v>
      </c>
      <c r="AO231" s="253"/>
      <c r="AP231" s="254"/>
      <c r="AQ231" s="175">
        <f>SUM(AQ227:AQ230)</f>
        <v>13740291.342857143</v>
      </c>
      <c r="AR231" s="175">
        <f>SUM(AR227:AR230)</f>
        <v>360000</v>
      </c>
      <c r="AS231" s="175">
        <f>SUM(AS227:AS230)</f>
        <v>0</v>
      </c>
      <c r="AT231" s="175">
        <f>SUM(AT227:AT230)</f>
        <v>14100291.342857143</v>
      </c>
      <c r="AU231" s="175">
        <f t="shared" ref="AU231:BA231" si="200">SUM(AU227:AU230)</f>
        <v>14100291.342857143</v>
      </c>
      <c r="AV231" s="175">
        <f t="shared" si="200"/>
        <v>0</v>
      </c>
      <c r="AW231" s="175">
        <f t="shared" si="200"/>
        <v>0</v>
      </c>
      <c r="AX231" s="175">
        <f t="shared" si="200"/>
        <v>0</v>
      </c>
      <c r="AY231" s="175">
        <f t="shared" si="200"/>
        <v>0</v>
      </c>
      <c r="AZ231" s="175">
        <f t="shared" si="200"/>
        <v>0</v>
      </c>
      <c r="BA231" s="175">
        <f t="shared" si="200"/>
        <v>0</v>
      </c>
      <c r="BB231" s="175">
        <f t="shared" ref="BB231" si="201">SUM(BB227:BB230)</f>
        <v>0</v>
      </c>
    </row>
    <row r="232" spans="1:54" s="76" customFormat="1" ht="68.45" customHeight="1" x14ac:dyDescent="0.25">
      <c r="A232" s="143"/>
      <c r="B232" s="332"/>
      <c r="C232" s="397" t="s">
        <v>261</v>
      </c>
      <c r="D232" s="397"/>
      <c r="E232" s="398"/>
      <c r="F232" s="284"/>
      <c r="G232" s="340"/>
      <c r="H232" s="144" t="s">
        <v>302</v>
      </c>
      <c r="I232" s="257"/>
      <c r="J232" s="257"/>
      <c r="K232" s="257"/>
      <c r="L232" s="258">
        <f>SUM(L237)</f>
        <v>0</v>
      </c>
      <c r="M232" s="258">
        <f>SUM(M237)</f>
        <v>0</v>
      </c>
      <c r="N232" s="257"/>
      <c r="O232" s="257"/>
      <c r="P232" s="257"/>
      <c r="Q232" s="257"/>
      <c r="R232" s="258">
        <f>SUM(R237)</f>
        <v>0</v>
      </c>
      <c r="S232" s="258">
        <f>SUM(S237)</f>
        <v>0</v>
      </c>
      <c r="T232" s="258">
        <f>SUM(T237)</f>
        <v>0</v>
      </c>
      <c r="U232" s="258">
        <f>SUM(U237)</f>
        <v>0</v>
      </c>
      <c r="V232" s="257"/>
      <c r="W232" s="257"/>
      <c r="X232" s="257"/>
      <c r="Y232" s="258">
        <f>SUM(Y237)</f>
        <v>0</v>
      </c>
      <c r="Z232" s="258"/>
      <c r="AA232" s="258"/>
      <c r="AB232" s="258">
        <f>SUM(AB237)</f>
        <v>0</v>
      </c>
      <c r="AC232" s="258">
        <f>SUM(AC237)</f>
        <v>0</v>
      </c>
      <c r="AD232" s="258">
        <f>SUM(AD237)</f>
        <v>0</v>
      </c>
      <c r="AE232" s="258">
        <f>SUM(AE237)</f>
        <v>0</v>
      </c>
      <c r="AF232" s="258">
        <f>SUM(AF237)</f>
        <v>0</v>
      </c>
      <c r="AG232" s="257"/>
      <c r="AH232" s="257"/>
      <c r="AI232" s="257"/>
      <c r="AJ232" s="258">
        <f>SUM(AJ237)</f>
        <v>0</v>
      </c>
      <c r="AK232" s="258">
        <f>SUM(AK237)</f>
        <v>0</v>
      </c>
      <c r="AL232" s="258">
        <f>SUM(AL237)</f>
        <v>0</v>
      </c>
      <c r="AM232" s="258">
        <f>SUM(AM237)</f>
        <v>0</v>
      </c>
      <c r="AN232" s="258">
        <f>SUM(AN237)</f>
        <v>0</v>
      </c>
      <c r="AO232" s="259"/>
      <c r="AP232" s="260"/>
      <c r="AQ232" s="261">
        <f>SUM(AQ237)</f>
        <v>0</v>
      </c>
      <c r="AR232" s="261">
        <f>SUM(AR237)</f>
        <v>0</v>
      </c>
      <c r="AS232" s="261">
        <f>SUM(AS237)</f>
        <v>0</v>
      </c>
      <c r="AT232" s="261">
        <f>SUM(AT237)</f>
        <v>0</v>
      </c>
      <c r="AU232" s="261">
        <f t="shared" ref="AU232:BA232" si="202">SUM(AU237)</f>
        <v>0</v>
      </c>
      <c r="AV232" s="261">
        <f t="shared" si="202"/>
        <v>0</v>
      </c>
      <c r="AW232" s="261">
        <f t="shared" si="202"/>
        <v>0</v>
      </c>
      <c r="AX232" s="261">
        <f t="shared" si="202"/>
        <v>0</v>
      </c>
      <c r="AY232" s="261">
        <f t="shared" si="202"/>
        <v>0</v>
      </c>
      <c r="AZ232" s="261">
        <f t="shared" si="202"/>
        <v>0</v>
      </c>
      <c r="BA232" s="261">
        <f t="shared" si="202"/>
        <v>0</v>
      </c>
      <c r="BB232" s="261">
        <f t="shared" ref="BB232" si="203">SUM(BB237)</f>
        <v>0</v>
      </c>
    </row>
    <row r="233" spans="1:54" s="74" customFormat="1" ht="78.75" outlineLevel="2" x14ac:dyDescent="0.25">
      <c r="A233" s="115"/>
      <c r="B233" s="200"/>
      <c r="C233" s="201"/>
      <c r="D233" s="342"/>
      <c r="E233" s="328"/>
      <c r="F233" s="328"/>
      <c r="G233" s="328"/>
      <c r="H233" s="213" t="s">
        <v>521</v>
      </c>
      <c r="I233" s="130"/>
      <c r="J233" s="126"/>
      <c r="K233" s="126"/>
      <c r="L233" s="125" t="str">
        <f>IF(I233&lt;&gt;0,((VLOOKUP(I233,'1. Standard_Cost'!$B$4:$D$11,2)+VLOOKUP(I233,'1. Standard_Cost'!$B$4:$D$11,3))*J233*K233),"0")</f>
        <v>0</v>
      </c>
      <c r="M233" s="125">
        <f>L233*'1. Standard_Cost'!$F$4</f>
        <v>0</v>
      </c>
      <c r="N233" s="126"/>
      <c r="O233" s="126"/>
      <c r="P233" s="126"/>
      <c r="Q233" s="126"/>
      <c r="R233" s="127">
        <f>'1. Standard_Cost'!$B$15*N233*P233</f>
        <v>0</v>
      </c>
      <c r="S233" s="127">
        <f>N233*O233*P233*'1. Standard_Cost'!$C$15</f>
        <v>0</v>
      </c>
      <c r="T233" s="127">
        <f>N233*P233*Q233*'1. Standard_Cost'!$D$15</f>
        <v>0</v>
      </c>
      <c r="U233" s="127">
        <f>N233*O233*'1. Standard_Cost'!$E$15</f>
        <v>0</v>
      </c>
      <c r="V233" s="126"/>
      <c r="W233" s="126"/>
      <c r="X233" s="126"/>
      <c r="Y233" s="127">
        <f>+V233*((X233*'1. Standard_Cost'!$B$19)+(W233*X233*'1. Standard_Cost'!$C$19))</f>
        <v>0</v>
      </c>
      <c r="Z233" s="126"/>
      <c r="AA233" s="126"/>
      <c r="AB233" s="127">
        <f>+Z233*'1. Standard_Cost'!$B$23+AA233*'1. Standard_Cost'!$C$23</f>
        <v>0</v>
      </c>
      <c r="AC233" s="128"/>
      <c r="AD233" s="129"/>
      <c r="AE233" s="127">
        <f>SUM(AD233,AC233,AB233,Y233,U233,T233,S233,R233)*'1. Standard_Cost'!$B$31</f>
        <v>0</v>
      </c>
      <c r="AF233" s="127">
        <f>SUM(AE233,AD233,AC233,AB233,Y233,U233,T233,S233,R233)</f>
        <v>0</v>
      </c>
      <c r="AG233" s="126"/>
      <c r="AH233" s="126"/>
      <c r="AI233" s="126"/>
      <c r="AJ233" s="130"/>
      <c r="AK233" s="130"/>
      <c r="AL233" s="130"/>
      <c r="AM233" s="127">
        <f>AG233*'1. Standard_Cost'!$B$27+'Incremental_Cost Year 1'!AH233*'1. Standard_Cost'!$C$27+'Incremental_Cost Year 1'!AI233*'1. Standard_Cost'!$D$27+'Incremental_Cost Year 1'!AJ233+'Incremental_Cost Year 1'!AL233+AK233</f>
        <v>0</v>
      </c>
      <c r="AN233" s="127">
        <f>AM233*'1. Standard_Cost'!$C$31</f>
        <v>0</v>
      </c>
      <c r="AO233" s="130"/>
      <c r="AP233" s="239"/>
      <c r="AQ233" s="171">
        <f>L233+M233</f>
        <v>0</v>
      </c>
      <c r="AR233" s="171">
        <f>AF233</f>
        <v>0</v>
      </c>
      <c r="AS233" s="171">
        <f>AM233+AN233</f>
        <v>0</v>
      </c>
      <c r="AT233" s="171">
        <f>SUM(AQ233,AR233,AS233)</f>
        <v>0</v>
      </c>
      <c r="AU233" s="250"/>
      <c r="AV233" s="250"/>
      <c r="AW233" s="250"/>
      <c r="AX233" s="250"/>
      <c r="AY233" s="250"/>
      <c r="AZ233" s="250"/>
      <c r="BA233" s="250"/>
      <c r="BB233" s="251">
        <f t="shared" ref="BB233:BB236" si="204">SUM(AU233:BA233)-AT233</f>
        <v>0</v>
      </c>
    </row>
    <row r="234" spans="1:54" s="74" customFormat="1" ht="94.5" outlineLevel="2" x14ac:dyDescent="0.25">
      <c r="A234" s="115"/>
      <c r="B234" s="200"/>
      <c r="C234" s="201"/>
      <c r="D234" s="343"/>
      <c r="E234" s="328"/>
      <c r="F234" s="328"/>
      <c r="G234" s="328"/>
      <c r="H234" s="199" t="s">
        <v>522</v>
      </c>
      <c r="I234" s="130"/>
      <c r="J234" s="126"/>
      <c r="K234" s="126"/>
      <c r="L234" s="125" t="str">
        <f>IF(I234&lt;&gt;0,((VLOOKUP(I234,'1. Standard_Cost'!$B$4:$D$11,2)+VLOOKUP(I234,'1. Standard_Cost'!$B$4:$D$11,3))*J234*K234),"0")</f>
        <v>0</v>
      </c>
      <c r="M234" s="125">
        <f>L234*'1. Standard_Cost'!$F$4</f>
        <v>0</v>
      </c>
      <c r="N234" s="126"/>
      <c r="O234" s="126"/>
      <c r="P234" s="126"/>
      <c r="Q234" s="126"/>
      <c r="R234" s="127">
        <f>'1. Standard_Cost'!$B$15*N234*P234</f>
        <v>0</v>
      </c>
      <c r="S234" s="127">
        <f>N234*O234*P234*'1. Standard_Cost'!$C$15</f>
        <v>0</v>
      </c>
      <c r="T234" s="127">
        <f>N234*P234*Q234*'1. Standard_Cost'!$D$15</f>
        <v>0</v>
      </c>
      <c r="U234" s="127">
        <f>N234*O234*'1. Standard_Cost'!$E$15</f>
        <v>0</v>
      </c>
      <c r="V234" s="126"/>
      <c r="W234" s="126"/>
      <c r="X234" s="126"/>
      <c r="Y234" s="127">
        <f>+V234*((X234*'1. Standard_Cost'!$B$19)+(W234*X234*'1. Standard_Cost'!$C$19))</f>
        <v>0</v>
      </c>
      <c r="Z234" s="126"/>
      <c r="AA234" s="126"/>
      <c r="AB234" s="127">
        <f>+Z234*'1. Standard_Cost'!$B$23+AA234*'1. Standard_Cost'!$C$23</f>
        <v>0</v>
      </c>
      <c r="AC234" s="128"/>
      <c r="AD234" s="129"/>
      <c r="AE234" s="127">
        <f>SUM(AD234,AC234,AB234,Y234,U234,T234,S234,R234)*'1. Standard_Cost'!$B$31</f>
        <v>0</v>
      </c>
      <c r="AF234" s="127">
        <f>SUM(AE234,AD234,AC234,AB234,Y234,U234,T234,S234,R234)</f>
        <v>0</v>
      </c>
      <c r="AG234" s="126"/>
      <c r="AH234" s="126"/>
      <c r="AI234" s="126"/>
      <c r="AJ234" s="130"/>
      <c r="AK234" s="130"/>
      <c r="AL234" s="130"/>
      <c r="AM234" s="127">
        <f>AG234*'1. Standard_Cost'!$B$27+'Incremental_Cost Year 1'!AH234*'1. Standard_Cost'!$C$27+'Incremental_Cost Year 1'!AI234*'1. Standard_Cost'!$D$27+'Incremental_Cost Year 1'!AJ234+'Incremental_Cost Year 1'!AL234+AK234</f>
        <v>0</v>
      </c>
      <c r="AN234" s="127">
        <f>AM234*'1. Standard_Cost'!$C$31</f>
        <v>0</v>
      </c>
      <c r="AO234" s="130"/>
      <c r="AP234" s="239"/>
      <c r="AQ234" s="171">
        <f>L234+M234</f>
        <v>0</v>
      </c>
      <c r="AR234" s="171">
        <f>AF234</f>
        <v>0</v>
      </c>
      <c r="AS234" s="171">
        <f>AM234+AN234</f>
        <v>0</v>
      </c>
      <c r="AT234" s="171">
        <f>SUM(AQ234,AR234,AS234)</f>
        <v>0</v>
      </c>
      <c r="AU234" s="250"/>
      <c r="AV234" s="250"/>
      <c r="AW234" s="250"/>
      <c r="AX234" s="250"/>
      <c r="AY234" s="250"/>
      <c r="AZ234" s="250"/>
      <c r="BA234" s="250"/>
      <c r="BB234" s="251">
        <f t="shared" si="204"/>
        <v>0</v>
      </c>
    </row>
    <row r="235" spans="1:54" s="74" customFormat="1" ht="94.5" outlineLevel="2" x14ac:dyDescent="0.25">
      <c r="A235" s="115"/>
      <c r="B235" s="200"/>
      <c r="C235" s="201"/>
      <c r="D235" s="343"/>
      <c r="E235" s="328"/>
      <c r="F235" s="328"/>
      <c r="G235" s="328"/>
      <c r="H235" s="199" t="s">
        <v>523</v>
      </c>
      <c r="I235" s="130"/>
      <c r="J235" s="126"/>
      <c r="K235" s="126"/>
      <c r="L235" s="125" t="str">
        <f>IF(I235&lt;&gt;0,((VLOOKUP(I235,'1. Standard_Cost'!$B$4:$D$11,2)+VLOOKUP(I235,'1. Standard_Cost'!$B$4:$D$11,3))*J235*K235),"0")</f>
        <v>0</v>
      </c>
      <c r="M235" s="125">
        <f>L235*'1. Standard_Cost'!$F$4</f>
        <v>0</v>
      </c>
      <c r="N235" s="126"/>
      <c r="O235" s="126"/>
      <c r="P235" s="126"/>
      <c r="Q235" s="126"/>
      <c r="R235" s="127">
        <f>'1. Standard_Cost'!$B$15*N235*P235</f>
        <v>0</v>
      </c>
      <c r="S235" s="127">
        <f>N235*O235*P235*'1. Standard_Cost'!$C$15</f>
        <v>0</v>
      </c>
      <c r="T235" s="127">
        <f>N235*P235*Q235*'1. Standard_Cost'!$D$15</f>
        <v>0</v>
      </c>
      <c r="U235" s="127">
        <f>N235*O235*'1. Standard_Cost'!$E$15</f>
        <v>0</v>
      </c>
      <c r="V235" s="126"/>
      <c r="W235" s="126"/>
      <c r="X235" s="126"/>
      <c r="Y235" s="127">
        <f>+V235*((X235*'1. Standard_Cost'!$B$19)+(W235*X235*'1. Standard_Cost'!$C$19))</f>
        <v>0</v>
      </c>
      <c r="Z235" s="126"/>
      <c r="AA235" s="126"/>
      <c r="AB235" s="127">
        <f>+Z235*'1. Standard_Cost'!$B$23+AA235*'1. Standard_Cost'!$C$23</f>
        <v>0</v>
      </c>
      <c r="AC235" s="128"/>
      <c r="AD235" s="129"/>
      <c r="AE235" s="127">
        <f>SUM(AD235,AC235,AB235,Y235,U235,T235,S235,R235)*'1. Standard_Cost'!$B$31</f>
        <v>0</v>
      </c>
      <c r="AF235" s="127">
        <f>SUM(AE235,AD235,AC235,AB235,Y235,U235,T235,S235,R235)</f>
        <v>0</v>
      </c>
      <c r="AG235" s="126"/>
      <c r="AH235" s="126"/>
      <c r="AI235" s="126"/>
      <c r="AJ235" s="130"/>
      <c r="AK235" s="130"/>
      <c r="AL235" s="130"/>
      <c r="AM235" s="127">
        <f>AG235*'1. Standard_Cost'!$B$27+'Incremental_Cost Year 1'!AH235*'1. Standard_Cost'!$C$27+'Incremental_Cost Year 1'!AI235*'1. Standard_Cost'!$D$27+'Incremental_Cost Year 1'!AJ235+'Incremental_Cost Year 1'!AL235+AK235</f>
        <v>0</v>
      </c>
      <c r="AN235" s="127">
        <f>AM235*'1. Standard_Cost'!$C$31</f>
        <v>0</v>
      </c>
      <c r="AO235" s="130"/>
      <c r="AP235" s="239"/>
      <c r="AQ235" s="171">
        <f>L235+M235</f>
        <v>0</v>
      </c>
      <c r="AR235" s="171">
        <f>AF235</f>
        <v>0</v>
      </c>
      <c r="AS235" s="171">
        <f>AM235+AN235</f>
        <v>0</v>
      </c>
      <c r="AT235" s="171">
        <f>SUM(AQ235,AR235,AS235)</f>
        <v>0</v>
      </c>
      <c r="AU235" s="250"/>
      <c r="AV235" s="250"/>
      <c r="AW235" s="250"/>
      <c r="AX235" s="250"/>
      <c r="AY235" s="250"/>
      <c r="AZ235" s="250"/>
      <c r="BA235" s="250"/>
      <c r="BB235" s="251">
        <f t="shared" si="204"/>
        <v>0</v>
      </c>
    </row>
    <row r="236" spans="1:54" s="74" customFormat="1" ht="78.75" outlineLevel="2" x14ac:dyDescent="0.25">
      <c r="A236" s="115"/>
      <c r="B236" s="200"/>
      <c r="C236" s="201"/>
      <c r="D236" s="344"/>
      <c r="E236" s="328"/>
      <c r="F236" s="328"/>
      <c r="G236" s="328"/>
      <c r="H236" s="199" t="s">
        <v>524</v>
      </c>
      <c r="I236" s="130"/>
      <c r="J236" s="126"/>
      <c r="K236" s="126"/>
      <c r="L236" s="125" t="str">
        <f>IF(I236&lt;&gt;0,((VLOOKUP(I236,'1. Standard_Cost'!$B$4:$D$11,2)+VLOOKUP(I236,'1. Standard_Cost'!$B$4:$D$11,3))*J236*K236),"0")</f>
        <v>0</v>
      </c>
      <c r="M236" s="125">
        <f>L236*'1. Standard_Cost'!$F$4</f>
        <v>0</v>
      </c>
      <c r="N236" s="126"/>
      <c r="O236" s="126"/>
      <c r="P236" s="126"/>
      <c r="Q236" s="126"/>
      <c r="R236" s="127">
        <f>'1. Standard_Cost'!$B$15*N236*P236</f>
        <v>0</v>
      </c>
      <c r="S236" s="127">
        <f>N236*O236*P236*'1. Standard_Cost'!$C$15</f>
        <v>0</v>
      </c>
      <c r="T236" s="127">
        <f>N236*P236*Q236*'1. Standard_Cost'!$D$15</f>
        <v>0</v>
      </c>
      <c r="U236" s="127">
        <f>N236*O236*'1. Standard_Cost'!$E$15</f>
        <v>0</v>
      </c>
      <c r="V236" s="126"/>
      <c r="W236" s="126"/>
      <c r="X236" s="126"/>
      <c r="Y236" s="127">
        <f>+V236*((X236*'1. Standard_Cost'!$B$19)+(W236*X236*'1. Standard_Cost'!$C$19))</f>
        <v>0</v>
      </c>
      <c r="Z236" s="126"/>
      <c r="AA236" s="126"/>
      <c r="AB236" s="127">
        <f>+Z236*'1. Standard_Cost'!$B$23+AA236*'1. Standard_Cost'!$C$23</f>
        <v>0</v>
      </c>
      <c r="AC236" s="128"/>
      <c r="AD236" s="129"/>
      <c r="AE236" s="127">
        <f>SUM(AD236,AC236,AB236,Y236,U236,T236,S236,R236)*'1. Standard_Cost'!$B$31</f>
        <v>0</v>
      </c>
      <c r="AF236" s="127">
        <f>SUM(AE236,AD236,AC236,AB236,Y236,U236,T236,S236,R236)</f>
        <v>0</v>
      </c>
      <c r="AG236" s="126"/>
      <c r="AH236" s="126"/>
      <c r="AI236" s="126"/>
      <c r="AJ236" s="130"/>
      <c r="AK236" s="130"/>
      <c r="AL236" s="130"/>
      <c r="AM236" s="127">
        <f>AG236*'1. Standard_Cost'!$B$27+'Incremental_Cost Year 1'!AH236*'1. Standard_Cost'!$C$27+'Incremental_Cost Year 1'!AI236*'1. Standard_Cost'!$D$27+'Incremental_Cost Year 1'!AJ236+'Incremental_Cost Year 1'!AL236+AK236</f>
        <v>0</v>
      </c>
      <c r="AN236" s="127">
        <f>AM236*'1. Standard_Cost'!$C$31</f>
        <v>0</v>
      </c>
      <c r="AO236" s="130"/>
      <c r="AP236" s="239"/>
      <c r="AQ236" s="171">
        <f>L236+M236</f>
        <v>0</v>
      </c>
      <c r="AR236" s="171">
        <f>AF236</f>
        <v>0</v>
      </c>
      <c r="AS236" s="171">
        <f>AM236+AN236</f>
        <v>0</v>
      </c>
      <c r="AT236" s="171">
        <f>SUM(AQ236,AR236,AS236)</f>
        <v>0</v>
      </c>
      <c r="AU236" s="250"/>
      <c r="AV236" s="250"/>
      <c r="AW236" s="250"/>
      <c r="AX236" s="250"/>
      <c r="AY236" s="250"/>
      <c r="AZ236" s="250"/>
      <c r="BA236" s="250"/>
      <c r="BB236" s="251">
        <f t="shared" si="204"/>
        <v>0</v>
      </c>
    </row>
    <row r="237" spans="1:54" s="74" customFormat="1" ht="98.45" customHeight="1" outlineLevel="1" x14ac:dyDescent="0.25">
      <c r="A237" s="115"/>
      <c r="B237" s="165"/>
      <c r="C237" s="166"/>
      <c r="D237" s="209" t="s">
        <v>563</v>
      </c>
      <c r="E237" s="212" t="s">
        <v>263</v>
      </c>
      <c r="F237" s="136">
        <v>2023</v>
      </c>
      <c r="G237" s="117">
        <v>2025</v>
      </c>
      <c r="H237" s="150" t="s">
        <v>264</v>
      </c>
      <c r="I237" s="252"/>
      <c r="J237" s="252"/>
      <c r="K237" s="252"/>
      <c r="L237" s="127">
        <f>SUM(L233:L236)</f>
        <v>0</v>
      </c>
      <c r="M237" s="127">
        <f>SUM(M233:M236)</f>
        <v>0</v>
      </c>
      <c r="N237" s="252"/>
      <c r="O237" s="252"/>
      <c r="P237" s="252"/>
      <c r="Q237" s="252"/>
      <c r="R237" s="127">
        <f>SUM(R233:R236)</f>
        <v>0</v>
      </c>
      <c r="S237" s="127">
        <f>SUM(S233:S236)</f>
        <v>0</v>
      </c>
      <c r="T237" s="127">
        <f>SUM(T233:T236)</f>
        <v>0</v>
      </c>
      <c r="U237" s="127">
        <f>SUM(U233:U236)</f>
        <v>0</v>
      </c>
      <c r="V237" s="252"/>
      <c r="W237" s="252"/>
      <c r="X237" s="252"/>
      <c r="Y237" s="127">
        <f>SUM(Y233:Y236)</f>
        <v>0</v>
      </c>
      <c r="Z237" s="127"/>
      <c r="AA237" s="252"/>
      <c r="AB237" s="127">
        <f>SUM(AB233:AB236)</f>
        <v>0</v>
      </c>
      <c r="AC237" s="127">
        <f>SUM(AC233:AC236)</f>
        <v>0</v>
      </c>
      <c r="AD237" s="127">
        <f>SUM(AD233:AD236)</f>
        <v>0</v>
      </c>
      <c r="AE237" s="127">
        <f>SUM(AE233:AE236)</f>
        <v>0</v>
      </c>
      <c r="AF237" s="127">
        <f>SUM(AF233:AF236)</f>
        <v>0</v>
      </c>
      <c r="AG237" s="252"/>
      <c r="AH237" s="252"/>
      <c r="AI237" s="252"/>
      <c r="AJ237" s="127">
        <f>SUM(AJ233:AJ236)</f>
        <v>0</v>
      </c>
      <c r="AK237" s="127">
        <f>SUM(AK233:AK236)</f>
        <v>0</v>
      </c>
      <c r="AL237" s="127">
        <f>SUM(AL233:AL236)</f>
        <v>0</v>
      </c>
      <c r="AM237" s="127">
        <f>SUM(AM233:AM236)</f>
        <v>0</v>
      </c>
      <c r="AN237" s="127">
        <f>SUM(AN233:AN236)</f>
        <v>0</v>
      </c>
      <c r="AO237" s="253"/>
      <c r="AP237" s="254"/>
      <c r="AQ237" s="175">
        <f>SUM(AQ233:AQ236)</f>
        <v>0</v>
      </c>
      <c r="AR237" s="175">
        <f>SUM(AR233:AR236)</f>
        <v>0</v>
      </c>
      <c r="AS237" s="175">
        <f>SUM(AS233:AS236)</f>
        <v>0</v>
      </c>
      <c r="AT237" s="175">
        <f>SUM(AT233:AT236)</f>
        <v>0</v>
      </c>
      <c r="AU237" s="175">
        <f t="shared" ref="AU237:BA237" si="205">SUM(AU233:AU236)</f>
        <v>0</v>
      </c>
      <c r="AV237" s="175">
        <f t="shared" si="205"/>
        <v>0</v>
      </c>
      <c r="AW237" s="175">
        <f t="shared" si="205"/>
        <v>0</v>
      </c>
      <c r="AX237" s="175">
        <f t="shared" si="205"/>
        <v>0</v>
      </c>
      <c r="AY237" s="175">
        <f t="shared" si="205"/>
        <v>0</v>
      </c>
      <c r="AZ237" s="175">
        <f t="shared" si="205"/>
        <v>0</v>
      </c>
      <c r="BA237" s="175">
        <f t="shared" si="205"/>
        <v>0</v>
      </c>
      <c r="BB237" s="175">
        <f t="shared" ref="BB237" si="206">SUM(BB233:BB236)</f>
        <v>0</v>
      </c>
    </row>
    <row r="238" spans="1:54" s="76" customFormat="1" ht="49.15" customHeight="1" x14ac:dyDescent="0.25">
      <c r="A238" s="143"/>
      <c r="B238" s="332"/>
      <c r="C238" s="397" t="s">
        <v>265</v>
      </c>
      <c r="D238" s="397"/>
      <c r="E238" s="398"/>
      <c r="F238" s="284"/>
      <c r="G238" s="340"/>
      <c r="H238" s="144" t="s">
        <v>303</v>
      </c>
      <c r="I238" s="257"/>
      <c r="J238" s="257"/>
      <c r="K238" s="257"/>
      <c r="L238" s="258">
        <f>SUM(L243)</f>
        <v>4438500</v>
      </c>
      <c r="M238" s="258">
        <f>SUM(M243)</f>
        <v>741229.5</v>
      </c>
      <c r="N238" s="257"/>
      <c r="O238" s="257"/>
      <c r="P238" s="257"/>
      <c r="Q238" s="257"/>
      <c r="R238" s="258">
        <f>SUM(R243)</f>
        <v>0</v>
      </c>
      <c r="S238" s="258">
        <f>SUM(S243)</f>
        <v>0</v>
      </c>
      <c r="T238" s="258">
        <f>SUM(T243)</f>
        <v>0</v>
      </c>
      <c r="U238" s="258">
        <f>SUM(U243)</f>
        <v>0</v>
      </c>
      <c r="V238" s="257"/>
      <c r="W238" s="257"/>
      <c r="X238" s="257"/>
      <c r="Y238" s="258">
        <f>SUM(Y243)</f>
        <v>0</v>
      </c>
      <c r="Z238" s="258"/>
      <c r="AA238" s="258"/>
      <c r="AB238" s="258">
        <f>SUM(AB243)</f>
        <v>0</v>
      </c>
      <c r="AC238" s="258">
        <f>SUM(AC243)</f>
        <v>0</v>
      </c>
      <c r="AD238" s="258">
        <f>SUM(AD243)</f>
        <v>0</v>
      </c>
      <c r="AE238" s="258">
        <f>SUM(AE243)</f>
        <v>0</v>
      </c>
      <c r="AF238" s="258">
        <f>SUM(AF243)</f>
        <v>0</v>
      </c>
      <c r="AG238" s="257"/>
      <c r="AH238" s="257"/>
      <c r="AI238" s="257"/>
      <c r="AJ238" s="258">
        <f>SUM(AJ243)</f>
        <v>0</v>
      </c>
      <c r="AK238" s="258">
        <f>SUM(AK243)</f>
        <v>0</v>
      </c>
      <c r="AL238" s="258">
        <f>SUM(AL243)</f>
        <v>0</v>
      </c>
      <c r="AM238" s="258">
        <f>SUM(AM243)</f>
        <v>0</v>
      </c>
      <c r="AN238" s="258">
        <f>SUM(AN243)</f>
        <v>0</v>
      </c>
      <c r="AO238" s="259"/>
      <c r="AP238" s="260"/>
      <c r="AQ238" s="261">
        <f>SUM(AQ243)</f>
        <v>5179729.5</v>
      </c>
      <c r="AR238" s="261">
        <f>SUM(AR243)</f>
        <v>0</v>
      </c>
      <c r="AS238" s="261">
        <f>SUM(AS243)</f>
        <v>0</v>
      </c>
      <c r="AT238" s="261">
        <f>SUM(AT243)</f>
        <v>5179729.5</v>
      </c>
      <c r="AU238" s="261">
        <f t="shared" ref="AU238:BA238" si="207">SUM(AU243)</f>
        <v>5179729.5</v>
      </c>
      <c r="AV238" s="261">
        <f t="shared" si="207"/>
        <v>0</v>
      </c>
      <c r="AW238" s="261">
        <f t="shared" si="207"/>
        <v>0</v>
      </c>
      <c r="AX238" s="261">
        <f t="shared" si="207"/>
        <v>0</v>
      </c>
      <c r="AY238" s="261">
        <f t="shared" si="207"/>
        <v>0</v>
      </c>
      <c r="AZ238" s="261">
        <f t="shared" si="207"/>
        <v>0</v>
      </c>
      <c r="BA238" s="261">
        <f t="shared" si="207"/>
        <v>0</v>
      </c>
      <c r="BB238" s="261">
        <f t="shared" ref="BB238" si="208">SUM(BB243)</f>
        <v>0</v>
      </c>
    </row>
    <row r="239" spans="1:54" s="74" customFormat="1" ht="63" outlineLevel="2" x14ac:dyDescent="0.25">
      <c r="A239" s="115"/>
      <c r="B239" s="200"/>
      <c r="C239" s="201"/>
      <c r="D239" s="202"/>
      <c r="E239" s="354"/>
      <c r="F239" s="355"/>
      <c r="G239" s="356"/>
      <c r="H239" s="199" t="s">
        <v>525</v>
      </c>
      <c r="I239" s="130" t="s">
        <v>3</v>
      </c>
      <c r="J239" s="126">
        <v>2</v>
      </c>
      <c r="K239" s="126">
        <v>10</v>
      </c>
      <c r="L239" s="125">
        <f>IF(I239&lt;&gt;0,((VLOOKUP(I239,'1. Standard_Cost'!$B$4:$D$11,2)+VLOOKUP(I239,'1. Standard_Cost'!$B$4:$D$11,3))*J239*K239),"0")</f>
        <v>2016000</v>
      </c>
      <c r="M239" s="125">
        <f>L239*'1. Standard_Cost'!$F$4</f>
        <v>336672</v>
      </c>
      <c r="N239" s="126"/>
      <c r="O239" s="126"/>
      <c r="P239" s="126"/>
      <c r="Q239" s="126"/>
      <c r="R239" s="127">
        <f>'1. Standard_Cost'!$B$15*N239*P239</f>
        <v>0</v>
      </c>
      <c r="S239" s="127">
        <f>N239*O239*P239*'1. Standard_Cost'!$C$15</f>
        <v>0</v>
      </c>
      <c r="T239" s="127">
        <f>N239*P239*Q239*'1. Standard_Cost'!$D$15</f>
        <v>0</v>
      </c>
      <c r="U239" s="127">
        <f>N239*O239*'1. Standard_Cost'!$E$15</f>
        <v>0</v>
      </c>
      <c r="V239" s="126"/>
      <c r="W239" s="126"/>
      <c r="X239" s="126"/>
      <c r="Y239" s="127">
        <f>+V239*((X239*'1. Standard_Cost'!$B$19)+(W239*X239*'1. Standard_Cost'!$C$19))</f>
        <v>0</v>
      </c>
      <c r="Z239" s="126"/>
      <c r="AA239" s="126"/>
      <c r="AB239" s="127">
        <f>+Z239*'1. Standard_Cost'!$B$23+AA239*'1. Standard_Cost'!$C$23</f>
        <v>0</v>
      </c>
      <c r="AC239" s="128"/>
      <c r="AD239" s="129"/>
      <c r="AE239" s="127">
        <f>SUM(AD239,AC239,AB239,Y239,U239,T239,S239,R239)*'1. Standard_Cost'!$B$31</f>
        <v>0</v>
      </c>
      <c r="AF239" s="127">
        <f>SUM(AE239,AD239,AC239,AB239,Y239,U239,T239,S239,R239)</f>
        <v>0</v>
      </c>
      <c r="AG239" s="126"/>
      <c r="AH239" s="126"/>
      <c r="AI239" s="126"/>
      <c r="AJ239" s="130"/>
      <c r="AK239" s="130"/>
      <c r="AL239" s="130"/>
      <c r="AM239" s="127">
        <f>AG239*'1. Standard_Cost'!$B$27+'Incremental_Cost Year 1'!AH239*'1. Standard_Cost'!$C$27+'Incremental_Cost Year 1'!AI239*'1. Standard_Cost'!$D$27+'Incremental_Cost Year 1'!AJ239+'Incremental_Cost Year 1'!AL239+AK239</f>
        <v>0</v>
      </c>
      <c r="AN239" s="127">
        <f>AM239*'1. Standard_Cost'!$C$31</f>
        <v>0</v>
      </c>
      <c r="AO239" s="130"/>
      <c r="AP239" s="239"/>
      <c r="AQ239" s="171">
        <f>L239+M239</f>
        <v>2352672</v>
      </c>
      <c r="AR239" s="171">
        <f>AF239</f>
        <v>0</v>
      </c>
      <c r="AS239" s="171">
        <f>AM239+AN239</f>
        <v>0</v>
      </c>
      <c r="AT239" s="171">
        <f>SUM(AQ239,AR239,AS239)</f>
        <v>2352672</v>
      </c>
      <c r="AU239" s="250">
        <f>AT239</f>
        <v>2352672</v>
      </c>
      <c r="AV239" s="250"/>
      <c r="AW239" s="250"/>
      <c r="AX239" s="250"/>
      <c r="AY239" s="250"/>
      <c r="AZ239" s="250"/>
      <c r="BA239" s="250"/>
      <c r="BB239" s="251">
        <f t="shared" ref="BB239:BB242" si="209">SUM(AU239:BA239)-AT239</f>
        <v>0</v>
      </c>
    </row>
    <row r="240" spans="1:54" s="74" customFormat="1" ht="31.5" outlineLevel="2" x14ac:dyDescent="0.25">
      <c r="A240" s="115"/>
      <c r="B240" s="200"/>
      <c r="C240" s="201"/>
      <c r="D240" s="202"/>
      <c r="E240" s="357"/>
      <c r="F240" s="358"/>
      <c r="G240" s="359"/>
      <c r="H240" s="199" t="s">
        <v>526</v>
      </c>
      <c r="I240" s="130" t="s">
        <v>4</v>
      </c>
      <c r="J240" s="126">
        <v>0.5</v>
      </c>
      <c r="K240" s="126">
        <v>30</v>
      </c>
      <c r="L240" s="125">
        <f>IF(I240&lt;&gt;0,((VLOOKUP(I240,'1. Standard_Cost'!$B$4:$D$11,2)+VLOOKUP(I240,'1. Standard_Cost'!$B$4:$D$11,3))*J240*K240),"0")</f>
        <v>1211250</v>
      </c>
      <c r="M240" s="125">
        <f>L240*'1. Standard_Cost'!$F$4</f>
        <v>202278.75</v>
      </c>
      <c r="N240" s="126"/>
      <c r="O240" s="126"/>
      <c r="P240" s="126"/>
      <c r="Q240" s="126"/>
      <c r="R240" s="127">
        <f>'1. Standard_Cost'!$B$15*N240*P240</f>
        <v>0</v>
      </c>
      <c r="S240" s="127">
        <f>N240*O240*P240*'1. Standard_Cost'!$C$15</f>
        <v>0</v>
      </c>
      <c r="T240" s="127">
        <f>N240*P240*Q240*'1. Standard_Cost'!$D$15</f>
        <v>0</v>
      </c>
      <c r="U240" s="127">
        <f>N240*O240*'1. Standard_Cost'!$E$15</f>
        <v>0</v>
      </c>
      <c r="V240" s="126"/>
      <c r="W240" s="126"/>
      <c r="X240" s="126"/>
      <c r="Y240" s="127">
        <f>+V240*((X240*'1. Standard_Cost'!$B$19)+(W240*X240*'1. Standard_Cost'!$C$19))</f>
        <v>0</v>
      </c>
      <c r="Z240" s="126"/>
      <c r="AA240" s="126"/>
      <c r="AB240" s="127">
        <f>+Z240*'1. Standard_Cost'!$B$23+AA240*'1. Standard_Cost'!$C$23</f>
        <v>0</v>
      </c>
      <c r="AC240" s="128"/>
      <c r="AD240" s="129"/>
      <c r="AE240" s="127">
        <f>SUM(AD240,AC240,AB240,Y240,U240,T240,S240,R240)*'1. Standard_Cost'!$B$31</f>
        <v>0</v>
      </c>
      <c r="AF240" s="127">
        <f>SUM(AE240,AD240,AC240,AB240,Y240,U240,T240,S240,R240)</f>
        <v>0</v>
      </c>
      <c r="AG240" s="126"/>
      <c r="AH240" s="126"/>
      <c r="AI240" s="126"/>
      <c r="AJ240" s="130"/>
      <c r="AK240" s="130"/>
      <c r="AL240" s="130"/>
      <c r="AM240" s="127">
        <f>AG240*'1. Standard_Cost'!$B$27+'Incremental_Cost Year 1'!AH240*'1. Standard_Cost'!$C$27+'Incremental_Cost Year 1'!AI240*'1. Standard_Cost'!$D$27+'Incremental_Cost Year 1'!AJ240+'Incremental_Cost Year 1'!AL240+AK240</f>
        <v>0</v>
      </c>
      <c r="AN240" s="127">
        <f>AM240*'1. Standard_Cost'!$C$31</f>
        <v>0</v>
      </c>
      <c r="AO240" s="130"/>
      <c r="AP240" s="239"/>
      <c r="AQ240" s="171">
        <f>L240+M240</f>
        <v>1413528.75</v>
      </c>
      <c r="AR240" s="171">
        <f>AF240</f>
        <v>0</v>
      </c>
      <c r="AS240" s="171">
        <f>AM240+AN240</f>
        <v>0</v>
      </c>
      <c r="AT240" s="171">
        <f>SUM(AQ240,AR240,AS240)</f>
        <v>1413528.75</v>
      </c>
      <c r="AU240" s="250">
        <f>AT240</f>
        <v>1413528.75</v>
      </c>
      <c r="AV240" s="250"/>
      <c r="AW240" s="250"/>
      <c r="AX240" s="250"/>
      <c r="AY240" s="250"/>
      <c r="AZ240" s="250"/>
      <c r="BA240" s="250"/>
      <c r="BB240" s="251">
        <f t="shared" si="209"/>
        <v>0</v>
      </c>
    </row>
    <row r="241" spans="1:58" s="74" customFormat="1" ht="47.25" outlineLevel="2" x14ac:dyDescent="0.25">
      <c r="A241" s="115"/>
      <c r="B241" s="200"/>
      <c r="C241" s="201"/>
      <c r="D241" s="202"/>
      <c r="E241" s="357"/>
      <c r="F241" s="358"/>
      <c r="G241" s="359"/>
      <c r="H241" s="199" t="s">
        <v>527</v>
      </c>
      <c r="I241" s="130" t="s">
        <v>4</v>
      </c>
      <c r="J241" s="126">
        <v>0.5</v>
      </c>
      <c r="K241" s="126">
        <v>30</v>
      </c>
      <c r="L241" s="125">
        <f>IF(I241&lt;&gt;0,((VLOOKUP(I241,'1. Standard_Cost'!$B$4:$D$11,2)+VLOOKUP(I241,'1. Standard_Cost'!$B$4:$D$11,3))*J241*K241),"0")</f>
        <v>1211250</v>
      </c>
      <c r="M241" s="125">
        <f>L241*'1. Standard_Cost'!$F$4</f>
        <v>202278.75</v>
      </c>
      <c r="N241" s="126"/>
      <c r="O241" s="126"/>
      <c r="P241" s="126"/>
      <c r="Q241" s="126"/>
      <c r="R241" s="127">
        <f>'1. Standard_Cost'!$B$15*N241*P241</f>
        <v>0</v>
      </c>
      <c r="S241" s="127">
        <f>N241*O241*P241*'1. Standard_Cost'!$C$15</f>
        <v>0</v>
      </c>
      <c r="T241" s="127">
        <f>N241*P241*Q241*'1. Standard_Cost'!$D$15</f>
        <v>0</v>
      </c>
      <c r="U241" s="127">
        <f>N241*O241*'1. Standard_Cost'!$E$15</f>
        <v>0</v>
      </c>
      <c r="V241" s="126"/>
      <c r="W241" s="126"/>
      <c r="X241" s="126"/>
      <c r="Y241" s="127">
        <f>+V241*((X241*'1. Standard_Cost'!$B$19)+(W241*X241*'1. Standard_Cost'!$C$19))</f>
        <v>0</v>
      </c>
      <c r="Z241" s="126"/>
      <c r="AA241" s="126"/>
      <c r="AB241" s="127">
        <f>+Z241*'1. Standard_Cost'!$B$23+AA241*'1. Standard_Cost'!$C$23</f>
        <v>0</v>
      </c>
      <c r="AC241" s="128"/>
      <c r="AD241" s="129"/>
      <c r="AE241" s="127">
        <f>SUM(AD241,AC241,AB241,Y241,U241,T241,S241,R241)*'1. Standard_Cost'!$B$31</f>
        <v>0</v>
      </c>
      <c r="AF241" s="127">
        <f>SUM(AE241,AD241,AC241,AB241,Y241,U241,T241,S241,R241)</f>
        <v>0</v>
      </c>
      <c r="AG241" s="126"/>
      <c r="AH241" s="126"/>
      <c r="AI241" s="126"/>
      <c r="AJ241" s="130"/>
      <c r="AK241" s="130"/>
      <c r="AL241" s="130"/>
      <c r="AM241" s="127">
        <f>AG241*'1. Standard_Cost'!$B$27+'Incremental_Cost Year 1'!AH241*'1. Standard_Cost'!$C$27+'Incremental_Cost Year 1'!AI241*'1. Standard_Cost'!$D$27+'Incremental_Cost Year 1'!AJ241+'Incremental_Cost Year 1'!AL241+AK241</f>
        <v>0</v>
      </c>
      <c r="AN241" s="127">
        <f>AM241*'1. Standard_Cost'!$C$31</f>
        <v>0</v>
      </c>
      <c r="AO241" s="130"/>
      <c r="AP241" s="239"/>
      <c r="AQ241" s="171">
        <f>L241+M241</f>
        <v>1413528.75</v>
      </c>
      <c r="AR241" s="171">
        <f>AF241</f>
        <v>0</v>
      </c>
      <c r="AS241" s="171">
        <f>AM241+AN241</f>
        <v>0</v>
      </c>
      <c r="AT241" s="171">
        <f>SUM(AQ241,AR241,AS241)</f>
        <v>1413528.75</v>
      </c>
      <c r="AU241" s="250">
        <f>AT241</f>
        <v>1413528.75</v>
      </c>
      <c r="AV241" s="250"/>
      <c r="AW241" s="250"/>
      <c r="AX241" s="250"/>
      <c r="AY241" s="250"/>
      <c r="AZ241" s="250"/>
      <c r="BA241" s="250"/>
      <c r="BB241" s="251">
        <f t="shared" si="209"/>
        <v>0</v>
      </c>
    </row>
    <row r="242" spans="1:58" s="74" customFormat="1" ht="94.5" outlineLevel="2" x14ac:dyDescent="0.25">
      <c r="A242" s="115"/>
      <c r="B242" s="200"/>
      <c r="C242" s="201"/>
      <c r="D242" s="202"/>
      <c r="E242" s="360"/>
      <c r="F242" s="361"/>
      <c r="G242" s="362"/>
      <c r="H242" s="213" t="s">
        <v>528</v>
      </c>
      <c r="I242" s="130"/>
      <c r="J242" s="126"/>
      <c r="K242" s="126"/>
      <c r="L242" s="125" t="str">
        <f>IF(I242&lt;&gt;0,((VLOOKUP(I242,'1. Standard_Cost'!$B$4:$D$11,2)+VLOOKUP(I242,'1. Standard_Cost'!$B$4:$D$11,3))*J242*K242),"0")</f>
        <v>0</v>
      </c>
      <c r="M242" s="125">
        <f>L242*'1. Standard_Cost'!$F$4</f>
        <v>0</v>
      </c>
      <c r="N242" s="126"/>
      <c r="O242" s="126"/>
      <c r="P242" s="126"/>
      <c r="Q242" s="126"/>
      <c r="R242" s="127">
        <f>'1. Standard_Cost'!$B$15*N242*P242</f>
        <v>0</v>
      </c>
      <c r="S242" s="127">
        <f>N242*O242*P242*'1. Standard_Cost'!$C$15</f>
        <v>0</v>
      </c>
      <c r="T242" s="127">
        <f>N242*P242*Q242*'1. Standard_Cost'!$D$15</f>
        <v>0</v>
      </c>
      <c r="U242" s="127">
        <f>N242*O242*'1. Standard_Cost'!$E$15</f>
        <v>0</v>
      </c>
      <c r="V242" s="126"/>
      <c r="W242" s="126"/>
      <c r="X242" s="126"/>
      <c r="Y242" s="127">
        <f>+V242*((X242*'1. Standard_Cost'!$B$19)+(W242*X242*'1. Standard_Cost'!$C$19))</f>
        <v>0</v>
      </c>
      <c r="Z242" s="126"/>
      <c r="AA242" s="126"/>
      <c r="AB242" s="127">
        <f>+Z242*'1. Standard_Cost'!$B$23+AA242*'1. Standard_Cost'!$C$23</f>
        <v>0</v>
      </c>
      <c r="AC242" s="128"/>
      <c r="AD242" s="129"/>
      <c r="AE242" s="127">
        <f>SUM(AD242,AC242,AB242,Y242,U242,T242,S242,R242)*'1. Standard_Cost'!$B$31</f>
        <v>0</v>
      </c>
      <c r="AF242" s="127">
        <f>SUM(AE242,AD242,AC242,AB242,Y242,U242,T242,S242,R242)</f>
        <v>0</v>
      </c>
      <c r="AG242" s="126"/>
      <c r="AH242" s="126"/>
      <c r="AI242" s="126"/>
      <c r="AJ242" s="130"/>
      <c r="AK242" s="130"/>
      <c r="AL242" s="130"/>
      <c r="AM242" s="127">
        <f>AG242*'1. Standard_Cost'!$B$27+'Incremental_Cost Year 1'!AH242*'1. Standard_Cost'!$C$27+'Incremental_Cost Year 1'!AI242*'1. Standard_Cost'!$D$27+'Incremental_Cost Year 1'!AJ242+'Incremental_Cost Year 1'!AL242+AK242</f>
        <v>0</v>
      </c>
      <c r="AN242" s="127">
        <f>AM242*'1. Standard_Cost'!$C$31</f>
        <v>0</v>
      </c>
      <c r="AO242" s="130"/>
      <c r="AP242" s="239"/>
      <c r="AQ242" s="171">
        <f>L242+M242</f>
        <v>0</v>
      </c>
      <c r="AR242" s="171">
        <f>AF242</f>
        <v>0</v>
      </c>
      <c r="AS242" s="171">
        <f>AM242+AN242</f>
        <v>0</v>
      </c>
      <c r="AT242" s="171">
        <f>SUM(AQ242,AR242,AS242)</f>
        <v>0</v>
      </c>
      <c r="AU242" s="250"/>
      <c r="AV242" s="250"/>
      <c r="AW242" s="250"/>
      <c r="AX242" s="250"/>
      <c r="AY242" s="250"/>
      <c r="AZ242" s="250"/>
      <c r="BA242" s="250"/>
      <c r="BB242" s="251">
        <f t="shared" si="209"/>
        <v>0</v>
      </c>
    </row>
    <row r="243" spans="1:58" s="74" customFormat="1" ht="113.45" customHeight="1" outlineLevel="1" x14ac:dyDescent="0.25">
      <c r="A243" s="115"/>
      <c r="B243" s="165"/>
      <c r="C243" s="166"/>
      <c r="D243" s="150" t="s">
        <v>564</v>
      </c>
      <c r="E243" s="212" t="s">
        <v>267</v>
      </c>
      <c r="F243" s="136">
        <v>2021</v>
      </c>
      <c r="G243" s="117">
        <v>2024</v>
      </c>
      <c r="H243" s="150" t="s">
        <v>304</v>
      </c>
      <c r="I243" s="252"/>
      <c r="J243" s="252"/>
      <c r="K243" s="252"/>
      <c r="L243" s="127">
        <f>SUM(L239:L242)</f>
        <v>4438500</v>
      </c>
      <c r="M243" s="127">
        <f>SUM(M239:M242)</f>
        <v>741229.5</v>
      </c>
      <c r="N243" s="252"/>
      <c r="O243" s="252"/>
      <c r="P243" s="252"/>
      <c r="Q243" s="252"/>
      <c r="R243" s="127">
        <f>SUM(R239:R242)</f>
        <v>0</v>
      </c>
      <c r="S243" s="127">
        <f>SUM(S239:S242)</f>
        <v>0</v>
      </c>
      <c r="T243" s="127">
        <f>SUM(T239:T242)</f>
        <v>0</v>
      </c>
      <c r="U243" s="127">
        <f>SUM(U239:U242)</f>
        <v>0</v>
      </c>
      <c r="V243" s="252"/>
      <c r="W243" s="252"/>
      <c r="X243" s="252"/>
      <c r="Y243" s="127">
        <f>SUM(Y239:Y242)</f>
        <v>0</v>
      </c>
      <c r="Z243" s="127"/>
      <c r="AA243" s="252"/>
      <c r="AB243" s="127">
        <f>SUM(AB239:AB242)</f>
        <v>0</v>
      </c>
      <c r="AC243" s="127">
        <f>SUM(AC239:AC242)</f>
        <v>0</v>
      </c>
      <c r="AD243" s="127">
        <f>SUM(AD239:AD242)</f>
        <v>0</v>
      </c>
      <c r="AE243" s="127">
        <f>SUM(AE239:AE242)</f>
        <v>0</v>
      </c>
      <c r="AF243" s="127">
        <f>SUM(AF239:AF242)</f>
        <v>0</v>
      </c>
      <c r="AG243" s="252"/>
      <c r="AH243" s="252"/>
      <c r="AI243" s="252"/>
      <c r="AJ243" s="127">
        <f>SUM(AJ239:AJ242)</f>
        <v>0</v>
      </c>
      <c r="AK243" s="127">
        <f>SUM(AK239:AK242)</f>
        <v>0</v>
      </c>
      <c r="AL243" s="127">
        <f>SUM(AL239:AL242)</f>
        <v>0</v>
      </c>
      <c r="AM243" s="127">
        <f>SUM(AM239:AM242)</f>
        <v>0</v>
      </c>
      <c r="AN243" s="127">
        <f>SUM(AN239:AN242)</f>
        <v>0</v>
      </c>
      <c r="AO243" s="253"/>
      <c r="AP243" s="254"/>
      <c r="AQ243" s="175">
        <f>SUM(AQ239:AQ242)</f>
        <v>5179729.5</v>
      </c>
      <c r="AR243" s="175">
        <f>SUM(AR239:AR242)</f>
        <v>0</v>
      </c>
      <c r="AS243" s="175">
        <f>SUM(AS239:AS242)</f>
        <v>0</v>
      </c>
      <c r="AT243" s="175">
        <f>SUM(AT239:AT242)</f>
        <v>5179729.5</v>
      </c>
      <c r="AU243" s="175">
        <f t="shared" ref="AU243:BA243" si="210">SUM(AU239:AU242)</f>
        <v>5179729.5</v>
      </c>
      <c r="AV243" s="175">
        <f t="shared" si="210"/>
        <v>0</v>
      </c>
      <c r="AW243" s="175">
        <f t="shared" si="210"/>
        <v>0</v>
      </c>
      <c r="AX243" s="175">
        <f t="shared" si="210"/>
        <v>0</v>
      </c>
      <c r="AY243" s="175">
        <f t="shared" si="210"/>
        <v>0</v>
      </c>
      <c r="AZ243" s="175">
        <f t="shared" si="210"/>
        <v>0</v>
      </c>
      <c r="BA243" s="175">
        <f t="shared" si="210"/>
        <v>0</v>
      </c>
      <c r="BB243" s="175">
        <f t="shared" ref="BB243" si="211">SUM(BB239:BB242)</f>
        <v>0</v>
      </c>
    </row>
    <row r="244" spans="1:58" ht="12.75" x14ac:dyDescent="0.2">
      <c r="A244" s="158"/>
      <c r="B244" s="399" t="s">
        <v>316</v>
      </c>
      <c r="C244" s="400"/>
      <c r="D244" s="400"/>
      <c r="E244" s="401"/>
      <c r="F244" s="188"/>
      <c r="G244" s="188"/>
      <c r="H244" s="188" t="s">
        <v>317</v>
      </c>
      <c r="I244" s="245"/>
      <c r="J244" s="245"/>
      <c r="K244" s="245"/>
      <c r="L244" s="245">
        <f>L245+L259+L269+L277+L284</f>
        <v>3878000</v>
      </c>
      <c r="M244" s="245">
        <f>M245+M259+M269+M277+M284</f>
        <v>647626</v>
      </c>
      <c r="N244" s="245"/>
      <c r="O244" s="245"/>
      <c r="P244" s="245"/>
      <c r="Q244" s="245"/>
      <c r="R244" s="245">
        <f>R245+R259+R269+R277+R284</f>
        <v>0</v>
      </c>
      <c r="S244" s="245">
        <f>S245+S259+S269+S277+S284</f>
        <v>0</v>
      </c>
      <c r="T244" s="245">
        <f>T245+T259+T269+T277+T284</f>
        <v>0</v>
      </c>
      <c r="U244" s="245">
        <f>U245+U259+U269+U277+U284</f>
        <v>0</v>
      </c>
      <c r="V244" s="245"/>
      <c r="W244" s="245"/>
      <c r="X244" s="245"/>
      <c r="Y244" s="245">
        <f t="shared" ref="Y244:AF244" si="212">Y245+Y259+Y269+Y277+Y284</f>
        <v>0</v>
      </c>
      <c r="Z244" s="245">
        <f t="shared" si="212"/>
        <v>0</v>
      </c>
      <c r="AA244" s="245">
        <f t="shared" si="212"/>
        <v>0</v>
      </c>
      <c r="AB244" s="245">
        <f t="shared" si="212"/>
        <v>0</v>
      </c>
      <c r="AC244" s="245">
        <f t="shared" si="212"/>
        <v>31292500</v>
      </c>
      <c r="AD244" s="245">
        <f t="shared" si="212"/>
        <v>0</v>
      </c>
      <c r="AE244" s="245">
        <f t="shared" si="212"/>
        <v>1400000</v>
      </c>
      <c r="AF244" s="245">
        <f t="shared" si="212"/>
        <v>32692500</v>
      </c>
      <c r="AG244" s="245"/>
      <c r="AH244" s="245"/>
      <c r="AI244" s="245"/>
      <c r="AJ244" s="245">
        <f>AJ245+AJ259+AJ269+AJ277+AJ284</f>
        <v>0</v>
      </c>
      <c r="AK244" s="245">
        <f>AK245+AK259+AK269+AK277+AK284</f>
        <v>0</v>
      </c>
      <c r="AL244" s="245">
        <f>AL245+AL259+AL269+AL277+AL284</f>
        <v>0</v>
      </c>
      <c r="AM244" s="245">
        <f>AM245+AM259+AM269+AM277+AM284</f>
        <v>0</v>
      </c>
      <c r="AN244" s="245">
        <f>AN245+AN259+AN269+AN277+AN284</f>
        <v>0</v>
      </c>
      <c r="AO244" s="245"/>
      <c r="AP244" s="244"/>
      <c r="AQ244" s="245">
        <f t="shared" ref="AQ244:BB244" si="213">AQ245+AQ259+AQ269+AQ277+AQ284</f>
        <v>4525626</v>
      </c>
      <c r="AR244" s="245">
        <f t="shared" si="213"/>
        <v>32692500</v>
      </c>
      <c r="AS244" s="245">
        <f t="shared" si="213"/>
        <v>0</v>
      </c>
      <c r="AT244" s="245">
        <f t="shared" si="213"/>
        <v>37218126</v>
      </c>
      <c r="AU244" s="245">
        <f>AU245+AU259+AU269+AU277+AU284</f>
        <v>9680462.6399999987</v>
      </c>
      <c r="AV244" s="245">
        <f t="shared" si="213"/>
        <v>0</v>
      </c>
      <c r="AW244" s="245">
        <f t="shared" si="213"/>
        <v>27537663</v>
      </c>
      <c r="AX244" s="245">
        <f t="shared" si="213"/>
        <v>0</v>
      </c>
      <c r="AY244" s="245">
        <f t="shared" si="213"/>
        <v>0</v>
      </c>
      <c r="AZ244" s="245">
        <f t="shared" si="213"/>
        <v>0</v>
      </c>
      <c r="BA244" s="245">
        <f t="shared" si="213"/>
        <v>0</v>
      </c>
      <c r="BB244" s="245">
        <f t="shared" si="213"/>
        <v>-0.3600000012665987</v>
      </c>
      <c r="BC244" s="156"/>
      <c r="BD244" s="156"/>
      <c r="BE244" s="156"/>
      <c r="BF244" s="156"/>
    </row>
    <row r="245" spans="1:58" ht="75" customHeight="1" x14ac:dyDescent="0.2">
      <c r="A245" s="159"/>
      <c r="B245" s="285"/>
      <c r="C245" s="391" t="s">
        <v>318</v>
      </c>
      <c r="D245" s="391"/>
      <c r="E245" s="392"/>
      <c r="F245" s="280"/>
      <c r="G245" s="282"/>
      <c r="H245" s="368" t="s">
        <v>319</v>
      </c>
      <c r="I245" s="270"/>
      <c r="J245" s="271"/>
      <c r="K245" s="271"/>
      <c r="L245" s="261">
        <f>L250+L254+L258</f>
        <v>0</v>
      </c>
      <c r="M245" s="261">
        <f>M250+M254+M258</f>
        <v>0</v>
      </c>
      <c r="N245" s="271"/>
      <c r="O245" s="271"/>
      <c r="P245" s="271"/>
      <c r="Q245" s="271"/>
      <c r="R245" s="261">
        <f>R250+R254+R258</f>
        <v>0</v>
      </c>
      <c r="S245" s="261">
        <f>S250+S254+S258</f>
        <v>0</v>
      </c>
      <c r="T245" s="261">
        <f>T250+T254+T258</f>
        <v>0</v>
      </c>
      <c r="U245" s="261">
        <f>U250+U254+U258</f>
        <v>0</v>
      </c>
      <c r="V245" s="271"/>
      <c r="W245" s="271"/>
      <c r="X245" s="271"/>
      <c r="Y245" s="261">
        <f>Y250+Y254+Y258</f>
        <v>0</v>
      </c>
      <c r="Z245" s="261">
        <f>Z250+Z254+Z258</f>
        <v>0</v>
      </c>
      <c r="AA245" s="271"/>
      <c r="AB245" s="261">
        <f>AB250+AB254+AB258</f>
        <v>0</v>
      </c>
      <c r="AC245" s="261">
        <f>AC250+AC254+AC258</f>
        <v>0</v>
      </c>
      <c r="AD245" s="261">
        <f>AD250+AD254+AD258</f>
        <v>0</v>
      </c>
      <c r="AE245" s="261">
        <f>AE250+AE254+AE258</f>
        <v>0</v>
      </c>
      <c r="AF245" s="261">
        <f>AF250+AF254+AF258</f>
        <v>0</v>
      </c>
      <c r="AG245" s="271"/>
      <c r="AH245" s="271"/>
      <c r="AI245" s="271"/>
      <c r="AJ245" s="261">
        <f>AJ250+AJ254+AJ258</f>
        <v>0</v>
      </c>
      <c r="AK245" s="261">
        <f>AK250+AK254+AK258</f>
        <v>0</v>
      </c>
      <c r="AL245" s="261">
        <f>AL250+AL254+AL258</f>
        <v>0</v>
      </c>
      <c r="AM245" s="261">
        <f>AM250+AM254+AM258</f>
        <v>0</v>
      </c>
      <c r="AN245" s="261">
        <f>AN250+AN254+AN258</f>
        <v>0</v>
      </c>
      <c r="AO245" s="272"/>
      <c r="AP245" s="260"/>
      <c r="AQ245" s="261">
        <f t="shared" ref="AQ245:BB245" si="214">AQ250+AQ254+AQ258</f>
        <v>0</v>
      </c>
      <c r="AR245" s="261">
        <f t="shared" si="214"/>
        <v>0</v>
      </c>
      <c r="AS245" s="261">
        <f t="shared" si="214"/>
        <v>0</v>
      </c>
      <c r="AT245" s="261">
        <f t="shared" si="214"/>
        <v>0</v>
      </c>
      <c r="AU245" s="261">
        <f t="shared" si="214"/>
        <v>0</v>
      </c>
      <c r="AV245" s="261">
        <f t="shared" si="214"/>
        <v>0</v>
      </c>
      <c r="AW245" s="261">
        <f t="shared" si="214"/>
        <v>0</v>
      </c>
      <c r="AX245" s="261">
        <f t="shared" si="214"/>
        <v>0</v>
      </c>
      <c r="AY245" s="261">
        <f t="shared" si="214"/>
        <v>0</v>
      </c>
      <c r="AZ245" s="261">
        <f t="shared" si="214"/>
        <v>0</v>
      </c>
      <c r="BA245" s="261">
        <f t="shared" si="214"/>
        <v>0</v>
      </c>
      <c r="BB245" s="261">
        <f t="shared" si="214"/>
        <v>0</v>
      </c>
      <c r="BC245" s="160"/>
      <c r="BD245" s="160"/>
      <c r="BE245" s="160"/>
      <c r="BF245" s="160"/>
    </row>
    <row r="246" spans="1:58" ht="94.5" x14ac:dyDescent="0.25">
      <c r="A246" s="157"/>
      <c r="B246" s="161"/>
      <c r="C246" s="162"/>
      <c r="D246" s="346"/>
      <c r="E246" s="355"/>
      <c r="F246" s="355"/>
      <c r="G246" s="356"/>
      <c r="H246" s="199" t="s">
        <v>320</v>
      </c>
      <c r="I246" s="178"/>
      <c r="J246" s="174"/>
      <c r="K246" s="174"/>
      <c r="L246" s="125" t="str">
        <f>IF(I246&lt;&gt;0,((VLOOKUP(I246,'1. Standard_Cost'!$B$4:$D$11,2)+VLOOKUP(I246,'1. Standard_Cost'!$B$4:$D$11,3))*J246*K246),"0")</f>
        <v>0</v>
      </c>
      <c r="M246" s="125">
        <f>L246*'1. Standard_Cost'!$F$4</f>
        <v>0</v>
      </c>
      <c r="N246" s="174"/>
      <c r="O246" s="174"/>
      <c r="P246" s="174"/>
      <c r="Q246" s="174"/>
      <c r="R246" s="127">
        <f>'1. Standard_Cost'!$B$15*N246*P246</f>
        <v>0</v>
      </c>
      <c r="S246" s="127">
        <f>N246*O246*P246*'1. Standard_Cost'!$C$15</f>
        <v>0</v>
      </c>
      <c r="T246" s="127">
        <f>N246*P246*Q246*'1. Standard_Cost'!$D$15</f>
        <v>0</v>
      </c>
      <c r="U246" s="127">
        <f>N246*O246*'1. Standard_Cost'!$E$15</f>
        <v>0</v>
      </c>
      <c r="V246" s="174"/>
      <c r="W246" s="174"/>
      <c r="X246" s="174"/>
      <c r="Y246" s="127">
        <f>+V246*((X246*'1. Standard_Cost'!$B$19)+(W246*X246*'1. Standard_Cost'!$C$19))</f>
        <v>0</v>
      </c>
      <c r="Z246" s="174"/>
      <c r="AA246" s="174"/>
      <c r="AB246" s="127">
        <f>+Z246*'1. Standard_Cost'!$B$23+AA246*'1. Standard_Cost'!$C$23</f>
        <v>0</v>
      </c>
      <c r="AC246" s="176"/>
      <c r="AD246" s="177"/>
      <c r="AE246" s="127">
        <f>SUM(AD246,AC246,AB246,Y246,U246,T246,S246,R246)*'1. Standard_Cost'!$B$31</f>
        <v>0</v>
      </c>
      <c r="AF246" s="127">
        <f>SUM(AE246,AD246,AC246,AB246,Y246,U246,T246,S246,R246)</f>
        <v>0</v>
      </c>
      <c r="AG246" s="174"/>
      <c r="AH246" s="174"/>
      <c r="AI246" s="174"/>
      <c r="AJ246" s="178"/>
      <c r="AK246" s="178"/>
      <c r="AL246" s="178"/>
      <c r="AM246" s="127">
        <f>AG246*'1. Standard_Cost'!$B$27+'Incremental_Cost Year 1'!AH246*'1. Standard_Cost'!$C$27+'Incremental_Cost Year 1'!AI246*'1. Standard_Cost'!$D$27+'Incremental_Cost Year 1'!AJ246+'Incremental_Cost Year 1'!AL246+AK246</f>
        <v>0</v>
      </c>
      <c r="AN246" s="127">
        <f>AM246*'1. Standard_Cost'!$C$31</f>
        <v>0</v>
      </c>
      <c r="AO246" s="178"/>
      <c r="AP246" s="256"/>
      <c r="AQ246" s="171">
        <f>L246+M246</f>
        <v>0</v>
      </c>
      <c r="AR246" s="171">
        <f>AF246</f>
        <v>0</v>
      </c>
      <c r="AS246" s="171">
        <f>AM246+AN246</f>
        <v>0</v>
      </c>
      <c r="AT246" s="171">
        <f>SUM(AQ246,AR246,AS246)</f>
        <v>0</v>
      </c>
      <c r="AU246" s="250">
        <v>0</v>
      </c>
      <c r="AV246" s="250"/>
      <c r="AW246" s="250"/>
      <c r="AX246" s="250"/>
      <c r="AY246" s="250"/>
      <c r="AZ246" s="250"/>
      <c r="BA246" s="250"/>
      <c r="BB246" s="251">
        <f t="shared" ref="BB246:BB249" si="215">SUM(AU246:BA246)-AT246</f>
        <v>0</v>
      </c>
      <c r="BC246" s="155"/>
      <c r="BD246" s="155"/>
      <c r="BE246" s="155"/>
      <c r="BF246" s="155"/>
    </row>
    <row r="247" spans="1:58" ht="63" x14ac:dyDescent="0.25">
      <c r="A247" s="157"/>
      <c r="B247" s="161"/>
      <c r="C247" s="162"/>
      <c r="D247" s="203"/>
      <c r="E247" s="358"/>
      <c r="F247" s="358"/>
      <c r="G247" s="359"/>
      <c r="H247" s="199" t="s">
        <v>321</v>
      </c>
      <c r="I247" s="178"/>
      <c r="J247" s="174"/>
      <c r="K247" s="174"/>
      <c r="L247" s="125" t="str">
        <f>IF(I247&lt;&gt;0,((VLOOKUP(I247,'1. Standard_Cost'!$B$4:$D$11,2)+VLOOKUP(I247,'1. Standard_Cost'!$B$4:$D$11,3))*J247*K247),"0")</f>
        <v>0</v>
      </c>
      <c r="M247" s="125">
        <f>L247*'1. Standard_Cost'!$F$4</f>
        <v>0</v>
      </c>
      <c r="N247" s="174"/>
      <c r="O247" s="174"/>
      <c r="P247" s="174"/>
      <c r="Q247" s="174"/>
      <c r="R247" s="127">
        <f>'1. Standard_Cost'!$B$15*N247*P247</f>
        <v>0</v>
      </c>
      <c r="S247" s="127">
        <f>N247*O247*P247*'1. Standard_Cost'!$C$15</f>
        <v>0</v>
      </c>
      <c r="T247" s="127">
        <f>N247*P247*Q247*'1. Standard_Cost'!$D$15</f>
        <v>0</v>
      </c>
      <c r="U247" s="127">
        <f>N247*O247*'1. Standard_Cost'!$E$15</f>
        <v>0</v>
      </c>
      <c r="V247" s="174"/>
      <c r="W247" s="174"/>
      <c r="X247" s="174"/>
      <c r="Y247" s="127">
        <f>+V247*((X247*'1. Standard_Cost'!$B$19)+(W247*X247*'1. Standard_Cost'!$C$19))</f>
        <v>0</v>
      </c>
      <c r="Z247" s="174"/>
      <c r="AA247" s="174"/>
      <c r="AB247" s="127">
        <f>+Z247*'1. Standard_Cost'!$B$23+AA247*'1. Standard_Cost'!$C$23</f>
        <v>0</v>
      </c>
      <c r="AC247" s="176"/>
      <c r="AD247" s="177"/>
      <c r="AE247" s="127">
        <f>SUM(AD247,AC247,AB247,Y247,U247,T247,S247,R247)*'1. Standard_Cost'!$B$31</f>
        <v>0</v>
      </c>
      <c r="AF247" s="127">
        <f>SUM(AE247,AD247,AC247,AB247,Y247,U247,T247,S247,R247)</f>
        <v>0</v>
      </c>
      <c r="AG247" s="174"/>
      <c r="AH247" s="174"/>
      <c r="AI247" s="174"/>
      <c r="AJ247" s="178"/>
      <c r="AK247" s="178"/>
      <c r="AL247" s="178"/>
      <c r="AM247" s="127">
        <f>AG247*'1. Standard_Cost'!$B$27+'Incremental_Cost Year 1'!AH247*'1. Standard_Cost'!$C$27+'Incremental_Cost Year 1'!AI247*'1. Standard_Cost'!$D$27+'Incremental_Cost Year 1'!AJ247+'Incremental_Cost Year 1'!AL247+AK247</f>
        <v>0</v>
      </c>
      <c r="AN247" s="127">
        <f>AM247*'1. Standard_Cost'!$C$31</f>
        <v>0</v>
      </c>
      <c r="AO247" s="178"/>
      <c r="AP247" s="256"/>
      <c r="AQ247" s="171">
        <f>L247+M247</f>
        <v>0</v>
      </c>
      <c r="AR247" s="171">
        <f>AF247</f>
        <v>0</v>
      </c>
      <c r="AS247" s="171">
        <f>AM247+AN247</f>
        <v>0</v>
      </c>
      <c r="AT247" s="171">
        <f>SUM(AQ247,AR247,AS247)</f>
        <v>0</v>
      </c>
      <c r="AU247" s="250">
        <v>0</v>
      </c>
      <c r="AV247" s="250"/>
      <c r="AW247" s="250"/>
      <c r="AX247" s="250"/>
      <c r="AY247" s="250"/>
      <c r="AZ247" s="250"/>
      <c r="BA247" s="250"/>
      <c r="BB247" s="251">
        <f t="shared" si="215"/>
        <v>0</v>
      </c>
      <c r="BC247" s="155"/>
      <c r="BD247" s="155"/>
      <c r="BE247" s="155"/>
      <c r="BF247" s="155"/>
    </row>
    <row r="248" spans="1:58" ht="110.25" x14ac:dyDescent="0.25">
      <c r="A248" s="157"/>
      <c r="B248" s="161"/>
      <c r="C248" s="162"/>
      <c r="D248" s="203"/>
      <c r="E248" s="358"/>
      <c r="F248" s="358"/>
      <c r="G248" s="359"/>
      <c r="H248" s="213" t="s">
        <v>322</v>
      </c>
      <c r="I248" s="178"/>
      <c r="J248" s="174"/>
      <c r="K248" s="174"/>
      <c r="L248" s="125" t="str">
        <f>IF(I248&lt;&gt;0,((VLOOKUP(I248,'1. Standard_Cost'!$B$4:$D$11,2)+VLOOKUP(I248,'1. Standard_Cost'!$B$4:$D$11,3))*J248*K248),"0")</f>
        <v>0</v>
      </c>
      <c r="M248" s="125">
        <f>L248*'1. Standard_Cost'!$F$4</f>
        <v>0</v>
      </c>
      <c r="N248" s="174"/>
      <c r="O248" s="174"/>
      <c r="P248" s="174"/>
      <c r="Q248" s="174"/>
      <c r="R248" s="127">
        <f>'1. Standard_Cost'!$B$15*N248*P248</f>
        <v>0</v>
      </c>
      <c r="S248" s="127">
        <f>N248*O248*P248*'1. Standard_Cost'!$C$15</f>
        <v>0</v>
      </c>
      <c r="T248" s="127">
        <f>N248*P248*Q248*'1. Standard_Cost'!$D$15</f>
        <v>0</v>
      </c>
      <c r="U248" s="127">
        <f>N248*O248*'1. Standard_Cost'!$E$15</f>
        <v>0</v>
      </c>
      <c r="V248" s="174"/>
      <c r="W248" s="174"/>
      <c r="X248" s="174"/>
      <c r="Y248" s="127">
        <f>+V248*((X248*'1. Standard_Cost'!$B$19)+(W248*X248*'1. Standard_Cost'!$C$19))</f>
        <v>0</v>
      </c>
      <c r="Z248" s="174"/>
      <c r="AA248" s="174"/>
      <c r="AB248" s="127">
        <f>+Z248*'1. Standard_Cost'!$B$23+AA248*'1. Standard_Cost'!$C$23</f>
        <v>0</v>
      </c>
      <c r="AC248" s="176"/>
      <c r="AD248" s="177"/>
      <c r="AE248" s="127">
        <f>SUM(AD248,AC248,AB248,Y248,U248,T248,S248,R248)*'1. Standard_Cost'!$B$31</f>
        <v>0</v>
      </c>
      <c r="AF248" s="127">
        <f>SUM(AE248,AD248,AC248,AB248,Y248,U248,T248,S248,R248)</f>
        <v>0</v>
      </c>
      <c r="AG248" s="174"/>
      <c r="AH248" s="174"/>
      <c r="AI248" s="174"/>
      <c r="AJ248" s="178"/>
      <c r="AK248" s="178"/>
      <c r="AL248" s="178"/>
      <c r="AM248" s="127">
        <f>AG248*'1. Standard_Cost'!$B$27+'Incremental_Cost Year 1'!AH248*'1. Standard_Cost'!$C$27+'Incremental_Cost Year 1'!AI248*'1. Standard_Cost'!$D$27+'Incremental_Cost Year 1'!AJ248+'Incremental_Cost Year 1'!AL248+AK248</f>
        <v>0</v>
      </c>
      <c r="AN248" s="127">
        <f>AM248*'1. Standard_Cost'!$C$31</f>
        <v>0</v>
      </c>
      <c r="AO248" s="178"/>
      <c r="AP248" s="256"/>
      <c r="AQ248" s="171">
        <f>L248+M248</f>
        <v>0</v>
      </c>
      <c r="AR248" s="171">
        <f>AF248</f>
        <v>0</v>
      </c>
      <c r="AS248" s="171">
        <f>AM248+AN248</f>
        <v>0</v>
      </c>
      <c r="AT248" s="171">
        <f>SUM(AQ248,AR248,AS248)</f>
        <v>0</v>
      </c>
      <c r="AU248" s="250"/>
      <c r="AV248" s="250"/>
      <c r="AW248" s="250"/>
      <c r="AX248" s="250"/>
      <c r="AY248" s="250"/>
      <c r="AZ248" s="250"/>
      <c r="BA248" s="250"/>
      <c r="BB248" s="251">
        <f t="shared" si="215"/>
        <v>0</v>
      </c>
      <c r="BC248" s="155"/>
      <c r="BD248" s="155"/>
      <c r="BE248" s="155"/>
      <c r="BF248" s="155"/>
    </row>
    <row r="249" spans="1:58" ht="47.25" x14ac:dyDescent="0.25">
      <c r="A249" s="157"/>
      <c r="B249" s="161"/>
      <c r="C249" s="162"/>
      <c r="D249" s="133"/>
      <c r="E249" s="361"/>
      <c r="F249" s="361"/>
      <c r="G249" s="362"/>
      <c r="H249" s="199" t="s">
        <v>323</v>
      </c>
      <c r="I249" s="178"/>
      <c r="J249" s="174"/>
      <c r="K249" s="174"/>
      <c r="L249" s="125" t="str">
        <f>IF(I249&lt;&gt;0,((VLOOKUP(I249,'1. Standard_Cost'!$B$4:$D$11,2)+VLOOKUP(I249,'1. Standard_Cost'!$B$4:$D$11,3))*J249*K249),"0")</f>
        <v>0</v>
      </c>
      <c r="M249" s="125">
        <f>L249*'1. Standard_Cost'!$F$4</f>
        <v>0</v>
      </c>
      <c r="N249" s="174"/>
      <c r="O249" s="174"/>
      <c r="P249" s="174"/>
      <c r="Q249" s="174"/>
      <c r="R249" s="127">
        <f>'1. Standard_Cost'!$B$15*N249*P249</f>
        <v>0</v>
      </c>
      <c r="S249" s="127">
        <f>N249*O249*P249*'1. Standard_Cost'!$C$15</f>
        <v>0</v>
      </c>
      <c r="T249" s="127">
        <f>N249*P249*Q249*'1. Standard_Cost'!$D$15</f>
        <v>0</v>
      </c>
      <c r="U249" s="127">
        <f>N249*O249*'1. Standard_Cost'!$E$15</f>
        <v>0</v>
      </c>
      <c r="V249" s="174"/>
      <c r="W249" s="174"/>
      <c r="X249" s="174"/>
      <c r="Y249" s="127">
        <f>+V249*((X249*'1. Standard_Cost'!$B$19)+(W249*X249*'1. Standard_Cost'!$C$19))</f>
        <v>0</v>
      </c>
      <c r="Z249" s="174"/>
      <c r="AA249" s="174"/>
      <c r="AB249" s="127">
        <f>+Z249*'1. Standard_Cost'!$B$23+AA249*'1. Standard_Cost'!$C$23</f>
        <v>0</v>
      </c>
      <c r="AC249" s="176"/>
      <c r="AD249" s="177"/>
      <c r="AE249" s="127">
        <f>SUM(AD249,AC249,AB249,Y249,U249,T249,S249,R249)*'1. Standard_Cost'!$B$31</f>
        <v>0</v>
      </c>
      <c r="AF249" s="127">
        <f>SUM(AE249,AD249,AC249,AB249,Y249,U249,T249,S249,R249)</f>
        <v>0</v>
      </c>
      <c r="AG249" s="174"/>
      <c r="AH249" s="174"/>
      <c r="AI249" s="174"/>
      <c r="AJ249" s="178"/>
      <c r="AK249" s="178"/>
      <c r="AL249" s="178"/>
      <c r="AM249" s="127">
        <f>AG249*'1. Standard_Cost'!$B$27+'Incremental_Cost Year 1'!AH249*'1. Standard_Cost'!$C$27+'Incremental_Cost Year 1'!AI249*'1. Standard_Cost'!$D$27+'Incremental_Cost Year 1'!AJ249+'Incremental_Cost Year 1'!AL249+AK249</f>
        <v>0</v>
      </c>
      <c r="AN249" s="127">
        <f>AM249*'1. Standard_Cost'!$C$31</f>
        <v>0</v>
      </c>
      <c r="AO249" s="178"/>
      <c r="AP249" s="256"/>
      <c r="AQ249" s="171">
        <f>L249+M249</f>
        <v>0</v>
      </c>
      <c r="AR249" s="171">
        <f>AF249</f>
        <v>0</v>
      </c>
      <c r="AS249" s="171">
        <f>AM249+AN249</f>
        <v>0</v>
      </c>
      <c r="AT249" s="171">
        <f>SUM(AQ249,AR249,AS249)</f>
        <v>0</v>
      </c>
      <c r="AU249" s="250"/>
      <c r="AV249" s="250"/>
      <c r="AW249" s="250"/>
      <c r="AX249" s="250"/>
      <c r="AY249" s="250"/>
      <c r="AZ249" s="250"/>
      <c r="BA249" s="250"/>
      <c r="BB249" s="251">
        <f t="shared" si="215"/>
        <v>0</v>
      </c>
      <c r="BC249" s="155"/>
      <c r="BD249" s="155"/>
      <c r="BE249" s="155"/>
      <c r="BF249" s="155"/>
    </row>
    <row r="250" spans="1:58" ht="34.9" customHeight="1" x14ac:dyDescent="0.25">
      <c r="A250" s="157"/>
      <c r="B250" s="363"/>
      <c r="C250" s="364"/>
      <c r="D250" s="365" t="s">
        <v>559</v>
      </c>
      <c r="E250" s="365" t="s">
        <v>324</v>
      </c>
      <c r="F250" s="366">
        <v>2025</v>
      </c>
      <c r="G250" s="209">
        <v>2030</v>
      </c>
      <c r="H250" s="180" t="s">
        <v>325</v>
      </c>
      <c r="I250" s="273"/>
      <c r="J250" s="273"/>
      <c r="K250" s="273"/>
      <c r="L250" s="175">
        <f>SUM(L246:L249)</f>
        <v>0</v>
      </c>
      <c r="M250" s="175">
        <f>SUM(M246:M249)</f>
        <v>0</v>
      </c>
      <c r="N250" s="273"/>
      <c r="O250" s="273"/>
      <c r="P250" s="273"/>
      <c r="Q250" s="273"/>
      <c r="R250" s="175">
        <f>SUM(R246:R249)</f>
        <v>0</v>
      </c>
      <c r="S250" s="175">
        <f>SUM(S246:S249)</f>
        <v>0</v>
      </c>
      <c r="T250" s="175">
        <f>SUM(T246:T249)</f>
        <v>0</v>
      </c>
      <c r="U250" s="175">
        <f>SUM(U246:U249)</f>
        <v>0</v>
      </c>
      <c r="V250" s="273"/>
      <c r="W250" s="273"/>
      <c r="X250" s="273"/>
      <c r="Y250" s="175">
        <f>SUM(Y246:Y249)</f>
        <v>0</v>
      </c>
      <c r="Z250" s="273"/>
      <c r="AA250" s="273"/>
      <c r="AB250" s="175">
        <f>SUM(AB246:AB249)</f>
        <v>0</v>
      </c>
      <c r="AC250" s="175">
        <f>SUM(AC246:AC249)</f>
        <v>0</v>
      </c>
      <c r="AD250" s="175">
        <f>SUM(AD246:AD249)</f>
        <v>0</v>
      </c>
      <c r="AE250" s="175">
        <f>SUM(AE246:AE249)</f>
        <v>0</v>
      </c>
      <c r="AF250" s="175">
        <f>SUM(AF246:AF249)</f>
        <v>0</v>
      </c>
      <c r="AG250" s="273"/>
      <c r="AH250" s="273"/>
      <c r="AI250" s="273"/>
      <c r="AJ250" s="175">
        <f>SUM(AJ246:AJ249)</f>
        <v>0</v>
      </c>
      <c r="AK250" s="175">
        <f>SUM(AK246:AK249)</f>
        <v>0</v>
      </c>
      <c r="AL250" s="175">
        <f>SUM(AL246:AL249)</f>
        <v>0</v>
      </c>
      <c r="AM250" s="175">
        <f>SUM(AM246:AM249)</f>
        <v>0</v>
      </c>
      <c r="AN250" s="175">
        <f>SUM(AN246:AN249)</f>
        <v>0</v>
      </c>
      <c r="AO250" s="274"/>
      <c r="AP250" s="254"/>
      <c r="AQ250" s="175">
        <f t="shared" ref="AQ250:BB250" si="216">SUM(AQ246:AQ249)</f>
        <v>0</v>
      </c>
      <c r="AR250" s="175">
        <f t="shared" si="216"/>
        <v>0</v>
      </c>
      <c r="AS250" s="175">
        <f t="shared" si="216"/>
        <v>0</v>
      </c>
      <c r="AT250" s="175">
        <f t="shared" si="216"/>
        <v>0</v>
      </c>
      <c r="AU250" s="175">
        <f t="shared" si="216"/>
        <v>0</v>
      </c>
      <c r="AV250" s="175">
        <f t="shared" si="216"/>
        <v>0</v>
      </c>
      <c r="AW250" s="175">
        <f t="shared" si="216"/>
        <v>0</v>
      </c>
      <c r="AX250" s="175">
        <f t="shared" si="216"/>
        <v>0</v>
      </c>
      <c r="AY250" s="175">
        <f t="shared" si="216"/>
        <v>0</v>
      </c>
      <c r="AZ250" s="175">
        <f t="shared" si="216"/>
        <v>0</v>
      </c>
      <c r="BA250" s="175">
        <f t="shared" si="216"/>
        <v>0</v>
      </c>
      <c r="BB250" s="175">
        <f t="shared" si="216"/>
        <v>0</v>
      </c>
      <c r="BC250" s="155"/>
      <c r="BD250" s="155"/>
      <c r="BE250" s="155"/>
      <c r="BF250" s="155"/>
    </row>
    <row r="251" spans="1:58" ht="63" x14ac:dyDescent="0.25">
      <c r="A251" s="157"/>
      <c r="B251" s="161"/>
      <c r="C251" s="162"/>
      <c r="D251" s="202"/>
      <c r="E251" s="354"/>
      <c r="F251" s="355"/>
      <c r="G251" s="356"/>
      <c r="H251" s="213" t="s">
        <v>361</v>
      </c>
      <c r="I251" s="178"/>
      <c r="J251" s="174"/>
      <c r="K251" s="174"/>
      <c r="L251" s="125" t="str">
        <f>IF(I251&lt;&gt;0,((VLOOKUP(I251,'1. Standard_Cost'!$B$4:$D$11,2)+VLOOKUP(I251,'1. Standard_Cost'!$B$4:$D$11,3))*J251*K251),"0")</f>
        <v>0</v>
      </c>
      <c r="M251" s="125">
        <f>L251*'1. Standard_Cost'!$F$4</f>
        <v>0</v>
      </c>
      <c r="N251" s="174"/>
      <c r="O251" s="174"/>
      <c r="P251" s="174"/>
      <c r="Q251" s="174"/>
      <c r="R251" s="127">
        <f>'1. Standard_Cost'!$B$15*N251*P251</f>
        <v>0</v>
      </c>
      <c r="S251" s="127">
        <f>N251*O251*P251*'1. Standard_Cost'!$C$15</f>
        <v>0</v>
      </c>
      <c r="T251" s="127">
        <f>N251*P251*Q251*'1. Standard_Cost'!$D$15</f>
        <v>0</v>
      </c>
      <c r="U251" s="127">
        <f>N251*O251*'1. Standard_Cost'!$E$15</f>
        <v>0</v>
      </c>
      <c r="V251" s="174"/>
      <c r="W251" s="174"/>
      <c r="X251" s="174"/>
      <c r="Y251" s="127">
        <f>+V251*((X251*'1. Standard_Cost'!$B$19)+(W251*X251*'1. Standard_Cost'!$C$19))</f>
        <v>0</v>
      </c>
      <c r="Z251" s="174"/>
      <c r="AA251" s="174"/>
      <c r="AB251" s="127">
        <f>+Z251*'1. Standard_Cost'!$B$23+AA251*'1. Standard_Cost'!$C$23</f>
        <v>0</v>
      </c>
      <c r="AC251" s="176"/>
      <c r="AD251" s="177"/>
      <c r="AE251" s="127">
        <f>SUM(AD251,AC251,AB251,Y251,U251,T251,S251,R251)*'1. Standard_Cost'!$B$31</f>
        <v>0</v>
      </c>
      <c r="AF251" s="127">
        <f>SUM(AE251,AD251,AC251,AB251,Y251,U251,T251,S251,R251)</f>
        <v>0</v>
      </c>
      <c r="AG251" s="174"/>
      <c r="AH251" s="174"/>
      <c r="AI251" s="174"/>
      <c r="AJ251" s="178"/>
      <c r="AK251" s="178"/>
      <c r="AL251" s="178"/>
      <c r="AM251" s="127">
        <f>AG251*'1. Standard_Cost'!$B$27+'Incremental_Cost Year 1'!AH251*'1. Standard_Cost'!$C$27+'Incremental_Cost Year 1'!AI251*'1. Standard_Cost'!$D$27+'Incremental_Cost Year 1'!AJ251+'Incremental_Cost Year 1'!AL251+AK251</f>
        <v>0</v>
      </c>
      <c r="AN251" s="127">
        <f>AM251*'1. Standard_Cost'!$C$31</f>
        <v>0</v>
      </c>
      <c r="AO251" s="178"/>
      <c r="AP251" s="256"/>
      <c r="AQ251" s="171">
        <f>L251+M251</f>
        <v>0</v>
      </c>
      <c r="AR251" s="171">
        <f>AF251</f>
        <v>0</v>
      </c>
      <c r="AS251" s="171">
        <f>AM251+AN251</f>
        <v>0</v>
      </c>
      <c r="AT251" s="171">
        <f>SUM(AQ251,AR251,AS251)</f>
        <v>0</v>
      </c>
      <c r="AU251" s="250"/>
      <c r="AV251" s="250"/>
      <c r="AW251" s="250">
        <v>0</v>
      </c>
      <c r="AX251" s="250"/>
      <c r="AY251" s="250"/>
      <c r="AZ251" s="250"/>
      <c r="BA251" s="250"/>
      <c r="BB251" s="251">
        <f t="shared" ref="BB251:BB253" si="217">SUM(AU251:BA251)-AT251</f>
        <v>0</v>
      </c>
      <c r="BC251" s="155"/>
      <c r="BD251" s="155"/>
      <c r="BE251" s="155"/>
      <c r="BF251" s="155"/>
    </row>
    <row r="252" spans="1:58" ht="189" x14ac:dyDescent="0.25">
      <c r="A252" s="157"/>
      <c r="B252" s="161"/>
      <c r="C252" s="162"/>
      <c r="D252" s="202"/>
      <c r="E252" s="357"/>
      <c r="F252" s="358"/>
      <c r="G252" s="359"/>
      <c r="H252" s="199" t="s">
        <v>326</v>
      </c>
      <c r="I252" s="178"/>
      <c r="J252" s="174"/>
      <c r="K252" s="174"/>
      <c r="L252" s="125" t="str">
        <f>IF(I252&lt;&gt;0,((VLOOKUP(I252,'1. Standard_Cost'!$B$4:$D$11,2)+VLOOKUP(I252,'1. Standard_Cost'!$B$4:$D$11,3))*J252*K252),"0")</f>
        <v>0</v>
      </c>
      <c r="M252" s="125">
        <f>L252*'1. Standard_Cost'!$F$4</f>
        <v>0</v>
      </c>
      <c r="N252" s="174"/>
      <c r="O252" s="174"/>
      <c r="P252" s="174"/>
      <c r="Q252" s="174"/>
      <c r="R252" s="127">
        <f>'1. Standard_Cost'!$B$15*N252*P252</f>
        <v>0</v>
      </c>
      <c r="S252" s="127">
        <f>N252*O252*P252*'1. Standard_Cost'!$C$15</f>
        <v>0</v>
      </c>
      <c r="T252" s="127">
        <f>N252*P252*Q252*'1. Standard_Cost'!$D$15</f>
        <v>0</v>
      </c>
      <c r="U252" s="127">
        <f>N252*O252*'1. Standard_Cost'!$E$15</f>
        <v>0</v>
      </c>
      <c r="V252" s="174"/>
      <c r="W252" s="174"/>
      <c r="X252" s="174"/>
      <c r="Y252" s="127">
        <f>+V252*((X252*'1. Standard_Cost'!$B$19)+(W252*X252*'1. Standard_Cost'!$C$19))</f>
        <v>0</v>
      </c>
      <c r="Z252" s="174"/>
      <c r="AA252" s="174"/>
      <c r="AB252" s="127">
        <f>+Z252*'1. Standard_Cost'!$B$23+AA252*'1. Standard_Cost'!$C$23</f>
        <v>0</v>
      </c>
      <c r="AC252" s="176"/>
      <c r="AD252" s="177"/>
      <c r="AE252" s="127">
        <f>SUM(AD252,AC252,AB252,Y252,U252,T252,S252,R252)*'1. Standard_Cost'!$B$31</f>
        <v>0</v>
      </c>
      <c r="AF252" s="127">
        <f>SUM(AE252,AD252,AC252,AB252,Y252,U252,T252,S252,R252)</f>
        <v>0</v>
      </c>
      <c r="AG252" s="174"/>
      <c r="AH252" s="174"/>
      <c r="AI252" s="174"/>
      <c r="AJ252" s="178"/>
      <c r="AK252" s="178"/>
      <c r="AL252" s="178"/>
      <c r="AM252" s="127">
        <f>AG252*'1. Standard_Cost'!$B$27+'Incremental_Cost Year 1'!AH252*'1. Standard_Cost'!$C$27+'Incremental_Cost Year 1'!AI252*'1. Standard_Cost'!$D$27+'Incremental_Cost Year 1'!AJ252+'Incremental_Cost Year 1'!AL252+AK252</f>
        <v>0</v>
      </c>
      <c r="AN252" s="127">
        <f>AM252*'1. Standard_Cost'!$C$31</f>
        <v>0</v>
      </c>
      <c r="AO252" s="178"/>
      <c r="AP252" s="256"/>
      <c r="AQ252" s="171">
        <f>L252+M252</f>
        <v>0</v>
      </c>
      <c r="AR252" s="171">
        <f>AF252</f>
        <v>0</v>
      </c>
      <c r="AS252" s="171">
        <f>AM252+AN252</f>
        <v>0</v>
      </c>
      <c r="AT252" s="171">
        <f>SUM(AQ252,AR252,AS252)</f>
        <v>0</v>
      </c>
      <c r="AU252" s="250"/>
      <c r="AV252" s="250"/>
      <c r="AW252" s="250">
        <v>0</v>
      </c>
      <c r="AX252" s="250"/>
      <c r="AY252" s="250"/>
      <c r="AZ252" s="250"/>
      <c r="BA252" s="250"/>
      <c r="BB252" s="251">
        <f t="shared" si="217"/>
        <v>0</v>
      </c>
      <c r="BC252" s="155"/>
      <c r="BD252" s="155"/>
      <c r="BE252" s="155"/>
      <c r="BF252" s="155"/>
    </row>
    <row r="253" spans="1:58" ht="141.75" x14ac:dyDescent="0.25">
      <c r="A253" s="157"/>
      <c r="B253" s="161"/>
      <c r="C253" s="162"/>
      <c r="D253" s="202"/>
      <c r="E253" s="360"/>
      <c r="F253" s="361"/>
      <c r="G253" s="362"/>
      <c r="H253" s="199" t="s">
        <v>327</v>
      </c>
      <c r="I253" s="178"/>
      <c r="J253" s="174"/>
      <c r="K253" s="174"/>
      <c r="L253" s="125" t="str">
        <f>IF(I253&lt;&gt;0,((VLOOKUP(I253,'1. Standard_Cost'!$B$4:$D$11,2)+VLOOKUP(I253,'1. Standard_Cost'!$B$4:$D$11,3))*J253*K253),"0")</f>
        <v>0</v>
      </c>
      <c r="M253" s="125">
        <f>L253*'1. Standard_Cost'!$F$4</f>
        <v>0</v>
      </c>
      <c r="N253" s="174"/>
      <c r="O253" s="174"/>
      <c r="P253" s="174"/>
      <c r="Q253" s="174"/>
      <c r="R253" s="127">
        <f>'1. Standard_Cost'!$B$15*N253*P253</f>
        <v>0</v>
      </c>
      <c r="S253" s="127">
        <f>N253*O253*P253*'1. Standard_Cost'!$C$15</f>
        <v>0</v>
      </c>
      <c r="T253" s="127">
        <f>N253*P253*Q253*'1. Standard_Cost'!$D$15</f>
        <v>0</v>
      </c>
      <c r="U253" s="127">
        <f>N253*O253*'1. Standard_Cost'!$E$15</f>
        <v>0</v>
      </c>
      <c r="V253" s="174"/>
      <c r="W253" s="174"/>
      <c r="X253" s="174"/>
      <c r="Y253" s="127">
        <f>+V253*((X253*'1. Standard_Cost'!$B$19)+(W253*X253*'1. Standard_Cost'!$C$19))</f>
        <v>0</v>
      </c>
      <c r="Z253" s="174"/>
      <c r="AA253" s="174"/>
      <c r="AB253" s="127">
        <f>+Z253*'1. Standard_Cost'!$B$23+AA253*'1. Standard_Cost'!$C$23</f>
        <v>0</v>
      </c>
      <c r="AC253" s="176">
        <v>0</v>
      </c>
      <c r="AD253" s="177"/>
      <c r="AE253" s="127">
        <f>SUM(AD253,AC253,AB253,Y253,U253,T253,S253,R253)*'1. Standard_Cost'!$B$31</f>
        <v>0</v>
      </c>
      <c r="AF253" s="127">
        <f>SUM(AE253,AD253,AC253,AB253,Y253,U253,T253,S253,R253)</f>
        <v>0</v>
      </c>
      <c r="AG253" s="174"/>
      <c r="AH253" s="174"/>
      <c r="AI253" s="174"/>
      <c r="AJ253" s="178"/>
      <c r="AK253" s="178"/>
      <c r="AL253" s="178"/>
      <c r="AM253" s="127">
        <f>AG253*'1. Standard_Cost'!$B$27+'Incremental_Cost Year 1'!AH253*'1. Standard_Cost'!$C$27+'Incremental_Cost Year 1'!AI253*'1. Standard_Cost'!$D$27+'Incremental_Cost Year 1'!AJ253+'Incremental_Cost Year 1'!AL253+AK253</f>
        <v>0</v>
      </c>
      <c r="AN253" s="127">
        <f>AM253*'1. Standard_Cost'!$C$31</f>
        <v>0</v>
      </c>
      <c r="AO253" s="178"/>
      <c r="AP253" s="256"/>
      <c r="AQ253" s="171">
        <f>L253+M253</f>
        <v>0</v>
      </c>
      <c r="AR253" s="171">
        <f>AF253</f>
        <v>0</v>
      </c>
      <c r="AS253" s="171">
        <f>AM253+AN253</f>
        <v>0</v>
      </c>
      <c r="AT253" s="171">
        <f>SUM(AQ253,AR253,AS253)</f>
        <v>0</v>
      </c>
      <c r="AU253" s="250">
        <v>0</v>
      </c>
      <c r="AV253" s="250"/>
      <c r="AW253" s="250"/>
      <c r="AX253" s="250"/>
      <c r="AY253" s="250"/>
      <c r="AZ253" s="250"/>
      <c r="BA253" s="250"/>
      <c r="BB253" s="251">
        <f t="shared" si="217"/>
        <v>0</v>
      </c>
      <c r="BC253" s="155"/>
      <c r="BD253" s="155"/>
      <c r="BE253" s="155"/>
      <c r="BF253" s="155"/>
    </row>
    <row r="254" spans="1:58" ht="51" x14ac:dyDescent="0.2">
      <c r="A254" s="157"/>
      <c r="B254" s="154"/>
      <c r="C254" s="163"/>
      <c r="D254" s="195" t="s">
        <v>558</v>
      </c>
      <c r="E254" s="205" t="s">
        <v>328</v>
      </c>
      <c r="F254" s="206">
        <v>2021</v>
      </c>
      <c r="G254" s="209">
        <v>2030</v>
      </c>
      <c r="H254" s="180" t="s">
        <v>329</v>
      </c>
      <c r="I254" s="273"/>
      <c r="J254" s="273"/>
      <c r="K254" s="273"/>
      <c r="L254" s="175">
        <f>SUM(L251:L253)</f>
        <v>0</v>
      </c>
      <c r="M254" s="175">
        <f>SUM(M251:M253)</f>
        <v>0</v>
      </c>
      <c r="N254" s="273"/>
      <c r="O254" s="273"/>
      <c r="P254" s="273"/>
      <c r="Q254" s="273"/>
      <c r="R254" s="175">
        <f>SUM(R251:R253)</f>
        <v>0</v>
      </c>
      <c r="S254" s="175">
        <f>SUM(S251:S253)</f>
        <v>0</v>
      </c>
      <c r="T254" s="175">
        <f>SUM(T251:T253)</f>
        <v>0</v>
      </c>
      <c r="U254" s="175">
        <f>SUM(U251:U253)</f>
        <v>0</v>
      </c>
      <c r="V254" s="273"/>
      <c r="W254" s="273"/>
      <c r="X254" s="273"/>
      <c r="Y254" s="175">
        <f>SUM(Y251:Y253)</f>
        <v>0</v>
      </c>
      <c r="Z254" s="273"/>
      <c r="AA254" s="273"/>
      <c r="AB254" s="175">
        <f>SUM(AB251:AB253)</f>
        <v>0</v>
      </c>
      <c r="AC254" s="175">
        <f>SUM(AC251:AC253)</f>
        <v>0</v>
      </c>
      <c r="AD254" s="175">
        <f>SUM(AD251:AD253)</f>
        <v>0</v>
      </c>
      <c r="AE254" s="175">
        <f>SUM(AE251:AE253)</f>
        <v>0</v>
      </c>
      <c r="AF254" s="175">
        <f>SUM(AF251:AF253)</f>
        <v>0</v>
      </c>
      <c r="AG254" s="273"/>
      <c r="AH254" s="273"/>
      <c r="AI254" s="273"/>
      <c r="AJ254" s="175">
        <f>SUM(AJ251:AJ253)</f>
        <v>0</v>
      </c>
      <c r="AK254" s="175">
        <f>SUM(AK251:AK253)</f>
        <v>0</v>
      </c>
      <c r="AL254" s="175">
        <f>SUM(AL251:AL253)</f>
        <v>0</v>
      </c>
      <c r="AM254" s="175">
        <f>SUM(AM251:AM253)</f>
        <v>0</v>
      </c>
      <c r="AN254" s="175">
        <f>SUM(AN251:AN253)</f>
        <v>0</v>
      </c>
      <c r="AO254" s="274"/>
      <c r="AP254" s="254"/>
      <c r="AQ254" s="175">
        <f t="shared" ref="AQ254:BB254" si="218">SUM(AQ251:AQ253)</f>
        <v>0</v>
      </c>
      <c r="AR254" s="175">
        <f t="shared" si="218"/>
        <v>0</v>
      </c>
      <c r="AS254" s="175">
        <f t="shared" si="218"/>
        <v>0</v>
      </c>
      <c r="AT254" s="175">
        <f t="shared" si="218"/>
        <v>0</v>
      </c>
      <c r="AU254" s="175">
        <f t="shared" si="218"/>
        <v>0</v>
      </c>
      <c r="AV254" s="175">
        <f t="shared" si="218"/>
        <v>0</v>
      </c>
      <c r="AW254" s="175">
        <f t="shared" si="218"/>
        <v>0</v>
      </c>
      <c r="AX254" s="175">
        <f t="shared" si="218"/>
        <v>0</v>
      </c>
      <c r="AY254" s="175">
        <f t="shared" si="218"/>
        <v>0</v>
      </c>
      <c r="AZ254" s="175">
        <f t="shared" si="218"/>
        <v>0</v>
      </c>
      <c r="BA254" s="175">
        <f t="shared" si="218"/>
        <v>0</v>
      </c>
      <c r="BB254" s="175">
        <f t="shared" si="218"/>
        <v>0</v>
      </c>
      <c r="BC254" s="155"/>
      <c r="BD254" s="155"/>
      <c r="BE254" s="155"/>
      <c r="BF254" s="155"/>
    </row>
    <row r="255" spans="1:58" ht="78.75" x14ac:dyDescent="0.25">
      <c r="A255" s="157"/>
      <c r="B255" s="161"/>
      <c r="C255" s="162"/>
      <c r="D255" s="202"/>
      <c r="E255" s="354"/>
      <c r="F255" s="355"/>
      <c r="G255" s="356"/>
      <c r="H255" s="213" t="s">
        <v>330</v>
      </c>
      <c r="I255" s="178"/>
      <c r="J255" s="174"/>
      <c r="K255" s="174"/>
      <c r="L255" s="125" t="str">
        <f>IF(I255&lt;&gt;0,((VLOOKUP(I255,'1. Standard_Cost'!$B$4:$D$11,2)+VLOOKUP(I255,'1. Standard_Cost'!$B$4:$D$11,3))*J255*K255),"0")</f>
        <v>0</v>
      </c>
      <c r="M255" s="125">
        <f>L255*'1. Standard_Cost'!$F$4</f>
        <v>0</v>
      </c>
      <c r="N255" s="174"/>
      <c r="O255" s="174"/>
      <c r="P255" s="174"/>
      <c r="Q255" s="174"/>
      <c r="R255" s="127">
        <f>'1. Standard_Cost'!$B$15*N255*P255</f>
        <v>0</v>
      </c>
      <c r="S255" s="127">
        <f>N255*O255*P255*'1. Standard_Cost'!$C$15</f>
        <v>0</v>
      </c>
      <c r="T255" s="127">
        <f>N255*P255*Q255*'1. Standard_Cost'!$D$15</f>
        <v>0</v>
      </c>
      <c r="U255" s="127">
        <f>N255*O255*'1. Standard_Cost'!$E$15</f>
        <v>0</v>
      </c>
      <c r="V255" s="174"/>
      <c r="W255" s="174"/>
      <c r="X255" s="174"/>
      <c r="Y255" s="127">
        <f>+V255*((X255*'1. Standard_Cost'!$B$19)+(W255*X255*'1. Standard_Cost'!$C$19))</f>
        <v>0</v>
      </c>
      <c r="Z255" s="174"/>
      <c r="AA255" s="174"/>
      <c r="AB255" s="127">
        <f>+Z255*'1. Standard_Cost'!$B$23+AA255*'1. Standard_Cost'!$C$23</f>
        <v>0</v>
      </c>
      <c r="AC255" s="176"/>
      <c r="AD255" s="177"/>
      <c r="AE255" s="127">
        <f>SUM(AD255,AC255,AB255,Y255,U255,T255,S255,R255)*'1. Standard_Cost'!$B$31</f>
        <v>0</v>
      </c>
      <c r="AF255" s="127">
        <f>SUM(AE255,AD255,AC255,AB255,Y255,U255,T255,S255,R255)</f>
        <v>0</v>
      </c>
      <c r="AG255" s="174"/>
      <c r="AH255" s="174"/>
      <c r="AI255" s="174"/>
      <c r="AJ255" s="178"/>
      <c r="AK255" s="178"/>
      <c r="AL255" s="178"/>
      <c r="AM255" s="127">
        <f>AG255*'1. Standard_Cost'!$B$27+'Incremental_Cost Year 1'!AH255*'1. Standard_Cost'!$C$27+'Incremental_Cost Year 1'!AI255*'1. Standard_Cost'!$D$27+'Incremental_Cost Year 1'!AJ255+'Incremental_Cost Year 1'!AL255+AK255</f>
        <v>0</v>
      </c>
      <c r="AN255" s="127">
        <f>AM255*'1. Standard_Cost'!$C$31</f>
        <v>0</v>
      </c>
      <c r="AO255" s="178"/>
      <c r="AP255" s="256"/>
      <c r="AQ255" s="171">
        <f>L255+M255</f>
        <v>0</v>
      </c>
      <c r="AR255" s="171">
        <f>AF255</f>
        <v>0</v>
      </c>
      <c r="AS255" s="171">
        <f>AM255+AN255</f>
        <v>0</v>
      </c>
      <c r="AT255" s="171">
        <f>SUM(AQ255,AR255,AS255)</f>
        <v>0</v>
      </c>
      <c r="AU255" s="250"/>
      <c r="AV255" s="250"/>
      <c r="AW255" s="250"/>
      <c r="AX255" s="250"/>
      <c r="AY255" s="250"/>
      <c r="AZ255" s="250"/>
      <c r="BA255" s="250"/>
      <c r="BB255" s="251">
        <f t="shared" ref="BB255:BB257" si="219">SUM(AU255:BA255)-AT255</f>
        <v>0</v>
      </c>
      <c r="BC255" s="155"/>
      <c r="BD255" s="155"/>
      <c r="BE255" s="155"/>
      <c r="BF255" s="155"/>
    </row>
    <row r="256" spans="1:58" ht="78.75" x14ac:dyDescent="0.25">
      <c r="A256" s="157"/>
      <c r="B256" s="161"/>
      <c r="C256" s="162"/>
      <c r="D256" s="202"/>
      <c r="E256" s="357"/>
      <c r="F256" s="358"/>
      <c r="G256" s="359"/>
      <c r="H256" s="199" t="s">
        <v>331</v>
      </c>
      <c r="I256" s="178"/>
      <c r="J256" s="174"/>
      <c r="K256" s="174"/>
      <c r="L256" s="125" t="str">
        <f>IF(I256&lt;&gt;0,((VLOOKUP(I256,'1. Standard_Cost'!$B$4:$D$11,2)+VLOOKUP(I256,'1. Standard_Cost'!$B$4:$D$11,3))*J256*K256),"0")</f>
        <v>0</v>
      </c>
      <c r="M256" s="125">
        <f>L256*'1. Standard_Cost'!$F$4</f>
        <v>0</v>
      </c>
      <c r="N256" s="174"/>
      <c r="O256" s="174"/>
      <c r="P256" s="174"/>
      <c r="Q256" s="174"/>
      <c r="R256" s="127">
        <f>'1. Standard_Cost'!$B$15*N256*P256</f>
        <v>0</v>
      </c>
      <c r="S256" s="127">
        <f>N256*O256*P256*'1. Standard_Cost'!$C$15</f>
        <v>0</v>
      </c>
      <c r="T256" s="127">
        <f>N256*P256*Q256*'1. Standard_Cost'!$D$15</f>
        <v>0</v>
      </c>
      <c r="U256" s="127">
        <f>N256*O256*'1. Standard_Cost'!$E$15</f>
        <v>0</v>
      </c>
      <c r="V256" s="174"/>
      <c r="W256" s="174"/>
      <c r="X256" s="174"/>
      <c r="Y256" s="127">
        <f>+V256*((X256*'1. Standard_Cost'!$B$19)+(W256*X256*'1. Standard_Cost'!$C$19))</f>
        <v>0</v>
      </c>
      <c r="Z256" s="174"/>
      <c r="AA256" s="174"/>
      <c r="AB256" s="127">
        <f>+Z256*'1. Standard_Cost'!$B$23+AA256*'1. Standard_Cost'!$C$23</f>
        <v>0</v>
      </c>
      <c r="AC256" s="176"/>
      <c r="AD256" s="177"/>
      <c r="AE256" s="127">
        <f>SUM(AD256,AC256,AB256,Y256,U256,T256,S256,R256)*'1. Standard_Cost'!$B$31</f>
        <v>0</v>
      </c>
      <c r="AF256" s="127">
        <f>SUM(AE256,AD256,AC256,AB256,Y256,U256,T256,S256,R256)</f>
        <v>0</v>
      </c>
      <c r="AG256" s="174"/>
      <c r="AH256" s="174"/>
      <c r="AI256" s="174"/>
      <c r="AJ256" s="178"/>
      <c r="AK256" s="178"/>
      <c r="AL256" s="178"/>
      <c r="AM256" s="127">
        <f>AG256*'1. Standard_Cost'!$B$27+'Incremental_Cost Year 1'!AH256*'1. Standard_Cost'!$C$27+'Incremental_Cost Year 1'!AI256*'1. Standard_Cost'!$D$27+'Incremental_Cost Year 1'!AJ256+'Incremental_Cost Year 1'!AL256+AK256</f>
        <v>0</v>
      </c>
      <c r="AN256" s="127">
        <f>AM256*'1. Standard_Cost'!$C$31</f>
        <v>0</v>
      </c>
      <c r="AO256" s="178"/>
      <c r="AP256" s="256"/>
      <c r="AQ256" s="171">
        <f>L256+M256</f>
        <v>0</v>
      </c>
      <c r="AR256" s="171">
        <f>AF256</f>
        <v>0</v>
      </c>
      <c r="AS256" s="171">
        <f>AM256+AN256</f>
        <v>0</v>
      </c>
      <c r="AT256" s="171">
        <f>SUM(AQ256,AR256,AS256)</f>
        <v>0</v>
      </c>
      <c r="AU256" s="250"/>
      <c r="AV256" s="250"/>
      <c r="AW256" s="250"/>
      <c r="AX256" s="250"/>
      <c r="AY256" s="250"/>
      <c r="AZ256" s="250"/>
      <c r="BA256" s="250"/>
      <c r="BB256" s="251">
        <f t="shared" si="219"/>
        <v>0</v>
      </c>
      <c r="BC256" s="155"/>
      <c r="BD256" s="155"/>
      <c r="BE256" s="155"/>
      <c r="BF256" s="155"/>
    </row>
    <row r="257" spans="1:58" ht="94.5" x14ac:dyDescent="0.25">
      <c r="A257" s="157"/>
      <c r="B257" s="161"/>
      <c r="C257" s="162"/>
      <c r="D257" s="202"/>
      <c r="E257" s="360"/>
      <c r="F257" s="361"/>
      <c r="G257" s="362"/>
      <c r="H257" s="199" t="s">
        <v>332</v>
      </c>
      <c r="I257" s="178"/>
      <c r="J257" s="174"/>
      <c r="K257" s="174"/>
      <c r="L257" s="125" t="str">
        <f>IF(I257&lt;&gt;0,((VLOOKUP(I257,'1. Standard_Cost'!$B$4:$D$11,2)+VLOOKUP(I257,'1. Standard_Cost'!$B$4:$D$11,3))*J257*K257),"0")</f>
        <v>0</v>
      </c>
      <c r="M257" s="125">
        <f>L257*'1. Standard_Cost'!$F$4</f>
        <v>0</v>
      </c>
      <c r="N257" s="174"/>
      <c r="O257" s="174"/>
      <c r="P257" s="174"/>
      <c r="Q257" s="174"/>
      <c r="R257" s="127">
        <f>'1. Standard_Cost'!$B$15*N257*P257</f>
        <v>0</v>
      </c>
      <c r="S257" s="127">
        <f>N257*O257*P257*'1. Standard_Cost'!$C$15</f>
        <v>0</v>
      </c>
      <c r="T257" s="127">
        <f>N257*P257*Q257*'1. Standard_Cost'!$D$15</f>
        <v>0</v>
      </c>
      <c r="U257" s="127">
        <f>N257*O257*'1. Standard_Cost'!$E$15</f>
        <v>0</v>
      </c>
      <c r="V257" s="174"/>
      <c r="W257" s="174"/>
      <c r="X257" s="174"/>
      <c r="Y257" s="127">
        <f>+V257*((X257*'1. Standard_Cost'!$B$19)+(W257*X257*'1. Standard_Cost'!$C$19))</f>
        <v>0</v>
      </c>
      <c r="Z257" s="174"/>
      <c r="AA257" s="174"/>
      <c r="AB257" s="127">
        <f>+Z257*'1. Standard_Cost'!$B$23+AA257*'1. Standard_Cost'!$C$23</f>
        <v>0</v>
      </c>
      <c r="AC257" s="176"/>
      <c r="AD257" s="177"/>
      <c r="AE257" s="127">
        <f>SUM(AD257,AC257,AB257,Y257,U257,T257,S257,R257)*'1. Standard_Cost'!$B$31</f>
        <v>0</v>
      </c>
      <c r="AF257" s="127">
        <f>SUM(AE257,AD257,AC257,AB257,Y257,U257,T257,S257,R257)</f>
        <v>0</v>
      </c>
      <c r="AG257" s="174"/>
      <c r="AH257" s="174"/>
      <c r="AI257" s="174"/>
      <c r="AJ257" s="178"/>
      <c r="AK257" s="178"/>
      <c r="AL257" s="178"/>
      <c r="AM257" s="127">
        <f>AG257*'1. Standard_Cost'!$B$27+'Incremental_Cost Year 1'!AH257*'1. Standard_Cost'!$C$27+'Incremental_Cost Year 1'!AI257*'1. Standard_Cost'!$D$27+'Incremental_Cost Year 1'!AJ257+'Incremental_Cost Year 1'!AL257+AK257</f>
        <v>0</v>
      </c>
      <c r="AN257" s="127">
        <f>AM257*'1. Standard_Cost'!$C$31</f>
        <v>0</v>
      </c>
      <c r="AO257" s="178"/>
      <c r="AP257" s="256"/>
      <c r="AQ257" s="171">
        <f>L257+M257</f>
        <v>0</v>
      </c>
      <c r="AR257" s="171">
        <f>AF257</f>
        <v>0</v>
      </c>
      <c r="AS257" s="171">
        <f>AM257+AN257</f>
        <v>0</v>
      </c>
      <c r="AT257" s="171">
        <f>SUM(AQ257,AR257,AS257)</f>
        <v>0</v>
      </c>
      <c r="AU257" s="250"/>
      <c r="AV257" s="250"/>
      <c r="AW257" s="250"/>
      <c r="AX257" s="250"/>
      <c r="AY257" s="250"/>
      <c r="AZ257" s="250"/>
      <c r="BA257" s="250"/>
      <c r="BB257" s="251">
        <f t="shared" si="219"/>
        <v>0</v>
      </c>
      <c r="BC257" s="155"/>
      <c r="BD257" s="155"/>
      <c r="BE257" s="155"/>
      <c r="BF257" s="155"/>
    </row>
    <row r="258" spans="1:58" ht="38.25" x14ac:dyDescent="0.2">
      <c r="A258" s="157"/>
      <c r="B258" s="154"/>
      <c r="C258" s="163"/>
      <c r="D258" s="195" t="s">
        <v>559</v>
      </c>
      <c r="E258" s="205" t="s">
        <v>333</v>
      </c>
      <c r="F258" s="206">
        <v>2025</v>
      </c>
      <c r="G258" s="207">
        <v>2030</v>
      </c>
      <c r="H258" s="180" t="s">
        <v>334</v>
      </c>
      <c r="I258" s="273"/>
      <c r="J258" s="273"/>
      <c r="K258" s="273"/>
      <c r="L258" s="175">
        <f>SUM(L255:L257)</f>
        <v>0</v>
      </c>
      <c r="M258" s="175">
        <f>SUM(M255:M257)</f>
        <v>0</v>
      </c>
      <c r="N258" s="273"/>
      <c r="O258" s="273"/>
      <c r="P258" s="273"/>
      <c r="Q258" s="273"/>
      <c r="R258" s="175">
        <f>SUM(R255:R257)</f>
        <v>0</v>
      </c>
      <c r="S258" s="175">
        <f>SUM(S255:S257)</f>
        <v>0</v>
      </c>
      <c r="T258" s="175">
        <f>SUM(T255:T257)</f>
        <v>0</v>
      </c>
      <c r="U258" s="175">
        <f>SUM(U255:U257)</f>
        <v>0</v>
      </c>
      <c r="V258" s="273"/>
      <c r="W258" s="273"/>
      <c r="X258" s="273"/>
      <c r="Y258" s="175">
        <f>SUM(Y255:Y257)</f>
        <v>0</v>
      </c>
      <c r="Z258" s="273"/>
      <c r="AA258" s="273"/>
      <c r="AB258" s="175">
        <f>SUM(AB255:AB257)</f>
        <v>0</v>
      </c>
      <c r="AC258" s="175">
        <f>SUM(AC255:AC257)</f>
        <v>0</v>
      </c>
      <c r="AD258" s="175">
        <f>SUM(AD255:AD257)</f>
        <v>0</v>
      </c>
      <c r="AE258" s="175">
        <f>SUM(AE255:AE257)</f>
        <v>0</v>
      </c>
      <c r="AF258" s="175">
        <f>SUM(AF255:AF257)</f>
        <v>0</v>
      </c>
      <c r="AG258" s="273"/>
      <c r="AH258" s="273"/>
      <c r="AI258" s="273"/>
      <c r="AJ258" s="175">
        <f>SUM(AJ255:AJ257)</f>
        <v>0</v>
      </c>
      <c r="AK258" s="175">
        <f>SUM(AK255:AK257)</f>
        <v>0</v>
      </c>
      <c r="AL258" s="175">
        <f>SUM(AL255:AL257)</f>
        <v>0</v>
      </c>
      <c r="AM258" s="175">
        <f>SUM(AM255:AM257)</f>
        <v>0</v>
      </c>
      <c r="AN258" s="175">
        <f>SUM(AN255:AN257)</f>
        <v>0</v>
      </c>
      <c r="AO258" s="274"/>
      <c r="AP258" s="254"/>
      <c r="AQ258" s="175">
        <f t="shared" ref="AQ258:BB258" si="220">SUM(AQ255:AQ257)</f>
        <v>0</v>
      </c>
      <c r="AR258" s="175">
        <f t="shared" si="220"/>
        <v>0</v>
      </c>
      <c r="AS258" s="175">
        <f t="shared" si="220"/>
        <v>0</v>
      </c>
      <c r="AT258" s="175">
        <f t="shared" si="220"/>
        <v>0</v>
      </c>
      <c r="AU258" s="175">
        <f t="shared" si="220"/>
        <v>0</v>
      </c>
      <c r="AV258" s="175">
        <f t="shared" si="220"/>
        <v>0</v>
      </c>
      <c r="AW258" s="175">
        <f t="shared" si="220"/>
        <v>0</v>
      </c>
      <c r="AX258" s="175">
        <f t="shared" si="220"/>
        <v>0</v>
      </c>
      <c r="AY258" s="175">
        <f t="shared" si="220"/>
        <v>0</v>
      </c>
      <c r="AZ258" s="175">
        <f t="shared" si="220"/>
        <v>0</v>
      </c>
      <c r="BA258" s="175">
        <f t="shared" si="220"/>
        <v>0</v>
      </c>
      <c r="BB258" s="175">
        <f t="shared" si="220"/>
        <v>0</v>
      </c>
      <c r="BC258" s="155"/>
      <c r="BD258" s="155"/>
      <c r="BE258" s="155"/>
      <c r="BF258" s="155"/>
    </row>
    <row r="259" spans="1:58" ht="61.15" customHeight="1" x14ac:dyDescent="0.2">
      <c r="A259" s="159"/>
      <c r="B259" s="285"/>
      <c r="C259" s="391" t="s">
        <v>335</v>
      </c>
      <c r="D259" s="391"/>
      <c r="E259" s="392"/>
      <c r="F259" s="280"/>
      <c r="G259" s="282"/>
      <c r="H259" s="181" t="s">
        <v>336</v>
      </c>
      <c r="I259" s="271"/>
      <c r="J259" s="271"/>
      <c r="K259" s="271"/>
      <c r="L259" s="261">
        <f>L263+L268</f>
        <v>3676400</v>
      </c>
      <c r="M259" s="261">
        <f>M263+M268</f>
        <v>613958.80000000005</v>
      </c>
      <c r="N259" s="271"/>
      <c r="O259" s="271"/>
      <c r="P259" s="271"/>
      <c r="Q259" s="271"/>
      <c r="R259" s="261">
        <f>R263+R268</f>
        <v>0</v>
      </c>
      <c r="S259" s="261">
        <f>S263+S268</f>
        <v>0</v>
      </c>
      <c r="T259" s="261">
        <f>T263+T268</f>
        <v>0</v>
      </c>
      <c r="U259" s="261">
        <f>U263+U268</f>
        <v>0</v>
      </c>
      <c r="V259" s="261"/>
      <c r="W259" s="271"/>
      <c r="X259" s="271"/>
      <c r="Y259" s="261">
        <f>Y263+Y268</f>
        <v>0</v>
      </c>
      <c r="Z259" s="261"/>
      <c r="AA259" s="261"/>
      <c r="AB259" s="261">
        <f>AB263+AB268</f>
        <v>0</v>
      </c>
      <c r="AC259" s="261">
        <f>AC263+AC268</f>
        <v>7000000</v>
      </c>
      <c r="AD259" s="261">
        <f>AD263+AD268</f>
        <v>0</v>
      </c>
      <c r="AE259" s="261">
        <f>AE263+AE268</f>
        <v>1400000</v>
      </c>
      <c r="AF259" s="261">
        <f>AF263+AF268</f>
        <v>8400000</v>
      </c>
      <c r="AG259" s="271"/>
      <c r="AH259" s="271"/>
      <c r="AI259" s="271"/>
      <c r="AJ259" s="261">
        <f>AJ263+AJ268</f>
        <v>0</v>
      </c>
      <c r="AK259" s="261">
        <f>AK263+AK268</f>
        <v>0</v>
      </c>
      <c r="AL259" s="261">
        <f>AL263+AL268</f>
        <v>0</v>
      </c>
      <c r="AM259" s="261">
        <f>AM263+AM268</f>
        <v>0</v>
      </c>
      <c r="AN259" s="261">
        <f>AN263+AN268</f>
        <v>0</v>
      </c>
      <c r="AO259" s="272"/>
      <c r="AP259" s="260"/>
      <c r="AQ259" s="261">
        <f t="shared" ref="AQ259:BB259" si="221">AQ263+AQ268</f>
        <v>4290358.8</v>
      </c>
      <c r="AR259" s="261">
        <f t="shared" si="221"/>
        <v>8400000</v>
      </c>
      <c r="AS259" s="261">
        <f t="shared" si="221"/>
        <v>0</v>
      </c>
      <c r="AT259" s="261">
        <f t="shared" si="221"/>
        <v>12690358.800000001</v>
      </c>
      <c r="AU259" s="261">
        <f t="shared" si="221"/>
        <v>9445195.4399999995</v>
      </c>
      <c r="AV259" s="261">
        <f t="shared" si="221"/>
        <v>0</v>
      </c>
      <c r="AW259" s="261">
        <f t="shared" si="221"/>
        <v>3245163</v>
      </c>
      <c r="AX259" s="261">
        <f t="shared" si="221"/>
        <v>0</v>
      </c>
      <c r="AY259" s="261">
        <f t="shared" si="221"/>
        <v>0</v>
      </c>
      <c r="AZ259" s="261">
        <f t="shared" si="221"/>
        <v>0</v>
      </c>
      <c r="BA259" s="261">
        <f t="shared" si="221"/>
        <v>0</v>
      </c>
      <c r="BB259" s="261">
        <f t="shared" si="221"/>
        <v>-0.3600000012665987</v>
      </c>
      <c r="BC259" s="160"/>
      <c r="BD259" s="160"/>
      <c r="BE259" s="160"/>
      <c r="BF259" s="160"/>
    </row>
    <row r="260" spans="1:58" ht="78.75" x14ac:dyDescent="0.25">
      <c r="A260" s="157"/>
      <c r="B260" s="354"/>
      <c r="C260" s="356"/>
      <c r="D260" s="342"/>
      <c r="E260" s="328"/>
      <c r="F260" s="328"/>
      <c r="G260" s="328"/>
      <c r="H260" s="199" t="s">
        <v>551</v>
      </c>
      <c r="I260" s="178"/>
      <c r="J260" s="174"/>
      <c r="K260" s="174"/>
      <c r="L260" s="125" t="str">
        <f>IF(I260&lt;&gt;0,((VLOOKUP(I260,'1. Standard_Cost'!$B$4:$D$11,2)+VLOOKUP(I260,'1. Standard_Cost'!$B$4:$D$11,3))*J260*K260),"0")</f>
        <v>0</v>
      </c>
      <c r="M260" s="125">
        <f>L260*'1. Standard_Cost'!$F$4</f>
        <v>0</v>
      </c>
      <c r="N260" s="174"/>
      <c r="O260" s="174"/>
      <c r="P260" s="174"/>
      <c r="Q260" s="174"/>
      <c r="R260" s="127">
        <f>'1. Standard_Cost'!$B$15*N260*P260</f>
        <v>0</v>
      </c>
      <c r="S260" s="127">
        <f>N260*O260*P260*'1. Standard_Cost'!$C$15</f>
        <v>0</v>
      </c>
      <c r="T260" s="127">
        <f>N260*P260*Q260*'1. Standard_Cost'!$D$15</f>
        <v>0</v>
      </c>
      <c r="U260" s="127">
        <f>N260*O260*'1. Standard_Cost'!$E$15</f>
        <v>0</v>
      </c>
      <c r="V260" s="174"/>
      <c r="W260" s="174"/>
      <c r="X260" s="174"/>
      <c r="Y260" s="127">
        <f>+V260*((X260*'1. Standard_Cost'!$B$19)+(W260*X260*'1. Standard_Cost'!$C$19))</f>
        <v>0</v>
      </c>
      <c r="Z260" s="174"/>
      <c r="AA260" s="174"/>
      <c r="AB260" s="127">
        <f>+Z260*'1. Standard_Cost'!$B$23+AA260*'1. Standard_Cost'!$C$23</f>
        <v>0</v>
      </c>
      <c r="AC260" s="176"/>
      <c r="AD260" s="177"/>
      <c r="AE260" s="127">
        <f>SUM(AD260,AC260,AB260,Y260,U260,T260,S260,R260)*'1. Standard_Cost'!$B$31</f>
        <v>0</v>
      </c>
      <c r="AF260" s="127">
        <f>SUM(AE260,AD260,AC260,AB260,Y260,U260,T260,S260,R260)</f>
        <v>0</v>
      </c>
      <c r="AG260" s="174"/>
      <c r="AH260" s="174"/>
      <c r="AI260" s="174"/>
      <c r="AJ260" s="178"/>
      <c r="AK260" s="178"/>
      <c r="AL260" s="178"/>
      <c r="AM260" s="127">
        <f>AG260*'1. Standard_Cost'!$B$27+'Incremental_Cost Year 1'!AH260*'1. Standard_Cost'!$C$27+'Incremental_Cost Year 1'!AI260*'1. Standard_Cost'!$D$27+'Incremental_Cost Year 1'!AJ260+'Incremental_Cost Year 1'!AL260+AK260</f>
        <v>0</v>
      </c>
      <c r="AN260" s="127">
        <f>AM260*'1. Standard_Cost'!$C$31</f>
        <v>0</v>
      </c>
      <c r="AO260" s="178"/>
      <c r="AP260" s="256"/>
      <c r="AQ260" s="171">
        <f>L260+M260</f>
        <v>0</v>
      </c>
      <c r="AR260" s="171">
        <f>AF260</f>
        <v>0</v>
      </c>
      <c r="AS260" s="171">
        <f>AM260+AN260</f>
        <v>0</v>
      </c>
      <c r="AT260" s="171">
        <f>SUM(AQ260,AR260,AS260)</f>
        <v>0</v>
      </c>
      <c r="AU260" s="250"/>
      <c r="AV260" s="250"/>
      <c r="AW260" s="250"/>
      <c r="AX260" s="250"/>
      <c r="AY260" s="250"/>
      <c r="AZ260" s="250"/>
      <c r="BA260" s="250"/>
      <c r="BB260" s="251">
        <f t="shared" ref="BB260:BB262" si="222">SUM(AU260:BA260)-AT260</f>
        <v>0</v>
      </c>
      <c r="BC260" s="155"/>
      <c r="BD260" s="155"/>
      <c r="BE260" s="155"/>
      <c r="BF260" s="155"/>
    </row>
    <row r="261" spans="1:58" ht="63" x14ac:dyDescent="0.25">
      <c r="A261" s="157"/>
      <c r="B261" s="357"/>
      <c r="C261" s="359"/>
      <c r="D261" s="343"/>
      <c r="E261" s="328"/>
      <c r="F261" s="328"/>
      <c r="G261" s="328"/>
      <c r="H261" s="199" t="s">
        <v>337</v>
      </c>
      <c r="I261" s="178"/>
      <c r="J261" s="174"/>
      <c r="K261" s="174"/>
      <c r="L261" s="125" t="str">
        <f>IF(I261&lt;&gt;0,((VLOOKUP(I261,'1. Standard_Cost'!$B$4:$D$11,2)+VLOOKUP(I261,'1. Standard_Cost'!$B$4:$D$11,3))*J261*K261),"0")</f>
        <v>0</v>
      </c>
      <c r="M261" s="125">
        <f>L261*'1. Standard_Cost'!$F$4</f>
        <v>0</v>
      </c>
      <c r="N261" s="174"/>
      <c r="O261" s="174"/>
      <c r="P261" s="174"/>
      <c r="Q261" s="174"/>
      <c r="R261" s="127">
        <f>'1. Standard_Cost'!$B$15*N261*P261</f>
        <v>0</v>
      </c>
      <c r="S261" s="127">
        <f>N261*O261*P261*'1. Standard_Cost'!$C$15</f>
        <v>0</v>
      </c>
      <c r="T261" s="127">
        <f>N261*P261*Q261*'1. Standard_Cost'!$D$15</f>
        <v>0</v>
      </c>
      <c r="U261" s="127">
        <f>N261*O261*'1. Standard_Cost'!$E$15</f>
        <v>0</v>
      </c>
      <c r="V261" s="174"/>
      <c r="W261" s="174"/>
      <c r="X261" s="174"/>
      <c r="Y261" s="127">
        <f>+V261*((X261*'1. Standard_Cost'!$B$19)+(W261*X261*'1. Standard_Cost'!$C$19))</f>
        <v>0</v>
      </c>
      <c r="Z261" s="174"/>
      <c r="AA261" s="174"/>
      <c r="AB261" s="127">
        <f>+Z261*'1. Standard_Cost'!$B$23+AA261*'1. Standard_Cost'!$C$23</f>
        <v>0</v>
      </c>
      <c r="AC261" s="176"/>
      <c r="AD261" s="177"/>
      <c r="AE261" s="127">
        <f>SUM(AD261,AC261,AB261,Y261,U261,T261,S261,R261)*'1. Standard_Cost'!$B$31</f>
        <v>0</v>
      </c>
      <c r="AF261" s="127">
        <f>SUM(AE261,AD261,AC261,AB261,Y261,U261,T261,S261,R261)</f>
        <v>0</v>
      </c>
      <c r="AG261" s="174"/>
      <c r="AH261" s="174"/>
      <c r="AI261" s="174"/>
      <c r="AJ261" s="178"/>
      <c r="AK261" s="178"/>
      <c r="AL261" s="178"/>
      <c r="AM261" s="127">
        <f>AG261*'1. Standard_Cost'!$B$27+'Incremental_Cost Year 1'!AH261*'1. Standard_Cost'!$C$27+'Incremental_Cost Year 1'!AI261*'1. Standard_Cost'!$D$27+'Incremental_Cost Year 1'!AJ261+'Incremental_Cost Year 1'!AL261+AK261</f>
        <v>0</v>
      </c>
      <c r="AN261" s="127">
        <f>AM261*'1. Standard_Cost'!$C$31</f>
        <v>0</v>
      </c>
      <c r="AO261" s="178"/>
      <c r="AP261" s="256"/>
      <c r="AQ261" s="171">
        <f>L261+M261</f>
        <v>0</v>
      </c>
      <c r="AR261" s="171">
        <f>AF261</f>
        <v>0</v>
      </c>
      <c r="AS261" s="171">
        <f>AM261+AN261</f>
        <v>0</v>
      </c>
      <c r="AT261" s="171">
        <f>SUM(AQ261,AR261,AS261)</f>
        <v>0</v>
      </c>
      <c r="AU261" s="250"/>
      <c r="AV261" s="250"/>
      <c r="AW261" s="250"/>
      <c r="AX261" s="250"/>
      <c r="AY261" s="250"/>
      <c r="AZ261" s="250"/>
      <c r="BA261" s="250"/>
      <c r="BB261" s="251">
        <f t="shared" si="222"/>
        <v>0</v>
      </c>
      <c r="BC261" s="155"/>
      <c r="BD261" s="155"/>
      <c r="BE261" s="155"/>
      <c r="BF261" s="155"/>
    </row>
    <row r="262" spans="1:58" ht="63" x14ac:dyDescent="0.25">
      <c r="A262" s="157"/>
      <c r="B262" s="357"/>
      <c r="C262" s="359"/>
      <c r="D262" s="343"/>
      <c r="E262" s="328"/>
      <c r="F262" s="328"/>
      <c r="G262" s="328"/>
      <c r="H262" s="199" t="s">
        <v>552</v>
      </c>
      <c r="I262" s="178"/>
      <c r="J262" s="174"/>
      <c r="K262" s="174"/>
      <c r="L262" s="125" t="str">
        <f>IF(I262&lt;&gt;0,((VLOOKUP(I262,'1. Standard_Cost'!$B$4:$D$11,2)+VLOOKUP(I262,'1. Standard_Cost'!$B$4:$D$11,3))*J262*K262),"0")</f>
        <v>0</v>
      </c>
      <c r="M262" s="125">
        <f>L262*'1. Standard_Cost'!$F$4</f>
        <v>0</v>
      </c>
      <c r="N262" s="174"/>
      <c r="O262" s="174"/>
      <c r="P262" s="174"/>
      <c r="Q262" s="174"/>
      <c r="R262" s="127">
        <f>'1. Standard_Cost'!$B$15*N262*P262</f>
        <v>0</v>
      </c>
      <c r="S262" s="127">
        <f>N262*O262*P262*'1. Standard_Cost'!$C$15</f>
        <v>0</v>
      </c>
      <c r="T262" s="127">
        <f>N262*P262*Q262*'1. Standard_Cost'!$D$15</f>
        <v>0</v>
      </c>
      <c r="U262" s="127">
        <f>N262*O262*'1. Standard_Cost'!$E$15</f>
        <v>0</v>
      </c>
      <c r="V262" s="174"/>
      <c r="W262" s="174"/>
      <c r="X262" s="174"/>
      <c r="Y262" s="127">
        <f>+V262*((X262*'1. Standard_Cost'!$B$19)+(W262*X262*'1. Standard_Cost'!$C$19))</f>
        <v>0</v>
      </c>
      <c r="Z262" s="174"/>
      <c r="AA262" s="174"/>
      <c r="AB262" s="127">
        <f>+Z262*'1. Standard_Cost'!$B$23+AA262*'1. Standard_Cost'!$C$23</f>
        <v>0</v>
      </c>
      <c r="AC262" s="176"/>
      <c r="AD262" s="177"/>
      <c r="AE262" s="127">
        <f>SUM(AD262,AC262,AB262,Y262,U262,T262,S262,R262)*'1. Standard_Cost'!$B$31</f>
        <v>0</v>
      </c>
      <c r="AF262" s="127">
        <f>SUM(AE262,AD262,AC262,AB262,Y262,U262,T262,S262,R262)</f>
        <v>0</v>
      </c>
      <c r="AG262" s="174"/>
      <c r="AH262" s="174"/>
      <c r="AI262" s="174"/>
      <c r="AJ262" s="178"/>
      <c r="AK262" s="178"/>
      <c r="AL262" s="178"/>
      <c r="AM262" s="127">
        <f>AG262*'1. Standard_Cost'!$B$27+'Incremental_Cost Year 1'!AH262*'1. Standard_Cost'!$C$27+'Incremental_Cost Year 1'!AI262*'1. Standard_Cost'!$D$27+'Incremental_Cost Year 1'!AJ262+'Incremental_Cost Year 1'!AL262+AK262</f>
        <v>0</v>
      </c>
      <c r="AN262" s="127">
        <f>AM262*'1. Standard_Cost'!$C$31</f>
        <v>0</v>
      </c>
      <c r="AO262" s="178"/>
      <c r="AP262" s="256"/>
      <c r="AQ262" s="171">
        <f>L262+M262</f>
        <v>0</v>
      </c>
      <c r="AR262" s="171">
        <f>AF262</f>
        <v>0</v>
      </c>
      <c r="AS262" s="171">
        <f>AM262+AN262</f>
        <v>0</v>
      </c>
      <c r="AT262" s="171">
        <f>SUM(AQ262,AR262,AS262)</f>
        <v>0</v>
      </c>
      <c r="AU262" s="250"/>
      <c r="AV262" s="250"/>
      <c r="AW262" s="250"/>
      <c r="AX262" s="250"/>
      <c r="AY262" s="250"/>
      <c r="AZ262" s="250"/>
      <c r="BA262" s="250"/>
      <c r="BB262" s="251">
        <f t="shared" si="222"/>
        <v>0</v>
      </c>
      <c r="BC262" s="155"/>
      <c r="BD262" s="155"/>
      <c r="BE262" s="155"/>
      <c r="BF262" s="155"/>
    </row>
    <row r="263" spans="1:58" x14ac:dyDescent="0.25">
      <c r="A263" s="157"/>
      <c r="B263" s="357"/>
      <c r="C263" s="359"/>
      <c r="D263" s="343"/>
      <c r="E263" s="328"/>
      <c r="F263" s="328"/>
      <c r="G263" s="328"/>
      <c r="H263" s="182" t="s">
        <v>338</v>
      </c>
      <c r="I263" s="273"/>
      <c r="J263" s="273"/>
      <c r="K263" s="273"/>
      <c r="L263" s="175">
        <f>SUM(L260:L262)</f>
        <v>0</v>
      </c>
      <c r="M263" s="175">
        <f>SUM(M260:M262)</f>
        <v>0</v>
      </c>
      <c r="N263" s="273"/>
      <c r="O263" s="273"/>
      <c r="P263" s="273"/>
      <c r="Q263" s="273"/>
      <c r="R263" s="175">
        <f>SUM(R260:R262)</f>
        <v>0</v>
      </c>
      <c r="S263" s="175">
        <f>SUM(S260:S262)</f>
        <v>0</v>
      </c>
      <c r="T263" s="175">
        <f>SUM(T260:T262)</f>
        <v>0</v>
      </c>
      <c r="U263" s="175">
        <f>SUM(U260:U262)</f>
        <v>0</v>
      </c>
      <c r="V263" s="273"/>
      <c r="W263" s="273"/>
      <c r="X263" s="273"/>
      <c r="Y263" s="175">
        <f>SUM(Y260:Y262)</f>
        <v>0</v>
      </c>
      <c r="Z263" s="175"/>
      <c r="AA263" s="273"/>
      <c r="AB263" s="175">
        <f>SUM(AB260:AB262)</f>
        <v>0</v>
      </c>
      <c r="AC263" s="175">
        <f>SUM(AC260:AC262)</f>
        <v>0</v>
      </c>
      <c r="AD263" s="175">
        <f>SUM(AD260:AD262)</f>
        <v>0</v>
      </c>
      <c r="AE263" s="175">
        <f>SUM(AE260:AE262)</f>
        <v>0</v>
      </c>
      <c r="AF263" s="175">
        <f>SUM(AF260:AF262)</f>
        <v>0</v>
      </c>
      <c r="AG263" s="273"/>
      <c r="AH263" s="273"/>
      <c r="AI263" s="273"/>
      <c r="AJ263" s="175">
        <f>SUM(AJ260:AJ262)</f>
        <v>0</v>
      </c>
      <c r="AK263" s="175">
        <f>SUM(AK260:AK262)</f>
        <v>0</v>
      </c>
      <c r="AL263" s="175">
        <f>SUM(AL260:AL262)</f>
        <v>0</v>
      </c>
      <c r="AM263" s="175">
        <f>SUM(AM260:AM262)</f>
        <v>0</v>
      </c>
      <c r="AN263" s="175">
        <f>SUM(AN260:AN262)</f>
        <v>0</v>
      </c>
      <c r="AO263" s="274"/>
      <c r="AP263" s="254"/>
      <c r="AQ263" s="175">
        <f t="shared" ref="AQ263:BB263" si="223">SUM(AQ260:AQ262)</f>
        <v>0</v>
      </c>
      <c r="AR263" s="175">
        <f t="shared" si="223"/>
        <v>0</v>
      </c>
      <c r="AS263" s="175">
        <f t="shared" si="223"/>
        <v>0</v>
      </c>
      <c r="AT263" s="175">
        <f t="shared" si="223"/>
        <v>0</v>
      </c>
      <c r="AU263" s="175">
        <f t="shared" si="223"/>
        <v>0</v>
      </c>
      <c r="AV263" s="175">
        <f t="shared" si="223"/>
        <v>0</v>
      </c>
      <c r="AW263" s="175">
        <f t="shared" si="223"/>
        <v>0</v>
      </c>
      <c r="AX263" s="175">
        <f t="shared" si="223"/>
        <v>0</v>
      </c>
      <c r="AY263" s="175">
        <f t="shared" si="223"/>
        <v>0</v>
      </c>
      <c r="AZ263" s="175">
        <f t="shared" si="223"/>
        <v>0</v>
      </c>
      <c r="BA263" s="175">
        <f t="shared" si="223"/>
        <v>0</v>
      </c>
      <c r="BB263" s="175">
        <f t="shared" si="223"/>
        <v>0</v>
      </c>
      <c r="BC263" s="155"/>
      <c r="BD263" s="155"/>
      <c r="BE263" s="155"/>
      <c r="BF263" s="155"/>
    </row>
    <row r="264" spans="1:58" ht="78.75" x14ac:dyDescent="0.25">
      <c r="A264" s="157"/>
      <c r="B264" s="357"/>
      <c r="C264" s="359"/>
      <c r="D264" s="343"/>
      <c r="E264" s="328"/>
      <c r="F264" s="328"/>
      <c r="G264" s="328"/>
      <c r="H264" s="199" t="s">
        <v>553</v>
      </c>
      <c r="I264" s="178"/>
      <c r="J264" s="174"/>
      <c r="K264" s="174"/>
      <c r="L264" s="125" t="str">
        <f>IF(I264&lt;&gt;0,((VLOOKUP(I264,'1. Standard_Cost'!$B$4:$D$11,2)+VLOOKUP(I264,'1. Standard_Cost'!$B$4:$D$11,3))*J264*K264),"0")</f>
        <v>0</v>
      </c>
      <c r="M264" s="125">
        <f>L264*'1. Standard_Cost'!$F$4</f>
        <v>0</v>
      </c>
      <c r="N264" s="174"/>
      <c r="O264" s="174"/>
      <c r="P264" s="174"/>
      <c r="Q264" s="174"/>
      <c r="R264" s="127">
        <f>'1. Standard_Cost'!$B$15*N264*P264</f>
        <v>0</v>
      </c>
      <c r="S264" s="127">
        <f>N264*O264*P264*'1. Standard_Cost'!$C$15</f>
        <v>0</v>
      </c>
      <c r="T264" s="127">
        <f>N264*P264*Q264*'1. Standard_Cost'!$D$15</f>
        <v>0</v>
      </c>
      <c r="U264" s="127">
        <f>N264*O264*'1. Standard_Cost'!$E$15</f>
        <v>0</v>
      </c>
      <c r="V264" s="174"/>
      <c r="W264" s="174"/>
      <c r="X264" s="174"/>
      <c r="Y264" s="127">
        <f>+V264*((X264*'1. Standard_Cost'!$B$19)+(W264*X264*'1. Standard_Cost'!$C$19))</f>
        <v>0</v>
      </c>
      <c r="Z264" s="174"/>
      <c r="AA264" s="174"/>
      <c r="AB264" s="127">
        <f>+Z264*'1. Standard_Cost'!$B$23+AA264*'1. Standard_Cost'!$C$23</f>
        <v>0</v>
      </c>
      <c r="AC264" s="176"/>
      <c r="AD264" s="177"/>
      <c r="AE264" s="127">
        <f>SUM(AD264,AC264,AB264,Y264,U264,T264,S264,R264)*'1. Standard_Cost'!$B$31</f>
        <v>0</v>
      </c>
      <c r="AF264" s="127">
        <f>SUM(AE264,AD264,AC264,AB264,Y264,U264,T264,S264,R264)</f>
        <v>0</v>
      </c>
      <c r="AG264" s="174"/>
      <c r="AH264" s="174"/>
      <c r="AI264" s="174"/>
      <c r="AJ264" s="178"/>
      <c r="AK264" s="178"/>
      <c r="AL264" s="178"/>
      <c r="AM264" s="127">
        <f>AG264*'1. Standard_Cost'!$B$27+'Incremental_Cost Year 1'!AH264*'1. Standard_Cost'!$C$27+'Incremental_Cost Year 1'!AI264*'1. Standard_Cost'!$D$27+'Incremental_Cost Year 1'!AJ264+'Incremental_Cost Year 1'!AL264+AK264</f>
        <v>0</v>
      </c>
      <c r="AN264" s="127">
        <f>AM264*'1. Standard_Cost'!$C$31</f>
        <v>0</v>
      </c>
      <c r="AO264" s="178"/>
      <c r="AP264" s="256"/>
      <c r="AQ264" s="171">
        <f>L264+M264</f>
        <v>0</v>
      </c>
      <c r="AR264" s="171">
        <f>AF264</f>
        <v>0</v>
      </c>
      <c r="AS264" s="171">
        <f>AM264+AN264</f>
        <v>0</v>
      </c>
      <c r="AT264" s="171">
        <f>SUM(AQ264,AR264,AS264)</f>
        <v>0</v>
      </c>
      <c r="AU264" s="250"/>
      <c r="AV264" s="250"/>
      <c r="AW264" s="250"/>
      <c r="AX264" s="250"/>
      <c r="AY264" s="250"/>
      <c r="AZ264" s="250"/>
      <c r="BA264" s="250"/>
      <c r="BB264" s="251">
        <f t="shared" ref="BB264:BB267" si="224">SUM(AU264:BA264)-AT264</f>
        <v>0</v>
      </c>
      <c r="BC264" s="155"/>
      <c r="BD264" s="155"/>
      <c r="BE264" s="155"/>
      <c r="BF264" s="155"/>
    </row>
    <row r="265" spans="1:58" ht="63" x14ac:dyDescent="0.25">
      <c r="A265" s="157"/>
      <c r="B265" s="357"/>
      <c r="C265" s="359"/>
      <c r="D265" s="343"/>
      <c r="E265" s="328"/>
      <c r="F265" s="328"/>
      <c r="G265" s="328"/>
      <c r="H265" s="199" t="s">
        <v>339</v>
      </c>
      <c r="I265" s="178"/>
      <c r="J265" s="174"/>
      <c r="K265" s="174"/>
      <c r="L265" s="125" t="str">
        <f>IF(I265&lt;&gt;0,((VLOOKUP(I265,'1. Standard_Cost'!$B$4:$D$11,2)+VLOOKUP(I265,'1. Standard_Cost'!$B$4:$D$11,3))*J265*K265),"0")</f>
        <v>0</v>
      </c>
      <c r="M265" s="125">
        <f>L265*'1. Standard_Cost'!$F$4</f>
        <v>0</v>
      </c>
      <c r="N265" s="174"/>
      <c r="O265" s="174"/>
      <c r="P265" s="174"/>
      <c r="Q265" s="174"/>
      <c r="R265" s="127">
        <f>'1. Standard_Cost'!$B$15*N265*P265</f>
        <v>0</v>
      </c>
      <c r="S265" s="127">
        <f>N265*O265*P265*'1. Standard_Cost'!$C$15</f>
        <v>0</v>
      </c>
      <c r="T265" s="127">
        <f>N265*P265*Q265*'1. Standard_Cost'!$D$15</f>
        <v>0</v>
      </c>
      <c r="U265" s="127">
        <f>N265*O265*'1. Standard_Cost'!$E$15</f>
        <v>0</v>
      </c>
      <c r="V265" s="174"/>
      <c r="W265" s="174"/>
      <c r="X265" s="174"/>
      <c r="Y265" s="127">
        <f>+V265*((X265*'1. Standard_Cost'!$B$19)+(W265*X265*'1. Standard_Cost'!$C$19))</f>
        <v>0</v>
      </c>
      <c r="Z265" s="174"/>
      <c r="AA265" s="174"/>
      <c r="AB265" s="127">
        <f>+Z265*'1. Standard_Cost'!$B$23+AA265*'1. Standard_Cost'!$C$23</f>
        <v>0</v>
      </c>
      <c r="AC265" s="176"/>
      <c r="AD265" s="177"/>
      <c r="AE265" s="127">
        <f>SUM(AD265,AC265,AB265,Y265,U265,T265,S265,R265)*'1. Standard_Cost'!$B$31</f>
        <v>0</v>
      </c>
      <c r="AF265" s="127">
        <f>SUM(AE265,AD265,AC265,AB265,Y265,U265,T265,S265,R265)</f>
        <v>0</v>
      </c>
      <c r="AG265" s="174"/>
      <c r="AH265" s="174"/>
      <c r="AI265" s="174"/>
      <c r="AJ265" s="178"/>
      <c r="AK265" s="178"/>
      <c r="AL265" s="178"/>
      <c r="AM265" s="127">
        <f>AG265*'1. Standard_Cost'!$B$27+'Incremental_Cost Year 1'!AH265*'1. Standard_Cost'!$C$27+'Incremental_Cost Year 1'!AI265*'1. Standard_Cost'!$D$27+'Incremental_Cost Year 1'!AJ265+'Incremental_Cost Year 1'!AL265+AK265</f>
        <v>0</v>
      </c>
      <c r="AN265" s="127">
        <f>AM265*'1. Standard_Cost'!$C$31</f>
        <v>0</v>
      </c>
      <c r="AO265" s="178"/>
      <c r="AP265" s="256"/>
      <c r="AQ265" s="171">
        <f>L265+M265</f>
        <v>0</v>
      </c>
      <c r="AR265" s="171">
        <f>AF265</f>
        <v>0</v>
      </c>
      <c r="AS265" s="171">
        <f>AM265+AN265</f>
        <v>0</v>
      </c>
      <c r="AT265" s="171">
        <f>SUM(AQ265,AR265,AS265)</f>
        <v>0</v>
      </c>
      <c r="AU265" s="250"/>
      <c r="AV265" s="250"/>
      <c r="AW265" s="250"/>
      <c r="AX265" s="250"/>
      <c r="AY265" s="250"/>
      <c r="AZ265" s="250"/>
      <c r="BA265" s="250"/>
      <c r="BB265" s="251">
        <f t="shared" si="224"/>
        <v>0</v>
      </c>
      <c r="BC265" s="155"/>
      <c r="BD265" s="155"/>
      <c r="BE265" s="155"/>
      <c r="BF265" s="155"/>
    </row>
    <row r="266" spans="1:58" ht="94.5" x14ac:dyDescent="0.25">
      <c r="A266" s="157"/>
      <c r="B266" s="357"/>
      <c r="C266" s="359"/>
      <c r="D266" s="343"/>
      <c r="E266" s="328"/>
      <c r="F266" s="328"/>
      <c r="G266" s="328"/>
      <c r="H266" s="199" t="s">
        <v>362</v>
      </c>
      <c r="I266" s="178" t="s">
        <v>314</v>
      </c>
      <c r="J266" s="174">
        <v>2</v>
      </c>
      <c r="K266" s="174">
        <v>26</v>
      </c>
      <c r="L266" s="125">
        <f>IF(I266&lt;&gt;0,((VLOOKUP(I266,'1. Standard_Cost'!$B$4:$D$11,2)+VLOOKUP(I266,'1. Standard_Cost'!$B$4:$D$11,3))*J266*K266),"0")</f>
        <v>3676400</v>
      </c>
      <c r="M266" s="125">
        <f>L266*'1. Standard_Cost'!$F$4</f>
        <v>613958.80000000005</v>
      </c>
      <c r="N266" s="174"/>
      <c r="O266" s="174"/>
      <c r="P266" s="174"/>
      <c r="Q266" s="174"/>
      <c r="R266" s="127">
        <f>'1. Standard_Cost'!$B$15*N266*P266</f>
        <v>0</v>
      </c>
      <c r="S266" s="127">
        <f>N266*O266*P266*'1. Standard_Cost'!$C$15</f>
        <v>0</v>
      </c>
      <c r="T266" s="127">
        <f>N266*P266*Q266*'1. Standard_Cost'!$D$15</f>
        <v>0</v>
      </c>
      <c r="U266" s="127">
        <f>N266*O266*'1. Standard_Cost'!$E$15</f>
        <v>0</v>
      </c>
      <c r="V266" s="174"/>
      <c r="W266" s="174"/>
      <c r="X266" s="174"/>
      <c r="Y266" s="127">
        <f>+V266*((X266*'1. Standard_Cost'!$B$19)+(W266*X266*'1. Standard_Cost'!$C$19))</f>
        <v>0</v>
      </c>
      <c r="Z266" s="174"/>
      <c r="AA266" s="174"/>
      <c r="AB266" s="127">
        <f>+Z266*'1. Standard_Cost'!$B$23+AA266*'1. Standard_Cost'!$C$23</f>
        <v>0</v>
      </c>
      <c r="AC266" s="176">
        <v>7000000</v>
      </c>
      <c r="AD266" s="177"/>
      <c r="AE266" s="127">
        <f>SUM(AD266,AC266,AB266,Y266,U266,T266,S266,R266)*'1. Standard_Cost'!$B$31</f>
        <v>1400000</v>
      </c>
      <c r="AF266" s="127">
        <f>SUM(AE266,AD266,AC266,AB266,Y266,U266,T266,S266,R266)</f>
        <v>8400000</v>
      </c>
      <c r="AG266" s="174"/>
      <c r="AH266" s="174"/>
      <c r="AI266" s="174"/>
      <c r="AJ266" s="178"/>
      <c r="AK266" s="178"/>
      <c r="AL266" s="178"/>
      <c r="AM266" s="127">
        <f>AG266*'1. Standard_Cost'!$B$27+'Incremental_Cost Year 1'!AH266*'1. Standard_Cost'!$C$27+'Incremental_Cost Year 1'!AI266*'1. Standard_Cost'!$D$27+'Incremental_Cost Year 1'!AJ266+'Incremental_Cost Year 1'!AL266+AK266</f>
        <v>0</v>
      </c>
      <c r="AN266" s="127">
        <f>AM266*'1. Standard_Cost'!$C$31</f>
        <v>0</v>
      </c>
      <c r="AO266" s="178"/>
      <c r="AP266" s="256"/>
      <c r="AQ266" s="171">
        <f>L266+M266</f>
        <v>4290358.8</v>
      </c>
      <c r="AR266" s="171">
        <f>AF266</f>
        <v>8400000</v>
      </c>
      <c r="AS266" s="171">
        <f>AM266+AN266</f>
        <v>0</v>
      </c>
      <c r="AT266" s="171">
        <f>SUM(AQ266,AR266,AS266)</f>
        <v>12690358.800000001</v>
      </c>
      <c r="AU266" s="250">
        <v>9445195.4399999995</v>
      </c>
      <c r="AV266" s="250"/>
      <c r="AW266" s="250">
        <v>3245163</v>
      </c>
      <c r="AX266" s="250"/>
      <c r="AY266" s="250"/>
      <c r="AZ266" s="250"/>
      <c r="BA266" s="250"/>
      <c r="BB266" s="251">
        <f t="shared" si="224"/>
        <v>-0.3600000012665987</v>
      </c>
      <c r="BC266" s="155"/>
      <c r="BD266" s="155"/>
      <c r="BE266" s="155"/>
      <c r="BF266" s="155"/>
    </row>
    <row r="267" spans="1:58" ht="47.25" x14ac:dyDescent="0.25">
      <c r="A267" s="157"/>
      <c r="B267" s="360"/>
      <c r="C267" s="362"/>
      <c r="D267" s="344"/>
      <c r="E267" s="328"/>
      <c r="F267" s="328"/>
      <c r="G267" s="328"/>
      <c r="H267" s="199" t="s">
        <v>554</v>
      </c>
      <c r="I267" s="178"/>
      <c r="J267" s="174"/>
      <c r="K267" s="174"/>
      <c r="L267" s="125" t="str">
        <f>IF(I267&lt;&gt;0,((VLOOKUP(I267,'1. Standard_Cost'!$B$4:$D$11,2)+VLOOKUP(I267,'1. Standard_Cost'!$B$4:$D$11,3))*J267*K267),"0")</f>
        <v>0</v>
      </c>
      <c r="M267" s="125">
        <f>L267*'1. Standard_Cost'!$F$4</f>
        <v>0</v>
      </c>
      <c r="N267" s="174"/>
      <c r="O267" s="174"/>
      <c r="P267" s="174"/>
      <c r="Q267" s="174"/>
      <c r="R267" s="127">
        <f>'1. Standard_Cost'!$B$15*N267*P267</f>
        <v>0</v>
      </c>
      <c r="S267" s="127">
        <f>N267*O267*P267*'1. Standard_Cost'!$C$15</f>
        <v>0</v>
      </c>
      <c r="T267" s="127">
        <f>N267*P267*Q267*'1. Standard_Cost'!$D$15</f>
        <v>0</v>
      </c>
      <c r="U267" s="127">
        <f>N267*O267*'1. Standard_Cost'!$E$15</f>
        <v>0</v>
      </c>
      <c r="V267" s="174"/>
      <c r="W267" s="174"/>
      <c r="X267" s="174"/>
      <c r="Y267" s="127">
        <f>+V267*((X267*'1. Standard_Cost'!$B$19)+(W267*X267*'1. Standard_Cost'!$C$19))</f>
        <v>0</v>
      </c>
      <c r="Z267" s="174"/>
      <c r="AA267" s="174"/>
      <c r="AB267" s="127">
        <f>+Z267*'1. Standard_Cost'!$B$23+AA267*'1. Standard_Cost'!$C$23</f>
        <v>0</v>
      </c>
      <c r="AC267" s="176"/>
      <c r="AD267" s="177"/>
      <c r="AE267" s="127">
        <f>SUM(AD267,AC267,AB267,Y267,U267,T267,S267,R267)*'1. Standard_Cost'!$B$31</f>
        <v>0</v>
      </c>
      <c r="AF267" s="127">
        <f>SUM(AE267,AD267,AC267,AB267,Y267,U267,T267,S267,R267)</f>
        <v>0</v>
      </c>
      <c r="AG267" s="174"/>
      <c r="AH267" s="174"/>
      <c r="AI267" s="174"/>
      <c r="AJ267" s="178"/>
      <c r="AK267" s="178"/>
      <c r="AL267" s="178"/>
      <c r="AM267" s="127">
        <f>AG267*'1. Standard_Cost'!$B$27+'Incremental_Cost Year 1'!AH267*'1. Standard_Cost'!$C$27+'Incremental_Cost Year 1'!AI267*'1. Standard_Cost'!$D$27+'Incremental_Cost Year 1'!AJ267+'Incremental_Cost Year 1'!AL267+AK267</f>
        <v>0</v>
      </c>
      <c r="AN267" s="127">
        <f>AM267*'1. Standard_Cost'!$C$31</f>
        <v>0</v>
      </c>
      <c r="AO267" s="178"/>
      <c r="AP267" s="256"/>
      <c r="AQ267" s="171">
        <f>L267+M267</f>
        <v>0</v>
      </c>
      <c r="AR267" s="171">
        <f>AF267</f>
        <v>0</v>
      </c>
      <c r="AS267" s="171">
        <f>AM267+AN267</f>
        <v>0</v>
      </c>
      <c r="AT267" s="171">
        <f>SUM(AQ267,AR267,AS267)</f>
        <v>0</v>
      </c>
      <c r="AU267" s="250"/>
      <c r="AV267" s="250"/>
      <c r="AW267" s="250"/>
      <c r="AX267" s="250"/>
      <c r="AY267" s="250"/>
      <c r="AZ267" s="250"/>
      <c r="BA267" s="250"/>
      <c r="BB267" s="251">
        <f t="shared" si="224"/>
        <v>0</v>
      </c>
      <c r="BC267" s="155"/>
      <c r="BD267" s="155"/>
      <c r="BE267" s="155"/>
      <c r="BF267" s="155"/>
    </row>
    <row r="268" spans="1:58" ht="38.25" x14ac:dyDescent="0.25">
      <c r="A268" s="157"/>
      <c r="B268" s="154"/>
      <c r="C268" s="163"/>
      <c r="D268" s="344" t="s">
        <v>560</v>
      </c>
      <c r="E268" s="205" t="s">
        <v>340</v>
      </c>
      <c r="F268" s="205">
        <v>2021</v>
      </c>
      <c r="G268" s="205">
        <v>2030</v>
      </c>
      <c r="H268" s="182" t="s">
        <v>341</v>
      </c>
      <c r="I268" s="273"/>
      <c r="J268" s="273"/>
      <c r="K268" s="273"/>
      <c r="L268" s="175">
        <f>SUM(L264:L267)</f>
        <v>3676400</v>
      </c>
      <c r="M268" s="175">
        <f>SUM(M264:M267)</f>
        <v>613958.80000000005</v>
      </c>
      <c r="N268" s="273"/>
      <c r="O268" s="273"/>
      <c r="P268" s="273"/>
      <c r="Q268" s="273"/>
      <c r="R268" s="175">
        <f>SUM(R264:R267)</f>
        <v>0</v>
      </c>
      <c r="S268" s="175">
        <f>SUM(S264:S267)</f>
        <v>0</v>
      </c>
      <c r="T268" s="175">
        <f>SUM(T264:T267)</f>
        <v>0</v>
      </c>
      <c r="U268" s="175">
        <f>SUM(U264:U267)</f>
        <v>0</v>
      </c>
      <c r="V268" s="273"/>
      <c r="W268" s="273"/>
      <c r="X268" s="273"/>
      <c r="Y268" s="175">
        <f>SUM(Y264:Y267)</f>
        <v>0</v>
      </c>
      <c r="Z268" s="175"/>
      <c r="AA268" s="273"/>
      <c r="AB268" s="175">
        <f>SUM(AB264:AB267)</f>
        <v>0</v>
      </c>
      <c r="AC268" s="175">
        <f>SUM(AC264:AC267)</f>
        <v>7000000</v>
      </c>
      <c r="AD268" s="175">
        <f>SUM(AD264:AD267)</f>
        <v>0</v>
      </c>
      <c r="AE268" s="175">
        <f>SUM(AE264:AE267)</f>
        <v>1400000</v>
      </c>
      <c r="AF268" s="175">
        <f>SUM(AF264:AF267)</f>
        <v>8400000</v>
      </c>
      <c r="AG268" s="273"/>
      <c r="AH268" s="273"/>
      <c r="AI268" s="273"/>
      <c r="AJ268" s="175">
        <f>SUM(AJ264:AJ267)</f>
        <v>0</v>
      </c>
      <c r="AK268" s="175">
        <f>SUM(AK264:AK267)</f>
        <v>0</v>
      </c>
      <c r="AL268" s="175">
        <f>SUM(AL264:AL267)</f>
        <v>0</v>
      </c>
      <c r="AM268" s="175">
        <f>SUM(AM264:AM267)</f>
        <v>0</v>
      </c>
      <c r="AN268" s="175">
        <f>SUM(AN264:AN267)</f>
        <v>0</v>
      </c>
      <c r="AO268" s="274"/>
      <c r="AP268" s="254"/>
      <c r="AQ268" s="175">
        <f t="shared" ref="AQ268:BB268" si="225">SUM(AQ264:AQ267)</f>
        <v>4290358.8</v>
      </c>
      <c r="AR268" s="175">
        <f t="shared" si="225"/>
        <v>8400000</v>
      </c>
      <c r="AS268" s="175">
        <f t="shared" si="225"/>
        <v>0</v>
      </c>
      <c r="AT268" s="175">
        <f t="shared" si="225"/>
        <v>12690358.800000001</v>
      </c>
      <c r="AU268" s="175">
        <f t="shared" si="225"/>
        <v>9445195.4399999995</v>
      </c>
      <c r="AV268" s="175">
        <f t="shared" si="225"/>
        <v>0</v>
      </c>
      <c r="AW268" s="175">
        <f t="shared" si="225"/>
        <v>3245163</v>
      </c>
      <c r="AX268" s="175">
        <f t="shared" si="225"/>
        <v>0</v>
      </c>
      <c r="AY268" s="175">
        <f t="shared" si="225"/>
        <v>0</v>
      </c>
      <c r="AZ268" s="175">
        <f t="shared" si="225"/>
        <v>0</v>
      </c>
      <c r="BA268" s="175">
        <f t="shared" si="225"/>
        <v>0</v>
      </c>
      <c r="BB268" s="175">
        <f t="shared" si="225"/>
        <v>-0.3600000012665987</v>
      </c>
      <c r="BC268" s="155"/>
      <c r="BD268" s="155"/>
      <c r="BE268" s="155"/>
      <c r="BF268" s="155"/>
    </row>
    <row r="269" spans="1:58" ht="66.599999999999994" customHeight="1" x14ac:dyDescent="0.2">
      <c r="A269" s="159"/>
      <c r="B269" s="285"/>
      <c r="C269" s="391" t="s">
        <v>342</v>
      </c>
      <c r="D269" s="391"/>
      <c r="E269" s="392"/>
      <c r="F269" s="280"/>
      <c r="G269" s="282"/>
      <c r="H269" s="181" t="s">
        <v>343</v>
      </c>
      <c r="I269" s="271"/>
      <c r="J269" s="271"/>
      <c r="K269" s="271"/>
      <c r="L269" s="261">
        <f>L273+L276</f>
        <v>0</v>
      </c>
      <c r="M269" s="261">
        <f>M273+M276</f>
        <v>0</v>
      </c>
      <c r="N269" s="271"/>
      <c r="O269" s="271"/>
      <c r="P269" s="271"/>
      <c r="Q269" s="271"/>
      <c r="R269" s="261">
        <f>R273+R276</f>
        <v>0</v>
      </c>
      <c r="S269" s="261">
        <f>S273+S276</f>
        <v>0</v>
      </c>
      <c r="T269" s="261">
        <f>T273+T276</f>
        <v>0</v>
      </c>
      <c r="U269" s="261">
        <f>U273+U276</f>
        <v>0</v>
      </c>
      <c r="V269" s="271"/>
      <c r="W269" s="271"/>
      <c r="X269" s="271"/>
      <c r="Y269" s="261">
        <f>Y273+Y276</f>
        <v>0</v>
      </c>
      <c r="Z269" s="261"/>
      <c r="AA269" s="261"/>
      <c r="AB269" s="261">
        <f>AB273+AB276</f>
        <v>0</v>
      </c>
      <c r="AC269" s="261">
        <f>AC273+AC276</f>
        <v>0</v>
      </c>
      <c r="AD269" s="261">
        <f>AD273+AD276</f>
        <v>0</v>
      </c>
      <c r="AE269" s="261">
        <f>AE273+AE276</f>
        <v>0</v>
      </c>
      <c r="AF269" s="261">
        <f>AF273+AF276</f>
        <v>0</v>
      </c>
      <c r="AG269" s="271"/>
      <c r="AH269" s="271"/>
      <c r="AI269" s="271"/>
      <c r="AJ269" s="261">
        <f>AJ273+AJ276</f>
        <v>0</v>
      </c>
      <c r="AK269" s="261">
        <f>AK273+AK276</f>
        <v>0</v>
      </c>
      <c r="AL269" s="261">
        <f>AL273+AL276</f>
        <v>0</v>
      </c>
      <c r="AM269" s="261">
        <f>AM273+AM276</f>
        <v>0</v>
      </c>
      <c r="AN269" s="261">
        <f>AN273+AN276</f>
        <v>0</v>
      </c>
      <c r="AO269" s="272"/>
      <c r="AP269" s="260"/>
      <c r="AQ269" s="261">
        <f t="shared" ref="AQ269:BB269" si="226">AQ273+AQ276</f>
        <v>0</v>
      </c>
      <c r="AR269" s="261">
        <f t="shared" si="226"/>
        <v>0</v>
      </c>
      <c r="AS269" s="261">
        <f t="shared" si="226"/>
        <v>0</v>
      </c>
      <c r="AT269" s="261">
        <f t="shared" si="226"/>
        <v>0</v>
      </c>
      <c r="AU269" s="261">
        <f t="shared" si="226"/>
        <v>0</v>
      </c>
      <c r="AV269" s="261">
        <f t="shared" si="226"/>
        <v>0</v>
      </c>
      <c r="AW269" s="261">
        <f t="shared" si="226"/>
        <v>0</v>
      </c>
      <c r="AX269" s="261">
        <f t="shared" si="226"/>
        <v>0</v>
      </c>
      <c r="AY269" s="261">
        <f t="shared" si="226"/>
        <v>0</v>
      </c>
      <c r="AZ269" s="261">
        <f t="shared" si="226"/>
        <v>0</v>
      </c>
      <c r="BA269" s="261">
        <f t="shared" si="226"/>
        <v>0</v>
      </c>
      <c r="BB269" s="261">
        <f t="shared" si="226"/>
        <v>0</v>
      </c>
      <c r="BC269" s="160"/>
      <c r="BD269" s="160"/>
      <c r="BE269" s="160"/>
      <c r="BF269" s="160"/>
    </row>
    <row r="270" spans="1:58" ht="78.75" x14ac:dyDescent="0.25">
      <c r="A270" s="157"/>
      <c r="B270" s="161"/>
      <c r="C270" s="162"/>
      <c r="D270" s="202"/>
      <c r="E270" s="354"/>
      <c r="F270" s="355"/>
      <c r="G270" s="356"/>
      <c r="H270" s="199" t="s">
        <v>344</v>
      </c>
      <c r="I270" s="178"/>
      <c r="J270" s="174"/>
      <c r="K270" s="174"/>
      <c r="L270" s="125" t="str">
        <f>IF(I270&lt;&gt;0,((VLOOKUP(I270,'1. Standard_Cost'!$B$4:$D$11,2)+VLOOKUP(I270,'1. Standard_Cost'!$B$4:$D$11,3))*J270*K270),"0")</f>
        <v>0</v>
      </c>
      <c r="M270" s="125">
        <f>L270*'1. Standard_Cost'!$F$4</f>
        <v>0</v>
      </c>
      <c r="N270" s="174"/>
      <c r="O270" s="174"/>
      <c r="P270" s="174"/>
      <c r="Q270" s="174"/>
      <c r="R270" s="127">
        <f>'1. Standard_Cost'!$B$15*N270*P270</f>
        <v>0</v>
      </c>
      <c r="S270" s="127">
        <f>N270*O270*P270*'1. Standard_Cost'!$C$15</f>
        <v>0</v>
      </c>
      <c r="T270" s="127">
        <f>N270*P270*Q270*'1. Standard_Cost'!$D$15</f>
        <v>0</v>
      </c>
      <c r="U270" s="127">
        <f>N270*O270*'1. Standard_Cost'!$E$15</f>
        <v>0</v>
      </c>
      <c r="V270" s="174"/>
      <c r="W270" s="174"/>
      <c r="X270" s="174"/>
      <c r="Y270" s="127">
        <f>+V270*((X270*'1. Standard_Cost'!$B$19)+(W270*X270*'1. Standard_Cost'!$C$19))</f>
        <v>0</v>
      </c>
      <c r="Z270" s="174"/>
      <c r="AA270" s="174"/>
      <c r="AB270" s="127">
        <f>+Z270*'1. Standard_Cost'!$B$23+AA270*'1. Standard_Cost'!$C$23</f>
        <v>0</v>
      </c>
      <c r="AC270" s="176"/>
      <c r="AD270" s="177"/>
      <c r="AE270" s="127">
        <f>SUM(AD270,AC270,AB270,Y270,U270,T270,S270,R270)*'1. Standard_Cost'!$B$31</f>
        <v>0</v>
      </c>
      <c r="AF270" s="127">
        <f>SUM(AE270,AD270,AC270,AB270,Y270,U270,T270,S270,R270)</f>
        <v>0</v>
      </c>
      <c r="AG270" s="174"/>
      <c r="AH270" s="174"/>
      <c r="AI270" s="174"/>
      <c r="AJ270" s="178"/>
      <c r="AK270" s="178"/>
      <c r="AL270" s="178"/>
      <c r="AM270" s="127">
        <f>AG270*'1. Standard_Cost'!$B$27+'Incremental_Cost Year 1'!AH270*'1. Standard_Cost'!$C$27+'Incremental_Cost Year 1'!AI270*'1. Standard_Cost'!$D$27+'Incremental_Cost Year 1'!AJ270+'Incremental_Cost Year 1'!AL270+AK270</f>
        <v>0</v>
      </c>
      <c r="AN270" s="127">
        <f>AM270*'1. Standard_Cost'!$C$31</f>
        <v>0</v>
      </c>
      <c r="AO270" s="178"/>
      <c r="AP270" s="256"/>
      <c r="AQ270" s="171">
        <f>L270+M270</f>
        <v>0</v>
      </c>
      <c r="AR270" s="171">
        <f>AF270</f>
        <v>0</v>
      </c>
      <c r="AS270" s="171">
        <f>AM270+AN270</f>
        <v>0</v>
      </c>
      <c r="AT270" s="171">
        <f>SUM(AQ270,AR270,AS270)</f>
        <v>0</v>
      </c>
      <c r="AU270" s="250">
        <v>0</v>
      </c>
      <c r="AV270" s="250"/>
      <c r="AW270" s="250"/>
      <c r="AX270" s="250"/>
      <c r="AY270" s="250"/>
      <c r="AZ270" s="250"/>
      <c r="BA270" s="250"/>
      <c r="BB270" s="251">
        <f t="shared" ref="BB270:BB272" si="227">SUM(AU270:BA270)-AT270</f>
        <v>0</v>
      </c>
      <c r="BC270" s="155"/>
      <c r="BD270" s="155"/>
      <c r="BE270" s="155"/>
      <c r="BF270" s="155"/>
    </row>
    <row r="271" spans="1:58" ht="63" x14ac:dyDescent="0.25">
      <c r="A271" s="157"/>
      <c r="B271" s="161"/>
      <c r="C271" s="162"/>
      <c r="D271" s="202"/>
      <c r="E271" s="357"/>
      <c r="F271" s="358"/>
      <c r="G271" s="359"/>
      <c r="H271" s="199" t="s">
        <v>345</v>
      </c>
      <c r="I271" s="178"/>
      <c r="J271" s="174"/>
      <c r="K271" s="174"/>
      <c r="L271" s="125" t="str">
        <f>IF(I271&lt;&gt;0,((VLOOKUP(I271,'1. Standard_Cost'!$B$4:$D$11,2)+VLOOKUP(I271,'1. Standard_Cost'!$B$4:$D$11,3))*J271*K271),"0")</f>
        <v>0</v>
      </c>
      <c r="M271" s="125">
        <f>L271*'1. Standard_Cost'!$F$4</f>
        <v>0</v>
      </c>
      <c r="N271" s="174"/>
      <c r="O271" s="174"/>
      <c r="P271" s="174"/>
      <c r="Q271" s="174"/>
      <c r="R271" s="127">
        <f>'1. Standard_Cost'!$B$15*N271*P271</f>
        <v>0</v>
      </c>
      <c r="S271" s="127">
        <f>N271*O271*P271*'1. Standard_Cost'!$C$15</f>
        <v>0</v>
      </c>
      <c r="T271" s="127">
        <f>N271*P271*Q271*'1. Standard_Cost'!$D$15</f>
        <v>0</v>
      </c>
      <c r="U271" s="127">
        <f>N271*O271*'1. Standard_Cost'!$E$15</f>
        <v>0</v>
      </c>
      <c r="V271" s="174"/>
      <c r="W271" s="174"/>
      <c r="X271" s="174"/>
      <c r="Y271" s="127">
        <f>+V271*((X271*'1. Standard_Cost'!$B$19)+(W271*X271*'1. Standard_Cost'!$C$19))</f>
        <v>0</v>
      </c>
      <c r="Z271" s="174"/>
      <c r="AA271" s="174"/>
      <c r="AB271" s="127">
        <f>+Z271*'1. Standard_Cost'!$B$23+AA271*'1. Standard_Cost'!$C$23</f>
        <v>0</v>
      </c>
      <c r="AC271" s="176"/>
      <c r="AD271" s="177"/>
      <c r="AE271" s="127">
        <f>SUM(AD271,AC271,AB271,Y271,U271,T271,S271,R271)*'1. Standard_Cost'!$B$31</f>
        <v>0</v>
      </c>
      <c r="AF271" s="127">
        <f>SUM(AE271,AD271,AC271,AB271,Y271,U271,T271,S271,R271)</f>
        <v>0</v>
      </c>
      <c r="AG271" s="174"/>
      <c r="AH271" s="174"/>
      <c r="AI271" s="174"/>
      <c r="AJ271" s="178"/>
      <c r="AK271" s="178"/>
      <c r="AL271" s="178"/>
      <c r="AM271" s="127">
        <f>AG271*'1. Standard_Cost'!$B$27+'Incremental_Cost Year 1'!AH271*'1. Standard_Cost'!$C$27+'Incremental_Cost Year 1'!AI271*'1. Standard_Cost'!$D$27+'Incremental_Cost Year 1'!AJ271+'Incremental_Cost Year 1'!AL271+AK271</f>
        <v>0</v>
      </c>
      <c r="AN271" s="127">
        <f>AM271*'1. Standard_Cost'!$C$31</f>
        <v>0</v>
      </c>
      <c r="AO271" s="178"/>
      <c r="AP271" s="256"/>
      <c r="AQ271" s="171">
        <f>L271+M271</f>
        <v>0</v>
      </c>
      <c r="AR271" s="171">
        <f>AF271</f>
        <v>0</v>
      </c>
      <c r="AS271" s="171">
        <f>AM271+AN271</f>
        <v>0</v>
      </c>
      <c r="AT271" s="171">
        <f>SUM(AQ271,AR271,AS271)</f>
        <v>0</v>
      </c>
      <c r="AU271" s="250">
        <v>0</v>
      </c>
      <c r="AV271" s="250"/>
      <c r="AW271" s="250"/>
      <c r="AX271" s="250"/>
      <c r="AY271" s="250"/>
      <c r="AZ271" s="250"/>
      <c r="BA271" s="250"/>
      <c r="BB271" s="251">
        <f t="shared" si="227"/>
        <v>0</v>
      </c>
      <c r="BC271" s="155"/>
      <c r="BD271" s="155"/>
      <c r="BE271" s="155"/>
      <c r="BF271" s="155"/>
    </row>
    <row r="272" spans="1:58" ht="63" x14ac:dyDescent="0.25">
      <c r="A272" s="157"/>
      <c r="B272" s="161"/>
      <c r="C272" s="162"/>
      <c r="D272" s="202"/>
      <c r="E272" s="360"/>
      <c r="F272" s="361"/>
      <c r="G272" s="362"/>
      <c r="H272" s="199" t="s">
        <v>346</v>
      </c>
      <c r="I272" s="178"/>
      <c r="J272" s="174"/>
      <c r="K272" s="174"/>
      <c r="L272" s="125" t="str">
        <f>IF(I272&lt;&gt;0,((VLOOKUP(I272,'1. Standard_Cost'!$B$4:$D$11,2)+VLOOKUP(I272,'1. Standard_Cost'!$B$4:$D$11,3))*J272*K272),"0")</f>
        <v>0</v>
      </c>
      <c r="M272" s="125">
        <f>L272*'1. Standard_Cost'!$F$4</f>
        <v>0</v>
      </c>
      <c r="N272" s="174"/>
      <c r="O272" s="174"/>
      <c r="P272" s="174"/>
      <c r="Q272" s="174"/>
      <c r="R272" s="127">
        <f>'1. Standard_Cost'!$B$15*N272*P272</f>
        <v>0</v>
      </c>
      <c r="S272" s="127">
        <f>N272*O272*P272*'1. Standard_Cost'!$C$15</f>
        <v>0</v>
      </c>
      <c r="T272" s="127">
        <f>N272*P272*Q272*'1. Standard_Cost'!$D$15</f>
        <v>0</v>
      </c>
      <c r="U272" s="127">
        <f>N272*O272*'1. Standard_Cost'!$E$15</f>
        <v>0</v>
      </c>
      <c r="V272" s="174"/>
      <c r="W272" s="174"/>
      <c r="X272" s="174"/>
      <c r="Y272" s="127">
        <f>+V272*((X272*'1. Standard_Cost'!$B$19)+(W272*X272*'1. Standard_Cost'!$C$19))</f>
        <v>0</v>
      </c>
      <c r="Z272" s="174"/>
      <c r="AA272" s="174"/>
      <c r="AB272" s="127">
        <f>+Z272*'1. Standard_Cost'!$B$23+AA272*'1. Standard_Cost'!$C$23</f>
        <v>0</v>
      </c>
      <c r="AC272" s="176"/>
      <c r="AD272" s="177"/>
      <c r="AE272" s="127">
        <f>SUM(AD272,AC272,AB272,Y272,U272,T272,S272,R272)*'1. Standard_Cost'!$B$31</f>
        <v>0</v>
      </c>
      <c r="AF272" s="127">
        <f>SUM(AE272,AD272,AC272,AB272,Y272,U272,T272,S272,R272)</f>
        <v>0</v>
      </c>
      <c r="AG272" s="174"/>
      <c r="AH272" s="174"/>
      <c r="AI272" s="174"/>
      <c r="AJ272" s="178"/>
      <c r="AK272" s="178"/>
      <c r="AL272" s="178"/>
      <c r="AM272" s="127">
        <f>AG272*'1. Standard_Cost'!$B$27+'Incremental_Cost Year 1'!AH272*'1. Standard_Cost'!$C$27+'Incremental_Cost Year 1'!AI272*'1. Standard_Cost'!$D$27+'Incremental_Cost Year 1'!AJ272+'Incremental_Cost Year 1'!AL272+AK272</f>
        <v>0</v>
      </c>
      <c r="AN272" s="127">
        <f>AM272*'1. Standard_Cost'!$C$31</f>
        <v>0</v>
      </c>
      <c r="AO272" s="178"/>
      <c r="AP272" s="256"/>
      <c r="AQ272" s="171">
        <f>L272+M272</f>
        <v>0</v>
      </c>
      <c r="AR272" s="171">
        <f>AF272</f>
        <v>0</v>
      </c>
      <c r="AS272" s="171">
        <f>AM272+AN272</f>
        <v>0</v>
      </c>
      <c r="AT272" s="171">
        <f>SUM(AQ272,AR272,AS272)</f>
        <v>0</v>
      </c>
      <c r="AU272" s="250"/>
      <c r="AV272" s="250"/>
      <c r="AW272" s="250"/>
      <c r="AX272" s="250"/>
      <c r="AY272" s="250"/>
      <c r="AZ272" s="250"/>
      <c r="BA272" s="250"/>
      <c r="BB272" s="251">
        <f t="shared" si="227"/>
        <v>0</v>
      </c>
      <c r="BC272" s="155"/>
      <c r="BD272" s="155"/>
      <c r="BE272" s="155"/>
      <c r="BF272" s="155"/>
    </row>
    <row r="273" spans="1:58" ht="63" x14ac:dyDescent="0.2">
      <c r="A273" s="157"/>
      <c r="B273" s="154"/>
      <c r="C273" s="163"/>
      <c r="D273" s="212" t="s">
        <v>559</v>
      </c>
      <c r="E273" s="212" t="s">
        <v>347</v>
      </c>
      <c r="F273" s="206">
        <v>2026</v>
      </c>
      <c r="G273" s="207">
        <v>2028</v>
      </c>
      <c r="H273" s="182" t="s">
        <v>348</v>
      </c>
      <c r="I273" s="273"/>
      <c r="J273" s="273"/>
      <c r="K273" s="273"/>
      <c r="L273" s="175">
        <f>SUM(L270:L272)</f>
        <v>0</v>
      </c>
      <c r="M273" s="175">
        <f>SUM(M270:M272)</f>
        <v>0</v>
      </c>
      <c r="N273" s="273"/>
      <c r="O273" s="273"/>
      <c r="P273" s="273"/>
      <c r="Q273" s="273"/>
      <c r="R273" s="175">
        <f>SUM(R270:R272)</f>
        <v>0</v>
      </c>
      <c r="S273" s="175">
        <f>SUM(S270:S272)</f>
        <v>0</v>
      </c>
      <c r="T273" s="175">
        <f>SUM(T270:T272)</f>
        <v>0</v>
      </c>
      <c r="U273" s="175">
        <f>SUM(U270:U272)</f>
        <v>0</v>
      </c>
      <c r="V273" s="273"/>
      <c r="W273" s="273"/>
      <c r="X273" s="273"/>
      <c r="Y273" s="175">
        <f>SUM(Y270:Y272)</f>
        <v>0</v>
      </c>
      <c r="Z273" s="175"/>
      <c r="AA273" s="273"/>
      <c r="AB273" s="175">
        <f>SUM(AB270:AB272)</f>
        <v>0</v>
      </c>
      <c r="AC273" s="175">
        <f>SUM(AC270:AC272)</f>
        <v>0</v>
      </c>
      <c r="AD273" s="175">
        <f>SUM(AD270:AD272)</f>
        <v>0</v>
      </c>
      <c r="AE273" s="175">
        <f>SUM(AE270:AE272)</f>
        <v>0</v>
      </c>
      <c r="AF273" s="175">
        <f>SUM(AF270:AF272)</f>
        <v>0</v>
      </c>
      <c r="AG273" s="273"/>
      <c r="AH273" s="273"/>
      <c r="AI273" s="273"/>
      <c r="AJ273" s="175">
        <f>SUM(AJ270:AJ272)</f>
        <v>0</v>
      </c>
      <c r="AK273" s="175">
        <f>SUM(AK270:AK272)</f>
        <v>0</v>
      </c>
      <c r="AL273" s="175">
        <f>SUM(AL270:AL272)</f>
        <v>0</v>
      </c>
      <c r="AM273" s="175">
        <f>SUM(AM270:AM272)</f>
        <v>0</v>
      </c>
      <c r="AN273" s="175">
        <f>SUM(AN270:AN272)</f>
        <v>0</v>
      </c>
      <c r="AO273" s="274"/>
      <c r="AP273" s="254"/>
      <c r="AQ273" s="175">
        <f t="shared" ref="AQ273:BB273" si="228">SUM(AQ270:AQ272)</f>
        <v>0</v>
      </c>
      <c r="AR273" s="175">
        <f t="shared" si="228"/>
        <v>0</v>
      </c>
      <c r="AS273" s="175">
        <f t="shared" si="228"/>
        <v>0</v>
      </c>
      <c r="AT273" s="175">
        <f t="shared" si="228"/>
        <v>0</v>
      </c>
      <c r="AU273" s="175">
        <f t="shared" si="228"/>
        <v>0</v>
      </c>
      <c r="AV273" s="175">
        <f t="shared" si="228"/>
        <v>0</v>
      </c>
      <c r="AW273" s="175">
        <f t="shared" si="228"/>
        <v>0</v>
      </c>
      <c r="AX273" s="175">
        <f t="shared" si="228"/>
        <v>0</v>
      </c>
      <c r="AY273" s="175">
        <f t="shared" si="228"/>
        <v>0</v>
      </c>
      <c r="AZ273" s="175">
        <f t="shared" si="228"/>
        <v>0</v>
      </c>
      <c r="BA273" s="175">
        <f t="shared" si="228"/>
        <v>0</v>
      </c>
      <c r="BB273" s="175">
        <f t="shared" si="228"/>
        <v>0</v>
      </c>
      <c r="BC273" s="155"/>
      <c r="BD273" s="155"/>
      <c r="BE273" s="155"/>
      <c r="BF273" s="155"/>
    </row>
    <row r="274" spans="1:58" ht="78.75" x14ac:dyDescent="0.25">
      <c r="A274" s="157"/>
      <c r="B274" s="161"/>
      <c r="C274" s="162"/>
      <c r="D274" s="202"/>
      <c r="E274" s="354"/>
      <c r="F274" s="355"/>
      <c r="G274" s="356"/>
      <c r="H274" s="199" t="s">
        <v>349</v>
      </c>
      <c r="I274" s="178"/>
      <c r="J274" s="174"/>
      <c r="K274" s="174"/>
      <c r="L274" s="125" t="str">
        <f>IF(I274&lt;&gt;0,((VLOOKUP(I274,'1. Standard_Cost'!$B$4:$D$11,2)+VLOOKUP(I274,'1. Standard_Cost'!$B$4:$D$11,3))*J274*K274),"0")</f>
        <v>0</v>
      </c>
      <c r="M274" s="125">
        <f>L274*'1. Standard_Cost'!$F$4</f>
        <v>0</v>
      </c>
      <c r="N274" s="174"/>
      <c r="O274" s="174"/>
      <c r="P274" s="174"/>
      <c r="Q274" s="174"/>
      <c r="R274" s="127">
        <f>'1. Standard_Cost'!$B$15*N274*P274</f>
        <v>0</v>
      </c>
      <c r="S274" s="127">
        <f>N274*O274*P274*'1. Standard_Cost'!$C$15</f>
        <v>0</v>
      </c>
      <c r="T274" s="127">
        <f>N274*P274*Q274*'1. Standard_Cost'!$D$15</f>
        <v>0</v>
      </c>
      <c r="U274" s="127">
        <f>N274*O274*'1. Standard_Cost'!$E$15</f>
        <v>0</v>
      </c>
      <c r="V274" s="174"/>
      <c r="W274" s="174"/>
      <c r="X274" s="174"/>
      <c r="Y274" s="127">
        <f>+V274*((X274*'1. Standard_Cost'!$B$19)+(W274*X274*'1. Standard_Cost'!$C$19))</f>
        <v>0</v>
      </c>
      <c r="Z274" s="174"/>
      <c r="AA274" s="174"/>
      <c r="AB274" s="127">
        <f>+Z274*'1. Standard_Cost'!$B$23+AA274*'1. Standard_Cost'!$C$23</f>
        <v>0</v>
      </c>
      <c r="AC274" s="176"/>
      <c r="AD274" s="177"/>
      <c r="AE274" s="127">
        <f>SUM(AD274,AC274,AB274,Y274,U274,T274,S274,R274)*'1. Standard_Cost'!$B$31</f>
        <v>0</v>
      </c>
      <c r="AF274" s="127">
        <f>SUM(AE274,AD274,AC274,AB274,Y274,U274,T274,S274,R274)</f>
        <v>0</v>
      </c>
      <c r="AG274" s="174"/>
      <c r="AH274" s="174"/>
      <c r="AI274" s="174"/>
      <c r="AJ274" s="178"/>
      <c r="AK274" s="178"/>
      <c r="AL274" s="178"/>
      <c r="AM274" s="127">
        <f>AG274*'1. Standard_Cost'!$B$27+'Incremental_Cost Year 1'!AH274*'1. Standard_Cost'!$C$27+'Incremental_Cost Year 1'!AI274*'1. Standard_Cost'!$D$27+'Incremental_Cost Year 1'!AJ274+'Incremental_Cost Year 1'!AL274+AK274</f>
        <v>0</v>
      </c>
      <c r="AN274" s="127">
        <f>AM274*'1. Standard_Cost'!$C$31</f>
        <v>0</v>
      </c>
      <c r="AO274" s="178"/>
      <c r="AP274" s="256"/>
      <c r="AQ274" s="171">
        <f>L274+M274</f>
        <v>0</v>
      </c>
      <c r="AR274" s="171">
        <f>AF274</f>
        <v>0</v>
      </c>
      <c r="AS274" s="171">
        <f>AM274+AN274</f>
        <v>0</v>
      </c>
      <c r="AT274" s="171">
        <f>SUM(AQ274,AR274,AS274)</f>
        <v>0</v>
      </c>
      <c r="AU274" s="250">
        <v>0</v>
      </c>
      <c r="AV274" s="250"/>
      <c r="AW274" s="250"/>
      <c r="AX274" s="250"/>
      <c r="AY274" s="250"/>
      <c r="AZ274" s="250"/>
      <c r="BA274" s="250"/>
      <c r="BB274" s="251">
        <f t="shared" ref="BB274:BB275" si="229">SUM(AU274:BA274)-AT274</f>
        <v>0</v>
      </c>
      <c r="BC274" s="155"/>
      <c r="BD274" s="155"/>
      <c r="BE274" s="155"/>
      <c r="BF274" s="155"/>
    </row>
    <row r="275" spans="1:58" ht="110.25" x14ac:dyDescent="0.25">
      <c r="A275" s="157"/>
      <c r="B275" s="161"/>
      <c r="C275" s="162"/>
      <c r="D275" s="202"/>
      <c r="E275" s="360"/>
      <c r="F275" s="361"/>
      <c r="G275" s="362"/>
      <c r="H275" s="199" t="s">
        <v>350</v>
      </c>
      <c r="I275" s="178"/>
      <c r="J275" s="174"/>
      <c r="K275" s="174"/>
      <c r="L275" s="125" t="str">
        <f>IF(I275&lt;&gt;0,((VLOOKUP(I275,'1. Standard_Cost'!$B$4:$D$11,2)+VLOOKUP(I275,'1. Standard_Cost'!$B$4:$D$11,3))*J275*K275),"0")</f>
        <v>0</v>
      </c>
      <c r="M275" s="125">
        <f>L275*'1. Standard_Cost'!$F$4</f>
        <v>0</v>
      </c>
      <c r="N275" s="174"/>
      <c r="O275" s="174"/>
      <c r="P275" s="174"/>
      <c r="Q275" s="174"/>
      <c r="R275" s="127">
        <f>'1. Standard_Cost'!$B$15*N275*P275</f>
        <v>0</v>
      </c>
      <c r="S275" s="127">
        <f>N275*O275*P275*'1. Standard_Cost'!$C$15</f>
        <v>0</v>
      </c>
      <c r="T275" s="127">
        <f>N275*P275*Q275*'1. Standard_Cost'!$D$15</f>
        <v>0</v>
      </c>
      <c r="U275" s="127">
        <f>N275*O275*'1. Standard_Cost'!$E$15</f>
        <v>0</v>
      </c>
      <c r="V275" s="174"/>
      <c r="W275" s="174"/>
      <c r="X275" s="174"/>
      <c r="Y275" s="127">
        <f>+V275*((X275*'1. Standard_Cost'!$B$19)+(W275*X275*'1. Standard_Cost'!$C$19))</f>
        <v>0</v>
      </c>
      <c r="Z275" s="174"/>
      <c r="AA275" s="174"/>
      <c r="AB275" s="127">
        <f>+Z275*'1. Standard_Cost'!$B$23+AA275*'1. Standard_Cost'!$C$23</f>
        <v>0</v>
      </c>
      <c r="AC275" s="176"/>
      <c r="AD275" s="177"/>
      <c r="AE275" s="127">
        <f>SUM(AD275,AC275,AB275,Y275,U275,T275,S275,R275)*'1. Standard_Cost'!$B$31</f>
        <v>0</v>
      </c>
      <c r="AF275" s="127">
        <f>SUM(AE275,AD275,AC275,AB275,Y275,U275,T275,S275,R275)</f>
        <v>0</v>
      </c>
      <c r="AG275" s="174"/>
      <c r="AH275" s="174"/>
      <c r="AI275" s="174"/>
      <c r="AJ275" s="178"/>
      <c r="AK275" s="178"/>
      <c r="AL275" s="178"/>
      <c r="AM275" s="127">
        <f>AG275*'1. Standard_Cost'!$B$27+'Incremental_Cost Year 1'!AH275*'1. Standard_Cost'!$C$27+'Incremental_Cost Year 1'!AI275*'1. Standard_Cost'!$D$27+'Incremental_Cost Year 1'!AJ275+'Incremental_Cost Year 1'!AL275+AK275</f>
        <v>0</v>
      </c>
      <c r="AN275" s="127">
        <f>AM275*'1. Standard_Cost'!$C$31</f>
        <v>0</v>
      </c>
      <c r="AO275" s="178"/>
      <c r="AP275" s="256"/>
      <c r="AQ275" s="171">
        <f>L275+M275</f>
        <v>0</v>
      </c>
      <c r="AR275" s="171">
        <f>AF275</f>
        <v>0</v>
      </c>
      <c r="AS275" s="171">
        <f>AM275+AN275</f>
        <v>0</v>
      </c>
      <c r="AT275" s="171">
        <f>SUM(AQ275,AR275,AS275)</f>
        <v>0</v>
      </c>
      <c r="AU275" s="250">
        <v>0</v>
      </c>
      <c r="AV275" s="250"/>
      <c r="AW275" s="250"/>
      <c r="AX275" s="250"/>
      <c r="AY275" s="250"/>
      <c r="AZ275" s="250"/>
      <c r="BA275" s="250"/>
      <c r="BB275" s="251">
        <f t="shared" si="229"/>
        <v>0</v>
      </c>
      <c r="BC275" s="155"/>
      <c r="BD275" s="155"/>
      <c r="BE275" s="155"/>
      <c r="BF275" s="155"/>
    </row>
    <row r="276" spans="1:58" ht="78.75" x14ac:dyDescent="0.2">
      <c r="A276" s="157"/>
      <c r="B276" s="154"/>
      <c r="C276" s="163"/>
      <c r="D276" s="212" t="s">
        <v>485</v>
      </c>
      <c r="E276" s="212" t="s">
        <v>351</v>
      </c>
      <c r="F276" s="206">
        <v>2022</v>
      </c>
      <c r="G276" s="207">
        <v>2025</v>
      </c>
      <c r="H276" s="182" t="s">
        <v>352</v>
      </c>
      <c r="I276" s="273"/>
      <c r="J276" s="273"/>
      <c r="K276" s="273"/>
      <c r="L276" s="175">
        <f>SUM(L274:L275)</f>
        <v>0</v>
      </c>
      <c r="M276" s="175">
        <f>SUM(M274:M275)</f>
        <v>0</v>
      </c>
      <c r="N276" s="273"/>
      <c r="O276" s="273"/>
      <c r="P276" s="273"/>
      <c r="Q276" s="273"/>
      <c r="R276" s="175">
        <f>SUM(R274:R275)</f>
        <v>0</v>
      </c>
      <c r="S276" s="175">
        <f>SUM(S274:S275)</f>
        <v>0</v>
      </c>
      <c r="T276" s="175">
        <f>SUM(T274:T275)</f>
        <v>0</v>
      </c>
      <c r="U276" s="175">
        <f>SUM(U274:U275)</f>
        <v>0</v>
      </c>
      <c r="V276" s="273"/>
      <c r="W276" s="273"/>
      <c r="X276" s="273"/>
      <c r="Y276" s="175">
        <f>SUM(Y274:Y275)</f>
        <v>0</v>
      </c>
      <c r="Z276" s="175"/>
      <c r="AA276" s="273"/>
      <c r="AB276" s="175">
        <f>SUM(AB274:AB275)</f>
        <v>0</v>
      </c>
      <c r="AC276" s="175">
        <f>SUM(AC274:AC275)</f>
        <v>0</v>
      </c>
      <c r="AD276" s="175">
        <f>SUM(AD274:AD275)</f>
        <v>0</v>
      </c>
      <c r="AE276" s="175">
        <f>SUM(AE274:AE275)</f>
        <v>0</v>
      </c>
      <c r="AF276" s="175">
        <f>SUM(AF274:AF275)</f>
        <v>0</v>
      </c>
      <c r="AG276" s="273"/>
      <c r="AH276" s="273"/>
      <c r="AI276" s="273"/>
      <c r="AJ276" s="175">
        <f>SUM(AJ274:AJ275)</f>
        <v>0</v>
      </c>
      <c r="AK276" s="175">
        <f>SUM(AK274:AK275)</f>
        <v>0</v>
      </c>
      <c r="AL276" s="175">
        <f>SUM(AL274:AL275)</f>
        <v>0</v>
      </c>
      <c r="AM276" s="175">
        <f>SUM(AM274:AM275)</f>
        <v>0</v>
      </c>
      <c r="AN276" s="175">
        <f>SUM(AN274:AN275)</f>
        <v>0</v>
      </c>
      <c r="AO276" s="274"/>
      <c r="AP276" s="254"/>
      <c r="AQ276" s="175">
        <f t="shared" ref="AQ276:BB276" si="230">SUM(AQ274:AQ275)</f>
        <v>0</v>
      </c>
      <c r="AR276" s="175">
        <f t="shared" si="230"/>
        <v>0</v>
      </c>
      <c r="AS276" s="175">
        <f t="shared" si="230"/>
        <v>0</v>
      </c>
      <c r="AT276" s="175">
        <f t="shared" si="230"/>
        <v>0</v>
      </c>
      <c r="AU276" s="175">
        <f t="shared" si="230"/>
        <v>0</v>
      </c>
      <c r="AV276" s="175">
        <f t="shared" si="230"/>
        <v>0</v>
      </c>
      <c r="AW276" s="175">
        <f t="shared" si="230"/>
        <v>0</v>
      </c>
      <c r="AX276" s="175">
        <f t="shared" si="230"/>
        <v>0</v>
      </c>
      <c r="AY276" s="175">
        <f t="shared" si="230"/>
        <v>0</v>
      </c>
      <c r="AZ276" s="175">
        <f t="shared" si="230"/>
        <v>0</v>
      </c>
      <c r="BA276" s="175">
        <f t="shared" si="230"/>
        <v>0</v>
      </c>
      <c r="BB276" s="175">
        <f t="shared" si="230"/>
        <v>0</v>
      </c>
      <c r="BC276" s="155"/>
      <c r="BD276" s="155"/>
      <c r="BE276" s="155"/>
      <c r="BF276" s="155"/>
    </row>
    <row r="277" spans="1:58" ht="13.9" customHeight="1" x14ac:dyDescent="0.2">
      <c r="A277" s="159"/>
      <c r="B277" s="285"/>
      <c r="C277" s="391" t="s">
        <v>353</v>
      </c>
      <c r="D277" s="391"/>
      <c r="E277" s="392"/>
      <c r="F277" s="280"/>
      <c r="G277" s="282"/>
      <c r="H277" s="181" t="s">
        <v>354</v>
      </c>
      <c r="I277" s="271"/>
      <c r="J277" s="271"/>
      <c r="K277" s="271"/>
      <c r="L277" s="261">
        <f>L283</f>
        <v>201600</v>
      </c>
      <c r="M277" s="261">
        <f>M283</f>
        <v>33667.200000000004</v>
      </c>
      <c r="N277" s="271"/>
      <c r="O277" s="271"/>
      <c r="P277" s="271"/>
      <c r="Q277" s="271"/>
      <c r="R277" s="261">
        <f>R283</f>
        <v>0</v>
      </c>
      <c r="S277" s="261">
        <f>S283</f>
        <v>0</v>
      </c>
      <c r="T277" s="261">
        <f>T283</f>
        <v>0</v>
      </c>
      <c r="U277" s="261">
        <f>U283</f>
        <v>0</v>
      </c>
      <c r="V277" s="271"/>
      <c r="W277" s="271"/>
      <c r="X277" s="271"/>
      <c r="Y277" s="261">
        <f>Y283</f>
        <v>0</v>
      </c>
      <c r="Z277" s="261"/>
      <c r="AA277" s="261"/>
      <c r="AB277" s="261">
        <f>AB283</f>
        <v>0</v>
      </c>
      <c r="AC277" s="261">
        <f>AC283</f>
        <v>24292500</v>
      </c>
      <c r="AD277" s="261">
        <f>AD283</f>
        <v>0</v>
      </c>
      <c r="AE277" s="261">
        <f>AE283</f>
        <v>0</v>
      </c>
      <c r="AF277" s="261">
        <f>AF283</f>
        <v>24292500</v>
      </c>
      <c r="AG277" s="271"/>
      <c r="AH277" s="271"/>
      <c r="AI277" s="271"/>
      <c r="AJ277" s="261">
        <f>AJ283</f>
        <v>0</v>
      </c>
      <c r="AK277" s="261">
        <f>AK283</f>
        <v>0</v>
      </c>
      <c r="AL277" s="261">
        <f>AL283</f>
        <v>0</v>
      </c>
      <c r="AM277" s="261">
        <f>AM283</f>
        <v>0</v>
      </c>
      <c r="AN277" s="261">
        <f>AN283</f>
        <v>0</v>
      </c>
      <c r="AO277" s="272"/>
      <c r="AP277" s="260"/>
      <c r="AQ277" s="261">
        <f t="shared" ref="AQ277:BB277" si="231">AQ283</f>
        <v>235267.20000000001</v>
      </c>
      <c r="AR277" s="261">
        <f t="shared" si="231"/>
        <v>24292500</v>
      </c>
      <c r="AS277" s="261">
        <f t="shared" si="231"/>
        <v>0</v>
      </c>
      <c r="AT277" s="261">
        <f t="shared" si="231"/>
        <v>24527767.199999999</v>
      </c>
      <c r="AU277" s="261">
        <f t="shared" si="231"/>
        <v>235267.20000000001</v>
      </c>
      <c r="AV277" s="261">
        <f t="shared" si="231"/>
        <v>0</v>
      </c>
      <c r="AW277" s="261">
        <f t="shared" si="231"/>
        <v>24292500</v>
      </c>
      <c r="AX277" s="261">
        <f t="shared" si="231"/>
        <v>0</v>
      </c>
      <c r="AY277" s="261">
        <f t="shared" si="231"/>
        <v>0</v>
      </c>
      <c r="AZ277" s="261">
        <f t="shared" si="231"/>
        <v>0</v>
      </c>
      <c r="BA277" s="261">
        <f t="shared" si="231"/>
        <v>0</v>
      </c>
      <c r="BB277" s="261">
        <f t="shared" si="231"/>
        <v>0</v>
      </c>
      <c r="BC277" s="160"/>
      <c r="BD277" s="160"/>
      <c r="BE277" s="160"/>
      <c r="BF277" s="160"/>
    </row>
    <row r="278" spans="1:58" ht="47.25" x14ac:dyDescent="0.25">
      <c r="A278" s="157"/>
      <c r="B278" s="161"/>
      <c r="C278" s="162"/>
      <c r="D278" s="202"/>
      <c r="E278" s="354"/>
      <c r="F278" s="355"/>
      <c r="G278" s="356"/>
      <c r="H278" s="213" t="s">
        <v>363</v>
      </c>
      <c r="I278" s="178" t="s">
        <v>3</v>
      </c>
      <c r="J278" s="174">
        <v>1</v>
      </c>
      <c r="K278" s="174">
        <v>1</v>
      </c>
      <c r="L278" s="125">
        <f>IF(I278&lt;&gt;0,((VLOOKUP(I278,'1. Standard_Cost'!$B$4:$D$11,2)+VLOOKUP(I278,'1. Standard_Cost'!$B$4:$D$11,3))*J278*K278),"0")</f>
        <v>100800</v>
      </c>
      <c r="M278" s="125">
        <f>L278*'1. Standard_Cost'!$F$4</f>
        <v>16833.600000000002</v>
      </c>
      <c r="N278" s="174"/>
      <c r="O278" s="174"/>
      <c r="P278" s="174"/>
      <c r="Q278" s="174"/>
      <c r="R278" s="127">
        <f>'1. Standard_Cost'!$B$15*N278*P278</f>
        <v>0</v>
      </c>
      <c r="S278" s="127">
        <f>N278*O278*P278*'1. Standard_Cost'!$C$15</f>
        <v>0</v>
      </c>
      <c r="T278" s="127">
        <f>N278*P278*Q278*'1. Standard_Cost'!$D$15</f>
        <v>0</v>
      </c>
      <c r="U278" s="127">
        <f>N278*O278*'1. Standard_Cost'!$E$15</f>
        <v>0</v>
      </c>
      <c r="V278" s="174"/>
      <c r="W278" s="174"/>
      <c r="X278" s="174"/>
      <c r="Y278" s="127">
        <f>+V278*((X278*'1. Standard_Cost'!$B$19)+(W278*X278*'1. Standard_Cost'!$C$19))</f>
        <v>0</v>
      </c>
      <c r="Z278" s="174"/>
      <c r="AA278" s="174"/>
      <c r="AB278" s="127">
        <f>+Z278*'1. Standard_Cost'!$B$23+AA278*'1. Standard_Cost'!$C$23</f>
        <v>0</v>
      </c>
      <c r="AC278" s="176">
        <v>12300000</v>
      </c>
      <c r="AD278" s="177"/>
      <c r="AE278" s="127"/>
      <c r="AF278" s="127">
        <f>SUM(AE278,AD278,AC278,AB278,Y278,U278,T278,S278,R278)</f>
        <v>12300000</v>
      </c>
      <c r="AG278" s="174"/>
      <c r="AH278" s="174"/>
      <c r="AI278" s="174"/>
      <c r="AJ278" s="178"/>
      <c r="AK278" s="178"/>
      <c r="AL278" s="178"/>
      <c r="AM278" s="127">
        <f>AG278*'1. Standard_Cost'!$B$27+'Incremental_Cost Year 1'!AH278*'1. Standard_Cost'!$C$27+'Incremental_Cost Year 1'!AI278*'1. Standard_Cost'!$D$27+'Incremental_Cost Year 1'!AJ278+'Incremental_Cost Year 1'!AL278+AK278</f>
        <v>0</v>
      </c>
      <c r="AN278" s="127">
        <f>AM278*'1. Standard_Cost'!$C$31</f>
        <v>0</v>
      </c>
      <c r="AO278" s="178"/>
      <c r="AP278" s="256"/>
      <c r="AQ278" s="171">
        <f>L278+M278</f>
        <v>117633.60000000001</v>
      </c>
      <c r="AR278" s="171">
        <f>AF278</f>
        <v>12300000</v>
      </c>
      <c r="AS278" s="171">
        <f>AM278+AN278</f>
        <v>0</v>
      </c>
      <c r="AT278" s="171">
        <f>SUM(AQ278,AR278,AS278)</f>
        <v>12417633.6</v>
      </c>
      <c r="AU278" s="250">
        <v>117633.60000000001</v>
      </c>
      <c r="AV278" s="250"/>
      <c r="AW278" s="250">
        <v>12300000</v>
      </c>
      <c r="AX278" s="250"/>
      <c r="AY278" s="250"/>
      <c r="AZ278" s="250"/>
      <c r="BA278" s="250"/>
      <c r="BB278" s="251">
        <f t="shared" ref="BB278:BB282" si="232">SUM(AU278:BA278)-AT278</f>
        <v>0</v>
      </c>
      <c r="BC278" s="155"/>
      <c r="BD278" s="155"/>
      <c r="BE278" s="155"/>
      <c r="BF278" s="155"/>
    </row>
    <row r="279" spans="1:58" ht="47.25" x14ac:dyDescent="0.25">
      <c r="A279" s="157"/>
      <c r="B279" s="161"/>
      <c r="C279" s="162"/>
      <c r="D279" s="202"/>
      <c r="E279" s="357"/>
      <c r="F279" s="358"/>
      <c r="G279" s="359"/>
      <c r="H279" s="213" t="s">
        <v>364</v>
      </c>
      <c r="I279" s="178" t="s">
        <v>3</v>
      </c>
      <c r="J279" s="174">
        <v>1</v>
      </c>
      <c r="K279" s="174">
        <v>1</v>
      </c>
      <c r="L279" s="125">
        <f>IF(I279&lt;&gt;0,((VLOOKUP(I279,'1. Standard_Cost'!$B$4:$D$11,2)+VLOOKUP(I279,'1. Standard_Cost'!$B$4:$D$11,3))*J279*K279),"0")</f>
        <v>100800</v>
      </c>
      <c r="M279" s="125">
        <f>L279*'1. Standard_Cost'!$F$4</f>
        <v>16833.600000000002</v>
      </c>
      <c r="N279" s="174"/>
      <c r="O279" s="174"/>
      <c r="P279" s="174"/>
      <c r="Q279" s="174"/>
      <c r="R279" s="127">
        <f>'1. Standard_Cost'!$B$15*N279*P279</f>
        <v>0</v>
      </c>
      <c r="S279" s="127">
        <f>N279*O279*P279*'1. Standard_Cost'!$C$15</f>
        <v>0</v>
      </c>
      <c r="T279" s="127">
        <f>N279*P279*Q279*'1. Standard_Cost'!$D$15</f>
        <v>0</v>
      </c>
      <c r="U279" s="127">
        <f>N279*O279*'1. Standard_Cost'!$E$15</f>
        <v>0</v>
      </c>
      <c r="V279" s="174"/>
      <c r="W279" s="174"/>
      <c r="X279" s="174"/>
      <c r="Y279" s="127">
        <f>+V279*((X279*'1. Standard_Cost'!$B$19)+(W279*X279*'1. Standard_Cost'!$C$19))</f>
        <v>0</v>
      </c>
      <c r="Z279" s="174"/>
      <c r="AA279" s="174"/>
      <c r="AB279" s="127">
        <f>+Z279*'1. Standard_Cost'!$B$23+AA279*'1. Standard_Cost'!$C$23</f>
        <v>0</v>
      </c>
      <c r="AC279" s="176">
        <v>11992500</v>
      </c>
      <c r="AD279" s="177"/>
      <c r="AE279" s="127"/>
      <c r="AF279" s="127">
        <f>SUM(AE279,AD279,AC279,AB279,Y279,U279,T279,S279,R279)</f>
        <v>11992500</v>
      </c>
      <c r="AG279" s="174"/>
      <c r="AH279" s="174"/>
      <c r="AI279" s="174"/>
      <c r="AJ279" s="178"/>
      <c r="AK279" s="178"/>
      <c r="AL279" s="178"/>
      <c r="AM279" s="127">
        <f>AG279*'1. Standard_Cost'!$B$27+'Incremental_Cost Year 1'!AH279*'1. Standard_Cost'!$C$27+'Incremental_Cost Year 1'!AI279*'1. Standard_Cost'!$D$27+'Incremental_Cost Year 1'!AJ279+'Incremental_Cost Year 1'!AL279+AK279</f>
        <v>0</v>
      </c>
      <c r="AN279" s="127">
        <f>AM279*'1. Standard_Cost'!$C$31</f>
        <v>0</v>
      </c>
      <c r="AO279" s="178"/>
      <c r="AP279" s="256"/>
      <c r="AQ279" s="171">
        <f>L279+M279</f>
        <v>117633.60000000001</v>
      </c>
      <c r="AR279" s="171">
        <f>AF279</f>
        <v>11992500</v>
      </c>
      <c r="AS279" s="171">
        <f>AM279+AN279</f>
        <v>0</v>
      </c>
      <c r="AT279" s="171">
        <f>SUM(AQ279,AR279,AS279)</f>
        <v>12110133.6</v>
      </c>
      <c r="AU279" s="250">
        <v>117633.60000000001</v>
      </c>
      <c r="AV279" s="250"/>
      <c r="AW279" s="250">
        <v>11992500</v>
      </c>
      <c r="AX279" s="250"/>
      <c r="AY279" s="250"/>
      <c r="AZ279" s="250"/>
      <c r="BA279" s="250"/>
      <c r="BB279" s="251">
        <f t="shared" si="232"/>
        <v>0</v>
      </c>
      <c r="BC279" s="155"/>
      <c r="BD279" s="155"/>
      <c r="BE279" s="155"/>
      <c r="BF279" s="155"/>
    </row>
    <row r="280" spans="1:58" ht="31.5" x14ac:dyDescent="0.25">
      <c r="A280" s="157"/>
      <c r="B280" s="161"/>
      <c r="C280" s="162"/>
      <c r="D280" s="202"/>
      <c r="E280" s="357"/>
      <c r="F280" s="358"/>
      <c r="G280" s="359"/>
      <c r="H280" s="213" t="s">
        <v>365</v>
      </c>
      <c r="I280" s="178"/>
      <c r="J280" s="174"/>
      <c r="K280" s="174"/>
      <c r="L280" s="125" t="str">
        <f>IF(I280&lt;&gt;0,((VLOOKUP(I280,'1. Standard_Cost'!$B$4:$D$11,2)+VLOOKUP(I280,'1. Standard_Cost'!$B$4:$D$11,3))*J280*K280),"0")</f>
        <v>0</v>
      </c>
      <c r="M280" s="125">
        <f>L280*'1. Standard_Cost'!$F$4</f>
        <v>0</v>
      </c>
      <c r="N280" s="174"/>
      <c r="O280" s="174"/>
      <c r="P280" s="174"/>
      <c r="Q280" s="174"/>
      <c r="R280" s="127">
        <f>'1. Standard_Cost'!$B$15*N280*P280</f>
        <v>0</v>
      </c>
      <c r="S280" s="127">
        <f>N280*O280*P280*'1. Standard_Cost'!$C$15</f>
        <v>0</v>
      </c>
      <c r="T280" s="127">
        <f>N280*P280*Q280*'1. Standard_Cost'!$D$15</f>
        <v>0</v>
      </c>
      <c r="U280" s="127">
        <f>N280*O280*'1. Standard_Cost'!$E$15</f>
        <v>0</v>
      </c>
      <c r="V280" s="174"/>
      <c r="W280" s="174"/>
      <c r="X280" s="174"/>
      <c r="Y280" s="127">
        <f>+V280*((X280*'1. Standard_Cost'!$B$19)+(W280*X280*'1. Standard_Cost'!$C$19))</f>
        <v>0</v>
      </c>
      <c r="Z280" s="174"/>
      <c r="AA280" s="174"/>
      <c r="AB280" s="127">
        <f>+Z280*'1. Standard_Cost'!$B$23+AA280*'1. Standard_Cost'!$C$23</f>
        <v>0</v>
      </c>
      <c r="AC280" s="176"/>
      <c r="AD280" s="177"/>
      <c r="AE280" s="127">
        <f>SUM(AD280,AC280,AB280,Y280,U280,T280,S280,R280)*'1. Standard_Cost'!$B$31</f>
        <v>0</v>
      </c>
      <c r="AF280" s="127">
        <f>SUM(AE280,AD280,AC280,AB280,Y280,U280,T280,S280,R280)</f>
        <v>0</v>
      </c>
      <c r="AG280" s="174"/>
      <c r="AH280" s="174"/>
      <c r="AI280" s="174"/>
      <c r="AJ280" s="178"/>
      <c r="AK280" s="178"/>
      <c r="AL280" s="178"/>
      <c r="AM280" s="127">
        <f>AG280*'1. Standard_Cost'!$B$27+'Incremental_Cost Year 1'!AH280*'1. Standard_Cost'!$C$27+'Incremental_Cost Year 1'!AI280*'1. Standard_Cost'!$D$27+'Incremental_Cost Year 1'!AJ280+'Incremental_Cost Year 1'!AL280+AK280</f>
        <v>0</v>
      </c>
      <c r="AN280" s="127">
        <f>AM280*'1. Standard_Cost'!$C$31</f>
        <v>0</v>
      </c>
      <c r="AO280" s="178"/>
      <c r="AP280" s="256"/>
      <c r="AQ280" s="171">
        <f>L280+M280</f>
        <v>0</v>
      </c>
      <c r="AR280" s="171">
        <f>AF280</f>
        <v>0</v>
      </c>
      <c r="AS280" s="171">
        <f>AM280+AN280</f>
        <v>0</v>
      </c>
      <c r="AT280" s="171">
        <f>SUM(AQ280,AR280,AS280)</f>
        <v>0</v>
      </c>
      <c r="AU280" s="250"/>
      <c r="AV280" s="250"/>
      <c r="AW280" s="250"/>
      <c r="AX280" s="250"/>
      <c r="AY280" s="250"/>
      <c r="AZ280" s="250"/>
      <c r="BA280" s="250"/>
      <c r="BB280" s="251">
        <f t="shared" si="232"/>
        <v>0</v>
      </c>
      <c r="BC280" s="155"/>
      <c r="BD280" s="155"/>
      <c r="BE280" s="155"/>
      <c r="BF280" s="155"/>
    </row>
    <row r="281" spans="1:58" ht="15.75" x14ac:dyDescent="0.25">
      <c r="A281" s="157"/>
      <c r="B281" s="161"/>
      <c r="C281" s="162"/>
      <c r="D281" s="202"/>
      <c r="E281" s="357"/>
      <c r="F281" s="358"/>
      <c r="G281" s="359"/>
      <c r="H281" s="369"/>
      <c r="I281" s="178"/>
      <c r="J281" s="174"/>
      <c r="K281" s="174"/>
      <c r="L281" s="125" t="str">
        <f>IF(I281&lt;&gt;0,((VLOOKUP(I281,'1. Standard_Cost'!$B$4:$D$11,2)+VLOOKUP(I281,'1. Standard_Cost'!$B$4:$D$11,3))*J281*K281),"0")</f>
        <v>0</v>
      </c>
      <c r="M281" s="125">
        <f>L281*'1. Standard_Cost'!$F$4</f>
        <v>0</v>
      </c>
      <c r="N281" s="174"/>
      <c r="O281" s="174"/>
      <c r="P281" s="174"/>
      <c r="Q281" s="174"/>
      <c r="R281" s="127">
        <f>'1. Standard_Cost'!$B$15*N281*P281</f>
        <v>0</v>
      </c>
      <c r="S281" s="127">
        <f>N281*O281*P281*'1. Standard_Cost'!$C$15</f>
        <v>0</v>
      </c>
      <c r="T281" s="127">
        <f>N281*P281*Q281*'1. Standard_Cost'!$D$15</f>
        <v>0</v>
      </c>
      <c r="U281" s="127">
        <f>N281*O281*'1. Standard_Cost'!$E$15</f>
        <v>0</v>
      </c>
      <c r="V281" s="174"/>
      <c r="W281" s="174"/>
      <c r="X281" s="174"/>
      <c r="Y281" s="127">
        <f>+V281*((X281*'1. Standard_Cost'!$B$19)+(W281*X281*'1. Standard_Cost'!$C$19))</f>
        <v>0</v>
      </c>
      <c r="Z281" s="174"/>
      <c r="AA281" s="174"/>
      <c r="AB281" s="127">
        <f>+Z281*'1. Standard_Cost'!$B$23+AA281*'1. Standard_Cost'!$C$23</f>
        <v>0</v>
      </c>
      <c r="AC281" s="176"/>
      <c r="AD281" s="177"/>
      <c r="AE281" s="127">
        <f>SUM(AD281,AC281,AB281,Y281,U281,T281,S281,R281)*'1. Standard_Cost'!$B$31</f>
        <v>0</v>
      </c>
      <c r="AF281" s="127">
        <f>SUM(AE281,AD281,AC281,AB281,Y281,U281,T281,S281,R281)</f>
        <v>0</v>
      </c>
      <c r="AG281" s="174"/>
      <c r="AH281" s="174"/>
      <c r="AI281" s="174"/>
      <c r="AJ281" s="178"/>
      <c r="AK281" s="178"/>
      <c r="AL281" s="178"/>
      <c r="AM281" s="127">
        <f>AG281*'1. Standard_Cost'!$B$27+'Incremental_Cost Year 1'!AH281*'1. Standard_Cost'!$C$27+'Incremental_Cost Year 1'!AI281*'1. Standard_Cost'!$D$27+'Incremental_Cost Year 1'!AJ281+'Incremental_Cost Year 1'!AL281+AK281</f>
        <v>0</v>
      </c>
      <c r="AN281" s="127">
        <f>AM281*'1. Standard_Cost'!$C$31</f>
        <v>0</v>
      </c>
      <c r="AO281" s="178"/>
      <c r="AP281" s="256"/>
      <c r="AQ281" s="171">
        <f>L281+M281</f>
        <v>0</v>
      </c>
      <c r="AR281" s="171">
        <f>AF281</f>
        <v>0</v>
      </c>
      <c r="AS281" s="171">
        <f>AM281+AN281</f>
        <v>0</v>
      </c>
      <c r="AT281" s="171">
        <f>SUM(AQ281,AR281,AS281)</f>
        <v>0</v>
      </c>
      <c r="AU281" s="250"/>
      <c r="AV281" s="250"/>
      <c r="AW281" s="250"/>
      <c r="AX281" s="250"/>
      <c r="AY281" s="250"/>
      <c r="AZ281" s="250"/>
      <c r="BA281" s="250"/>
      <c r="BB281" s="251">
        <f t="shared" si="232"/>
        <v>0</v>
      </c>
      <c r="BC281" s="155"/>
      <c r="BD281" s="155"/>
      <c r="BE281" s="155"/>
      <c r="BF281" s="155"/>
    </row>
    <row r="282" spans="1:58" ht="31.5" x14ac:dyDescent="0.25">
      <c r="A282" s="157"/>
      <c r="B282" s="161"/>
      <c r="C282" s="162"/>
      <c r="D282" s="202"/>
      <c r="E282" s="360"/>
      <c r="F282" s="361"/>
      <c r="G282" s="362"/>
      <c r="H282" s="213" t="s">
        <v>366</v>
      </c>
      <c r="I282" s="178"/>
      <c r="J282" s="174"/>
      <c r="K282" s="174"/>
      <c r="L282" s="125" t="str">
        <f>IF(I282&lt;&gt;0,((VLOOKUP(I282,'1. Standard_Cost'!$B$4:$D$11,2)+VLOOKUP(I282,'1. Standard_Cost'!$B$4:$D$11,3))*J282*K282),"0")</f>
        <v>0</v>
      </c>
      <c r="M282" s="125">
        <f>L282*'1. Standard_Cost'!$F$4</f>
        <v>0</v>
      </c>
      <c r="N282" s="174"/>
      <c r="O282" s="174"/>
      <c r="P282" s="174"/>
      <c r="Q282" s="174"/>
      <c r="R282" s="127">
        <f>'1. Standard_Cost'!$B$15*N282*P282</f>
        <v>0</v>
      </c>
      <c r="S282" s="127">
        <f>N282*O282*P282*'1. Standard_Cost'!$C$15</f>
        <v>0</v>
      </c>
      <c r="T282" s="127">
        <f>N282*P282*Q282*'1. Standard_Cost'!$D$15</f>
        <v>0</v>
      </c>
      <c r="U282" s="127">
        <f>N282*O282*'1. Standard_Cost'!$E$15</f>
        <v>0</v>
      </c>
      <c r="V282" s="174"/>
      <c r="W282" s="174"/>
      <c r="X282" s="174"/>
      <c r="Y282" s="127">
        <f>+V282*((X282*'1. Standard_Cost'!$B$19)+(W282*X282*'1. Standard_Cost'!$C$19))</f>
        <v>0</v>
      </c>
      <c r="Z282" s="174"/>
      <c r="AA282" s="174"/>
      <c r="AB282" s="127">
        <f>+Z282*'1. Standard_Cost'!$B$23+AA282*'1. Standard_Cost'!$C$23</f>
        <v>0</v>
      </c>
      <c r="AC282" s="176"/>
      <c r="AD282" s="177"/>
      <c r="AE282" s="127">
        <f>SUM(AD282,AC282,AB282,Y282,U282,T282,S282,R282)*'1. Standard_Cost'!$B$31</f>
        <v>0</v>
      </c>
      <c r="AF282" s="127">
        <f>SUM(AE282,AD282,AC282,AB282,Y282,U282,T282,S282,R282)</f>
        <v>0</v>
      </c>
      <c r="AG282" s="174"/>
      <c r="AH282" s="174"/>
      <c r="AI282" s="174"/>
      <c r="AJ282" s="178"/>
      <c r="AK282" s="178"/>
      <c r="AL282" s="178"/>
      <c r="AM282" s="127">
        <f>AG282*'1. Standard_Cost'!$B$27+'Incremental_Cost Year 1'!AH282*'1. Standard_Cost'!$C$27+'Incremental_Cost Year 1'!AI282*'1. Standard_Cost'!$D$27+'Incremental_Cost Year 1'!AJ282+'Incremental_Cost Year 1'!AL282+AK282</f>
        <v>0</v>
      </c>
      <c r="AN282" s="127">
        <f>AM282*'1. Standard_Cost'!$C$31</f>
        <v>0</v>
      </c>
      <c r="AO282" s="178"/>
      <c r="AP282" s="256"/>
      <c r="AQ282" s="171">
        <f>L282+M282</f>
        <v>0</v>
      </c>
      <c r="AR282" s="171">
        <f>AF282</f>
        <v>0</v>
      </c>
      <c r="AS282" s="171">
        <f>AM282+AN282</f>
        <v>0</v>
      </c>
      <c r="AT282" s="171">
        <f>SUM(AQ282,AR282,AS282)</f>
        <v>0</v>
      </c>
      <c r="AU282" s="250"/>
      <c r="AV282" s="250"/>
      <c r="AW282" s="250"/>
      <c r="AX282" s="250"/>
      <c r="AY282" s="250"/>
      <c r="AZ282" s="250"/>
      <c r="BA282" s="250"/>
      <c r="BB282" s="251">
        <f t="shared" si="232"/>
        <v>0</v>
      </c>
      <c r="BC282" s="155"/>
      <c r="BD282" s="155"/>
      <c r="BE282" s="155"/>
      <c r="BF282" s="155"/>
    </row>
    <row r="283" spans="1:58" ht="77.45" customHeight="1" x14ac:dyDescent="0.2">
      <c r="A283" s="157"/>
      <c r="B283" s="154"/>
      <c r="C283" s="163"/>
      <c r="D283" s="212" t="s">
        <v>559</v>
      </c>
      <c r="E283" s="212" t="s">
        <v>355</v>
      </c>
      <c r="F283" s="212">
        <v>2021</v>
      </c>
      <c r="G283" s="212">
        <v>2030</v>
      </c>
      <c r="H283" s="182" t="s">
        <v>356</v>
      </c>
      <c r="I283" s="273"/>
      <c r="J283" s="273"/>
      <c r="K283" s="273"/>
      <c r="L283" s="175">
        <f>SUM(L278:L282)</f>
        <v>201600</v>
      </c>
      <c r="M283" s="175">
        <f>SUM(M278:M282)</f>
        <v>33667.200000000004</v>
      </c>
      <c r="N283" s="273"/>
      <c r="O283" s="273"/>
      <c r="P283" s="273"/>
      <c r="Q283" s="273"/>
      <c r="R283" s="175">
        <f>SUM(R278:R282)</f>
        <v>0</v>
      </c>
      <c r="S283" s="175">
        <f>SUM(S278:S282)</f>
        <v>0</v>
      </c>
      <c r="T283" s="175">
        <f>SUM(T278:T282)</f>
        <v>0</v>
      </c>
      <c r="U283" s="175">
        <f>SUM(U278:U282)</f>
        <v>0</v>
      </c>
      <c r="V283" s="273"/>
      <c r="W283" s="273"/>
      <c r="X283" s="273"/>
      <c r="Y283" s="175">
        <f>SUM(Y278:Y282)</f>
        <v>0</v>
      </c>
      <c r="Z283" s="175"/>
      <c r="AA283" s="273"/>
      <c r="AB283" s="175">
        <f>SUM(AB278:AB282)</f>
        <v>0</v>
      </c>
      <c r="AC283" s="175">
        <f>SUM(AC278:AC282)</f>
        <v>24292500</v>
      </c>
      <c r="AD283" s="175">
        <f>SUM(AD278:AD282)</f>
        <v>0</v>
      </c>
      <c r="AE283" s="175">
        <f>SUM(AE278:AE282)</f>
        <v>0</v>
      </c>
      <c r="AF283" s="175">
        <f>SUM(AF278:AF282)</f>
        <v>24292500</v>
      </c>
      <c r="AG283" s="273"/>
      <c r="AH283" s="273"/>
      <c r="AI283" s="273"/>
      <c r="AJ283" s="175">
        <f>SUM(AJ278:AJ282)</f>
        <v>0</v>
      </c>
      <c r="AK283" s="175">
        <f>SUM(AK278:AK282)</f>
        <v>0</v>
      </c>
      <c r="AL283" s="175">
        <f>SUM(AL278:AL282)</f>
        <v>0</v>
      </c>
      <c r="AM283" s="175">
        <f>SUM(AM278:AM282)</f>
        <v>0</v>
      </c>
      <c r="AN283" s="175">
        <f>SUM(AN278:AN282)</f>
        <v>0</v>
      </c>
      <c r="AO283" s="274"/>
      <c r="AP283" s="254"/>
      <c r="AQ283" s="175">
        <f t="shared" ref="AQ283:BB283" si="233">SUM(AQ278:AQ282)</f>
        <v>235267.20000000001</v>
      </c>
      <c r="AR283" s="175">
        <f t="shared" si="233"/>
        <v>24292500</v>
      </c>
      <c r="AS283" s="175">
        <f t="shared" si="233"/>
        <v>0</v>
      </c>
      <c r="AT283" s="175">
        <f t="shared" si="233"/>
        <v>24527767.199999999</v>
      </c>
      <c r="AU283" s="175">
        <f t="shared" si="233"/>
        <v>235267.20000000001</v>
      </c>
      <c r="AV283" s="175">
        <f t="shared" si="233"/>
        <v>0</v>
      </c>
      <c r="AW283" s="175">
        <f t="shared" si="233"/>
        <v>24292500</v>
      </c>
      <c r="AX283" s="175">
        <f t="shared" si="233"/>
        <v>0</v>
      </c>
      <c r="AY283" s="175">
        <f t="shared" si="233"/>
        <v>0</v>
      </c>
      <c r="AZ283" s="175">
        <f t="shared" si="233"/>
        <v>0</v>
      </c>
      <c r="BA283" s="175">
        <f t="shared" si="233"/>
        <v>0</v>
      </c>
      <c r="BB283" s="175">
        <f t="shared" si="233"/>
        <v>0</v>
      </c>
      <c r="BC283" s="155"/>
      <c r="BD283" s="155"/>
      <c r="BE283" s="155"/>
      <c r="BF283" s="155"/>
    </row>
    <row r="284" spans="1:58" ht="13.9" customHeight="1" x14ac:dyDescent="0.2">
      <c r="A284" s="159"/>
      <c r="B284" s="285"/>
      <c r="C284" s="391" t="s">
        <v>357</v>
      </c>
      <c r="D284" s="391"/>
      <c r="E284" s="392"/>
      <c r="F284" s="280"/>
      <c r="G284" s="282"/>
      <c r="H284" s="181" t="s">
        <v>358</v>
      </c>
      <c r="I284" s="271"/>
      <c r="J284" s="271"/>
      <c r="K284" s="271"/>
      <c r="L284" s="261">
        <f>L289</f>
        <v>0</v>
      </c>
      <c r="M284" s="261">
        <f>M289</f>
        <v>0</v>
      </c>
      <c r="N284" s="271"/>
      <c r="O284" s="271"/>
      <c r="P284" s="271"/>
      <c r="Q284" s="271"/>
      <c r="R284" s="261">
        <f>R289</f>
        <v>0</v>
      </c>
      <c r="S284" s="261">
        <f>S289</f>
        <v>0</v>
      </c>
      <c r="T284" s="261">
        <f>T289</f>
        <v>0</v>
      </c>
      <c r="U284" s="261">
        <f>U289</f>
        <v>0</v>
      </c>
      <c r="V284" s="271"/>
      <c r="W284" s="271"/>
      <c r="X284" s="271"/>
      <c r="Y284" s="261">
        <f>Y289</f>
        <v>0</v>
      </c>
      <c r="Z284" s="261"/>
      <c r="AA284" s="261"/>
      <c r="AB284" s="261">
        <f>AB289</f>
        <v>0</v>
      </c>
      <c r="AC284" s="261">
        <f>AC289</f>
        <v>0</v>
      </c>
      <c r="AD284" s="261">
        <f>AD289</f>
        <v>0</v>
      </c>
      <c r="AE284" s="261">
        <f>AE289</f>
        <v>0</v>
      </c>
      <c r="AF284" s="261">
        <f>AF289</f>
        <v>0</v>
      </c>
      <c r="AG284" s="271"/>
      <c r="AH284" s="271"/>
      <c r="AI284" s="271"/>
      <c r="AJ284" s="261">
        <f>AJ289</f>
        <v>0</v>
      </c>
      <c r="AK284" s="261">
        <f>AK289</f>
        <v>0</v>
      </c>
      <c r="AL284" s="261">
        <f>AL289</f>
        <v>0</v>
      </c>
      <c r="AM284" s="261">
        <f>AM289</f>
        <v>0</v>
      </c>
      <c r="AN284" s="261">
        <f>AN289</f>
        <v>0</v>
      </c>
      <c r="AO284" s="272"/>
      <c r="AP284" s="260"/>
      <c r="AQ284" s="261">
        <f t="shared" ref="AQ284:BB284" si="234">AQ289</f>
        <v>0</v>
      </c>
      <c r="AR284" s="261">
        <f t="shared" si="234"/>
        <v>0</v>
      </c>
      <c r="AS284" s="261">
        <f t="shared" si="234"/>
        <v>0</v>
      </c>
      <c r="AT284" s="261">
        <f t="shared" si="234"/>
        <v>0</v>
      </c>
      <c r="AU284" s="261">
        <f t="shared" si="234"/>
        <v>0</v>
      </c>
      <c r="AV284" s="261">
        <f t="shared" si="234"/>
        <v>0</v>
      </c>
      <c r="AW284" s="261">
        <f t="shared" si="234"/>
        <v>0</v>
      </c>
      <c r="AX284" s="261">
        <f t="shared" si="234"/>
        <v>0</v>
      </c>
      <c r="AY284" s="261">
        <f t="shared" si="234"/>
        <v>0</v>
      </c>
      <c r="AZ284" s="261">
        <f t="shared" si="234"/>
        <v>0</v>
      </c>
      <c r="BA284" s="261">
        <f t="shared" si="234"/>
        <v>0</v>
      </c>
      <c r="BB284" s="261">
        <f t="shared" si="234"/>
        <v>0</v>
      </c>
      <c r="BC284" s="160"/>
      <c r="BD284" s="160"/>
      <c r="BE284" s="160"/>
      <c r="BF284" s="160"/>
    </row>
    <row r="285" spans="1:58" ht="157.5" x14ac:dyDescent="0.25">
      <c r="A285" s="157"/>
      <c r="B285" s="354"/>
      <c r="C285" s="356"/>
      <c r="D285" s="342"/>
      <c r="E285" s="328"/>
      <c r="F285" s="328"/>
      <c r="G285" s="328"/>
      <c r="H285" s="213" t="s">
        <v>550</v>
      </c>
      <c r="I285" s="178"/>
      <c r="J285" s="174"/>
      <c r="K285" s="174"/>
      <c r="L285" s="125" t="str">
        <f>IF(I285&lt;&gt;0,((VLOOKUP(I285,'1. Standard_Cost'!$B$4:$D$11,2)+VLOOKUP(I285,'1. Standard_Cost'!$B$4:$D$11,3))*J285*K285),"0")</f>
        <v>0</v>
      </c>
      <c r="M285" s="125">
        <f>L285*'1. Standard_Cost'!$F$4</f>
        <v>0</v>
      </c>
      <c r="N285" s="174"/>
      <c r="O285" s="174"/>
      <c r="P285" s="174"/>
      <c r="Q285" s="174"/>
      <c r="R285" s="127">
        <f>'1. Standard_Cost'!$B$15*N285*P285</f>
        <v>0</v>
      </c>
      <c r="S285" s="127">
        <f>N285*O285*P285*'1. Standard_Cost'!$C$15</f>
        <v>0</v>
      </c>
      <c r="T285" s="127">
        <f>N285*P285*Q285*'1. Standard_Cost'!$D$15</f>
        <v>0</v>
      </c>
      <c r="U285" s="127">
        <f>N285*O285*'1. Standard_Cost'!$E$15</f>
        <v>0</v>
      </c>
      <c r="V285" s="174"/>
      <c r="W285" s="174"/>
      <c r="X285" s="174"/>
      <c r="Y285" s="127">
        <f>+V285*((X285*'1. Standard_Cost'!$B$19)+(W285*X285*'1. Standard_Cost'!$C$19))</f>
        <v>0</v>
      </c>
      <c r="Z285" s="174"/>
      <c r="AA285" s="174"/>
      <c r="AB285" s="127">
        <f>+Z285*'1. Standard_Cost'!$B$23+AA285*'1. Standard_Cost'!$C$23</f>
        <v>0</v>
      </c>
      <c r="AC285" s="176"/>
      <c r="AD285" s="177"/>
      <c r="AE285" s="127">
        <f>SUM(AD285,AC285,AB285,Y285,U285,T285,S285,R285)*'1. Standard_Cost'!$B$31</f>
        <v>0</v>
      </c>
      <c r="AF285" s="127">
        <f>SUM(AE285,AD285,AC285,AB285,Y285,U285,T285,S285,R285)</f>
        <v>0</v>
      </c>
      <c r="AG285" s="174"/>
      <c r="AH285" s="174"/>
      <c r="AI285" s="174"/>
      <c r="AJ285" s="178"/>
      <c r="AK285" s="178"/>
      <c r="AL285" s="178"/>
      <c r="AM285" s="127">
        <f>AG285*'1. Standard_Cost'!$B$27+'Incremental_Cost Year 1'!AH285*'1. Standard_Cost'!$C$27+'Incremental_Cost Year 1'!AI285*'1. Standard_Cost'!$D$27+'Incremental_Cost Year 1'!AJ285+'Incremental_Cost Year 1'!AL285+AK285</f>
        <v>0</v>
      </c>
      <c r="AN285" s="127">
        <f>AM285*'1. Standard_Cost'!$C$31</f>
        <v>0</v>
      </c>
      <c r="AO285" s="178"/>
      <c r="AP285" s="256"/>
      <c r="AQ285" s="171">
        <f>L285+M285</f>
        <v>0</v>
      </c>
      <c r="AR285" s="171">
        <f>AF285</f>
        <v>0</v>
      </c>
      <c r="AS285" s="171">
        <f>AM285+AN285</f>
        <v>0</v>
      </c>
      <c r="AT285" s="171">
        <f>SUM(AQ285,AR285,AS285)</f>
        <v>0</v>
      </c>
      <c r="AU285" s="250">
        <v>0</v>
      </c>
      <c r="AV285" s="250"/>
      <c r="AW285" s="250"/>
      <c r="AX285" s="250"/>
      <c r="AY285" s="250"/>
      <c r="AZ285" s="250"/>
      <c r="BA285" s="250"/>
      <c r="BB285" s="251">
        <f t="shared" ref="BB285:BB288" si="235">SUM(AU285:BA285)-AT285</f>
        <v>0</v>
      </c>
      <c r="BC285" s="155"/>
      <c r="BD285" s="155"/>
      <c r="BE285" s="155"/>
      <c r="BF285" s="155"/>
    </row>
    <row r="286" spans="1:58" ht="94.5" x14ac:dyDescent="0.25">
      <c r="A286" s="157"/>
      <c r="B286" s="357"/>
      <c r="C286" s="359"/>
      <c r="D286" s="343"/>
      <c r="E286" s="328"/>
      <c r="F286" s="328"/>
      <c r="G286" s="328"/>
      <c r="H286" s="213" t="s">
        <v>555</v>
      </c>
      <c r="I286" s="178"/>
      <c r="J286" s="174"/>
      <c r="K286" s="174"/>
      <c r="L286" s="125" t="str">
        <f>IF(I286&lt;&gt;0,((VLOOKUP(I286,'1. Standard_Cost'!$B$4:$D$11,2)+VLOOKUP(I286,'1. Standard_Cost'!$B$4:$D$11,3))*J286*K286),"0")</f>
        <v>0</v>
      </c>
      <c r="M286" s="125">
        <f>L286*'1. Standard_Cost'!$F$4</f>
        <v>0</v>
      </c>
      <c r="N286" s="174"/>
      <c r="O286" s="174"/>
      <c r="P286" s="174"/>
      <c r="Q286" s="174"/>
      <c r="R286" s="127">
        <f>'1. Standard_Cost'!$B$15*N286*P286</f>
        <v>0</v>
      </c>
      <c r="S286" s="127">
        <f>N286*O286*P286*'1. Standard_Cost'!$C$15</f>
        <v>0</v>
      </c>
      <c r="T286" s="127">
        <f>N286*P286*Q286*'1. Standard_Cost'!$D$15</f>
        <v>0</v>
      </c>
      <c r="U286" s="127">
        <f>N286*O286*'1. Standard_Cost'!$E$15</f>
        <v>0</v>
      </c>
      <c r="V286" s="174"/>
      <c r="W286" s="174"/>
      <c r="X286" s="174"/>
      <c r="Y286" s="127">
        <f>+V286*((X286*'1. Standard_Cost'!$B$19)+(W286*X286*'1. Standard_Cost'!$C$19))</f>
        <v>0</v>
      </c>
      <c r="Z286" s="174"/>
      <c r="AA286" s="174"/>
      <c r="AB286" s="127">
        <f>+Z286*'1. Standard_Cost'!$B$23+AA286*'1. Standard_Cost'!$C$23</f>
        <v>0</v>
      </c>
      <c r="AC286" s="176"/>
      <c r="AD286" s="177"/>
      <c r="AE286" s="127">
        <f>SUM(AD286,AC286,AB286,Y286,U286,T286,S286,R286)*'1. Standard_Cost'!$B$31</f>
        <v>0</v>
      </c>
      <c r="AF286" s="127">
        <f>SUM(AE286,AD286,AC286,AB286,Y286,U286,T286,S286,R286)</f>
        <v>0</v>
      </c>
      <c r="AG286" s="174"/>
      <c r="AH286" s="174"/>
      <c r="AI286" s="174"/>
      <c r="AJ286" s="178"/>
      <c r="AK286" s="178"/>
      <c r="AL286" s="178"/>
      <c r="AM286" s="127">
        <f>AG286*'1. Standard_Cost'!$B$27+'Incremental_Cost Year 1'!AH286*'1. Standard_Cost'!$C$27+'Incremental_Cost Year 1'!AI286*'1. Standard_Cost'!$D$27+'Incremental_Cost Year 1'!AJ286+'Incremental_Cost Year 1'!AL286+AK286</f>
        <v>0</v>
      </c>
      <c r="AN286" s="127">
        <f>AM286*'1. Standard_Cost'!$C$31</f>
        <v>0</v>
      </c>
      <c r="AO286" s="178"/>
      <c r="AP286" s="256"/>
      <c r="AQ286" s="171">
        <f>L286+M286</f>
        <v>0</v>
      </c>
      <c r="AR286" s="171">
        <f>AF286</f>
        <v>0</v>
      </c>
      <c r="AS286" s="171">
        <f>AM286+AN286</f>
        <v>0</v>
      </c>
      <c r="AT286" s="171">
        <f>SUM(AQ286,AR286,AS286)</f>
        <v>0</v>
      </c>
      <c r="AU286" s="250">
        <v>0</v>
      </c>
      <c r="AV286" s="250"/>
      <c r="AW286" s="250"/>
      <c r="AX286" s="250"/>
      <c r="AY286" s="250"/>
      <c r="AZ286" s="250"/>
      <c r="BA286" s="250"/>
      <c r="BB286" s="251">
        <f t="shared" si="235"/>
        <v>0</v>
      </c>
      <c r="BC286" s="155"/>
      <c r="BD286" s="155"/>
      <c r="BE286" s="155"/>
      <c r="BF286" s="155"/>
    </row>
    <row r="287" spans="1:58" ht="110.25" x14ac:dyDescent="0.25">
      <c r="A287" s="157"/>
      <c r="B287" s="357"/>
      <c r="C287" s="359"/>
      <c r="D287" s="343"/>
      <c r="E287" s="328"/>
      <c r="F287" s="328"/>
      <c r="G287" s="328"/>
      <c r="H287" s="213" t="s">
        <v>367</v>
      </c>
      <c r="I287" s="178"/>
      <c r="J287" s="174"/>
      <c r="K287" s="174"/>
      <c r="L287" s="125" t="str">
        <f>IF(I287&lt;&gt;0,((VLOOKUP(I287,'1. Standard_Cost'!$B$4:$D$11,2)+VLOOKUP(I287,'1. Standard_Cost'!$B$4:$D$11,3))*J287*K287),"0")</f>
        <v>0</v>
      </c>
      <c r="M287" s="125">
        <f>L287*'1. Standard_Cost'!$F$4</f>
        <v>0</v>
      </c>
      <c r="N287" s="174"/>
      <c r="O287" s="174"/>
      <c r="P287" s="174"/>
      <c r="Q287" s="174"/>
      <c r="R287" s="127">
        <f>'1. Standard_Cost'!$B$15*N287*P287</f>
        <v>0</v>
      </c>
      <c r="S287" s="127">
        <f>N287*O287*P287*'1. Standard_Cost'!$C$15</f>
        <v>0</v>
      </c>
      <c r="T287" s="127">
        <f>N287*P287*Q287*'1. Standard_Cost'!$D$15</f>
        <v>0</v>
      </c>
      <c r="U287" s="127">
        <f>N287*O287*'1. Standard_Cost'!$E$15</f>
        <v>0</v>
      </c>
      <c r="V287" s="174"/>
      <c r="W287" s="174"/>
      <c r="X287" s="174"/>
      <c r="Y287" s="127">
        <f>+V287*((X287*'1. Standard_Cost'!$B$19)+(W287*X287*'1. Standard_Cost'!$C$19))</f>
        <v>0</v>
      </c>
      <c r="Z287" s="174"/>
      <c r="AA287" s="174"/>
      <c r="AB287" s="127">
        <f>+Z287*'1. Standard_Cost'!$B$23+AA287*'1. Standard_Cost'!$C$23</f>
        <v>0</v>
      </c>
      <c r="AC287" s="176"/>
      <c r="AD287" s="177"/>
      <c r="AE287" s="127">
        <f>SUM(AD287,AC287,AB287,Y287,U287,T287,S287,R287)*'1. Standard_Cost'!$B$31</f>
        <v>0</v>
      </c>
      <c r="AF287" s="127">
        <f>SUM(AE287,AD287,AC287,AB287,Y287,U287,T287,S287,R287)</f>
        <v>0</v>
      </c>
      <c r="AG287" s="174"/>
      <c r="AH287" s="174"/>
      <c r="AI287" s="174"/>
      <c r="AJ287" s="178"/>
      <c r="AK287" s="178"/>
      <c r="AL287" s="178"/>
      <c r="AM287" s="127">
        <f>AG287*'1. Standard_Cost'!$B$27+'Incremental_Cost Year 1'!AH287*'1. Standard_Cost'!$C$27+'Incremental_Cost Year 1'!AI287*'1. Standard_Cost'!$D$27+'Incremental_Cost Year 1'!AJ287+'Incremental_Cost Year 1'!AL287+AK287</f>
        <v>0</v>
      </c>
      <c r="AN287" s="127">
        <f>AM287*'1. Standard_Cost'!$C$31</f>
        <v>0</v>
      </c>
      <c r="AO287" s="178"/>
      <c r="AP287" s="256"/>
      <c r="AQ287" s="171">
        <f>L287+M287</f>
        <v>0</v>
      </c>
      <c r="AR287" s="171">
        <f>AF287</f>
        <v>0</v>
      </c>
      <c r="AS287" s="171">
        <f>AM287+AN287</f>
        <v>0</v>
      </c>
      <c r="AT287" s="171">
        <f>SUM(AQ287,AR287,AS287)</f>
        <v>0</v>
      </c>
      <c r="AU287" s="250">
        <v>0</v>
      </c>
      <c r="AV287" s="250"/>
      <c r="AW287" s="250"/>
      <c r="AX287" s="250"/>
      <c r="AY287" s="250"/>
      <c r="AZ287" s="250"/>
      <c r="BA287" s="250"/>
      <c r="BB287" s="251">
        <f t="shared" si="235"/>
        <v>0</v>
      </c>
      <c r="BC287" s="155"/>
      <c r="BD287" s="155"/>
      <c r="BE287" s="155"/>
      <c r="BF287" s="155"/>
    </row>
    <row r="288" spans="1:58" ht="110.25" x14ac:dyDescent="0.25">
      <c r="A288" s="157"/>
      <c r="B288" s="360"/>
      <c r="C288" s="362"/>
      <c r="D288" s="344"/>
      <c r="E288" s="328"/>
      <c r="F288" s="328"/>
      <c r="G288" s="328"/>
      <c r="H288" s="213" t="s">
        <v>368</v>
      </c>
      <c r="I288" s="178"/>
      <c r="J288" s="174"/>
      <c r="K288" s="174"/>
      <c r="L288" s="125" t="str">
        <f>IF(I288&lt;&gt;0,((VLOOKUP(I288,'1. Standard_Cost'!$B$4:$D$11,2)+VLOOKUP(I288,'1. Standard_Cost'!$B$4:$D$11,3))*J288*K288),"0")</f>
        <v>0</v>
      </c>
      <c r="M288" s="125">
        <f>L288*'1. Standard_Cost'!$F$4</f>
        <v>0</v>
      </c>
      <c r="N288" s="174"/>
      <c r="O288" s="174"/>
      <c r="P288" s="174"/>
      <c r="Q288" s="174"/>
      <c r="R288" s="127">
        <f>'1. Standard_Cost'!$B$15*N288*P288</f>
        <v>0</v>
      </c>
      <c r="S288" s="127">
        <f>N288*O288*P288*'1. Standard_Cost'!$C$15</f>
        <v>0</v>
      </c>
      <c r="T288" s="127">
        <f>N288*P288*Q288*'1. Standard_Cost'!$D$15</f>
        <v>0</v>
      </c>
      <c r="U288" s="127">
        <f>N288*O288*'1. Standard_Cost'!$E$15</f>
        <v>0</v>
      </c>
      <c r="V288" s="174"/>
      <c r="W288" s="174"/>
      <c r="X288" s="174"/>
      <c r="Y288" s="127">
        <f>+V288*((X288*'1. Standard_Cost'!$B$19)+(W288*X288*'1. Standard_Cost'!$C$19))</f>
        <v>0</v>
      </c>
      <c r="Z288" s="174"/>
      <c r="AA288" s="174"/>
      <c r="AB288" s="127">
        <f>+Z288*'1. Standard_Cost'!$B$23+AA288*'1. Standard_Cost'!$C$23</f>
        <v>0</v>
      </c>
      <c r="AC288" s="176"/>
      <c r="AD288" s="177"/>
      <c r="AE288" s="127">
        <f>SUM(AD288,AC288,AB288,Y288,U288,T288,S288,R288)*'1. Standard_Cost'!$B$31</f>
        <v>0</v>
      </c>
      <c r="AF288" s="127">
        <f>SUM(AE288,AD288,AC288,AB288,Y288,U288,T288,S288,R288)</f>
        <v>0</v>
      </c>
      <c r="AG288" s="174"/>
      <c r="AH288" s="174"/>
      <c r="AI288" s="174"/>
      <c r="AJ288" s="178"/>
      <c r="AK288" s="178"/>
      <c r="AL288" s="178"/>
      <c r="AM288" s="127">
        <f>AG288*'1. Standard_Cost'!$B$27+'Incremental_Cost Year 1'!AH288*'1. Standard_Cost'!$C$27+'Incremental_Cost Year 1'!AI288*'1. Standard_Cost'!$D$27+'Incremental_Cost Year 1'!AJ288+'Incremental_Cost Year 1'!AL288+AK288</f>
        <v>0</v>
      </c>
      <c r="AN288" s="127">
        <f>AM288*'1. Standard_Cost'!$C$31</f>
        <v>0</v>
      </c>
      <c r="AO288" s="178"/>
      <c r="AP288" s="256"/>
      <c r="AQ288" s="171">
        <f>L288+M288</f>
        <v>0</v>
      </c>
      <c r="AR288" s="171">
        <f>AF288</f>
        <v>0</v>
      </c>
      <c r="AS288" s="171">
        <f>AM288+AN288</f>
        <v>0</v>
      </c>
      <c r="AT288" s="171">
        <f>SUM(AQ288,AR288,AS288)</f>
        <v>0</v>
      </c>
      <c r="AU288" s="250">
        <v>0</v>
      </c>
      <c r="AV288" s="250"/>
      <c r="AW288" s="250"/>
      <c r="AX288" s="250"/>
      <c r="AY288" s="250"/>
      <c r="AZ288" s="250"/>
      <c r="BA288" s="250"/>
      <c r="BB288" s="251">
        <f t="shared" si="235"/>
        <v>0</v>
      </c>
      <c r="BC288" s="155"/>
      <c r="BD288" s="155"/>
      <c r="BE288" s="155"/>
      <c r="BF288" s="155"/>
    </row>
    <row r="289" spans="1:58" ht="31.5" x14ac:dyDescent="0.25">
      <c r="A289" s="153"/>
      <c r="B289" s="154"/>
      <c r="C289" s="163"/>
      <c r="D289" s="212" t="s">
        <v>388</v>
      </c>
      <c r="E289" s="212" t="s">
        <v>359</v>
      </c>
      <c r="F289" s="212">
        <v>2021</v>
      </c>
      <c r="G289" s="212">
        <v>2023</v>
      </c>
      <c r="H289" s="182" t="s">
        <v>360</v>
      </c>
      <c r="I289" s="273"/>
      <c r="J289" s="273"/>
      <c r="K289" s="273"/>
      <c r="L289" s="175">
        <f>SUM(L285:L288)</f>
        <v>0</v>
      </c>
      <c r="M289" s="175">
        <f>SUM(M285:M288)</f>
        <v>0</v>
      </c>
      <c r="N289" s="273"/>
      <c r="O289" s="273"/>
      <c r="P289" s="273"/>
      <c r="Q289" s="273"/>
      <c r="R289" s="175">
        <f>SUM(R285:R288)</f>
        <v>0</v>
      </c>
      <c r="S289" s="175">
        <f>SUM(S285:S288)</f>
        <v>0</v>
      </c>
      <c r="T289" s="175">
        <f>SUM(T285:T288)</f>
        <v>0</v>
      </c>
      <c r="U289" s="175">
        <f>SUM(U285:U288)</f>
        <v>0</v>
      </c>
      <c r="V289" s="273"/>
      <c r="W289" s="273"/>
      <c r="X289" s="273"/>
      <c r="Y289" s="175">
        <f>SUM(Y285:Y288)</f>
        <v>0</v>
      </c>
      <c r="Z289" s="175"/>
      <c r="AA289" s="273"/>
      <c r="AB289" s="175">
        <f>SUM(AB285:AB288)</f>
        <v>0</v>
      </c>
      <c r="AC289" s="175">
        <f>SUM(AC285:AC288)</f>
        <v>0</v>
      </c>
      <c r="AD289" s="175">
        <f>SUM(AD285:AD288)</f>
        <v>0</v>
      </c>
      <c r="AE289" s="175">
        <f>SUM(AE285:AE288)</f>
        <v>0</v>
      </c>
      <c r="AF289" s="175">
        <f>SUM(AF285:AF288)</f>
        <v>0</v>
      </c>
      <c r="AG289" s="273"/>
      <c r="AH289" s="273"/>
      <c r="AI289" s="273"/>
      <c r="AJ289" s="175">
        <f>SUM(AJ285:AJ288)</f>
        <v>0</v>
      </c>
      <c r="AK289" s="175">
        <f>SUM(AK285:AK288)</f>
        <v>0</v>
      </c>
      <c r="AL289" s="175">
        <f>SUM(AL285:AL288)</f>
        <v>0</v>
      </c>
      <c r="AM289" s="175">
        <f>SUM(AM285:AM288)</f>
        <v>0</v>
      </c>
      <c r="AN289" s="175">
        <f>SUM(AN285:AN288)</f>
        <v>0</v>
      </c>
      <c r="AO289" s="274"/>
      <c r="AP289" s="254"/>
      <c r="AQ289" s="175">
        <f t="shared" ref="AQ289:BB289" si="236">SUM(AQ285:AQ288)</f>
        <v>0</v>
      </c>
      <c r="AR289" s="175">
        <f t="shared" si="236"/>
        <v>0</v>
      </c>
      <c r="AS289" s="175">
        <f t="shared" si="236"/>
        <v>0</v>
      </c>
      <c r="AT289" s="175">
        <f t="shared" si="236"/>
        <v>0</v>
      </c>
      <c r="AU289" s="175">
        <f t="shared" si="236"/>
        <v>0</v>
      </c>
      <c r="AV289" s="175">
        <f t="shared" si="236"/>
        <v>0</v>
      </c>
      <c r="AW289" s="175">
        <f t="shared" si="236"/>
        <v>0</v>
      </c>
      <c r="AX289" s="175">
        <f t="shared" si="236"/>
        <v>0</v>
      </c>
      <c r="AY289" s="175">
        <f t="shared" si="236"/>
        <v>0</v>
      </c>
      <c r="AZ289" s="175">
        <f t="shared" si="236"/>
        <v>0</v>
      </c>
      <c r="BA289" s="175">
        <f t="shared" si="236"/>
        <v>0</v>
      </c>
      <c r="BB289" s="175">
        <f t="shared" si="236"/>
        <v>0</v>
      </c>
      <c r="BC289" s="153"/>
      <c r="BD289" s="153"/>
      <c r="BE289" s="153"/>
      <c r="BF289" s="153"/>
    </row>
    <row r="292" spans="1:58" x14ac:dyDescent="0.25">
      <c r="AQ292" s="239">
        <f>AQ5+AQ78+AQ150+AQ197+AQ244</f>
        <v>2699423477.7192855</v>
      </c>
      <c r="AR292" s="239">
        <f t="shared" ref="AR292:BB292" si="237">AR5+AR78+AR150+AR197+AR244</f>
        <v>6444763296.333334</v>
      </c>
      <c r="AS292" s="239">
        <f t="shared" si="237"/>
        <v>1250363667.3333333</v>
      </c>
      <c r="AT292" s="239">
        <f t="shared" si="237"/>
        <v>10394550441.38595</v>
      </c>
      <c r="AU292" s="239">
        <f t="shared" si="237"/>
        <v>9838666811.8449993</v>
      </c>
      <c r="AV292" s="239">
        <f t="shared" si="237"/>
        <v>45200000</v>
      </c>
      <c r="AW292" s="239">
        <f t="shared" si="237"/>
        <v>312097663</v>
      </c>
      <c r="AX292" s="239">
        <f t="shared" si="237"/>
        <v>3950000</v>
      </c>
      <c r="AY292" s="239">
        <f t="shared" si="237"/>
        <v>5506800</v>
      </c>
      <c r="AZ292" s="239">
        <f t="shared" si="237"/>
        <v>188445167</v>
      </c>
      <c r="BA292" s="239">
        <f t="shared" si="237"/>
        <v>0</v>
      </c>
      <c r="BB292" s="239">
        <f t="shared" si="237"/>
        <v>-683999.54095228517</v>
      </c>
    </row>
  </sheetData>
  <mergeCells count="38">
    <mergeCell ref="C259:E259"/>
    <mergeCell ref="C284:E284"/>
    <mergeCell ref="C277:E277"/>
    <mergeCell ref="B244:E244"/>
    <mergeCell ref="C245:E245"/>
    <mergeCell ref="C269:E269"/>
    <mergeCell ref="B197:E197"/>
    <mergeCell ref="C198:E198"/>
    <mergeCell ref="C134:E134"/>
    <mergeCell ref="C140:E140"/>
    <mergeCell ref="C93:E93"/>
    <mergeCell ref="C100:E100"/>
    <mergeCell ref="C106:E106"/>
    <mergeCell ref="C111:E111"/>
    <mergeCell ref="C118:E118"/>
    <mergeCell ref="C123:E123"/>
    <mergeCell ref="C213:E213"/>
    <mergeCell ref="C221:E221"/>
    <mergeCell ref="C226:E226"/>
    <mergeCell ref="C232:E232"/>
    <mergeCell ref="C238:E238"/>
    <mergeCell ref="B1:L1"/>
    <mergeCell ref="C16:E16"/>
    <mergeCell ref="C20:E20"/>
    <mergeCell ref="B78:E78"/>
    <mergeCell ref="C40:E40"/>
    <mergeCell ref="C45:E45"/>
    <mergeCell ref="C61:E61"/>
    <mergeCell ref="AQ2:BB2"/>
    <mergeCell ref="B2:E2"/>
    <mergeCell ref="B3:E3"/>
    <mergeCell ref="B5:E5"/>
    <mergeCell ref="C182:E182"/>
    <mergeCell ref="C163:E163"/>
    <mergeCell ref="B150:E150"/>
    <mergeCell ref="C151:E151"/>
    <mergeCell ref="C6:E6"/>
    <mergeCell ref="C79:E79"/>
  </mergeCells>
  <conditionalFormatting sqref="BB203 BB220:BB221 BB235:BB243 BB231:BB233 BB212:BB213 BB225:BB226">
    <cfRule type="cellIs" dxfId="30835" priority="375" operator="lessThan">
      <formula>0</formula>
    </cfRule>
    <cfRule type="cellIs" dxfId="30834" priority="376" operator="lessThan">
      <formula>-105575</formula>
    </cfRule>
  </conditionalFormatting>
  <conditionalFormatting sqref="BB220 BB212:BB213 BB235:BB238 BB240:BB243 BB225:BB226 BB231:BB233">
    <cfRule type="cellIs" dxfId="30833" priority="373" operator="lessThan">
      <formula>0</formula>
    </cfRule>
    <cfRule type="cellIs" dxfId="30832" priority="374" operator="lessThan">
      <formula>-105575</formula>
    </cfRule>
  </conditionalFormatting>
  <conditionalFormatting sqref="BB220:BB221 BB243 BB226 BB231:BB236 BB238:BB241 BB203 BB213">
    <cfRule type="cellIs" dxfId="30831" priority="371" operator="lessThan">
      <formula>0</formula>
    </cfRule>
    <cfRule type="cellIs" dxfId="30830" priority="372" operator="lessThan">
      <formula>-105575</formula>
    </cfRule>
  </conditionalFormatting>
  <conditionalFormatting sqref="BB235:BB243 BB231:BB233 BB220 BB212:BB213 BB225:BB226">
    <cfRule type="cellIs" dxfId="30829" priority="369" operator="lessThan">
      <formula>0</formula>
    </cfRule>
    <cfRule type="cellIs" dxfId="30828" priority="370" operator="lessThan">
      <formula>-105575</formula>
    </cfRule>
  </conditionalFormatting>
  <conditionalFormatting sqref="BB220:BB221 BB237:BB243 BB203 BB231:BB235 BB212:BB213 BB225:BB226">
    <cfRule type="cellIs" dxfId="30827" priority="367" operator="lessThan">
      <formula>0</formula>
    </cfRule>
    <cfRule type="cellIs" dxfId="30826" priority="368" operator="lessThan">
      <formula>-105575</formula>
    </cfRule>
  </conditionalFormatting>
  <conditionalFormatting sqref="BB220:BB221 BB237:BB240 BB242:BB243 BB225:BB226 BB231:BB235">
    <cfRule type="cellIs" dxfId="30825" priority="365" operator="lessThan">
      <formula>0</formula>
    </cfRule>
    <cfRule type="cellIs" dxfId="30824" priority="366" operator="lessThan">
      <formula>-105575</formula>
    </cfRule>
  </conditionalFormatting>
  <conditionalFormatting sqref="BB212 BB231 BB233:BB238 BB240:BB243 BB225">
    <cfRule type="cellIs" dxfId="30823" priority="363" operator="lessThan">
      <formula>0</formula>
    </cfRule>
    <cfRule type="cellIs" dxfId="30822" priority="364" operator="lessThan">
      <formula>-105575</formula>
    </cfRule>
  </conditionalFormatting>
  <conditionalFormatting sqref="BB237:BB243 BB231:BB235 BB220:BB221 BB225:BB226">
    <cfRule type="cellIs" dxfId="30821" priority="361" operator="lessThan">
      <formula>0</formula>
    </cfRule>
    <cfRule type="cellIs" dxfId="30820" priority="362" operator="lessThan">
      <formula>-105575</formula>
    </cfRule>
  </conditionalFormatting>
  <conditionalFormatting sqref="BB233:BB237 BB231 BB239:BB243">
    <cfRule type="cellIs" dxfId="30819" priority="359" operator="lessThan">
      <formula>0</formula>
    </cfRule>
    <cfRule type="cellIs" dxfId="30818" priority="360" operator="lessThan">
      <formula>-105575</formula>
    </cfRule>
  </conditionalFormatting>
  <conditionalFormatting sqref="BB233:BB237 BB231 BB239:BB243">
    <cfRule type="cellIs" dxfId="30817" priority="357" operator="lessThan">
      <formula>0</formula>
    </cfRule>
    <cfRule type="cellIs" dxfId="30816" priority="358" operator="lessThan">
      <formula>-105575</formula>
    </cfRule>
  </conditionalFormatting>
  <conditionalFormatting sqref="BB119:BB128 BB106:BB117 BB101:BB104 BB80:BB99">
    <cfRule type="cellIs" dxfId="30815" priority="353" operator="lessThan">
      <formula>0</formula>
    </cfRule>
    <cfRule type="cellIs" dxfId="30814" priority="354" operator="lessThan">
      <formula>-105575</formula>
    </cfRule>
  </conditionalFormatting>
  <conditionalFormatting sqref="BB130 BB132 BB134">
    <cfRule type="cellIs" dxfId="30813" priority="351" operator="lessThan">
      <formula>0</formula>
    </cfRule>
    <cfRule type="cellIs" dxfId="30812" priority="352" operator="lessThan">
      <formula>-105575</formula>
    </cfRule>
  </conditionalFormatting>
  <conditionalFormatting sqref="BB130 BB132 BB134">
    <cfRule type="cellIs" dxfId="30811" priority="349" operator="lessThan">
      <formula>0</formula>
    </cfRule>
    <cfRule type="cellIs" dxfId="30810" priority="350" operator="lessThan">
      <formula>-105575</formula>
    </cfRule>
  </conditionalFormatting>
  <conditionalFormatting sqref="BB129 BB131 BB133 BB135">
    <cfRule type="cellIs" dxfId="30809" priority="347" operator="lessThan">
      <formula>0</formula>
    </cfRule>
    <cfRule type="cellIs" dxfId="30808" priority="348" operator="lessThan">
      <formula>-105575</formula>
    </cfRule>
  </conditionalFormatting>
  <conditionalFormatting sqref="BB140 BB145 BB142:BB143 BB137:BB138">
    <cfRule type="cellIs" dxfId="30807" priority="337" operator="lessThan">
      <formula>0</formula>
    </cfRule>
    <cfRule type="cellIs" dxfId="30806" priority="338" operator="lessThan">
      <formula>-105575</formula>
    </cfRule>
  </conditionalFormatting>
  <conditionalFormatting sqref="BB149">
    <cfRule type="cellIs" dxfId="30805" priority="333" operator="lessThan">
      <formula>0</formula>
    </cfRule>
    <cfRule type="cellIs" dxfId="30804" priority="334" operator="lessThan">
      <formula>-105575</formula>
    </cfRule>
  </conditionalFormatting>
  <conditionalFormatting sqref="BB129:BB138 BB140:BB149">
    <cfRule type="cellIs" dxfId="30803" priority="331" operator="lessThan">
      <formula>0</formula>
    </cfRule>
    <cfRule type="cellIs" dxfId="30802" priority="332" operator="lessThan">
      <formula>-105575</formula>
    </cfRule>
  </conditionalFormatting>
  <conditionalFormatting sqref="BB86:BB87 BB89:BB91 BB141:BB149 BB124:BB133 BB107:BB110 BB112:BB117 BB119:BB122 BB135:BB138 BB101:BB104 BB80:BB84 BB94:BB99">
    <cfRule type="cellIs" dxfId="30801" priority="327" operator="lessThan">
      <formula>0</formula>
    </cfRule>
    <cfRule type="cellIs" dxfId="30800" priority="328" operator="lessThan">
      <formula>-105575</formula>
    </cfRule>
  </conditionalFormatting>
  <conditionalFormatting sqref="BB129 BB131 BB133 BB135">
    <cfRule type="cellIs" dxfId="30799" priority="345" operator="lessThan">
      <formula>0</formula>
    </cfRule>
    <cfRule type="cellIs" dxfId="30798" priority="346" operator="lessThan">
      <formula>-105575</formula>
    </cfRule>
  </conditionalFormatting>
  <conditionalFormatting sqref="BB146 BB144 BB141">
    <cfRule type="cellIs" dxfId="30797" priority="343" operator="lessThan">
      <formula>0</formula>
    </cfRule>
    <cfRule type="cellIs" dxfId="30796" priority="344" operator="lessThan">
      <formula>-105575</formula>
    </cfRule>
  </conditionalFormatting>
  <conditionalFormatting sqref="BB146 BB144 BB141">
    <cfRule type="cellIs" dxfId="30795" priority="341" operator="lessThan">
      <formula>0</formula>
    </cfRule>
    <cfRule type="cellIs" dxfId="30794" priority="342" operator="lessThan">
      <formula>-105575</formula>
    </cfRule>
  </conditionalFormatting>
  <conditionalFormatting sqref="BB140 BB145 BB142:BB143 BB137:BB138">
    <cfRule type="cellIs" dxfId="30793" priority="339" operator="lessThan">
      <formula>0</formula>
    </cfRule>
    <cfRule type="cellIs" dxfId="30792" priority="340" operator="lessThan">
      <formula>-105575</formula>
    </cfRule>
  </conditionalFormatting>
  <conditionalFormatting sqref="BB149">
    <cfRule type="cellIs" dxfId="30791" priority="335" operator="lessThan">
      <formula>0</formula>
    </cfRule>
    <cfRule type="cellIs" dxfId="30790" priority="336" operator="lessThan">
      <formula>-105575</formula>
    </cfRule>
  </conditionalFormatting>
  <conditionalFormatting sqref="BB86:BB87 BB89:BB91 BB141:BB149 BB124:BB133 BB107:BB110 BB112:BB117 BB119:BB122 BB135:BB138 BB101:BB104 BB80:BB84 BB94:BB99">
    <cfRule type="cellIs" dxfId="30789" priority="329" operator="lessThan">
      <formula>0</formula>
    </cfRule>
    <cfRule type="cellIs" dxfId="30788" priority="330" operator="lessThan">
      <formula>-105575</formula>
    </cfRule>
  </conditionalFormatting>
  <conditionalFormatting sqref="BB306:BB309 BB311:BB325 BB327:BB330 BB332:BB341 BB344:BB347 BB349:BB353 BB355:BB358 BB360:BB384 BB386:BB389 BB392:BB395 BB397:BB411 BB413:BB416 BB418:BB432 BB434:BB437 BB439:BB453 BB455:BB458 BB460:BB469 BB290:BB291 BB293:BB304 BB7:BB10 BB12:BB14 BB17:BB18 BB21:BB24 BB26:BB28 BB30:BB36 BB38 BB41:BB43 BB46:BB49 BB51:BB55 BB57:BB59 BB62:BB76">
    <cfRule type="cellIs" dxfId="30787" priority="395" operator="lessThan">
      <formula>0</formula>
    </cfRule>
    <cfRule type="cellIs" dxfId="30786" priority="396" operator="lessThan">
      <formula>-105575</formula>
    </cfRule>
  </conditionalFormatting>
  <conditionalFormatting sqref="BB41">
    <cfRule type="cellIs" dxfId="30785" priority="393" operator="lessThan">
      <formula>0</formula>
    </cfRule>
    <cfRule type="cellIs" dxfId="30784" priority="394" operator="lessThan">
      <formula>-105575</formula>
    </cfRule>
  </conditionalFormatting>
  <conditionalFormatting sqref="BB152:BB155">
    <cfRule type="cellIs" dxfId="30783" priority="325" operator="lessThan">
      <formula>0</formula>
    </cfRule>
    <cfRule type="cellIs" dxfId="30782" priority="326" operator="lessThan">
      <formula>-105575</formula>
    </cfRule>
  </conditionalFormatting>
  <conditionalFormatting sqref="BB152:BB155">
    <cfRule type="cellIs" dxfId="30781" priority="321" operator="lessThan">
      <formula>0</formula>
    </cfRule>
    <cfRule type="cellIs" dxfId="30780" priority="322" operator="lessThan">
      <formula>-105575</formula>
    </cfRule>
  </conditionalFormatting>
  <conditionalFormatting sqref="BB152:BB155">
    <cfRule type="cellIs" dxfId="30779" priority="323" operator="lessThan">
      <formula>0</formula>
    </cfRule>
    <cfRule type="cellIs" dxfId="30778" priority="324" operator="lessThan">
      <formula>-105575</formula>
    </cfRule>
  </conditionalFormatting>
  <conditionalFormatting sqref="BB157:BB158">
    <cfRule type="cellIs" dxfId="30777" priority="319" operator="lessThan">
      <formula>0</formula>
    </cfRule>
    <cfRule type="cellIs" dxfId="30776" priority="320" operator="lessThan">
      <formula>-105575</formula>
    </cfRule>
  </conditionalFormatting>
  <conditionalFormatting sqref="BB157:BB158">
    <cfRule type="cellIs" dxfId="30775" priority="315" operator="lessThan">
      <formula>0</formula>
    </cfRule>
    <cfRule type="cellIs" dxfId="30774" priority="316" operator="lessThan">
      <formula>-105575</formula>
    </cfRule>
  </conditionalFormatting>
  <conditionalFormatting sqref="BB157:BB158">
    <cfRule type="cellIs" dxfId="30773" priority="317" operator="lessThan">
      <formula>0</formula>
    </cfRule>
    <cfRule type="cellIs" dxfId="30772" priority="318" operator="lessThan">
      <formula>-105575</formula>
    </cfRule>
  </conditionalFormatting>
  <conditionalFormatting sqref="BB160:BB161">
    <cfRule type="cellIs" dxfId="30771" priority="313" operator="lessThan">
      <formula>0</formula>
    </cfRule>
    <cfRule type="cellIs" dxfId="30770" priority="314" operator="lessThan">
      <formula>-105575</formula>
    </cfRule>
  </conditionalFormatting>
  <conditionalFormatting sqref="BB160:BB161">
    <cfRule type="cellIs" dxfId="30769" priority="309" operator="lessThan">
      <formula>0</formula>
    </cfRule>
    <cfRule type="cellIs" dxfId="30768" priority="310" operator="lessThan">
      <formula>-105575</formula>
    </cfRule>
  </conditionalFormatting>
  <conditionalFormatting sqref="BB160:BB161">
    <cfRule type="cellIs" dxfId="30767" priority="311" operator="lessThan">
      <formula>0</formula>
    </cfRule>
    <cfRule type="cellIs" dxfId="30766" priority="312" operator="lessThan">
      <formula>-105575</formula>
    </cfRule>
  </conditionalFormatting>
  <conditionalFormatting sqref="BB164:BB167">
    <cfRule type="cellIs" dxfId="30765" priority="307" operator="lessThan">
      <formula>0</formula>
    </cfRule>
    <cfRule type="cellIs" dxfId="30764" priority="308" operator="lessThan">
      <formula>-105575</formula>
    </cfRule>
  </conditionalFormatting>
  <conditionalFormatting sqref="BB164:BB167">
    <cfRule type="cellIs" dxfId="30763" priority="303" operator="lessThan">
      <formula>0</formula>
    </cfRule>
    <cfRule type="cellIs" dxfId="30762" priority="304" operator="lessThan">
      <formula>-105575</formula>
    </cfRule>
  </conditionalFormatting>
  <conditionalFormatting sqref="BB164:BB167">
    <cfRule type="cellIs" dxfId="30761" priority="305" operator="lessThan">
      <formula>0</formula>
    </cfRule>
    <cfRule type="cellIs" dxfId="30760" priority="306" operator="lessThan">
      <formula>-105575</formula>
    </cfRule>
  </conditionalFormatting>
  <conditionalFormatting sqref="BB169:BB177">
    <cfRule type="cellIs" dxfId="30759" priority="301" operator="lessThan">
      <formula>0</formula>
    </cfRule>
    <cfRule type="cellIs" dxfId="30758" priority="302" operator="lessThan">
      <formula>-105575</formula>
    </cfRule>
  </conditionalFormatting>
  <conditionalFormatting sqref="BB169:BB177">
    <cfRule type="cellIs" dxfId="30757" priority="297" operator="lessThan">
      <formula>0</formula>
    </cfRule>
    <cfRule type="cellIs" dxfId="30756" priority="298" operator="lessThan">
      <formula>-105575</formula>
    </cfRule>
  </conditionalFormatting>
  <conditionalFormatting sqref="BB169:BB177">
    <cfRule type="cellIs" dxfId="30755" priority="299" operator="lessThan">
      <formula>0</formula>
    </cfRule>
    <cfRule type="cellIs" dxfId="30754" priority="300" operator="lessThan">
      <formula>-105575</formula>
    </cfRule>
  </conditionalFormatting>
  <conditionalFormatting sqref="BB179:BB180">
    <cfRule type="cellIs" dxfId="30753" priority="295" operator="lessThan">
      <formula>0</formula>
    </cfRule>
    <cfRule type="cellIs" dxfId="30752" priority="296" operator="lessThan">
      <formula>-105575</formula>
    </cfRule>
  </conditionalFormatting>
  <conditionalFormatting sqref="BB179:BB180">
    <cfRule type="cellIs" dxfId="30751" priority="291" operator="lessThan">
      <formula>0</formula>
    </cfRule>
    <cfRule type="cellIs" dxfId="30750" priority="292" operator="lessThan">
      <formula>-105575</formula>
    </cfRule>
  </conditionalFormatting>
  <conditionalFormatting sqref="BB179:BB180">
    <cfRule type="cellIs" dxfId="30749" priority="293" operator="lessThan">
      <formula>0</formula>
    </cfRule>
    <cfRule type="cellIs" dxfId="30748" priority="294" operator="lessThan">
      <formula>-105575</formula>
    </cfRule>
  </conditionalFormatting>
  <conditionalFormatting sqref="BB183:BB189">
    <cfRule type="cellIs" dxfId="30747" priority="289" operator="lessThan">
      <formula>0</formula>
    </cfRule>
    <cfRule type="cellIs" dxfId="30746" priority="290" operator="lessThan">
      <formula>-105575</formula>
    </cfRule>
  </conditionalFormatting>
  <conditionalFormatting sqref="BB183:BB189">
    <cfRule type="cellIs" dxfId="30745" priority="285" operator="lessThan">
      <formula>0</formula>
    </cfRule>
    <cfRule type="cellIs" dxfId="30744" priority="286" operator="lessThan">
      <formula>-105575</formula>
    </cfRule>
  </conditionalFormatting>
  <conditionalFormatting sqref="BB183:BB189">
    <cfRule type="cellIs" dxfId="30743" priority="287" operator="lessThan">
      <formula>0</formula>
    </cfRule>
    <cfRule type="cellIs" dxfId="30742" priority="288" operator="lessThan">
      <formula>-105575</formula>
    </cfRule>
  </conditionalFormatting>
  <conditionalFormatting sqref="BB191:BB192">
    <cfRule type="cellIs" dxfId="30741" priority="283" operator="lessThan">
      <formula>0</formula>
    </cfRule>
    <cfRule type="cellIs" dxfId="30740" priority="284" operator="lessThan">
      <formula>-105575</formula>
    </cfRule>
  </conditionalFormatting>
  <conditionalFormatting sqref="BB191:BB192">
    <cfRule type="cellIs" dxfId="30739" priority="279" operator="lessThan">
      <formula>0</formula>
    </cfRule>
    <cfRule type="cellIs" dxfId="30738" priority="280" operator="lessThan">
      <formula>-105575</formula>
    </cfRule>
  </conditionalFormatting>
  <conditionalFormatting sqref="BB191:BB192">
    <cfRule type="cellIs" dxfId="30737" priority="281" operator="lessThan">
      <formula>0</formula>
    </cfRule>
    <cfRule type="cellIs" dxfId="30736" priority="282" operator="lessThan">
      <formula>-105575</formula>
    </cfRule>
  </conditionalFormatting>
  <conditionalFormatting sqref="BB194:BB195">
    <cfRule type="cellIs" dxfId="30735" priority="277" operator="lessThan">
      <formula>0</formula>
    </cfRule>
    <cfRule type="cellIs" dxfId="30734" priority="278" operator="lessThan">
      <formula>-105575</formula>
    </cfRule>
  </conditionalFormatting>
  <conditionalFormatting sqref="BB194:BB195">
    <cfRule type="cellIs" dxfId="30733" priority="273" operator="lessThan">
      <formula>0</formula>
    </cfRule>
    <cfRule type="cellIs" dxfId="30732" priority="274" operator="lessThan">
      <formula>-105575</formula>
    </cfRule>
  </conditionalFormatting>
  <conditionalFormatting sqref="BB194:BB195">
    <cfRule type="cellIs" dxfId="30731" priority="275" operator="lessThan">
      <formula>0</formula>
    </cfRule>
    <cfRule type="cellIs" dxfId="30730" priority="276" operator="lessThan">
      <formula>-105575</formula>
    </cfRule>
  </conditionalFormatting>
  <conditionalFormatting sqref="BB199:BB202">
    <cfRule type="cellIs" dxfId="30729" priority="271" operator="lessThan">
      <formula>0</formula>
    </cfRule>
    <cfRule type="cellIs" dxfId="30728" priority="272" operator="lessThan">
      <formula>-105575</formula>
    </cfRule>
  </conditionalFormatting>
  <conditionalFormatting sqref="BB199:BB202">
    <cfRule type="cellIs" dxfId="30727" priority="267" operator="lessThan">
      <formula>0</formula>
    </cfRule>
    <cfRule type="cellIs" dxfId="30726" priority="268" operator="lessThan">
      <formula>-105575</formula>
    </cfRule>
  </conditionalFormatting>
  <conditionalFormatting sqref="BB199:BB202">
    <cfRule type="cellIs" dxfId="30725" priority="269" operator="lessThan">
      <formula>0</formula>
    </cfRule>
    <cfRule type="cellIs" dxfId="30724" priority="270" operator="lessThan">
      <formula>-105575</formula>
    </cfRule>
  </conditionalFormatting>
  <conditionalFormatting sqref="BB204:BB208">
    <cfRule type="cellIs" dxfId="30723" priority="265" operator="lessThan">
      <formula>0</formula>
    </cfRule>
    <cfRule type="cellIs" dxfId="30722" priority="266" operator="lessThan">
      <formula>-105575</formula>
    </cfRule>
  </conditionalFormatting>
  <conditionalFormatting sqref="BB204:BB208">
    <cfRule type="cellIs" dxfId="30721" priority="261" operator="lessThan">
      <formula>0</formula>
    </cfRule>
    <cfRule type="cellIs" dxfId="30720" priority="262" operator="lessThan">
      <formula>-105575</formula>
    </cfRule>
  </conditionalFormatting>
  <conditionalFormatting sqref="BB204:BB208">
    <cfRule type="cellIs" dxfId="30719" priority="263" operator="lessThan">
      <formula>0</formula>
    </cfRule>
    <cfRule type="cellIs" dxfId="30718" priority="264" operator="lessThan">
      <formula>-105575</formula>
    </cfRule>
  </conditionalFormatting>
  <conditionalFormatting sqref="BB210:BB211">
    <cfRule type="cellIs" dxfId="30717" priority="259" operator="lessThan">
      <formula>0</formula>
    </cfRule>
    <cfRule type="cellIs" dxfId="30716" priority="260" operator="lessThan">
      <formula>-105575</formula>
    </cfRule>
  </conditionalFormatting>
  <conditionalFormatting sqref="BB210:BB211">
    <cfRule type="cellIs" dxfId="30715" priority="255" operator="lessThan">
      <formula>0</formula>
    </cfRule>
    <cfRule type="cellIs" dxfId="30714" priority="256" operator="lessThan">
      <formula>-105575</formula>
    </cfRule>
  </conditionalFormatting>
  <conditionalFormatting sqref="BB210:BB211">
    <cfRule type="cellIs" dxfId="30713" priority="257" operator="lessThan">
      <formula>0</formula>
    </cfRule>
    <cfRule type="cellIs" dxfId="30712" priority="258" operator="lessThan">
      <formula>-105575</formula>
    </cfRule>
  </conditionalFormatting>
  <conditionalFormatting sqref="BB214:BB219">
    <cfRule type="cellIs" dxfId="30711" priority="253" operator="lessThan">
      <formula>0</formula>
    </cfRule>
    <cfRule type="cellIs" dxfId="30710" priority="254" operator="lessThan">
      <formula>-105575</formula>
    </cfRule>
  </conditionalFormatting>
  <conditionalFormatting sqref="BB214:BB219">
    <cfRule type="cellIs" dxfId="30709" priority="249" operator="lessThan">
      <formula>0</formula>
    </cfRule>
    <cfRule type="cellIs" dxfId="30708" priority="250" operator="lessThan">
      <formula>-105575</formula>
    </cfRule>
  </conditionalFormatting>
  <conditionalFormatting sqref="BB214:BB219">
    <cfRule type="cellIs" dxfId="30707" priority="251" operator="lessThan">
      <formula>0</formula>
    </cfRule>
    <cfRule type="cellIs" dxfId="30706" priority="252" operator="lessThan">
      <formula>-105575</formula>
    </cfRule>
  </conditionalFormatting>
  <conditionalFormatting sqref="BB222:BB224">
    <cfRule type="cellIs" dxfId="30705" priority="247" operator="lessThan">
      <formula>0</formula>
    </cfRule>
    <cfRule type="cellIs" dxfId="30704" priority="248" operator="lessThan">
      <formula>-105575</formula>
    </cfRule>
  </conditionalFormatting>
  <conditionalFormatting sqref="BB222:BB224">
    <cfRule type="cellIs" dxfId="30703" priority="243" operator="lessThan">
      <formula>0</formula>
    </cfRule>
    <cfRule type="cellIs" dxfId="30702" priority="244" operator="lessThan">
      <formula>-105575</formula>
    </cfRule>
  </conditionalFormatting>
  <conditionalFormatting sqref="BB222:BB224">
    <cfRule type="cellIs" dxfId="30701" priority="245" operator="lessThan">
      <formula>0</formula>
    </cfRule>
    <cfRule type="cellIs" dxfId="30700" priority="246" operator="lessThan">
      <formula>-105575</formula>
    </cfRule>
  </conditionalFormatting>
  <conditionalFormatting sqref="BB227:BB230">
    <cfRule type="cellIs" dxfId="30699" priority="241" operator="lessThan">
      <formula>0</formula>
    </cfRule>
    <cfRule type="cellIs" dxfId="30698" priority="242" operator="lessThan">
      <formula>-105575</formula>
    </cfRule>
  </conditionalFormatting>
  <conditionalFormatting sqref="BB227:BB230">
    <cfRule type="cellIs" dxfId="30697" priority="237" operator="lessThan">
      <formula>0</formula>
    </cfRule>
    <cfRule type="cellIs" dxfId="30696" priority="238" operator="lessThan">
      <formula>-105575</formula>
    </cfRule>
  </conditionalFormatting>
  <conditionalFormatting sqref="BB227:BB230">
    <cfRule type="cellIs" dxfId="30695" priority="239" operator="lessThan">
      <formula>0</formula>
    </cfRule>
    <cfRule type="cellIs" dxfId="30694" priority="240" operator="lessThan">
      <formula>-105575</formula>
    </cfRule>
  </conditionalFormatting>
  <conditionalFormatting sqref="BB246:BB249">
    <cfRule type="cellIs" dxfId="30693" priority="235" operator="lessThan">
      <formula>0</formula>
    </cfRule>
    <cfRule type="cellIs" dxfId="30692" priority="236" operator="lessThan">
      <formula>-105575</formula>
    </cfRule>
  </conditionalFormatting>
  <conditionalFormatting sqref="BB246:BB249">
    <cfRule type="cellIs" dxfId="30691" priority="233" operator="lessThan">
      <formula>0</formula>
    </cfRule>
    <cfRule type="cellIs" dxfId="30690" priority="234" operator="lessThan">
      <formula>-105575</formula>
    </cfRule>
  </conditionalFormatting>
  <conditionalFormatting sqref="BB246:BB249">
    <cfRule type="cellIs" dxfId="30689" priority="231" operator="lessThan">
      <formula>0</formula>
    </cfRule>
    <cfRule type="cellIs" dxfId="30688" priority="232" operator="lessThan">
      <formula>-105575</formula>
    </cfRule>
  </conditionalFormatting>
  <conditionalFormatting sqref="BB246:BB249">
    <cfRule type="cellIs" dxfId="30687" priority="229" operator="lessThan">
      <formula>0</formula>
    </cfRule>
    <cfRule type="cellIs" dxfId="30686" priority="230" operator="lessThan">
      <formula>-105575</formula>
    </cfRule>
  </conditionalFormatting>
  <conditionalFormatting sqref="BB246:BB249">
    <cfRule type="cellIs" dxfId="30685" priority="227" operator="lessThan">
      <formula>0</formula>
    </cfRule>
    <cfRule type="cellIs" dxfId="30684" priority="228" operator="lessThan">
      <formula>-105575</formula>
    </cfRule>
  </conditionalFormatting>
  <conditionalFormatting sqref="BB246:BB249">
    <cfRule type="cellIs" dxfId="30683" priority="225" operator="lessThan">
      <formula>0</formula>
    </cfRule>
    <cfRule type="cellIs" dxfId="30682" priority="226" operator="lessThan">
      <formula>-105575</formula>
    </cfRule>
  </conditionalFormatting>
  <conditionalFormatting sqref="BB246:BB249">
    <cfRule type="cellIs" dxfId="30681" priority="223" operator="lessThan">
      <formula>0</formula>
    </cfRule>
    <cfRule type="cellIs" dxfId="30680" priority="224" operator="lessThan">
      <formula>-105575</formula>
    </cfRule>
  </conditionalFormatting>
  <conditionalFormatting sqref="BB246:BB249">
    <cfRule type="cellIs" dxfId="30679" priority="221" operator="lessThan">
      <formula>0</formula>
    </cfRule>
    <cfRule type="cellIs" dxfId="30678" priority="222" operator="lessThan">
      <formula>-105575</formula>
    </cfRule>
  </conditionalFormatting>
  <conditionalFormatting sqref="BB246:BB249">
    <cfRule type="cellIs" dxfId="30677" priority="219" operator="lessThan">
      <formula>0</formula>
    </cfRule>
    <cfRule type="cellIs" dxfId="30676" priority="220" operator="lessThan">
      <formula>-105575</formula>
    </cfRule>
  </conditionalFormatting>
  <conditionalFormatting sqref="BB251:BB253">
    <cfRule type="cellIs" dxfId="30675" priority="217" operator="lessThan">
      <formula>0</formula>
    </cfRule>
    <cfRule type="cellIs" dxfId="30674" priority="218" operator="lessThan">
      <formula>-105575</formula>
    </cfRule>
  </conditionalFormatting>
  <conditionalFormatting sqref="BB251:BB253">
    <cfRule type="cellIs" dxfId="30673" priority="215" operator="lessThan">
      <formula>0</formula>
    </cfRule>
    <cfRule type="cellIs" dxfId="30672" priority="216" operator="lessThan">
      <formula>-105575</formula>
    </cfRule>
  </conditionalFormatting>
  <conditionalFormatting sqref="BB251:BB253">
    <cfRule type="cellIs" dxfId="30671" priority="213" operator="lessThan">
      <formula>0</formula>
    </cfRule>
    <cfRule type="cellIs" dxfId="30670" priority="214" operator="lessThan">
      <formula>-105575</formula>
    </cfRule>
  </conditionalFormatting>
  <conditionalFormatting sqref="BB251:BB253">
    <cfRule type="cellIs" dxfId="30669" priority="211" operator="lessThan">
      <formula>0</formula>
    </cfRule>
    <cfRule type="cellIs" dxfId="30668" priority="212" operator="lessThan">
      <formula>-105575</formula>
    </cfRule>
  </conditionalFormatting>
  <conditionalFormatting sqref="BB251:BB253">
    <cfRule type="cellIs" dxfId="30667" priority="209" operator="lessThan">
      <formula>0</formula>
    </cfRule>
    <cfRule type="cellIs" dxfId="30666" priority="210" operator="lessThan">
      <formula>-105575</formula>
    </cfRule>
  </conditionalFormatting>
  <conditionalFormatting sqref="BB251:BB253">
    <cfRule type="cellIs" dxfId="30665" priority="207" operator="lessThan">
      <formula>0</formula>
    </cfRule>
    <cfRule type="cellIs" dxfId="30664" priority="208" operator="lessThan">
      <formula>-105575</formula>
    </cfRule>
  </conditionalFormatting>
  <conditionalFormatting sqref="BB251:BB253">
    <cfRule type="cellIs" dxfId="30663" priority="205" operator="lessThan">
      <formula>0</formula>
    </cfRule>
    <cfRule type="cellIs" dxfId="30662" priority="206" operator="lessThan">
      <formula>-105575</formula>
    </cfRule>
  </conditionalFormatting>
  <conditionalFormatting sqref="BB251:BB253">
    <cfRule type="cellIs" dxfId="30661" priority="203" operator="lessThan">
      <formula>0</formula>
    </cfRule>
    <cfRule type="cellIs" dxfId="30660" priority="204" operator="lessThan">
      <formula>-105575</formula>
    </cfRule>
  </conditionalFormatting>
  <conditionalFormatting sqref="BB251:BB253">
    <cfRule type="cellIs" dxfId="30659" priority="201" operator="lessThan">
      <formula>0</formula>
    </cfRule>
    <cfRule type="cellIs" dxfId="30658" priority="202" operator="lessThan">
      <formula>-105575</formula>
    </cfRule>
  </conditionalFormatting>
  <conditionalFormatting sqref="BB255:BB257">
    <cfRule type="cellIs" dxfId="30657" priority="199" operator="lessThan">
      <formula>0</formula>
    </cfRule>
    <cfRule type="cellIs" dxfId="30656" priority="200" operator="lessThan">
      <formula>-105575</formula>
    </cfRule>
  </conditionalFormatting>
  <conditionalFormatting sqref="BB255:BB257">
    <cfRule type="cellIs" dxfId="30655" priority="197" operator="lessThan">
      <formula>0</formula>
    </cfRule>
    <cfRule type="cellIs" dxfId="30654" priority="198" operator="lessThan">
      <formula>-105575</formula>
    </cfRule>
  </conditionalFormatting>
  <conditionalFormatting sqref="BB255:BB257">
    <cfRule type="cellIs" dxfId="30653" priority="195" operator="lessThan">
      <formula>0</formula>
    </cfRule>
    <cfRule type="cellIs" dxfId="30652" priority="196" operator="lessThan">
      <formula>-105575</formula>
    </cfRule>
  </conditionalFormatting>
  <conditionalFormatting sqref="BB255:BB257">
    <cfRule type="cellIs" dxfId="30651" priority="193" operator="lessThan">
      <formula>0</formula>
    </cfRule>
    <cfRule type="cellIs" dxfId="30650" priority="194" operator="lessThan">
      <formula>-105575</formula>
    </cfRule>
  </conditionalFormatting>
  <conditionalFormatting sqref="BB255:BB257">
    <cfRule type="cellIs" dxfId="30649" priority="191" operator="lessThan">
      <formula>0</formula>
    </cfRule>
    <cfRule type="cellIs" dxfId="30648" priority="192" operator="lessThan">
      <formula>-105575</formula>
    </cfRule>
  </conditionalFormatting>
  <conditionalFormatting sqref="BB255:BB257">
    <cfRule type="cellIs" dxfId="30647" priority="189" operator="lessThan">
      <formula>0</formula>
    </cfRule>
    <cfRule type="cellIs" dxfId="30646" priority="190" operator="lessThan">
      <formula>-105575</formula>
    </cfRule>
  </conditionalFormatting>
  <conditionalFormatting sqref="BB255:BB257">
    <cfRule type="cellIs" dxfId="30645" priority="187" operator="lessThan">
      <formula>0</formula>
    </cfRule>
    <cfRule type="cellIs" dxfId="30644" priority="188" operator="lessThan">
      <formula>-105575</formula>
    </cfRule>
  </conditionalFormatting>
  <conditionalFormatting sqref="BB255:BB257">
    <cfRule type="cellIs" dxfId="30643" priority="185" operator="lessThan">
      <formula>0</formula>
    </cfRule>
    <cfRule type="cellIs" dxfId="30642" priority="186" operator="lessThan">
      <formula>-105575</formula>
    </cfRule>
  </conditionalFormatting>
  <conditionalFormatting sqref="BB255:BB257">
    <cfRule type="cellIs" dxfId="30641" priority="183" operator="lessThan">
      <formula>0</formula>
    </cfRule>
    <cfRule type="cellIs" dxfId="30640" priority="184" operator="lessThan">
      <formula>-105575</formula>
    </cfRule>
  </conditionalFormatting>
  <conditionalFormatting sqref="BB260:BB262">
    <cfRule type="cellIs" dxfId="30639" priority="181" operator="lessThan">
      <formula>0</formula>
    </cfRule>
    <cfRule type="cellIs" dxfId="30638" priority="182" operator="lessThan">
      <formula>-105575</formula>
    </cfRule>
  </conditionalFormatting>
  <conditionalFormatting sqref="BB260:BB262">
    <cfRule type="cellIs" dxfId="30637" priority="179" operator="lessThan">
      <formula>0</formula>
    </cfRule>
    <cfRule type="cellIs" dxfId="30636" priority="180" operator="lessThan">
      <formula>-105575</formula>
    </cfRule>
  </conditionalFormatting>
  <conditionalFormatting sqref="BB260:BB262">
    <cfRule type="cellIs" dxfId="30635" priority="177" operator="lessThan">
      <formula>0</formula>
    </cfRule>
    <cfRule type="cellIs" dxfId="30634" priority="178" operator="lessThan">
      <formula>-105575</formula>
    </cfRule>
  </conditionalFormatting>
  <conditionalFormatting sqref="BB260:BB262">
    <cfRule type="cellIs" dxfId="30633" priority="175" operator="lessThan">
      <formula>0</formula>
    </cfRule>
    <cfRule type="cellIs" dxfId="30632" priority="176" operator="lessThan">
      <formula>-105575</formula>
    </cfRule>
  </conditionalFormatting>
  <conditionalFormatting sqref="BB260:BB262">
    <cfRule type="cellIs" dxfId="30631" priority="173" operator="lessThan">
      <formula>0</formula>
    </cfRule>
    <cfRule type="cellIs" dxfId="30630" priority="174" operator="lessThan">
      <formula>-105575</formula>
    </cfRule>
  </conditionalFormatting>
  <conditionalFormatting sqref="BB260:BB262">
    <cfRule type="cellIs" dxfId="30629" priority="171" operator="lessThan">
      <formula>0</formula>
    </cfRule>
    <cfRule type="cellIs" dxfId="30628" priority="172" operator="lessThan">
      <formula>-105575</formula>
    </cfRule>
  </conditionalFormatting>
  <conditionalFormatting sqref="BB260:BB262">
    <cfRule type="cellIs" dxfId="30627" priority="169" operator="lessThan">
      <formula>0</formula>
    </cfRule>
    <cfRule type="cellIs" dxfId="30626" priority="170" operator="lessThan">
      <formula>-105575</formula>
    </cfRule>
  </conditionalFormatting>
  <conditionalFormatting sqref="BB260:BB262">
    <cfRule type="cellIs" dxfId="30625" priority="167" operator="lessThan">
      <formula>0</formula>
    </cfRule>
    <cfRule type="cellIs" dxfId="30624" priority="168" operator="lessThan">
      <formula>-105575</formula>
    </cfRule>
  </conditionalFormatting>
  <conditionalFormatting sqref="BB260:BB262">
    <cfRule type="cellIs" dxfId="30623" priority="165" operator="lessThan">
      <formula>0</formula>
    </cfRule>
    <cfRule type="cellIs" dxfId="30622" priority="166" operator="lessThan">
      <formula>-105575</formula>
    </cfRule>
  </conditionalFormatting>
  <conditionalFormatting sqref="BB264:BB267">
    <cfRule type="cellIs" dxfId="30621" priority="163" operator="lessThan">
      <formula>0</formula>
    </cfRule>
    <cfRule type="cellIs" dxfId="30620" priority="164" operator="lessThan">
      <formula>-105575</formula>
    </cfRule>
  </conditionalFormatting>
  <conditionalFormatting sqref="BB264:BB267">
    <cfRule type="cellIs" dxfId="30619" priority="161" operator="lessThan">
      <formula>0</formula>
    </cfRule>
    <cfRule type="cellIs" dxfId="30618" priority="162" operator="lessThan">
      <formula>-105575</formula>
    </cfRule>
  </conditionalFormatting>
  <conditionalFormatting sqref="BB264:BB267">
    <cfRule type="cellIs" dxfId="30617" priority="159" operator="lessThan">
      <formula>0</formula>
    </cfRule>
    <cfRule type="cellIs" dxfId="30616" priority="160" operator="lessThan">
      <formula>-105575</formula>
    </cfRule>
  </conditionalFormatting>
  <conditionalFormatting sqref="BB264:BB267">
    <cfRule type="cellIs" dxfId="30615" priority="157" operator="lessThan">
      <formula>0</formula>
    </cfRule>
    <cfRule type="cellIs" dxfId="30614" priority="158" operator="lessThan">
      <formula>-105575</formula>
    </cfRule>
  </conditionalFormatting>
  <conditionalFormatting sqref="BB264:BB267">
    <cfRule type="cellIs" dxfId="30613" priority="155" operator="lessThan">
      <formula>0</formula>
    </cfRule>
    <cfRule type="cellIs" dxfId="30612" priority="156" operator="lessThan">
      <formula>-105575</formula>
    </cfRule>
  </conditionalFormatting>
  <conditionalFormatting sqref="BB264:BB267">
    <cfRule type="cellIs" dxfId="30611" priority="153" operator="lessThan">
      <formula>0</formula>
    </cfRule>
    <cfRule type="cellIs" dxfId="30610" priority="154" operator="lessThan">
      <formula>-105575</formula>
    </cfRule>
  </conditionalFormatting>
  <conditionalFormatting sqref="BB264:BB267">
    <cfRule type="cellIs" dxfId="30609" priority="151" operator="lessThan">
      <formula>0</formula>
    </cfRule>
    <cfRule type="cellIs" dxfId="30608" priority="152" operator="lessThan">
      <formula>-105575</formula>
    </cfRule>
  </conditionalFormatting>
  <conditionalFormatting sqref="BB264:BB267">
    <cfRule type="cellIs" dxfId="30607" priority="149" operator="lessThan">
      <formula>0</formula>
    </cfRule>
    <cfRule type="cellIs" dxfId="30606" priority="150" operator="lessThan">
      <formula>-105575</formula>
    </cfRule>
  </conditionalFormatting>
  <conditionalFormatting sqref="BB264:BB267">
    <cfRule type="cellIs" dxfId="30605" priority="147" operator="lessThan">
      <formula>0</formula>
    </cfRule>
    <cfRule type="cellIs" dxfId="30604" priority="148" operator="lessThan">
      <formula>-105575</formula>
    </cfRule>
  </conditionalFormatting>
  <conditionalFormatting sqref="BB270:BB272">
    <cfRule type="cellIs" dxfId="30603" priority="145" operator="lessThan">
      <formula>0</formula>
    </cfRule>
    <cfRule type="cellIs" dxfId="30602" priority="146" operator="lessThan">
      <formula>-105575</formula>
    </cfRule>
  </conditionalFormatting>
  <conditionalFormatting sqref="BB270:BB272">
    <cfRule type="cellIs" dxfId="30601" priority="143" operator="lessThan">
      <formula>0</formula>
    </cfRule>
    <cfRule type="cellIs" dxfId="30600" priority="144" operator="lessThan">
      <formula>-105575</formula>
    </cfRule>
  </conditionalFormatting>
  <conditionalFormatting sqref="BB270:BB272">
    <cfRule type="cellIs" dxfId="30599" priority="141" operator="lessThan">
      <formula>0</formula>
    </cfRule>
    <cfRule type="cellIs" dxfId="30598" priority="142" operator="lessThan">
      <formula>-105575</formula>
    </cfRule>
  </conditionalFormatting>
  <conditionalFormatting sqref="BB270:BB272">
    <cfRule type="cellIs" dxfId="30597" priority="139" operator="lessThan">
      <formula>0</formula>
    </cfRule>
    <cfRule type="cellIs" dxfId="30596" priority="140" operator="lessThan">
      <formula>-105575</formula>
    </cfRule>
  </conditionalFormatting>
  <conditionalFormatting sqref="BB270:BB272">
    <cfRule type="cellIs" dxfId="30595" priority="137" operator="lessThan">
      <formula>0</formula>
    </cfRule>
    <cfRule type="cellIs" dxfId="30594" priority="138" operator="lessThan">
      <formula>-105575</formula>
    </cfRule>
  </conditionalFormatting>
  <conditionalFormatting sqref="BB270:BB272">
    <cfRule type="cellIs" dxfId="30593" priority="135" operator="lessThan">
      <formula>0</formula>
    </cfRule>
    <cfRule type="cellIs" dxfId="30592" priority="136" operator="lessThan">
      <formula>-105575</formula>
    </cfRule>
  </conditionalFormatting>
  <conditionalFormatting sqref="BB270:BB272">
    <cfRule type="cellIs" dxfId="30591" priority="133" operator="lessThan">
      <formula>0</formula>
    </cfRule>
    <cfRule type="cellIs" dxfId="30590" priority="134" operator="lessThan">
      <formula>-105575</formula>
    </cfRule>
  </conditionalFormatting>
  <conditionalFormatting sqref="BB270:BB272">
    <cfRule type="cellIs" dxfId="30589" priority="131" operator="lessThan">
      <formula>0</formula>
    </cfRule>
    <cfRule type="cellIs" dxfId="30588" priority="132" operator="lessThan">
      <formula>-105575</formula>
    </cfRule>
  </conditionalFormatting>
  <conditionalFormatting sqref="BB270:BB272">
    <cfRule type="cellIs" dxfId="30587" priority="129" operator="lessThan">
      <formula>0</formula>
    </cfRule>
    <cfRule type="cellIs" dxfId="30586" priority="130" operator="lessThan">
      <formula>-105575</formula>
    </cfRule>
  </conditionalFormatting>
  <conditionalFormatting sqref="BB274:BB275">
    <cfRule type="cellIs" dxfId="30585" priority="127" operator="lessThan">
      <formula>0</formula>
    </cfRule>
    <cfRule type="cellIs" dxfId="30584" priority="128" operator="lessThan">
      <formula>-105575</formula>
    </cfRule>
  </conditionalFormatting>
  <conditionalFormatting sqref="BB274:BB275">
    <cfRule type="cellIs" dxfId="30583" priority="125" operator="lessThan">
      <formula>0</formula>
    </cfRule>
    <cfRule type="cellIs" dxfId="30582" priority="126" operator="lessThan">
      <formula>-105575</formula>
    </cfRule>
  </conditionalFormatting>
  <conditionalFormatting sqref="BB274:BB275">
    <cfRule type="cellIs" dxfId="30581" priority="123" operator="lessThan">
      <formula>0</formula>
    </cfRule>
    <cfRule type="cellIs" dxfId="30580" priority="124" operator="lessThan">
      <formula>-105575</formula>
    </cfRule>
  </conditionalFormatting>
  <conditionalFormatting sqref="BB274:BB275">
    <cfRule type="cellIs" dxfId="30579" priority="121" operator="lessThan">
      <formula>0</formula>
    </cfRule>
    <cfRule type="cellIs" dxfId="30578" priority="122" operator="lessThan">
      <formula>-105575</formula>
    </cfRule>
  </conditionalFormatting>
  <conditionalFormatting sqref="BB274:BB275">
    <cfRule type="cellIs" dxfId="30577" priority="119" operator="lessThan">
      <formula>0</formula>
    </cfRule>
    <cfRule type="cellIs" dxfId="30576" priority="120" operator="lessThan">
      <formula>-105575</formula>
    </cfRule>
  </conditionalFormatting>
  <conditionalFormatting sqref="BB274:BB275">
    <cfRule type="cellIs" dxfId="30575" priority="117" operator="lessThan">
      <formula>0</formula>
    </cfRule>
    <cfRule type="cellIs" dxfId="30574" priority="118" operator="lessThan">
      <formula>-105575</formula>
    </cfRule>
  </conditionalFormatting>
  <conditionalFormatting sqref="BB274:BB275">
    <cfRule type="cellIs" dxfId="30573" priority="115" operator="lessThan">
      <formula>0</formula>
    </cfRule>
    <cfRule type="cellIs" dxfId="30572" priority="116" operator="lessThan">
      <formula>-105575</formula>
    </cfRule>
  </conditionalFormatting>
  <conditionalFormatting sqref="BB274:BB275">
    <cfRule type="cellIs" dxfId="30571" priority="113" operator="lessThan">
      <formula>0</formula>
    </cfRule>
    <cfRule type="cellIs" dxfId="30570" priority="114" operator="lessThan">
      <formula>-105575</formula>
    </cfRule>
  </conditionalFormatting>
  <conditionalFormatting sqref="BB274:BB275">
    <cfRule type="cellIs" dxfId="30569" priority="111" operator="lessThan">
      <formula>0</formula>
    </cfRule>
    <cfRule type="cellIs" dxfId="30568" priority="112" operator="lessThan">
      <formula>-105575</formula>
    </cfRule>
  </conditionalFormatting>
  <conditionalFormatting sqref="BB278:BB282">
    <cfRule type="cellIs" dxfId="30567" priority="109" operator="lessThan">
      <formula>0</formula>
    </cfRule>
    <cfRule type="cellIs" dxfId="30566" priority="110" operator="lessThan">
      <formula>-105575</formula>
    </cfRule>
  </conditionalFormatting>
  <conditionalFormatting sqref="BB278:BB282">
    <cfRule type="cellIs" dxfId="30565" priority="107" operator="lessThan">
      <formula>0</formula>
    </cfRule>
    <cfRule type="cellIs" dxfId="30564" priority="108" operator="lessThan">
      <formula>-105575</formula>
    </cfRule>
  </conditionalFormatting>
  <conditionalFormatting sqref="BB278:BB282">
    <cfRule type="cellIs" dxfId="30563" priority="105" operator="lessThan">
      <formula>0</formula>
    </cfRule>
    <cfRule type="cellIs" dxfId="30562" priority="106" operator="lessThan">
      <formula>-105575</formula>
    </cfRule>
  </conditionalFormatting>
  <conditionalFormatting sqref="BB278:BB282">
    <cfRule type="cellIs" dxfId="30561" priority="103" operator="lessThan">
      <formula>0</formula>
    </cfRule>
    <cfRule type="cellIs" dxfId="30560" priority="104" operator="lessThan">
      <formula>-105575</formula>
    </cfRule>
  </conditionalFormatting>
  <conditionalFormatting sqref="BB278:BB282">
    <cfRule type="cellIs" dxfId="30559" priority="101" operator="lessThan">
      <formula>0</formula>
    </cfRule>
    <cfRule type="cellIs" dxfId="30558" priority="102" operator="lessThan">
      <formula>-105575</formula>
    </cfRule>
  </conditionalFormatting>
  <conditionalFormatting sqref="BB278:BB282">
    <cfRule type="cellIs" dxfId="30557" priority="99" operator="lessThan">
      <formula>0</formula>
    </cfRule>
    <cfRule type="cellIs" dxfId="30556" priority="100" operator="lessThan">
      <formula>-105575</formula>
    </cfRule>
  </conditionalFormatting>
  <conditionalFormatting sqref="BB278:BB282">
    <cfRule type="cellIs" dxfId="30555" priority="97" operator="lessThan">
      <formula>0</formula>
    </cfRule>
    <cfRule type="cellIs" dxfId="30554" priority="98" operator="lessThan">
      <formula>-105575</formula>
    </cfRule>
  </conditionalFormatting>
  <conditionalFormatting sqref="BB278:BB282">
    <cfRule type="cellIs" dxfId="30553" priority="95" operator="lessThan">
      <formula>0</formula>
    </cfRule>
    <cfRule type="cellIs" dxfId="30552" priority="96" operator="lessThan">
      <formula>-105575</formula>
    </cfRule>
  </conditionalFormatting>
  <conditionalFormatting sqref="BB278:BB282">
    <cfRule type="cellIs" dxfId="30551" priority="93" operator="lessThan">
      <formula>0</formula>
    </cfRule>
    <cfRule type="cellIs" dxfId="30550" priority="94" operator="lessThan">
      <formula>-105575</formula>
    </cfRule>
  </conditionalFormatting>
  <conditionalFormatting sqref="BB285:BB288">
    <cfRule type="cellIs" dxfId="30549" priority="91" operator="lessThan">
      <formula>0</formula>
    </cfRule>
    <cfRule type="cellIs" dxfId="30548" priority="92" operator="lessThan">
      <formula>-105575</formula>
    </cfRule>
  </conditionalFormatting>
  <conditionalFormatting sqref="BB285:BB288">
    <cfRule type="cellIs" dxfId="30547" priority="89" operator="lessThan">
      <formula>0</formula>
    </cfRule>
    <cfRule type="cellIs" dxfId="30546" priority="90" operator="lessThan">
      <formula>-105575</formula>
    </cfRule>
  </conditionalFormatting>
  <conditionalFormatting sqref="BB285:BB288">
    <cfRule type="cellIs" dxfId="30545" priority="87" operator="lessThan">
      <formula>0</formula>
    </cfRule>
    <cfRule type="cellIs" dxfId="30544" priority="88" operator="lessThan">
      <formula>-105575</formula>
    </cfRule>
  </conditionalFormatting>
  <conditionalFormatting sqref="BB285:BB288">
    <cfRule type="cellIs" dxfId="30543" priority="85" operator="lessThan">
      <formula>0</formula>
    </cfRule>
    <cfRule type="cellIs" dxfId="30542" priority="86" operator="lessThan">
      <formula>-105575</formula>
    </cfRule>
  </conditionalFormatting>
  <conditionalFormatting sqref="BB285:BB288">
    <cfRule type="cellIs" dxfId="30541" priority="83" operator="lessThan">
      <formula>0</formula>
    </cfRule>
    <cfRule type="cellIs" dxfId="30540" priority="84" operator="lessThan">
      <formula>-105575</formula>
    </cfRule>
  </conditionalFormatting>
  <conditionalFormatting sqref="BB285:BB288">
    <cfRule type="cellIs" dxfId="30539" priority="81" operator="lessThan">
      <formula>0</formula>
    </cfRule>
    <cfRule type="cellIs" dxfId="30538" priority="82" operator="lessThan">
      <formula>-105575</formula>
    </cfRule>
  </conditionalFormatting>
  <conditionalFormatting sqref="BB285:BB288">
    <cfRule type="cellIs" dxfId="30537" priority="79" operator="lessThan">
      <formula>0</formula>
    </cfRule>
    <cfRule type="cellIs" dxfId="30536" priority="80" operator="lessThan">
      <formula>-105575</formula>
    </cfRule>
  </conditionalFormatting>
  <conditionalFormatting sqref="BB285:BB288">
    <cfRule type="cellIs" dxfId="30535" priority="77" operator="lessThan">
      <formula>0</formula>
    </cfRule>
    <cfRule type="cellIs" dxfId="30534" priority="78" operator="lessThan">
      <formula>-105575</formula>
    </cfRule>
  </conditionalFormatting>
  <conditionalFormatting sqref="BB285:BB288">
    <cfRule type="cellIs" dxfId="30533" priority="75" operator="lessThan">
      <formula>0</formula>
    </cfRule>
    <cfRule type="cellIs" dxfId="30532" priority="76" operator="lessThan">
      <formula>-105575</formula>
    </cfRule>
  </conditionalFormatting>
  <conditionalFormatting sqref="BB80:BB84">
    <cfRule type="cellIs" dxfId="30531" priority="73" operator="lessThan">
      <formula>0</formula>
    </cfRule>
    <cfRule type="cellIs" dxfId="30530" priority="74" operator="lessThan">
      <formula>-105575</formula>
    </cfRule>
  </conditionalFormatting>
  <conditionalFormatting sqref="BB86:BB87">
    <cfRule type="cellIs" dxfId="30529" priority="71" operator="lessThan">
      <formula>0</formula>
    </cfRule>
    <cfRule type="cellIs" dxfId="30528" priority="72" operator="lessThan">
      <formula>-105575</formula>
    </cfRule>
  </conditionalFormatting>
  <conditionalFormatting sqref="BB89:BB91">
    <cfRule type="cellIs" dxfId="30527" priority="69" operator="lessThan">
      <formula>0</formula>
    </cfRule>
    <cfRule type="cellIs" dxfId="30526" priority="70" operator="lessThan">
      <formula>-105575</formula>
    </cfRule>
  </conditionalFormatting>
  <conditionalFormatting sqref="BB94:BB98">
    <cfRule type="cellIs" dxfId="30525" priority="67" operator="lessThan">
      <formula>0</formula>
    </cfRule>
    <cfRule type="cellIs" dxfId="30524" priority="68" operator="lessThan">
      <formula>-105575</formula>
    </cfRule>
  </conditionalFormatting>
  <conditionalFormatting sqref="BB101:BB104">
    <cfRule type="cellIs" dxfId="30523" priority="65" operator="lessThan">
      <formula>0</formula>
    </cfRule>
    <cfRule type="cellIs" dxfId="30522" priority="66" operator="lessThan">
      <formula>-105575</formula>
    </cfRule>
  </conditionalFormatting>
  <conditionalFormatting sqref="BB107:BB109">
    <cfRule type="cellIs" dxfId="30521" priority="63" operator="lessThan">
      <formula>0</formula>
    </cfRule>
    <cfRule type="cellIs" dxfId="30520" priority="64" operator="lessThan">
      <formula>-105575</formula>
    </cfRule>
  </conditionalFormatting>
  <conditionalFormatting sqref="BB112:BB116">
    <cfRule type="cellIs" dxfId="30519" priority="61" operator="lessThan">
      <formula>0</formula>
    </cfRule>
    <cfRule type="cellIs" dxfId="30518" priority="62" operator="lessThan">
      <formula>-105575</formula>
    </cfRule>
  </conditionalFormatting>
  <conditionalFormatting sqref="BB119:BB121">
    <cfRule type="cellIs" dxfId="30517" priority="59" operator="lessThan">
      <formula>0</formula>
    </cfRule>
    <cfRule type="cellIs" dxfId="30516" priority="60" operator="lessThan">
      <formula>-105575</formula>
    </cfRule>
  </conditionalFormatting>
  <conditionalFormatting sqref="BB124:BB132">
    <cfRule type="cellIs" dxfId="30515" priority="57" operator="lessThan">
      <formula>0</formula>
    </cfRule>
    <cfRule type="cellIs" dxfId="30514" priority="58" operator="lessThan">
      <formula>-105575</formula>
    </cfRule>
  </conditionalFormatting>
  <conditionalFormatting sqref="BB135:BB138">
    <cfRule type="cellIs" dxfId="30513" priority="55" operator="lessThan">
      <formula>0</formula>
    </cfRule>
    <cfRule type="cellIs" dxfId="30512" priority="56" operator="lessThan">
      <formula>-105575</formula>
    </cfRule>
  </conditionalFormatting>
  <conditionalFormatting sqref="BB141:BB148">
    <cfRule type="cellIs" dxfId="30511" priority="53" operator="lessThan">
      <formula>0</formula>
    </cfRule>
    <cfRule type="cellIs" dxfId="30510" priority="54" operator="lessThan">
      <formula>-105575</formula>
    </cfRule>
  </conditionalFormatting>
  <conditionalFormatting sqref="BB152:BB155">
    <cfRule type="cellIs" dxfId="30509" priority="51" operator="lessThan">
      <formula>0</formula>
    </cfRule>
    <cfRule type="cellIs" dxfId="30508" priority="52" operator="lessThan">
      <formula>-105575</formula>
    </cfRule>
  </conditionalFormatting>
  <conditionalFormatting sqref="BB157:BB158">
    <cfRule type="cellIs" dxfId="30507" priority="49" operator="lessThan">
      <formula>0</formula>
    </cfRule>
    <cfRule type="cellIs" dxfId="30506" priority="50" operator="lessThan">
      <formula>-105575</formula>
    </cfRule>
  </conditionalFormatting>
  <conditionalFormatting sqref="BB160:BB161">
    <cfRule type="cellIs" dxfId="30505" priority="47" operator="lessThan">
      <formula>0</formula>
    </cfRule>
    <cfRule type="cellIs" dxfId="30504" priority="48" operator="lessThan">
      <formula>-105575</formula>
    </cfRule>
  </conditionalFormatting>
  <conditionalFormatting sqref="BB164:BB167">
    <cfRule type="cellIs" dxfId="30503" priority="45" operator="lessThan">
      <formula>0</formula>
    </cfRule>
    <cfRule type="cellIs" dxfId="30502" priority="46" operator="lessThan">
      <formula>-105575</formula>
    </cfRule>
  </conditionalFormatting>
  <conditionalFormatting sqref="BB169:BB177">
    <cfRule type="cellIs" dxfId="30501" priority="43" operator="lessThan">
      <formula>0</formula>
    </cfRule>
    <cfRule type="cellIs" dxfId="30500" priority="44" operator="lessThan">
      <formula>-105575</formula>
    </cfRule>
  </conditionalFormatting>
  <conditionalFormatting sqref="BB179:BB180">
    <cfRule type="cellIs" dxfId="30499" priority="41" operator="lessThan">
      <formula>0</formula>
    </cfRule>
    <cfRule type="cellIs" dxfId="30498" priority="42" operator="lessThan">
      <formula>-105575</formula>
    </cfRule>
  </conditionalFormatting>
  <conditionalFormatting sqref="BB183:BB189">
    <cfRule type="cellIs" dxfId="30497" priority="39" operator="lessThan">
      <formula>0</formula>
    </cfRule>
    <cfRule type="cellIs" dxfId="30496" priority="40" operator="lessThan">
      <formula>-105575</formula>
    </cfRule>
  </conditionalFormatting>
  <conditionalFormatting sqref="BB191:BB192">
    <cfRule type="cellIs" dxfId="30495" priority="37" operator="lessThan">
      <formula>0</formula>
    </cfRule>
    <cfRule type="cellIs" dxfId="30494" priority="38" operator="lessThan">
      <formula>-105575</formula>
    </cfRule>
  </conditionalFormatting>
  <conditionalFormatting sqref="BB194:BB195">
    <cfRule type="cellIs" dxfId="30493" priority="35" operator="lessThan">
      <formula>0</formula>
    </cfRule>
    <cfRule type="cellIs" dxfId="30492" priority="36" operator="lessThan">
      <formula>-105575</formula>
    </cfRule>
  </conditionalFormatting>
  <conditionalFormatting sqref="BB199:BB202">
    <cfRule type="cellIs" dxfId="30491" priority="33" operator="lessThan">
      <formula>0</formula>
    </cfRule>
    <cfRule type="cellIs" dxfId="30490" priority="34" operator="lessThan">
      <formula>-105575</formula>
    </cfRule>
  </conditionalFormatting>
  <conditionalFormatting sqref="BB204:BB208">
    <cfRule type="cellIs" dxfId="30489" priority="31" operator="lessThan">
      <formula>0</formula>
    </cfRule>
    <cfRule type="cellIs" dxfId="30488" priority="32" operator="lessThan">
      <formula>-105575</formula>
    </cfRule>
  </conditionalFormatting>
  <conditionalFormatting sqref="BB210:BB211">
    <cfRule type="cellIs" dxfId="30487" priority="29" operator="lessThan">
      <formula>0</formula>
    </cfRule>
    <cfRule type="cellIs" dxfId="30486" priority="30" operator="lessThan">
      <formula>-105575</formula>
    </cfRule>
  </conditionalFormatting>
  <conditionalFormatting sqref="BB214:BB219">
    <cfRule type="cellIs" dxfId="30485" priority="27" operator="lessThan">
      <formula>0</formula>
    </cfRule>
    <cfRule type="cellIs" dxfId="30484" priority="28" operator="lessThan">
      <formula>-105575</formula>
    </cfRule>
  </conditionalFormatting>
  <conditionalFormatting sqref="BB222:BB224">
    <cfRule type="cellIs" dxfId="30483" priority="25" operator="lessThan">
      <formula>0</formula>
    </cfRule>
    <cfRule type="cellIs" dxfId="30482" priority="26" operator="lessThan">
      <formula>-105575</formula>
    </cfRule>
  </conditionalFormatting>
  <conditionalFormatting sqref="BB227:BB230">
    <cfRule type="cellIs" dxfId="30481" priority="23" operator="lessThan">
      <formula>0</formula>
    </cfRule>
    <cfRule type="cellIs" dxfId="30480" priority="24" operator="lessThan">
      <formula>-105575</formula>
    </cfRule>
  </conditionalFormatting>
  <conditionalFormatting sqref="BB233:BB236">
    <cfRule type="cellIs" dxfId="30479" priority="21" operator="lessThan">
      <formula>0</formula>
    </cfRule>
    <cfRule type="cellIs" dxfId="30478" priority="22" operator="lessThan">
      <formula>-105575</formula>
    </cfRule>
  </conditionalFormatting>
  <conditionalFormatting sqref="BB239:BB242">
    <cfRule type="cellIs" dxfId="30477" priority="19" operator="lessThan">
      <formula>0</formula>
    </cfRule>
    <cfRule type="cellIs" dxfId="30476" priority="20" operator="lessThan">
      <formula>-105575</formula>
    </cfRule>
  </conditionalFormatting>
  <conditionalFormatting sqref="BB246:BB249">
    <cfRule type="cellIs" dxfId="30475" priority="17" operator="lessThan">
      <formula>0</formula>
    </cfRule>
    <cfRule type="cellIs" dxfId="30474" priority="18" operator="lessThan">
      <formula>-105575</formula>
    </cfRule>
  </conditionalFormatting>
  <conditionalFormatting sqref="BB251:BB253">
    <cfRule type="cellIs" dxfId="30473" priority="15" operator="lessThan">
      <formula>0</formula>
    </cfRule>
    <cfRule type="cellIs" dxfId="30472" priority="16" operator="lessThan">
      <formula>-105575</formula>
    </cfRule>
  </conditionalFormatting>
  <conditionalFormatting sqref="BB255:BB257">
    <cfRule type="cellIs" dxfId="30471" priority="13" operator="lessThan">
      <formula>0</formula>
    </cfRule>
    <cfRule type="cellIs" dxfId="30470" priority="14" operator="lessThan">
      <formula>-105575</formula>
    </cfRule>
  </conditionalFormatting>
  <conditionalFormatting sqref="BB260:BB262">
    <cfRule type="cellIs" dxfId="30469" priority="11" operator="lessThan">
      <formula>0</formula>
    </cfRule>
    <cfRule type="cellIs" dxfId="30468" priority="12" operator="lessThan">
      <formula>-105575</formula>
    </cfRule>
  </conditionalFormatting>
  <conditionalFormatting sqref="BB264:BB267">
    <cfRule type="cellIs" dxfId="30467" priority="9" operator="lessThan">
      <formula>0</formula>
    </cfRule>
    <cfRule type="cellIs" dxfId="30466" priority="10" operator="lessThan">
      <formula>-105575</formula>
    </cfRule>
  </conditionalFormatting>
  <conditionalFormatting sqref="BB270:BB272">
    <cfRule type="cellIs" dxfId="30465" priority="7" operator="lessThan">
      <formula>0</formula>
    </cfRule>
    <cfRule type="cellIs" dxfId="30464" priority="8" operator="lessThan">
      <formula>-105575</formula>
    </cfRule>
  </conditionalFormatting>
  <conditionalFormatting sqref="BB274:BB275">
    <cfRule type="cellIs" dxfId="30463" priority="5" operator="lessThan">
      <formula>0</formula>
    </cfRule>
    <cfRule type="cellIs" dxfId="30462" priority="6" operator="lessThan">
      <formula>-105575</formula>
    </cfRule>
  </conditionalFormatting>
  <conditionalFormatting sqref="BB278:BB282">
    <cfRule type="cellIs" dxfId="30461" priority="3" operator="lessThan">
      <formula>0</formula>
    </cfRule>
    <cfRule type="cellIs" dxfId="30460" priority="4" operator="lessThan">
      <formula>-105575</formula>
    </cfRule>
  </conditionalFormatting>
  <conditionalFormatting sqref="BB285:BB288">
    <cfRule type="cellIs" dxfId="30459" priority="1" operator="lessThan">
      <formula>0</formula>
    </cfRule>
    <cfRule type="cellIs" dxfId="30458" priority="2" operator="lessThan">
      <formula>-105575</formula>
    </cfRule>
  </conditionalFormatting>
  <pageMargins left="0.7" right="0.7" top="0.75" bottom="0.75" header="0.3" footer="0.3"/>
  <pageSetup orientation="portrait" horizontalDpi="4294967293" verticalDpi="4294967293"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F292"/>
  <sheetViews>
    <sheetView zoomScale="60" zoomScaleNormal="60" workbookViewId="0">
      <pane xSplit="8" ySplit="5" topLeftCell="AU276" activePane="bottomRight" state="frozen"/>
      <selection pane="topRight" activeCell="I1" sqref="I1"/>
      <selection pane="bottomLeft" activeCell="A6" sqref="A6"/>
      <selection pane="bottomRight" activeCell="AZ278" sqref="AZ278"/>
    </sheetView>
  </sheetViews>
  <sheetFormatPr defaultColWidth="8.85546875" defaultRowHeight="15" outlineLevelRow="2" outlineLevelCol="2" x14ac:dyDescent="0.25"/>
  <cols>
    <col min="1" max="1" width="4.85546875" style="183" customWidth="1"/>
    <col min="2" max="2" width="3.28515625" style="183" customWidth="1"/>
    <col min="3" max="3" width="2.42578125" style="101" customWidth="1"/>
    <col min="4" max="4" width="24.7109375" style="101" customWidth="1"/>
    <col min="5" max="5" width="41.42578125" style="102" customWidth="1" outlineLevel="1"/>
    <col min="6" max="6" width="12.140625" style="101" customWidth="1" outlineLevel="1"/>
    <col min="7" max="7" width="12.7109375" style="101" customWidth="1" outlineLevel="1"/>
    <col min="8" max="8" width="97.85546875" style="101" customWidth="1" outlineLevel="2"/>
    <col min="9" max="9" width="16.140625" style="239" customWidth="1" outlineLevel="2"/>
    <col min="10" max="10" width="8.42578125" style="239" bestFit="1" customWidth="1" outlineLevel="2"/>
    <col min="11" max="11" width="12" style="239" bestFit="1" customWidth="1" outlineLevel="2"/>
    <col min="12" max="12" width="21.42578125" style="239" customWidth="1" outlineLevel="1"/>
    <col min="13" max="13" width="19.140625" style="239" customWidth="1" outlineLevel="1"/>
    <col min="14" max="14" width="10.5703125" style="239" customWidth="1" outlineLevel="2"/>
    <col min="15" max="15" width="11" style="239" customWidth="1" outlineLevel="2"/>
    <col min="16" max="16" width="13.28515625" style="239" customWidth="1" outlineLevel="2"/>
    <col min="17" max="17" width="14.140625" style="239" customWidth="1" outlineLevel="2"/>
    <col min="18" max="18" width="14" style="239" customWidth="1" outlineLevel="2"/>
    <col min="19" max="20" width="12.140625" style="239" customWidth="1" outlineLevel="2"/>
    <col min="21" max="21" width="14.5703125" style="239" customWidth="1" outlineLevel="2"/>
    <col min="22" max="23" width="8.42578125" style="239" bestFit="1" customWidth="1" outlineLevel="2"/>
    <col min="24" max="24" width="7.5703125" style="239" customWidth="1" outlineLevel="2"/>
    <col min="25" max="25" width="12" style="239" bestFit="1" customWidth="1" outlineLevel="1"/>
    <col min="26" max="26" width="8.42578125" style="239" bestFit="1" customWidth="1" outlineLevel="2"/>
    <col min="27" max="27" width="9" style="239" bestFit="1" customWidth="1" outlineLevel="2"/>
    <col min="28" max="28" width="14.42578125" style="239" customWidth="1" outlineLevel="1"/>
    <col min="29" max="29" width="24.140625" style="239" customWidth="1" outlineLevel="1"/>
    <col min="30" max="30" width="12.85546875" style="239" customWidth="1" outlineLevel="2"/>
    <col min="31" max="31" width="22.28515625" style="239" customWidth="1" outlineLevel="2"/>
    <col min="32" max="32" width="20.7109375" style="239" customWidth="1" outlineLevel="1"/>
    <col min="33" max="34" width="9" style="239" bestFit="1" customWidth="1" outlineLevel="2"/>
    <col min="35" max="35" width="7.28515625" style="239" customWidth="1" outlineLevel="2"/>
    <col min="36" max="36" width="18" style="239" customWidth="1" outlineLevel="2"/>
    <col min="37" max="37" width="13.28515625" style="239" customWidth="1" outlineLevel="2"/>
    <col min="38" max="38" width="17.5703125" style="239" customWidth="1" outlineLevel="2"/>
    <col min="39" max="39" width="20.28515625" style="239" customWidth="1" outlineLevel="1"/>
    <col min="40" max="40" width="17" style="239" customWidth="1" outlineLevel="1"/>
    <col min="41" max="41" width="39.85546875" style="239" customWidth="1" outlineLevel="2"/>
    <col min="42" max="42" width="2.7109375" style="239" customWidth="1"/>
    <col min="43" max="43" width="19.5703125" style="239" customWidth="1"/>
    <col min="44" max="44" width="26" style="239" customWidth="1"/>
    <col min="45" max="45" width="20.28515625" style="239" customWidth="1"/>
    <col min="46" max="46" width="25.7109375" style="239" customWidth="1"/>
    <col min="47" max="47" width="24" style="235" customWidth="1"/>
    <col min="48" max="48" width="21.42578125" style="235" customWidth="1"/>
    <col min="49" max="49" width="17.28515625" style="235" customWidth="1"/>
    <col min="50" max="51" width="15" style="235" customWidth="1"/>
    <col min="52" max="52" width="21.42578125" style="235" customWidth="1"/>
    <col min="53" max="53" width="15" style="235" customWidth="1"/>
    <col min="54" max="54" width="22.7109375" style="235" customWidth="1"/>
    <col min="55" max="58" width="9.140625" style="167" customWidth="1"/>
    <col min="59" max="16384" width="8.85546875" style="169"/>
  </cols>
  <sheetData>
    <row r="1" spans="1:58" s="183" customFormat="1" ht="55.9" customHeight="1" x14ac:dyDescent="0.25">
      <c r="A1" s="115"/>
      <c r="B1" s="395" t="s">
        <v>155</v>
      </c>
      <c r="C1" s="395"/>
      <c r="D1" s="395"/>
      <c r="E1" s="395"/>
      <c r="F1" s="395"/>
      <c r="G1" s="395"/>
      <c r="H1" s="395"/>
      <c r="I1" s="373"/>
      <c r="J1" s="373"/>
      <c r="K1" s="373"/>
      <c r="L1" s="373"/>
      <c r="M1" s="232"/>
      <c r="N1" s="233"/>
      <c r="O1" s="233"/>
      <c r="P1" s="233"/>
      <c r="Q1" s="233"/>
      <c r="R1" s="233"/>
      <c r="S1" s="233"/>
      <c r="T1" s="233"/>
      <c r="U1" s="233"/>
      <c r="V1" s="233"/>
      <c r="W1" s="233"/>
      <c r="X1" s="233"/>
      <c r="Y1" s="233"/>
      <c r="Z1" s="233"/>
      <c r="AA1" s="233"/>
      <c r="AB1" s="233"/>
      <c r="AC1" s="233"/>
      <c r="AD1" s="233"/>
      <c r="AE1" s="233"/>
      <c r="AF1" s="233"/>
      <c r="AG1" s="233"/>
      <c r="AH1" s="233"/>
      <c r="AI1" s="233"/>
      <c r="AJ1" s="233"/>
      <c r="AK1" s="233"/>
      <c r="AL1" s="233"/>
      <c r="AM1" s="233"/>
      <c r="AN1" s="233"/>
      <c r="AO1" s="233"/>
      <c r="AP1" s="234"/>
      <c r="AQ1" s="234"/>
      <c r="AR1" s="234"/>
      <c r="AS1" s="234"/>
      <c r="AT1" s="234"/>
      <c r="AU1" s="235"/>
      <c r="AV1" s="235"/>
      <c r="AW1" s="235"/>
      <c r="AX1" s="235"/>
      <c r="AY1" s="235"/>
      <c r="AZ1" s="235"/>
      <c r="BA1" s="235"/>
      <c r="BB1" s="235"/>
    </row>
    <row r="2" spans="1:58" ht="78.75" customHeight="1" x14ac:dyDescent="0.25">
      <c r="A2" s="115" t="s">
        <v>55</v>
      </c>
      <c r="B2" s="385" t="s">
        <v>120</v>
      </c>
      <c r="C2" s="386"/>
      <c r="D2" s="386"/>
      <c r="E2" s="387"/>
      <c r="F2" s="296" t="s">
        <v>133</v>
      </c>
      <c r="G2" s="296" t="s">
        <v>134</v>
      </c>
      <c r="H2" s="116" t="s">
        <v>54</v>
      </c>
      <c r="I2" s="236" t="s">
        <v>0</v>
      </c>
      <c r="J2" s="236" t="s">
        <v>14</v>
      </c>
      <c r="K2" s="236" t="s">
        <v>15</v>
      </c>
      <c r="L2" s="237" t="s">
        <v>11</v>
      </c>
      <c r="M2" s="237" t="s">
        <v>82</v>
      </c>
      <c r="N2" s="236" t="s">
        <v>16</v>
      </c>
      <c r="O2" s="236" t="s">
        <v>7</v>
      </c>
      <c r="P2" s="236" t="s">
        <v>6</v>
      </c>
      <c r="Q2" s="236" t="s">
        <v>8</v>
      </c>
      <c r="R2" s="237" t="s">
        <v>57</v>
      </c>
      <c r="S2" s="237" t="s">
        <v>65</v>
      </c>
      <c r="T2" s="237" t="s">
        <v>64</v>
      </c>
      <c r="U2" s="237" t="s">
        <v>63</v>
      </c>
      <c r="V2" s="236" t="s">
        <v>17</v>
      </c>
      <c r="W2" s="236" t="s">
        <v>67</v>
      </c>
      <c r="X2" s="236" t="s">
        <v>6</v>
      </c>
      <c r="Y2" s="237" t="s">
        <v>71</v>
      </c>
      <c r="Z2" s="236" t="s">
        <v>10</v>
      </c>
      <c r="AA2" s="236" t="s">
        <v>9</v>
      </c>
      <c r="AB2" s="237" t="s">
        <v>70</v>
      </c>
      <c r="AC2" s="238" t="s">
        <v>18</v>
      </c>
      <c r="AD2" s="237" t="s">
        <v>79</v>
      </c>
      <c r="AE2" s="237" t="s">
        <v>23</v>
      </c>
      <c r="AF2" s="237" t="s">
        <v>80</v>
      </c>
      <c r="AG2" s="236" t="s">
        <v>20</v>
      </c>
      <c r="AH2" s="236" t="s">
        <v>21</v>
      </c>
      <c r="AI2" s="236" t="s">
        <v>22</v>
      </c>
      <c r="AJ2" s="236" t="s">
        <v>99</v>
      </c>
      <c r="AK2" s="236" t="s">
        <v>101</v>
      </c>
      <c r="AL2" s="236" t="s">
        <v>90</v>
      </c>
      <c r="AM2" s="237" t="s">
        <v>92</v>
      </c>
      <c r="AN2" s="237" t="s">
        <v>13</v>
      </c>
      <c r="AO2" s="236"/>
      <c r="AQ2" s="402" t="s">
        <v>536</v>
      </c>
      <c r="AR2" s="403"/>
      <c r="AS2" s="403"/>
      <c r="AT2" s="403"/>
      <c r="AU2" s="403"/>
      <c r="AV2" s="403"/>
      <c r="AW2" s="403"/>
      <c r="AX2" s="403"/>
      <c r="AY2" s="403"/>
      <c r="AZ2" s="403"/>
      <c r="BA2" s="403"/>
      <c r="BB2" s="404"/>
      <c r="BC2" s="169"/>
      <c r="BD2" s="169"/>
      <c r="BE2" s="169"/>
      <c r="BF2" s="169"/>
    </row>
    <row r="3" spans="1:58" s="79" customFormat="1" ht="110.25" customHeight="1" x14ac:dyDescent="0.25">
      <c r="A3" s="118" t="s">
        <v>56</v>
      </c>
      <c r="B3" s="385" t="s">
        <v>121</v>
      </c>
      <c r="C3" s="386"/>
      <c r="D3" s="386"/>
      <c r="E3" s="387"/>
      <c r="F3" s="296" t="s">
        <v>135</v>
      </c>
      <c r="G3" s="296" t="s">
        <v>135</v>
      </c>
      <c r="H3" s="119" t="s">
        <v>45</v>
      </c>
      <c r="I3" s="236" t="s">
        <v>51</v>
      </c>
      <c r="J3" s="236" t="s">
        <v>52</v>
      </c>
      <c r="K3" s="236" t="s">
        <v>53</v>
      </c>
      <c r="L3" s="237" t="s">
        <v>117</v>
      </c>
      <c r="M3" s="237" t="s">
        <v>116</v>
      </c>
      <c r="N3" s="236" t="s">
        <v>73</v>
      </c>
      <c r="O3" s="236" t="s">
        <v>72</v>
      </c>
      <c r="P3" s="236" t="s">
        <v>74</v>
      </c>
      <c r="Q3" s="236" t="s">
        <v>75</v>
      </c>
      <c r="R3" s="237" t="s">
        <v>115</v>
      </c>
      <c r="S3" s="237" t="s">
        <v>114</v>
      </c>
      <c r="T3" s="237" t="s">
        <v>113</v>
      </c>
      <c r="U3" s="237" t="s">
        <v>112</v>
      </c>
      <c r="V3" s="236" t="s">
        <v>76</v>
      </c>
      <c r="W3" s="236" t="s">
        <v>77</v>
      </c>
      <c r="X3" s="236" t="s">
        <v>78</v>
      </c>
      <c r="Y3" s="237" t="s">
        <v>111</v>
      </c>
      <c r="Z3" s="236" t="s">
        <v>68</v>
      </c>
      <c r="AA3" s="236" t="s">
        <v>69</v>
      </c>
      <c r="AB3" s="237" t="s">
        <v>110</v>
      </c>
      <c r="AC3" s="238" t="s">
        <v>109</v>
      </c>
      <c r="AD3" s="237" t="s">
        <v>108</v>
      </c>
      <c r="AE3" s="237" t="s">
        <v>107</v>
      </c>
      <c r="AF3" s="237" t="s">
        <v>106</v>
      </c>
      <c r="AG3" s="236" t="s">
        <v>87</v>
      </c>
      <c r="AH3" s="236" t="s">
        <v>89</v>
      </c>
      <c r="AI3" s="236" t="s">
        <v>88</v>
      </c>
      <c r="AJ3" s="237" t="s">
        <v>100</v>
      </c>
      <c r="AK3" s="237" t="s">
        <v>102</v>
      </c>
      <c r="AL3" s="237" t="s">
        <v>96</v>
      </c>
      <c r="AM3" s="237" t="s">
        <v>104</v>
      </c>
      <c r="AN3" s="237" t="s">
        <v>105</v>
      </c>
      <c r="AO3" s="236"/>
      <c r="AP3" s="240"/>
      <c r="AQ3" s="370" t="s">
        <v>123</v>
      </c>
      <c r="AR3" s="370" t="s">
        <v>24</v>
      </c>
      <c r="AS3" s="370" t="s">
        <v>12</v>
      </c>
      <c r="AT3" s="370" t="s">
        <v>19</v>
      </c>
      <c r="AU3" s="371" t="s">
        <v>124</v>
      </c>
      <c r="AV3" s="371" t="s">
        <v>125</v>
      </c>
      <c r="AW3" s="371" t="s">
        <v>222</v>
      </c>
      <c r="AX3" s="371" t="s">
        <v>136</v>
      </c>
      <c r="AY3" s="371" t="s">
        <v>546</v>
      </c>
      <c r="AZ3" s="371" t="s">
        <v>565</v>
      </c>
      <c r="BA3" s="372" t="s">
        <v>126</v>
      </c>
      <c r="BB3" s="371" t="s">
        <v>25</v>
      </c>
    </row>
    <row r="4" spans="1:58" s="81" customFormat="1" ht="52.15" customHeight="1" x14ac:dyDescent="0.25">
      <c r="A4" s="120"/>
      <c r="B4" s="121"/>
      <c r="C4" s="122"/>
      <c r="D4" s="122"/>
      <c r="E4" s="123"/>
      <c r="F4" s="123" t="s">
        <v>131</v>
      </c>
      <c r="G4" s="123" t="s">
        <v>132</v>
      </c>
      <c r="H4" s="116" t="s">
        <v>119</v>
      </c>
      <c r="I4" s="241" t="s">
        <v>118</v>
      </c>
      <c r="J4" s="241">
        <v>2</v>
      </c>
      <c r="K4" s="241">
        <v>3</v>
      </c>
      <c r="L4" s="241" t="s">
        <v>81</v>
      </c>
      <c r="M4" s="241" t="s">
        <v>83</v>
      </c>
      <c r="N4" s="241">
        <v>6</v>
      </c>
      <c r="O4" s="241">
        <v>7</v>
      </c>
      <c r="P4" s="241">
        <v>8</v>
      </c>
      <c r="Q4" s="241">
        <v>9</v>
      </c>
      <c r="R4" s="241" t="s">
        <v>26</v>
      </c>
      <c r="S4" s="241" t="s">
        <v>27</v>
      </c>
      <c r="T4" s="241" t="s">
        <v>28</v>
      </c>
      <c r="U4" s="241" t="s">
        <v>29</v>
      </c>
      <c r="V4" s="241">
        <v>14</v>
      </c>
      <c r="W4" s="241">
        <v>15</v>
      </c>
      <c r="X4" s="241">
        <v>16</v>
      </c>
      <c r="Y4" s="241" t="s">
        <v>84</v>
      </c>
      <c r="Z4" s="241">
        <v>18</v>
      </c>
      <c r="AA4" s="241">
        <v>19</v>
      </c>
      <c r="AB4" s="241" t="s">
        <v>85</v>
      </c>
      <c r="AC4" s="241">
        <v>21</v>
      </c>
      <c r="AD4" s="241">
        <v>22</v>
      </c>
      <c r="AE4" s="241" t="s">
        <v>94</v>
      </c>
      <c r="AF4" s="241" t="s">
        <v>86</v>
      </c>
      <c r="AG4" s="241">
        <v>25</v>
      </c>
      <c r="AH4" s="241">
        <v>26</v>
      </c>
      <c r="AI4" s="241">
        <v>27</v>
      </c>
      <c r="AJ4" s="241">
        <v>28</v>
      </c>
      <c r="AK4" s="241">
        <v>29</v>
      </c>
      <c r="AL4" s="241">
        <v>30</v>
      </c>
      <c r="AM4" s="241" t="s">
        <v>95</v>
      </c>
      <c r="AN4" s="241" t="s">
        <v>103</v>
      </c>
      <c r="AO4" s="241"/>
      <c r="AP4" s="242"/>
      <c r="AQ4" s="241" t="s">
        <v>127</v>
      </c>
      <c r="AR4" s="241" t="s">
        <v>128</v>
      </c>
      <c r="AS4" s="241" t="s">
        <v>129</v>
      </c>
      <c r="AT4" s="241" t="s">
        <v>130</v>
      </c>
      <c r="AU4" s="377">
        <v>37</v>
      </c>
      <c r="AV4" s="377">
        <v>38</v>
      </c>
      <c r="AW4" s="377">
        <v>39</v>
      </c>
      <c r="AX4" s="377">
        <v>40</v>
      </c>
      <c r="AY4" s="377"/>
      <c r="AZ4" s="377">
        <v>41</v>
      </c>
      <c r="BA4" s="377">
        <v>42</v>
      </c>
      <c r="BB4" s="377" t="s">
        <v>142</v>
      </c>
    </row>
    <row r="5" spans="1:58" s="170" customFormat="1" ht="15.75" customHeight="1" x14ac:dyDescent="0.25">
      <c r="A5" s="120"/>
      <c r="B5" s="388" t="s">
        <v>312</v>
      </c>
      <c r="C5" s="389"/>
      <c r="D5" s="389"/>
      <c r="E5" s="390"/>
      <c r="F5" s="339"/>
      <c r="G5" s="339"/>
      <c r="H5" s="339" t="s">
        <v>58</v>
      </c>
      <c r="I5" s="243"/>
      <c r="J5" s="243"/>
      <c r="K5" s="243"/>
      <c r="L5" s="243">
        <f>SUM(L6+L16+L20+L40+L45+L61)</f>
        <v>1876439250.7142856</v>
      </c>
      <c r="M5" s="243">
        <f>SUM(M6+M16+M20+M40+M45+M61)</f>
        <v>313365354.8692857</v>
      </c>
      <c r="N5" s="243"/>
      <c r="O5" s="243"/>
      <c r="P5" s="243"/>
      <c r="Q5" s="243"/>
      <c r="R5" s="243">
        <f>SUM(R6+R16+R20+R40+R45+R61)</f>
        <v>930000</v>
      </c>
      <c r="S5" s="243">
        <f>SUM(S6+S16+S20+S40+S45+S61)</f>
        <v>907500</v>
      </c>
      <c r="T5" s="243">
        <f>SUM(T6+T16+T20+T40+T45+T61)</f>
        <v>0</v>
      </c>
      <c r="U5" s="243">
        <f>SUM(U6+U16+U20+U40+U45+U61)</f>
        <v>1160000</v>
      </c>
      <c r="V5" s="243"/>
      <c r="W5" s="243"/>
      <c r="X5" s="243"/>
      <c r="Y5" s="243">
        <f>SUM(Y6+Y16+Y20+Y40+Y45+Y61)</f>
        <v>0</v>
      </c>
      <c r="Z5" s="243">
        <f t="shared" ref="Z5:AF5" si="0">SUM(Z6+Z16+Z20+Z40+Z45+Z61)</f>
        <v>0</v>
      </c>
      <c r="AA5" s="243">
        <f t="shared" si="0"/>
        <v>0</v>
      </c>
      <c r="AB5" s="243">
        <f t="shared" si="0"/>
        <v>6213000</v>
      </c>
      <c r="AC5" s="243">
        <f t="shared" si="0"/>
        <v>5298885600</v>
      </c>
      <c r="AD5" s="243">
        <f t="shared" si="0"/>
        <v>0</v>
      </c>
      <c r="AE5" s="243">
        <f t="shared" si="0"/>
        <v>86427800</v>
      </c>
      <c r="AF5" s="243">
        <f t="shared" si="0"/>
        <v>5394523900</v>
      </c>
      <c r="AG5" s="243"/>
      <c r="AH5" s="243"/>
      <c r="AI5" s="243"/>
      <c r="AJ5" s="243">
        <f>SUM(AJ6+AJ16+AJ20+AJ40+AJ45+AJ61)</f>
        <v>123350000</v>
      </c>
      <c r="AK5" s="243">
        <f>SUM(AK6+AK16+AK20+AK40+AK45+AK61)</f>
        <v>0</v>
      </c>
      <c r="AL5" s="243">
        <f>SUM(AL6+AL16+AL20+AL40+AL45+AL61)</f>
        <v>23673000</v>
      </c>
      <c r="AM5" s="243">
        <f>SUM(AM6+AM16+AM20+AM40+AM45+AM61)</f>
        <v>150133000</v>
      </c>
      <c r="AN5" s="243">
        <f>SUM(AN6+AN16+AN20+AN40+AN45+AN61)</f>
        <v>7966500</v>
      </c>
      <c r="AO5" s="243"/>
      <c r="AP5" s="244"/>
      <c r="AQ5" s="243">
        <f t="shared" ref="AQ5:BB5" si="1">SUM(AQ6+AQ16+AQ20+AQ40+AQ45+AQ61)</f>
        <v>2189804605.583571</v>
      </c>
      <c r="AR5" s="243">
        <f t="shared" si="1"/>
        <v>5394523900</v>
      </c>
      <c r="AS5" s="243">
        <f t="shared" si="1"/>
        <v>158099500</v>
      </c>
      <c r="AT5" s="243">
        <f t="shared" si="1"/>
        <v>7742428005.5835705</v>
      </c>
      <c r="AU5" s="243">
        <f t="shared" si="1"/>
        <v>5910767105.5835714</v>
      </c>
      <c r="AV5" s="243">
        <f t="shared" si="1"/>
        <v>0</v>
      </c>
      <c r="AW5" s="243">
        <f t="shared" si="1"/>
        <v>0</v>
      </c>
      <c r="AX5" s="243">
        <f t="shared" si="1"/>
        <v>540000</v>
      </c>
      <c r="AY5" s="243">
        <f t="shared" si="1"/>
        <v>6340800</v>
      </c>
      <c r="AZ5" s="243">
        <f t="shared" si="1"/>
        <v>0</v>
      </c>
      <c r="BA5" s="243">
        <f t="shared" si="1"/>
        <v>0</v>
      </c>
      <c r="BB5" s="243">
        <f t="shared" si="1"/>
        <v>-1824780100</v>
      </c>
    </row>
    <row r="6" spans="1:58" s="170" customFormat="1" ht="15.75" customHeight="1" x14ac:dyDescent="0.25">
      <c r="A6" s="120"/>
      <c r="B6" s="290"/>
      <c r="C6" s="391" t="s">
        <v>191</v>
      </c>
      <c r="D6" s="391"/>
      <c r="E6" s="392"/>
      <c r="F6" s="289"/>
      <c r="G6" s="288"/>
      <c r="H6" s="114" t="s">
        <v>59</v>
      </c>
      <c r="I6" s="246"/>
      <c r="J6" s="246"/>
      <c r="K6" s="246"/>
      <c r="L6" s="247">
        <f>SUM(L11+L15)</f>
        <v>4712200</v>
      </c>
      <c r="M6" s="247">
        <f>SUM(M11+M15)</f>
        <v>786937.4</v>
      </c>
      <c r="N6" s="247"/>
      <c r="O6" s="247"/>
      <c r="P6" s="247"/>
      <c r="Q6" s="247"/>
      <c r="R6" s="247">
        <f>SUM(R11+R15)</f>
        <v>150000</v>
      </c>
      <c r="S6" s="247">
        <f>SUM(S11+S15)</f>
        <v>112500</v>
      </c>
      <c r="T6" s="247">
        <f>SUM(T11+T15)</f>
        <v>0</v>
      </c>
      <c r="U6" s="247">
        <f>SUM(U11+U15)</f>
        <v>200000</v>
      </c>
      <c r="V6" s="247"/>
      <c r="W6" s="247"/>
      <c r="X6" s="247"/>
      <c r="Y6" s="247">
        <f>SUM(Y11+Y15)</f>
        <v>0</v>
      </c>
      <c r="Z6" s="247">
        <f t="shared" ref="Z6:AF6" si="2">SUM(Z11+Z15)</f>
        <v>0</v>
      </c>
      <c r="AA6" s="247">
        <f t="shared" si="2"/>
        <v>0</v>
      </c>
      <c r="AB6" s="247">
        <f t="shared" si="2"/>
        <v>2394000</v>
      </c>
      <c r="AC6" s="247">
        <f t="shared" si="2"/>
        <v>779500</v>
      </c>
      <c r="AD6" s="247">
        <f t="shared" si="2"/>
        <v>0</v>
      </c>
      <c r="AE6" s="247">
        <f t="shared" si="2"/>
        <v>727200</v>
      </c>
      <c r="AF6" s="247">
        <f t="shared" si="2"/>
        <v>4363200</v>
      </c>
      <c r="AG6" s="247"/>
      <c r="AH6" s="247"/>
      <c r="AI6" s="247"/>
      <c r="AJ6" s="247">
        <f>SUM(AJ11+AJ15)</f>
        <v>0</v>
      </c>
      <c r="AK6" s="247">
        <f>SUM(AK11+AK15)</f>
        <v>0</v>
      </c>
      <c r="AL6" s="247">
        <f>SUM(AL11+AL15)</f>
        <v>0</v>
      </c>
      <c r="AM6" s="247">
        <f>SUM(AM11+AM15)</f>
        <v>0</v>
      </c>
      <c r="AN6" s="247">
        <f>SUM(AN11+AN15)</f>
        <v>0</v>
      </c>
      <c r="AO6" s="247"/>
      <c r="AP6" s="244"/>
      <c r="AQ6" s="248">
        <f>SUM(AQ11+AQ15)</f>
        <v>5499137.4000000004</v>
      </c>
      <c r="AR6" s="248">
        <f>SUM(AR11+AR15)</f>
        <v>4363200</v>
      </c>
      <c r="AS6" s="248">
        <f>SUM(AS11+AS15)</f>
        <v>0</v>
      </c>
      <c r="AT6" s="248">
        <f>SUM(AT11+AT15)</f>
        <v>9862337.4000000004</v>
      </c>
      <c r="AU6" s="248">
        <f t="shared" ref="AU6:BB6" si="3">SUM(AU11+AU15)</f>
        <v>5499137.4000000004</v>
      </c>
      <c r="AV6" s="248">
        <f t="shared" si="3"/>
        <v>0</v>
      </c>
      <c r="AW6" s="248">
        <f>SUM(AW11+AW15)</f>
        <v>0</v>
      </c>
      <c r="AX6" s="248">
        <f t="shared" si="3"/>
        <v>540000</v>
      </c>
      <c r="AY6" s="248">
        <f t="shared" si="3"/>
        <v>0</v>
      </c>
      <c r="AZ6" s="248">
        <f t="shared" si="3"/>
        <v>0</v>
      </c>
      <c r="BA6" s="248">
        <f t="shared" si="3"/>
        <v>0</v>
      </c>
      <c r="BB6" s="248">
        <f t="shared" si="3"/>
        <v>-3823200</v>
      </c>
    </row>
    <row r="7" spans="1:58" ht="78.75" outlineLevel="2" x14ac:dyDescent="0.25">
      <c r="A7" s="115"/>
      <c r="B7" s="200"/>
      <c r="C7" s="201"/>
      <c r="D7" s="138"/>
      <c r="E7" s="295"/>
      <c r="F7" s="295"/>
      <c r="G7" s="296"/>
      <c r="H7" s="199" t="s">
        <v>369</v>
      </c>
      <c r="I7" s="130" t="s">
        <v>4</v>
      </c>
      <c r="J7" s="126">
        <v>1</v>
      </c>
      <c r="K7" s="126">
        <v>4</v>
      </c>
      <c r="L7" s="125">
        <f>IF(I7&lt;&gt;0,((VLOOKUP(I7,'1. Standard_Cost'!$B$4:$D$11,2)+VLOOKUP(I7,'1. Standard_Cost'!$B$4:$D$11,3))*J7*K7),"0")</f>
        <v>323000</v>
      </c>
      <c r="M7" s="125">
        <f>L7*'1. Standard_Cost'!$F$4</f>
        <v>53941</v>
      </c>
      <c r="N7" s="126"/>
      <c r="O7" s="126"/>
      <c r="P7" s="126"/>
      <c r="Q7" s="126"/>
      <c r="R7" s="127">
        <f>'1. Standard_Cost'!$B$15*N7*P7</f>
        <v>0</v>
      </c>
      <c r="S7" s="127">
        <f>N7*O7*P7*'1. Standard_Cost'!$C$15</f>
        <v>0</v>
      </c>
      <c r="T7" s="127">
        <f>N7*P7*Q7*'1. Standard_Cost'!$D$15</f>
        <v>0</v>
      </c>
      <c r="U7" s="127">
        <f>N7*O7*'1. Standard_Cost'!$E$15</f>
        <v>0</v>
      </c>
      <c r="V7" s="126"/>
      <c r="W7" s="126"/>
      <c r="X7" s="126"/>
      <c r="Y7" s="127">
        <f>+V7*((X7*'1. Standard_Cost'!$B$19)+(W7*X7*'1. Standard_Cost'!$C$19))</f>
        <v>0</v>
      </c>
      <c r="Z7" s="126"/>
      <c r="AA7" s="126">
        <v>10</v>
      </c>
      <c r="AB7" s="127">
        <f>+Z7*'1. Standard_Cost'!$B$23+AA7*'1. Standard_Cost'!$C$23</f>
        <v>190000</v>
      </c>
      <c r="AC7" s="128">
        <f>30*300</f>
        <v>9000</v>
      </c>
      <c r="AD7" s="129"/>
      <c r="AE7" s="127">
        <f>SUM(AD7,AC7,AB7,Y7,U7,T7,S7,R7)*'1. Standard_Cost'!$B$31</f>
        <v>39800</v>
      </c>
      <c r="AF7" s="127">
        <f>SUM(AE7,AD7,AC7,AB7,Y7,U7,T7,S7,R7)</f>
        <v>238800</v>
      </c>
      <c r="AG7" s="126"/>
      <c r="AH7" s="126"/>
      <c r="AI7" s="126"/>
      <c r="AJ7" s="130"/>
      <c r="AK7" s="130"/>
      <c r="AL7" s="130"/>
      <c r="AM7" s="127">
        <f>AG7*'1. Standard_Cost'!$B$27+'Incremental_Cost Year 2'!AH7*'1. Standard_Cost'!$C$27+'Incremental_Cost Year 2'!AI7*'1. Standard_Cost'!$D$27+'Incremental_Cost Year 2'!AJ7+'Incremental_Cost Year 2'!AL7+AK7</f>
        <v>0</v>
      </c>
      <c r="AN7" s="127">
        <f>AM7*'1. Standard_Cost'!$C$31</f>
        <v>0</v>
      </c>
      <c r="AO7" s="249"/>
      <c r="AQ7" s="171">
        <f>L7+M7</f>
        <v>376941</v>
      </c>
      <c r="AR7" s="171">
        <f>AF7</f>
        <v>238800</v>
      </c>
      <c r="AS7" s="171">
        <f>AM7+AN7</f>
        <v>0</v>
      </c>
      <c r="AT7" s="171">
        <f>SUM(AQ7,AR7,AS7)</f>
        <v>615741</v>
      </c>
      <c r="AU7" s="250">
        <f>AQ7</f>
        <v>376941</v>
      </c>
      <c r="AV7" s="250"/>
      <c r="AW7" s="250"/>
      <c r="AX7" s="250"/>
      <c r="AY7" s="250"/>
      <c r="AZ7" s="250"/>
      <c r="BA7" s="250"/>
      <c r="BB7" s="251">
        <f>SUM(AU7:BA7)-AT7</f>
        <v>-238800</v>
      </c>
      <c r="BC7" s="169"/>
      <c r="BD7" s="169"/>
      <c r="BE7" s="169"/>
      <c r="BF7" s="169"/>
    </row>
    <row r="8" spans="1:58" ht="126" outlineLevel="2" x14ac:dyDescent="0.25">
      <c r="A8" s="115"/>
      <c r="B8" s="200"/>
      <c r="C8" s="201"/>
      <c r="D8" s="135"/>
      <c r="E8" s="219"/>
      <c r="F8" s="219"/>
      <c r="G8" s="313"/>
      <c r="H8" s="199" t="s">
        <v>370</v>
      </c>
      <c r="I8" s="130" t="s">
        <v>4</v>
      </c>
      <c r="J8" s="126">
        <v>2</v>
      </c>
      <c r="K8" s="126">
        <v>5</v>
      </c>
      <c r="L8" s="125">
        <f>IF(I8&lt;&gt;0,((VLOOKUP(I8,'1. Standard_Cost'!$B$4:$D$11,2)+VLOOKUP(I8,'1. Standard_Cost'!$B$4:$D$11,3))*J8*K8),"0")</f>
        <v>807500</v>
      </c>
      <c r="M8" s="125">
        <f>L8*'1. Standard_Cost'!$F$4</f>
        <v>134852.5</v>
      </c>
      <c r="N8" s="126"/>
      <c r="O8" s="126"/>
      <c r="P8" s="126"/>
      <c r="Q8" s="126"/>
      <c r="R8" s="127">
        <f>'1. Standard_Cost'!$B$15*N8*P8</f>
        <v>0</v>
      </c>
      <c r="S8" s="127">
        <f>N8*O8*P8*'1. Standard_Cost'!$C$15</f>
        <v>0</v>
      </c>
      <c r="T8" s="127">
        <f>N8*P8*Q8*'1. Standard_Cost'!$D$15</f>
        <v>0</v>
      </c>
      <c r="U8" s="127">
        <f>N8*O8*'1. Standard_Cost'!$E$15</f>
        <v>0</v>
      </c>
      <c r="V8" s="126"/>
      <c r="W8" s="126"/>
      <c r="X8" s="126"/>
      <c r="Y8" s="127">
        <f>+V8*((X8*'1. Standard_Cost'!$B$19)+(W8*X8*'1. Standard_Cost'!$C$19))</f>
        <v>0</v>
      </c>
      <c r="Z8" s="126"/>
      <c r="AA8" s="126">
        <v>30</v>
      </c>
      <c r="AB8" s="127">
        <f>+Z8*'1. Standard_Cost'!$B$23+AA8*'1. Standard_Cost'!$C$23</f>
        <v>570000</v>
      </c>
      <c r="AC8" s="128">
        <f>4*15*300+15000</f>
        <v>33000</v>
      </c>
      <c r="AD8" s="129"/>
      <c r="AE8" s="127">
        <f>SUM(AD8,AC8,AB8,Y8,U8,T8,S8,R8)*'1. Standard_Cost'!$B$31</f>
        <v>120600</v>
      </c>
      <c r="AF8" s="127">
        <f>SUM(AE8,AD8,AC8,AB8,Y8,U8,T8,S8,R8)</f>
        <v>723600</v>
      </c>
      <c r="AG8" s="126"/>
      <c r="AH8" s="126"/>
      <c r="AI8" s="126"/>
      <c r="AJ8" s="130"/>
      <c r="AK8" s="130"/>
      <c r="AL8" s="130"/>
      <c r="AM8" s="127">
        <f>AG8*'1. Standard_Cost'!$B$27+'Incremental_Cost Year 2'!AH8*'1. Standard_Cost'!$C$27+'Incremental_Cost Year 2'!AI8*'1. Standard_Cost'!$D$27+'Incremental_Cost Year 2'!AJ8+'Incremental_Cost Year 2'!AL8+AK8</f>
        <v>0</v>
      </c>
      <c r="AN8" s="127">
        <f>AM8*'1. Standard_Cost'!$C$31</f>
        <v>0</v>
      </c>
      <c r="AO8" s="130"/>
      <c r="AQ8" s="171">
        <f>L8+M8</f>
        <v>942352.5</v>
      </c>
      <c r="AR8" s="171">
        <f>AF8</f>
        <v>723600</v>
      </c>
      <c r="AS8" s="171">
        <f>AM8+AN8</f>
        <v>0</v>
      </c>
      <c r="AT8" s="171">
        <f>SUM(AQ8,AR8,AS8)</f>
        <v>1665952.5</v>
      </c>
      <c r="AU8" s="250">
        <f>AQ8</f>
        <v>942352.5</v>
      </c>
      <c r="AV8" s="250"/>
      <c r="AW8" s="250"/>
      <c r="AX8" s="250"/>
      <c r="AY8" s="250"/>
      <c r="AZ8" s="250"/>
      <c r="BA8" s="250"/>
      <c r="BB8" s="251">
        <f t="shared" ref="BB8:BB14" si="4">SUM(AU8:BA8)-AT8</f>
        <v>-723600</v>
      </c>
      <c r="BC8" s="169"/>
      <c r="BD8" s="169"/>
      <c r="BE8" s="169"/>
      <c r="BF8" s="169"/>
    </row>
    <row r="9" spans="1:58" ht="141.75" outlineLevel="2" x14ac:dyDescent="0.25">
      <c r="A9" s="115"/>
      <c r="B9" s="200"/>
      <c r="C9" s="201"/>
      <c r="D9" s="135"/>
      <c r="E9" s="219"/>
      <c r="F9" s="219"/>
      <c r="G9" s="313"/>
      <c r="H9" s="199" t="s">
        <v>371</v>
      </c>
      <c r="I9" s="130" t="s">
        <v>4</v>
      </c>
      <c r="J9" s="126">
        <v>3</v>
      </c>
      <c r="K9" s="126">
        <v>10</v>
      </c>
      <c r="L9" s="125">
        <f>IF(I9&lt;&gt;0,((VLOOKUP(I9,'1. Standard_Cost'!$B$4:$D$11,2)+VLOOKUP(I9,'1. Standard_Cost'!$B$4:$D$11,3))*J9*K9),"0")</f>
        <v>2422500</v>
      </c>
      <c r="M9" s="125">
        <f>L9*'1. Standard_Cost'!$F$4</f>
        <v>404557.5</v>
      </c>
      <c r="N9" s="126"/>
      <c r="O9" s="126"/>
      <c r="P9" s="126"/>
      <c r="Q9" s="126"/>
      <c r="R9" s="127">
        <f>'1. Standard_Cost'!$B$15*N9*P9</f>
        <v>0</v>
      </c>
      <c r="S9" s="127">
        <f>N9*O9*P9*'1. Standard_Cost'!$C$15</f>
        <v>0</v>
      </c>
      <c r="T9" s="127">
        <f>N9*P9*Q9*'1. Standard_Cost'!$D$15</f>
        <v>0</v>
      </c>
      <c r="U9" s="127">
        <f>N9*O9*'1. Standard_Cost'!$E$15</f>
        <v>0</v>
      </c>
      <c r="V9" s="126"/>
      <c r="W9" s="126"/>
      <c r="X9" s="126"/>
      <c r="Y9" s="127">
        <f>+V9*((X9*'1. Standard_Cost'!$B$19)+(W9*X9*'1. Standard_Cost'!$C$19))</f>
        <v>0</v>
      </c>
      <c r="Z9" s="126"/>
      <c r="AA9" s="126">
        <v>80</v>
      </c>
      <c r="AB9" s="127">
        <f>+Z9*'1. Standard_Cost'!$B$23+AA9*'1. Standard_Cost'!$C$23</f>
        <v>1520000</v>
      </c>
      <c r="AC9" s="128">
        <f>60*250+15000</f>
        <v>30000</v>
      </c>
      <c r="AD9" s="129"/>
      <c r="AE9" s="127">
        <f>SUM(AD9,AC9,AB9,Y9,U9,T9,S9,R9)*'1. Standard_Cost'!$B$31</f>
        <v>310000</v>
      </c>
      <c r="AF9" s="127">
        <f>SUM(AE9,AD9,AC9,AB9,Y9,U9,T9,S9,R9)</f>
        <v>1860000</v>
      </c>
      <c r="AG9" s="126"/>
      <c r="AH9" s="126"/>
      <c r="AI9" s="126"/>
      <c r="AJ9" s="130"/>
      <c r="AK9" s="130"/>
      <c r="AL9" s="130"/>
      <c r="AM9" s="127">
        <f>AG9*'1. Standard_Cost'!$B$27+'Incremental_Cost Year 2'!AH9*'1. Standard_Cost'!$C$27+'Incremental_Cost Year 2'!AI9*'1. Standard_Cost'!$D$27+'Incremental_Cost Year 2'!AJ9+'Incremental_Cost Year 2'!AL9+AK9</f>
        <v>0</v>
      </c>
      <c r="AN9" s="127">
        <f>AM9*'1. Standard_Cost'!$C$31</f>
        <v>0</v>
      </c>
      <c r="AO9" s="130"/>
      <c r="AQ9" s="171">
        <f>L9+M9</f>
        <v>2827057.5</v>
      </c>
      <c r="AR9" s="171">
        <f>AF9</f>
        <v>1860000</v>
      </c>
      <c r="AS9" s="171">
        <f>AM9+AN9</f>
        <v>0</v>
      </c>
      <c r="AT9" s="171">
        <f>SUM(AQ9,AR9,AS9)</f>
        <v>4687057.5</v>
      </c>
      <c r="AU9" s="250">
        <f>AQ9</f>
        <v>2827057.5</v>
      </c>
      <c r="AV9" s="250"/>
      <c r="AW9" s="250"/>
      <c r="AX9" s="250"/>
      <c r="AY9" s="250"/>
      <c r="AZ9" s="250"/>
      <c r="BA9" s="250"/>
      <c r="BB9" s="251">
        <f t="shared" si="4"/>
        <v>-1860000</v>
      </c>
      <c r="BC9" s="169"/>
      <c r="BD9" s="169"/>
      <c r="BE9" s="169"/>
      <c r="BF9" s="169"/>
    </row>
    <row r="10" spans="1:58" ht="141.75" outlineLevel="2" x14ac:dyDescent="0.25">
      <c r="A10" s="115"/>
      <c r="B10" s="200"/>
      <c r="C10" s="201"/>
      <c r="D10" s="223"/>
      <c r="E10" s="219"/>
      <c r="F10" s="122"/>
      <c r="G10" s="123"/>
      <c r="H10" s="199" t="s">
        <v>372</v>
      </c>
      <c r="I10" s="130"/>
      <c r="J10" s="126"/>
      <c r="K10" s="126"/>
      <c r="L10" s="125" t="str">
        <f>IF(I10&lt;&gt;0,((VLOOKUP(I10,'1. Standard_Cost'!$B$4:$D$11,2)+VLOOKUP(I10,'1. Standard_Cost'!$B$4:$D$11,3))*J10*K10),"0")</f>
        <v>0</v>
      </c>
      <c r="M10" s="125">
        <f>L10*'1. Standard_Cost'!$F$4</f>
        <v>0</v>
      </c>
      <c r="N10" s="126"/>
      <c r="O10" s="126"/>
      <c r="P10" s="126"/>
      <c r="Q10" s="126"/>
      <c r="R10" s="127">
        <f>'1. Standard_Cost'!$B$15*N10*P10</f>
        <v>0</v>
      </c>
      <c r="S10" s="127">
        <f>N10*O10*P10*'1. Standard_Cost'!$C$15</f>
        <v>0</v>
      </c>
      <c r="T10" s="127">
        <f>N10*P10*Q10*'1. Standard_Cost'!$D$15</f>
        <v>0</v>
      </c>
      <c r="U10" s="127">
        <f>N10*O10*'1. Standard_Cost'!$E$15</f>
        <v>0</v>
      </c>
      <c r="V10" s="126"/>
      <c r="W10" s="126"/>
      <c r="X10" s="126"/>
      <c r="Y10" s="127">
        <f>+V10*((X10*'1. Standard_Cost'!$B$19)+(W10*X10*'1. Standard_Cost'!$C$19))</f>
        <v>0</v>
      </c>
      <c r="Z10" s="126"/>
      <c r="AA10" s="126"/>
      <c r="AB10" s="127">
        <f>+Z10*'1. Standard_Cost'!$B$23+AA10*'1. Standard_Cost'!$C$23</f>
        <v>0</v>
      </c>
      <c r="AC10" s="128"/>
      <c r="AD10" s="129"/>
      <c r="AE10" s="127">
        <f>SUM(AD10,AC10,AB10,Y10,U10,T10,S10,R10)*'1. Standard_Cost'!$B$31</f>
        <v>0</v>
      </c>
      <c r="AF10" s="127">
        <f>SUM(AE10,AD10,AC10,AB10,Y10,U10,T10,S10,R10)</f>
        <v>0</v>
      </c>
      <c r="AG10" s="126"/>
      <c r="AH10" s="126"/>
      <c r="AI10" s="126"/>
      <c r="AJ10" s="130"/>
      <c r="AK10" s="130"/>
      <c r="AL10" s="130"/>
      <c r="AM10" s="127">
        <f>AG10*'1. Standard_Cost'!$B$27+'Incremental_Cost Year 2'!AH10*'1. Standard_Cost'!$C$27+'Incremental_Cost Year 2'!AI10*'1. Standard_Cost'!$D$27+'Incremental_Cost Year 2'!AJ10+'Incremental_Cost Year 2'!AL10+AK10</f>
        <v>0</v>
      </c>
      <c r="AN10" s="127">
        <f>AM10*'1. Standard_Cost'!$C$31</f>
        <v>0</v>
      </c>
      <c r="AO10" s="130"/>
      <c r="AQ10" s="171">
        <f>L10+M10</f>
        <v>0</v>
      </c>
      <c r="AR10" s="171">
        <f>AF10</f>
        <v>0</v>
      </c>
      <c r="AS10" s="171">
        <f>AM10+AN10</f>
        <v>0</v>
      </c>
      <c r="AT10" s="171">
        <f>SUM(AQ10,AR10,AS10)</f>
        <v>0</v>
      </c>
      <c r="AU10" s="250"/>
      <c r="AV10" s="250"/>
      <c r="AW10" s="250"/>
      <c r="AX10" s="250"/>
      <c r="AY10" s="250"/>
      <c r="AZ10" s="250"/>
      <c r="BA10" s="250"/>
      <c r="BB10" s="251">
        <f t="shared" si="4"/>
        <v>0</v>
      </c>
      <c r="BC10" s="169"/>
      <c r="BD10" s="169"/>
      <c r="BE10" s="169"/>
      <c r="BF10" s="169"/>
    </row>
    <row r="11" spans="1:58" ht="78.75" outlineLevel="1" x14ac:dyDescent="0.25">
      <c r="A11" s="115"/>
      <c r="B11" s="142"/>
      <c r="C11" s="297"/>
      <c r="D11" s="116" t="s">
        <v>373</v>
      </c>
      <c r="E11" s="209" t="s">
        <v>374</v>
      </c>
      <c r="F11" s="117">
        <v>2022</v>
      </c>
      <c r="G11" s="117">
        <v>2024</v>
      </c>
      <c r="H11" s="298" t="s">
        <v>46</v>
      </c>
      <c r="I11" s="252"/>
      <c r="J11" s="252"/>
      <c r="K11" s="252"/>
      <c r="L11" s="127">
        <f>SUM(L7:L10)</f>
        <v>3553000</v>
      </c>
      <c r="M11" s="127">
        <f>SUM(M7:M10)</f>
        <v>593351</v>
      </c>
      <c r="N11" s="127"/>
      <c r="O11" s="252"/>
      <c r="P11" s="252"/>
      <c r="Q11" s="252"/>
      <c r="R11" s="127">
        <f>SUM(R7:R10)</f>
        <v>0</v>
      </c>
      <c r="S11" s="127">
        <f>SUM(S7:S10)</f>
        <v>0</v>
      </c>
      <c r="T11" s="127">
        <f>SUM(T7:T10)</f>
        <v>0</v>
      </c>
      <c r="U11" s="127">
        <f>SUM(U7:U10)</f>
        <v>0</v>
      </c>
      <c r="V11" s="252"/>
      <c r="W11" s="252"/>
      <c r="X11" s="252"/>
      <c r="Y11" s="127">
        <f>SUM(Y7:Y10)</f>
        <v>0</v>
      </c>
      <c r="Z11" s="252"/>
      <c r="AA11" s="252"/>
      <c r="AB11" s="127">
        <f>SUM(AB7:AB10)</f>
        <v>2280000</v>
      </c>
      <c r="AC11" s="127">
        <f>SUM(AC7:AC9)</f>
        <v>72000</v>
      </c>
      <c r="AD11" s="127">
        <f>SUM(AD7:AD9)</f>
        <v>0</v>
      </c>
      <c r="AE11" s="127">
        <f>SUM(AE7:AE9)</f>
        <v>470400</v>
      </c>
      <c r="AF11" s="127">
        <f>SUM(AF7:AF9)</f>
        <v>2822400</v>
      </c>
      <c r="AG11" s="252"/>
      <c r="AH11" s="252"/>
      <c r="AI11" s="252"/>
      <c r="AJ11" s="127">
        <f>SUM(AJ7:AJ9)</f>
        <v>0</v>
      </c>
      <c r="AK11" s="127">
        <f>SUM(AK7:AK9)</f>
        <v>0</v>
      </c>
      <c r="AL11" s="127">
        <f>SUM(AL7:AL9)</f>
        <v>0</v>
      </c>
      <c r="AM11" s="127">
        <f>SUM(AM7:AM9)</f>
        <v>0</v>
      </c>
      <c r="AN11" s="127">
        <f>SUM(AN7:AN9)</f>
        <v>0</v>
      </c>
      <c r="AO11" s="253"/>
      <c r="AP11" s="254"/>
      <c r="AQ11" s="175">
        <f>SUM(AQ7:AQ10)</f>
        <v>4146351</v>
      </c>
      <c r="AR11" s="175">
        <f t="shared" ref="AR11:BA11" si="5">SUM(AR7:AR10)</f>
        <v>2822400</v>
      </c>
      <c r="AS11" s="175">
        <f t="shared" si="5"/>
        <v>0</v>
      </c>
      <c r="AT11" s="175">
        <f t="shared" si="5"/>
        <v>6968751</v>
      </c>
      <c r="AU11" s="175">
        <f t="shared" si="5"/>
        <v>4146351</v>
      </c>
      <c r="AV11" s="175">
        <f t="shared" si="5"/>
        <v>0</v>
      </c>
      <c r="AW11" s="175">
        <f t="shared" si="5"/>
        <v>0</v>
      </c>
      <c r="AX11" s="175">
        <f t="shared" si="5"/>
        <v>0</v>
      </c>
      <c r="AY11" s="175">
        <f t="shared" si="5"/>
        <v>0</v>
      </c>
      <c r="AZ11" s="175">
        <f t="shared" si="5"/>
        <v>0</v>
      </c>
      <c r="BA11" s="175">
        <f t="shared" si="5"/>
        <v>0</v>
      </c>
      <c r="BB11" s="175">
        <f>SUM(BB7:BB10)</f>
        <v>-2822400</v>
      </c>
      <c r="BC11" s="169"/>
      <c r="BD11" s="169"/>
      <c r="BE11" s="169"/>
      <c r="BF11" s="169"/>
    </row>
    <row r="12" spans="1:58" ht="189" outlineLevel="2" x14ac:dyDescent="0.25">
      <c r="A12" s="115"/>
      <c r="B12" s="200"/>
      <c r="C12" s="201"/>
      <c r="D12" s="138"/>
      <c r="E12" s="295"/>
      <c r="F12" s="295"/>
      <c r="G12" s="296"/>
      <c r="H12" s="299" t="s">
        <v>375</v>
      </c>
      <c r="I12" s="130" t="s">
        <v>3</v>
      </c>
      <c r="J12" s="126">
        <v>1</v>
      </c>
      <c r="K12" s="126">
        <v>10</v>
      </c>
      <c r="L12" s="125">
        <f>IF(I12&lt;&gt;0,((VLOOKUP(I12,'1. Standard_Cost'!$B$4:$D$11,2)+VLOOKUP(I12,'1. Standard_Cost'!$B$4:$D$11,3))*J12*K12),"0")</f>
        <v>1008000</v>
      </c>
      <c r="M12" s="125">
        <f>L12*'1. Standard_Cost'!$F$4</f>
        <v>168336</v>
      </c>
      <c r="N12" s="126"/>
      <c r="O12" s="126"/>
      <c r="P12" s="126"/>
      <c r="Q12" s="126"/>
      <c r="R12" s="127">
        <f>'1. Standard_Cost'!$B$15*N12*P12</f>
        <v>0</v>
      </c>
      <c r="S12" s="127">
        <f>N12*O12*P12*'1. Standard_Cost'!$C$15</f>
        <v>0</v>
      </c>
      <c r="T12" s="127">
        <f>N12*P12*Q12*'1. Standard_Cost'!$D$15</f>
        <v>0</v>
      </c>
      <c r="U12" s="127">
        <f>N12*O12*'1. Standard_Cost'!$E$15</f>
        <v>0</v>
      </c>
      <c r="V12" s="126"/>
      <c r="W12" s="126"/>
      <c r="X12" s="126"/>
      <c r="Y12" s="127">
        <f>+V12*((X12*'1. Standard_Cost'!$B$19)+(W12*X12*'1. Standard_Cost'!$C$19))</f>
        <v>0</v>
      </c>
      <c r="Z12" s="126">
        <v>0</v>
      </c>
      <c r="AA12" s="126">
        <v>0</v>
      </c>
      <c r="AB12" s="127">
        <f>+Z12*'1. Standard_Cost'!$B$23+AA12*'1. Standard_Cost'!$C$23</f>
        <v>0</v>
      </c>
      <c r="AC12" s="128">
        <f>40*250</f>
        <v>10000</v>
      </c>
      <c r="AD12" s="129"/>
      <c r="AE12" s="127">
        <f>SUM(AD12,AC12,AB12,Y12,U12,T12,S12,R12)*'1. Standard_Cost'!$B$31</f>
        <v>2000</v>
      </c>
      <c r="AF12" s="127">
        <f>SUM(AE12,AD12,AC12,AB12,Y12,U12,T12,S12,R12)</f>
        <v>12000</v>
      </c>
      <c r="AG12" s="126"/>
      <c r="AH12" s="126"/>
      <c r="AI12" s="126"/>
      <c r="AJ12" s="130"/>
      <c r="AK12" s="130"/>
      <c r="AL12" s="130"/>
      <c r="AM12" s="127">
        <f>AG12*'1. Standard_Cost'!$B$27+'Incremental_Cost Year 2'!AH12*'1. Standard_Cost'!$C$27+'Incremental_Cost Year 2'!AI12*'1. Standard_Cost'!$D$27+'Incremental_Cost Year 2'!AJ12+'Incremental_Cost Year 2'!AL12+AK12</f>
        <v>0</v>
      </c>
      <c r="AN12" s="127">
        <f>AM12*'1. Standard_Cost'!$C$31</f>
        <v>0</v>
      </c>
      <c r="AO12" s="130"/>
      <c r="AQ12" s="171">
        <f>L12+M12</f>
        <v>1176336</v>
      </c>
      <c r="AR12" s="171">
        <f>AF12</f>
        <v>12000</v>
      </c>
      <c r="AS12" s="171">
        <f>AM12+AN12</f>
        <v>0</v>
      </c>
      <c r="AT12" s="171">
        <f>SUM(AQ12,AR12,AS12)</f>
        <v>1188336</v>
      </c>
      <c r="AU12" s="250">
        <f>AQ12</f>
        <v>1176336</v>
      </c>
      <c r="AV12" s="250"/>
      <c r="AW12" s="250"/>
      <c r="AX12" s="250"/>
      <c r="AY12" s="250"/>
      <c r="AZ12" s="250"/>
      <c r="BA12" s="250"/>
      <c r="BB12" s="251">
        <f t="shared" si="4"/>
        <v>-12000</v>
      </c>
      <c r="BC12" s="169"/>
      <c r="BD12" s="169"/>
      <c r="BE12" s="169"/>
      <c r="BF12" s="169"/>
    </row>
    <row r="13" spans="1:58" ht="94.5" outlineLevel="2" x14ac:dyDescent="0.25">
      <c r="A13" s="115"/>
      <c r="B13" s="200"/>
      <c r="C13" s="201"/>
      <c r="D13" s="135"/>
      <c r="E13" s="219"/>
      <c r="F13" s="219"/>
      <c r="G13" s="313"/>
      <c r="H13" s="213" t="s">
        <v>376</v>
      </c>
      <c r="I13" s="130" t="s">
        <v>3</v>
      </c>
      <c r="J13" s="126">
        <v>0</v>
      </c>
      <c r="K13" s="126">
        <v>0</v>
      </c>
      <c r="L13" s="125">
        <f>IF(I13&lt;&gt;0,((VLOOKUP(I13,'1. Standard_Cost'!$B$4:$D$11,2)+VLOOKUP(I13,'1. Standard_Cost'!$B$4:$D$11,3))*J13*K13),"0")</f>
        <v>0</v>
      </c>
      <c r="M13" s="125">
        <f>L13*'1. Standard_Cost'!$F$4</f>
        <v>0</v>
      </c>
      <c r="N13" s="126"/>
      <c r="O13" s="126"/>
      <c r="P13" s="126"/>
      <c r="Q13" s="126"/>
      <c r="R13" s="127">
        <f>'1. Standard_Cost'!$B$15*N13*P13</f>
        <v>0</v>
      </c>
      <c r="S13" s="127">
        <f>N13*O13*P13*'1. Standard_Cost'!$C$15</f>
        <v>0</v>
      </c>
      <c r="T13" s="127">
        <f>N13*P13*Q13*'1. Standard_Cost'!$D$15</f>
        <v>0</v>
      </c>
      <c r="U13" s="127">
        <f>N13*O13*'1. Standard_Cost'!$E$15</f>
        <v>0</v>
      </c>
      <c r="V13" s="126"/>
      <c r="W13" s="126"/>
      <c r="X13" s="126"/>
      <c r="Y13" s="127">
        <f>+V13*((X13*'1. Standard_Cost'!$B$19)+(W13*X13*'1. Standard_Cost'!$C$19))</f>
        <v>0</v>
      </c>
      <c r="Z13" s="126">
        <v>0</v>
      </c>
      <c r="AA13" s="126">
        <v>0</v>
      </c>
      <c r="AB13" s="127">
        <f>+Z13*'1. Standard_Cost'!$B$23+AA13*'1. Standard_Cost'!$C$23</f>
        <v>0</v>
      </c>
      <c r="AC13" s="128">
        <f>500*700+100000</f>
        <v>450000</v>
      </c>
      <c r="AD13" s="129"/>
      <c r="AE13" s="127">
        <f>SUM(AD13,AC13,AB13,Y13,U13,T13,S13,R13)*'1. Standard_Cost'!$B$31</f>
        <v>90000</v>
      </c>
      <c r="AF13" s="127">
        <f>SUM(AE13,AD13,AC13,AB13,Y13,U13,T13,S13,R13)</f>
        <v>540000</v>
      </c>
      <c r="AG13" s="126"/>
      <c r="AH13" s="126"/>
      <c r="AI13" s="126"/>
      <c r="AJ13" s="130"/>
      <c r="AK13" s="130"/>
      <c r="AL13" s="130"/>
      <c r="AM13" s="127">
        <f>AG13*'1. Standard_Cost'!$B$27+'Incremental_Cost Year 2'!AH13*'1. Standard_Cost'!$C$27+'Incremental_Cost Year 2'!AI13*'1. Standard_Cost'!$D$27+'Incremental_Cost Year 2'!AJ13+'Incremental_Cost Year 2'!AL13+AK13</f>
        <v>0</v>
      </c>
      <c r="AN13" s="127">
        <f>AM13*'1. Standard_Cost'!$C$31</f>
        <v>0</v>
      </c>
      <c r="AO13" s="130"/>
      <c r="AQ13" s="171">
        <f>L13+M13</f>
        <v>0</v>
      </c>
      <c r="AR13" s="171">
        <f>AF13</f>
        <v>540000</v>
      </c>
      <c r="AS13" s="171">
        <f>AM13+AN13</f>
        <v>0</v>
      </c>
      <c r="AT13" s="171">
        <f>SUM(AQ13,AR13,AS13)</f>
        <v>540000</v>
      </c>
      <c r="AU13" s="250">
        <f>AQ13</f>
        <v>0</v>
      </c>
      <c r="AV13" s="250"/>
      <c r="AW13" s="250"/>
      <c r="AX13" s="250">
        <f>AT13</f>
        <v>540000</v>
      </c>
      <c r="AY13" s="250"/>
      <c r="AZ13" s="250"/>
      <c r="BA13" s="250"/>
      <c r="BB13" s="251">
        <f t="shared" si="4"/>
        <v>0</v>
      </c>
      <c r="BC13" s="169"/>
      <c r="BD13" s="169"/>
      <c r="BE13" s="169"/>
      <c r="BF13" s="169"/>
    </row>
    <row r="14" spans="1:58" ht="141.75" outlineLevel="2" x14ac:dyDescent="0.25">
      <c r="A14" s="115"/>
      <c r="B14" s="200"/>
      <c r="C14" s="201"/>
      <c r="D14" s="223"/>
      <c r="E14" s="219"/>
      <c r="F14" s="219"/>
      <c r="G14" s="313"/>
      <c r="H14" s="213" t="s">
        <v>377</v>
      </c>
      <c r="I14" s="130" t="s">
        <v>3</v>
      </c>
      <c r="J14" s="126">
        <v>0.5</v>
      </c>
      <c r="K14" s="126">
        <v>3</v>
      </c>
      <c r="L14" s="125">
        <f>IF(I14&lt;&gt;0,((VLOOKUP(I14,'1. Standard_Cost'!$B$4:$D$11,2)+VLOOKUP(I14,'1. Standard_Cost'!$B$4:$D$11,3))*J14*K14),"0")</f>
        <v>151200</v>
      </c>
      <c r="M14" s="125">
        <f>L14*'1. Standard_Cost'!$F$4</f>
        <v>25250.400000000001</v>
      </c>
      <c r="N14" s="126">
        <v>5</v>
      </c>
      <c r="O14" s="126">
        <v>1</v>
      </c>
      <c r="P14" s="126">
        <v>15</v>
      </c>
      <c r="Q14" s="126"/>
      <c r="R14" s="127">
        <f>'1. Standard_Cost'!$B$15*N14*P14</f>
        <v>150000</v>
      </c>
      <c r="S14" s="127">
        <f>N14*O14*P14*'1. Standard_Cost'!$C$15</f>
        <v>112500</v>
      </c>
      <c r="T14" s="127">
        <f>N14*P14*Q14*'1. Standard_Cost'!$D$15</f>
        <v>0</v>
      </c>
      <c r="U14" s="127">
        <f>N14*O14*'1. Standard_Cost'!$E$15</f>
        <v>200000</v>
      </c>
      <c r="V14" s="126"/>
      <c r="W14" s="126"/>
      <c r="X14" s="126"/>
      <c r="Y14" s="127">
        <f>+V14*((X14*'1. Standard_Cost'!$B$19)+(W14*X14*'1. Standard_Cost'!$C$19))</f>
        <v>0</v>
      </c>
      <c r="Z14" s="126"/>
      <c r="AA14" s="126">
        <v>6</v>
      </c>
      <c r="AB14" s="127">
        <f>+Z14*'1. Standard_Cost'!$B$23+AA14*'1. Standard_Cost'!$C$23</f>
        <v>114000</v>
      </c>
      <c r="AC14" s="128">
        <f>75*3300</f>
        <v>247500</v>
      </c>
      <c r="AD14" s="129"/>
      <c r="AE14" s="127">
        <f>SUM(AD14,AC14,AB14,Y14,U14,T14,S14,R14)*'1. Standard_Cost'!$B$31</f>
        <v>164800</v>
      </c>
      <c r="AF14" s="127">
        <f>SUM(AE14,AD14,AC14,AB14,Y14,U14,T14,S14,R14)</f>
        <v>988800</v>
      </c>
      <c r="AG14" s="126"/>
      <c r="AH14" s="126"/>
      <c r="AI14" s="126"/>
      <c r="AJ14" s="130"/>
      <c r="AK14" s="130"/>
      <c r="AL14" s="130"/>
      <c r="AM14" s="127">
        <f>AG14*'1. Standard_Cost'!$B$27+'Incremental_Cost Year 2'!AH14*'1. Standard_Cost'!$C$27+'Incremental_Cost Year 2'!AI14*'1. Standard_Cost'!$D$27+'Incremental_Cost Year 2'!AJ14+'Incremental_Cost Year 2'!AL14+AK14</f>
        <v>0</v>
      </c>
      <c r="AN14" s="127">
        <f>AM14*'1. Standard_Cost'!$C$31</f>
        <v>0</v>
      </c>
      <c r="AO14" s="130"/>
      <c r="AQ14" s="171">
        <f>L14+M14</f>
        <v>176450.4</v>
      </c>
      <c r="AR14" s="171">
        <f>AF14</f>
        <v>988800</v>
      </c>
      <c r="AS14" s="171">
        <f>AM14+AN14</f>
        <v>0</v>
      </c>
      <c r="AT14" s="171">
        <f>SUM(AQ14,AR14,AS14)</f>
        <v>1165250.3999999999</v>
      </c>
      <c r="AU14" s="250">
        <f>AQ14</f>
        <v>176450.4</v>
      </c>
      <c r="AV14" s="250"/>
      <c r="AW14" s="250"/>
      <c r="AX14" s="250"/>
      <c r="AY14" s="250"/>
      <c r="AZ14" s="250"/>
      <c r="BA14" s="250"/>
      <c r="BB14" s="251">
        <f t="shared" si="4"/>
        <v>-988799.99999999988</v>
      </c>
      <c r="BC14" s="169"/>
      <c r="BD14" s="169"/>
      <c r="BE14" s="169"/>
      <c r="BF14" s="169"/>
    </row>
    <row r="15" spans="1:58" ht="63" outlineLevel="1" x14ac:dyDescent="0.25">
      <c r="A15" s="115"/>
      <c r="B15" s="165"/>
      <c r="C15" s="166"/>
      <c r="D15" s="110" t="s">
        <v>378</v>
      </c>
      <c r="E15" s="116" t="s">
        <v>379</v>
      </c>
      <c r="F15" s="209">
        <v>2021</v>
      </c>
      <c r="G15" s="117">
        <v>2030</v>
      </c>
      <c r="H15" s="110" t="s">
        <v>47</v>
      </c>
      <c r="I15" s="252"/>
      <c r="J15" s="252"/>
      <c r="K15" s="252"/>
      <c r="L15" s="127">
        <f>SUM(L12:L14)</f>
        <v>1159200</v>
      </c>
      <c r="M15" s="127">
        <f>SUM(M12:M14)</f>
        <v>193586.4</v>
      </c>
      <c r="N15" s="252"/>
      <c r="O15" s="252"/>
      <c r="P15" s="252"/>
      <c r="Q15" s="252"/>
      <c r="R15" s="127">
        <f>SUM(R12:R14)</f>
        <v>150000</v>
      </c>
      <c r="S15" s="127">
        <f>SUM(S12:S14)</f>
        <v>112500</v>
      </c>
      <c r="T15" s="127">
        <f>SUM(T12:T14)</f>
        <v>0</v>
      </c>
      <c r="U15" s="127">
        <f>SUM(U12:U14)</f>
        <v>200000</v>
      </c>
      <c r="V15" s="252"/>
      <c r="W15" s="252"/>
      <c r="X15" s="252"/>
      <c r="Y15" s="127">
        <f>SUM(Y12:Y14)</f>
        <v>0</v>
      </c>
      <c r="Z15" s="252"/>
      <c r="AA15" s="252"/>
      <c r="AB15" s="127">
        <f>SUM(AB12:AB14)</f>
        <v>114000</v>
      </c>
      <c r="AC15" s="127">
        <f>SUM(AC12:AC14)</f>
        <v>707500</v>
      </c>
      <c r="AD15" s="127">
        <f>SUM(AD12:AD14)</f>
        <v>0</v>
      </c>
      <c r="AE15" s="127">
        <f>SUM(AE12:AE14)</f>
        <v>256800</v>
      </c>
      <c r="AF15" s="127">
        <f>SUM(AF12:AF14)</f>
        <v>1540800</v>
      </c>
      <c r="AG15" s="252"/>
      <c r="AH15" s="252"/>
      <c r="AI15" s="252"/>
      <c r="AJ15" s="127">
        <f>SUM(AJ12:AJ12)</f>
        <v>0</v>
      </c>
      <c r="AK15" s="127">
        <f>SUM(AK12:AK14)</f>
        <v>0</v>
      </c>
      <c r="AL15" s="127">
        <f>SUM(AL12:AL14)</f>
        <v>0</v>
      </c>
      <c r="AM15" s="127">
        <f>SUM(AM12:AM14)</f>
        <v>0</v>
      </c>
      <c r="AN15" s="127">
        <f>SUM(AN12:AN14)</f>
        <v>0</v>
      </c>
      <c r="AO15" s="253"/>
      <c r="AP15" s="254"/>
      <c r="AQ15" s="175">
        <f>SUM(AQ12:AQ14)</f>
        <v>1352786.4</v>
      </c>
      <c r="AR15" s="175">
        <f>SUM(AR12:AR14)</f>
        <v>1540800</v>
      </c>
      <c r="AS15" s="175">
        <f>SUM(AS12:AS14)</f>
        <v>0</v>
      </c>
      <c r="AT15" s="175">
        <f>SUM(AT12:AT14)</f>
        <v>2893586.4</v>
      </c>
      <c r="AU15" s="175">
        <f t="shared" ref="AU15:BB15" si="6">SUM(AU12:AU14)</f>
        <v>1352786.4</v>
      </c>
      <c r="AV15" s="175">
        <f t="shared" si="6"/>
        <v>0</v>
      </c>
      <c r="AW15" s="175">
        <f>SUM(AW12:AW14)</f>
        <v>0</v>
      </c>
      <c r="AX15" s="175">
        <f t="shared" si="6"/>
        <v>540000</v>
      </c>
      <c r="AY15" s="175">
        <f t="shared" si="6"/>
        <v>0</v>
      </c>
      <c r="AZ15" s="175">
        <f t="shared" si="6"/>
        <v>0</v>
      </c>
      <c r="BA15" s="175">
        <f t="shared" si="6"/>
        <v>0</v>
      </c>
      <c r="BB15" s="175">
        <f t="shared" si="6"/>
        <v>-1000799.9999999999</v>
      </c>
      <c r="BC15" s="169"/>
      <c r="BD15" s="169"/>
      <c r="BE15" s="169"/>
      <c r="BF15" s="169"/>
    </row>
    <row r="16" spans="1:58" s="170" customFormat="1" ht="15.75" customHeight="1" x14ac:dyDescent="0.25">
      <c r="A16" s="120"/>
      <c r="B16" s="290"/>
      <c r="C16" s="391" t="s">
        <v>192</v>
      </c>
      <c r="D16" s="391"/>
      <c r="E16" s="392"/>
      <c r="F16" s="288"/>
      <c r="G16" s="288"/>
      <c r="H16" s="114" t="s">
        <v>209</v>
      </c>
      <c r="I16" s="246"/>
      <c r="J16" s="246"/>
      <c r="K16" s="246"/>
      <c r="L16" s="247">
        <f>SUM(L19)</f>
        <v>0</v>
      </c>
      <c r="M16" s="247">
        <f>SUM(M19)</f>
        <v>0</v>
      </c>
      <c r="N16" s="247"/>
      <c r="O16" s="247"/>
      <c r="P16" s="247"/>
      <c r="Q16" s="247"/>
      <c r="R16" s="247">
        <f>SUM(R19)</f>
        <v>0</v>
      </c>
      <c r="S16" s="247">
        <f>SUM(S19)</f>
        <v>0</v>
      </c>
      <c r="T16" s="247">
        <f>SUM(T19)</f>
        <v>0</v>
      </c>
      <c r="U16" s="247">
        <f>SUM(U19)</f>
        <v>0</v>
      </c>
      <c r="V16" s="247"/>
      <c r="W16" s="247"/>
      <c r="X16" s="247"/>
      <c r="Y16" s="247">
        <f>SUM(Y19)</f>
        <v>0</v>
      </c>
      <c r="Z16" s="247">
        <f t="shared" ref="Z16:AA16" si="7">SUM(Z19)</f>
        <v>0</v>
      </c>
      <c r="AA16" s="247">
        <f t="shared" si="7"/>
        <v>0</v>
      </c>
      <c r="AB16" s="247">
        <f t="shared" ref="AB16:AF16" si="8">SUM(AB19)</f>
        <v>0</v>
      </c>
      <c r="AC16" s="247">
        <f t="shared" si="8"/>
        <v>0</v>
      </c>
      <c r="AD16" s="247">
        <f t="shared" si="8"/>
        <v>0</v>
      </c>
      <c r="AE16" s="247">
        <f t="shared" si="8"/>
        <v>0</v>
      </c>
      <c r="AF16" s="247">
        <f t="shared" si="8"/>
        <v>0</v>
      </c>
      <c r="AG16" s="247"/>
      <c r="AH16" s="247"/>
      <c r="AI16" s="247"/>
      <c r="AJ16" s="247">
        <f>SUM(AJ19)</f>
        <v>0</v>
      </c>
      <c r="AK16" s="247">
        <f>SUM(AK19)</f>
        <v>0</v>
      </c>
      <c r="AL16" s="247">
        <f>SUM(AL19)</f>
        <v>0</v>
      </c>
      <c r="AM16" s="247">
        <f>SUM(AM19)</f>
        <v>0</v>
      </c>
      <c r="AN16" s="247">
        <f>SUM(AN19)</f>
        <v>0</v>
      </c>
      <c r="AO16" s="247"/>
      <c r="AP16" s="244"/>
      <c r="AQ16" s="248">
        <f>SUM(AQ19)</f>
        <v>0</v>
      </c>
      <c r="AR16" s="248">
        <f>SUM(AR19)</f>
        <v>0</v>
      </c>
      <c r="AS16" s="248">
        <f>SUM(AS19)</f>
        <v>0</v>
      </c>
      <c r="AT16" s="248">
        <f>SUM(AT19)</f>
        <v>0</v>
      </c>
      <c r="AU16" s="248">
        <f t="shared" ref="AU16:BB16" si="9">SUM(AU19)</f>
        <v>0</v>
      </c>
      <c r="AV16" s="248">
        <f t="shared" si="9"/>
        <v>0</v>
      </c>
      <c r="AW16" s="248">
        <f>SUM(AW19)</f>
        <v>0</v>
      </c>
      <c r="AX16" s="248">
        <f t="shared" si="9"/>
        <v>0</v>
      </c>
      <c r="AY16" s="248">
        <f t="shared" si="9"/>
        <v>0</v>
      </c>
      <c r="AZ16" s="248">
        <f t="shared" si="9"/>
        <v>0</v>
      </c>
      <c r="BA16" s="248">
        <f t="shared" si="9"/>
        <v>0</v>
      </c>
      <c r="BB16" s="248">
        <f t="shared" si="9"/>
        <v>0</v>
      </c>
    </row>
    <row r="17" spans="1:58" ht="110.25" customHeight="1" outlineLevel="2" x14ac:dyDescent="0.25">
      <c r="A17" s="115"/>
      <c r="B17" s="200"/>
      <c r="C17" s="201"/>
      <c r="D17" s="220"/>
      <c r="E17" s="294"/>
      <c r="F17" s="295"/>
      <c r="G17" s="296"/>
      <c r="H17" s="199" t="s">
        <v>380</v>
      </c>
      <c r="I17" s="130"/>
      <c r="J17" s="126"/>
      <c r="K17" s="126"/>
      <c r="L17" s="125" t="str">
        <f>IF(I17&lt;&gt;0,((VLOOKUP(I17,'1. Standard_Cost'!$B$4:$D$11,2)+VLOOKUP(I17,'1. Standard_Cost'!$B$4:$D$11,3))*J17*K17),"0")</f>
        <v>0</v>
      </c>
      <c r="M17" s="125">
        <f>L17*'1. Standard_Cost'!$F$4</f>
        <v>0</v>
      </c>
      <c r="N17" s="126"/>
      <c r="O17" s="126"/>
      <c r="P17" s="126"/>
      <c r="Q17" s="126"/>
      <c r="R17" s="127">
        <f>'1. Standard_Cost'!$B$15*N17*P17</f>
        <v>0</v>
      </c>
      <c r="S17" s="127">
        <f>N17*O17*P17*'1. Standard_Cost'!$C$15</f>
        <v>0</v>
      </c>
      <c r="T17" s="127">
        <f>N17*P17*Q17*'1. Standard_Cost'!$D$15</f>
        <v>0</v>
      </c>
      <c r="U17" s="127">
        <f>N17*O17*'1. Standard_Cost'!$E$15</f>
        <v>0</v>
      </c>
      <c r="V17" s="126"/>
      <c r="W17" s="126"/>
      <c r="X17" s="126"/>
      <c r="Y17" s="127">
        <f>+V17*((X17*'1. Standard_Cost'!$B$19)+(W17*X17*'1. Standard_Cost'!$C$19))</f>
        <v>0</v>
      </c>
      <c r="Z17" s="126"/>
      <c r="AA17" s="126"/>
      <c r="AB17" s="127">
        <f>+Z17*'1. Standard_Cost'!$B$23+AA17*'1. Standard_Cost'!$C$23</f>
        <v>0</v>
      </c>
      <c r="AC17" s="128"/>
      <c r="AD17" s="129"/>
      <c r="AE17" s="127">
        <f>SUM(AD17,AC17,AB17,Y17,U17,T17,S17,R17)*'1. Standard_Cost'!$B$31</f>
        <v>0</v>
      </c>
      <c r="AF17" s="127">
        <f>SUM(AE17,AD17,AC17,AB17,Y17,U17,T17,S17,R17)</f>
        <v>0</v>
      </c>
      <c r="AG17" s="126"/>
      <c r="AH17" s="126"/>
      <c r="AI17" s="126"/>
      <c r="AJ17" s="130"/>
      <c r="AK17" s="130"/>
      <c r="AL17" s="130"/>
      <c r="AM17" s="127">
        <f>AG17*'1. Standard_Cost'!$B$27+'Incremental_Cost Year 2'!AH17*'1. Standard_Cost'!$C$27+'Incremental_Cost Year 2'!AI17*'1. Standard_Cost'!$D$27+'Incremental_Cost Year 2'!AJ17+'Incremental_Cost Year 2'!AL17+AK17</f>
        <v>0</v>
      </c>
      <c r="AN17" s="127">
        <f>AM17*'1. Standard_Cost'!$C$31</f>
        <v>0</v>
      </c>
      <c r="AO17" s="249"/>
      <c r="AQ17" s="171">
        <f>L17+M17</f>
        <v>0</v>
      </c>
      <c r="AR17" s="171">
        <f>AF17</f>
        <v>0</v>
      </c>
      <c r="AS17" s="171">
        <f>AM17+AN17</f>
        <v>0</v>
      </c>
      <c r="AT17" s="171">
        <f>SUM(AQ17,AR17,AS17)</f>
        <v>0</v>
      </c>
      <c r="AU17" s="250"/>
      <c r="AV17" s="250"/>
      <c r="AW17" s="250"/>
      <c r="AX17" s="250"/>
      <c r="AY17" s="250"/>
      <c r="AZ17" s="250"/>
      <c r="BA17" s="250"/>
      <c r="BB17" s="251">
        <f t="shared" ref="BB17:BB18" si="10">SUM(AU17:BA17)-AT17</f>
        <v>0</v>
      </c>
      <c r="BC17" s="169"/>
      <c r="BD17" s="169"/>
      <c r="BE17" s="169"/>
      <c r="BF17" s="169"/>
    </row>
    <row r="18" spans="1:58" ht="126" outlineLevel="2" x14ac:dyDescent="0.25">
      <c r="A18" s="115"/>
      <c r="B18" s="200"/>
      <c r="C18" s="201"/>
      <c r="D18" s="221"/>
      <c r="E18" s="121"/>
      <c r="F18" s="122"/>
      <c r="G18" s="123"/>
      <c r="H18" s="199" t="s">
        <v>381</v>
      </c>
      <c r="I18" s="130"/>
      <c r="J18" s="126"/>
      <c r="K18" s="126"/>
      <c r="L18" s="125" t="str">
        <f>IF(I18&lt;&gt;0,((VLOOKUP(I18,'1. Standard_Cost'!$B$4:$D$11,2)+VLOOKUP(I18,'1. Standard_Cost'!$B$4:$D$11,3))*J18*K18),"0")</f>
        <v>0</v>
      </c>
      <c r="M18" s="125">
        <f>L18*'1. Standard_Cost'!$F$4</f>
        <v>0</v>
      </c>
      <c r="N18" s="126"/>
      <c r="O18" s="126"/>
      <c r="P18" s="126"/>
      <c r="Q18" s="126"/>
      <c r="R18" s="127">
        <f>'1. Standard_Cost'!$B$15*N18*P18</f>
        <v>0</v>
      </c>
      <c r="S18" s="127">
        <f>N18*O18*P18*'1. Standard_Cost'!$C$15</f>
        <v>0</v>
      </c>
      <c r="T18" s="127">
        <f>N18*P18*Q18*'1. Standard_Cost'!$D$15</f>
        <v>0</v>
      </c>
      <c r="U18" s="127">
        <f>N18*O18*'1. Standard_Cost'!$E$15</f>
        <v>0</v>
      </c>
      <c r="V18" s="126"/>
      <c r="W18" s="126"/>
      <c r="X18" s="126"/>
      <c r="Y18" s="127">
        <f>+V18*((X18*'1. Standard_Cost'!$B$19)+(W18*X18*'1. Standard_Cost'!$C$19))</f>
        <v>0</v>
      </c>
      <c r="Z18" s="126"/>
      <c r="AA18" s="126"/>
      <c r="AB18" s="127">
        <f>+Z18*'1. Standard_Cost'!$B$23+AA18*'1. Standard_Cost'!$C$23</f>
        <v>0</v>
      </c>
      <c r="AC18" s="128"/>
      <c r="AD18" s="129"/>
      <c r="AE18" s="127">
        <f>SUM(AD18,AC18,AB18,Y18,U18,T18,S18,R18)*'1. Standard_Cost'!$B$31</f>
        <v>0</v>
      </c>
      <c r="AF18" s="127">
        <f>SUM(AE18,AD18,AC18,AB18,Y18,U18,T18,S18,R18)</f>
        <v>0</v>
      </c>
      <c r="AG18" s="126"/>
      <c r="AH18" s="126"/>
      <c r="AI18" s="126"/>
      <c r="AJ18" s="130"/>
      <c r="AK18" s="130"/>
      <c r="AL18" s="130"/>
      <c r="AM18" s="127">
        <f>AG18*'1. Standard_Cost'!$B$27+'Incremental_Cost Year 2'!AH18*'1. Standard_Cost'!$C$27+'Incremental_Cost Year 2'!AI18*'1. Standard_Cost'!$D$27+'Incremental_Cost Year 2'!AJ18+'Incremental_Cost Year 2'!AL18+AK18</f>
        <v>0</v>
      </c>
      <c r="AN18" s="127">
        <f>AM18*'1. Standard_Cost'!$C$31</f>
        <v>0</v>
      </c>
      <c r="AO18" s="130"/>
      <c r="AQ18" s="171">
        <f>L18+M18</f>
        <v>0</v>
      </c>
      <c r="AR18" s="171">
        <f>AF18</f>
        <v>0</v>
      </c>
      <c r="AS18" s="171">
        <f>AM18+AN18</f>
        <v>0</v>
      </c>
      <c r="AT18" s="171">
        <f>SUM(AQ18,AR18,AS18)</f>
        <v>0</v>
      </c>
      <c r="AU18" s="250"/>
      <c r="AV18" s="250"/>
      <c r="AW18" s="250"/>
      <c r="AX18" s="250"/>
      <c r="AY18" s="250"/>
      <c r="AZ18" s="250"/>
      <c r="BA18" s="250"/>
      <c r="BB18" s="251">
        <f t="shared" si="10"/>
        <v>0</v>
      </c>
      <c r="BC18" s="169"/>
      <c r="BD18" s="169"/>
      <c r="BE18" s="169"/>
      <c r="BF18" s="169"/>
    </row>
    <row r="19" spans="1:58" ht="63" outlineLevel="1" x14ac:dyDescent="0.25">
      <c r="A19" s="115"/>
      <c r="B19" s="200"/>
      <c r="C19" s="201"/>
      <c r="D19" s="107" t="s">
        <v>240</v>
      </c>
      <c r="E19" s="139" t="s">
        <v>193</v>
      </c>
      <c r="F19" s="136">
        <v>2024</v>
      </c>
      <c r="G19" s="117">
        <v>2027</v>
      </c>
      <c r="H19" s="134" t="s">
        <v>194</v>
      </c>
      <c r="I19" s="252"/>
      <c r="J19" s="252"/>
      <c r="K19" s="252"/>
      <c r="L19" s="127">
        <f>SUM(L17:L18)</f>
        <v>0</v>
      </c>
      <c r="M19" s="127">
        <f>SUM(M17:M18)</f>
        <v>0</v>
      </c>
      <c r="N19" s="127"/>
      <c r="O19" s="252"/>
      <c r="P19" s="252"/>
      <c r="Q19" s="252"/>
      <c r="R19" s="127">
        <f>SUM(R17:R18)</f>
        <v>0</v>
      </c>
      <c r="S19" s="127">
        <f>SUM(S17:S18)</f>
        <v>0</v>
      </c>
      <c r="T19" s="127">
        <f>SUM(T17:T18)</f>
        <v>0</v>
      </c>
      <c r="U19" s="127">
        <f>SUM(U17:U18)</f>
        <v>0</v>
      </c>
      <c r="V19" s="252"/>
      <c r="W19" s="252"/>
      <c r="X19" s="252"/>
      <c r="Y19" s="127">
        <f>SUM(Y17:Y18)</f>
        <v>0</v>
      </c>
      <c r="Z19" s="252"/>
      <c r="AA19" s="252"/>
      <c r="AB19" s="127">
        <f>SUM(AB17:AB18)</f>
        <v>0</v>
      </c>
      <c r="AC19" s="127">
        <f>SUM(AC17:AC18)</f>
        <v>0</v>
      </c>
      <c r="AD19" s="127">
        <f>SUM(AD17:AD18)</f>
        <v>0</v>
      </c>
      <c r="AE19" s="127">
        <f>SUM(AE17:AE18)</f>
        <v>0</v>
      </c>
      <c r="AF19" s="127">
        <f>SUM(AF17:AF18)</f>
        <v>0</v>
      </c>
      <c r="AG19" s="252"/>
      <c r="AH19" s="252"/>
      <c r="AI19" s="252"/>
      <c r="AJ19" s="127">
        <f>SUM(AJ17:AJ18)</f>
        <v>0</v>
      </c>
      <c r="AK19" s="127">
        <f>SUM(AK17:AK18)</f>
        <v>0</v>
      </c>
      <c r="AL19" s="127">
        <f>SUM(AL17:AL18)</f>
        <v>0</v>
      </c>
      <c r="AM19" s="127">
        <f>SUM(AM17:AM18)</f>
        <v>0</v>
      </c>
      <c r="AN19" s="127">
        <f>SUM(AN17:AN18)</f>
        <v>0</v>
      </c>
      <c r="AO19" s="253"/>
      <c r="AP19" s="254"/>
      <c r="AQ19" s="175">
        <f>SUM(AQ17:AQ18)</f>
        <v>0</v>
      </c>
      <c r="AR19" s="175">
        <f>SUM(AR17:AR18)</f>
        <v>0</v>
      </c>
      <c r="AS19" s="175">
        <f>SUM(AS17:AS18)</f>
        <v>0</v>
      </c>
      <c r="AT19" s="175">
        <f>SUM(AT17:AT18)</f>
        <v>0</v>
      </c>
      <c r="AU19" s="175">
        <f t="shared" ref="AU19:BB19" si="11">SUM(AU17:AU18)</f>
        <v>0</v>
      </c>
      <c r="AV19" s="175">
        <f t="shared" si="11"/>
        <v>0</v>
      </c>
      <c r="AW19" s="175">
        <f>SUM(AW17:AW18)</f>
        <v>0</v>
      </c>
      <c r="AX19" s="175">
        <f t="shared" si="11"/>
        <v>0</v>
      </c>
      <c r="AY19" s="175">
        <f t="shared" si="11"/>
        <v>0</v>
      </c>
      <c r="AZ19" s="175">
        <f t="shared" si="11"/>
        <v>0</v>
      </c>
      <c r="BA19" s="175">
        <f t="shared" si="11"/>
        <v>0</v>
      </c>
      <c r="BB19" s="175">
        <f t="shared" si="11"/>
        <v>0</v>
      </c>
      <c r="BC19" s="169"/>
      <c r="BD19" s="169"/>
      <c r="BE19" s="169"/>
      <c r="BF19" s="169"/>
    </row>
    <row r="20" spans="1:58" s="170" customFormat="1" ht="15.75" customHeight="1" x14ac:dyDescent="0.25">
      <c r="A20" s="120"/>
      <c r="B20" s="290"/>
      <c r="C20" s="391" t="s">
        <v>195</v>
      </c>
      <c r="D20" s="391"/>
      <c r="E20" s="392"/>
      <c r="F20" s="288"/>
      <c r="G20" s="288"/>
      <c r="H20" s="114" t="s">
        <v>208</v>
      </c>
      <c r="I20" s="246"/>
      <c r="J20" s="246"/>
      <c r="K20" s="246"/>
      <c r="L20" s="247">
        <f>SUM(L25+L29+L37+L39)</f>
        <v>279312600</v>
      </c>
      <c r="M20" s="247">
        <f>SUM(M25+M29+M37+M39)</f>
        <v>46645204.200000003</v>
      </c>
      <c r="N20" s="247"/>
      <c r="O20" s="247"/>
      <c r="P20" s="247"/>
      <c r="Q20" s="247"/>
      <c r="R20" s="247">
        <f>SUM(R25+R29+R37+R39)</f>
        <v>0</v>
      </c>
      <c r="S20" s="247">
        <f>SUM(S25+S29+S37+S39)</f>
        <v>0</v>
      </c>
      <c r="T20" s="247">
        <f>SUM(T25+T29+T37+T39)</f>
        <v>0</v>
      </c>
      <c r="U20" s="247">
        <f>SUM(U25+U29+U37+U39)</f>
        <v>0</v>
      </c>
      <c r="V20" s="247"/>
      <c r="W20" s="247"/>
      <c r="X20" s="247"/>
      <c r="Y20" s="247">
        <f>SUM(Y25+Y29+Y37+Y39)</f>
        <v>0</v>
      </c>
      <c r="Z20" s="247">
        <f t="shared" ref="Z20:AA20" si="12">SUM(Z25+Z29+Z37+Z39)</f>
        <v>0</v>
      </c>
      <c r="AA20" s="247">
        <f t="shared" si="12"/>
        <v>0</v>
      </c>
      <c r="AB20" s="247">
        <f t="shared" ref="AB20:AF20" si="13">SUM(AB25+AB29+AB37+AB39)</f>
        <v>0</v>
      </c>
      <c r="AC20" s="247">
        <f t="shared" si="13"/>
        <v>4856607100</v>
      </c>
      <c r="AD20" s="247">
        <f t="shared" si="13"/>
        <v>0</v>
      </c>
      <c r="AE20" s="247">
        <f t="shared" si="13"/>
        <v>570000</v>
      </c>
      <c r="AF20" s="247">
        <f t="shared" si="13"/>
        <v>4857177100</v>
      </c>
      <c r="AG20" s="247"/>
      <c r="AH20" s="247"/>
      <c r="AI20" s="247"/>
      <c r="AJ20" s="247">
        <f>SUM(AJ25+AJ29+AJ37+AJ39)</f>
        <v>0</v>
      </c>
      <c r="AK20" s="247">
        <f>SUM(AK25+AK29+AK37+AK39)</f>
        <v>0</v>
      </c>
      <c r="AL20" s="247">
        <f>SUM(AL25+AL29+AL37+AL39)</f>
        <v>0</v>
      </c>
      <c r="AM20" s="247">
        <f>SUM(AM25+AM29+AM37+AM39)</f>
        <v>0</v>
      </c>
      <c r="AN20" s="247">
        <f>SUM(AN25+AN29+AN37+AN39)</f>
        <v>0</v>
      </c>
      <c r="AO20" s="247"/>
      <c r="AP20" s="244"/>
      <c r="AQ20" s="248">
        <f>SUM(AQ25+AQ29+AQ37+AQ39)</f>
        <v>325957804.19999999</v>
      </c>
      <c r="AR20" s="248">
        <f>SUM(AR25+AR29+AR37+AR39)</f>
        <v>4857177100</v>
      </c>
      <c r="AS20" s="248">
        <f>SUM(AS25+AS29+AS37+AS39)</f>
        <v>0</v>
      </c>
      <c r="AT20" s="248">
        <f>SUM(AT25+AT29+AT37+AT39)</f>
        <v>5183134904.1999998</v>
      </c>
      <c r="AU20" s="248">
        <f t="shared" ref="AU20:BB20" si="14">SUM(AU25+AU29+AU37+AU39)</f>
        <v>3428134904.1999998</v>
      </c>
      <c r="AV20" s="248">
        <f t="shared" si="14"/>
        <v>0</v>
      </c>
      <c r="AW20" s="248">
        <f>SUM(AW25+AW29+AW37+AW39)</f>
        <v>0</v>
      </c>
      <c r="AX20" s="248">
        <f t="shared" si="14"/>
        <v>0</v>
      </c>
      <c r="AY20" s="248">
        <f t="shared" si="14"/>
        <v>0</v>
      </c>
      <c r="AZ20" s="248">
        <f t="shared" si="14"/>
        <v>0</v>
      </c>
      <c r="BA20" s="248">
        <f t="shared" si="14"/>
        <v>0</v>
      </c>
      <c r="BB20" s="248">
        <f t="shared" si="14"/>
        <v>-1755000000</v>
      </c>
    </row>
    <row r="21" spans="1:58" ht="189" customHeight="1" outlineLevel="2" x14ac:dyDescent="0.25">
      <c r="A21" s="115"/>
      <c r="B21" s="200"/>
      <c r="C21" s="201"/>
      <c r="D21" s="135"/>
      <c r="E21" s="219"/>
      <c r="F21" s="219"/>
      <c r="G21" s="313"/>
      <c r="H21" s="199" t="s">
        <v>382</v>
      </c>
      <c r="I21" s="130"/>
      <c r="J21" s="126"/>
      <c r="K21" s="126"/>
      <c r="L21" s="125" t="str">
        <f>IF(I21&lt;&gt;0,((VLOOKUP(I21,'1. Standard_Cost'!$B$4:$D$11,2)+VLOOKUP(I21,'1. Standard_Cost'!$B$4:$D$11,3))*J21*K21),"0")</f>
        <v>0</v>
      </c>
      <c r="M21" s="125">
        <f>L21*'1. Standard_Cost'!$F$4</f>
        <v>0</v>
      </c>
      <c r="N21" s="126"/>
      <c r="O21" s="126"/>
      <c r="P21" s="126"/>
      <c r="Q21" s="126"/>
      <c r="R21" s="127">
        <f>'1. Standard_Cost'!$B$15*N21*P21</f>
        <v>0</v>
      </c>
      <c r="S21" s="127">
        <f>N21*O21*P21*'1. Standard_Cost'!$C$15</f>
        <v>0</v>
      </c>
      <c r="T21" s="127">
        <f>N21*P21*Q21*'1. Standard_Cost'!$D$15</f>
        <v>0</v>
      </c>
      <c r="U21" s="127">
        <f>N21*O21*'1. Standard_Cost'!$E$15</f>
        <v>0</v>
      </c>
      <c r="V21" s="126"/>
      <c r="W21" s="126"/>
      <c r="X21" s="126"/>
      <c r="Y21" s="127">
        <f>+V21*((X21*'1. Standard_Cost'!$B$19)+(W21*X21*'1. Standard_Cost'!$C$19))</f>
        <v>0</v>
      </c>
      <c r="Z21" s="126"/>
      <c r="AA21" s="126"/>
      <c r="AB21" s="127">
        <f>+Z21*'1. Standard_Cost'!$B$23+AA21*'1. Standard_Cost'!$C$23</f>
        <v>0</v>
      </c>
      <c r="AC21" s="128">
        <v>233757100</v>
      </c>
      <c r="AD21" s="129"/>
      <c r="AE21" s="127">
        <v>0</v>
      </c>
      <c r="AF21" s="127">
        <f>SUM(AE21,AD21,AC21,AB21,Y21,U21,T21,S21,R21)</f>
        <v>233757100</v>
      </c>
      <c r="AG21" s="126"/>
      <c r="AH21" s="126"/>
      <c r="AI21" s="126"/>
      <c r="AJ21" s="130"/>
      <c r="AK21" s="130"/>
      <c r="AL21" s="130"/>
      <c r="AM21" s="127">
        <f>AG21*'1. Standard_Cost'!$B$27+'Incremental_Cost Year 2'!AH21*'1. Standard_Cost'!$C$27+'Incremental_Cost Year 2'!AI21*'1. Standard_Cost'!$D$27+'Incremental_Cost Year 2'!AJ21+'Incremental_Cost Year 2'!AL21+AK21</f>
        <v>0</v>
      </c>
      <c r="AN21" s="127">
        <f>AM21*'1. Standard_Cost'!$C$31</f>
        <v>0</v>
      </c>
      <c r="AO21" s="249"/>
      <c r="AQ21" s="171">
        <f>L21+M21</f>
        <v>0</v>
      </c>
      <c r="AR21" s="171">
        <f>AF21</f>
        <v>233757100</v>
      </c>
      <c r="AS21" s="171">
        <f>AM21+AN21</f>
        <v>0</v>
      </c>
      <c r="AT21" s="171">
        <f>SUM(AQ21,AR21,AS21)</f>
        <v>233757100</v>
      </c>
      <c r="AU21" s="250">
        <f>AT21</f>
        <v>233757100</v>
      </c>
      <c r="AV21" s="250"/>
      <c r="AW21" s="250"/>
      <c r="AX21" s="250"/>
      <c r="AY21" s="250"/>
      <c r="AZ21" s="250"/>
      <c r="BA21" s="250"/>
      <c r="BB21" s="251">
        <f t="shared" ref="BB21:BB24" si="15">SUM(AU21:BA21)-AT21</f>
        <v>0</v>
      </c>
      <c r="BC21" s="169"/>
      <c r="BD21" s="169"/>
      <c r="BE21" s="169"/>
      <c r="BF21" s="169"/>
    </row>
    <row r="22" spans="1:58" ht="47.25" outlineLevel="2" x14ac:dyDescent="0.25">
      <c r="A22" s="115"/>
      <c r="B22" s="200"/>
      <c r="C22" s="201"/>
      <c r="D22" s="135"/>
      <c r="E22" s="219"/>
      <c r="F22" s="219"/>
      <c r="G22" s="313"/>
      <c r="H22" s="199" t="s">
        <v>225</v>
      </c>
      <c r="I22" s="130" t="s">
        <v>3</v>
      </c>
      <c r="J22" s="126">
        <v>12</v>
      </c>
      <c r="K22" s="126">
        <v>10</v>
      </c>
      <c r="L22" s="125">
        <f>IF(I22&lt;&gt;0,((VLOOKUP(I22,'1. Standard_Cost'!$B$4:$D$11,2)+VLOOKUP(I22,'1. Standard_Cost'!$B$4:$D$11,3))*J22*K22),"0")</f>
        <v>12096000</v>
      </c>
      <c r="M22" s="125">
        <f>L22*'1. Standard_Cost'!$F$4</f>
        <v>2020032</v>
      </c>
      <c r="N22" s="126"/>
      <c r="O22" s="126"/>
      <c r="P22" s="126"/>
      <c r="Q22" s="126"/>
      <c r="R22" s="127">
        <f>'1. Standard_Cost'!$B$15*N22*P22</f>
        <v>0</v>
      </c>
      <c r="S22" s="127">
        <f>N22*O22*P22*'1. Standard_Cost'!$C$15</f>
        <v>0</v>
      </c>
      <c r="T22" s="127">
        <f>N22*P22*Q22*'1. Standard_Cost'!$D$15</f>
        <v>0</v>
      </c>
      <c r="U22" s="127">
        <f>N22*O22*'1. Standard_Cost'!$E$15</f>
        <v>0</v>
      </c>
      <c r="V22" s="126"/>
      <c r="W22" s="126"/>
      <c r="X22" s="126"/>
      <c r="Y22" s="127">
        <f>+V22*((X22*'1. Standard_Cost'!$B$19)+(W22*X22*'1. Standard_Cost'!$C$19))</f>
        <v>0</v>
      </c>
      <c r="Z22" s="126"/>
      <c r="AA22" s="126"/>
      <c r="AB22" s="127">
        <f>+Z22*'1. Standard_Cost'!$B$23+AA22*'1. Standard_Cost'!$C$23</f>
        <v>0</v>
      </c>
      <c r="AC22" s="128">
        <v>50000</v>
      </c>
      <c r="AD22" s="129"/>
      <c r="AE22" s="127">
        <f>SUM(AD22,AC22,AB22,Y22,U22,T22,S22,R22)*'1. Standard_Cost'!$B$31</f>
        <v>10000</v>
      </c>
      <c r="AF22" s="127">
        <f>SUM(AE22,AD22,AC22,AB22,Y22,U22,T22,S22,R22)</f>
        <v>60000</v>
      </c>
      <c r="AG22" s="126"/>
      <c r="AH22" s="126"/>
      <c r="AI22" s="126"/>
      <c r="AJ22" s="130"/>
      <c r="AK22" s="130"/>
      <c r="AL22" s="130"/>
      <c r="AM22" s="127">
        <f>AG22*'1. Standard_Cost'!$B$27+'Incremental_Cost Year 2'!AH22*'1. Standard_Cost'!$C$27+'Incremental_Cost Year 2'!AI22*'1. Standard_Cost'!$D$27+'Incremental_Cost Year 2'!AJ22+'Incremental_Cost Year 2'!AL22+AK22</f>
        <v>0</v>
      </c>
      <c r="AN22" s="127">
        <f>AM22*'1. Standard_Cost'!$C$31</f>
        <v>0</v>
      </c>
      <c r="AO22" s="249"/>
      <c r="AQ22" s="171">
        <f>L22+M22</f>
        <v>14116032</v>
      </c>
      <c r="AR22" s="171">
        <f>AF22</f>
        <v>60000</v>
      </c>
      <c r="AS22" s="171">
        <f>AM22+AN22</f>
        <v>0</v>
      </c>
      <c r="AT22" s="171">
        <f>SUM(AQ22,AR22,AS22)</f>
        <v>14176032</v>
      </c>
      <c r="AU22" s="250">
        <f>AT22</f>
        <v>14176032</v>
      </c>
      <c r="AV22" s="250"/>
      <c r="AW22" s="250"/>
      <c r="AX22" s="250"/>
      <c r="AY22" s="250"/>
      <c r="AZ22" s="250"/>
      <c r="BA22" s="250"/>
      <c r="BB22" s="251">
        <f t="shared" si="15"/>
        <v>0</v>
      </c>
      <c r="BC22" s="169"/>
      <c r="BD22" s="169"/>
      <c r="BE22" s="169"/>
      <c r="BF22" s="169"/>
    </row>
    <row r="23" spans="1:58" ht="47.25" outlineLevel="2" x14ac:dyDescent="0.25">
      <c r="A23" s="115"/>
      <c r="B23" s="200"/>
      <c r="C23" s="201"/>
      <c r="D23" s="135"/>
      <c r="E23" s="219"/>
      <c r="F23" s="219"/>
      <c r="G23" s="313"/>
      <c r="H23" s="199" t="s">
        <v>383</v>
      </c>
      <c r="I23" s="130" t="s">
        <v>5</v>
      </c>
      <c r="J23" s="126">
        <v>12</v>
      </c>
      <c r="K23" s="126">
        <v>36</v>
      </c>
      <c r="L23" s="125">
        <f>IF(I23&lt;&gt;0,((VLOOKUP(I23,'1. Standard_Cost'!$B$4:$D$11,2)+VLOOKUP(I23,'1. Standard_Cost'!$B$4:$D$11,3))*J23*K23),"0")</f>
        <v>30542400</v>
      </c>
      <c r="M23" s="125">
        <f>L23*'1. Standard_Cost'!$F$4</f>
        <v>5100580.8000000007</v>
      </c>
      <c r="N23" s="126"/>
      <c r="O23" s="126"/>
      <c r="P23" s="126"/>
      <c r="Q23" s="126"/>
      <c r="R23" s="127">
        <f>'1. Standard_Cost'!$B$15*N23*P23</f>
        <v>0</v>
      </c>
      <c r="S23" s="127">
        <f>N23*O23*P23*'1. Standard_Cost'!$C$15</f>
        <v>0</v>
      </c>
      <c r="T23" s="127">
        <f>N23*P23*Q23*'1. Standard_Cost'!$D$15</f>
        <v>0</v>
      </c>
      <c r="U23" s="127">
        <f>N23*O23*'1. Standard_Cost'!$E$15</f>
        <v>0</v>
      </c>
      <c r="V23" s="126"/>
      <c r="W23" s="126"/>
      <c r="X23" s="126"/>
      <c r="Y23" s="127">
        <f>+V23*((X23*'1. Standard_Cost'!$B$19)+(W23*X23*'1. Standard_Cost'!$C$19))</f>
        <v>0</v>
      </c>
      <c r="Z23" s="126"/>
      <c r="AA23" s="126"/>
      <c r="AB23" s="127">
        <f>+Z23*'1. Standard_Cost'!$B$23+AA23*'1. Standard_Cost'!$C$23</f>
        <v>0</v>
      </c>
      <c r="AC23" s="128">
        <f>50000*36</f>
        <v>1800000</v>
      </c>
      <c r="AD23" s="129"/>
      <c r="AE23" s="127">
        <f>SUM(AD23,AC23,AB23,Y23,U23,T23,S23,R23)*'1. Standard_Cost'!$B$31</f>
        <v>360000</v>
      </c>
      <c r="AF23" s="127">
        <f>SUM(AE23,AD23,AC23,AB23,Y23,U23,T23,S23,R23)</f>
        <v>2160000</v>
      </c>
      <c r="AG23" s="126"/>
      <c r="AH23" s="126"/>
      <c r="AI23" s="126"/>
      <c r="AJ23" s="130"/>
      <c r="AK23" s="130"/>
      <c r="AL23" s="130"/>
      <c r="AM23" s="127">
        <f>AG23*'1. Standard_Cost'!$B$27+'Incremental_Cost Year 2'!AH23*'1. Standard_Cost'!$C$27+'Incremental_Cost Year 2'!AI23*'1. Standard_Cost'!$D$27+'Incremental_Cost Year 2'!AJ23+'Incremental_Cost Year 2'!AL23+AK23</f>
        <v>0</v>
      </c>
      <c r="AN23" s="127">
        <f>AM23*'1. Standard_Cost'!$C$31</f>
        <v>0</v>
      </c>
      <c r="AO23" s="249"/>
      <c r="AQ23" s="171">
        <f>L23+M23</f>
        <v>35642980.799999997</v>
      </c>
      <c r="AR23" s="171">
        <f>AF23</f>
        <v>2160000</v>
      </c>
      <c r="AS23" s="171">
        <f>AM23+AN23</f>
        <v>0</v>
      </c>
      <c r="AT23" s="171">
        <f>SUM(AQ23,AR23,AS23)</f>
        <v>37802980.799999997</v>
      </c>
      <c r="AU23" s="250">
        <f>AT23</f>
        <v>37802980.799999997</v>
      </c>
      <c r="AV23" s="250"/>
      <c r="AW23" s="250"/>
      <c r="AX23" s="250"/>
      <c r="AY23" s="250"/>
      <c r="AZ23" s="250"/>
      <c r="BA23" s="250"/>
      <c r="BB23" s="251">
        <f t="shared" si="15"/>
        <v>0</v>
      </c>
      <c r="BC23" s="169"/>
      <c r="BD23" s="169"/>
      <c r="BE23" s="169"/>
      <c r="BF23" s="169"/>
    </row>
    <row r="24" spans="1:58" ht="15.75" outlineLevel="2" x14ac:dyDescent="0.25">
      <c r="A24" s="115"/>
      <c r="B24" s="200"/>
      <c r="C24" s="201"/>
      <c r="D24" s="211"/>
      <c r="E24" s="124"/>
      <c r="F24" s="140"/>
      <c r="G24" s="351"/>
      <c r="H24" s="199"/>
      <c r="I24" s="130"/>
      <c r="J24" s="126"/>
      <c r="K24" s="126"/>
      <c r="L24" s="125" t="str">
        <f>IF(I24&lt;&gt;0,((VLOOKUP(I24,'1. Standard_Cost'!$B$4:$D$11,2)+VLOOKUP(I24,'1. Standard_Cost'!$B$4:$D$11,3))*J24*K24),"0")</f>
        <v>0</v>
      </c>
      <c r="M24" s="125">
        <f>L24*'1. Standard_Cost'!$F$4</f>
        <v>0</v>
      </c>
      <c r="N24" s="126"/>
      <c r="O24" s="126"/>
      <c r="P24" s="126"/>
      <c r="Q24" s="126"/>
      <c r="R24" s="127">
        <f>'1. Standard_Cost'!$B$15*N24*P24</f>
        <v>0</v>
      </c>
      <c r="S24" s="127">
        <f>N24*O24*P24*'1. Standard_Cost'!$C$15</f>
        <v>0</v>
      </c>
      <c r="T24" s="127">
        <f>N24*P24*Q24*'1. Standard_Cost'!$D$15</f>
        <v>0</v>
      </c>
      <c r="U24" s="127">
        <f>N24*O24*'1. Standard_Cost'!$E$15</f>
        <v>0</v>
      </c>
      <c r="V24" s="126"/>
      <c r="W24" s="126"/>
      <c r="X24" s="126"/>
      <c r="Y24" s="127">
        <f>+V24*((X24*'1. Standard_Cost'!$B$19)+(W24*X24*'1. Standard_Cost'!$C$19))</f>
        <v>0</v>
      </c>
      <c r="Z24" s="126"/>
      <c r="AA24" s="126"/>
      <c r="AB24" s="127">
        <f>+Z24*'1. Standard_Cost'!$B$23+AA24*'1. Standard_Cost'!$C$23</f>
        <v>0</v>
      </c>
      <c r="AC24" s="128"/>
      <c r="AD24" s="129"/>
      <c r="AE24" s="127">
        <f>SUM(AD24,AC24,AB24,Y24,U24,T24,S24,R24)*'1. Standard_Cost'!$B$31</f>
        <v>0</v>
      </c>
      <c r="AF24" s="127">
        <f>SUM(AE24,AD24,AC24,AB24,Y24,U24,T24,S24,R24)</f>
        <v>0</v>
      </c>
      <c r="AG24" s="126"/>
      <c r="AH24" s="126"/>
      <c r="AI24" s="126"/>
      <c r="AJ24" s="130"/>
      <c r="AK24" s="130"/>
      <c r="AL24" s="130"/>
      <c r="AM24" s="127">
        <f>AG24*'1. Standard_Cost'!$B$27+'Incremental_Cost Year 2'!AH24*'1. Standard_Cost'!$C$27+'Incremental_Cost Year 2'!AI24*'1. Standard_Cost'!$D$27+'Incremental_Cost Year 2'!AJ24+'Incremental_Cost Year 2'!AL24+AK24</f>
        <v>0</v>
      </c>
      <c r="AN24" s="127">
        <f>AM24*'1. Standard_Cost'!$C$31</f>
        <v>0</v>
      </c>
      <c r="AO24" s="130"/>
      <c r="AQ24" s="171">
        <f>L24+M24</f>
        <v>0</v>
      </c>
      <c r="AR24" s="171">
        <f>AF24</f>
        <v>0</v>
      </c>
      <c r="AS24" s="171">
        <f>AM24+AN24</f>
        <v>0</v>
      </c>
      <c r="AT24" s="171">
        <f>SUM(AQ24,AR24,AS24)</f>
        <v>0</v>
      </c>
      <c r="AU24" s="250">
        <f>AT24</f>
        <v>0</v>
      </c>
      <c r="AV24" s="250"/>
      <c r="AW24" s="250"/>
      <c r="AX24" s="250"/>
      <c r="AY24" s="250"/>
      <c r="AZ24" s="250"/>
      <c r="BA24" s="250"/>
      <c r="BB24" s="251">
        <f t="shared" si="15"/>
        <v>0</v>
      </c>
      <c r="BC24" s="169"/>
      <c r="BD24" s="169"/>
      <c r="BE24" s="169"/>
      <c r="BF24" s="169"/>
    </row>
    <row r="25" spans="1:58" ht="63" outlineLevel="1" x14ac:dyDescent="0.25">
      <c r="A25" s="115"/>
      <c r="B25" s="165"/>
      <c r="C25" s="166"/>
      <c r="D25" s="150" t="s">
        <v>384</v>
      </c>
      <c r="E25" s="139" t="s">
        <v>196</v>
      </c>
      <c r="F25" s="222">
        <v>2021</v>
      </c>
      <c r="G25" s="117">
        <v>2030</v>
      </c>
      <c r="H25" s="134" t="s">
        <v>197</v>
      </c>
      <c r="I25" s="252"/>
      <c r="J25" s="252"/>
      <c r="K25" s="252"/>
      <c r="L25" s="127">
        <f>SUM(L21:L24)</f>
        <v>42638400</v>
      </c>
      <c r="M25" s="127">
        <f>SUM(M21:M24)</f>
        <v>7120612.8000000007</v>
      </c>
      <c r="N25" s="127"/>
      <c r="O25" s="252"/>
      <c r="P25" s="252"/>
      <c r="Q25" s="252"/>
      <c r="R25" s="127">
        <f>SUM(R21:R24)</f>
        <v>0</v>
      </c>
      <c r="S25" s="127">
        <f>SUM(S21:S24)</f>
        <v>0</v>
      </c>
      <c r="T25" s="127">
        <f>SUM(T21:T24)</f>
        <v>0</v>
      </c>
      <c r="U25" s="127">
        <f>SUM(U21:U24)</f>
        <v>0</v>
      </c>
      <c r="V25" s="252"/>
      <c r="W25" s="252"/>
      <c r="X25" s="252"/>
      <c r="Y25" s="127">
        <f>SUM(Y21:Y24)</f>
        <v>0</v>
      </c>
      <c r="Z25" s="252"/>
      <c r="AA25" s="252"/>
      <c r="AB25" s="127">
        <f>SUM(AB21:AB24)</f>
        <v>0</v>
      </c>
      <c r="AC25" s="127">
        <f>SUM(AC21:AC24)</f>
        <v>235607100</v>
      </c>
      <c r="AD25" s="127">
        <f>SUM(AD21:AD24)</f>
        <v>0</v>
      </c>
      <c r="AE25" s="127">
        <f>SUM(AE21:AE24)</f>
        <v>370000</v>
      </c>
      <c r="AF25" s="127">
        <f>SUM(AF21:AF24)</f>
        <v>235977100</v>
      </c>
      <c r="AG25" s="252"/>
      <c r="AH25" s="252"/>
      <c r="AI25" s="252"/>
      <c r="AJ25" s="127">
        <f>SUM(AJ21:AJ24)</f>
        <v>0</v>
      </c>
      <c r="AK25" s="127">
        <f>SUM(AK21:AK24)</f>
        <v>0</v>
      </c>
      <c r="AL25" s="127">
        <f>SUM(AL21:AL24)</f>
        <v>0</v>
      </c>
      <c r="AM25" s="127">
        <f>SUM(AM21:AM24)</f>
        <v>0</v>
      </c>
      <c r="AN25" s="127">
        <f>SUM(AN21:AN24)</f>
        <v>0</v>
      </c>
      <c r="AO25" s="253"/>
      <c r="AP25" s="254"/>
      <c r="AQ25" s="175">
        <f>SUM(AQ21:AQ24)</f>
        <v>49759012.799999997</v>
      </c>
      <c r="AR25" s="175">
        <f>SUM(AR21:AR24)</f>
        <v>235977100</v>
      </c>
      <c r="AS25" s="175">
        <f>SUM(AS21:AS24)</f>
        <v>0</v>
      </c>
      <c r="AT25" s="175">
        <f>SUM(AT21:AT24)</f>
        <v>285736112.80000001</v>
      </c>
      <c r="AU25" s="175">
        <f t="shared" ref="AU25:BB25" si="16">SUM(AU21:AU24)</f>
        <v>285736112.80000001</v>
      </c>
      <c r="AV25" s="175">
        <f t="shared" si="16"/>
        <v>0</v>
      </c>
      <c r="AW25" s="175">
        <f>SUM(AW21:AW24)</f>
        <v>0</v>
      </c>
      <c r="AX25" s="175">
        <f t="shared" si="16"/>
        <v>0</v>
      </c>
      <c r="AY25" s="175">
        <f t="shared" si="16"/>
        <v>0</v>
      </c>
      <c r="AZ25" s="175">
        <f t="shared" si="16"/>
        <v>0</v>
      </c>
      <c r="BA25" s="175">
        <f t="shared" si="16"/>
        <v>0</v>
      </c>
      <c r="BB25" s="175">
        <f t="shared" si="16"/>
        <v>0</v>
      </c>
      <c r="BC25" s="169"/>
      <c r="BD25" s="169"/>
      <c r="BE25" s="169"/>
      <c r="BF25" s="169"/>
    </row>
    <row r="26" spans="1:58" ht="157.5" outlineLevel="2" x14ac:dyDescent="0.25">
      <c r="A26" s="115"/>
      <c r="B26" s="200"/>
      <c r="C26" s="201"/>
      <c r="D26" s="138"/>
      <c r="E26" s="219"/>
      <c r="F26" s="219"/>
      <c r="G26" s="313"/>
      <c r="H26" s="199" t="s">
        <v>385</v>
      </c>
      <c r="I26" s="130"/>
      <c r="J26" s="126"/>
      <c r="K26" s="126"/>
      <c r="L26" s="125" t="str">
        <f>IF(I26&lt;&gt;0,((VLOOKUP(I26,'1. Standard_Cost'!$B$4:$D$11,2)+VLOOKUP(I26,'1. Standard_Cost'!$B$4:$D$11,3))*J26*K26),"0")</f>
        <v>0</v>
      </c>
      <c r="M26" s="125">
        <f>L26*'1. Standard_Cost'!$F$4</f>
        <v>0</v>
      </c>
      <c r="N26" s="126"/>
      <c r="O26" s="126"/>
      <c r="P26" s="126"/>
      <c r="Q26" s="126"/>
      <c r="R26" s="127">
        <f>'1. Standard_Cost'!$B$15*N26*P26</f>
        <v>0</v>
      </c>
      <c r="S26" s="127">
        <f>N26*O26*P26*'1. Standard_Cost'!$C$15</f>
        <v>0</v>
      </c>
      <c r="T26" s="127">
        <f>N26*P26*Q26*'1. Standard_Cost'!$D$15</f>
        <v>0</v>
      </c>
      <c r="U26" s="127">
        <f>N26*O26*'1. Standard_Cost'!$E$15</f>
        <v>0</v>
      </c>
      <c r="V26" s="126"/>
      <c r="W26" s="126"/>
      <c r="X26" s="126"/>
      <c r="Y26" s="127">
        <f>+V26*((X26*'1. Standard_Cost'!$B$19)+(W26*X26*'1. Standard_Cost'!$C$19))</f>
        <v>0</v>
      </c>
      <c r="Z26" s="126"/>
      <c r="AA26" s="126"/>
      <c r="AB26" s="127">
        <f>+Z26*'1. Standard_Cost'!$B$23+AA26*'1. Standard_Cost'!$C$23</f>
        <v>0</v>
      </c>
      <c r="AC26" s="128"/>
      <c r="AD26" s="129"/>
      <c r="AE26" s="127">
        <f>SUM(AD26,AC26,AB26,Y26,U26,T26,S26,R26)*'1. Standard_Cost'!$B$31</f>
        <v>0</v>
      </c>
      <c r="AF26" s="127">
        <f>SUM(AE26,AD26,AC26,AB26,Y26,U26,T26,S26,R26)</f>
        <v>0</v>
      </c>
      <c r="AG26" s="126"/>
      <c r="AH26" s="126"/>
      <c r="AI26" s="126"/>
      <c r="AJ26" s="130"/>
      <c r="AK26" s="130"/>
      <c r="AL26" s="130"/>
      <c r="AM26" s="127">
        <f>AG26*'1. Standard_Cost'!$B$27+'Incremental_Cost Year 2'!AH26*'1. Standard_Cost'!$C$27+'Incremental_Cost Year 2'!AI26*'1. Standard_Cost'!$D$27+'Incremental_Cost Year 2'!AJ26+'Incremental_Cost Year 2'!AL26+AK26</f>
        <v>0</v>
      </c>
      <c r="AN26" s="127">
        <f>AM26*'1. Standard_Cost'!$C$31</f>
        <v>0</v>
      </c>
      <c r="AO26" s="249"/>
      <c r="AQ26" s="171">
        <f>L26+M26</f>
        <v>0</v>
      </c>
      <c r="AR26" s="171">
        <f>AF26</f>
        <v>0</v>
      </c>
      <c r="AS26" s="171">
        <f>AM26+AN26</f>
        <v>0</v>
      </c>
      <c r="AT26" s="171">
        <f>SUM(AQ26,AR26,AS26)</f>
        <v>0</v>
      </c>
      <c r="AU26" s="250"/>
      <c r="AV26" s="250"/>
      <c r="AW26" s="250"/>
      <c r="AX26" s="250"/>
      <c r="AY26" s="250"/>
      <c r="AZ26" s="250"/>
      <c r="BA26" s="250"/>
      <c r="BB26" s="251">
        <f t="shared" ref="BB26:BB28" si="17">SUM(AU26:BA26)-AT26</f>
        <v>0</v>
      </c>
      <c r="BC26" s="169"/>
      <c r="BD26" s="169"/>
      <c r="BE26" s="169"/>
      <c r="BF26" s="169"/>
    </row>
    <row r="27" spans="1:58" ht="141.75" outlineLevel="2" x14ac:dyDescent="0.25">
      <c r="A27" s="115"/>
      <c r="B27" s="200"/>
      <c r="C27" s="201"/>
      <c r="D27" s="135"/>
      <c r="E27" s="219"/>
      <c r="F27" s="219"/>
      <c r="G27" s="313"/>
      <c r="H27" s="199" t="s">
        <v>386</v>
      </c>
      <c r="I27" s="130"/>
      <c r="J27" s="126"/>
      <c r="K27" s="126"/>
      <c r="L27" s="125" t="str">
        <f>IF(I27&lt;&gt;0,((VLOOKUP(I27,'1. Standard_Cost'!$B$4:$D$11,2)+VLOOKUP(I27,'1. Standard_Cost'!$B$4:$D$11,3))*J27*K27),"0")</f>
        <v>0</v>
      </c>
      <c r="M27" s="125">
        <f>L27*'1. Standard_Cost'!$F$4</f>
        <v>0</v>
      </c>
      <c r="N27" s="126"/>
      <c r="O27" s="126"/>
      <c r="P27" s="126"/>
      <c r="Q27" s="126"/>
      <c r="R27" s="127">
        <f>'1. Standard_Cost'!$B$15*N27*P27</f>
        <v>0</v>
      </c>
      <c r="S27" s="127">
        <f>N27*O27*P27*'1. Standard_Cost'!$C$15</f>
        <v>0</v>
      </c>
      <c r="T27" s="127">
        <f>N27*P27*Q27*'1. Standard_Cost'!$D$15</f>
        <v>0</v>
      </c>
      <c r="U27" s="127">
        <f>N27*O27*'1. Standard_Cost'!$E$15</f>
        <v>0</v>
      </c>
      <c r="V27" s="126"/>
      <c r="W27" s="126"/>
      <c r="X27" s="126"/>
      <c r="Y27" s="127">
        <f>+V27*((X27*'1. Standard_Cost'!$B$19)+(W27*X27*'1. Standard_Cost'!$C$19))</f>
        <v>0</v>
      </c>
      <c r="Z27" s="126"/>
      <c r="AA27" s="126"/>
      <c r="AB27" s="127">
        <f>+Z27*'1. Standard_Cost'!$B$23+AA27*'1. Standard_Cost'!$C$23</f>
        <v>0</v>
      </c>
      <c r="AC27" s="128"/>
      <c r="AD27" s="129"/>
      <c r="AE27" s="127">
        <f>SUM(AD27,AC27,AB27,Y27,U27,T27,S27,R27)*'1. Standard_Cost'!$B$31</f>
        <v>0</v>
      </c>
      <c r="AF27" s="127">
        <f>SUM(AE27,AD27,AC27,AB27,Y27,U27,T27,S27,R27)</f>
        <v>0</v>
      </c>
      <c r="AG27" s="126"/>
      <c r="AH27" s="126"/>
      <c r="AI27" s="126"/>
      <c r="AJ27" s="130"/>
      <c r="AK27" s="130"/>
      <c r="AL27" s="130"/>
      <c r="AM27" s="127">
        <f>AG27*'1. Standard_Cost'!$B$27+'Incremental_Cost Year 2'!AH27*'1. Standard_Cost'!$C$27+'Incremental_Cost Year 2'!AI27*'1. Standard_Cost'!$D$27+'Incremental_Cost Year 2'!AJ27+'Incremental_Cost Year 2'!AL27+AK27</f>
        <v>0</v>
      </c>
      <c r="AN27" s="127">
        <f>AM27*'1. Standard_Cost'!$C$31</f>
        <v>0</v>
      </c>
      <c r="AO27" s="130"/>
      <c r="AQ27" s="171">
        <f>L27+M27</f>
        <v>0</v>
      </c>
      <c r="AR27" s="171">
        <f>AF27</f>
        <v>0</v>
      </c>
      <c r="AS27" s="171">
        <f>AM27+AN27</f>
        <v>0</v>
      </c>
      <c r="AT27" s="171">
        <f>SUM(AQ27,AR27,AS27)</f>
        <v>0</v>
      </c>
      <c r="AU27" s="250"/>
      <c r="AV27" s="250"/>
      <c r="AW27" s="250"/>
      <c r="AX27" s="250"/>
      <c r="AY27" s="250"/>
      <c r="AZ27" s="250"/>
      <c r="BA27" s="250"/>
      <c r="BB27" s="251">
        <f t="shared" si="17"/>
        <v>0</v>
      </c>
      <c r="BC27" s="169"/>
      <c r="BD27" s="169"/>
      <c r="BE27" s="169"/>
      <c r="BF27" s="169"/>
    </row>
    <row r="28" spans="1:58" ht="189" outlineLevel="2" x14ac:dyDescent="0.25">
      <c r="A28" s="115"/>
      <c r="B28" s="200"/>
      <c r="C28" s="201"/>
      <c r="D28" s="223"/>
      <c r="E28" s="219"/>
      <c r="F28" s="219"/>
      <c r="G28" s="313"/>
      <c r="H28" s="103" t="s">
        <v>387</v>
      </c>
      <c r="I28" s="130"/>
      <c r="J28" s="126"/>
      <c r="K28" s="126"/>
      <c r="L28" s="125" t="str">
        <f>IF(I28&lt;&gt;0,((VLOOKUP(I28,'1. Standard_Cost'!$B$4:$D$11,2)+VLOOKUP(I28,'1. Standard_Cost'!$B$4:$D$11,3))*J28*K28),"0")</f>
        <v>0</v>
      </c>
      <c r="M28" s="125">
        <f>L28*'1. Standard_Cost'!$F$4</f>
        <v>0</v>
      </c>
      <c r="N28" s="126"/>
      <c r="O28" s="126"/>
      <c r="P28" s="126"/>
      <c r="Q28" s="126"/>
      <c r="R28" s="127">
        <f>'1. Standard_Cost'!$B$15*N28*P28</f>
        <v>0</v>
      </c>
      <c r="S28" s="127">
        <f>N28*O28*P28*'1. Standard_Cost'!$C$15</f>
        <v>0</v>
      </c>
      <c r="T28" s="127">
        <f>N28*P28*Q28*'1. Standard_Cost'!$D$15</f>
        <v>0</v>
      </c>
      <c r="U28" s="127">
        <f>N28*O28*'1. Standard_Cost'!$E$15</f>
        <v>0</v>
      </c>
      <c r="V28" s="126"/>
      <c r="W28" s="126"/>
      <c r="X28" s="126"/>
      <c r="Y28" s="127">
        <f>+V28*((X28*'1. Standard_Cost'!$B$19)+(W28*X28*'1. Standard_Cost'!$C$19))</f>
        <v>0</v>
      </c>
      <c r="Z28" s="126"/>
      <c r="AA28" s="126"/>
      <c r="AB28" s="127">
        <f>+Z28*'1. Standard_Cost'!$B$23+AA28*'1. Standard_Cost'!$C$23</f>
        <v>0</v>
      </c>
      <c r="AC28" s="128">
        <v>165000000</v>
      </c>
      <c r="AD28" s="129"/>
      <c r="AE28" s="127">
        <v>0</v>
      </c>
      <c r="AF28" s="127">
        <f>SUM(AE28,AD28,AC28,AB28,Y28,U28,T28,S28,R28)</f>
        <v>165000000</v>
      </c>
      <c r="AG28" s="126"/>
      <c r="AH28" s="126"/>
      <c r="AI28" s="126"/>
      <c r="AJ28" s="130"/>
      <c r="AK28" s="130"/>
      <c r="AL28" s="130"/>
      <c r="AM28" s="127">
        <f>AG28*'1. Standard_Cost'!$B$27+'Incremental_Cost Year 2'!AH28*'1. Standard_Cost'!$C$27+'Incremental_Cost Year 2'!AI28*'1. Standard_Cost'!$D$27+'Incremental_Cost Year 2'!AJ28+'Incremental_Cost Year 2'!AL28+AK28</f>
        <v>0</v>
      </c>
      <c r="AN28" s="127">
        <f>AM28*'1. Standard_Cost'!$C$31</f>
        <v>0</v>
      </c>
      <c r="AO28" s="130"/>
      <c r="AQ28" s="171">
        <f>L28+M28</f>
        <v>0</v>
      </c>
      <c r="AR28" s="171">
        <f>AF28</f>
        <v>165000000</v>
      </c>
      <c r="AS28" s="171">
        <f>AM28+AN28</f>
        <v>0</v>
      </c>
      <c r="AT28" s="171">
        <f>SUM(AQ28,AR28,AS28)</f>
        <v>165000000</v>
      </c>
      <c r="AU28" s="250">
        <f>AT28</f>
        <v>165000000</v>
      </c>
      <c r="AV28" s="250"/>
      <c r="AW28" s="250"/>
      <c r="AX28" s="250"/>
      <c r="AY28" s="250"/>
      <c r="AZ28" s="250"/>
      <c r="BA28" s="250"/>
      <c r="BB28" s="251">
        <f t="shared" si="17"/>
        <v>0</v>
      </c>
      <c r="BC28" s="169"/>
      <c r="BD28" s="169"/>
      <c r="BE28" s="169"/>
      <c r="BF28" s="169"/>
    </row>
    <row r="29" spans="1:58" ht="63" outlineLevel="1" x14ac:dyDescent="0.25">
      <c r="A29" s="115"/>
      <c r="B29" s="165"/>
      <c r="C29" s="301"/>
      <c r="D29" s="150" t="s">
        <v>388</v>
      </c>
      <c r="E29" s="139" t="s">
        <v>198</v>
      </c>
      <c r="F29" s="300">
        <v>2021</v>
      </c>
      <c r="G29" s="209">
        <v>2030</v>
      </c>
      <c r="H29" s="134" t="s">
        <v>199</v>
      </c>
      <c r="I29" s="252"/>
      <c r="J29" s="252"/>
      <c r="K29" s="252"/>
      <c r="L29" s="127">
        <f>SUM(L26:L28)</f>
        <v>0</v>
      </c>
      <c r="M29" s="127">
        <f>SUM(M26:M28)</f>
        <v>0</v>
      </c>
      <c r="N29" s="127"/>
      <c r="O29" s="252"/>
      <c r="P29" s="252"/>
      <c r="Q29" s="252"/>
      <c r="R29" s="127">
        <f>SUM(R26:R28)</f>
        <v>0</v>
      </c>
      <c r="S29" s="127">
        <f>SUM(S26:S28)</f>
        <v>0</v>
      </c>
      <c r="T29" s="127">
        <f>SUM(T26:T28)</f>
        <v>0</v>
      </c>
      <c r="U29" s="127">
        <f>SUM(U26:U28)</f>
        <v>0</v>
      </c>
      <c r="V29" s="252"/>
      <c r="W29" s="252"/>
      <c r="X29" s="252"/>
      <c r="Y29" s="127">
        <f>SUM(Y26:Y28)</f>
        <v>0</v>
      </c>
      <c r="Z29" s="252"/>
      <c r="AA29" s="252"/>
      <c r="AB29" s="127">
        <f>SUM(AB26:AB28)</f>
        <v>0</v>
      </c>
      <c r="AC29" s="127">
        <f>SUM(AC26:AC28)</f>
        <v>165000000</v>
      </c>
      <c r="AD29" s="127">
        <f>SUM(AD26:AD28)</f>
        <v>0</v>
      </c>
      <c r="AE29" s="127">
        <f>SUM(AE26:AE28)</f>
        <v>0</v>
      </c>
      <c r="AF29" s="127">
        <f>SUM(AF26:AF28)</f>
        <v>165000000</v>
      </c>
      <c r="AG29" s="252"/>
      <c r="AH29" s="252"/>
      <c r="AI29" s="252"/>
      <c r="AJ29" s="127">
        <f>SUM(AJ26:AJ28)</f>
        <v>0</v>
      </c>
      <c r="AK29" s="127">
        <f>SUM(AK26:AK28)</f>
        <v>0</v>
      </c>
      <c r="AL29" s="127">
        <f>SUM(AL26:AL28)</f>
        <v>0</v>
      </c>
      <c r="AM29" s="127">
        <f>SUM(AM26:AM28)</f>
        <v>0</v>
      </c>
      <c r="AN29" s="127">
        <f>SUM(AN26:AN28)</f>
        <v>0</v>
      </c>
      <c r="AO29" s="253"/>
      <c r="AP29" s="254"/>
      <c r="AQ29" s="175">
        <f>SUM(AQ26:AQ28)</f>
        <v>0</v>
      </c>
      <c r="AR29" s="175">
        <f>SUM(AR26:AR28)</f>
        <v>165000000</v>
      </c>
      <c r="AS29" s="175">
        <f>SUM(AS26:AS28)</f>
        <v>0</v>
      </c>
      <c r="AT29" s="175">
        <f>SUM(AT26:AT28)</f>
        <v>165000000</v>
      </c>
      <c r="AU29" s="175">
        <f t="shared" ref="AU29:BB29" si="18">SUM(AU26:AU28)</f>
        <v>165000000</v>
      </c>
      <c r="AV29" s="175">
        <f t="shared" si="18"/>
        <v>0</v>
      </c>
      <c r="AW29" s="175">
        <f>SUM(AW26:AW28)</f>
        <v>0</v>
      </c>
      <c r="AX29" s="175">
        <f t="shared" si="18"/>
        <v>0</v>
      </c>
      <c r="AY29" s="175">
        <f t="shared" si="18"/>
        <v>0</v>
      </c>
      <c r="AZ29" s="175">
        <f t="shared" si="18"/>
        <v>0</v>
      </c>
      <c r="BA29" s="175">
        <f t="shared" si="18"/>
        <v>0</v>
      </c>
      <c r="BB29" s="175">
        <f t="shared" si="18"/>
        <v>0</v>
      </c>
      <c r="BC29" s="169"/>
      <c r="BD29" s="169"/>
      <c r="BE29" s="169"/>
      <c r="BF29" s="169"/>
    </row>
    <row r="30" spans="1:58" ht="78.75" outlineLevel="2" x14ac:dyDescent="0.25">
      <c r="A30" s="115"/>
      <c r="B30" s="200"/>
      <c r="C30" s="201"/>
      <c r="D30" s="138"/>
      <c r="E30" s="295"/>
      <c r="F30" s="295"/>
      <c r="G30" s="296"/>
      <c r="H30" s="299" t="s">
        <v>305</v>
      </c>
      <c r="I30" s="130" t="s">
        <v>3</v>
      </c>
      <c r="J30" s="126">
        <v>12</v>
      </c>
      <c r="K30" s="126">
        <v>4</v>
      </c>
      <c r="L30" s="125">
        <f>IF(I30&lt;&gt;0,((VLOOKUP(I30,'1. Standard_Cost'!$B$4:$D$11,2)+VLOOKUP(I30,'1. Standard_Cost'!$B$4:$D$11,3))*J30*K30),"0")</f>
        <v>4838400</v>
      </c>
      <c r="M30" s="125">
        <f>L30*'1. Standard_Cost'!$F$4</f>
        <v>808012.80000000005</v>
      </c>
      <c r="N30" s="126"/>
      <c r="O30" s="126"/>
      <c r="P30" s="126"/>
      <c r="Q30" s="126"/>
      <c r="R30" s="127">
        <f>'1. Standard_Cost'!$B$15*N30*P30</f>
        <v>0</v>
      </c>
      <c r="S30" s="127">
        <f>N30*O30*P30*'1. Standard_Cost'!$C$15</f>
        <v>0</v>
      </c>
      <c r="T30" s="127">
        <f>N30*P30*Q30*'1. Standard_Cost'!$D$15</f>
        <v>0</v>
      </c>
      <c r="U30" s="127">
        <f>N30*O30*'1. Standard_Cost'!$E$15</f>
        <v>0</v>
      </c>
      <c r="V30" s="126"/>
      <c r="W30" s="126"/>
      <c r="X30" s="126"/>
      <c r="Y30" s="127">
        <f>+V30*((X30*'1. Standard_Cost'!$B$19)+(W30*X30*'1. Standard_Cost'!$C$19))</f>
        <v>0</v>
      </c>
      <c r="Z30" s="126"/>
      <c r="AA30" s="126"/>
      <c r="AB30" s="127">
        <f>+Z30*'1. Standard_Cost'!$B$23+AA30*'1. Standard_Cost'!$C$23</f>
        <v>0</v>
      </c>
      <c r="AC30" s="128"/>
      <c r="AD30" s="129"/>
      <c r="AE30" s="127">
        <f>SUM(AD30,AC30,AB30,Y30,U30,T30,S30,R30)*'1. Standard_Cost'!$B$31</f>
        <v>0</v>
      </c>
      <c r="AF30" s="127">
        <f t="shared" ref="AF30:AF36" si="19">SUM(AE30,AD30,AC30,AB30,Y30,U30,T30,S30,R30)</f>
        <v>0</v>
      </c>
      <c r="AG30" s="126"/>
      <c r="AH30" s="126"/>
      <c r="AI30" s="126"/>
      <c r="AJ30" s="130"/>
      <c r="AK30" s="130"/>
      <c r="AL30" s="130"/>
      <c r="AM30" s="127">
        <f>AG30*'1. Standard_Cost'!$B$27+'Incremental_Cost Year 2'!AH30*'1. Standard_Cost'!$C$27+'Incremental_Cost Year 2'!AI30*'1. Standard_Cost'!$D$27+'Incremental_Cost Year 2'!AJ30+'Incremental_Cost Year 2'!AL30+AK30</f>
        <v>0</v>
      </c>
      <c r="AN30" s="127">
        <f>AM30*'1. Standard_Cost'!$C$31</f>
        <v>0</v>
      </c>
      <c r="AO30" s="249"/>
      <c r="AQ30" s="171">
        <f t="shared" ref="AQ30:AQ36" si="20">L30+M30</f>
        <v>5646412.7999999998</v>
      </c>
      <c r="AR30" s="171">
        <f t="shared" ref="AR30:AR36" si="21">AF30</f>
        <v>0</v>
      </c>
      <c r="AS30" s="171">
        <f t="shared" ref="AS30:AS36" si="22">AM30+AN30</f>
        <v>0</v>
      </c>
      <c r="AT30" s="171">
        <f t="shared" ref="AT30:AT36" si="23">SUM(AQ30,AR30,AS30)</f>
        <v>5646412.7999999998</v>
      </c>
      <c r="AU30" s="250">
        <f>AT30</f>
        <v>5646412.7999999998</v>
      </c>
      <c r="AV30" s="250"/>
      <c r="AW30" s="250"/>
      <c r="AX30" s="250"/>
      <c r="AY30" s="250"/>
      <c r="AZ30" s="250"/>
      <c r="BA30" s="250"/>
      <c r="BB30" s="251">
        <f t="shared" ref="BB30" si="24">SUM(AU30:BA30)-AT30</f>
        <v>0</v>
      </c>
      <c r="BC30" s="169"/>
      <c r="BD30" s="169"/>
      <c r="BE30" s="169"/>
      <c r="BF30" s="169"/>
    </row>
    <row r="31" spans="1:58" ht="78.75" outlineLevel="2" x14ac:dyDescent="0.25">
      <c r="A31" s="115"/>
      <c r="B31" s="200"/>
      <c r="C31" s="201"/>
      <c r="D31" s="135"/>
      <c r="E31" s="219"/>
      <c r="F31" s="219"/>
      <c r="G31" s="313"/>
      <c r="H31" s="213" t="s">
        <v>226</v>
      </c>
      <c r="I31" s="130" t="s">
        <v>5</v>
      </c>
      <c r="J31" s="126">
        <v>6</v>
      </c>
      <c r="K31" s="126">
        <v>420</v>
      </c>
      <c r="L31" s="125">
        <f>IF(I31&lt;&gt;0,((VLOOKUP(I31,'1. Standard_Cost'!$B$4:$D$11,2)+VLOOKUP(I31,'1. Standard_Cost'!$B$4:$D$11,3))*J31*K31),"0")</f>
        <v>178164000</v>
      </c>
      <c r="M31" s="125">
        <f>L31*'1. Standard_Cost'!$F$4</f>
        <v>29753388</v>
      </c>
      <c r="N31" s="126"/>
      <c r="O31" s="126"/>
      <c r="P31" s="126"/>
      <c r="Q31" s="126"/>
      <c r="R31" s="127">
        <f>'1. Standard_Cost'!$B$15*N31*P31</f>
        <v>0</v>
      </c>
      <c r="S31" s="127">
        <f>N31*O31*P31*'1. Standard_Cost'!$C$15</f>
        <v>0</v>
      </c>
      <c r="T31" s="127">
        <f>N31*P31*Q31*'1. Standard_Cost'!$D$15</f>
        <v>0</v>
      </c>
      <c r="U31" s="127">
        <f>N31*O31*'1. Standard_Cost'!$E$15</f>
        <v>0</v>
      </c>
      <c r="V31" s="126"/>
      <c r="W31" s="126"/>
      <c r="X31" s="126"/>
      <c r="Y31" s="127">
        <f>+V31*((X31*'1. Standard_Cost'!$B$19)+(W31*X31*'1. Standard_Cost'!$C$19))</f>
        <v>0</v>
      </c>
      <c r="Z31" s="126"/>
      <c r="AA31" s="126"/>
      <c r="AB31" s="127">
        <f>+Z31*'1. Standard_Cost'!$B$23+AA31*'1. Standard_Cost'!$C$23</f>
        <v>0</v>
      </c>
      <c r="AC31" s="128"/>
      <c r="AD31" s="129"/>
      <c r="AE31" s="127">
        <f>SUM(AD31,AC31,AB31,Y31,U31,T31,S31,R31)*'1. Standard_Cost'!$B$31</f>
        <v>0</v>
      </c>
      <c r="AF31" s="127">
        <f t="shared" si="19"/>
        <v>0</v>
      </c>
      <c r="AG31" s="126"/>
      <c r="AH31" s="126"/>
      <c r="AI31" s="126"/>
      <c r="AJ31" s="130"/>
      <c r="AK31" s="130"/>
      <c r="AL31" s="130"/>
      <c r="AM31" s="127">
        <f>AG31*'1. Standard_Cost'!$B$27+'Incremental_Cost Year 2'!AH31*'1. Standard_Cost'!$C$27+'Incremental_Cost Year 2'!AI31*'1. Standard_Cost'!$D$27+'Incremental_Cost Year 2'!AJ31+'Incremental_Cost Year 2'!AL31+AK31</f>
        <v>0</v>
      </c>
      <c r="AN31" s="127">
        <f>AM31*'1. Standard_Cost'!$C$31</f>
        <v>0</v>
      </c>
      <c r="AO31" s="249"/>
      <c r="AQ31" s="171">
        <f t="shared" si="20"/>
        <v>207917388</v>
      </c>
      <c r="AR31" s="171">
        <f t="shared" si="21"/>
        <v>0</v>
      </c>
      <c r="AS31" s="171">
        <f t="shared" si="22"/>
        <v>0</v>
      </c>
      <c r="AT31" s="171">
        <f t="shared" si="23"/>
        <v>207917388</v>
      </c>
      <c r="AU31" s="250">
        <f>AT31</f>
        <v>207917388</v>
      </c>
      <c r="AV31" s="250"/>
      <c r="AW31" s="250"/>
      <c r="AX31" s="250"/>
      <c r="AY31" s="250"/>
      <c r="AZ31" s="250"/>
      <c r="BA31" s="250"/>
      <c r="BB31" s="251">
        <f t="shared" ref="BB31:BB36" si="25">SUM(AU31:BA31)-AT31</f>
        <v>0</v>
      </c>
      <c r="BC31" s="169"/>
      <c r="BD31" s="169"/>
      <c r="BE31" s="169"/>
      <c r="BF31" s="169"/>
    </row>
    <row r="32" spans="1:58" ht="78.75" outlineLevel="2" x14ac:dyDescent="0.25">
      <c r="A32" s="115"/>
      <c r="B32" s="200"/>
      <c r="C32" s="201"/>
      <c r="D32" s="135"/>
      <c r="E32" s="219"/>
      <c r="F32" s="219"/>
      <c r="G32" s="313"/>
      <c r="H32" s="213" t="s">
        <v>306</v>
      </c>
      <c r="I32" s="130" t="s">
        <v>4</v>
      </c>
      <c r="J32" s="126">
        <v>6</v>
      </c>
      <c r="K32" s="126">
        <v>36</v>
      </c>
      <c r="L32" s="125">
        <f>IF(I32&lt;&gt;0,((VLOOKUP(I32,'1. Standard_Cost'!$B$4:$D$11,2)+VLOOKUP(I32,'1. Standard_Cost'!$B$4:$D$11,3))*J32*K32),"0")</f>
        <v>17442000</v>
      </c>
      <c r="M32" s="125">
        <f>L32*'1. Standard_Cost'!$F$4</f>
        <v>2912814</v>
      </c>
      <c r="N32" s="126"/>
      <c r="O32" s="126"/>
      <c r="P32" s="126"/>
      <c r="Q32" s="126"/>
      <c r="R32" s="127">
        <f>'1. Standard_Cost'!$B$15*N32*P32</f>
        <v>0</v>
      </c>
      <c r="S32" s="127">
        <f>N32*O32*P32*'1. Standard_Cost'!$C$15</f>
        <v>0</v>
      </c>
      <c r="T32" s="127">
        <f>N32*P32*Q32*'1. Standard_Cost'!$D$15</f>
        <v>0</v>
      </c>
      <c r="U32" s="127">
        <f>N32*O32*'1. Standard_Cost'!$E$15</f>
        <v>0</v>
      </c>
      <c r="V32" s="126"/>
      <c r="W32" s="126"/>
      <c r="X32" s="126"/>
      <c r="Y32" s="127">
        <f>+V32*((X32*'1. Standard_Cost'!$B$19)+(W32*X32*'1. Standard_Cost'!$C$19))</f>
        <v>0</v>
      </c>
      <c r="Z32" s="126"/>
      <c r="AA32" s="126"/>
      <c r="AB32" s="127">
        <f>+Z32*'1. Standard_Cost'!$B$23+AA32*'1. Standard_Cost'!$C$23</f>
        <v>0</v>
      </c>
      <c r="AC32" s="128"/>
      <c r="AD32" s="129"/>
      <c r="AE32" s="127">
        <f>SUM(AD32,AC32,AB32,Y32,U32,T32,S32,R32)*'1. Standard_Cost'!$B$31</f>
        <v>0</v>
      </c>
      <c r="AF32" s="127">
        <f t="shared" si="19"/>
        <v>0</v>
      </c>
      <c r="AG32" s="126"/>
      <c r="AH32" s="126"/>
      <c r="AI32" s="126"/>
      <c r="AJ32" s="130"/>
      <c r="AK32" s="130"/>
      <c r="AL32" s="130"/>
      <c r="AM32" s="127">
        <f>AG32*'1. Standard_Cost'!$B$27+'Incremental_Cost Year 2'!AH32*'1. Standard_Cost'!$C$27+'Incremental_Cost Year 2'!AI32*'1. Standard_Cost'!$D$27+'Incremental_Cost Year 2'!AJ32+'Incremental_Cost Year 2'!AL32+AK32</f>
        <v>0</v>
      </c>
      <c r="AN32" s="127">
        <f>AM32*'1. Standard_Cost'!$C$31</f>
        <v>0</v>
      </c>
      <c r="AO32" s="249"/>
      <c r="AQ32" s="171">
        <f t="shared" si="20"/>
        <v>20354814</v>
      </c>
      <c r="AR32" s="171">
        <f t="shared" si="21"/>
        <v>0</v>
      </c>
      <c r="AS32" s="171">
        <f t="shared" si="22"/>
        <v>0</v>
      </c>
      <c r="AT32" s="171">
        <f t="shared" si="23"/>
        <v>20354814</v>
      </c>
      <c r="AU32" s="250">
        <f>AT32</f>
        <v>20354814</v>
      </c>
      <c r="AV32" s="250"/>
      <c r="AW32" s="250"/>
      <c r="AX32" s="250"/>
      <c r="AY32" s="250"/>
      <c r="AZ32" s="250"/>
      <c r="BA32" s="250"/>
      <c r="BB32" s="251">
        <f t="shared" si="25"/>
        <v>0</v>
      </c>
      <c r="BC32" s="169"/>
      <c r="BD32" s="169"/>
      <c r="BE32" s="169"/>
      <c r="BF32" s="169"/>
    </row>
    <row r="33" spans="1:58" ht="63" outlineLevel="2" x14ac:dyDescent="0.25">
      <c r="A33" s="115"/>
      <c r="B33" s="200"/>
      <c r="C33" s="201"/>
      <c r="D33" s="135"/>
      <c r="E33" s="219"/>
      <c r="F33" s="219"/>
      <c r="G33" s="313"/>
      <c r="H33" s="213" t="s">
        <v>389</v>
      </c>
      <c r="I33" s="130"/>
      <c r="J33" s="126"/>
      <c r="K33" s="126"/>
      <c r="L33" s="125" t="str">
        <f>IF(I33&lt;&gt;0,((VLOOKUP(I33,'1. Standard_Cost'!$B$4:$D$11,2)+VLOOKUP(I33,'1. Standard_Cost'!$B$4:$D$11,3))*J33*K33),"0")</f>
        <v>0</v>
      </c>
      <c r="M33" s="125">
        <f>L33*'1. Standard_Cost'!$F$4</f>
        <v>0</v>
      </c>
      <c r="N33" s="126"/>
      <c r="O33" s="126"/>
      <c r="P33" s="126"/>
      <c r="Q33" s="126"/>
      <c r="R33" s="127">
        <f>'1. Standard_Cost'!$B$15*N33*P33</f>
        <v>0</v>
      </c>
      <c r="S33" s="127">
        <f>N33*O33*P33*'1. Standard_Cost'!$C$15</f>
        <v>0</v>
      </c>
      <c r="T33" s="127">
        <f>N33*P33*Q33*'1. Standard_Cost'!$D$15</f>
        <v>0</v>
      </c>
      <c r="U33" s="127">
        <f>N33*O33*'1. Standard_Cost'!$E$15</f>
        <v>0</v>
      </c>
      <c r="V33" s="126"/>
      <c r="W33" s="126"/>
      <c r="X33" s="126"/>
      <c r="Y33" s="127">
        <f>+V33*((X33*'1. Standard_Cost'!$B$19)+(W33*X33*'1. Standard_Cost'!$C$19))</f>
        <v>0</v>
      </c>
      <c r="Z33" s="126"/>
      <c r="AA33" s="126"/>
      <c r="AB33" s="127">
        <f>+Z33*'1. Standard_Cost'!$B$23+AA33*'1. Standard_Cost'!$C$23</f>
        <v>0</v>
      </c>
      <c r="AC33" s="128"/>
      <c r="AD33" s="129"/>
      <c r="AE33" s="127">
        <f>SUM(AD33,AC33,AB33,Y33,U33,T33,S33,R33)*'1. Standard_Cost'!$B$31</f>
        <v>0</v>
      </c>
      <c r="AF33" s="127">
        <f t="shared" si="19"/>
        <v>0</v>
      </c>
      <c r="AG33" s="126"/>
      <c r="AH33" s="126"/>
      <c r="AI33" s="126"/>
      <c r="AJ33" s="130"/>
      <c r="AK33" s="130"/>
      <c r="AL33" s="130"/>
      <c r="AM33" s="127">
        <f>AG33*'1. Standard_Cost'!$B$27+'Incremental_Cost Year 2'!AH33*'1. Standard_Cost'!$C$27+'Incremental_Cost Year 2'!AI33*'1. Standard_Cost'!$D$27+'Incremental_Cost Year 2'!AJ33+'Incremental_Cost Year 2'!AL33+AK33</f>
        <v>0</v>
      </c>
      <c r="AN33" s="127">
        <f>AM33*'1. Standard_Cost'!$C$31</f>
        <v>0</v>
      </c>
      <c r="AO33" s="130"/>
      <c r="AQ33" s="171">
        <f t="shared" si="20"/>
        <v>0</v>
      </c>
      <c r="AR33" s="171">
        <f t="shared" si="21"/>
        <v>0</v>
      </c>
      <c r="AS33" s="171">
        <f t="shared" si="22"/>
        <v>0</v>
      </c>
      <c r="AT33" s="171">
        <f t="shared" si="23"/>
        <v>0</v>
      </c>
      <c r="AU33" s="250"/>
      <c r="AV33" s="250"/>
      <c r="AW33" s="250"/>
      <c r="AX33" s="250"/>
      <c r="AY33" s="250"/>
      <c r="AZ33" s="250"/>
      <c r="BA33" s="250"/>
      <c r="BB33" s="251">
        <f t="shared" si="25"/>
        <v>0</v>
      </c>
      <c r="BC33" s="169"/>
      <c r="BD33" s="169"/>
      <c r="BE33" s="169"/>
      <c r="BF33" s="169"/>
    </row>
    <row r="34" spans="1:58" ht="110.25" outlineLevel="2" x14ac:dyDescent="0.25">
      <c r="A34" s="115"/>
      <c r="B34" s="200"/>
      <c r="C34" s="201"/>
      <c r="D34" s="135"/>
      <c r="E34" s="219"/>
      <c r="F34" s="219"/>
      <c r="G34" s="313"/>
      <c r="H34" s="213" t="s">
        <v>390</v>
      </c>
      <c r="I34" s="130" t="s">
        <v>3</v>
      </c>
      <c r="J34" s="126">
        <v>12</v>
      </c>
      <c r="K34" s="126">
        <v>3</v>
      </c>
      <c r="L34" s="125">
        <f>IF(I34&lt;&gt;0,((VLOOKUP(I34,'1. Standard_Cost'!$B$4:$D$11,2)+VLOOKUP(I34,'1. Standard_Cost'!$B$4:$D$11,3))*J34*K34),"0")</f>
        <v>3628800</v>
      </c>
      <c r="M34" s="125">
        <f>L34*'1. Standard_Cost'!$F$4</f>
        <v>606009.59999999998</v>
      </c>
      <c r="N34" s="126"/>
      <c r="O34" s="126"/>
      <c r="P34" s="126"/>
      <c r="Q34" s="126"/>
      <c r="R34" s="127">
        <f>'1. Standard_Cost'!$B$15*N34*P34</f>
        <v>0</v>
      </c>
      <c r="S34" s="127">
        <f>N34*O34*P34*'1. Standard_Cost'!$C$15</f>
        <v>0</v>
      </c>
      <c r="T34" s="127">
        <f>N34*P34*Q34*'1. Standard_Cost'!$D$15</f>
        <v>0</v>
      </c>
      <c r="U34" s="127">
        <f>N34*O34*'1. Standard_Cost'!$E$15</f>
        <v>0</v>
      </c>
      <c r="V34" s="126"/>
      <c r="W34" s="126"/>
      <c r="X34" s="126"/>
      <c r="Y34" s="127">
        <f>+V34*((X34*'1. Standard_Cost'!$B$19)+(W34*X34*'1. Standard_Cost'!$C$19))</f>
        <v>0</v>
      </c>
      <c r="Z34" s="126"/>
      <c r="AA34" s="126"/>
      <c r="AB34" s="127">
        <f>+Z34*'1. Standard_Cost'!$B$23+AA34*'1. Standard_Cost'!$C$23</f>
        <v>0</v>
      </c>
      <c r="AC34" s="128">
        <v>1000000</v>
      </c>
      <c r="AD34" s="129"/>
      <c r="AE34" s="127">
        <f>SUM(AD34,AC34,AB34,Y34,U34,T34,S34,R34)*'1. Standard_Cost'!$B$31</f>
        <v>200000</v>
      </c>
      <c r="AF34" s="127">
        <f t="shared" si="19"/>
        <v>1200000</v>
      </c>
      <c r="AG34" s="126"/>
      <c r="AH34" s="126"/>
      <c r="AI34" s="126"/>
      <c r="AJ34" s="130"/>
      <c r="AK34" s="130"/>
      <c r="AL34" s="130"/>
      <c r="AM34" s="127">
        <f>AG34*'1. Standard_Cost'!$B$27+'Incremental_Cost Year 2'!AH34*'1. Standard_Cost'!$C$27+'Incremental_Cost Year 2'!AI34*'1. Standard_Cost'!$D$27+'Incremental_Cost Year 2'!AJ34+'Incremental_Cost Year 2'!AL34+AK34</f>
        <v>0</v>
      </c>
      <c r="AN34" s="127">
        <f>AM34*'1. Standard_Cost'!$C$31</f>
        <v>0</v>
      </c>
      <c r="AO34" s="130"/>
      <c r="AQ34" s="171">
        <f t="shared" si="20"/>
        <v>4234809.5999999996</v>
      </c>
      <c r="AR34" s="171">
        <f t="shared" si="21"/>
        <v>1200000</v>
      </c>
      <c r="AS34" s="171">
        <f t="shared" si="22"/>
        <v>0</v>
      </c>
      <c r="AT34" s="171">
        <f t="shared" si="23"/>
        <v>5434809.5999999996</v>
      </c>
      <c r="AU34" s="250">
        <f>AT34</f>
        <v>5434809.5999999996</v>
      </c>
      <c r="AV34" s="250"/>
      <c r="AW34" s="250"/>
      <c r="AX34" s="250"/>
      <c r="AY34" s="250"/>
      <c r="AZ34" s="250"/>
      <c r="BA34" s="250"/>
      <c r="BB34" s="251">
        <f t="shared" si="25"/>
        <v>0</v>
      </c>
      <c r="BC34" s="169"/>
      <c r="BD34" s="169"/>
      <c r="BE34" s="169"/>
      <c r="BF34" s="169"/>
    </row>
    <row r="35" spans="1:58" ht="78.75" outlineLevel="2" x14ac:dyDescent="0.25">
      <c r="A35" s="115"/>
      <c r="B35" s="200"/>
      <c r="C35" s="201"/>
      <c r="D35" s="135"/>
      <c r="E35" s="219"/>
      <c r="F35" s="219"/>
      <c r="G35" s="313"/>
      <c r="H35" s="213" t="s">
        <v>391</v>
      </c>
      <c r="I35" s="130" t="s">
        <v>5</v>
      </c>
      <c r="J35" s="126">
        <v>1</v>
      </c>
      <c r="K35" s="126">
        <v>420</v>
      </c>
      <c r="L35" s="125">
        <f>IF(I35&lt;&gt;0,((VLOOKUP(I35,'1. Standard_Cost'!$B$4:$D$11,2)+VLOOKUP(I35,'1. Standard_Cost'!$B$4:$D$11,3))*J35*K35),"0")</f>
        <v>29694000</v>
      </c>
      <c r="M35" s="125">
        <f>L35*'1. Standard_Cost'!$F$4</f>
        <v>4958898</v>
      </c>
      <c r="N35" s="126"/>
      <c r="O35" s="126"/>
      <c r="P35" s="126"/>
      <c r="Q35" s="126"/>
      <c r="R35" s="127">
        <f>'1. Standard_Cost'!$B$15*N35*P35</f>
        <v>0</v>
      </c>
      <c r="S35" s="127">
        <f>N35*O35*P35*'1. Standard_Cost'!$C$15</f>
        <v>0</v>
      </c>
      <c r="T35" s="127">
        <f>N35*P35*Q35*'1. Standard_Cost'!$D$15</f>
        <v>0</v>
      </c>
      <c r="U35" s="127">
        <f>N35*O35*'1. Standard_Cost'!$E$15</f>
        <v>0</v>
      </c>
      <c r="V35" s="126"/>
      <c r="W35" s="126"/>
      <c r="X35" s="126"/>
      <c r="Y35" s="127">
        <f>+V35*((X35*'1. Standard_Cost'!$B$19)+(W35*X35*'1. Standard_Cost'!$C$19))</f>
        <v>0</v>
      </c>
      <c r="Z35" s="126"/>
      <c r="AA35" s="126"/>
      <c r="AB35" s="127">
        <f>+Z35*'1. Standard_Cost'!$B$23+AA35*'1. Standard_Cost'!$C$23</f>
        <v>0</v>
      </c>
      <c r="AC35" s="128"/>
      <c r="AD35" s="129"/>
      <c r="AE35" s="127">
        <f>SUM(AD35,AC35,AB35,Y35,U35,T35,S35,R35)*'1. Standard_Cost'!$B$31</f>
        <v>0</v>
      </c>
      <c r="AF35" s="127">
        <f t="shared" si="19"/>
        <v>0</v>
      </c>
      <c r="AG35" s="126"/>
      <c r="AH35" s="126"/>
      <c r="AI35" s="126"/>
      <c r="AJ35" s="130"/>
      <c r="AK35" s="130"/>
      <c r="AL35" s="130"/>
      <c r="AM35" s="127">
        <f>AG35*'1. Standard_Cost'!$B$27+'Incremental_Cost Year 2'!AH35*'1. Standard_Cost'!$C$27+'Incremental_Cost Year 2'!AI35*'1. Standard_Cost'!$D$27+'Incremental_Cost Year 2'!AJ35+'Incremental_Cost Year 2'!AL35+AK35</f>
        <v>0</v>
      </c>
      <c r="AN35" s="127">
        <f>AM35*'1. Standard_Cost'!$C$31</f>
        <v>0</v>
      </c>
      <c r="AO35" s="130"/>
      <c r="AQ35" s="171">
        <f t="shared" si="20"/>
        <v>34652898</v>
      </c>
      <c r="AR35" s="171">
        <f t="shared" si="21"/>
        <v>0</v>
      </c>
      <c r="AS35" s="171">
        <f t="shared" si="22"/>
        <v>0</v>
      </c>
      <c r="AT35" s="171">
        <f t="shared" si="23"/>
        <v>34652898</v>
      </c>
      <c r="AU35" s="250">
        <f>AT35</f>
        <v>34652898</v>
      </c>
      <c r="AV35" s="250"/>
      <c r="AW35" s="250"/>
      <c r="AX35" s="250"/>
      <c r="AY35" s="250"/>
      <c r="AZ35" s="250"/>
      <c r="BA35" s="250"/>
      <c r="BB35" s="251">
        <f t="shared" si="25"/>
        <v>0</v>
      </c>
      <c r="BC35" s="169"/>
      <c r="BD35" s="169"/>
      <c r="BE35" s="169"/>
      <c r="BF35" s="169"/>
    </row>
    <row r="36" spans="1:58" ht="78.75" outlineLevel="2" x14ac:dyDescent="0.25">
      <c r="A36" s="115"/>
      <c r="B36" s="200"/>
      <c r="C36" s="201"/>
      <c r="D36" s="223"/>
      <c r="E36" s="122"/>
      <c r="F36" s="122"/>
      <c r="G36" s="123"/>
      <c r="H36" s="213" t="s">
        <v>392</v>
      </c>
      <c r="I36" s="130" t="s">
        <v>4</v>
      </c>
      <c r="J36" s="126">
        <v>1</v>
      </c>
      <c r="K36" s="126">
        <v>36</v>
      </c>
      <c r="L36" s="125">
        <f>IF(I36&lt;&gt;0,((VLOOKUP(I36,'1. Standard_Cost'!$B$4:$D$11,2)+VLOOKUP(I36,'1. Standard_Cost'!$B$4:$D$11,3))*J36*K36),"0")</f>
        <v>2907000</v>
      </c>
      <c r="M36" s="125">
        <f>L36*'1. Standard_Cost'!$F$4</f>
        <v>485469</v>
      </c>
      <c r="N36" s="126"/>
      <c r="O36" s="126"/>
      <c r="P36" s="126"/>
      <c r="Q36" s="126"/>
      <c r="R36" s="127">
        <f>'1. Standard_Cost'!$B$15*N36*P36</f>
        <v>0</v>
      </c>
      <c r="S36" s="127">
        <f>N36*O36*P36*'1. Standard_Cost'!$C$15</f>
        <v>0</v>
      </c>
      <c r="T36" s="127">
        <f>N36*P36*Q36*'1. Standard_Cost'!$D$15</f>
        <v>0</v>
      </c>
      <c r="U36" s="127">
        <f>N36*O36*'1. Standard_Cost'!$E$15</f>
        <v>0</v>
      </c>
      <c r="V36" s="126"/>
      <c r="W36" s="126"/>
      <c r="X36" s="126"/>
      <c r="Y36" s="127">
        <f>+V36*((X36*'1. Standard_Cost'!$B$19)+(W36*X36*'1. Standard_Cost'!$C$19))</f>
        <v>0</v>
      </c>
      <c r="Z36" s="126"/>
      <c r="AA36" s="126"/>
      <c r="AB36" s="127">
        <f>+Z36*'1. Standard_Cost'!$B$23+AA36*'1. Standard_Cost'!$C$23</f>
        <v>0</v>
      </c>
      <c r="AC36" s="128"/>
      <c r="AD36" s="129"/>
      <c r="AE36" s="127">
        <f>SUM(AD36,AC36,AB36,Y36,U36,T36,S36,R36)*'1. Standard_Cost'!$B$31</f>
        <v>0</v>
      </c>
      <c r="AF36" s="127">
        <f t="shared" si="19"/>
        <v>0</v>
      </c>
      <c r="AG36" s="126"/>
      <c r="AH36" s="126"/>
      <c r="AI36" s="126"/>
      <c r="AJ36" s="130"/>
      <c r="AK36" s="130"/>
      <c r="AL36" s="130"/>
      <c r="AM36" s="127">
        <f>AG36*'1. Standard_Cost'!$B$27+'Incremental_Cost Year 2'!AH36*'1. Standard_Cost'!$C$27+'Incremental_Cost Year 2'!AI36*'1. Standard_Cost'!$D$27+'Incremental_Cost Year 2'!AJ36+'Incremental_Cost Year 2'!AL36+AK36</f>
        <v>0</v>
      </c>
      <c r="AN36" s="127">
        <f>AM36*'1. Standard_Cost'!$C$31</f>
        <v>0</v>
      </c>
      <c r="AO36" s="130"/>
      <c r="AQ36" s="171">
        <f t="shared" si="20"/>
        <v>3392469</v>
      </c>
      <c r="AR36" s="171">
        <f t="shared" si="21"/>
        <v>0</v>
      </c>
      <c r="AS36" s="171">
        <f t="shared" si="22"/>
        <v>0</v>
      </c>
      <c r="AT36" s="171">
        <f t="shared" si="23"/>
        <v>3392469</v>
      </c>
      <c r="AU36" s="250">
        <f>AT36</f>
        <v>3392469</v>
      </c>
      <c r="AV36" s="250"/>
      <c r="AW36" s="250"/>
      <c r="AX36" s="250"/>
      <c r="AY36" s="250"/>
      <c r="AZ36" s="250"/>
      <c r="BA36" s="250"/>
      <c r="BB36" s="251">
        <f t="shared" si="25"/>
        <v>0</v>
      </c>
      <c r="BC36" s="169"/>
      <c r="BD36" s="169"/>
      <c r="BE36" s="169"/>
      <c r="BF36" s="169"/>
    </row>
    <row r="37" spans="1:58" ht="63" outlineLevel="1" x14ac:dyDescent="0.25">
      <c r="A37" s="115"/>
      <c r="B37" s="165"/>
      <c r="C37" s="166"/>
      <c r="D37" s="150" t="s">
        <v>384</v>
      </c>
      <c r="E37" s="139" t="s">
        <v>200</v>
      </c>
      <c r="F37" s="222">
        <v>2021</v>
      </c>
      <c r="G37" s="117">
        <v>2030</v>
      </c>
      <c r="H37" s="134" t="s">
        <v>201</v>
      </c>
      <c r="I37" s="252"/>
      <c r="J37" s="252"/>
      <c r="K37" s="252"/>
      <c r="L37" s="127">
        <f>SUM(L30:L36)</f>
        <v>236674200</v>
      </c>
      <c r="M37" s="127">
        <f>SUM(M30:M36)</f>
        <v>39524591.399999999</v>
      </c>
      <c r="N37" s="127"/>
      <c r="O37" s="252"/>
      <c r="P37" s="252"/>
      <c r="Q37" s="252"/>
      <c r="R37" s="127">
        <f>SUM(R30:R36)</f>
        <v>0</v>
      </c>
      <c r="S37" s="127">
        <f>SUM(S30:S36)</f>
        <v>0</v>
      </c>
      <c r="T37" s="127">
        <f>SUM(T30:T36)</f>
        <v>0</v>
      </c>
      <c r="U37" s="127">
        <f>SUM(U30:U36)</f>
        <v>0</v>
      </c>
      <c r="V37" s="252"/>
      <c r="W37" s="252"/>
      <c r="X37" s="252"/>
      <c r="Y37" s="127">
        <f>SUM(Y30:Y36)</f>
        <v>0</v>
      </c>
      <c r="Z37" s="252"/>
      <c r="AA37" s="252"/>
      <c r="AB37" s="127">
        <f>SUM(AB30:AB36)</f>
        <v>0</v>
      </c>
      <c r="AC37" s="127">
        <f>SUM(AC30:AC36)</f>
        <v>1000000</v>
      </c>
      <c r="AD37" s="127">
        <f>SUM(AD30:AD36)</f>
        <v>0</v>
      </c>
      <c r="AE37" s="127">
        <f>SUM(AE30:AE36)</f>
        <v>200000</v>
      </c>
      <c r="AF37" s="127">
        <f>SUM(AF30:AF36)</f>
        <v>1200000</v>
      </c>
      <c r="AG37" s="252"/>
      <c r="AH37" s="252"/>
      <c r="AI37" s="252"/>
      <c r="AJ37" s="127">
        <f>SUM(AJ30:AJ36)</f>
        <v>0</v>
      </c>
      <c r="AK37" s="127">
        <f>SUM(AK30:AK36)</f>
        <v>0</v>
      </c>
      <c r="AL37" s="127">
        <f>SUM(AL30:AL36)</f>
        <v>0</v>
      </c>
      <c r="AM37" s="127">
        <f>SUM(AM30:AM36)</f>
        <v>0</v>
      </c>
      <c r="AN37" s="127">
        <f>SUM(AN30:AN36)</f>
        <v>0</v>
      </c>
      <c r="AO37" s="253"/>
      <c r="AP37" s="254"/>
      <c r="AQ37" s="175">
        <f>SUM(AQ30:AQ36)</f>
        <v>276198791.39999998</v>
      </c>
      <c r="AR37" s="175">
        <f>SUM(AR30:AR36)</f>
        <v>1200000</v>
      </c>
      <c r="AS37" s="175">
        <f>SUM(AS30:AS36)</f>
        <v>0</v>
      </c>
      <c r="AT37" s="175">
        <f>SUM(AT30:AT36)</f>
        <v>277398791.39999998</v>
      </c>
      <c r="AU37" s="175">
        <f t="shared" ref="AU37:BB37" si="26">SUM(AU30:AU36)</f>
        <v>277398791.39999998</v>
      </c>
      <c r="AV37" s="175">
        <f t="shared" si="26"/>
        <v>0</v>
      </c>
      <c r="AW37" s="175">
        <f>SUM(AW30:AW36)</f>
        <v>0</v>
      </c>
      <c r="AX37" s="175">
        <f t="shared" si="26"/>
        <v>0</v>
      </c>
      <c r="AY37" s="175">
        <f t="shared" si="26"/>
        <v>0</v>
      </c>
      <c r="AZ37" s="175">
        <f t="shared" si="26"/>
        <v>0</v>
      </c>
      <c r="BA37" s="175">
        <f t="shared" si="26"/>
        <v>0</v>
      </c>
      <c r="BB37" s="175">
        <f t="shared" si="26"/>
        <v>0</v>
      </c>
      <c r="BC37" s="169"/>
      <c r="BD37" s="169"/>
      <c r="BE37" s="169"/>
      <c r="BF37" s="169"/>
    </row>
    <row r="38" spans="1:58" ht="63" outlineLevel="2" x14ac:dyDescent="0.25">
      <c r="A38" s="115"/>
      <c r="B38" s="200"/>
      <c r="C38" s="201"/>
      <c r="D38" s="224"/>
      <c r="E38" s="135" t="s">
        <v>393</v>
      </c>
      <c r="F38" s="302">
        <v>2021</v>
      </c>
      <c r="G38" s="302">
        <v>2023</v>
      </c>
      <c r="H38" s="199" t="s">
        <v>394</v>
      </c>
      <c r="I38" s="130"/>
      <c r="J38" s="126"/>
      <c r="K38" s="126"/>
      <c r="L38" s="125" t="str">
        <f>IF(I38&lt;&gt;0,((VLOOKUP(I38,'1. Standard_Cost'!$B$4:$D$11,2)+VLOOKUP(I38,'1. Standard_Cost'!$B$4:$D$11,3))*J38*K38),"0")</f>
        <v>0</v>
      </c>
      <c r="M38" s="125">
        <f>L38*'1. Standard_Cost'!$F$4</f>
        <v>0</v>
      </c>
      <c r="N38" s="126"/>
      <c r="O38" s="126"/>
      <c r="P38" s="126"/>
      <c r="Q38" s="126"/>
      <c r="R38" s="127">
        <f>'1. Standard_Cost'!$B$15*N38*P38</f>
        <v>0</v>
      </c>
      <c r="S38" s="127">
        <f>N38*O38*P38*'1. Standard_Cost'!$C$15</f>
        <v>0</v>
      </c>
      <c r="T38" s="127">
        <f>N38*P38*Q38*'1. Standard_Cost'!$D$15</f>
        <v>0</v>
      </c>
      <c r="U38" s="127">
        <f>N38*O38*'1. Standard_Cost'!$E$15</f>
        <v>0</v>
      </c>
      <c r="V38" s="126"/>
      <c r="W38" s="126"/>
      <c r="X38" s="126"/>
      <c r="Y38" s="127">
        <f>+V38*((X38*'1. Standard_Cost'!$B$19)+(W38*X38*'1. Standard_Cost'!$C$19))</f>
        <v>0</v>
      </c>
      <c r="Z38" s="126"/>
      <c r="AA38" s="126"/>
      <c r="AB38" s="127">
        <f>+Z38*'1. Standard_Cost'!$B$23+AA38*'1. Standard_Cost'!$C$23</f>
        <v>0</v>
      </c>
      <c r="AC38" s="128">
        <v>4455000000</v>
      </c>
      <c r="AD38" s="129"/>
      <c r="AE38" s="127"/>
      <c r="AF38" s="127">
        <f>SUM(AE38,AD38,AC38,AB38,Y38,U38,T38,S38,R38)</f>
        <v>4455000000</v>
      </c>
      <c r="AG38" s="126"/>
      <c r="AH38" s="126"/>
      <c r="AI38" s="126"/>
      <c r="AJ38" s="130"/>
      <c r="AK38" s="130"/>
      <c r="AL38" s="130"/>
      <c r="AM38" s="127">
        <f>AG38*'1. Standard_Cost'!$B$27+'Incremental_Cost Year 2'!AH38*'1. Standard_Cost'!$C$27+'Incremental_Cost Year 2'!AI38*'1. Standard_Cost'!$D$27+'Incremental_Cost Year 2'!AJ38+'Incremental_Cost Year 2'!AL38+AK38</f>
        <v>0</v>
      </c>
      <c r="AN38" s="127">
        <f>AM38*'1. Standard_Cost'!$C$31</f>
        <v>0</v>
      </c>
      <c r="AO38" s="249"/>
      <c r="AQ38" s="171">
        <f>L38+M38</f>
        <v>0</v>
      </c>
      <c r="AR38" s="171">
        <f>AF38</f>
        <v>4455000000</v>
      </c>
      <c r="AS38" s="171">
        <f>AM38+AN38</f>
        <v>0</v>
      </c>
      <c r="AT38" s="171">
        <f>SUM(AQ38,AR38,AS38)</f>
        <v>4455000000</v>
      </c>
      <c r="AU38" s="250">
        <v>2700000000</v>
      </c>
      <c r="AV38" s="250"/>
      <c r="AW38" s="250"/>
      <c r="AX38" s="250"/>
      <c r="AY38" s="250"/>
      <c r="AZ38" s="250"/>
      <c r="BA38" s="250"/>
      <c r="BB38" s="251">
        <f t="shared" ref="BB38" si="27">SUM(AU38:BA38)-AT38</f>
        <v>-1755000000</v>
      </c>
      <c r="BC38" s="169"/>
      <c r="BD38" s="169"/>
      <c r="BE38" s="169"/>
      <c r="BF38" s="169"/>
    </row>
    <row r="39" spans="1:58" ht="31.5" outlineLevel="1" x14ac:dyDescent="0.25">
      <c r="A39" s="115"/>
      <c r="B39" s="303"/>
      <c r="C39" s="304"/>
      <c r="D39" s="107" t="s">
        <v>388</v>
      </c>
      <c r="E39" s="139" t="s">
        <v>202</v>
      </c>
      <c r="F39" s="122">
        <v>2021</v>
      </c>
      <c r="G39" s="223">
        <v>2030</v>
      </c>
      <c r="H39" s="134" t="s">
        <v>203</v>
      </c>
      <c r="I39" s="252"/>
      <c r="J39" s="252"/>
      <c r="K39" s="252"/>
      <c r="L39" s="127">
        <f>SUM(L38:L38)</f>
        <v>0</v>
      </c>
      <c r="M39" s="127">
        <f>SUM(M38:M38)</f>
        <v>0</v>
      </c>
      <c r="N39" s="127"/>
      <c r="O39" s="252"/>
      <c r="P39" s="252"/>
      <c r="Q39" s="252"/>
      <c r="R39" s="127">
        <f>SUM(R38:R38)</f>
        <v>0</v>
      </c>
      <c r="S39" s="127">
        <f>SUM(S38:S38)</f>
        <v>0</v>
      </c>
      <c r="T39" s="127">
        <f>SUM(T38:T38)</f>
        <v>0</v>
      </c>
      <c r="U39" s="127">
        <f>SUM(U38:U38)</f>
        <v>0</v>
      </c>
      <c r="V39" s="252"/>
      <c r="W39" s="252"/>
      <c r="X39" s="252"/>
      <c r="Y39" s="127">
        <f>SUM(Y38:Y38)</f>
        <v>0</v>
      </c>
      <c r="Z39" s="252"/>
      <c r="AA39" s="252"/>
      <c r="AB39" s="127">
        <f>SUM(AB38:AB38)</f>
        <v>0</v>
      </c>
      <c r="AC39" s="127">
        <f>SUM(AC38:AC38)</f>
        <v>4455000000</v>
      </c>
      <c r="AD39" s="127">
        <f>SUM(AD38:AD38)</f>
        <v>0</v>
      </c>
      <c r="AE39" s="127">
        <f>SUM(AE38:AE38)</f>
        <v>0</v>
      </c>
      <c r="AF39" s="127">
        <f>SUM(AF38:AF38)</f>
        <v>4455000000</v>
      </c>
      <c r="AG39" s="252"/>
      <c r="AH39" s="252"/>
      <c r="AI39" s="252"/>
      <c r="AJ39" s="127">
        <f>SUM(AJ38:AJ38)</f>
        <v>0</v>
      </c>
      <c r="AK39" s="127">
        <f>SUM(AK38:AK38)</f>
        <v>0</v>
      </c>
      <c r="AL39" s="127">
        <f>SUM(AL38:AL38)</f>
        <v>0</v>
      </c>
      <c r="AM39" s="127">
        <f>SUM(AM38:AM38)</f>
        <v>0</v>
      </c>
      <c r="AN39" s="127">
        <f>SUM(AN38:AN38)</f>
        <v>0</v>
      </c>
      <c r="AO39" s="253"/>
      <c r="AP39" s="254"/>
      <c r="AQ39" s="175">
        <f>SUM(AQ38:AQ38)</f>
        <v>0</v>
      </c>
      <c r="AR39" s="175">
        <f>SUM(AR38:AR38)</f>
        <v>4455000000</v>
      </c>
      <c r="AS39" s="175">
        <f>SUM(AS38:AS38)</f>
        <v>0</v>
      </c>
      <c r="AT39" s="175">
        <f>SUM(AT38:AT38)</f>
        <v>4455000000</v>
      </c>
      <c r="AU39" s="175">
        <f t="shared" ref="AU39:BB39" si="28">SUM(AU38:AU38)</f>
        <v>2700000000</v>
      </c>
      <c r="AV39" s="175">
        <f t="shared" si="28"/>
        <v>0</v>
      </c>
      <c r="AW39" s="175">
        <f>SUM(AW38:AW38)</f>
        <v>0</v>
      </c>
      <c r="AX39" s="175">
        <f t="shared" si="28"/>
        <v>0</v>
      </c>
      <c r="AY39" s="175">
        <f t="shared" si="28"/>
        <v>0</v>
      </c>
      <c r="AZ39" s="175">
        <f t="shared" si="28"/>
        <v>0</v>
      </c>
      <c r="BA39" s="175">
        <f t="shared" si="28"/>
        <v>0</v>
      </c>
      <c r="BB39" s="175">
        <f t="shared" si="28"/>
        <v>-1755000000</v>
      </c>
      <c r="BC39" s="169"/>
      <c r="BD39" s="169"/>
      <c r="BE39" s="169"/>
      <c r="BF39" s="169"/>
    </row>
    <row r="40" spans="1:58" s="170" customFormat="1" ht="15.75" customHeight="1" x14ac:dyDescent="0.25">
      <c r="A40" s="120"/>
      <c r="B40" s="290"/>
      <c r="C40" s="391" t="s">
        <v>204</v>
      </c>
      <c r="D40" s="391"/>
      <c r="E40" s="392"/>
      <c r="F40" s="289"/>
      <c r="G40" s="288"/>
      <c r="H40" s="114" t="s">
        <v>207</v>
      </c>
      <c r="I40" s="246"/>
      <c r="J40" s="246"/>
      <c r="K40" s="246"/>
      <c r="L40" s="247">
        <f>SUM(L44)</f>
        <v>403750</v>
      </c>
      <c r="M40" s="247">
        <f>SUM(M44)</f>
        <v>67426.25</v>
      </c>
      <c r="N40" s="247"/>
      <c r="O40" s="247"/>
      <c r="P40" s="247"/>
      <c r="Q40" s="247"/>
      <c r="R40" s="247">
        <f>SUM(R44)</f>
        <v>500000</v>
      </c>
      <c r="S40" s="247">
        <f>SUM(S44)</f>
        <v>375000</v>
      </c>
      <c r="T40" s="247">
        <f>SUM(T44)</f>
        <v>0</v>
      </c>
      <c r="U40" s="247">
        <f>SUM(U44)</f>
        <v>400000</v>
      </c>
      <c r="V40" s="247"/>
      <c r="W40" s="247"/>
      <c r="X40" s="247"/>
      <c r="Y40" s="247">
        <f>SUM(Y44)</f>
        <v>0</v>
      </c>
      <c r="Z40" s="247">
        <f t="shared" ref="Z40:AA40" si="29">SUM(Z44)</f>
        <v>0</v>
      </c>
      <c r="AA40" s="247">
        <f t="shared" si="29"/>
        <v>0</v>
      </c>
      <c r="AB40" s="247">
        <f t="shared" ref="AB40:AF40" si="30">SUM(AB44)</f>
        <v>228000</v>
      </c>
      <c r="AC40" s="247">
        <f t="shared" ref="AC40:AD40" si="31">SUM(AC44)</f>
        <v>825000</v>
      </c>
      <c r="AD40" s="247">
        <f t="shared" si="31"/>
        <v>0</v>
      </c>
      <c r="AE40" s="247">
        <f t="shared" si="30"/>
        <v>465600</v>
      </c>
      <c r="AF40" s="247">
        <f t="shared" si="30"/>
        <v>2793600</v>
      </c>
      <c r="AG40" s="247"/>
      <c r="AH40" s="247"/>
      <c r="AI40" s="247"/>
      <c r="AJ40" s="247">
        <f>SUM(AJ44)</f>
        <v>0</v>
      </c>
      <c r="AK40" s="247">
        <f>SUM(AK44)</f>
        <v>0</v>
      </c>
      <c r="AL40" s="247">
        <f>SUM(AL44)</f>
        <v>0</v>
      </c>
      <c r="AM40" s="247">
        <f>SUM(AM44)</f>
        <v>0</v>
      </c>
      <c r="AN40" s="247">
        <f>SUM(AN44)</f>
        <v>0</v>
      </c>
      <c r="AO40" s="247"/>
      <c r="AP40" s="244"/>
      <c r="AQ40" s="248">
        <f>SUM(AQ44)</f>
        <v>471176.25</v>
      </c>
      <c r="AR40" s="248">
        <f>SUM(AR44)</f>
        <v>2793600</v>
      </c>
      <c r="AS40" s="248">
        <f>SUM(AS44)</f>
        <v>0</v>
      </c>
      <c r="AT40" s="248">
        <f>SUM(AT44)</f>
        <v>3264776.25</v>
      </c>
      <c r="AU40" s="248">
        <f t="shared" ref="AU40:BA40" si="32">SUM(AU44)</f>
        <v>471176.25</v>
      </c>
      <c r="AV40" s="248">
        <f t="shared" si="32"/>
        <v>0</v>
      </c>
      <c r="AW40" s="248">
        <f>SUM(AW44)</f>
        <v>0</v>
      </c>
      <c r="AX40" s="248">
        <f t="shared" si="32"/>
        <v>0</v>
      </c>
      <c r="AY40" s="248">
        <f t="shared" si="32"/>
        <v>0</v>
      </c>
      <c r="AZ40" s="248">
        <f t="shared" si="32"/>
        <v>0</v>
      </c>
      <c r="BA40" s="248">
        <f t="shared" si="32"/>
        <v>0</v>
      </c>
      <c r="BB40" s="248">
        <f t="shared" ref="BB40" si="33">SUM(BB44)</f>
        <v>-2793600</v>
      </c>
    </row>
    <row r="41" spans="1:58" ht="108.6" customHeight="1" outlineLevel="2" x14ac:dyDescent="0.25">
      <c r="A41" s="115"/>
      <c r="B41" s="200"/>
      <c r="C41" s="201"/>
      <c r="D41" s="138"/>
      <c r="E41" s="295"/>
      <c r="F41" s="295"/>
      <c r="G41" s="296"/>
      <c r="H41" s="213" t="s">
        <v>395</v>
      </c>
      <c r="I41" s="130" t="s">
        <v>4</v>
      </c>
      <c r="J41" s="126">
        <v>0.5</v>
      </c>
      <c r="K41" s="126">
        <v>5</v>
      </c>
      <c r="L41" s="125">
        <f>IF(I41&lt;&gt;0,((VLOOKUP(I41,'1. Standard_Cost'!$B$4:$D$11,2)+VLOOKUP(I41,'1. Standard_Cost'!$B$4:$D$11,3))*J41*K41),"0")</f>
        <v>201875</v>
      </c>
      <c r="M41" s="125">
        <f>L41*'1. Standard_Cost'!$F$4</f>
        <v>33713.125</v>
      </c>
      <c r="N41" s="126"/>
      <c r="O41" s="126"/>
      <c r="P41" s="126"/>
      <c r="Q41" s="126"/>
      <c r="R41" s="127">
        <f>'1. Standard_Cost'!$B$15*N41*P41</f>
        <v>0</v>
      </c>
      <c r="S41" s="127">
        <f>N41*O41*P41*'1. Standard_Cost'!$C$15</f>
        <v>0</v>
      </c>
      <c r="T41" s="127">
        <f>N41*P41*Q41*'1. Standard_Cost'!$D$15</f>
        <v>0</v>
      </c>
      <c r="U41" s="127">
        <f>N41*O41*'1. Standard_Cost'!$E$15</f>
        <v>0</v>
      </c>
      <c r="V41" s="126"/>
      <c r="W41" s="126"/>
      <c r="X41" s="126"/>
      <c r="Y41" s="127">
        <f>+V41*((X41*'1. Standard_Cost'!$B$19)+(W41*X41*'1. Standard_Cost'!$C$19))</f>
        <v>0</v>
      </c>
      <c r="Z41" s="126"/>
      <c r="AA41" s="126"/>
      <c r="AB41" s="127">
        <f>+Z41*'1. Standard_Cost'!$B$23+AA41*'1. Standard_Cost'!$C$23</f>
        <v>0</v>
      </c>
      <c r="AC41" s="128"/>
      <c r="AD41" s="129"/>
      <c r="AE41" s="127"/>
      <c r="AF41" s="127">
        <f>SUM(AE41,AD41,AC41,AB41,Y41,U41,T41,S41,R41)</f>
        <v>0</v>
      </c>
      <c r="AG41" s="126"/>
      <c r="AH41" s="126"/>
      <c r="AI41" s="126"/>
      <c r="AJ41" s="130"/>
      <c r="AK41" s="130"/>
      <c r="AL41" s="130"/>
      <c r="AM41" s="127">
        <f>AG41*'1. Standard_Cost'!$B$27+'Incremental_Cost Year 2'!AH41*'1. Standard_Cost'!$C$27+'Incremental_Cost Year 2'!AI41*'1. Standard_Cost'!$D$27+'Incremental_Cost Year 2'!AJ41+'Incremental_Cost Year 2'!AL41+AK41</f>
        <v>0</v>
      </c>
      <c r="AN41" s="127">
        <f>AM41*'1. Standard_Cost'!$C$31</f>
        <v>0</v>
      </c>
      <c r="AO41" s="249"/>
      <c r="AQ41" s="171">
        <f>L41+M41</f>
        <v>235588.125</v>
      </c>
      <c r="AR41" s="171">
        <f>AF41</f>
        <v>0</v>
      </c>
      <c r="AS41" s="171">
        <f>AM41+AN41</f>
        <v>0</v>
      </c>
      <c r="AT41" s="171">
        <f>SUM(AQ41,AR41,AS41)</f>
        <v>235588.125</v>
      </c>
      <c r="AU41" s="250">
        <f>AQ41</f>
        <v>235588.125</v>
      </c>
      <c r="AV41" s="250"/>
      <c r="AW41" s="250"/>
      <c r="AX41" s="250">
        <v>0</v>
      </c>
      <c r="AY41" s="250"/>
      <c r="AZ41" s="250"/>
      <c r="BA41" s="250"/>
      <c r="BB41" s="251">
        <f t="shared" ref="BB41:BB43" si="34">SUM(AU41:BA41)-AT41</f>
        <v>0</v>
      </c>
      <c r="BC41" s="169"/>
      <c r="BD41" s="169"/>
      <c r="BE41" s="169"/>
      <c r="BF41" s="169"/>
    </row>
    <row r="42" spans="1:58" ht="157.5" outlineLevel="2" x14ac:dyDescent="0.25">
      <c r="A42" s="115"/>
      <c r="B42" s="200"/>
      <c r="C42" s="201"/>
      <c r="D42" s="135"/>
      <c r="E42" s="219"/>
      <c r="F42" s="219"/>
      <c r="G42" s="313"/>
      <c r="H42" s="213" t="s">
        <v>538</v>
      </c>
      <c r="I42" s="130" t="s">
        <v>4</v>
      </c>
      <c r="J42" s="126">
        <v>0.5</v>
      </c>
      <c r="K42" s="126">
        <v>5</v>
      </c>
      <c r="L42" s="125">
        <f>IF(I42&lt;&gt;0,((VLOOKUP(I42,'1. Standard_Cost'!$B$4:$D$11,2)+VLOOKUP(I42,'1. Standard_Cost'!$B$4:$D$11,3))*J42*K42),"0")</f>
        <v>201875</v>
      </c>
      <c r="M42" s="125">
        <f>L42*'1. Standard_Cost'!$F$4</f>
        <v>33713.125</v>
      </c>
      <c r="N42" s="126">
        <v>10</v>
      </c>
      <c r="O42" s="126">
        <v>1</v>
      </c>
      <c r="P42" s="126">
        <v>25</v>
      </c>
      <c r="Q42" s="126"/>
      <c r="R42" s="127">
        <f>'1. Standard_Cost'!$B$15*N42*P42</f>
        <v>500000</v>
      </c>
      <c r="S42" s="127">
        <f>N42*O42*P42*'1. Standard_Cost'!$C$15</f>
        <v>375000</v>
      </c>
      <c r="T42" s="127">
        <f>N42*P42*Q42*'1. Standard_Cost'!$D$15</f>
        <v>0</v>
      </c>
      <c r="U42" s="127">
        <f>N42*O42*'1. Standard_Cost'!$E$15</f>
        <v>400000</v>
      </c>
      <c r="V42" s="126"/>
      <c r="W42" s="126"/>
      <c r="X42" s="126"/>
      <c r="Y42" s="127">
        <f>+V42*((X42*'1. Standard_Cost'!$B$19)+(W42*X42*'1. Standard_Cost'!$C$19))</f>
        <v>0</v>
      </c>
      <c r="Z42" s="126"/>
      <c r="AA42" s="126">
        <v>12</v>
      </c>
      <c r="AB42" s="127">
        <f>+Z42*'1. Standard_Cost'!$B$23+AA42*'1. Standard_Cost'!$C$23</f>
        <v>228000</v>
      </c>
      <c r="AC42" s="128">
        <f>250*300+250*3000</f>
        <v>825000</v>
      </c>
      <c r="AD42" s="129"/>
      <c r="AE42" s="127">
        <f>SUM(AD42,AC42,AB42,Y42,U42,T42,S42,R42)*'1. Standard_Cost'!$B$31</f>
        <v>465600</v>
      </c>
      <c r="AF42" s="127">
        <f>SUM(AE42,AD42,AC42,AB42,Y42,U42,T42,S42,R42)</f>
        <v>2793600</v>
      </c>
      <c r="AG42" s="126"/>
      <c r="AH42" s="126"/>
      <c r="AI42" s="126"/>
      <c r="AJ42" s="130"/>
      <c r="AK42" s="130"/>
      <c r="AL42" s="130"/>
      <c r="AM42" s="127">
        <f>AG42*'1. Standard_Cost'!$B$27+'Incremental_Cost Year 2'!AH42*'1. Standard_Cost'!$C$27+'Incremental_Cost Year 2'!AI42*'1. Standard_Cost'!$D$27+'Incremental_Cost Year 2'!AJ42+'Incremental_Cost Year 2'!AL42+AK42</f>
        <v>0</v>
      </c>
      <c r="AN42" s="127">
        <f>AM42*'1. Standard_Cost'!$C$31</f>
        <v>0</v>
      </c>
      <c r="AO42" s="130"/>
      <c r="AQ42" s="171">
        <f>L42+M42</f>
        <v>235588.125</v>
      </c>
      <c r="AR42" s="171">
        <f>AF42</f>
        <v>2793600</v>
      </c>
      <c r="AS42" s="171">
        <f>AM42+AN42</f>
        <v>0</v>
      </c>
      <c r="AT42" s="171">
        <f>SUM(AQ42,AR42,AS42)</f>
        <v>3029188.125</v>
      </c>
      <c r="AU42" s="250">
        <f>AQ42</f>
        <v>235588.125</v>
      </c>
      <c r="AV42" s="250"/>
      <c r="AW42" s="250"/>
      <c r="AX42" s="250"/>
      <c r="AY42" s="250"/>
      <c r="AZ42" s="250"/>
      <c r="BA42" s="250"/>
      <c r="BB42" s="251">
        <f t="shared" si="34"/>
        <v>-2793600</v>
      </c>
      <c r="BC42" s="169"/>
      <c r="BD42" s="169"/>
      <c r="BE42" s="169"/>
      <c r="BF42" s="169"/>
    </row>
    <row r="43" spans="1:58" ht="47.25" outlineLevel="2" x14ac:dyDescent="0.25">
      <c r="A43" s="115"/>
      <c r="B43" s="200"/>
      <c r="C43" s="201"/>
      <c r="D43" s="223"/>
      <c r="E43" s="219"/>
      <c r="F43" s="219"/>
      <c r="G43" s="313"/>
      <c r="H43" s="199" t="s">
        <v>223</v>
      </c>
      <c r="I43" s="130"/>
      <c r="J43" s="126"/>
      <c r="K43" s="126"/>
      <c r="L43" s="125" t="str">
        <f>IF(I43&lt;&gt;0,((VLOOKUP(I43,'1. Standard_Cost'!$B$4:$D$11,2)+VLOOKUP(I43,'1. Standard_Cost'!$B$4:$D$11,3))*J43*K43),"0")</f>
        <v>0</v>
      </c>
      <c r="M43" s="125">
        <f>L43*'1. Standard_Cost'!$F$4</f>
        <v>0</v>
      </c>
      <c r="N43" s="126"/>
      <c r="O43" s="126"/>
      <c r="P43" s="126"/>
      <c r="Q43" s="126"/>
      <c r="R43" s="127">
        <f>'1. Standard_Cost'!$B$15*N43*P43</f>
        <v>0</v>
      </c>
      <c r="S43" s="127">
        <f>N43*O43*P43*'1. Standard_Cost'!$C$15</f>
        <v>0</v>
      </c>
      <c r="T43" s="127">
        <f>N43*P43*Q43*'1. Standard_Cost'!$D$15</f>
        <v>0</v>
      </c>
      <c r="U43" s="127">
        <f>N43*O43*'1. Standard_Cost'!$E$15</f>
        <v>0</v>
      </c>
      <c r="V43" s="126"/>
      <c r="W43" s="126"/>
      <c r="X43" s="126"/>
      <c r="Y43" s="127">
        <f>+V43*((X43*'1. Standard_Cost'!$B$19)+(W43*X43*'1. Standard_Cost'!$C$19))</f>
        <v>0</v>
      </c>
      <c r="Z43" s="126"/>
      <c r="AA43" s="126"/>
      <c r="AB43" s="127">
        <f>+Z43*'1. Standard_Cost'!$B$23+AA43*'1. Standard_Cost'!$C$23</f>
        <v>0</v>
      </c>
      <c r="AC43" s="128">
        <v>0</v>
      </c>
      <c r="AD43" s="129"/>
      <c r="AE43" s="127">
        <v>0</v>
      </c>
      <c r="AF43" s="127">
        <f>SUM(AE43,AD43,AC43,AB43,Y43,U43,T43,S43,R43)</f>
        <v>0</v>
      </c>
      <c r="AG43" s="126"/>
      <c r="AH43" s="126"/>
      <c r="AI43" s="126"/>
      <c r="AJ43" s="130"/>
      <c r="AK43" s="130"/>
      <c r="AL43" s="130"/>
      <c r="AM43" s="127">
        <f>AG43*'1. Standard_Cost'!$B$27+'Incremental_Cost Year 2'!AH43*'1. Standard_Cost'!$C$27+'Incremental_Cost Year 2'!AI43*'1. Standard_Cost'!$D$27+'Incremental_Cost Year 2'!AJ43+'Incremental_Cost Year 2'!AL43+AK43</f>
        <v>0</v>
      </c>
      <c r="AN43" s="127">
        <f>AM43*'1. Standard_Cost'!$C$31</f>
        <v>0</v>
      </c>
      <c r="AO43" s="130"/>
      <c r="AQ43" s="171">
        <f>L43+M43</f>
        <v>0</v>
      </c>
      <c r="AR43" s="171">
        <f>AF43</f>
        <v>0</v>
      </c>
      <c r="AS43" s="171">
        <f>AM43+AN43</f>
        <v>0</v>
      </c>
      <c r="AT43" s="171">
        <f>SUM(AQ43,AR43,AS43)</f>
        <v>0</v>
      </c>
      <c r="AU43" s="250"/>
      <c r="AV43" s="250"/>
      <c r="AW43" s="250"/>
      <c r="AX43" s="250"/>
      <c r="AY43" s="250"/>
      <c r="AZ43" s="250"/>
      <c r="BA43" s="250"/>
      <c r="BB43" s="251">
        <f t="shared" si="34"/>
        <v>0</v>
      </c>
      <c r="BC43" s="169"/>
      <c r="BD43" s="169"/>
      <c r="BE43" s="169"/>
      <c r="BF43" s="169"/>
    </row>
    <row r="44" spans="1:58" ht="63" outlineLevel="1" x14ac:dyDescent="0.25">
      <c r="A44" s="115"/>
      <c r="B44" s="165"/>
      <c r="C44" s="166"/>
      <c r="D44" s="150" t="s">
        <v>396</v>
      </c>
      <c r="E44" s="139" t="s">
        <v>205</v>
      </c>
      <c r="F44" s="222">
        <v>2022</v>
      </c>
      <c r="G44" s="117">
        <v>2030</v>
      </c>
      <c r="H44" s="134" t="s">
        <v>206</v>
      </c>
      <c r="I44" s="252"/>
      <c r="J44" s="252"/>
      <c r="K44" s="252"/>
      <c r="L44" s="127">
        <f>SUM(L41:L43)</f>
        <v>403750</v>
      </c>
      <c r="M44" s="127">
        <f>SUM(M41:M43)</f>
        <v>67426.25</v>
      </c>
      <c r="N44" s="127"/>
      <c r="O44" s="252"/>
      <c r="P44" s="252"/>
      <c r="Q44" s="252"/>
      <c r="R44" s="127">
        <f>SUM(R41:R43)</f>
        <v>500000</v>
      </c>
      <c r="S44" s="127">
        <f>SUM(S41:S43)</f>
        <v>375000</v>
      </c>
      <c r="T44" s="127">
        <f>SUM(T41:T43)</f>
        <v>0</v>
      </c>
      <c r="U44" s="127">
        <f>SUM(U41:U43)</f>
        <v>400000</v>
      </c>
      <c r="V44" s="252"/>
      <c r="W44" s="252"/>
      <c r="X44" s="252"/>
      <c r="Y44" s="127">
        <f>SUM(Y41:Y43)</f>
        <v>0</v>
      </c>
      <c r="Z44" s="252"/>
      <c r="AA44" s="252"/>
      <c r="AB44" s="127">
        <f>SUM(AB41:AB43)</f>
        <v>228000</v>
      </c>
      <c r="AC44" s="127">
        <f>SUM(AC41:AC43)</f>
        <v>825000</v>
      </c>
      <c r="AD44" s="127">
        <f>SUM(AD41:AD43)</f>
        <v>0</v>
      </c>
      <c r="AE44" s="127">
        <f>SUM(AE41:AE43)</f>
        <v>465600</v>
      </c>
      <c r="AF44" s="127">
        <f>SUM(AF41:AF43)</f>
        <v>2793600</v>
      </c>
      <c r="AG44" s="252"/>
      <c r="AH44" s="252"/>
      <c r="AI44" s="252"/>
      <c r="AJ44" s="127">
        <f>SUM(AJ41:AJ43)</f>
        <v>0</v>
      </c>
      <c r="AK44" s="127">
        <f>SUM(AK41:AK43)</f>
        <v>0</v>
      </c>
      <c r="AL44" s="127">
        <f>SUM(AL41:AL43)</f>
        <v>0</v>
      </c>
      <c r="AM44" s="127">
        <f>SUM(AM41:AM43)</f>
        <v>0</v>
      </c>
      <c r="AN44" s="127">
        <f>SUM(AN41:AN43)</f>
        <v>0</v>
      </c>
      <c r="AO44" s="253"/>
      <c r="AP44" s="254"/>
      <c r="AQ44" s="175">
        <f>SUM(AQ41:AQ43)</f>
        <v>471176.25</v>
      </c>
      <c r="AR44" s="175">
        <f>SUM(AR41:AR43)</f>
        <v>2793600</v>
      </c>
      <c r="AS44" s="175">
        <f>SUM(AS41:AS43)</f>
        <v>0</v>
      </c>
      <c r="AT44" s="175">
        <f>SUM(AT41:AT43)</f>
        <v>3264776.25</v>
      </c>
      <c r="AU44" s="175">
        <f t="shared" ref="AU44:BB44" si="35">SUM(AU41:AU43)</f>
        <v>471176.25</v>
      </c>
      <c r="AV44" s="175">
        <f t="shared" si="35"/>
        <v>0</v>
      </c>
      <c r="AW44" s="175">
        <f>SUM(AW41:AW43)</f>
        <v>0</v>
      </c>
      <c r="AX44" s="175">
        <f t="shared" si="35"/>
        <v>0</v>
      </c>
      <c r="AY44" s="175">
        <f t="shared" si="35"/>
        <v>0</v>
      </c>
      <c r="AZ44" s="175">
        <f t="shared" si="35"/>
        <v>0</v>
      </c>
      <c r="BA44" s="175">
        <f t="shared" si="35"/>
        <v>0</v>
      </c>
      <c r="BB44" s="175">
        <f t="shared" si="35"/>
        <v>-2793600</v>
      </c>
      <c r="BC44" s="169"/>
      <c r="BD44" s="169"/>
      <c r="BE44" s="169"/>
      <c r="BF44" s="169"/>
    </row>
    <row r="45" spans="1:58" s="170" customFormat="1" ht="15.75" customHeight="1" x14ac:dyDescent="0.25">
      <c r="A45" s="120"/>
      <c r="B45" s="290"/>
      <c r="C45" s="391" t="s">
        <v>210</v>
      </c>
      <c r="D45" s="391"/>
      <c r="E45" s="392"/>
      <c r="F45" s="289"/>
      <c r="G45" s="288"/>
      <c r="H45" s="114" t="s">
        <v>213</v>
      </c>
      <c r="I45" s="246"/>
      <c r="J45" s="246"/>
      <c r="K45" s="246"/>
      <c r="L45" s="247">
        <f>SUM(L50+L56+L60)</f>
        <v>1076454818.5714285</v>
      </c>
      <c r="M45" s="247">
        <f>SUM(M50+M56+M60)</f>
        <v>179767954.70142856</v>
      </c>
      <c r="N45" s="247"/>
      <c r="O45" s="247"/>
      <c r="P45" s="247"/>
      <c r="Q45" s="247"/>
      <c r="R45" s="247">
        <f>SUM(R50+R56+R60)</f>
        <v>0</v>
      </c>
      <c r="S45" s="247">
        <f>SUM(S50+S56+S60)</f>
        <v>0</v>
      </c>
      <c r="T45" s="247">
        <f>SUM(T50+T56+T60)</f>
        <v>0</v>
      </c>
      <c r="U45" s="247">
        <f>SUM(U50+U56+U60)</f>
        <v>0</v>
      </c>
      <c r="V45" s="247"/>
      <c r="W45" s="247"/>
      <c r="X45" s="247"/>
      <c r="Y45" s="247">
        <f>SUM(Y50+Y56+Y60)</f>
        <v>0</v>
      </c>
      <c r="Z45" s="247">
        <f t="shared" ref="Z45:AA45" si="36">SUM(Z50+Z56+Z60)</f>
        <v>0</v>
      </c>
      <c r="AA45" s="247">
        <f t="shared" si="36"/>
        <v>0</v>
      </c>
      <c r="AB45" s="247">
        <f t="shared" ref="AB45:AF45" si="37">SUM(AB50+AB56+AB60)</f>
        <v>1520000</v>
      </c>
      <c r="AC45" s="247">
        <f t="shared" si="37"/>
        <v>10530000</v>
      </c>
      <c r="AD45" s="247">
        <f t="shared" si="37"/>
        <v>0</v>
      </c>
      <c r="AE45" s="247">
        <f t="shared" si="37"/>
        <v>2410000</v>
      </c>
      <c r="AF45" s="247">
        <f t="shared" si="37"/>
        <v>14460000</v>
      </c>
      <c r="AG45" s="247"/>
      <c r="AH45" s="247"/>
      <c r="AI45" s="247"/>
      <c r="AJ45" s="247">
        <f>SUM(AJ50+AJ56+AJ60)</f>
        <v>0</v>
      </c>
      <c r="AK45" s="247">
        <f>SUM(AK50+AK56+AK60)</f>
        <v>0</v>
      </c>
      <c r="AL45" s="247">
        <f>SUM(AL50+AL56+AL60)</f>
        <v>0</v>
      </c>
      <c r="AM45" s="247">
        <f>SUM(AM50+AM56+AM60)</f>
        <v>0</v>
      </c>
      <c r="AN45" s="247">
        <f>SUM(AN50+AN56+AN60)</f>
        <v>0</v>
      </c>
      <c r="AO45" s="247"/>
      <c r="AP45" s="244"/>
      <c r="AQ45" s="248">
        <f>SUM(AQ50+AQ56+AQ60)</f>
        <v>1256222773.272857</v>
      </c>
      <c r="AR45" s="248">
        <f>SUM(AR50+AR56+AR60)</f>
        <v>14460000</v>
      </c>
      <c r="AS45" s="248">
        <f>SUM(AS50+AS56+AS60)</f>
        <v>0</v>
      </c>
      <c r="AT45" s="248">
        <f>SUM(AT50+AT56+AT60)</f>
        <v>1270682773.272857</v>
      </c>
      <c r="AU45" s="248">
        <f t="shared" ref="AU45:BB45" si="38">SUM(AU50+AU56+AU60)</f>
        <v>1268282773.272857</v>
      </c>
      <c r="AV45" s="248">
        <f t="shared" si="38"/>
        <v>0</v>
      </c>
      <c r="AW45" s="248">
        <f>SUM(AW50+AW56+AW60)</f>
        <v>0</v>
      </c>
      <c r="AX45" s="248">
        <f t="shared" si="38"/>
        <v>0</v>
      </c>
      <c r="AY45" s="248">
        <f t="shared" si="38"/>
        <v>1393200</v>
      </c>
      <c r="AZ45" s="248">
        <f t="shared" si="38"/>
        <v>0</v>
      </c>
      <c r="BA45" s="248">
        <f t="shared" si="38"/>
        <v>0</v>
      </c>
      <c r="BB45" s="248">
        <f t="shared" si="38"/>
        <v>-1006800</v>
      </c>
    </row>
    <row r="46" spans="1:58" ht="78.75" outlineLevel="2" x14ac:dyDescent="0.25">
      <c r="A46" s="115"/>
      <c r="B46" s="200"/>
      <c r="C46" s="201"/>
      <c r="D46" s="138"/>
      <c r="E46" s="295"/>
      <c r="F46" s="295"/>
      <c r="G46" s="296"/>
      <c r="H46" s="199" t="s">
        <v>397</v>
      </c>
      <c r="I46" s="130" t="s">
        <v>4</v>
      </c>
      <c r="J46" s="126">
        <v>1</v>
      </c>
      <c r="K46" s="126">
        <v>4</v>
      </c>
      <c r="L46" s="125">
        <f>IF(I46&lt;&gt;0,((VLOOKUP(I46,'1. Standard_Cost'!$B$4:$D$11,2)+VLOOKUP(I46,'1. Standard_Cost'!$B$4:$D$11,3))*J46*K46),"0")</f>
        <v>323000</v>
      </c>
      <c r="M46" s="125">
        <f>L46*'1. Standard_Cost'!$F$4</f>
        <v>53941</v>
      </c>
      <c r="N46" s="126"/>
      <c r="O46" s="126"/>
      <c r="P46" s="126"/>
      <c r="Q46" s="126"/>
      <c r="R46" s="127">
        <f>'1. Standard_Cost'!$B$15*N46*P46</f>
        <v>0</v>
      </c>
      <c r="S46" s="127">
        <f>N46*O46*P46*'1. Standard_Cost'!$C$15</f>
        <v>0</v>
      </c>
      <c r="T46" s="127">
        <f>N46*P46*Q46*'1. Standard_Cost'!$D$15</f>
        <v>0</v>
      </c>
      <c r="U46" s="127">
        <f>N46*O46*'1. Standard_Cost'!$E$15</f>
        <v>0</v>
      </c>
      <c r="V46" s="126"/>
      <c r="W46" s="126"/>
      <c r="X46" s="126"/>
      <c r="Y46" s="127">
        <f>+V46*((X46*'1. Standard_Cost'!$B$19)+(W46*X46*'1. Standard_Cost'!$C$19))</f>
        <v>0</v>
      </c>
      <c r="Z46" s="126"/>
      <c r="AA46" s="126">
        <v>20</v>
      </c>
      <c r="AB46" s="127">
        <f>+Z46*'1. Standard_Cost'!$B$23+AA46*'1. Standard_Cost'!$C$23</f>
        <v>380000</v>
      </c>
      <c r="AC46" s="128">
        <f>30*300</f>
        <v>9000</v>
      </c>
      <c r="AD46" s="129"/>
      <c r="AE46" s="127">
        <f>SUM(AD46,AC46,AB46,Y46,U46,T46,S46,R46)*'1. Standard_Cost'!$B$31</f>
        <v>77800</v>
      </c>
      <c r="AF46" s="127">
        <f>SUM(AE46,AD46,AC46,AB46,Y46,U46,T46,S46,R46)</f>
        <v>466800</v>
      </c>
      <c r="AG46" s="126"/>
      <c r="AH46" s="126"/>
      <c r="AI46" s="126"/>
      <c r="AJ46" s="130"/>
      <c r="AK46" s="130"/>
      <c r="AL46" s="130"/>
      <c r="AM46" s="127">
        <f>AG46*'1. Standard_Cost'!$B$27+'Incremental_Cost Year 2'!AH46*'1. Standard_Cost'!$C$27+'Incremental_Cost Year 2'!AI46*'1. Standard_Cost'!$D$27+'Incremental_Cost Year 2'!AJ46+'Incremental_Cost Year 2'!AL46+AK46</f>
        <v>0</v>
      </c>
      <c r="AN46" s="127">
        <f>AM46*'1. Standard_Cost'!$C$31</f>
        <v>0</v>
      </c>
      <c r="AO46" s="249"/>
      <c r="AQ46" s="171">
        <f>L46+M46</f>
        <v>376941</v>
      </c>
      <c r="AR46" s="171">
        <f>AF46</f>
        <v>466800</v>
      </c>
      <c r="AS46" s="171">
        <f>AM46+AN46</f>
        <v>0</v>
      </c>
      <c r="AT46" s="171">
        <f>SUM(AQ46,AR46,AS46)</f>
        <v>843741</v>
      </c>
      <c r="AU46" s="250">
        <f>AQ46</f>
        <v>376941</v>
      </c>
      <c r="AV46" s="250"/>
      <c r="AW46" s="250"/>
      <c r="AX46" s="250"/>
      <c r="AY46" s="250"/>
      <c r="AZ46" s="250"/>
      <c r="BA46" s="250"/>
      <c r="BB46" s="251">
        <f t="shared" ref="BB46:BB49" si="39">SUM(AU46:BA46)-AT46</f>
        <v>-466800</v>
      </c>
      <c r="BC46" s="169"/>
      <c r="BD46" s="169"/>
      <c r="BE46" s="169"/>
      <c r="BF46" s="169"/>
    </row>
    <row r="47" spans="1:58" ht="47.25" outlineLevel="2" x14ac:dyDescent="0.25">
      <c r="A47" s="115"/>
      <c r="B47" s="200"/>
      <c r="C47" s="201"/>
      <c r="D47" s="135"/>
      <c r="E47" s="219"/>
      <c r="F47" s="219"/>
      <c r="G47" s="313"/>
      <c r="H47" s="199" t="s">
        <v>307</v>
      </c>
      <c r="I47" s="130"/>
      <c r="J47" s="126"/>
      <c r="K47" s="126"/>
      <c r="L47" s="125" t="str">
        <f>IF(I47&lt;&gt;0,((VLOOKUP(I47,'1. Standard_Cost'!$B$4:$D$11,2)+VLOOKUP(I47,'1. Standard_Cost'!$B$4:$D$11,3))*J47*K47),"0")</f>
        <v>0</v>
      </c>
      <c r="M47" s="125">
        <f>L47*'1. Standard_Cost'!$F$4</f>
        <v>0</v>
      </c>
      <c r="N47" s="126"/>
      <c r="O47" s="126"/>
      <c r="P47" s="126"/>
      <c r="Q47" s="126"/>
      <c r="R47" s="127">
        <f>'1. Standard_Cost'!$B$15*N47*P47</f>
        <v>0</v>
      </c>
      <c r="S47" s="127">
        <f>N47*O47*P47*'1. Standard_Cost'!$C$15</f>
        <v>0</v>
      </c>
      <c r="T47" s="127">
        <f>N47*P47*Q47*'1. Standard_Cost'!$D$15</f>
        <v>0</v>
      </c>
      <c r="U47" s="127">
        <f>N47*O47*'1. Standard_Cost'!$E$15</f>
        <v>0</v>
      </c>
      <c r="V47" s="126"/>
      <c r="W47" s="126"/>
      <c r="X47" s="126"/>
      <c r="Y47" s="127">
        <f>+V47*((X47*'1. Standard_Cost'!$B$19)+(W47*X47*'1. Standard_Cost'!$C$19))</f>
        <v>0</v>
      </c>
      <c r="Z47" s="126"/>
      <c r="AA47" s="126"/>
      <c r="AB47" s="127">
        <f>+Z47*'1. Standard_Cost'!$B$23+AA47*'1. Standard_Cost'!$C$23</f>
        <v>0</v>
      </c>
      <c r="AC47" s="128"/>
      <c r="AD47" s="129"/>
      <c r="AE47" s="127">
        <f>SUM(AD47,AC47,AB47,Y47,U47,T47,S47,R47)*'1. Standard_Cost'!$B$31</f>
        <v>0</v>
      </c>
      <c r="AF47" s="127">
        <f>SUM(AE47,AD47,AC47,AB47,Y47,U47,T47,S47,R47)</f>
        <v>0</v>
      </c>
      <c r="AG47" s="126"/>
      <c r="AH47" s="126"/>
      <c r="AI47" s="126"/>
      <c r="AJ47" s="130"/>
      <c r="AK47" s="130"/>
      <c r="AL47" s="130"/>
      <c r="AM47" s="127">
        <f>AG47*'1. Standard_Cost'!$B$27+'Incremental_Cost Year 2'!AH47*'1. Standard_Cost'!$C$27+'Incremental_Cost Year 2'!AI47*'1. Standard_Cost'!$D$27+'Incremental_Cost Year 2'!AJ47+'Incremental_Cost Year 2'!AL47+AK47</f>
        <v>0</v>
      </c>
      <c r="AN47" s="127">
        <f>AM47*'1. Standard_Cost'!$C$31</f>
        <v>0</v>
      </c>
      <c r="AO47" s="130"/>
      <c r="AQ47" s="171">
        <f>L47+M47</f>
        <v>0</v>
      </c>
      <c r="AR47" s="171">
        <f>AF47</f>
        <v>0</v>
      </c>
      <c r="AS47" s="171">
        <f>AM47+AN47</f>
        <v>0</v>
      </c>
      <c r="AT47" s="171">
        <f>SUM(AQ47,AR47,AS47)</f>
        <v>0</v>
      </c>
      <c r="AU47" s="250"/>
      <c r="AV47" s="250"/>
      <c r="AW47" s="250"/>
      <c r="AX47" s="250"/>
      <c r="AY47" s="250"/>
      <c r="AZ47" s="250"/>
      <c r="BA47" s="250"/>
      <c r="BB47" s="251">
        <f t="shared" si="39"/>
        <v>0</v>
      </c>
      <c r="BC47" s="169"/>
      <c r="BD47" s="169"/>
      <c r="BE47" s="169"/>
      <c r="BF47" s="169"/>
    </row>
    <row r="48" spans="1:58" ht="63" outlineLevel="2" x14ac:dyDescent="0.25">
      <c r="A48" s="115"/>
      <c r="B48" s="200"/>
      <c r="C48" s="201"/>
      <c r="D48" s="135"/>
      <c r="E48" s="219"/>
      <c r="F48" s="219"/>
      <c r="G48" s="313"/>
      <c r="H48" s="199" t="s">
        <v>308</v>
      </c>
      <c r="I48" s="130"/>
      <c r="J48" s="126"/>
      <c r="K48" s="126"/>
      <c r="L48" s="125" t="str">
        <f>IF(I48&lt;&gt;0,((VLOOKUP(I48,'1. Standard_Cost'!$B$4:$D$11,2)+VLOOKUP(I48,'1. Standard_Cost'!$B$4:$D$11,3))*J48*K48),"0")</f>
        <v>0</v>
      </c>
      <c r="M48" s="125">
        <f>L48*'1. Standard_Cost'!$F$4</f>
        <v>0</v>
      </c>
      <c r="N48" s="126"/>
      <c r="O48" s="126"/>
      <c r="P48" s="126"/>
      <c r="Q48" s="126"/>
      <c r="R48" s="127">
        <f>'1. Standard_Cost'!$B$15*N48*P48</f>
        <v>0</v>
      </c>
      <c r="S48" s="127">
        <f>N48*O48*P48*'1. Standard_Cost'!$C$15</f>
        <v>0</v>
      </c>
      <c r="T48" s="127">
        <f>N48*P48*Q48*'1. Standard_Cost'!$D$15</f>
        <v>0</v>
      </c>
      <c r="U48" s="127">
        <f>N48*O48*'1. Standard_Cost'!$E$15</f>
        <v>0</v>
      </c>
      <c r="V48" s="126"/>
      <c r="W48" s="126"/>
      <c r="X48" s="126"/>
      <c r="Y48" s="127">
        <f>+V48*((X48*'1. Standard_Cost'!$B$19)+(W48*X48*'1. Standard_Cost'!$C$19))</f>
        <v>0</v>
      </c>
      <c r="Z48" s="126"/>
      <c r="AA48" s="126"/>
      <c r="AB48" s="127">
        <f>+Z48*'1. Standard_Cost'!$B$23+AA48*'1. Standard_Cost'!$C$23</f>
        <v>0</v>
      </c>
      <c r="AC48" s="128"/>
      <c r="AD48" s="129"/>
      <c r="AE48" s="127">
        <f>SUM(AD48,AC48,AB48,Y48,U48,T48,S48,R48)*'1. Standard_Cost'!$B$31</f>
        <v>0</v>
      </c>
      <c r="AF48" s="127">
        <f>SUM(AE48,AD48,AC48,AB48,Y48,U48,T48,S48,R48)</f>
        <v>0</v>
      </c>
      <c r="AG48" s="126"/>
      <c r="AH48" s="126"/>
      <c r="AI48" s="126"/>
      <c r="AJ48" s="130"/>
      <c r="AK48" s="130"/>
      <c r="AL48" s="130"/>
      <c r="AM48" s="127">
        <f>AG48*'1. Standard_Cost'!$B$27+'Incremental_Cost Year 2'!AH48*'1. Standard_Cost'!$C$27+'Incremental_Cost Year 2'!AI48*'1. Standard_Cost'!$D$27+'Incremental_Cost Year 2'!AJ48+'Incremental_Cost Year 2'!AL48+AK48</f>
        <v>0</v>
      </c>
      <c r="AN48" s="127">
        <f>AM48*'1. Standard_Cost'!$C$31</f>
        <v>0</v>
      </c>
      <c r="AO48" s="249"/>
      <c r="AQ48" s="171">
        <f>L48+M48</f>
        <v>0</v>
      </c>
      <c r="AR48" s="171">
        <f>AF48</f>
        <v>0</v>
      </c>
      <c r="AS48" s="171">
        <f>AM48+AN48</f>
        <v>0</v>
      </c>
      <c r="AT48" s="171">
        <f>SUM(AQ48,AR48,AS48)</f>
        <v>0</v>
      </c>
      <c r="AU48" s="250"/>
      <c r="AV48" s="250"/>
      <c r="AW48" s="250"/>
      <c r="AX48" s="250"/>
      <c r="AY48" s="250"/>
      <c r="AZ48" s="250"/>
      <c r="BA48" s="250"/>
      <c r="BB48" s="251">
        <f t="shared" si="39"/>
        <v>0</v>
      </c>
      <c r="BC48" s="169"/>
      <c r="BD48" s="169"/>
      <c r="BE48" s="169"/>
      <c r="BF48" s="169"/>
    </row>
    <row r="49" spans="1:58" ht="94.5" outlineLevel="2" x14ac:dyDescent="0.25">
      <c r="A49" s="115"/>
      <c r="B49" s="200"/>
      <c r="C49" s="201"/>
      <c r="D49" s="223"/>
      <c r="E49" s="219"/>
      <c r="F49" s="219"/>
      <c r="G49" s="313"/>
      <c r="H49" s="199" t="s">
        <v>398</v>
      </c>
      <c r="I49" s="130"/>
      <c r="J49" s="126"/>
      <c r="K49" s="126"/>
      <c r="L49" s="125" t="str">
        <f>IF(I49&lt;&gt;0,((VLOOKUP(I49,'1. Standard_Cost'!$B$4:$D$11,2)+VLOOKUP(I49,'1. Standard_Cost'!$B$4:$D$11,3))*J49*K49),"0")</f>
        <v>0</v>
      </c>
      <c r="M49" s="125">
        <f>L49*'1. Standard_Cost'!$F$4</f>
        <v>0</v>
      </c>
      <c r="N49" s="126"/>
      <c r="O49" s="126"/>
      <c r="P49" s="126"/>
      <c r="Q49" s="126"/>
      <c r="R49" s="127">
        <f>'1. Standard_Cost'!$B$15*N49*P49</f>
        <v>0</v>
      </c>
      <c r="S49" s="127">
        <f>N49*O49*P49*'1. Standard_Cost'!$C$15</f>
        <v>0</v>
      </c>
      <c r="T49" s="127">
        <f>N49*P49*Q49*'1. Standard_Cost'!$D$15</f>
        <v>0</v>
      </c>
      <c r="U49" s="127">
        <f>N49*O49*'1. Standard_Cost'!$E$15</f>
        <v>0</v>
      </c>
      <c r="V49" s="126"/>
      <c r="W49" s="126"/>
      <c r="X49" s="126"/>
      <c r="Y49" s="127">
        <f>+V49*((X49*'1. Standard_Cost'!$B$19)+(W49*X49*'1. Standard_Cost'!$C$19))</f>
        <v>0</v>
      </c>
      <c r="Z49" s="126"/>
      <c r="AA49" s="126"/>
      <c r="AB49" s="127">
        <f>+Z49*'1. Standard_Cost'!$B$23+AA49*'1. Standard_Cost'!$C$23</f>
        <v>0</v>
      </c>
      <c r="AC49" s="128">
        <f>500*700+100000</f>
        <v>450000</v>
      </c>
      <c r="AD49" s="129"/>
      <c r="AE49" s="127">
        <f>SUM(AD49,AC49,AB49,Y49,U49,T49,S49,R49)*'1. Standard_Cost'!$B$31</f>
        <v>90000</v>
      </c>
      <c r="AF49" s="127">
        <f>SUM(AE49,AD49,AC49,AB49,Y49,U49,T49,S49,R49)</f>
        <v>540000</v>
      </c>
      <c r="AG49" s="126"/>
      <c r="AH49" s="126"/>
      <c r="AI49" s="126"/>
      <c r="AJ49" s="130"/>
      <c r="AK49" s="130"/>
      <c r="AL49" s="130"/>
      <c r="AM49" s="127">
        <f>AG49*'1. Standard_Cost'!$B$27+'Incremental_Cost Year 2'!AH49*'1. Standard_Cost'!$C$27+'Incremental_Cost Year 2'!AI49*'1. Standard_Cost'!$D$27+'Incremental_Cost Year 2'!AJ49+'Incremental_Cost Year 2'!AL49+AK49</f>
        <v>0</v>
      </c>
      <c r="AN49" s="127">
        <f>AM49*'1. Standard_Cost'!$C$31</f>
        <v>0</v>
      </c>
      <c r="AO49" s="130"/>
      <c r="AQ49" s="171">
        <f>L49+M49</f>
        <v>0</v>
      </c>
      <c r="AR49" s="171">
        <f>AF49</f>
        <v>540000</v>
      </c>
      <c r="AS49" s="171">
        <f>AM49+AN49</f>
        <v>0</v>
      </c>
      <c r="AT49" s="171">
        <f>SUM(AQ49,AR49,AS49)</f>
        <v>540000</v>
      </c>
      <c r="AU49" s="250"/>
      <c r="AV49" s="250"/>
      <c r="AW49" s="250"/>
      <c r="AX49" s="250"/>
      <c r="AY49" s="250"/>
      <c r="AZ49" s="250"/>
      <c r="BA49" s="250"/>
      <c r="BB49" s="251">
        <f t="shared" si="39"/>
        <v>-540000</v>
      </c>
      <c r="BC49" s="169"/>
      <c r="BD49" s="169"/>
      <c r="BE49" s="169"/>
      <c r="BF49" s="169"/>
    </row>
    <row r="50" spans="1:58" ht="47.25" outlineLevel="1" x14ac:dyDescent="0.25">
      <c r="A50" s="115"/>
      <c r="B50" s="165"/>
      <c r="C50" s="166"/>
      <c r="D50" s="107" t="s">
        <v>388</v>
      </c>
      <c r="E50" s="139" t="s">
        <v>211</v>
      </c>
      <c r="F50" s="222">
        <v>2021</v>
      </c>
      <c r="G50" s="117">
        <v>2023</v>
      </c>
      <c r="H50" s="134" t="s">
        <v>212</v>
      </c>
      <c r="I50" s="252"/>
      <c r="J50" s="252"/>
      <c r="K50" s="252"/>
      <c r="L50" s="127">
        <f>SUM(L46:L49)</f>
        <v>323000</v>
      </c>
      <c r="M50" s="127">
        <f>SUM(M46:M49)</f>
        <v>53941</v>
      </c>
      <c r="N50" s="127"/>
      <c r="O50" s="252"/>
      <c r="P50" s="252"/>
      <c r="Q50" s="252"/>
      <c r="R50" s="127">
        <f>SUM(R46:R49)</f>
        <v>0</v>
      </c>
      <c r="S50" s="127">
        <f>SUM(S46:S49)</f>
        <v>0</v>
      </c>
      <c r="T50" s="127">
        <f>SUM(T46:T49)</f>
        <v>0</v>
      </c>
      <c r="U50" s="127">
        <f>SUM(U46:U49)</f>
        <v>0</v>
      </c>
      <c r="V50" s="252"/>
      <c r="W50" s="252"/>
      <c r="X50" s="252"/>
      <c r="Y50" s="127">
        <f>SUM(Y46:Y49)</f>
        <v>0</v>
      </c>
      <c r="Z50" s="252"/>
      <c r="AA50" s="252"/>
      <c r="AB50" s="127">
        <f>SUM(AB46:AB49)</f>
        <v>380000</v>
      </c>
      <c r="AC50" s="127">
        <f>SUM(AC46:AC49)</f>
        <v>459000</v>
      </c>
      <c r="AD50" s="127">
        <f>SUM(AD46:AD49)</f>
        <v>0</v>
      </c>
      <c r="AE50" s="127">
        <f>SUM(AE46:AE49)</f>
        <v>167800</v>
      </c>
      <c r="AF50" s="127">
        <f>SUM(AF46:AF49)</f>
        <v>1006800</v>
      </c>
      <c r="AG50" s="252"/>
      <c r="AH50" s="252"/>
      <c r="AI50" s="252"/>
      <c r="AJ50" s="127">
        <f>SUM(AJ46:AJ49)</f>
        <v>0</v>
      </c>
      <c r="AK50" s="127">
        <f>SUM(AK46:AK49)</f>
        <v>0</v>
      </c>
      <c r="AL50" s="127">
        <f>SUM(AL46:AL49)</f>
        <v>0</v>
      </c>
      <c r="AM50" s="127">
        <f>SUM(AM46:AM49)</f>
        <v>0</v>
      </c>
      <c r="AN50" s="127">
        <f>SUM(AN46:AN49)</f>
        <v>0</v>
      </c>
      <c r="AO50" s="253"/>
      <c r="AP50" s="254"/>
      <c r="AQ50" s="175">
        <f>SUM(AQ46:AQ49)</f>
        <v>376941</v>
      </c>
      <c r="AR50" s="175">
        <f>SUM(AR46:AR49)</f>
        <v>1006800</v>
      </c>
      <c r="AS50" s="175">
        <f>SUM(AS46:AS49)</f>
        <v>0</v>
      </c>
      <c r="AT50" s="175">
        <f>SUM(AT46:AT49)</f>
        <v>1383741</v>
      </c>
      <c r="AU50" s="175">
        <f t="shared" ref="AU50:BB50" si="40">SUM(AU46:AU49)</f>
        <v>376941</v>
      </c>
      <c r="AV50" s="175">
        <f t="shared" si="40"/>
        <v>0</v>
      </c>
      <c r="AW50" s="175">
        <f>SUM(AW46:AW49)</f>
        <v>0</v>
      </c>
      <c r="AX50" s="175">
        <f t="shared" si="40"/>
        <v>0</v>
      </c>
      <c r="AY50" s="175">
        <f t="shared" si="40"/>
        <v>0</v>
      </c>
      <c r="AZ50" s="175">
        <f t="shared" si="40"/>
        <v>0</v>
      </c>
      <c r="BA50" s="175">
        <f t="shared" si="40"/>
        <v>0</v>
      </c>
      <c r="BB50" s="175">
        <f t="shared" si="40"/>
        <v>-1006800</v>
      </c>
      <c r="BC50" s="169"/>
      <c r="BD50" s="169"/>
      <c r="BE50" s="169"/>
      <c r="BF50" s="169"/>
    </row>
    <row r="51" spans="1:58" ht="94.5" customHeight="1" outlineLevel="2" x14ac:dyDescent="0.25">
      <c r="A51" s="115"/>
      <c r="B51" s="200"/>
      <c r="C51" s="201"/>
      <c r="D51" s="138"/>
      <c r="E51" s="295"/>
      <c r="F51" s="295"/>
      <c r="G51" s="296"/>
      <c r="H51" s="199" t="s">
        <v>399</v>
      </c>
      <c r="I51" s="130" t="s">
        <v>4</v>
      </c>
      <c r="J51" s="126">
        <v>1</v>
      </c>
      <c r="K51" s="126">
        <v>3</v>
      </c>
      <c r="L51" s="125">
        <f>IF(I51&lt;&gt;0,((VLOOKUP(I51,'1. Standard_Cost'!$B$4:$D$11,2)+VLOOKUP(I51,'1. Standard_Cost'!$B$4:$D$11,3))*J51*K51),"0")</f>
        <v>242250</v>
      </c>
      <c r="M51" s="125">
        <f>L51*'1. Standard_Cost'!$F$4</f>
        <v>40455.75</v>
      </c>
      <c r="N51" s="126"/>
      <c r="O51" s="126"/>
      <c r="P51" s="126"/>
      <c r="Q51" s="126"/>
      <c r="R51" s="127">
        <f>'1. Standard_Cost'!$B$15*N51*P51</f>
        <v>0</v>
      </c>
      <c r="S51" s="127">
        <f>N51*O51*P51*'1. Standard_Cost'!$C$15</f>
        <v>0</v>
      </c>
      <c r="T51" s="127">
        <f>N51*P51*Q51*'1. Standard_Cost'!$D$15</f>
        <v>0</v>
      </c>
      <c r="U51" s="127">
        <f>N51*O51*'1. Standard_Cost'!$E$15</f>
        <v>0</v>
      </c>
      <c r="V51" s="126"/>
      <c r="W51" s="126"/>
      <c r="X51" s="126"/>
      <c r="Y51" s="127">
        <f>+V51*((X51*'1. Standard_Cost'!$B$19)+(W51*X51*'1. Standard_Cost'!$C$19))</f>
        <v>0</v>
      </c>
      <c r="Z51" s="126"/>
      <c r="AA51" s="126">
        <v>60</v>
      </c>
      <c r="AB51" s="127">
        <f>+Z51*'1. Standard_Cost'!$B$23+AA51*'1. Standard_Cost'!$C$23</f>
        <v>1140000</v>
      </c>
      <c r="AC51" s="128">
        <f>2*10*300+15000</f>
        <v>21000</v>
      </c>
      <c r="AD51" s="129"/>
      <c r="AE51" s="127">
        <f>SUM(AD51,AC51,AB51,Y51,U51,T51,S51,R51)*'1. Standard_Cost'!$B$31</f>
        <v>232200</v>
      </c>
      <c r="AF51" s="127">
        <f>SUM(AE51,AD51,AC51,AB51,Y51,U51,T51,S51,R51)</f>
        <v>1393200</v>
      </c>
      <c r="AG51" s="126"/>
      <c r="AH51" s="126"/>
      <c r="AI51" s="126"/>
      <c r="AJ51" s="130"/>
      <c r="AK51" s="130"/>
      <c r="AL51" s="130"/>
      <c r="AM51" s="127">
        <f>AG51*'1. Standard_Cost'!$B$27+'Incremental_Cost Year 2'!AH51*'1. Standard_Cost'!$C$27+'Incremental_Cost Year 2'!AI51*'1. Standard_Cost'!$D$27+'Incremental_Cost Year 2'!AJ51+'Incremental_Cost Year 2'!AL51+AK51</f>
        <v>0</v>
      </c>
      <c r="AN51" s="127">
        <f>AM51*'1. Standard_Cost'!$C$31</f>
        <v>0</v>
      </c>
      <c r="AO51" s="249"/>
      <c r="AQ51" s="171">
        <f>L51+M51</f>
        <v>282705.75</v>
      </c>
      <c r="AR51" s="171">
        <f>AF51</f>
        <v>1393200</v>
      </c>
      <c r="AS51" s="171">
        <f>AM51+AN51</f>
        <v>0</v>
      </c>
      <c r="AT51" s="171">
        <f>SUM(AQ51,AR51,AS51)</f>
        <v>1675905.75</v>
      </c>
      <c r="AU51" s="250">
        <f>AQ51</f>
        <v>282705.75</v>
      </c>
      <c r="AV51" s="250"/>
      <c r="AW51" s="250"/>
      <c r="AX51" s="250"/>
      <c r="AY51" s="250">
        <f>AR51</f>
        <v>1393200</v>
      </c>
      <c r="AZ51" s="250"/>
      <c r="BA51" s="250"/>
      <c r="BB51" s="251">
        <f t="shared" ref="BB51:BB55" si="41">SUM(AU51:BA51)-AT51</f>
        <v>0</v>
      </c>
      <c r="BC51" s="169"/>
      <c r="BD51" s="169"/>
      <c r="BE51" s="169"/>
      <c r="BF51" s="169"/>
    </row>
    <row r="52" spans="1:58" ht="63" outlineLevel="2" x14ac:dyDescent="0.25">
      <c r="A52" s="115"/>
      <c r="B52" s="200"/>
      <c r="C52" s="201"/>
      <c r="D52" s="135"/>
      <c r="E52" s="219"/>
      <c r="F52" s="219"/>
      <c r="G52" s="313"/>
      <c r="H52" s="213" t="s">
        <v>400</v>
      </c>
      <c r="I52" s="130" t="s">
        <v>1</v>
      </c>
      <c r="J52" s="126">
        <v>12</v>
      </c>
      <c r="K52" s="126">
        <f>416*3</f>
        <v>1248</v>
      </c>
      <c r="L52" s="125">
        <f>IF(I52&lt;&gt;0,((VLOOKUP(I52,'1. Standard_Cost'!$B$4:$D$11,2)+VLOOKUP(I52,'1. Standard_Cost'!$B$4:$D$11,3))*J52*K52),"0")</f>
        <v>1075169828.5714285</v>
      </c>
      <c r="M52" s="125">
        <f>L52*'1. Standard_Cost'!$F$4</f>
        <v>179553361.37142858</v>
      </c>
      <c r="N52" s="126"/>
      <c r="O52" s="126"/>
      <c r="P52" s="126"/>
      <c r="Q52" s="126"/>
      <c r="R52" s="127">
        <f>'1. Standard_Cost'!$B$15*N52*P52</f>
        <v>0</v>
      </c>
      <c r="S52" s="127">
        <f>N52*O52*P52*'1. Standard_Cost'!$C$15</f>
        <v>0</v>
      </c>
      <c r="T52" s="127">
        <f>N52*P52*Q52*'1. Standard_Cost'!$D$15</f>
        <v>0</v>
      </c>
      <c r="U52" s="127">
        <f>N52*O52*'1. Standard_Cost'!$E$15</f>
        <v>0</v>
      </c>
      <c r="V52" s="126"/>
      <c r="W52" s="126"/>
      <c r="X52" s="126"/>
      <c r="Y52" s="127">
        <f>+V52*((X52*'1. Standard_Cost'!$B$19)+(W52*X52*'1. Standard_Cost'!$C$19))</f>
        <v>0</v>
      </c>
      <c r="Z52" s="126"/>
      <c r="AA52" s="126"/>
      <c r="AB52" s="127">
        <f>+Z52*'1. Standard_Cost'!$B$23+AA52*'1. Standard_Cost'!$C$23</f>
        <v>0</v>
      </c>
      <c r="AC52" s="128">
        <f>100000/12*3*402</f>
        <v>10050000</v>
      </c>
      <c r="AD52" s="129"/>
      <c r="AE52" s="127">
        <f>SUM(AD52,AC52,AB52,Y52,U52,T52,S52,R52)*'1. Standard_Cost'!$B$31</f>
        <v>2010000</v>
      </c>
      <c r="AF52" s="127">
        <f>SUM(AE52,AD52,AC52,AB52,Y52,U52,T52,S52,R52)</f>
        <v>12060000</v>
      </c>
      <c r="AG52" s="126"/>
      <c r="AH52" s="126"/>
      <c r="AI52" s="126"/>
      <c r="AJ52" s="130"/>
      <c r="AK52" s="130"/>
      <c r="AL52" s="130"/>
      <c r="AM52" s="127">
        <f>AG52*'1. Standard_Cost'!$B$27+'Incremental_Cost Year 2'!AH52*'1. Standard_Cost'!$C$27+'Incremental_Cost Year 2'!AI52*'1. Standard_Cost'!$D$27+'Incremental_Cost Year 2'!AJ52+'Incremental_Cost Year 2'!AL52+AK52</f>
        <v>0</v>
      </c>
      <c r="AN52" s="127">
        <f>AM52*'1. Standard_Cost'!$C$31</f>
        <v>0</v>
      </c>
      <c r="AO52" s="130"/>
      <c r="AQ52" s="171">
        <f>L52+M52</f>
        <v>1254723189.942857</v>
      </c>
      <c r="AR52" s="171">
        <f>AF52</f>
        <v>12060000</v>
      </c>
      <c r="AS52" s="171">
        <f>AM52+AN52</f>
        <v>0</v>
      </c>
      <c r="AT52" s="171">
        <f>SUM(AQ52,AR52,AS52)</f>
        <v>1266783189.942857</v>
      </c>
      <c r="AU52" s="250">
        <f>AT52</f>
        <v>1266783189.942857</v>
      </c>
      <c r="AV52" s="250"/>
      <c r="AW52" s="250"/>
      <c r="AX52" s="250"/>
      <c r="AY52" s="250"/>
      <c r="AZ52" s="250"/>
      <c r="BA52" s="250"/>
      <c r="BB52" s="251">
        <f t="shared" si="41"/>
        <v>0</v>
      </c>
      <c r="BC52" s="169"/>
      <c r="BD52" s="169"/>
      <c r="BE52" s="169"/>
      <c r="BF52" s="169"/>
    </row>
    <row r="53" spans="1:58" ht="94.5" outlineLevel="2" x14ac:dyDescent="0.25">
      <c r="A53" s="115"/>
      <c r="B53" s="200"/>
      <c r="C53" s="201"/>
      <c r="D53" s="135"/>
      <c r="E53" s="219"/>
      <c r="F53" s="219"/>
      <c r="G53" s="313"/>
      <c r="H53" s="199" t="s">
        <v>227</v>
      </c>
      <c r="I53" s="130" t="s">
        <v>3</v>
      </c>
      <c r="J53" s="126">
        <v>6</v>
      </c>
      <c r="K53" s="126">
        <v>1</v>
      </c>
      <c r="L53" s="125">
        <f>IF(I53&lt;&gt;0,((VLOOKUP(I53,'1. Standard_Cost'!$B$4:$D$11,2)+VLOOKUP(I53,'1. Standard_Cost'!$B$4:$D$11,3))*J53*K53),"0")</f>
        <v>604800</v>
      </c>
      <c r="M53" s="125">
        <f>L53*'1. Standard_Cost'!$F$4</f>
        <v>101001.60000000001</v>
      </c>
      <c r="N53" s="126"/>
      <c r="O53" s="126"/>
      <c r="P53" s="126"/>
      <c r="Q53" s="126"/>
      <c r="R53" s="127">
        <f>'1. Standard_Cost'!$B$15*N53*P53</f>
        <v>0</v>
      </c>
      <c r="S53" s="127">
        <f>N53*O53*P53*'1. Standard_Cost'!$C$15</f>
        <v>0</v>
      </c>
      <c r="T53" s="127">
        <f>N53*P53*Q53*'1. Standard_Cost'!$D$15</f>
        <v>0</v>
      </c>
      <c r="U53" s="127">
        <f>N53*O53*'1. Standard_Cost'!$E$15</f>
        <v>0</v>
      </c>
      <c r="V53" s="126"/>
      <c r="W53" s="126"/>
      <c r="X53" s="126"/>
      <c r="Y53" s="127">
        <f>+V53*((X53*'1. Standard_Cost'!$B$19)+(W53*X53*'1. Standard_Cost'!$C$19))</f>
        <v>0</v>
      </c>
      <c r="Z53" s="126"/>
      <c r="AA53" s="126"/>
      <c r="AB53" s="127">
        <f>+Z53*'1. Standard_Cost'!$B$23+AA53*'1. Standard_Cost'!$C$23</f>
        <v>0</v>
      </c>
      <c r="AC53" s="128"/>
      <c r="AD53" s="129"/>
      <c r="AE53" s="127">
        <f>SUM(AD53,AC53,AB53,Y53,U53,T53,S53,R53)*'1. Standard_Cost'!$B$31</f>
        <v>0</v>
      </c>
      <c r="AF53" s="127">
        <f>SUM(AE53,AD53,AC53,AB53,Y53,U53,T53,S53,R53)</f>
        <v>0</v>
      </c>
      <c r="AG53" s="126"/>
      <c r="AH53" s="126"/>
      <c r="AI53" s="126"/>
      <c r="AJ53" s="130"/>
      <c r="AK53" s="130"/>
      <c r="AL53" s="130"/>
      <c r="AM53" s="127">
        <f>AG53*'1. Standard_Cost'!$B$27+'Incremental_Cost Year 2'!AH53*'1. Standard_Cost'!$C$27+'Incremental_Cost Year 2'!AI53*'1. Standard_Cost'!$D$27+'Incremental_Cost Year 2'!AJ53+'Incremental_Cost Year 2'!AL53+AK53</f>
        <v>0</v>
      </c>
      <c r="AN53" s="127">
        <f>AM53*'1. Standard_Cost'!$C$31</f>
        <v>0</v>
      </c>
      <c r="AO53" s="130"/>
      <c r="AQ53" s="171">
        <f>L53+M53</f>
        <v>705801.6</v>
      </c>
      <c r="AR53" s="171">
        <f>AF53</f>
        <v>0</v>
      </c>
      <c r="AS53" s="171">
        <f>AM53+AN53</f>
        <v>0</v>
      </c>
      <c r="AT53" s="171">
        <f>SUM(AQ53,AR53,AS53)</f>
        <v>705801.6</v>
      </c>
      <c r="AU53" s="250">
        <f>AQ53</f>
        <v>705801.6</v>
      </c>
      <c r="AV53" s="250"/>
      <c r="AW53" s="250"/>
      <c r="AX53" s="250"/>
      <c r="AY53" s="250"/>
      <c r="AZ53" s="250"/>
      <c r="BA53" s="250"/>
      <c r="BB53" s="251">
        <f t="shared" si="41"/>
        <v>0</v>
      </c>
      <c r="BC53" s="169"/>
      <c r="BD53" s="169"/>
      <c r="BE53" s="169"/>
      <c r="BF53" s="169"/>
    </row>
    <row r="54" spans="1:58" ht="78.75" outlineLevel="2" x14ac:dyDescent="0.25">
      <c r="A54" s="115"/>
      <c r="B54" s="200"/>
      <c r="C54" s="201"/>
      <c r="D54" s="135"/>
      <c r="E54" s="219"/>
      <c r="F54" s="219"/>
      <c r="G54" s="313"/>
      <c r="H54" s="199" t="s">
        <v>228</v>
      </c>
      <c r="I54" s="130" t="s">
        <v>5</v>
      </c>
      <c r="J54" s="126">
        <v>0.2</v>
      </c>
      <c r="K54" s="126">
        <v>1</v>
      </c>
      <c r="L54" s="125">
        <f>IF(I54&lt;&gt;0,((VLOOKUP(I54,'1. Standard_Cost'!$B$4:$D$11,2)+VLOOKUP(I54,'1. Standard_Cost'!$B$4:$D$11,3))*J54*K54),"0")</f>
        <v>14140</v>
      </c>
      <c r="M54" s="125">
        <f>L54*'1. Standard_Cost'!$F$4</f>
        <v>2361.38</v>
      </c>
      <c r="N54" s="126"/>
      <c r="O54" s="126"/>
      <c r="P54" s="126"/>
      <c r="Q54" s="126"/>
      <c r="R54" s="127">
        <f>'1. Standard_Cost'!$B$15*N54*P54</f>
        <v>0</v>
      </c>
      <c r="S54" s="127">
        <f>N54*O54*P54*'1. Standard_Cost'!$C$15</f>
        <v>0</v>
      </c>
      <c r="T54" s="127">
        <f>N54*P54*Q54*'1. Standard_Cost'!$D$15</f>
        <v>0</v>
      </c>
      <c r="U54" s="127">
        <f>N54*O54*'1. Standard_Cost'!$E$15</f>
        <v>0</v>
      </c>
      <c r="V54" s="126"/>
      <c r="W54" s="126"/>
      <c r="X54" s="126"/>
      <c r="Y54" s="127">
        <f>+V54*((X54*'1. Standard_Cost'!$B$19)+(W54*X54*'1. Standard_Cost'!$C$19))</f>
        <v>0</v>
      </c>
      <c r="Z54" s="126"/>
      <c r="AA54" s="126"/>
      <c r="AB54" s="127">
        <f>+Z54*'1. Standard_Cost'!$B$23+AA54*'1. Standard_Cost'!$C$23</f>
        <v>0</v>
      </c>
      <c r="AC54" s="128"/>
      <c r="AD54" s="129"/>
      <c r="AE54" s="127">
        <f>SUM(AD54,AC54,AB54,Y54,U54,T54,S54,R54)*'1. Standard_Cost'!$B$31</f>
        <v>0</v>
      </c>
      <c r="AF54" s="127">
        <f>SUM(AE54,AD54,AC54,AB54,Y54,U54,T54,S54,R54)</f>
        <v>0</v>
      </c>
      <c r="AG54" s="126"/>
      <c r="AH54" s="126"/>
      <c r="AI54" s="126"/>
      <c r="AJ54" s="130"/>
      <c r="AK54" s="130"/>
      <c r="AL54" s="130"/>
      <c r="AM54" s="127">
        <f>AG54*'1. Standard_Cost'!$B$27+'Incremental_Cost Year 2'!AH54*'1. Standard_Cost'!$C$27+'Incremental_Cost Year 2'!AI54*'1. Standard_Cost'!$D$27+'Incremental_Cost Year 2'!AJ54+'Incremental_Cost Year 2'!AL54+AK54</f>
        <v>0</v>
      </c>
      <c r="AN54" s="127">
        <f>AM54*'1. Standard_Cost'!$C$31</f>
        <v>0</v>
      </c>
      <c r="AO54" s="130"/>
      <c r="AQ54" s="171">
        <f>L54+M54</f>
        <v>16501.38</v>
      </c>
      <c r="AR54" s="171">
        <f>AF54</f>
        <v>0</v>
      </c>
      <c r="AS54" s="171">
        <f>AM54+AN54</f>
        <v>0</v>
      </c>
      <c r="AT54" s="171">
        <f>SUM(AQ54,AR54,AS54)</f>
        <v>16501.38</v>
      </c>
      <c r="AU54" s="250">
        <f>AQ54</f>
        <v>16501.38</v>
      </c>
      <c r="AV54" s="250"/>
      <c r="AW54" s="250"/>
      <c r="AX54" s="250"/>
      <c r="AY54" s="250"/>
      <c r="AZ54" s="250"/>
      <c r="BA54" s="250"/>
      <c r="BB54" s="251">
        <f t="shared" si="41"/>
        <v>0</v>
      </c>
      <c r="BC54" s="169"/>
      <c r="BD54" s="169"/>
      <c r="BE54" s="169"/>
      <c r="BF54" s="169"/>
    </row>
    <row r="55" spans="1:58" ht="63" outlineLevel="2" x14ac:dyDescent="0.25">
      <c r="A55" s="115"/>
      <c r="B55" s="200"/>
      <c r="C55" s="201"/>
      <c r="D55" s="223"/>
      <c r="E55" s="219"/>
      <c r="F55" s="219"/>
      <c r="G55" s="313"/>
      <c r="H55" s="199" t="s">
        <v>229</v>
      </c>
      <c r="I55" s="130" t="s">
        <v>3</v>
      </c>
      <c r="J55" s="126">
        <v>1</v>
      </c>
      <c r="K55" s="126">
        <v>1</v>
      </c>
      <c r="L55" s="125">
        <f>IF(I55&lt;&gt;0,((VLOOKUP(I55,'1. Standard_Cost'!$B$4:$D$11,2)+VLOOKUP(I55,'1. Standard_Cost'!$B$4:$D$11,3))*J55*K55),"0")</f>
        <v>100800</v>
      </c>
      <c r="M55" s="125">
        <f>L55*'1. Standard_Cost'!$F$4</f>
        <v>16833.600000000002</v>
      </c>
      <c r="N55" s="126"/>
      <c r="O55" s="126"/>
      <c r="P55" s="126"/>
      <c r="Q55" s="126"/>
      <c r="R55" s="127">
        <f>'1. Standard_Cost'!$B$15*N55*P55</f>
        <v>0</v>
      </c>
      <c r="S55" s="127">
        <f>N55*O55*P55*'1. Standard_Cost'!$C$15</f>
        <v>0</v>
      </c>
      <c r="T55" s="127">
        <f>N55*P55*Q55*'1. Standard_Cost'!$D$15</f>
        <v>0</v>
      </c>
      <c r="U55" s="127">
        <f>N55*O55*'1. Standard_Cost'!$E$15</f>
        <v>0</v>
      </c>
      <c r="V55" s="126"/>
      <c r="W55" s="126"/>
      <c r="X55" s="126"/>
      <c r="Y55" s="127">
        <f>+V55*((X55*'1. Standard_Cost'!$B$19)+(W55*X55*'1. Standard_Cost'!$C$19))</f>
        <v>0</v>
      </c>
      <c r="Z55" s="126"/>
      <c r="AA55" s="126"/>
      <c r="AB55" s="127">
        <f>+Z55*'1. Standard_Cost'!$B$23+AA55*'1. Standard_Cost'!$C$23</f>
        <v>0</v>
      </c>
      <c r="AC55" s="128"/>
      <c r="AD55" s="129"/>
      <c r="AE55" s="127">
        <f>SUM(AD55,AC55,AB55,Y55,U55,T55,S55,R55)*'1. Standard_Cost'!$B$31</f>
        <v>0</v>
      </c>
      <c r="AF55" s="127">
        <f>SUM(AE55,AD55,AC55,AB55,Y55,U55,T55,S55,R55)</f>
        <v>0</v>
      </c>
      <c r="AG55" s="126"/>
      <c r="AH55" s="126"/>
      <c r="AI55" s="126"/>
      <c r="AJ55" s="130"/>
      <c r="AK55" s="130"/>
      <c r="AL55" s="130"/>
      <c r="AM55" s="127">
        <f>AG55*'1. Standard_Cost'!$B$27+'Incremental_Cost Year 2'!AH55*'1. Standard_Cost'!$C$27+'Incremental_Cost Year 2'!AI55*'1. Standard_Cost'!$D$27+'Incremental_Cost Year 2'!AJ55+'Incremental_Cost Year 2'!AL55+AK55</f>
        <v>0</v>
      </c>
      <c r="AN55" s="127">
        <f>AM55*'1. Standard_Cost'!$C$31</f>
        <v>0</v>
      </c>
      <c r="AO55" s="130"/>
      <c r="AQ55" s="171">
        <f>L55+M55</f>
        <v>117633.60000000001</v>
      </c>
      <c r="AR55" s="171">
        <f>AF55</f>
        <v>0</v>
      </c>
      <c r="AS55" s="171">
        <f>AM55+AN55</f>
        <v>0</v>
      </c>
      <c r="AT55" s="171">
        <f>SUM(AQ55,AR55,AS55)</f>
        <v>117633.60000000001</v>
      </c>
      <c r="AU55" s="250">
        <f>AQ55</f>
        <v>117633.60000000001</v>
      </c>
      <c r="AV55" s="250"/>
      <c r="AW55" s="250"/>
      <c r="AX55" s="250"/>
      <c r="AY55" s="250"/>
      <c r="AZ55" s="250"/>
      <c r="BA55" s="250"/>
      <c r="BB55" s="251">
        <f t="shared" si="41"/>
        <v>0</v>
      </c>
      <c r="BC55" s="169"/>
      <c r="BD55" s="169"/>
      <c r="BE55" s="169"/>
      <c r="BF55" s="169"/>
    </row>
    <row r="56" spans="1:58" ht="94.5" outlineLevel="1" x14ac:dyDescent="0.25">
      <c r="A56" s="115"/>
      <c r="B56" s="165"/>
      <c r="C56" s="166"/>
      <c r="D56" s="107" t="s">
        <v>401</v>
      </c>
      <c r="E56" s="139" t="s">
        <v>214</v>
      </c>
      <c r="F56" s="222">
        <v>2021</v>
      </c>
      <c r="G56" s="117">
        <v>2030</v>
      </c>
      <c r="H56" s="134" t="s">
        <v>215</v>
      </c>
      <c r="I56" s="252"/>
      <c r="J56" s="252"/>
      <c r="K56" s="252"/>
      <c r="L56" s="127">
        <f>SUM(L51:L55)</f>
        <v>1076131818.5714285</v>
      </c>
      <c r="M56" s="127">
        <f>SUM(M51:M55)</f>
        <v>179714013.70142856</v>
      </c>
      <c r="N56" s="127"/>
      <c r="O56" s="252"/>
      <c r="P56" s="252"/>
      <c r="Q56" s="252"/>
      <c r="R56" s="127">
        <f>SUM(R51:R55)</f>
        <v>0</v>
      </c>
      <c r="S56" s="127">
        <f>SUM(S51:S55)</f>
        <v>0</v>
      </c>
      <c r="T56" s="127">
        <f>SUM(T51:T55)</f>
        <v>0</v>
      </c>
      <c r="U56" s="127">
        <f>SUM(U51:U55)</f>
        <v>0</v>
      </c>
      <c r="V56" s="252"/>
      <c r="W56" s="252"/>
      <c r="X56" s="252"/>
      <c r="Y56" s="127">
        <f>SUM(Y51:Y55)</f>
        <v>0</v>
      </c>
      <c r="Z56" s="252"/>
      <c r="AA56" s="252"/>
      <c r="AB56" s="127">
        <f>SUM(AB51:AB55)</f>
        <v>1140000</v>
      </c>
      <c r="AC56" s="127">
        <f>SUM(AC51:AC55)</f>
        <v>10071000</v>
      </c>
      <c r="AD56" s="127">
        <f>SUM(AD51:AD55)</f>
        <v>0</v>
      </c>
      <c r="AE56" s="127">
        <f>SUM(AE51:AE55)</f>
        <v>2242200</v>
      </c>
      <c r="AF56" s="127">
        <f>SUM(AF51:AF55)</f>
        <v>13453200</v>
      </c>
      <c r="AG56" s="252"/>
      <c r="AH56" s="252"/>
      <c r="AI56" s="252"/>
      <c r="AJ56" s="127">
        <f>SUM(AJ51:AJ55)</f>
        <v>0</v>
      </c>
      <c r="AK56" s="127">
        <f>SUM(AK51:AK55)</f>
        <v>0</v>
      </c>
      <c r="AL56" s="127">
        <f>SUM(AL51:AL55)</f>
        <v>0</v>
      </c>
      <c r="AM56" s="127">
        <f>SUM(AM51:AM55)</f>
        <v>0</v>
      </c>
      <c r="AN56" s="127">
        <f>SUM(AN51:AN55)</f>
        <v>0</v>
      </c>
      <c r="AO56" s="253"/>
      <c r="AP56" s="254"/>
      <c r="AQ56" s="175">
        <f>SUM(AQ51:AQ55)</f>
        <v>1255845832.272857</v>
      </c>
      <c r="AR56" s="175">
        <f>SUM(AR51:AR55)</f>
        <v>13453200</v>
      </c>
      <c r="AS56" s="175">
        <f>SUM(AS51:AS55)</f>
        <v>0</v>
      </c>
      <c r="AT56" s="175">
        <f>SUM(AT51:AT55)</f>
        <v>1269299032.272857</v>
      </c>
      <c r="AU56" s="175">
        <f t="shared" ref="AU56:BB56" si="42">SUM(AU51:AU55)</f>
        <v>1267905832.272857</v>
      </c>
      <c r="AV56" s="175">
        <f t="shared" si="42"/>
        <v>0</v>
      </c>
      <c r="AW56" s="175">
        <f>SUM(AW51:AW55)</f>
        <v>0</v>
      </c>
      <c r="AX56" s="175">
        <f t="shared" si="42"/>
        <v>0</v>
      </c>
      <c r="AY56" s="175">
        <f t="shared" si="42"/>
        <v>1393200</v>
      </c>
      <c r="AZ56" s="175">
        <f t="shared" si="42"/>
        <v>0</v>
      </c>
      <c r="BA56" s="175">
        <f t="shared" si="42"/>
        <v>0</v>
      </c>
      <c r="BB56" s="175">
        <f t="shared" si="42"/>
        <v>0</v>
      </c>
      <c r="BC56" s="169"/>
      <c r="BD56" s="169"/>
      <c r="BE56" s="169"/>
      <c r="BF56" s="169"/>
    </row>
    <row r="57" spans="1:58" ht="110.25" outlineLevel="2" x14ac:dyDescent="0.25">
      <c r="A57" s="115"/>
      <c r="B57" s="200"/>
      <c r="C57" s="201"/>
      <c r="D57" s="138"/>
      <c r="E57" s="219"/>
      <c r="F57" s="219"/>
      <c r="G57" s="313"/>
      <c r="H57" s="199" t="s">
        <v>402</v>
      </c>
      <c r="I57" s="130"/>
      <c r="J57" s="126"/>
      <c r="K57" s="126"/>
      <c r="L57" s="125" t="str">
        <f>IF(I57&lt;&gt;0,((VLOOKUP(I57,'1. Standard_Cost'!$B$4:$D$11,2)+VLOOKUP(I57,'1. Standard_Cost'!$B$4:$D$11,3))*J57*K57),"0")</f>
        <v>0</v>
      </c>
      <c r="M57" s="125">
        <f>L57*'1. Standard_Cost'!$F$4</f>
        <v>0</v>
      </c>
      <c r="N57" s="126"/>
      <c r="O57" s="126"/>
      <c r="P57" s="126"/>
      <c r="Q57" s="126"/>
      <c r="R57" s="127">
        <f>'1. Standard_Cost'!$B$15*N57*P57</f>
        <v>0</v>
      </c>
      <c r="S57" s="127">
        <f>N57*O57*P57*'1. Standard_Cost'!$C$15</f>
        <v>0</v>
      </c>
      <c r="T57" s="127">
        <f>N57*P57*Q57*'1. Standard_Cost'!$D$15</f>
        <v>0</v>
      </c>
      <c r="U57" s="127">
        <f>N57*O57*'1. Standard_Cost'!$E$15</f>
        <v>0</v>
      </c>
      <c r="V57" s="126"/>
      <c r="W57" s="126"/>
      <c r="X57" s="126"/>
      <c r="Y57" s="127">
        <f>+V57*((X57*'1. Standard_Cost'!$B$19)+(W57*X57*'1. Standard_Cost'!$C$19))</f>
        <v>0</v>
      </c>
      <c r="Z57" s="126"/>
      <c r="AA57" s="126"/>
      <c r="AB57" s="127">
        <f>+Z57*'1. Standard_Cost'!$B$23+AA57*'1. Standard_Cost'!$C$23</f>
        <v>0</v>
      </c>
      <c r="AC57" s="128"/>
      <c r="AD57" s="129"/>
      <c r="AE57" s="127">
        <f>SUM(AD57,AC57,AB57,Y57,U57,T57,S57,R57)*'1. Standard_Cost'!$B$31</f>
        <v>0</v>
      </c>
      <c r="AF57" s="127">
        <f>SUM(AE57,AD57,AC57,AB57,Y57,U57,T57,S57,R57)</f>
        <v>0</v>
      </c>
      <c r="AG57" s="126"/>
      <c r="AH57" s="126"/>
      <c r="AI57" s="126"/>
      <c r="AJ57" s="130"/>
      <c r="AK57" s="130"/>
      <c r="AL57" s="130"/>
      <c r="AM57" s="127">
        <f>AG57*'1. Standard_Cost'!$B$27+'Incremental_Cost Year 2'!AH57*'1. Standard_Cost'!$C$27+'Incremental_Cost Year 2'!AI57*'1. Standard_Cost'!$D$27+'Incremental_Cost Year 2'!AJ57+'Incremental_Cost Year 2'!AL57+AK57</f>
        <v>0</v>
      </c>
      <c r="AN57" s="127">
        <f>AM57*'1. Standard_Cost'!$C$31</f>
        <v>0</v>
      </c>
      <c r="AO57" s="249"/>
      <c r="AQ57" s="171">
        <f>L57+M57</f>
        <v>0</v>
      </c>
      <c r="AR57" s="171">
        <f>AF57</f>
        <v>0</v>
      </c>
      <c r="AS57" s="171">
        <f>AM57+AN57</f>
        <v>0</v>
      </c>
      <c r="AT57" s="171">
        <f>SUM(AQ57,AR57,AS57)</f>
        <v>0</v>
      </c>
      <c r="AU57" s="250"/>
      <c r="AV57" s="250"/>
      <c r="AW57" s="250"/>
      <c r="AX57" s="250"/>
      <c r="AY57" s="250"/>
      <c r="AZ57" s="250"/>
      <c r="BA57" s="250"/>
      <c r="BB57" s="251">
        <f t="shared" ref="BB57:BB59" si="43">SUM(AU57:BA57)-AT57</f>
        <v>0</v>
      </c>
      <c r="BC57" s="169"/>
      <c r="BD57" s="169"/>
      <c r="BE57" s="169"/>
      <c r="BF57" s="169"/>
    </row>
    <row r="58" spans="1:58" ht="63" outlineLevel="2" x14ac:dyDescent="0.25">
      <c r="A58" s="115"/>
      <c r="B58" s="200"/>
      <c r="C58" s="201"/>
      <c r="D58" s="135"/>
      <c r="E58" s="219"/>
      <c r="F58" s="219"/>
      <c r="G58" s="313"/>
      <c r="H58" s="199" t="s">
        <v>403</v>
      </c>
      <c r="I58" s="130"/>
      <c r="J58" s="126"/>
      <c r="K58" s="126"/>
      <c r="L58" s="125" t="str">
        <f>IF(I58&lt;&gt;0,((VLOOKUP(I58,'1. Standard_Cost'!$B$4:$D$11,2)+VLOOKUP(I58,'1. Standard_Cost'!$B$4:$D$11,3))*J58*K58),"0")</f>
        <v>0</v>
      </c>
      <c r="M58" s="125">
        <f>L58*'1. Standard_Cost'!$F$4</f>
        <v>0</v>
      </c>
      <c r="N58" s="126"/>
      <c r="O58" s="126"/>
      <c r="P58" s="126"/>
      <c r="Q58" s="126"/>
      <c r="R58" s="127">
        <f>'1. Standard_Cost'!$B$15*N58*P58</f>
        <v>0</v>
      </c>
      <c r="S58" s="127">
        <f>N58*O58*P58*'1. Standard_Cost'!$C$15</f>
        <v>0</v>
      </c>
      <c r="T58" s="127">
        <f>N58*P58*Q58*'1. Standard_Cost'!$D$15</f>
        <v>0</v>
      </c>
      <c r="U58" s="127">
        <f>N58*O58*'1. Standard_Cost'!$E$15</f>
        <v>0</v>
      </c>
      <c r="V58" s="126"/>
      <c r="W58" s="126"/>
      <c r="X58" s="126"/>
      <c r="Y58" s="127">
        <f>+V58*((X58*'1. Standard_Cost'!$B$19)+(W58*X58*'1. Standard_Cost'!$C$19))</f>
        <v>0</v>
      </c>
      <c r="Z58" s="126"/>
      <c r="AA58" s="126"/>
      <c r="AB58" s="127">
        <f>+Z58*'1. Standard_Cost'!$B$23+AA58*'1. Standard_Cost'!$C$23</f>
        <v>0</v>
      </c>
      <c r="AC58" s="128"/>
      <c r="AD58" s="129"/>
      <c r="AE58" s="127">
        <f>SUM(AD58,AC58,AB58,Y58,U58,T58,S58,R58)*'1. Standard_Cost'!$B$31</f>
        <v>0</v>
      </c>
      <c r="AF58" s="127">
        <f>SUM(AE58,AD58,AC58,AB58,Y58,U58,T58,S58,R58)</f>
        <v>0</v>
      </c>
      <c r="AG58" s="126"/>
      <c r="AH58" s="126"/>
      <c r="AI58" s="126"/>
      <c r="AJ58" s="130"/>
      <c r="AK58" s="130"/>
      <c r="AL58" s="130"/>
      <c r="AM58" s="127">
        <f>AG58*'1. Standard_Cost'!$B$27+'Incremental_Cost Year 2'!AH58*'1. Standard_Cost'!$C$27+'Incremental_Cost Year 2'!AI58*'1. Standard_Cost'!$D$27+'Incremental_Cost Year 2'!AJ58+'Incremental_Cost Year 2'!AL58+AK58</f>
        <v>0</v>
      </c>
      <c r="AN58" s="127">
        <f>AM58*'1. Standard_Cost'!$C$31</f>
        <v>0</v>
      </c>
      <c r="AO58" s="130"/>
      <c r="AQ58" s="171">
        <f>L58+M58</f>
        <v>0</v>
      </c>
      <c r="AR58" s="171">
        <f>AF58</f>
        <v>0</v>
      </c>
      <c r="AS58" s="171">
        <f>AM58+AN58</f>
        <v>0</v>
      </c>
      <c r="AT58" s="171">
        <f>SUM(AQ58,AR58,AS58)</f>
        <v>0</v>
      </c>
      <c r="AU58" s="250"/>
      <c r="AV58" s="250"/>
      <c r="AW58" s="250"/>
      <c r="AX58" s="250"/>
      <c r="AY58" s="250"/>
      <c r="AZ58" s="250"/>
      <c r="BA58" s="250"/>
      <c r="BB58" s="251">
        <f t="shared" si="43"/>
        <v>0</v>
      </c>
      <c r="BC58" s="169"/>
      <c r="BD58" s="169"/>
      <c r="BE58" s="169"/>
      <c r="BF58" s="169"/>
    </row>
    <row r="59" spans="1:58" ht="78.75" outlineLevel="2" x14ac:dyDescent="0.25">
      <c r="A59" s="115"/>
      <c r="B59" s="147"/>
      <c r="C59" s="314"/>
      <c r="D59" s="223"/>
      <c r="E59" s="122"/>
      <c r="F59" s="122"/>
      <c r="G59" s="123"/>
      <c r="H59" s="199" t="s">
        <v>309</v>
      </c>
      <c r="I59" s="130"/>
      <c r="J59" s="126"/>
      <c r="K59" s="126"/>
      <c r="L59" s="125" t="str">
        <f>IF(I59&lt;&gt;0,((VLOOKUP(I59,'1. Standard_Cost'!$B$4:$D$11,2)+VLOOKUP(I59,'1. Standard_Cost'!$B$4:$D$11,3))*J59*K59),"0")</f>
        <v>0</v>
      </c>
      <c r="M59" s="125">
        <f>L59*'1. Standard_Cost'!$F$4</f>
        <v>0</v>
      </c>
      <c r="N59" s="126"/>
      <c r="O59" s="126"/>
      <c r="P59" s="126"/>
      <c r="Q59" s="126"/>
      <c r="R59" s="127">
        <f>'1. Standard_Cost'!$B$15*N59*P59</f>
        <v>0</v>
      </c>
      <c r="S59" s="127">
        <f>N59*O59*P59*'1. Standard_Cost'!$C$15</f>
        <v>0</v>
      </c>
      <c r="T59" s="127">
        <f>N59*P59*Q59*'1. Standard_Cost'!$D$15</f>
        <v>0</v>
      </c>
      <c r="U59" s="127">
        <f>N59*O59*'1. Standard_Cost'!$E$15</f>
        <v>0</v>
      </c>
      <c r="V59" s="126"/>
      <c r="W59" s="126"/>
      <c r="X59" s="126"/>
      <c r="Y59" s="127">
        <f>+V59*((X59*'1. Standard_Cost'!$B$19)+(W59*X59*'1. Standard_Cost'!$C$19))</f>
        <v>0</v>
      </c>
      <c r="Z59" s="126"/>
      <c r="AA59" s="126"/>
      <c r="AB59" s="127">
        <f>+Z59*'1. Standard_Cost'!$B$23+AA59*'1. Standard_Cost'!$C$23</f>
        <v>0</v>
      </c>
      <c r="AC59" s="128"/>
      <c r="AD59" s="129"/>
      <c r="AE59" s="127">
        <f>SUM(AD59,AC59,AB59,Y59,U59,T59,S59,R59)*'1. Standard_Cost'!$B$31</f>
        <v>0</v>
      </c>
      <c r="AF59" s="127">
        <f>SUM(AE59,AD59,AC59,AB59,Y59,U59,T59,S59,R59)</f>
        <v>0</v>
      </c>
      <c r="AG59" s="126"/>
      <c r="AH59" s="126"/>
      <c r="AI59" s="126"/>
      <c r="AJ59" s="130"/>
      <c r="AK59" s="130"/>
      <c r="AL59" s="130"/>
      <c r="AM59" s="127">
        <f>AG59*'1. Standard_Cost'!$B$27+'Incremental_Cost Year 2'!AH59*'1. Standard_Cost'!$C$27+'Incremental_Cost Year 2'!AI59*'1. Standard_Cost'!$D$27+'Incremental_Cost Year 2'!AJ59+'Incremental_Cost Year 2'!AL59+AK59</f>
        <v>0</v>
      </c>
      <c r="AN59" s="127">
        <f>AM59*'1. Standard_Cost'!$C$31</f>
        <v>0</v>
      </c>
      <c r="AO59" s="130"/>
      <c r="AQ59" s="171">
        <f>L59+M59</f>
        <v>0</v>
      </c>
      <c r="AR59" s="171">
        <f>AF59</f>
        <v>0</v>
      </c>
      <c r="AS59" s="171">
        <f>AM59+AN59</f>
        <v>0</v>
      </c>
      <c r="AT59" s="171">
        <f>SUM(AQ59,AR59,AS59)</f>
        <v>0</v>
      </c>
      <c r="AU59" s="250"/>
      <c r="AV59" s="250"/>
      <c r="AW59" s="250"/>
      <c r="AX59" s="250"/>
      <c r="AY59" s="250"/>
      <c r="AZ59" s="250"/>
      <c r="BA59" s="250"/>
      <c r="BB59" s="251">
        <f t="shared" si="43"/>
        <v>0</v>
      </c>
      <c r="BC59" s="169"/>
      <c r="BD59" s="169"/>
      <c r="BE59" s="169"/>
      <c r="BF59" s="169"/>
    </row>
    <row r="60" spans="1:58" ht="31.5" outlineLevel="1" x14ac:dyDescent="0.25">
      <c r="A60" s="115"/>
      <c r="B60" s="200"/>
      <c r="C60" s="201"/>
      <c r="D60" s="132" t="s">
        <v>388</v>
      </c>
      <c r="E60" s="133" t="s">
        <v>216</v>
      </c>
      <c r="F60" s="122">
        <v>2021</v>
      </c>
      <c r="G60" s="223">
        <v>2030</v>
      </c>
      <c r="H60" s="134" t="s">
        <v>217</v>
      </c>
      <c r="I60" s="252"/>
      <c r="J60" s="252"/>
      <c r="K60" s="252"/>
      <c r="L60" s="127">
        <f>SUM(L57:L59)</f>
        <v>0</v>
      </c>
      <c r="M60" s="127">
        <f>SUM(M57:M59)</f>
        <v>0</v>
      </c>
      <c r="N60" s="127"/>
      <c r="O60" s="252"/>
      <c r="P60" s="252"/>
      <c r="Q60" s="252"/>
      <c r="R60" s="127">
        <f>SUM(R57:R59)</f>
        <v>0</v>
      </c>
      <c r="S60" s="127">
        <f>SUM(S57:S59)</f>
        <v>0</v>
      </c>
      <c r="T60" s="127">
        <f>SUM(T57:T59)</f>
        <v>0</v>
      </c>
      <c r="U60" s="127">
        <f>SUM(U57:U59)</f>
        <v>0</v>
      </c>
      <c r="V60" s="252"/>
      <c r="W60" s="252"/>
      <c r="X60" s="252"/>
      <c r="Y60" s="127">
        <f>SUM(Y57:Y59)</f>
        <v>0</v>
      </c>
      <c r="Z60" s="252"/>
      <c r="AA60" s="252"/>
      <c r="AB60" s="127">
        <f>SUM(AB57:AB59)</f>
        <v>0</v>
      </c>
      <c r="AC60" s="127">
        <f>SUM(AC57:AC59)</f>
        <v>0</v>
      </c>
      <c r="AD60" s="127">
        <f>SUM(AD57:AD59)</f>
        <v>0</v>
      </c>
      <c r="AE60" s="127">
        <f>SUM(AE57:AE59)</f>
        <v>0</v>
      </c>
      <c r="AF60" s="127">
        <f>SUM(AF57:AF59)</f>
        <v>0</v>
      </c>
      <c r="AG60" s="252"/>
      <c r="AH60" s="252"/>
      <c r="AI60" s="252"/>
      <c r="AJ60" s="127">
        <f>SUM(AJ57:AJ59)</f>
        <v>0</v>
      </c>
      <c r="AK60" s="127">
        <f>SUM(AK57:AK59)</f>
        <v>0</v>
      </c>
      <c r="AL60" s="127">
        <f>SUM(AL57:AL59)</f>
        <v>0</v>
      </c>
      <c r="AM60" s="127">
        <f>SUM(AM57:AM59)</f>
        <v>0</v>
      </c>
      <c r="AN60" s="127">
        <f>SUM(AN57:AN59)</f>
        <v>0</v>
      </c>
      <c r="AO60" s="253"/>
      <c r="AP60" s="254"/>
      <c r="AQ60" s="175">
        <f>SUM(AQ57:AQ59)</f>
        <v>0</v>
      </c>
      <c r="AR60" s="175">
        <f>SUM(AR57:AR59)</f>
        <v>0</v>
      </c>
      <c r="AS60" s="175">
        <f>SUM(AS57:AS59)</f>
        <v>0</v>
      </c>
      <c r="AT60" s="175">
        <f>SUM(AT57:AT59)</f>
        <v>0</v>
      </c>
      <c r="AU60" s="175">
        <f t="shared" ref="AU60:BB60" si="44">SUM(AU57:AU59)</f>
        <v>0</v>
      </c>
      <c r="AV60" s="175">
        <f t="shared" si="44"/>
        <v>0</v>
      </c>
      <c r="AW60" s="175">
        <f>SUM(AW57:AW59)</f>
        <v>0</v>
      </c>
      <c r="AX60" s="175">
        <f t="shared" si="44"/>
        <v>0</v>
      </c>
      <c r="AY60" s="175">
        <f t="shared" si="44"/>
        <v>0</v>
      </c>
      <c r="AZ60" s="175">
        <f t="shared" si="44"/>
        <v>0</v>
      </c>
      <c r="BA60" s="175">
        <f t="shared" si="44"/>
        <v>0</v>
      </c>
      <c r="BB60" s="175">
        <f t="shared" si="44"/>
        <v>0</v>
      </c>
      <c r="BC60" s="169"/>
      <c r="BD60" s="169"/>
      <c r="BE60" s="169"/>
      <c r="BF60" s="169"/>
    </row>
    <row r="61" spans="1:58" s="170" customFormat="1" ht="15.75" customHeight="1" x14ac:dyDescent="0.25">
      <c r="A61" s="120"/>
      <c r="B61" s="290"/>
      <c r="C61" s="391" t="s">
        <v>218</v>
      </c>
      <c r="D61" s="391"/>
      <c r="E61" s="392"/>
      <c r="F61" s="289"/>
      <c r="G61" s="288"/>
      <c r="H61" s="114" t="s">
        <v>219</v>
      </c>
      <c r="I61" s="246"/>
      <c r="J61" s="246"/>
      <c r="K61" s="246"/>
      <c r="L61" s="247">
        <f>SUM(L77)</f>
        <v>515555882.14285713</v>
      </c>
      <c r="M61" s="247">
        <f>SUM(M77)</f>
        <v>86097832.317857146</v>
      </c>
      <c r="N61" s="247"/>
      <c r="O61" s="247"/>
      <c r="P61" s="247"/>
      <c r="Q61" s="247"/>
      <c r="R61" s="247">
        <f>SUM(R77)</f>
        <v>280000</v>
      </c>
      <c r="S61" s="247">
        <f>SUM(S77)</f>
        <v>420000</v>
      </c>
      <c r="T61" s="247">
        <f>SUM(T77)</f>
        <v>0</v>
      </c>
      <c r="U61" s="247">
        <f>SUM(U77)</f>
        <v>560000</v>
      </c>
      <c r="V61" s="247"/>
      <c r="W61" s="247"/>
      <c r="X61" s="247"/>
      <c r="Y61" s="247">
        <f>SUM(Y77)</f>
        <v>0</v>
      </c>
      <c r="Z61" s="247">
        <f t="shared" ref="Z61:AA61" si="45">SUM(Z77)</f>
        <v>0</v>
      </c>
      <c r="AA61" s="247">
        <f t="shared" si="45"/>
        <v>0</v>
      </c>
      <c r="AB61" s="247">
        <f t="shared" ref="AB61:AF61" si="46">SUM(AB77)</f>
        <v>2071000</v>
      </c>
      <c r="AC61" s="247">
        <f t="shared" ref="AC61:AD61" si="47">SUM(AC77)</f>
        <v>430144000</v>
      </c>
      <c r="AD61" s="247">
        <f t="shared" si="47"/>
        <v>0</v>
      </c>
      <c r="AE61" s="247">
        <f t="shared" si="46"/>
        <v>82255000</v>
      </c>
      <c r="AF61" s="247">
        <f t="shared" si="46"/>
        <v>515730000</v>
      </c>
      <c r="AG61" s="247"/>
      <c r="AH61" s="247"/>
      <c r="AI61" s="247"/>
      <c r="AJ61" s="247">
        <f>SUM(AJ77)</f>
        <v>123350000</v>
      </c>
      <c r="AK61" s="247">
        <f>SUM(AK77)</f>
        <v>0</v>
      </c>
      <c r="AL61" s="247">
        <f>SUM(AL77)</f>
        <v>23673000</v>
      </c>
      <c r="AM61" s="247">
        <f>SUM(AM77)</f>
        <v>150133000</v>
      </c>
      <c r="AN61" s="247">
        <f>SUM(AN77)</f>
        <v>7966500</v>
      </c>
      <c r="AO61" s="247"/>
      <c r="AP61" s="244"/>
      <c r="AQ61" s="248">
        <f>SUM(AQ77)</f>
        <v>601653714.46071422</v>
      </c>
      <c r="AR61" s="248">
        <f>SUM(AR77)</f>
        <v>515730000</v>
      </c>
      <c r="AS61" s="248">
        <f>SUM(AS77)</f>
        <v>158099500</v>
      </c>
      <c r="AT61" s="248">
        <f>SUM(AT77)</f>
        <v>1275483214.4607143</v>
      </c>
      <c r="AU61" s="248">
        <f t="shared" ref="AU61:BA61" si="48">SUM(AU77)</f>
        <v>1208379114.4607143</v>
      </c>
      <c r="AV61" s="248">
        <f t="shared" si="48"/>
        <v>0</v>
      </c>
      <c r="AW61" s="248">
        <f>SUM(AW77)</f>
        <v>0</v>
      </c>
      <c r="AX61" s="248">
        <f t="shared" si="48"/>
        <v>0</v>
      </c>
      <c r="AY61" s="248">
        <f t="shared" si="48"/>
        <v>4947600</v>
      </c>
      <c r="AZ61" s="248">
        <f t="shared" si="48"/>
        <v>0</v>
      </c>
      <c r="BA61" s="248">
        <f t="shared" si="48"/>
        <v>0</v>
      </c>
      <c r="BB61" s="248">
        <f t="shared" ref="BB61" si="49">SUM(BB77)</f>
        <v>-62156500</v>
      </c>
    </row>
    <row r="62" spans="1:58" ht="126" outlineLevel="2" x14ac:dyDescent="0.25">
      <c r="A62" s="115"/>
      <c r="B62" s="200"/>
      <c r="C62" s="201"/>
      <c r="D62" s="350"/>
      <c r="E62" s="315"/>
      <c r="F62" s="316"/>
      <c r="G62" s="317"/>
      <c r="H62" s="199" t="s">
        <v>404</v>
      </c>
      <c r="I62" s="130" t="s">
        <v>3</v>
      </c>
      <c r="J62" s="126">
        <v>1</v>
      </c>
      <c r="K62" s="126">
        <v>5</v>
      </c>
      <c r="L62" s="125">
        <f>IF(I62&lt;&gt;0,((VLOOKUP(I62,'1. Standard_Cost'!$B$4:$D$11,2)+VLOOKUP(I62,'1. Standard_Cost'!$B$4:$D$11,3))*J62*K62),"0")</f>
        <v>504000</v>
      </c>
      <c r="M62" s="125">
        <f>L62*'1. Standard_Cost'!$F$4</f>
        <v>84168</v>
      </c>
      <c r="N62" s="126"/>
      <c r="O62" s="126"/>
      <c r="P62" s="126"/>
      <c r="Q62" s="126"/>
      <c r="R62" s="127">
        <f>'1. Standard_Cost'!$B$15*N62*P62</f>
        <v>0</v>
      </c>
      <c r="S62" s="127">
        <f>N62*O62*P62*'1. Standard_Cost'!$C$15</f>
        <v>0</v>
      </c>
      <c r="T62" s="127">
        <f>N62*P62*Q62*'1. Standard_Cost'!$D$15</f>
        <v>0</v>
      </c>
      <c r="U62" s="127">
        <f>N62*O62*'1. Standard_Cost'!$E$15</f>
        <v>0</v>
      </c>
      <c r="V62" s="126"/>
      <c r="W62" s="126"/>
      <c r="X62" s="126"/>
      <c r="Y62" s="127">
        <f>+V62*((X62*'1. Standard_Cost'!$B$19)+(W62*X62*'1. Standard_Cost'!$C$19))</f>
        <v>0</v>
      </c>
      <c r="Z62" s="126"/>
      <c r="AA62" s="126">
        <v>40</v>
      </c>
      <c r="AB62" s="127">
        <f>+Z62*'1. Standard_Cost'!$B$23+AA62*'1. Standard_Cost'!$C$23</f>
        <v>760000</v>
      </c>
      <c r="AC62" s="128">
        <f>30*300+500*500</f>
        <v>259000</v>
      </c>
      <c r="AD62" s="129"/>
      <c r="AE62" s="127">
        <f>SUM(AD62,AC62,AB62,Y62,U62,T62,S62,R62)*'1. Standard_Cost'!$B$31</f>
        <v>203800</v>
      </c>
      <c r="AF62" s="127">
        <f t="shared" ref="AF62:AF67" si="50">SUM(AE62,AD62,AC62,AB62,Y62,U62,T62,S62,R62)</f>
        <v>1222800</v>
      </c>
      <c r="AG62" s="126"/>
      <c r="AH62" s="126"/>
      <c r="AI62" s="126"/>
      <c r="AJ62" s="130"/>
      <c r="AK62" s="130"/>
      <c r="AL62" s="130"/>
      <c r="AM62" s="127">
        <f>AG62*'1. Standard_Cost'!$B$27+'Incremental_Cost Year 2'!AH62*'1. Standard_Cost'!$C$27+'Incremental_Cost Year 2'!AI62*'1. Standard_Cost'!$D$27+'Incremental_Cost Year 2'!AJ62+'Incremental_Cost Year 2'!AL62+AK62</f>
        <v>0</v>
      </c>
      <c r="AN62" s="127">
        <f>AM62*'1. Standard_Cost'!$C$31</f>
        <v>0</v>
      </c>
      <c r="AO62" s="249"/>
      <c r="AQ62" s="171">
        <f t="shared" ref="AQ62:AQ76" si="51">L62+M62</f>
        <v>588168</v>
      </c>
      <c r="AR62" s="171">
        <f t="shared" ref="AR62:AR76" si="52">AF62</f>
        <v>1222800</v>
      </c>
      <c r="AS62" s="171">
        <f t="shared" ref="AS62:AS76" si="53">AM62+AN62</f>
        <v>0</v>
      </c>
      <c r="AT62" s="171">
        <f t="shared" ref="AT62:AT76" si="54">SUM(AQ62,AR62,AS62)</f>
        <v>1810968</v>
      </c>
      <c r="AU62" s="250">
        <f>AQ62</f>
        <v>588168</v>
      </c>
      <c r="AV62" s="250"/>
      <c r="AW62" s="250"/>
      <c r="AX62" s="250"/>
      <c r="AY62" s="250">
        <f>AR62</f>
        <v>1222800</v>
      </c>
      <c r="AZ62" s="250"/>
      <c r="BA62" s="250"/>
      <c r="BB62" s="251">
        <f t="shared" ref="BB62" si="55">SUM(AU62:BA62)-AT62</f>
        <v>0</v>
      </c>
      <c r="BC62" s="169"/>
      <c r="BD62" s="169"/>
      <c r="BE62" s="169"/>
      <c r="BF62" s="169"/>
    </row>
    <row r="63" spans="1:58" ht="141.75" outlineLevel="2" x14ac:dyDescent="0.25">
      <c r="A63" s="115"/>
      <c r="B63" s="200"/>
      <c r="C63" s="201"/>
      <c r="D63" s="141"/>
      <c r="E63" s="318"/>
      <c r="F63" s="219"/>
      <c r="G63" s="313"/>
      <c r="H63" s="199" t="s">
        <v>405</v>
      </c>
      <c r="I63" s="130"/>
      <c r="J63" s="126"/>
      <c r="K63" s="126"/>
      <c r="L63" s="125" t="str">
        <f>IF(I63&lt;&gt;0,((VLOOKUP(I63,'1. Standard_Cost'!$B$4:$D$11,2)+VLOOKUP(I63,'1. Standard_Cost'!$B$4:$D$11,3))*J63*K63),"0")</f>
        <v>0</v>
      </c>
      <c r="M63" s="125">
        <f>L63*'1. Standard_Cost'!$F$4</f>
        <v>0</v>
      </c>
      <c r="N63" s="126"/>
      <c r="O63" s="126"/>
      <c r="P63" s="126"/>
      <c r="Q63" s="126"/>
      <c r="R63" s="127">
        <f>'1. Standard_Cost'!$B$15*N63*P63</f>
        <v>0</v>
      </c>
      <c r="S63" s="127">
        <f>N63*O63*P63*'1. Standard_Cost'!$C$15</f>
        <v>0</v>
      </c>
      <c r="T63" s="127">
        <f>N63*P63*Q63*'1. Standard_Cost'!$D$15</f>
        <v>0</v>
      </c>
      <c r="U63" s="127">
        <f>N63*O63*'1. Standard_Cost'!$E$15</f>
        <v>0</v>
      </c>
      <c r="V63" s="126"/>
      <c r="W63" s="126"/>
      <c r="X63" s="126"/>
      <c r="Y63" s="127">
        <f>+V63*((X63*'1. Standard_Cost'!$B$19)+(W63*X63*'1. Standard_Cost'!$C$19))</f>
        <v>0</v>
      </c>
      <c r="Z63" s="126"/>
      <c r="AA63" s="126"/>
      <c r="AB63" s="127">
        <f>+Z63*'1. Standard_Cost'!$B$23+AA63*'1. Standard_Cost'!$C$23</f>
        <v>0</v>
      </c>
      <c r="AC63" s="128"/>
      <c r="AD63" s="129"/>
      <c r="AE63" s="127">
        <f>SUM(AD63,AC63,AB63,Y63,U63,T63,S63,R63)*'1. Standard_Cost'!$B$31</f>
        <v>0</v>
      </c>
      <c r="AF63" s="127">
        <f t="shared" si="50"/>
        <v>0</v>
      </c>
      <c r="AG63" s="126"/>
      <c r="AH63" s="126"/>
      <c r="AI63" s="126"/>
      <c r="AJ63" s="130"/>
      <c r="AK63" s="130"/>
      <c r="AL63" s="130"/>
      <c r="AM63" s="127">
        <f>AG63*'1. Standard_Cost'!$B$27+'Incremental_Cost Year 2'!AH63*'1. Standard_Cost'!$C$27+'Incremental_Cost Year 2'!AI63*'1. Standard_Cost'!$D$27+'Incremental_Cost Year 2'!AJ63+'Incremental_Cost Year 2'!AL63+AK63</f>
        <v>0</v>
      </c>
      <c r="AN63" s="127">
        <f>AM63*'1. Standard_Cost'!$C$31</f>
        <v>0</v>
      </c>
      <c r="AO63" s="249"/>
      <c r="AQ63" s="171">
        <f t="shared" si="51"/>
        <v>0</v>
      </c>
      <c r="AR63" s="171">
        <f t="shared" si="52"/>
        <v>0</v>
      </c>
      <c r="AS63" s="171">
        <f t="shared" si="53"/>
        <v>0</v>
      </c>
      <c r="AT63" s="171">
        <f t="shared" si="54"/>
        <v>0</v>
      </c>
      <c r="AU63" s="250"/>
      <c r="AV63" s="250"/>
      <c r="AW63" s="250"/>
      <c r="AX63" s="250"/>
      <c r="AY63" s="250"/>
      <c r="AZ63" s="250"/>
      <c r="BA63" s="250"/>
      <c r="BB63" s="251">
        <f t="shared" ref="BB63:BB76" si="56">SUM(AU63:BA63)-AT63</f>
        <v>0</v>
      </c>
      <c r="BC63" s="169"/>
      <c r="BD63" s="169"/>
      <c r="BE63" s="169"/>
      <c r="BF63" s="169"/>
    </row>
    <row r="64" spans="1:58" ht="63" customHeight="1" outlineLevel="2" x14ac:dyDescent="0.25">
      <c r="A64" s="115"/>
      <c r="B64" s="200"/>
      <c r="C64" s="201"/>
      <c r="D64" s="131"/>
      <c r="E64" s="319"/>
      <c r="F64" s="219"/>
      <c r="G64" s="313"/>
      <c r="H64" s="199" t="s">
        <v>406</v>
      </c>
      <c r="I64" s="130" t="s">
        <v>1</v>
      </c>
      <c r="J64" s="126">
        <v>3</v>
      </c>
      <c r="K64" s="126">
        <v>130</v>
      </c>
      <c r="L64" s="125">
        <f>IF(I64&lt;&gt;0,((VLOOKUP(I64,'1. Standard_Cost'!$B$4:$D$11,2)+VLOOKUP(I64,'1. Standard_Cost'!$B$4:$D$11,3))*J64*K64),"0")</f>
        <v>27999214.285714284</v>
      </c>
      <c r="M64" s="125">
        <f>L64*'1. Standard_Cost'!$F$4</f>
        <v>4675868.7857142854</v>
      </c>
      <c r="N64" s="126"/>
      <c r="O64" s="126"/>
      <c r="P64" s="126"/>
      <c r="Q64" s="126"/>
      <c r="R64" s="127">
        <f>'1. Standard_Cost'!$B$15*N64*P64</f>
        <v>0</v>
      </c>
      <c r="S64" s="127">
        <f>N64*O64*P64*'1. Standard_Cost'!$C$15</f>
        <v>0</v>
      </c>
      <c r="T64" s="127">
        <f>N64*P64*Q64*'1. Standard_Cost'!$D$15</f>
        <v>0</v>
      </c>
      <c r="U64" s="127">
        <f>N64*O64*'1. Standard_Cost'!$E$15</f>
        <v>0</v>
      </c>
      <c r="V64" s="126"/>
      <c r="W64" s="126"/>
      <c r="X64" s="126"/>
      <c r="Y64" s="127">
        <f>+V64*((X64*'1. Standard_Cost'!$B$19)+(W64*X64*'1. Standard_Cost'!$C$19))</f>
        <v>0</v>
      </c>
      <c r="Z64" s="126"/>
      <c r="AA64" s="126"/>
      <c r="AB64" s="127">
        <f>+Z64*'1. Standard_Cost'!$B$23+AA64*'1. Standard_Cost'!$C$23</f>
        <v>0</v>
      </c>
      <c r="AC64" s="128">
        <f>10*500000</f>
        <v>5000000</v>
      </c>
      <c r="AD64" s="129"/>
      <c r="AE64" s="127">
        <v>0</v>
      </c>
      <c r="AF64" s="127">
        <f t="shared" si="50"/>
        <v>5000000</v>
      </c>
      <c r="AG64" s="126"/>
      <c r="AH64" s="126"/>
      <c r="AI64" s="126"/>
      <c r="AJ64" s="130"/>
      <c r="AK64" s="130"/>
      <c r="AL64" s="130"/>
      <c r="AM64" s="127">
        <f>AG64*'1. Standard_Cost'!$B$27+'Incremental_Cost Year 2'!AH64*'1. Standard_Cost'!$C$27+'Incremental_Cost Year 2'!AI64*'1. Standard_Cost'!$D$27+'Incremental_Cost Year 2'!AJ64+'Incremental_Cost Year 2'!AL64+AK64</f>
        <v>0</v>
      </c>
      <c r="AN64" s="127">
        <f>AM64*'1. Standard_Cost'!$C$31</f>
        <v>0</v>
      </c>
      <c r="AO64" s="130"/>
      <c r="AQ64" s="171">
        <f t="shared" si="51"/>
        <v>32675083.071428567</v>
      </c>
      <c r="AR64" s="171">
        <f t="shared" si="52"/>
        <v>5000000</v>
      </c>
      <c r="AS64" s="171">
        <f t="shared" si="53"/>
        <v>0</v>
      </c>
      <c r="AT64" s="171">
        <f t="shared" si="54"/>
        <v>37675083.071428567</v>
      </c>
      <c r="AU64" s="250">
        <f>AT64</f>
        <v>37675083.071428567</v>
      </c>
      <c r="AV64" s="250"/>
      <c r="AW64" s="250"/>
      <c r="AX64" s="250"/>
      <c r="AY64" s="250"/>
      <c r="AZ64" s="250"/>
      <c r="BA64" s="250"/>
      <c r="BB64" s="251">
        <f t="shared" si="56"/>
        <v>0</v>
      </c>
      <c r="BC64" s="169"/>
      <c r="BD64" s="169"/>
      <c r="BE64" s="169"/>
      <c r="BF64" s="169"/>
    </row>
    <row r="65" spans="1:58" ht="31.5" outlineLevel="2" x14ac:dyDescent="0.25">
      <c r="A65" s="115"/>
      <c r="B65" s="200"/>
      <c r="C65" s="201"/>
      <c r="D65" s="131"/>
      <c r="E65" s="318"/>
      <c r="F65" s="219"/>
      <c r="G65" s="313"/>
      <c r="H65" s="199" t="s">
        <v>407</v>
      </c>
      <c r="I65" s="130" t="s">
        <v>1</v>
      </c>
      <c r="J65" s="126">
        <v>12</v>
      </c>
      <c r="K65" s="126">
        <v>93</v>
      </c>
      <c r="L65" s="125">
        <f>IF(I65&lt;&gt;0,((VLOOKUP(I65,'1. Standard_Cost'!$B$4:$D$11,2)+VLOOKUP(I65,'1. Standard_Cost'!$B$4:$D$11,3))*J65*K65),"0")</f>
        <v>80120828.571428567</v>
      </c>
      <c r="M65" s="125">
        <f>L65*'1. Standard_Cost'!$F$4</f>
        <v>13380178.371428572</v>
      </c>
      <c r="N65" s="126"/>
      <c r="O65" s="126"/>
      <c r="P65" s="126"/>
      <c r="Q65" s="126"/>
      <c r="R65" s="127">
        <f>'1. Standard_Cost'!$B$15*N65*P65</f>
        <v>0</v>
      </c>
      <c r="S65" s="127">
        <f>N65*O65*P65*'1. Standard_Cost'!$C$15</f>
        <v>0</v>
      </c>
      <c r="T65" s="127">
        <f>N65*P65*Q65*'1. Standard_Cost'!$D$15</f>
        <v>0</v>
      </c>
      <c r="U65" s="127">
        <f>N65*O65*'1. Standard_Cost'!$E$15</f>
        <v>0</v>
      </c>
      <c r="V65" s="126"/>
      <c r="W65" s="126"/>
      <c r="X65" s="126"/>
      <c r="Y65" s="127">
        <f>+V65*((X65*'1. Standard_Cost'!$B$19)+(W65*X65*'1. Standard_Cost'!$C$19))</f>
        <v>0</v>
      </c>
      <c r="Z65" s="126"/>
      <c r="AA65" s="126"/>
      <c r="AB65" s="127">
        <f>+Z65*'1. Standard_Cost'!$B$23+AA65*'1. Standard_Cost'!$C$23</f>
        <v>0</v>
      </c>
      <c r="AC65" s="128">
        <f>14*300000</f>
        <v>4200000</v>
      </c>
      <c r="AD65" s="129"/>
      <c r="AE65" s="127">
        <v>0</v>
      </c>
      <c r="AF65" s="127">
        <f t="shared" si="50"/>
        <v>4200000</v>
      </c>
      <c r="AG65" s="126"/>
      <c r="AH65" s="126"/>
      <c r="AI65" s="126"/>
      <c r="AJ65" s="130"/>
      <c r="AK65" s="130"/>
      <c r="AL65" s="130"/>
      <c r="AM65" s="127">
        <f>AG65*'1. Standard_Cost'!$B$27+'Incremental_Cost Year 2'!AH65*'1. Standard_Cost'!$C$27+'Incremental_Cost Year 2'!AI65*'1. Standard_Cost'!$D$27+'Incremental_Cost Year 2'!AJ65+'Incremental_Cost Year 2'!AL65+AK65</f>
        <v>0</v>
      </c>
      <c r="AN65" s="127">
        <f>AM65*'1. Standard_Cost'!$C$31</f>
        <v>0</v>
      </c>
      <c r="AO65" s="130"/>
      <c r="AQ65" s="171">
        <f t="shared" si="51"/>
        <v>93501006.942857146</v>
      </c>
      <c r="AR65" s="171">
        <f t="shared" si="52"/>
        <v>4200000</v>
      </c>
      <c r="AS65" s="171">
        <f t="shared" si="53"/>
        <v>0</v>
      </c>
      <c r="AT65" s="171">
        <f t="shared" si="54"/>
        <v>97701006.942857146</v>
      </c>
      <c r="AU65" s="250">
        <f>AT65</f>
        <v>97701006.942857146</v>
      </c>
      <c r="AV65" s="250"/>
      <c r="AW65" s="250"/>
      <c r="AX65" s="250"/>
      <c r="AY65" s="250"/>
      <c r="AZ65" s="250"/>
      <c r="BA65" s="250"/>
      <c r="BB65" s="251">
        <f t="shared" si="56"/>
        <v>0</v>
      </c>
      <c r="BC65" s="169"/>
      <c r="BD65" s="169"/>
      <c r="BE65" s="169"/>
      <c r="BF65" s="169"/>
    </row>
    <row r="66" spans="1:58" ht="94.5" outlineLevel="2" x14ac:dyDescent="0.25">
      <c r="A66" s="115"/>
      <c r="B66" s="200"/>
      <c r="C66" s="201"/>
      <c r="D66" s="131"/>
      <c r="E66" s="318"/>
      <c r="F66" s="219"/>
      <c r="G66" s="313"/>
      <c r="H66" s="199" t="s">
        <v>548</v>
      </c>
      <c r="I66" s="130"/>
      <c r="J66" s="126"/>
      <c r="K66" s="126"/>
      <c r="L66" s="125" t="str">
        <f>IF(I66&lt;&gt;0,((VLOOKUP(I66,'1. Standard_Cost'!$B$4:$D$11,2)+VLOOKUP(I66,'1. Standard_Cost'!$B$4:$D$11,3))*J66*K66),"0")</f>
        <v>0</v>
      </c>
      <c r="M66" s="125">
        <f>L66*'1. Standard_Cost'!$F$4</f>
        <v>0</v>
      </c>
      <c r="N66" s="126"/>
      <c r="O66" s="126"/>
      <c r="P66" s="126"/>
      <c r="Q66" s="126"/>
      <c r="R66" s="127">
        <f>'1. Standard_Cost'!$B$15*N66*P66</f>
        <v>0</v>
      </c>
      <c r="S66" s="127">
        <f>N66*O66*P66*'1. Standard_Cost'!$C$15</f>
        <v>0</v>
      </c>
      <c r="T66" s="127">
        <f>N66*P66*Q66*'1. Standard_Cost'!$D$15</f>
        <v>0</v>
      </c>
      <c r="U66" s="127">
        <f>N66*O66*'1. Standard_Cost'!$E$15</f>
        <v>0</v>
      </c>
      <c r="V66" s="126"/>
      <c r="W66" s="126"/>
      <c r="X66" s="126"/>
      <c r="Y66" s="127">
        <f>+V66*((X66*'1. Standard_Cost'!$B$19)+(W66*X66*'1. Standard_Cost'!$C$19))</f>
        <v>0</v>
      </c>
      <c r="Z66" s="126"/>
      <c r="AA66" s="126"/>
      <c r="AB66" s="127">
        <f>+Z66*'1. Standard_Cost'!$B$23+AA66*'1. Standard_Cost'!$C$23</f>
        <v>0</v>
      </c>
      <c r="AC66" s="128"/>
      <c r="AD66" s="129"/>
      <c r="AE66" s="127">
        <f>SUM(AD66,AC66,AB66,Y66,U66,T66,S66,R66)*'1. Standard_Cost'!$B$31</f>
        <v>0</v>
      </c>
      <c r="AF66" s="127">
        <f t="shared" si="50"/>
        <v>0</v>
      </c>
      <c r="AG66" s="126">
        <v>14</v>
      </c>
      <c r="AH66" s="126">
        <v>14</v>
      </c>
      <c r="AI66" s="126">
        <v>1</v>
      </c>
      <c r="AJ66" s="130">
        <f>25000000*2</f>
        <v>50000000</v>
      </c>
      <c r="AK66" s="130"/>
      <c r="AL66" s="130"/>
      <c r="AM66" s="127">
        <f>AG66*'1. Standard_Cost'!$B$27+'Incremental_Cost Year 2'!AH66*'1. Standard_Cost'!$C$27+'Incremental_Cost Year 2'!AI66*'1. Standard_Cost'!$D$27+'Incremental_Cost Year 2'!AJ66+'Incremental_Cost Year 2'!AL66+AK66</f>
        <v>53110000</v>
      </c>
      <c r="AN66" s="127">
        <f>AM66*'1. Standard_Cost'!$C$31</f>
        <v>7966500</v>
      </c>
      <c r="AO66" s="130"/>
      <c r="AQ66" s="171">
        <f t="shared" si="51"/>
        <v>0</v>
      </c>
      <c r="AR66" s="171">
        <f t="shared" si="52"/>
        <v>0</v>
      </c>
      <c r="AS66" s="171">
        <f t="shared" si="53"/>
        <v>61076500</v>
      </c>
      <c r="AT66" s="171">
        <f t="shared" si="54"/>
        <v>61076500</v>
      </c>
      <c r="AU66" s="250"/>
      <c r="AV66" s="250"/>
      <c r="AW66" s="250"/>
      <c r="AX66" s="250"/>
      <c r="AY66" s="250"/>
      <c r="AZ66" s="250"/>
      <c r="BA66" s="250"/>
      <c r="BB66" s="251">
        <f t="shared" si="56"/>
        <v>-61076500</v>
      </c>
      <c r="BC66" s="169"/>
      <c r="BD66" s="169"/>
      <c r="BE66" s="169"/>
      <c r="BF66" s="169"/>
    </row>
    <row r="67" spans="1:58" ht="31.5" outlineLevel="2" x14ac:dyDescent="0.25">
      <c r="A67" s="115"/>
      <c r="B67" s="200"/>
      <c r="C67" s="201"/>
      <c r="D67" s="131"/>
      <c r="E67" s="318"/>
      <c r="F67" s="219"/>
      <c r="G67" s="313"/>
      <c r="H67" s="199" t="s">
        <v>408</v>
      </c>
      <c r="I67" s="130" t="s">
        <v>1</v>
      </c>
      <c r="J67" s="126">
        <v>12</v>
      </c>
      <c r="K67" s="126">
        <v>400</v>
      </c>
      <c r="L67" s="125">
        <f>IF(I67&lt;&gt;0,((VLOOKUP(I67,'1. Standard_Cost'!$B$4:$D$11,2)+VLOOKUP(I67,'1. Standard_Cost'!$B$4:$D$11,3))*J67*K67),"0")</f>
        <v>344605714.28571427</v>
      </c>
      <c r="M67" s="125">
        <f>L67*'1. Standard_Cost'!$F$4</f>
        <v>57549154.285714284</v>
      </c>
      <c r="N67" s="126"/>
      <c r="O67" s="126"/>
      <c r="P67" s="126"/>
      <c r="Q67" s="126"/>
      <c r="R67" s="127">
        <f>'1. Standard_Cost'!$B$15*N67*P67</f>
        <v>0</v>
      </c>
      <c r="S67" s="127">
        <f>N67*O67*P67*'1. Standard_Cost'!$C$15</f>
        <v>0</v>
      </c>
      <c r="T67" s="127">
        <f>N67*P67*Q67*'1. Standard_Cost'!$D$15</f>
        <v>0</v>
      </c>
      <c r="U67" s="127">
        <f>N67*O67*'1. Standard_Cost'!$E$15</f>
        <v>0</v>
      </c>
      <c r="V67" s="126"/>
      <c r="W67" s="126"/>
      <c r="X67" s="126"/>
      <c r="Y67" s="127">
        <f>+V67*((X67*'1. Standard_Cost'!$B$19)+(W67*X67*'1. Standard_Cost'!$C$19))</f>
        <v>0</v>
      </c>
      <c r="Z67" s="126"/>
      <c r="AA67" s="126"/>
      <c r="AB67" s="127">
        <f>+Z67*'1. Standard_Cost'!$B$23+AA67*'1. Standard_Cost'!$C$23</f>
        <v>0</v>
      </c>
      <c r="AC67" s="128">
        <v>406252000</v>
      </c>
      <c r="AD67" s="129"/>
      <c r="AE67" s="127">
        <f>SUM(AD67,AC67,AB67,Y67,U67,T67,S67,R67)*'1. Standard_Cost'!$B$31</f>
        <v>81250400</v>
      </c>
      <c r="AF67" s="127">
        <f t="shared" si="50"/>
        <v>487502400</v>
      </c>
      <c r="AG67" s="126"/>
      <c r="AH67" s="126"/>
      <c r="AI67" s="126"/>
      <c r="AJ67" s="130"/>
      <c r="AK67" s="130"/>
      <c r="AL67" s="130"/>
      <c r="AM67" s="127">
        <f>AG67*'1. Standard_Cost'!$B$27+'Incremental_Cost Year 2'!AH67*'1. Standard_Cost'!$C$27+'Incremental_Cost Year 2'!AI67*'1. Standard_Cost'!$D$27+'Incremental_Cost Year 2'!AJ67+'Incremental_Cost Year 2'!AL67+AK67</f>
        <v>0</v>
      </c>
      <c r="AN67" s="127">
        <f>AM67*'1. Standard_Cost'!$C$31</f>
        <v>0</v>
      </c>
      <c r="AO67" s="130"/>
      <c r="AQ67" s="171">
        <f>L67+M67</f>
        <v>402154868.57142854</v>
      </c>
      <c r="AR67" s="171">
        <f t="shared" si="52"/>
        <v>487502400</v>
      </c>
      <c r="AS67" s="171">
        <f t="shared" si="53"/>
        <v>0</v>
      </c>
      <c r="AT67" s="171">
        <f t="shared" si="54"/>
        <v>889657268.57142854</v>
      </c>
      <c r="AU67" s="250">
        <f>AT67</f>
        <v>889657268.57142854</v>
      </c>
      <c r="AV67" s="250"/>
      <c r="AW67" s="250"/>
      <c r="AX67" s="250"/>
      <c r="AY67" s="250"/>
      <c r="AZ67" s="250"/>
      <c r="BA67" s="250"/>
      <c r="BB67" s="251">
        <f t="shared" si="56"/>
        <v>0</v>
      </c>
      <c r="BC67" s="169"/>
      <c r="BD67" s="169"/>
      <c r="BE67" s="169"/>
      <c r="BF67" s="169"/>
    </row>
    <row r="68" spans="1:58" ht="94.5" outlineLevel="2" x14ac:dyDescent="0.25">
      <c r="A68" s="115"/>
      <c r="B68" s="200"/>
      <c r="C68" s="201"/>
      <c r="D68" s="131"/>
      <c r="E68" s="318"/>
      <c r="F68" s="219"/>
      <c r="G68" s="313"/>
      <c r="H68" s="199" t="s">
        <v>409</v>
      </c>
      <c r="I68" s="130"/>
      <c r="J68" s="126"/>
      <c r="K68" s="126"/>
      <c r="L68" s="125" t="str">
        <f>IF(I68&lt;&gt;0,((VLOOKUP(I68,'1. Standard_Cost'!$B$4:$D$11,2)+VLOOKUP(I68,'1. Standard_Cost'!$B$4:$D$11,3))*J68*K68),"0")</f>
        <v>0</v>
      </c>
      <c r="M68" s="125">
        <f>L68*'1. Standard_Cost'!$F$4</f>
        <v>0</v>
      </c>
      <c r="N68" s="126"/>
      <c r="O68" s="126"/>
      <c r="P68" s="126"/>
      <c r="Q68" s="126"/>
      <c r="R68" s="127">
        <f>'1. Standard_Cost'!$B$15*N68*P68</f>
        <v>0</v>
      </c>
      <c r="S68" s="127">
        <f>N68*O68*P68*'1. Standard_Cost'!$C$15</f>
        <v>0</v>
      </c>
      <c r="T68" s="127">
        <f>N68*P68*Q68*'1. Standard_Cost'!$D$15</f>
        <v>0</v>
      </c>
      <c r="U68" s="127">
        <f>N68*O68*'1. Standard_Cost'!$E$15</f>
        <v>0</v>
      </c>
      <c r="V68" s="126"/>
      <c r="W68" s="126"/>
      <c r="X68" s="126"/>
      <c r="Y68" s="127">
        <f>+V68*((X68*'1. Standard_Cost'!$B$19)+(W68*X68*'1. Standard_Cost'!$C$19))</f>
        <v>0</v>
      </c>
      <c r="Z68" s="126"/>
      <c r="AA68" s="126"/>
      <c r="AB68" s="127">
        <f>+Z68*'1. Standard_Cost'!$B$23+AA68*'1. Standard_Cost'!$C$23</f>
        <v>0</v>
      </c>
      <c r="AC68" s="128"/>
      <c r="AD68" s="129"/>
      <c r="AE68" s="127">
        <f>SUM(AD68,AC68,AB68,Y68,U68,T68,S68,R68)*'1. Standard_Cost'!$B$31</f>
        <v>0</v>
      </c>
      <c r="AF68" s="127">
        <f>SUM(AE68,AD68,AC68,AB68,Y68,U68,T68,S68,R68)</f>
        <v>0</v>
      </c>
      <c r="AG68" s="126"/>
      <c r="AH68" s="126"/>
      <c r="AI68" s="126"/>
      <c r="AJ68" s="130"/>
      <c r="AK68" s="130"/>
      <c r="AL68" s="130"/>
      <c r="AM68" s="127">
        <f>AG68*'1. Standard_Cost'!$B$27+'Incremental_Cost Year 2'!AH68*'1. Standard_Cost'!$C$27+'Incremental_Cost Year 2'!AI68*'1. Standard_Cost'!$D$27+'Incremental_Cost Year 2'!AJ68+'Incremental_Cost Year 2'!AL68+AK68</f>
        <v>0</v>
      </c>
      <c r="AN68" s="127">
        <f>AM68*'1. Standard_Cost'!$C$31</f>
        <v>0</v>
      </c>
      <c r="AO68" s="130"/>
      <c r="AQ68" s="171">
        <f t="shared" si="51"/>
        <v>0</v>
      </c>
      <c r="AR68" s="171">
        <f t="shared" si="52"/>
        <v>0</v>
      </c>
      <c r="AS68" s="171">
        <f t="shared" si="53"/>
        <v>0</v>
      </c>
      <c r="AT68" s="171">
        <f t="shared" si="54"/>
        <v>0</v>
      </c>
      <c r="AU68" s="250"/>
      <c r="AV68" s="250"/>
      <c r="AW68" s="250"/>
      <c r="AX68" s="250"/>
      <c r="AY68" s="250"/>
      <c r="AZ68" s="250"/>
      <c r="BA68" s="250"/>
      <c r="BB68" s="251">
        <f t="shared" si="56"/>
        <v>0</v>
      </c>
      <c r="BC68" s="169"/>
      <c r="BD68" s="169"/>
      <c r="BE68" s="169"/>
      <c r="BF68" s="169"/>
    </row>
    <row r="69" spans="1:58" ht="47.25" outlineLevel="2" x14ac:dyDescent="0.25">
      <c r="A69" s="115"/>
      <c r="B69" s="200"/>
      <c r="C69" s="201"/>
      <c r="D69" s="131"/>
      <c r="E69" s="318"/>
      <c r="F69" s="219"/>
      <c r="G69" s="313"/>
      <c r="H69" s="199" t="s">
        <v>224</v>
      </c>
      <c r="I69" s="130"/>
      <c r="J69" s="126"/>
      <c r="K69" s="126"/>
      <c r="L69" s="125" t="str">
        <f>IF(I69&lt;&gt;0,((VLOOKUP(I69,'1. Standard_Cost'!$B$4:$D$11,2)+VLOOKUP(I69,'1. Standard_Cost'!$B$4:$D$11,3))*J69*K69),"0")</f>
        <v>0</v>
      </c>
      <c r="M69" s="125">
        <f>L69*'1. Standard_Cost'!$F$4</f>
        <v>0</v>
      </c>
      <c r="N69" s="126"/>
      <c r="O69" s="126"/>
      <c r="P69" s="126"/>
      <c r="Q69" s="126"/>
      <c r="R69" s="127">
        <f>'1. Standard_Cost'!$B$15*N69*P69</f>
        <v>0</v>
      </c>
      <c r="S69" s="127">
        <f>N69*O69*P69*'1. Standard_Cost'!$C$15</f>
        <v>0</v>
      </c>
      <c r="T69" s="127">
        <f>N69*P69*Q69*'1. Standard_Cost'!$D$15</f>
        <v>0</v>
      </c>
      <c r="U69" s="127">
        <f>N69*O69*'1. Standard_Cost'!$E$15</f>
        <v>0</v>
      </c>
      <c r="V69" s="126"/>
      <c r="W69" s="126"/>
      <c r="X69" s="126"/>
      <c r="Y69" s="127">
        <f>+V69*((X69*'1. Standard_Cost'!$B$19)+(W69*X69*'1. Standard_Cost'!$C$19))</f>
        <v>0</v>
      </c>
      <c r="Z69" s="126"/>
      <c r="AA69" s="126"/>
      <c r="AB69" s="127">
        <f>+Z69*'1. Standard_Cost'!$B$23+AA69*'1. Standard_Cost'!$C$23</f>
        <v>0</v>
      </c>
      <c r="AC69" s="128"/>
      <c r="AD69" s="129"/>
      <c r="AE69" s="127">
        <f>SUM(AD69,AC69,AB69,Y69,U69,T69,S69,R69)*'1. Standard_Cost'!$B$31</f>
        <v>0</v>
      </c>
      <c r="AF69" s="127">
        <f>SUM(AE69,AD69,AC69,AB69,Y69,U69,T69,S69,R69)</f>
        <v>0</v>
      </c>
      <c r="AG69" s="126"/>
      <c r="AH69" s="126"/>
      <c r="AI69" s="126"/>
      <c r="AJ69" s="130"/>
      <c r="AK69" s="130"/>
      <c r="AL69" s="130"/>
      <c r="AM69" s="127">
        <f>AG69*'1. Standard_Cost'!$B$27+'Incremental_Cost Year 2'!AH69*'1. Standard_Cost'!$C$27+'Incremental_Cost Year 2'!AI69*'1. Standard_Cost'!$D$27+'Incremental_Cost Year 2'!AJ69+'Incremental_Cost Year 2'!AL69+AK69</f>
        <v>0</v>
      </c>
      <c r="AN69" s="127">
        <f>AM69*'1. Standard_Cost'!$C$31</f>
        <v>0</v>
      </c>
      <c r="AO69" s="130"/>
      <c r="AQ69" s="171">
        <f t="shared" si="51"/>
        <v>0</v>
      </c>
      <c r="AR69" s="171">
        <f t="shared" si="52"/>
        <v>0</v>
      </c>
      <c r="AS69" s="171">
        <f t="shared" si="53"/>
        <v>0</v>
      </c>
      <c r="AT69" s="171">
        <f t="shared" si="54"/>
        <v>0</v>
      </c>
      <c r="AU69" s="250"/>
      <c r="AV69" s="250"/>
      <c r="AW69" s="250"/>
      <c r="AX69" s="250"/>
      <c r="AY69" s="250"/>
      <c r="AZ69" s="250"/>
      <c r="BA69" s="250"/>
      <c r="BB69" s="251">
        <f t="shared" si="56"/>
        <v>0</v>
      </c>
      <c r="BC69" s="169"/>
      <c r="BD69" s="169"/>
      <c r="BE69" s="169"/>
      <c r="BF69" s="169"/>
    </row>
    <row r="70" spans="1:58" ht="189" outlineLevel="2" x14ac:dyDescent="0.25">
      <c r="A70" s="115"/>
      <c r="B70" s="200"/>
      <c r="C70" s="201"/>
      <c r="D70" s="131"/>
      <c r="E70" s="318"/>
      <c r="F70" s="219"/>
      <c r="G70" s="313"/>
      <c r="H70" s="111" t="s">
        <v>410</v>
      </c>
      <c r="I70" s="130" t="s">
        <v>4</v>
      </c>
      <c r="J70" s="126">
        <v>0.5</v>
      </c>
      <c r="K70" s="126">
        <v>20</v>
      </c>
      <c r="L70" s="125">
        <f>IF(I70&lt;&gt;0,((VLOOKUP(I70,'1. Standard_Cost'!$B$4:$D$11,2)+VLOOKUP(I70,'1. Standard_Cost'!$B$4:$D$11,3))*J70*K70),"0")</f>
        <v>807500</v>
      </c>
      <c r="M70" s="125">
        <f>L70*'1. Standard_Cost'!$F$4</f>
        <v>134852.5</v>
      </c>
      <c r="N70" s="126"/>
      <c r="O70" s="126"/>
      <c r="P70" s="126"/>
      <c r="Q70" s="126"/>
      <c r="R70" s="127">
        <f>'1. Standard_Cost'!$B$15*N70*P70</f>
        <v>0</v>
      </c>
      <c r="S70" s="127">
        <f>N70*O70*P70*'1. Standard_Cost'!$C$15</f>
        <v>0</v>
      </c>
      <c r="T70" s="127">
        <f>N70*P70*Q70*'1. Standard_Cost'!$D$15</f>
        <v>0</v>
      </c>
      <c r="U70" s="127">
        <f>N70*O70*'1. Standard_Cost'!$E$15</f>
        <v>0</v>
      </c>
      <c r="V70" s="126"/>
      <c r="W70" s="126"/>
      <c r="X70" s="126"/>
      <c r="Y70" s="127">
        <f>+V70*((X70*'1. Standard_Cost'!$B$19)+(W70*X70*'1. Standard_Cost'!$C$19))</f>
        <v>0</v>
      </c>
      <c r="Z70" s="126"/>
      <c r="AA70" s="126">
        <v>60</v>
      </c>
      <c r="AB70" s="127">
        <f>+Z70*'1. Standard_Cost'!$B$23+AA70*'1. Standard_Cost'!$C$23</f>
        <v>1140000</v>
      </c>
      <c r="AC70" s="128">
        <f>10*3*300</f>
        <v>9000</v>
      </c>
      <c r="AD70" s="129"/>
      <c r="AE70" s="127">
        <f>SUM(AD70,AC70,AB70,Y70,U70,T70,S70,R70)*'1. Standard_Cost'!$B$31</f>
        <v>229800</v>
      </c>
      <c r="AF70" s="127">
        <f t="shared" ref="AF70:AF76" si="57">SUM(AE70,AD70,AC70,AB70,Y70,U70,T70,S70,R70)</f>
        <v>1378800</v>
      </c>
      <c r="AG70" s="126"/>
      <c r="AH70" s="126"/>
      <c r="AI70" s="126"/>
      <c r="AJ70" s="130"/>
      <c r="AK70" s="130"/>
      <c r="AL70" s="130"/>
      <c r="AM70" s="127">
        <f>AG70*'1. Standard_Cost'!$B$27+'Incremental_Cost Year 2'!AH70*'1. Standard_Cost'!$C$27+'Incremental_Cost Year 2'!AI70*'1. Standard_Cost'!$D$27+'Incremental_Cost Year 2'!AJ70+'Incremental_Cost Year 2'!AL70+AK70</f>
        <v>0</v>
      </c>
      <c r="AN70" s="127">
        <f>AM70*'1. Standard_Cost'!$C$31</f>
        <v>0</v>
      </c>
      <c r="AO70" s="130"/>
      <c r="AQ70" s="171">
        <f t="shared" si="51"/>
        <v>942352.5</v>
      </c>
      <c r="AR70" s="171">
        <f t="shared" si="52"/>
        <v>1378800</v>
      </c>
      <c r="AS70" s="171">
        <f t="shared" si="53"/>
        <v>0</v>
      </c>
      <c r="AT70" s="171">
        <f t="shared" si="54"/>
        <v>2321152.5</v>
      </c>
      <c r="AU70" s="250">
        <f>AQ70</f>
        <v>942352.5</v>
      </c>
      <c r="AV70" s="250"/>
      <c r="AW70" s="250"/>
      <c r="AX70" s="250"/>
      <c r="AY70" s="250">
        <f>AR70</f>
        <v>1378800</v>
      </c>
      <c r="AZ70" s="250"/>
      <c r="BA70" s="250"/>
      <c r="BB70" s="251">
        <f t="shared" si="56"/>
        <v>0</v>
      </c>
      <c r="BC70" s="169"/>
      <c r="BD70" s="169"/>
      <c r="BE70" s="169"/>
      <c r="BF70" s="169"/>
    </row>
    <row r="71" spans="1:58" ht="157.5" outlineLevel="2" x14ac:dyDescent="0.25">
      <c r="A71" s="115"/>
      <c r="B71" s="200"/>
      <c r="C71" s="201"/>
      <c r="D71" s="131"/>
      <c r="E71" s="318"/>
      <c r="F71" s="219"/>
      <c r="G71" s="313"/>
      <c r="H71" s="111" t="s">
        <v>411</v>
      </c>
      <c r="I71" s="130"/>
      <c r="J71" s="126"/>
      <c r="K71" s="126"/>
      <c r="L71" s="125" t="str">
        <f>IF(I71&lt;&gt;0,((VLOOKUP(I71,'1. Standard_Cost'!$B$4:$D$11,2)+VLOOKUP(I71,'1. Standard_Cost'!$B$4:$D$11,3))*J71*K71),"0")</f>
        <v>0</v>
      </c>
      <c r="M71" s="125">
        <f>L71*'1. Standard_Cost'!$F$4</f>
        <v>0</v>
      </c>
      <c r="N71" s="126"/>
      <c r="O71" s="126"/>
      <c r="P71" s="126"/>
      <c r="Q71" s="126"/>
      <c r="R71" s="127">
        <f>'1. Standard_Cost'!$B$15*N71*P71</f>
        <v>0</v>
      </c>
      <c r="S71" s="127">
        <f>N71*O71*P71*'1. Standard_Cost'!$C$15</f>
        <v>0</v>
      </c>
      <c r="T71" s="127">
        <f>N71*P71*Q71*'1. Standard_Cost'!$D$15</f>
        <v>0</v>
      </c>
      <c r="U71" s="127">
        <f>N71*O71*'1. Standard_Cost'!$E$15</f>
        <v>0</v>
      </c>
      <c r="V71" s="126"/>
      <c r="W71" s="126"/>
      <c r="X71" s="126"/>
      <c r="Y71" s="127">
        <f>+V71*((X71*'1. Standard_Cost'!$B$19)+(W71*X71*'1. Standard_Cost'!$C$19))</f>
        <v>0</v>
      </c>
      <c r="Z71" s="126"/>
      <c r="AA71" s="126"/>
      <c r="AB71" s="127">
        <f>+Z71*'1. Standard_Cost'!$B$23+AA71*'1. Standard_Cost'!$C$23</f>
        <v>0</v>
      </c>
      <c r="AC71" s="128"/>
      <c r="AD71" s="129"/>
      <c r="AE71" s="127">
        <f>SUM(AD71,AC71,AB71,Y71,U71,T71,S71,R71)*'1. Standard_Cost'!$B$31</f>
        <v>0</v>
      </c>
      <c r="AF71" s="127">
        <f t="shared" si="57"/>
        <v>0</v>
      </c>
      <c r="AG71" s="126"/>
      <c r="AH71" s="126"/>
      <c r="AI71" s="126"/>
      <c r="AJ71" s="130"/>
      <c r="AK71" s="130"/>
      <c r="AL71" s="130"/>
      <c r="AM71" s="127">
        <f>AG71*'1. Standard_Cost'!$B$27+'Incremental_Cost Year 2'!AH71*'1. Standard_Cost'!$C$27+'Incremental_Cost Year 2'!AI71*'1. Standard_Cost'!$D$27+'Incremental_Cost Year 2'!AJ71+'Incremental_Cost Year 2'!AL71+AK71</f>
        <v>0</v>
      </c>
      <c r="AN71" s="127">
        <f>AM71*'1. Standard_Cost'!$C$31</f>
        <v>0</v>
      </c>
      <c r="AO71" s="130"/>
      <c r="AQ71" s="171">
        <f t="shared" si="51"/>
        <v>0</v>
      </c>
      <c r="AR71" s="171">
        <f t="shared" si="52"/>
        <v>0</v>
      </c>
      <c r="AS71" s="171">
        <f t="shared" si="53"/>
        <v>0</v>
      </c>
      <c r="AT71" s="171">
        <f t="shared" si="54"/>
        <v>0</v>
      </c>
      <c r="AU71" s="250"/>
      <c r="AV71" s="250"/>
      <c r="AW71" s="250"/>
      <c r="AX71" s="250"/>
      <c r="AY71" s="250"/>
      <c r="AZ71" s="250"/>
      <c r="BA71" s="250"/>
      <c r="BB71" s="251">
        <f t="shared" si="56"/>
        <v>0</v>
      </c>
      <c r="BC71" s="169"/>
      <c r="BD71" s="169"/>
      <c r="BE71" s="169"/>
      <c r="BF71" s="169"/>
    </row>
    <row r="72" spans="1:58" ht="173.25" customHeight="1" outlineLevel="2" x14ac:dyDescent="0.25">
      <c r="A72" s="115"/>
      <c r="B72" s="200"/>
      <c r="C72" s="201"/>
      <c r="D72" s="131"/>
      <c r="E72" s="318"/>
      <c r="F72" s="219"/>
      <c r="G72" s="313"/>
      <c r="H72" s="199" t="s">
        <v>412</v>
      </c>
      <c r="I72" s="130" t="s">
        <v>4</v>
      </c>
      <c r="J72" s="126">
        <v>0.5</v>
      </c>
      <c r="K72" s="126">
        <v>5</v>
      </c>
      <c r="L72" s="125">
        <f>IF(I72&lt;&gt;0,((VLOOKUP(I72,'1. Standard_Cost'!$B$4:$D$11,2)+VLOOKUP(I72,'1. Standard_Cost'!$B$4:$D$11,3))*J72*K72),"0")</f>
        <v>201875</v>
      </c>
      <c r="M72" s="125">
        <f>L72*'1. Standard_Cost'!$F$4</f>
        <v>33713.125</v>
      </c>
      <c r="N72" s="126">
        <v>5</v>
      </c>
      <c r="O72" s="126">
        <v>2</v>
      </c>
      <c r="P72" s="126">
        <v>20</v>
      </c>
      <c r="Q72" s="126"/>
      <c r="R72" s="127">
        <f>'1. Standard_Cost'!$B$15*N72*P72</f>
        <v>200000</v>
      </c>
      <c r="S72" s="127">
        <f>N72*O72*P72*'1. Standard_Cost'!$C$15</f>
        <v>300000</v>
      </c>
      <c r="T72" s="127">
        <f>N72*P72*Q72*'1. Standard_Cost'!$D$15</f>
        <v>0</v>
      </c>
      <c r="U72" s="127">
        <f>N72*O72*'1. Standard_Cost'!$E$15</f>
        <v>400000</v>
      </c>
      <c r="V72" s="126"/>
      <c r="W72" s="126"/>
      <c r="X72" s="126"/>
      <c r="Y72" s="127">
        <f>+V72*((X72*'1. Standard_Cost'!$B$19)+(W72*X72*'1. Standard_Cost'!$C$19))</f>
        <v>0</v>
      </c>
      <c r="Z72" s="126"/>
      <c r="AA72" s="126">
        <v>6</v>
      </c>
      <c r="AB72" s="127">
        <f>+Z72*'1. Standard_Cost'!$B$23+AA72*'1. Standard_Cost'!$C$23</f>
        <v>114000</v>
      </c>
      <c r="AC72" s="128">
        <f>100*300*2+100*3000*2</f>
        <v>660000</v>
      </c>
      <c r="AD72" s="129"/>
      <c r="AE72" s="127">
        <f>SUM(AD72,AC72,AB72,Y72,U72,T72,S72,R72)*'1. Standard_Cost'!$B$31</f>
        <v>334800</v>
      </c>
      <c r="AF72" s="127">
        <f t="shared" si="57"/>
        <v>2008800</v>
      </c>
      <c r="AG72" s="126"/>
      <c r="AH72" s="126"/>
      <c r="AI72" s="126"/>
      <c r="AJ72" s="130"/>
      <c r="AK72" s="130"/>
      <c r="AL72" s="130"/>
      <c r="AM72" s="127">
        <f>AG72*'1. Standard_Cost'!$B$27+'Incremental_Cost Year 2'!AH72*'1. Standard_Cost'!$C$27+'Incremental_Cost Year 2'!AI72*'1. Standard_Cost'!$D$27+'Incremental_Cost Year 2'!AJ72+'Incremental_Cost Year 2'!AL72+AK72</f>
        <v>0</v>
      </c>
      <c r="AN72" s="127">
        <f>AM72*'1. Standard_Cost'!$C$31</f>
        <v>0</v>
      </c>
      <c r="AO72" s="249"/>
      <c r="AQ72" s="171">
        <f t="shared" si="51"/>
        <v>235588.125</v>
      </c>
      <c r="AR72" s="171">
        <f t="shared" si="52"/>
        <v>2008800</v>
      </c>
      <c r="AS72" s="171">
        <f t="shared" si="53"/>
        <v>0</v>
      </c>
      <c r="AT72" s="171">
        <f t="shared" si="54"/>
        <v>2244388.125</v>
      </c>
      <c r="AU72" s="250">
        <f>AQ72</f>
        <v>235588.125</v>
      </c>
      <c r="AV72" s="250"/>
      <c r="AW72" s="250"/>
      <c r="AX72" s="250"/>
      <c r="AY72" s="250">
        <f>928800</f>
        <v>928800</v>
      </c>
      <c r="AZ72" s="250"/>
      <c r="BA72" s="250"/>
      <c r="BB72" s="251">
        <f t="shared" si="56"/>
        <v>-1080000</v>
      </c>
      <c r="BC72" s="169"/>
      <c r="BD72" s="169"/>
      <c r="BE72" s="169"/>
      <c r="BF72" s="169"/>
    </row>
    <row r="73" spans="1:58" ht="157.5" outlineLevel="2" x14ac:dyDescent="0.25">
      <c r="A73" s="115"/>
      <c r="B73" s="200"/>
      <c r="C73" s="201"/>
      <c r="D73" s="131"/>
      <c r="E73" s="318"/>
      <c r="F73" s="219"/>
      <c r="G73" s="313"/>
      <c r="H73" s="199" t="s">
        <v>413</v>
      </c>
      <c r="I73" s="130" t="s">
        <v>4</v>
      </c>
      <c r="J73" s="126">
        <v>0.2</v>
      </c>
      <c r="K73" s="126">
        <v>5</v>
      </c>
      <c r="L73" s="125">
        <f>IF(I73&lt;&gt;0,((VLOOKUP(I73,'1. Standard_Cost'!$B$4:$D$11,2)+VLOOKUP(I73,'1. Standard_Cost'!$B$4:$D$11,3))*J73*K73),"0")</f>
        <v>80750</v>
      </c>
      <c r="M73" s="125">
        <f>L73*'1. Standard_Cost'!$F$4</f>
        <v>13485.25</v>
      </c>
      <c r="N73" s="126">
        <v>2</v>
      </c>
      <c r="O73" s="126">
        <v>2</v>
      </c>
      <c r="P73" s="126">
        <v>20</v>
      </c>
      <c r="Q73" s="126"/>
      <c r="R73" s="127">
        <f>'1. Standard_Cost'!$B$15*N73*P73</f>
        <v>80000</v>
      </c>
      <c r="S73" s="127">
        <f>N73*O73*P73*'1. Standard_Cost'!$C$15</f>
        <v>120000</v>
      </c>
      <c r="T73" s="127">
        <f>N73*P73*Q73*'1. Standard_Cost'!$D$15</f>
        <v>0</v>
      </c>
      <c r="U73" s="127">
        <f>N73*O73*'1. Standard_Cost'!$E$15</f>
        <v>160000</v>
      </c>
      <c r="V73" s="126"/>
      <c r="W73" s="126"/>
      <c r="X73" s="126"/>
      <c r="Y73" s="127">
        <f>+V73*((X73*'1. Standard_Cost'!$B$19)+(W73*X73*'1. Standard_Cost'!$C$19))</f>
        <v>0</v>
      </c>
      <c r="Z73" s="126"/>
      <c r="AA73" s="126">
        <v>3</v>
      </c>
      <c r="AB73" s="127">
        <f>+Z73*'1. Standard_Cost'!$B$23+AA73*'1. Standard_Cost'!$C$23</f>
        <v>57000</v>
      </c>
      <c r="AC73" s="128">
        <f>40*3300*2</f>
        <v>264000</v>
      </c>
      <c r="AD73" s="129"/>
      <c r="AE73" s="127">
        <f>SUM(AD73,AC73,AB73,Y73,U73,T73,S73,R73)*'1. Standard_Cost'!$B$31</f>
        <v>136200</v>
      </c>
      <c r="AF73" s="127">
        <f t="shared" si="57"/>
        <v>817200</v>
      </c>
      <c r="AG73" s="126"/>
      <c r="AH73" s="126"/>
      <c r="AI73" s="126"/>
      <c r="AJ73" s="130"/>
      <c r="AK73" s="130"/>
      <c r="AL73" s="130"/>
      <c r="AM73" s="127">
        <f>AG73*'1. Standard_Cost'!$B$27+'Incremental_Cost Year 2'!AH73*'1. Standard_Cost'!$C$27+'Incremental_Cost Year 2'!AI73*'1. Standard_Cost'!$D$27+'Incremental_Cost Year 2'!AJ73+'Incremental_Cost Year 2'!AL73+AK73</f>
        <v>0</v>
      </c>
      <c r="AN73" s="127">
        <f>AM73*'1. Standard_Cost'!$C$31</f>
        <v>0</v>
      </c>
      <c r="AO73" s="249"/>
      <c r="AQ73" s="171">
        <f t="shared" si="51"/>
        <v>94235.25</v>
      </c>
      <c r="AR73" s="171">
        <f t="shared" si="52"/>
        <v>817200</v>
      </c>
      <c r="AS73" s="171">
        <f t="shared" si="53"/>
        <v>0</v>
      </c>
      <c r="AT73" s="171">
        <f t="shared" si="54"/>
        <v>911435.25</v>
      </c>
      <c r="AU73" s="250">
        <f>AQ73</f>
        <v>94235.25</v>
      </c>
      <c r="AV73" s="250"/>
      <c r="AW73" s="250"/>
      <c r="AX73" s="250"/>
      <c r="AY73" s="250">
        <f>AR73</f>
        <v>817200</v>
      </c>
      <c r="AZ73" s="250"/>
      <c r="BA73" s="250"/>
      <c r="BB73" s="251">
        <f t="shared" si="56"/>
        <v>0</v>
      </c>
      <c r="BC73" s="169"/>
      <c r="BD73" s="169"/>
      <c r="BE73" s="169"/>
      <c r="BF73" s="169"/>
    </row>
    <row r="74" spans="1:58" ht="47.25" outlineLevel="2" x14ac:dyDescent="0.25">
      <c r="A74" s="115"/>
      <c r="B74" s="200"/>
      <c r="C74" s="201"/>
      <c r="D74" s="131"/>
      <c r="E74" s="318"/>
      <c r="F74" s="219"/>
      <c r="G74" s="313"/>
      <c r="H74" s="199" t="s">
        <v>310</v>
      </c>
      <c r="I74" s="130"/>
      <c r="J74" s="126"/>
      <c r="K74" s="126"/>
      <c r="L74" s="125" t="str">
        <f>IF(I74&lt;&gt;0,((VLOOKUP(I74,'1. Standard_Cost'!$B$4:$D$11,2)+VLOOKUP(I74,'1. Standard_Cost'!$B$4:$D$11,3))*J74*K74),"0")</f>
        <v>0</v>
      </c>
      <c r="M74" s="125">
        <f>L74*'1. Standard_Cost'!$F$4</f>
        <v>0</v>
      </c>
      <c r="N74" s="126"/>
      <c r="O74" s="126"/>
      <c r="P74" s="126"/>
      <c r="Q74" s="126"/>
      <c r="R74" s="127">
        <f>'1. Standard_Cost'!$B$15*N74*P74</f>
        <v>0</v>
      </c>
      <c r="S74" s="127">
        <f>N74*O74*P74*'1. Standard_Cost'!$C$15</f>
        <v>0</v>
      </c>
      <c r="T74" s="127">
        <f>N74*P74*Q74*'1. Standard_Cost'!$D$15</f>
        <v>0</v>
      </c>
      <c r="U74" s="127">
        <f>N74*O74*'1. Standard_Cost'!$E$15</f>
        <v>0</v>
      </c>
      <c r="V74" s="126"/>
      <c r="W74" s="126"/>
      <c r="X74" s="126"/>
      <c r="Y74" s="127">
        <f>+V74*((X74*'1. Standard_Cost'!$B$19)+(W74*X74*'1. Standard_Cost'!$C$19))</f>
        <v>0</v>
      </c>
      <c r="Z74" s="126"/>
      <c r="AA74" s="126"/>
      <c r="AB74" s="127">
        <f>+Z74*'1. Standard_Cost'!$B$23+AA74*'1. Standard_Cost'!$C$23</f>
        <v>0</v>
      </c>
      <c r="AC74" s="128"/>
      <c r="AD74" s="129"/>
      <c r="AE74" s="127">
        <f>SUM(AD74,AC74,AB74,Y74,U74,T74,S74,R74)*'1. Standard_Cost'!$B$31</f>
        <v>0</v>
      </c>
      <c r="AF74" s="127">
        <f t="shared" si="57"/>
        <v>0</v>
      </c>
      <c r="AG74" s="126"/>
      <c r="AH74" s="126"/>
      <c r="AI74" s="126"/>
      <c r="AJ74" s="130"/>
      <c r="AK74" s="130"/>
      <c r="AL74" s="130"/>
      <c r="AM74" s="127">
        <f>AG74*'1. Standard_Cost'!$B$27+'Incremental_Cost Year 2'!AH74*'1. Standard_Cost'!$C$27+'Incremental_Cost Year 2'!AI74*'1. Standard_Cost'!$D$27+'Incremental_Cost Year 2'!AJ74+'Incremental_Cost Year 2'!AL74+AK74</f>
        <v>0</v>
      </c>
      <c r="AN74" s="127">
        <f>AM74*'1. Standard_Cost'!$C$31</f>
        <v>0</v>
      </c>
      <c r="AO74" s="130"/>
      <c r="AQ74" s="171">
        <f t="shared" si="51"/>
        <v>0</v>
      </c>
      <c r="AR74" s="171">
        <f t="shared" si="52"/>
        <v>0</v>
      </c>
      <c r="AS74" s="171">
        <f t="shared" si="53"/>
        <v>0</v>
      </c>
      <c r="AT74" s="171">
        <f t="shared" si="54"/>
        <v>0</v>
      </c>
      <c r="AU74" s="250"/>
      <c r="AV74" s="250"/>
      <c r="AW74" s="250"/>
      <c r="AX74" s="250"/>
      <c r="AY74" s="250"/>
      <c r="AZ74" s="250"/>
      <c r="BA74" s="250"/>
      <c r="BB74" s="251">
        <f t="shared" si="56"/>
        <v>0</v>
      </c>
      <c r="BC74" s="169"/>
      <c r="BD74" s="169"/>
      <c r="BE74" s="169"/>
      <c r="BF74" s="169"/>
    </row>
    <row r="75" spans="1:58" ht="126" outlineLevel="2" x14ac:dyDescent="0.25">
      <c r="A75" s="115"/>
      <c r="B75" s="200"/>
      <c r="C75" s="201"/>
      <c r="D75" s="131"/>
      <c r="E75" s="219"/>
      <c r="F75" s="219"/>
      <c r="G75" s="313"/>
      <c r="H75" s="112" t="s">
        <v>562</v>
      </c>
      <c r="I75" s="130" t="s">
        <v>5</v>
      </c>
      <c r="J75" s="126">
        <v>12</v>
      </c>
      <c r="K75" s="126">
        <v>72</v>
      </c>
      <c r="L75" s="125">
        <f>IF(I75&lt;&gt;0,((VLOOKUP(I75,'1. Standard_Cost'!$B$4:$D$11,2)+VLOOKUP(I75,'1. Standard_Cost'!$B$4:$D$11,3))*J75*K75),"0")</f>
        <v>61084800</v>
      </c>
      <c r="M75" s="125">
        <f>L75*'1. Standard_Cost'!$F$4</f>
        <v>10201161.600000001</v>
      </c>
      <c r="N75" s="126"/>
      <c r="O75" s="126"/>
      <c r="P75" s="126"/>
      <c r="Q75" s="126"/>
      <c r="R75" s="127">
        <f>'1. Standard_Cost'!$B$15*N75*P75</f>
        <v>0</v>
      </c>
      <c r="S75" s="127">
        <f>N75*O75*P75*'1. Standard_Cost'!$C$15</f>
        <v>0</v>
      </c>
      <c r="T75" s="127">
        <f>N75*P75*Q75*'1. Standard_Cost'!$D$15</f>
        <v>0</v>
      </c>
      <c r="U75" s="127">
        <f>N75*O75*'1. Standard_Cost'!$E$15</f>
        <v>0</v>
      </c>
      <c r="V75" s="126"/>
      <c r="W75" s="126"/>
      <c r="X75" s="126"/>
      <c r="Y75" s="127">
        <f>+V75*((X75*'1. Standard_Cost'!$B$19)+(W75*X75*'1. Standard_Cost'!$C$19))</f>
        <v>0</v>
      </c>
      <c r="Z75" s="126"/>
      <c r="AA75" s="126"/>
      <c r="AB75" s="127">
        <f>+Z75*'1. Standard_Cost'!$B$23+AA75*'1. Standard_Cost'!$C$23</f>
        <v>0</v>
      </c>
      <c r="AC75" s="128">
        <v>13000000</v>
      </c>
      <c r="AD75" s="129"/>
      <c r="AE75" s="127"/>
      <c r="AF75" s="127">
        <f t="shared" si="57"/>
        <v>13000000</v>
      </c>
      <c r="AG75" s="126"/>
      <c r="AH75" s="126"/>
      <c r="AI75" s="126"/>
      <c r="AJ75" s="130">
        <v>73350000</v>
      </c>
      <c r="AK75" s="130"/>
      <c r="AL75" s="130">
        <v>23673000</v>
      </c>
      <c r="AM75" s="127">
        <f>AG75*'1. Standard_Cost'!$B$27+'Incremental_Cost Year 2'!AH75*'1. Standard_Cost'!$C$27+'Incremental_Cost Year 2'!AI75*'1. Standard_Cost'!$D$27+'Incremental_Cost Year 2'!AJ75+'Incremental_Cost Year 2'!AL75+AK75</f>
        <v>97023000</v>
      </c>
      <c r="AN75" s="127"/>
      <c r="AO75" s="130"/>
      <c r="AQ75" s="171">
        <f t="shared" si="51"/>
        <v>71285961.599999994</v>
      </c>
      <c r="AR75" s="171">
        <f t="shared" si="52"/>
        <v>13000000</v>
      </c>
      <c r="AS75" s="171">
        <f t="shared" si="53"/>
        <v>97023000</v>
      </c>
      <c r="AT75" s="171">
        <f t="shared" si="54"/>
        <v>181308961.59999999</v>
      </c>
      <c r="AU75" s="250">
        <f>AT75</f>
        <v>181308961.59999999</v>
      </c>
      <c r="AV75" s="250"/>
      <c r="AW75" s="250"/>
      <c r="AX75" s="250"/>
      <c r="AY75" s="250"/>
      <c r="AZ75" s="250"/>
      <c r="BA75" s="250"/>
      <c r="BB75" s="251">
        <f t="shared" si="56"/>
        <v>0</v>
      </c>
      <c r="BC75" s="169"/>
      <c r="BD75" s="169"/>
      <c r="BE75" s="169"/>
      <c r="BF75" s="169"/>
    </row>
    <row r="76" spans="1:58" ht="78.75" outlineLevel="2" x14ac:dyDescent="0.25">
      <c r="A76" s="115"/>
      <c r="B76" s="200"/>
      <c r="C76" s="201"/>
      <c r="D76" s="305"/>
      <c r="E76" s="320"/>
      <c r="F76" s="122"/>
      <c r="G76" s="123"/>
      <c r="H76" s="199" t="s">
        <v>415</v>
      </c>
      <c r="I76" s="130" t="s">
        <v>3</v>
      </c>
      <c r="J76" s="126">
        <v>0.5</v>
      </c>
      <c r="K76" s="126">
        <v>3</v>
      </c>
      <c r="L76" s="125">
        <f>IF(I76&lt;&gt;0,((VLOOKUP(I76,'1. Standard_Cost'!$B$4:$D$11,2)+VLOOKUP(I76,'1. Standard_Cost'!$B$4:$D$11,3))*J76*K76),"0")</f>
        <v>151200</v>
      </c>
      <c r="M76" s="125">
        <f>L76*'1. Standard_Cost'!$F$4</f>
        <v>25250.400000000001</v>
      </c>
      <c r="N76" s="126"/>
      <c r="O76" s="126"/>
      <c r="P76" s="126"/>
      <c r="Q76" s="126"/>
      <c r="R76" s="127">
        <f>'1. Standard_Cost'!$B$15*N76*P76</f>
        <v>0</v>
      </c>
      <c r="S76" s="127">
        <f>N76*O76*P76*'1. Standard_Cost'!$C$15</f>
        <v>0</v>
      </c>
      <c r="T76" s="127">
        <f>N76*P76*Q76*'1. Standard_Cost'!$D$15</f>
        <v>0</v>
      </c>
      <c r="U76" s="127">
        <f>N76*O76*'1. Standard_Cost'!$E$15</f>
        <v>0</v>
      </c>
      <c r="V76" s="126"/>
      <c r="W76" s="126"/>
      <c r="X76" s="126"/>
      <c r="Y76" s="127">
        <f>+V76*((X76*'1. Standard_Cost'!$B$19)+(W76*X76*'1. Standard_Cost'!$C$19))</f>
        <v>0</v>
      </c>
      <c r="Z76" s="126"/>
      <c r="AA76" s="126"/>
      <c r="AB76" s="127">
        <f>+Z76*'1. Standard_Cost'!$B$23+AA76*'1. Standard_Cost'!$C$23</f>
        <v>0</v>
      </c>
      <c r="AC76" s="128">
        <v>500000</v>
      </c>
      <c r="AD76" s="129"/>
      <c r="AE76" s="127">
        <f>SUM(AD76,AC76,AB76,Y76,U76,T76,S76,R76)*'1. Standard_Cost'!$B$31</f>
        <v>100000</v>
      </c>
      <c r="AF76" s="127">
        <f t="shared" si="57"/>
        <v>600000</v>
      </c>
      <c r="AG76" s="126"/>
      <c r="AH76" s="126"/>
      <c r="AI76" s="126"/>
      <c r="AJ76" s="130"/>
      <c r="AK76" s="130"/>
      <c r="AL76" s="130"/>
      <c r="AM76" s="127">
        <f>AG76*'1. Standard_Cost'!$B$27+'Incremental_Cost Year 2'!AH76*'1. Standard_Cost'!$C$27+'Incremental_Cost Year 2'!AI76*'1. Standard_Cost'!$D$27+'Incremental_Cost Year 2'!AJ76+'Incremental_Cost Year 2'!AL76+AK76</f>
        <v>0</v>
      </c>
      <c r="AN76" s="127">
        <f>AM76*'1. Standard_Cost'!$C$31</f>
        <v>0</v>
      </c>
      <c r="AO76" s="130"/>
      <c r="AQ76" s="171">
        <f t="shared" si="51"/>
        <v>176450.4</v>
      </c>
      <c r="AR76" s="171">
        <f t="shared" si="52"/>
        <v>600000</v>
      </c>
      <c r="AS76" s="171">
        <f t="shared" si="53"/>
        <v>0</v>
      </c>
      <c r="AT76" s="171">
        <f t="shared" si="54"/>
        <v>776450.4</v>
      </c>
      <c r="AU76" s="250">
        <f>AQ76</f>
        <v>176450.4</v>
      </c>
      <c r="AV76" s="250"/>
      <c r="AW76" s="250"/>
      <c r="AX76" s="250"/>
      <c r="AY76" s="250">
        <v>600000</v>
      </c>
      <c r="AZ76" s="250"/>
      <c r="BA76" s="250"/>
      <c r="BB76" s="251">
        <f t="shared" si="56"/>
        <v>0</v>
      </c>
      <c r="BC76" s="169"/>
      <c r="BD76" s="169"/>
      <c r="BE76" s="169"/>
      <c r="BF76" s="169"/>
    </row>
    <row r="77" spans="1:58" ht="141.75" outlineLevel="1" x14ac:dyDescent="0.25">
      <c r="A77" s="115"/>
      <c r="B77" s="165"/>
      <c r="C77" s="166"/>
      <c r="D77" s="107" t="s">
        <v>416</v>
      </c>
      <c r="E77" s="139" t="s">
        <v>221</v>
      </c>
      <c r="F77" s="222">
        <v>2021</v>
      </c>
      <c r="G77" s="117">
        <v>2030</v>
      </c>
      <c r="H77" s="134" t="s">
        <v>220</v>
      </c>
      <c r="I77" s="252"/>
      <c r="J77" s="252"/>
      <c r="K77" s="252"/>
      <c r="L77" s="127">
        <f>SUM(L62:L76)</f>
        <v>515555882.14285713</v>
      </c>
      <c r="M77" s="127">
        <f>SUM(M62:M76)</f>
        <v>86097832.317857146</v>
      </c>
      <c r="N77" s="127"/>
      <c r="O77" s="252"/>
      <c r="P77" s="252"/>
      <c r="Q77" s="252"/>
      <c r="R77" s="127">
        <f>SUM(R62:R76)</f>
        <v>280000</v>
      </c>
      <c r="S77" s="127">
        <f>SUM(S62:S76)</f>
        <v>420000</v>
      </c>
      <c r="T77" s="127">
        <f>SUM(T62:T76)</f>
        <v>0</v>
      </c>
      <c r="U77" s="127">
        <f>SUM(U62:U76)</f>
        <v>560000</v>
      </c>
      <c r="V77" s="252"/>
      <c r="W77" s="252"/>
      <c r="X77" s="252"/>
      <c r="Y77" s="127">
        <f>SUM(Y62:Y76)</f>
        <v>0</v>
      </c>
      <c r="Z77" s="252"/>
      <c r="AA77" s="252"/>
      <c r="AB77" s="127">
        <f>SUM(AB62:AB76)</f>
        <v>2071000</v>
      </c>
      <c r="AC77" s="127">
        <f>SUM(AC62:AC76)</f>
        <v>430144000</v>
      </c>
      <c r="AD77" s="127">
        <f>SUM(AD62:AD76)</f>
        <v>0</v>
      </c>
      <c r="AE77" s="127">
        <f>SUM(AE62:AE76)</f>
        <v>82255000</v>
      </c>
      <c r="AF77" s="127">
        <f>SUM(AF62:AF76)</f>
        <v>515730000</v>
      </c>
      <c r="AG77" s="252"/>
      <c r="AH77" s="252"/>
      <c r="AI77" s="252"/>
      <c r="AJ77" s="127">
        <f>SUM(AJ62:AJ76)</f>
        <v>123350000</v>
      </c>
      <c r="AK77" s="127">
        <f>SUM(AK62:AK76)</f>
        <v>0</v>
      </c>
      <c r="AL77" s="127">
        <f>SUM(AL62:AL76)</f>
        <v>23673000</v>
      </c>
      <c r="AM77" s="127">
        <f>SUM(AM62:AM76)</f>
        <v>150133000</v>
      </c>
      <c r="AN77" s="127">
        <f>SUM(AN62:AN76)</f>
        <v>7966500</v>
      </c>
      <c r="AO77" s="253"/>
      <c r="AP77" s="254"/>
      <c r="AQ77" s="175">
        <f>SUM(AQ62:AQ76)</f>
        <v>601653714.46071422</v>
      </c>
      <c r="AR77" s="175">
        <f>SUM(AR62:AR76)</f>
        <v>515730000</v>
      </c>
      <c r="AS77" s="175">
        <f>SUM(AS62:AS76)</f>
        <v>158099500</v>
      </c>
      <c r="AT77" s="175">
        <f>SUM(AT62:AT76)</f>
        <v>1275483214.4607143</v>
      </c>
      <c r="AU77" s="175">
        <f t="shared" ref="AU77:BB77" si="58">SUM(AU62:AU76)</f>
        <v>1208379114.4607143</v>
      </c>
      <c r="AV77" s="175">
        <f t="shared" si="58"/>
        <v>0</v>
      </c>
      <c r="AW77" s="175">
        <f>SUM(AW62:AW76)</f>
        <v>0</v>
      </c>
      <c r="AX77" s="175">
        <f t="shared" si="58"/>
        <v>0</v>
      </c>
      <c r="AY77" s="175">
        <f t="shared" si="58"/>
        <v>4947600</v>
      </c>
      <c r="AZ77" s="175">
        <f t="shared" si="58"/>
        <v>0</v>
      </c>
      <c r="BA77" s="175">
        <f t="shared" si="58"/>
        <v>0</v>
      </c>
      <c r="BB77" s="175">
        <f t="shared" si="58"/>
        <v>-62156500</v>
      </c>
      <c r="BC77" s="169"/>
      <c r="BD77" s="169"/>
      <c r="BE77" s="169"/>
      <c r="BF77" s="169"/>
    </row>
    <row r="78" spans="1:58" s="170" customFormat="1" ht="15.75" customHeight="1" x14ac:dyDescent="0.25">
      <c r="A78" s="120"/>
      <c r="B78" s="396" t="s">
        <v>298</v>
      </c>
      <c r="C78" s="389"/>
      <c r="D78" s="389"/>
      <c r="E78" s="390"/>
      <c r="F78" s="339"/>
      <c r="G78" s="339"/>
      <c r="H78" s="339" t="s">
        <v>60</v>
      </c>
      <c r="I78" s="243"/>
      <c r="J78" s="243"/>
      <c r="K78" s="243"/>
      <c r="L78" s="243">
        <f>SUM(L79,L93,L100,L106,L111,L118,L123,L134,L140)</f>
        <v>40848857.142857149</v>
      </c>
      <c r="M78" s="243">
        <f>SUM(M79,M93,M100,M106,M111,M118,M123,M134,M140)</f>
        <v>6821759.1428571427</v>
      </c>
      <c r="N78" s="243"/>
      <c r="O78" s="243"/>
      <c r="P78" s="243"/>
      <c r="Q78" s="243"/>
      <c r="R78" s="243">
        <f>SUM(R79,R93,R100,R106,R111,R118,R123,R134,R140)</f>
        <v>0</v>
      </c>
      <c r="S78" s="243">
        <f>SUM(S79,S93,S100,S106,S111,S118,S123,S134,S140)</f>
        <v>0</v>
      </c>
      <c r="T78" s="243">
        <f>SUM(T79,T93,T100,T106,T111,T118,T123,T134,T140)</f>
        <v>0</v>
      </c>
      <c r="U78" s="243">
        <f>SUM(U79,U93,U100,U106,U111,U118,U123,U134,U140)</f>
        <v>0</v>
      </c>
      <c r="V78" s="243"/>
      <c r="W78" s="243"/>
      <c r="X78" s="243"/>
      <c r="Y78" s="243">
        <f>SUM(Y79,Y93,Y100,Y106,Y111,Y118,Y123,Y134,Y140)</f>
        <v>255000</v>
      </c>
      <c r="Z78" s="243"/>
      <c r="AA78" s="243"/>
      <c r="AB78" s="243">
        <f>SUM(AB79,AB93,AB100,AB106,AB111,AB118,AB123,AB134,AB140)</f>
        <v>4750000</v>
      </c>
      <c r="AC78" s="243">
        <f>SUM(AC79,AC93,AC100,AC106,AC111,AC118,AC123,AC134,AC140)</f>
        <v>14698677903</v>
      </c>
      <c r="AD78" s="243">
        <f>SUM(AD79,AD93,AD100,AD106,AD111,AD118,AD123,AD134,AD140)</f>
        <v>0</v>
      </c>
      <c r="AE78" s="243">
        <f>SUM(AE79,AE93,AE100,AE106,AE111,AE118,AE123,AE134,AE140)</f>
        <v>4104980.6</v>
      </c>
      <c r="AF78" s="243">
        <f>SUM(AF79,AF93,AF100,AF106,AF111,AF118,AF123,AF134,AF140)</f>
        <v>14707787883.6</v>
      </c>
      <c r="AG78" s="243"/>
      <c r="AH78" s="243"/>
      <c r="AI78" s="243"/>
      <c r="AJ78" s="243">
        <f>SUM(AJ79,AJ93,AJ100,AJ106,AJ111,AJ118,AJ123,AJ134,AJ140)</f>
        <v>0</v>
      </c>
      <c r="AK78" s="243">
        <f>SUM(AK79,AK93,AK100,AK106,AK111,AK118,AK123,AK134,AK140)</f>
        <v>0</v>
      </c>
      <c r="AL78" s="243">
        <f>SUM(AL79,AL93,AL100,AL106,AL111,AL118,AL123,AL134,AL140)</f>
        <v>0</v>
      </c>
      <c r="AM78" s="243">
        <f>SUM(AM79,AM93,AM100,AM106,AM111,AM118,AM123,AM134,AM140)</f>
        <v>0</v>
      </c>
      <c r="AN78" s="243">
        <f>SUM(AN79,AN93,AN100,AN106,AN111,AN118,AN123,AN134,AN140)</f>
        <v>0</v>
      </c>
      <c r="AO78" s="243"/>
      <c r="AP78" s="244"/>
      <c r="AQ78" s="245">
        <f>SUM(AQ79,AQ93,AQ100,AQ106,AQ111,AQ118,AQ123,AQ134,AQ140)</f>
        <v>47670616.285714284</v>
      </c>
      <c r="AR78" s="245">
        <f t="shared" ref="AR78:BB78" si="59">SUM(AR79,AR93,AR100,AR106,AR111,AR118,AR123,AR134,AR140)</f>
        <v>14707787883.6</v>
      </c>
      <c r="AS78" s="245">
        <f t="shared" si="59"/>
        <v>0</v>
      </c>
      <c r="AT78" s="245">
        <f t="shared" si="59"/>
        <v>14755458499.885715</v>
      </c>
      <c r="AU78" s="245">
        <f t="shared" si="59"/>
        <v>14738893090</v>
      </c>
      <c r="AV78" s="245">
        <f t="shared" si="59"/>
        <v>0</v>
      </c>
      <c r="AW78" s="245">
        <f>SUM(AW79,AW93,AW100,AW106,AW111,AW118,AW123,AW134,AW140)</f>
        <v>10000000</v>
      </c>
      <c r="AX78" s="245">
        <f t="shared" si="59"/>
        <v>0</v>
      </c>
      <c r="AY78" s="245">
        <f t="shared" si="59"/>
        <v>0</v>
      </c>
      <c r="AZ78" s="245">
        <f t="shared" si="59"/>
        <v>0</v>
      </c>
      <c r="BA78" s="245">
        <f t="shared" si="59"/>
        <v>0</v>
      </c>
      <c r="BB78" s="245">
        <f t="shared" si="59"/>
        <v>-6565409.8857142851</v>
      </c>
    </row>
    <row r="79" spans="1:58" s="170" customFormat="1" ht="15.75" customHeight="1" x14ac:dyDescent="0.25">
      <c r="A79" s="120"/>
      <c r="B79" s="290"/>
      <c r="C79" s="391" t="s">
        <v>313</v>
      </c>
      <c r="D79" s="391"/>
      <c r="E79" s="392"/>
      <c r="F79" s="293"/>
      <c r="G79" s="293"/>
      <c r="H79" s="114" t="s">
        <v>163</v>
      </c>
      <c r="I79" s="246"/>
      <c r="J79" s="246"/>
      <c r="K79" s="246"/>
      <c r="L79" s="247">
        <f>SUM(L85,L88,L92)</f>
        <v>7384200</v>
      </c>
      <c r="M79" s="247">
        <f>SUM(M85,M88,M92)</f>
        <v>1233161.3999999999</v>
      </c>
      <c r="N79" s="247"/>
      <c r="O79" s="247"/>
      <c r="P79" s="247"/>
      <c r="Q79" s="247"/>
      <c r="R79" s="247">
        <f>SUM(R85,R88,R92)</f>
        <v>0</v>
      </c>
      <c r="S79" s="247">
        <f>SUM(S85,S88,S92)</f>
        <v>0</v>
      </c>
      <c r="T79" s="247">
        <f>SUM(T85,T88,T92)</f>
        <v>0</v>
      </c>
      <c r="U79" s="247">
        <f>SUM(U85,U88,U92)</f>
        <v>0</v>
      </c>
      <c r="V79" s="247"/>
      <c r="W79" s="247"/>
      <c r="X79" s="247"/>
      <c r="Y79" s="247">
        <f>SUM(Y85,Y88,Y92)</f>
        <v>255000</v>
      </c>
      <c r="Z79" s="247"/>
      <c r="AA79" s="247"/>
      <c r="AB79" s="247">
        <f>SUM(AB85,AB88,AB92)</f>
        <v>1330000</v>
      </c>
      <c r="AC79" s="247">
        <f>SUM(AC85,AC88,AC92)</f>
        <v>3663039961</v>
      </c>
      <c r="AD79" s="247">
        <f>SUM(AD85,AD88,AD92)</f>
        <v>0</v>
      </c>
      <c r="AE79" s="247">
        <f>SUM(AE85,AE88,AE92)</f>
        <v>293392.2</v>
      </c>
      <c r="AF79" s="247">
        <f>SUM(AF85,AF88,AF92)</f>
        <v>3664918353.1999998</v>
      </c>
      <c r="AG79" s="247"/>
      <c r="AH79" s="247"/>
      <c r="AI79" s="247"/>
      <c r="AJ79" s="247">
        <f>SUM(AJ85,AJ88,AJ92)</f>
        <v>0</v>
      </c>
      <c r="AK79" s="247">
        <f>SUM(AK85,AK88,AK92)</f>
        <v>0</v>
      </c>
      <c r="AL79" s="247">
        <f>SUM(AL85,AL88,AL92)</f>
        <v>0</v>
      </c>
      <c r="AM79" s="247">
        <f>SUM(AM85,AM88,AM92)</f>
        <v>0</v>
      </c>
      <c r="AN79" s="247">
        <f>SUM(AN85,AN88,AN92)</f>
        <v>0</v>
      </c>
      <c r="AO79" s="247"/>
      <c r="AP79" s="255"/>
      <c r="AQ79" s="248">
        <f>SUM(AQ85,AQ88,AQ92)</f>
        <v>8617361.4000000004</v>
      </c>
      <c r="AR79" s="248">
        <f t="shared" ref="AR79:BB79" si="60">SUM(AR85,AR88,AR92)</f>
        <v>3664918353.1999998</v>
      </c>
      <c r="AS79" s="248">
        <f t="shared" si="60"/>
        <v>0</v>
      </c>
      <c r="AT79" s="248">
        <f t="shared" si="60"/>
        <v>3673535714.5999999</v>
      </c>
      <c r="AU79" s="248">
        <f t="shared" si="60"/>
        <v>3662110714</v>
      </c>
      <c r="AV79" s="248">
        <f t="shared" si="60"/>
        <v>0</v>
      </c>
      <c r="AW79" s="248">
        <f t="shared" si="60"/>
        <v>10000000</v>
      </c>
      <c r="AX79" s="248">
        <f t="shared" si="60"/>
        <v>0</v>
      </c>
      <c r="AY79" s="248">
        <f>SUM(AY85,AY88,AY92)</f>
        <v>0</v>
      </c>
      <c r="AZ79" s="248">
        <f t="shared" si="60"/>
        <v>0</v>
      </c>
      <c r="BA79" s="248">
        <f t="shared" si="60"/>
        <v>0</v>
      </c>
      <c r="BB79" s="248">
        <f t="shared" si="60"/>
        <v>-1425000.6</v>
      </c>
    </row>
    <row r="80" spans="1:58" ht="31.5" outlineLevel="2" x14ac:dyDescent="0.25">
      <c r="A80" s="115"/>
      <c r="B80" s="200"/>
      <c r="C80" s="201"/>
      <c r="D80" s="202"/>
      <c r="E80" s="226"/>
      <c r="F80" s="306"/>
      <c r="G80" s="307"/>
      <c r="H80" s="164" t="s">
        <v>417</v>
      </c>
      <c r="I80" s="130"/>
      <c r="J80" s="126"/>
      <c r="K80" s="126"/>
      <c r="L80" s="125" t="str">
        <f>IF(I80&lt;&gt;0,((VLOOKUP(I80,'1. Standard_Cost'!$B$4:$D$11,2)+VLOOKUP(I80,'1. Standard_Cost'!$B$4:$D$11,3))*J80*K80),"0")</f>
        <v>0</v>
      </c>
      <c r="M80" s="125">
        <f>L80*'1. Standard_Cost'!$F$4</f>
        <v>0</v>
      </c>
      <c r="N80" s="126"/>
      <c r="O80" s="126"/>
      <c r="P80" s="126"/>
      <c r="Q80" s="126"/>
      <c r="R80" s="127">
        <f>'1. Standard_Cost'!$B$15*N80*P80</f>
        <v>0</v>
      </c>
      <c r="S80" s="127">
        <f>N80*O80*P80*'1. Standard_Cost'!$C$15</f>
        <v>0</v>
      </c>
      <c r="T80" s="127">
        <f>N80*P80*Q80*'1. Standard_Cost'!$D$15</f>
        <v>0</v>
      </c>
      <c r="U80" s="127">
        <f>N80*O80*'1. Standard_Cost'!$E$15</f>
        <v>0</v>
      </c>
      <c r="V80" s="126"/>
      <c r="W80" s="126"/>
      <c r="X80" s="126"/>
      <c r="Y80" s="127">
        <f>+V80*((X80*'1. Standard_Cost'!$B$19)+(W80*X80*'1. Standard_Cost'!$C$19))</f>
        <v>0</v>
      </c>
      <c r="Z80" s="126"/>
      <c r="AA80" s="126"/>
      <c r="AB80" s="127">
        <f>+Z80*'1. Standard_Cost'!$B$23+AA80*'1. Standard_Cost'!$C$23</f>
        <v>0</v>
      </c>
      <c r="AC80" s="128">
        <v>876090000</v>
      </c>
      <c r="AD80" s="129"/>
      <c r="AE80" s="127"/>
      <c r="AF80" s="127">
        <f>SUM(AE80,AD80,AC80,AB80,Y80,U80,T80,S80,R80)</f>
        <v>876090000</v>
      </c>
      <c r="AG80" s="126"/>
      <c r="AH80" s="126"/>
      <c r="AI80" s="126"/>
      <c r="AJ80" s="130"/>
      <c r="AK80" s="130"/>
      <c r="AL80" s="130"/>
      <c r="AM80" s="127">
        <f>AG80*'1. Standard_Cost'!$B$27+'Incremental_Cost Year 2'!AH80*'1. Standard_Cost'!$C$27+'Incremental_Cost Year 2'!AI80*'1. Standard_Cost'!$D$27+'Incremental_Cost Year 2'!AJ80+'Incremental_Cost Year 2'!AL80+AK80</f>
        <v>0</v>
      </c>
      <c r="AN80" s="127">
        <f>AM80*'1. Standard_Cost'!$C$31</f>
        <v>0</v>
      </c>
      <c r="AO80" s="130"/>
      <c r="AP80" s="256"/>
      <c r="AQ80" s="171">
        <f>L80+M80</f>
        <v>0</v>
      </c>
      <c r="AR80" s="171">
        <f>AF80</f>
        <v>876090000</v>
      </c>
      <c r="AS80" s="171">
        <f>AM80+AN80</f>
        <v>0</v>
      </c>
      <c r="AT80" s="171">
        <f>SUM(AQ80,AR80,AS80)</f>
        <v>876090000</v>
      </c>
      <c r="AU80" s="250">
        <v>876090000</v>
      </c>
      <c r="AV80" s="250"/>
      <c r="AW80" s="250"/>
      <c r="AX80" s="250"/>
      <c r="AY80" s="250"/>
      <c r="AZ80" s="250"/>
      <c r="BA80" s="250"/>
      <c r="BB80" s="251">
        <f t="shared" ref="BB80:BB84" si="61">SUM(AU80:BA80)-AT80</f>
        <v>0</v>
      </c>
      <c r="BC80" s="169"/>
      <c r="BD80" s="169"/>
      <c r="BE80" s="169"/>
      <c r="BF80" s="169"/>
    </row>
    <row r="81" spans="1:58" ht="31.5" outlineLevel="2" x14ac:dyDescent="0.25">
      <c r="A81" s="115"/>
      <c r="B81" s="200"/>
      <c r="C81" s="201"/>
      <c r="D81" s="202"/>
      <c r="E81" s="202"/>
      <c r="F81" s="308"/>
      <c r="G81" s="309"/>
      <c r="H81" s="164" t="s">
        <v>418</v>
      </c>
      <c r="I81" s="130"/>
      <c r="J81" s="126"/>
      <c r="K81" s="126"/>
      <c r="L81" s="125" t="str">
        <f>IF(I81&lt;&gt;0,((VLOOKUP(I81,'1. Standard_Cost'!$B$4:$D$11,2)+VLOOKUP(I81,'1. Standard_Cost'!$B$4:$D$11,3))*J81*K81),"0")</f>
        <v>0</v>
      </c>
      <c r="M81" s="125">
        <f>L81*'1. Standard_Cost'!$F$4</f>
        <v>0</v>
      </c>
      <c r="N81" s="126"/>
      <c r="O81" s="126"/>
      <c r="P81" s="126"/>
      <c r="Q81" s="126"/>
      <c r="R81" s="127">
        <f>'1. Standard_Cost'!$B$15*N81*P81</f>
        <v>0</v>
      </c>
      <c r="S81" s="127">
        <f>N81*O81*P81*'1. Standard_Cost'!$C$15</f>
        <v>0</v>
      </c>
      <c r="T81" s="127">
        <f>N81*P81*Q81*'1. Standard_Cost'!$D$15</f>
        <v>0</v>
      </c>
      <c r="U81" s="127">
        <f>N81*O81*'1. Standard_Cost'!$E$15</f>
        <v>0</v>
      </c>
      <c r="V81" s="126"/>
      <c r="W81" s="126"/>
      <c r="X81" s="126"/>
      <c r="Y81" s="127">
        <f>+V81*((X81*'1. Standard_Cost'!$B$19)+(W81*X81*'1. Standard_Cost'!$C$19))</f>
        <v>0</v>
      </c>
      <c r="Z81" s="126"/>
      <c r="AA81" s="126"/>
      <c r="AB81" s="127">
        <f>+Z81*'1. Standard_Cost'!$B$23+AA81*'1. Standard_Cost'!$C$23</f>
        <v>0</v>
      </c>
      <c r="AC81" s="128">
        <v>36600000</v>
      </c>
      <c r="AD81" s="129"/>
      <c r="AE81" s="127"/>
      <c r="AF81" s="127">
        <f>SUM(AE81,AD81,AC81,AB81,Y81,U81,T81,S81,R81)</f>
        <v>36600000</v>
      </c>
      <c r="AG81" s="126"/>
      <c r="AH81" s="126"/>
      <c r="AI81" s="126"/>
      <c r="AJ81" s="130"/>
      <c r="AK81" s="130"/>
      <c r="AL81" s="130"/>
      <c r="AM81" s="127">
        <f>AG81*'1. Standard_Cost'!$B$27+'Incremental_Cost Year 2'!AH81*'1. Standard_Cost'!$C$27+'Incremental_Cost Year 2'!AI81*'1. Standard_Cost'!$D$27+'Incremental_Cost Year 2'!AJ81+'Incremental_Cost Year 2'!AL81+AK81</f>
        <v>0</v>
      </c>
      <c r="AN81" s="127">
        <f>AM81*'1. Standard_Cost'!$C$31</f>
        <v>0</v>
      </c>
      <c r="AO81" s="130"/>
      <c r="AP81" s="256"/>
      <c r="AQ81" s="171">
        <f>L81+M81</f>
        <v>0</v>
      </c>
      <c r="AR81" s="171">
        <f>AF81</f>
        <v>36600000</v>
      </c>
      <c r="AS81" s="171">
        <f>AM81+AN81</f>
        <v>0</v>
      </c>
      <c r="AT81" s="171">
        <f>SUM(AQ81,AR81,AS81)</f>
        <v>36600000</v>
      </c>
      <c r="AU81" s="250">
        <v>36600000</v>
      </c>
      <c r="AV81" s="250"/>
      <c r="AW81" s="250"/>
      <c r="AX81" s="250"/>
      <c r="AY81" s="250"/>
      <c r="AZ81" s="250"/>
      <c r="BA81" s="250"/>
      <c r="BB81" s="251">
        <f t="shared" si="61"/>
        <v>0</v>
      </c>
      <c r="BC81" s="169"/>
      <c r="BD81" s="169"/>
      <c r="BE81" s="169"/>
      <c r="BF81" s="169"/>
    </row>
    <row r="82" spans="1:58" ht="31.5" outlineLevel="2" x14ac:dyDescent="0.25">
      <c r="A82" s="115"/>
      <c r="B82" s="200"/>
      <c r="C82" s="201"/>
      <c r="D82" s="202"/>
      <c r="E82" s="202"/>
      <c r="F82" s="308"/>
      <c r="G82" s="309"/>
      <c r="H82" s="164" t="s">
        <v>419</v>
      </c>
      <c r="I82" s="130"/>
      <c r="J82" s="126"/>
      <c r="K82" s="126"/>
      <c r="L82" s="125" t="str">
        <f>IF(I82&lt;&gt;0,((VLOOKUP(I82,'1. Standard_Cost'!$B$4:$D$11,2)+VLOOKUP(I82,'1. Standard_Cost'!$B$4:$D$11,3))*J82*K82),"0")</f>
        <v>0</v>
      </c>
      <c r="M82" s="125">
        <f>L82*'1. Standard_Cost'!$F$4</f>
        <v>0</v>
      </c>
      <c r="N82" s="126"/>
      <c r="O82" s="126"/>
      <c r="P82" s="126"/>
      <c r="Q82" s="126"/>
      <c r="R82" s="127">
        <f>'1. Standard_Cost'!$B$15*N82*P82</f>
        <v>0</v>
      </c>
      <c r="S82" s="127">
        <f>N82*O82*P82*'1. Standard_Cost'!$C$15</f>
        <v>0</v>
      </c>
      <c r="T82" s="127">
        <f>N82*P82*Q82*'1. Standard_Cost'!$D$15</f>
        <v>0</v>
      </c>
      <c r="U82" s="127">
        <f>N82*O82*'1. Standard_Cost'!$E$15</f>
        <v>0</v>
      </c>
      <c r="V82" s="126"/>
      <c r="W82" s="126"/>
      <c r="X82" s="126"/>
      <c r="Y82" s="127">
        <f>+V82*((X82*'1. Standard_Cost'!$B$19)+(W82*X82*'1. Standard_Cost'!$C$19))</f>
        <v>0</v>
      </c>
      <c r="Z82" s="126"/>
      <c r="AA82" s="126"/>
      <c r="AB82" s="127">
        <f>+Z82*'1. Standard_Cost'!$B$23+AA82*'1. Standard_Cost'!$C$23</f>
        <v>0</v>
      </c>
      <c r="AC82" s="128">
        <v>12383000</v>
      </c>
      <c r="AD82" s="129"/>
      <c r="AE82" s="127"/>
      <c r="AF82" s="127">
        <f>SUM(AE82,AD82,AC82,AB82,Y82,U82,T82,S82,R82)</f>
        <v>12383000</v>
      </c>
      <c r="AG82" s="126"/>
      <c r="AH82" s="126"/>
      <c r="AI82" s="126"/>
      <c r="AJ82" s="130"/>
      <c r="AK82" s="130"/>
      <c r="AL82" s="130"/>
      <c r="AM82" s="127">
        <f>AG82*'1. Standard_Cost'!$B$27+'Incremental_Cost Year 2'!AH82*'1. Standard_Cost'!$C$27+'Incremental_Cost Year 2'!AI82*'1. Standard_Cost'!$D$27+'Incremental_Cost Year 2'!AJ82+'Incremental_Cost Year 2'!AL82+AK82</f>
        <v>0</v>
      </c>
      <c r="AN82" s="127">
        <f>AM82*'1. Standard_Cost'!$C$31</f>
        <v>0</v>
      </c>
      <c r="AO82" s="130"/>
      <c r="AP82" s="256"/>
      <c r="AQ82" s="171">
        <f>L82+M82</f>
        <v>0</v>
      </c>
      <c r="AR82" s="171">
        <f>AF82</f>
        <v>12383000</v>
      </c>
      <c r="AS82" s="171">
        <f>AM82+AN82</f>
        <v>0</v>
      </c>
      <c r="AT82" s="171">
        <f>SUM(AQ82,AR82,AS82)</f>
        <v>12383000</v>
      </c>
      <c r="AU82" s="250">
        <v>12383000</v>
      </c>
      <c r="AV82" s="250"/>
      <c r="AW82" s="250"/>
      <c r="AX82" s="250"/>
      <c r="AY82" s="250"/>
      <c r="AZ82" s="250"/>
      <c r="BA82" s="250"/>
      <c r="BB82" s="251">
        <f t="shared" si="61"/>
        <v>0</v>
      </c>
      <c r="BC82" s="169"/>
      <c r="BD82" s="169"/>
      <c r="BE82" s="169"/>
      <c r="BF82" s="169"/>
    </row>
    <row r="83" spans="1:58" ht="99.75" customHeight="1" outlineLevel="2" x14ac:dyDescent="0.25">
      <c r="A83" s="115"/>
      <c r="B83" s="200"/>
      <c r="C83" s="201"/>
      <c r="D83" s="137"/>
      <c r="E83" s="105"/>
      <c r="F83" s="308"/>
      <c r="G83" s="309"/>
      <c r="H83" s="199" t="s">
        <v>539</v>
      </c>
      <c r="I83" s="130" t="s">
        <v>5</v>
      </c>
      <c r="J83" s="126">
        <v>2</v>
      </c>
      <c r="K83" s="126">
        <v>15</v>
      </c>
      <c r="L83" s="125">
        <f>IF(I83&lt;&gt;0,((VLOOKUP(I83,'1. Standard_Cost'!$B$4:$D$11,2)+VLOOKUP(I83,'1. Standard_Cost'!$B$4:$D$11,3))*J83*K83),"0")</f>
        <v>2121000</v>
      </c>
      <c r="M83" s="125">
        <f>L83*'1. Standard_Cost'!$F$4</f>
        <v>354207</v>
      </c>
      <c r="N83" s="126"/>
      <c r="O83" s="126"/>
      <c r="P83" s="126"/>
      <c r="Q83" s="126"/>
      <c r="R83" s="127">
        <f>'1. Standard_Cost'!$B$15*N83*P83</f>
        <v>0</v>
      </c>
      <c r="S83" s="127">
        <f>N83*O83*P83*'1. Standard_Cost'!$C$15</f>
        <v>0</v>
      </c>
      <c r="T83" s="127">
        <f>N83*P83*Q83*'1. Standard_Cost'!$D$15</f>
        <v>0</v>
      </c>
      <c r="U83" s="127">
        <f>N83*O83*'1. Standard_Cost'!$E$15</f>
        <v>0</v>
      </c>
      <c r="V83" s="126"/>
      <c r="W83" s="126"/>
      <c r="X83" s="126"/>
      <c r="Y83" s="127">
        <f>+V83*((X83*'1. Standard_Cost'!$B$19)+(W83*X83*'1. Standard_Cost'!$C$19))</f>
        <v>0</v>
      </c>
      <c r="Z83" s="126"/>
      <c r="AA83" s="126">
        <v>45</v>
      </c>
      <c r="AB83" s="127">
        <f>+Z83*'1. Standard_Cost'!$B$23+AA83*'1. Standard_Cost'!$C$23</f>
        <v>855000</v>
      </c>
      <c r="AC83" s="128">
        <v>1537230000</v>
      </c>
      <c r="AD83" s="129"/>
      <c r="AE83" s="127"/>
      <c r="AF83" s="127">
        <f>SUM(AE83,AD83,AC83,AB83,Y83,U83,T83,S83,R83)</f>
        <v>1538085000</v>
      </c>
      <c r="AG83" s="126"/>
      <c r="AH83" s="126"/>
      <c r="AI83" s="126"/>
      <c r="AJ83" s="130"/>
      <c r="AK83" s="130"/>
      <c r="AL83" s="130"/>
      <c r="AM83" s="127">
        <f>AG83*'1. Standard_Cost'!$B$27+'Incremental_Cost Year 2'!AH83*'1. Standard_Cost'!$C$27+'Incremental_Cost Year 2'!AI83*'1. Standard_Cost'!$D$27+'Incremental_Cost Year 2'!AJ83+'Incremental_Cost Year 2'!AL83+AK83</f>
        <v>0</v>
      </c>
      <c r="AN83" s="127">
        <f>AM83*'1. Standard_Cost'!$C$31</f>
        <v>0</v>
      </c>
      <c r="AO83" s="130"/>
      <c r="AP83" s="256"/>
      <c r="AQ83" s="171">
        <f>L83+M83</f>
        <v>2475207</v>
      </c>
      <c r="AR83" s="171">
        <f>AF83</f>
        <v>1538085000</v>
      </c>
      <c r="AS83" s="171">
        <f>AM83+AN83</f>
        <v>0</v>
      </c>
      <c r="AT83" s="171">
        <f>SUM(AQ83,AR83,AS83)</f>
        <v>1540560207</v>
      </c>
      <c r="AU83" s="250">
        <v>1529705207</v>
      </c>
      <c r="AV83" s="250"/>
      <c r="AW83" s="250">
        <v>10000000</v>
      </c>
      <c r="AX83" s="250"/>
      <c r="AY83" s="250"/>
      <c r="AZ83" s="250"/>
      <c r="BA83" s="250"/>
      <c r="BB83" s="251">
        <f t="shared" si="61"/>
        <v>-855000</v>
      </c>
      <c r="BC83" s="169"/>
      <c r="BD83" s="169"/>
      <c r="BE83" s="169"/>
      <c r="BF83" s="169"/>
    </row>
    <row r="84" spans="1:58" ht="31.5" outlineLevel="2" x14ac:dyDescent="0.25">
      <c r="A84" s="115"/>
      <c r="B84" s="200"/>
      <c r="C84" s="201"/>
      <c r="D84" s="137"/>
      <c r="E84" s="202"/>
      <c r="F84" s="308"/>
      <c r="G84" s="309"/>
      <c r="H84" s="164" t="s">
        <v>420</v>
      </c>
      <c r="I84" s="130"/>
      <c r="J84" s="126"/>
      <c r="K84" s="126"/>
      <c r="L84" s="125" t="str">
        <f>IF(I84&lt;&gt;0,((VLOOKUP(I84,'1. Standard_Cost'!$B$4:$D$11,2)+VLOOKUP(I84,'1. Standard_Cost'!$B$4:$D$11,3))*J84*K84),"0")</f>
        <v>0</v>
      </c>
      <c r="M84" s="125">
        <f>L84*'1. Standard_Cost'!$F$4</f>
        <v>0</v>
      </c>
      <c r="N84" s="126"/>
      <c r="O84" s="126"/>
      <c r="P84" s="126"/>
      <c r="Q84" s="126"/>
      <c r="R84" s="127">
        <f>'1. Standard_Cost'!$B$15*N84*P84</f>
        <v>0</v>
      </c>
      <c r="S84" s="127">
        <f>N84*O84*P84*'1. Standard_Cost'!$C$15</f>
        <v>0</v>
      </c>
      <c r="T84" s="127">
        <f>N84*P84*Q84*'1. Standard_Cost'!$D$15</f>
        <v>0</v>
      </c>
      <c r="U84" s="127">
        <f>N84*O84*'1. Standard_Cost'!$E$15</f>
        <v>0</v>
      </c>
      <c r="V84" s="126"/>
      <c r="W84" s="126"/>
      <c r="X84" s="126"/>
      <c r="Y84" s="127">
        <f>+V84*((X84*'1. Standard_Cost'!$B$19)+(W84*X84*'1. Standard_Cost'!$C$19))</f>
        <v>0</v>
      </c>
      <c r="Z84" s="126"/>
      <c r="AA84" s="126"/>
      <c r="AB84" s="127">
        <f>+Z84*'1. Standard_Cost'!$B$23+AA84*'1. Standard_Cost'!$C$23</f>
        <v>0</v>
      </c>
      <c r="AC84" s="128">
        <v>1200000000</v>
      </c>
      <c r="AD84" s="129"/>
      <c r="AE84" s="127"/>
      <c r="AF84" s="127">
        <f>SUM(AE84,AD84,AC84,AB84,Y84,U84,T84,S84,R84)</f>
        <v>1200000000</v>
      </c>
      <c r="AG84" s="126"/>
      <c r="AH84" s="126"/>
      <c r="AI84" s="126"/>
      <c r="AJ84" s="130"/>
      <c r="AK84" s="130"/>
      <c r="AL84" s="130"/>
      <c r="AM84" s="127">
        <f>AG84*'1. Standard_Cost'!$B$27+'Incremental_Cost Year 2'!AH84*'1. Standard_Cost'!$C$27+'Incremental_Cost Year 2'!AI84*'1. Standard_Cost'!$D$27+'Incremental_Cost Year 2'!AJ84+'Incremental_Cost Year 2'!AL84+AK84</f>
        <v>0</v>
      </c>
      <c r="AN84" s="127">
        <f>AM84*'1. Standard_Cost'!$C$31</f>
        <v>0</v>
      </c>
      <c r="AO84" s="130"/>
      <c r="AP84" s="256"/>
      <c r="AQ84" s="171">
        <f>L84+M84</f>
        <v>0</v>
      </c>
      <c r="AR84" s="171">
        <f>AF84</f>
        <v>1200000000</v>
      </c>
      <c r="AS84" s="171">
        <f>AM84+AN84</f>
        <v>0</v>
      </c>
      <c r="AT84" s="171">
        <f>SUM(AQ84,AR84,AS84)</f>
        <v>1200000000</v>
      </c>
      <c r="AU84" s="250">
        <v>1200000000</v>
      </c>
      <c r="AV84" s="250"/>
      <c r="AW84" s="250"/>
      <c r="AX84" s="250"/>
      <c r="AY84" s="250"/>
      <c r="AZ84" s="250"/>
      <c r="BA84" s="250"/>
      <c r="BB84" s="251">
        <f t="shared" si="61"/>
        <v>0</v>
      </c>
      <c r="BC84" s="169"/>
      <c r="BD84" s="169"/>
      <c r="BE84" s="169"/>
      <c r="BF84" s="169"/>
    </row>
    <row r="85" spans="1:58" ht="110.25" outlineLevel="1" x14ac:dyDescent="0.25">
      <c r="A85" s="115"/>
      <c r="B85" s="165"/>
      <c r="C85" s="166"/>
      <c r="D85" s="139" t="s">
        <v>421</v>
      </c>
      <c r="E85" s="212" t="s">
        <v>273</v>
      </c>
      <c r="F85" s="136">
        <v>2021</v>
      </c>
      <c r="G85" s="117">
        <v>2030</v>
      </c>
      <c r="H85" s="110" t="s">
        <v>175</v>
      </c>
      <c r="I85" s="252"/>
      <c r="J85" s="252"/>
      <c r="K85" s="252"/>
      <c r="L85" s="127">
        <f>SUM(L80:L84)</f>
        <v>2121000</v>
      </c>
      <c r="M85" s="127">
        <f>SUM(M80:M84)</f>
        <v>354207</v>
      </c>
      <c r="N85" s="252"/>
      <c r="O85" s="252"/>
      <c r="P85" s="252"/>
      <c r="Q85" s="252"/>
      <c r="R85" s="127">
        <f>SUM(R80:R84)</f>
        <v>0</v>
      </c>
      <c r="S85" s="127">
        <f>SUM(S80:S84)</f>
        <v>0</v>
      </c>
      <c r="T85" s="127">
        <f>SUM(T80:T84)</f>
        <v>0</v>
      </c>
      <c r="U85" s="127">
        <f>SUM(U80:U84)</f>
        <v>0</v>
      </c>
      <c r="V85" s="252"/>
      <c r="W85" s="252"/>
      <c r="X85" s="252"/>
      <c r="Y85" s="127">
        <f>SUM(Y80:Y84)</f>
        <v>0</v>
      </c>
      <c r="Z85" s="252"/>
      <c r="AA85" s="252"/>
      <c r="AB85" s="127">
        <f>SUM(AB80:AB84)</f>
        <v>855000</v>
      </c>
      <c r="AC85" s="127">
        <f>SUM(AC80:AC84)</f>
        <v>3662303000</v>
      </c>
      <c r="AD85" s="127">
        <f>SUM(AD80:AD84)</f>
        <v>0</v>
      </c>
      <c r="AE85" s="127">
        <f>SUM(AE80:AE84)</f>
        <v>0</v>
      </c>
      <c r="AF85" s="127">
        <f>SUM(AF80:AF84)</f>
        <v>3663158000</v>
      </c>
      <c r="AG85" s="252"/>
      <c r="AH85" s="252"/>
      <c r="AI85" s="252"/>
      <c r="AJ85" s="127">
        <f>SUM(AJ80:AJ84)</f>
        <v>0</v>
      </c>
      <c r="AK85" s="127">
        <f>SUM(AK80:AK84)</f>
        <v>0</v>
      </c>
      <c r="AL85" s="127">
        <f>SUM(AL80:AL84)</f>
        <v>0</v>
      </c>
      <c r="AM85" s="127">
        <f>SUM(AM80:AM84)</f>
        <v>0</v>
      </c>
      <c r="AN85" s="127">
        <f>SUM(AN80:AN84)</f>
        <v>0</v>
      </c>
      <c r="AO85" s="253"/>
      <c r="AP85" s="254"/>
      <c r="AQ85" s="175">
        <f>SUM(AQ80:AQ84)</f>
        <v>2475207</v>
      </c>
      <c r="AR85" s="175">
        <f>SUM(AR80:AR84)</f>
        <v>3663158000</v>
      </c>
      <c r="AS85" s="175">
        <f>SUM(AS80:AS84)</f>
        <v>0</v>
      </c>
      <c r="AT85" s="175">
        <f>SUM(AT80:AT84)</f>
        <v>3665633207</v>
      </c>
      <c r="AU85" s="175">
        <f t="shared" ref="AU85:BB85" si="62">SUM(AU80:AU84)</f>
        <v>3654778207</v>
      </c>
      <c r="AV85" s="175">
        <f t="shared" si="62"/>
        <v>0</v>
      </c>
      <c r="AW85" s="175">
        <f t="shared" si="62"/>
        <v>10000000</v>
      </c>
      <c r="AX85" s="175">
        <f t="shared" si="62"/>
        <v>0</v>
      </c>
      <c r="AY85" s="175">
        <f t="shared" si="62"/>
        <v>0</v>
      </c>
      <c r="AZ85" s="175">
        <f t="shared" si="62"/>
        <v>0</v>
      </c>
      <c r="BA85" s="175">
        <f t="shared" si="62"/>
        <v>0</v>
      </c>
      <c r="BB85" s="175">
        <f t="shared" si="62"/>
        <v>-855000</v>
      </c>
      <c r="BC85" s="169"/>
      <c r="BD85" s="169"/>
      <c r="BE85" s="169"/>
      <c r="BF85" s="169"/>
    </row>
    <row r="86" spans="1:58" ht="94.5" customHeight="1" outlineLevel="2" x14ac:dyDescent="0.25">
      <c r="A86" s="115"/>
      <c r="B86" s="200"/>
      <c r="C86" s="201"/>
      <c r="D86" s="346"/>
      <c r="E86" s="321"/>
      <c r="F86" s="295"/>
      <c r="G86" s="296"/>
      <c r="H86" s="164" t="s">
        <v>422</v>
      </c>
      <c r="I86" s="130"/>
      <c r="J86" s="126"/>
      <c r="K86" s="126"/>
      <c r="L86" s="125" t="str">
        <f>IF(I86&lt;&gt;0,((VLOOKUP(I86,'1. Standard_Cost'!$B$4:$D$11,2)+VLOOKUP(I86,'1. Standard_Cost'!$B$4:$D$11,3))*J86*K86),"0")</f>
        <v>0</v>
      </c>
      <c r="M86" s="125">
        <f>L86*'1. Standard_Cost'!$F$4</f>
        <v>0</v>
      </c>
      <c r="N86" s="126"/>
      <c r="O86" s="126"/>
      <c r="P86" s="126"/>
      <c r="Q86" s="126"/>
      <c r="R86" s="127">
        <f>'1. Standard_Cost'!$B$15*N86*P86</f>
        <v>0</v>
      </c>
      <c r="S86" s="127">
        <f>N86*O86*P86*'1. Standard_Cost'!$C$15</f>
        <v>0</v>
      </c>
      <c r="T86" s="127">
        <f>N86*P86*Q86*'1. Standard_Cost'!$D$15</f>
        <v>0</v>
      </c>
      <c r="U86" s="127">
        <f>N86*O86*'1. Standard_Cost'!$E$15</f>
        <v>0</v>
      </c>
      <c r="V86" s="126"/>
      <c r="W86" s="126"/>
      <c r="X86" s="126"/>
      <c r="Y86" s="127">
        <f>+V86*((X86*'1. Standard_Cost'!$B$19)+(W86*X86*'1. Standard_Cost'!$C$19))</f>
        <v>0</v>
      </c>
      <c r="Z86" s="126"/>
      <c r="AA86" s="126"/>
      <c r="AB86" s="127">
        <f>+Z86*'1. Standard_Cost'!$B$23+AA86*'1. Standard_Cost'!$C$23</f>
        <v>0</v>
      </c>
      <c r="AC86" s="128"/>
      <c r="AD86" s="129"/>
      <c r="AE86" s="127">
        <f>SUM(AD86,AC86,AB86,Y86,U86,T86,S86,R86)*'1. Standard_Cost'!$B$31</f>
        <v>0</v>
      </c>
      <c r="AF86" s="127">
        <f>SUM(AE86,AD86,AC86,AB86,Y86,U86,T86,S86,R86)</f>
        <v>0</v>
      </c>
      <c r="AG86" s="126"/>
      <c r="AH86" s="126"/>
      <c r="AI86" s="126"/>
      <c r="AJ86" s="130"/>
      <c r="AK86" s="130"/>
      <c r="AL86" s="130"/>
      <c r="AM86" s="127">
        <f>AG86*'1. Standard_Cost'!$B$27+'Incremental_Cost Year 2'!AH86*'1. Standard_Cost'!$C$27+'Incremental_Cost Year 2'!AI86*'1. Standard_Cost'!$D$27+'Incremental_Cost Year 2'!AJ86+'Incremental_Cost Year 2'!AL86+AK86</f>
        <v>0</v>
      </c>
      <c r="AN86" s="127">
        <f>AM86*'1. Standard_Cost'!$C$31</f>
        <v>0</v>
      </c>
      <c r="AO86" s="130"/>
      <c r="AQ86" s="171">
        <f>L86+M86</f>
        <v>0</v>
      </c>
      <c r="AR86" s="171">
        <f>AF86</f>
        <v>0</v>
      </c>
      <c r="AS86" s="171">
        <f>AM86+AN86</f>
        <v>0</v>
      </c>
      <c r="AT86" s="171">
        <f>SUM(AQ86,AR86,AS86)</f>
        <v>0</v>
      </c>
      <c r="AU86" s="250"/>
      <c r="AV86" s="250"/>
      <c r="AW86" s="250"/>
      <c r="AX86" s="250"/>
      <c r="AY86" s="250"/>
      <c r="AZ86" s="250"/>
      <c r="BA86" s="250"/>
      <c r="BB86" s="251">
        <f t="shared" ref="BB86:BB87" si="63">SUM(AU86:BA86)-AT86</f>
        <v>0</v>
      </c>
      <c r="BC86" s="169"/>
      <c r="BD86" s="169"/>
      <c r="BE86" s="169"/>
      <c r="BF86" s="169"/>
    </row>
    <row r="87" spans="1:58" ht="189" outlineLevel="2" x14ac:dyDescent="0.25">
      <c r="A87" s="115"/>
      <c r="B87" s="200"/>
      <c r="C87" s="201"/>
      <c r="D87" s="133"/>
      <c r="E87" s="322"/>
      <c r="F87" s="122"/>
      <c r="G87" s="123"/>
      <c r="H87" s="199" t="s">
        <v>423</v>
      </c>
      <c r="I87" s="130"/>
      <c r="J87" s="126"/>
      <c r="K87" s="126"/>
      <c r="L87" s="125" t="str">
        <f>IF(I87&lt;&gt;0,((VLOOKUP(I87,'1. Standard_Cost'!$B$4:$D$11,2)+VLOOKUP(I87,'1. Standard_Cost'!$B$4:$D$11,3))*J87*K87),"0")</f>
        <v>0</v>
      </c>
      <c r="M87" s="125">
        <f>L87*'1. Standard_Cost'!$F$4</f>
        <v>0</v>
      </c>
      <c r="N87" s="126"/>
      <c r="O87" s="126"/>
      <c r="P87" s="126"/>
      <c r="Q87" s="126"/>
      <c r="R87" s="127">
        <f>'1. Standard_Cost'!$B$15*N87*P87</f>
        <v>0</v>
      </c>
      <c r="S87" s="127">
        <f>N87*O87*P87*'1. Standard_Cost'!$C$15</f>
        <v>0</v>
      </c>
      <c r="T87" s="127">
        <f>N87*P87*Q87*'1. Standard_Cost'!$D$15</f>
        <v>0</v>
      </c>
      <c r="U87" s="127">
        <f>N87*O87*'1. Standard_Cost'!$E$15</f>
        <v>0</v>
      </c>
      <c r="V87" s="126"/>
      <c r="W87" s="126"/>
      <c r="X87" s="126"/>
      <c r="Y87" s="127">
        <f>+V87*((X87*'1. Standard_Cost'!$B$19)+(W87*X87*'1. Standard_Cost'!$C$19))</f>
        <v>0</v>
      </c>
      <c r="Z87" s="126"/>
      <c r="AA87" s="126"/>
      <c r="AB87" s="127">
        <f>+Z87*'1. Standard_Cost'!$B$23+AA87*'1. Standard_Cost'!$C$23</f>
        <v>0</v>
      </c>
      <c r="AC87" s="128"/>
      <c r="AD87" s="129"/>
      <c r="AE87" s="127">
        <f>SUM(AD87,AC87,AB87,Y87,U87,T87,S87,R87)*'1. Standard_Cost'!$B$31</f>
        <v>0</v>
      </c>
      <c r="AF87" s="127">
        <f>SUM(AE87,AD87,AC87,AB87,Y87,U87,T87,S87,R87)</f>
        <v>0</v>
      </c>
      <c r="AG87" s="126"/>
      <c r="AH87" s="126"/>
      <c r="AI87" s="126"/>
      <c r="AJ87" s="130"/>
      <c r="AK87" s="130"/>
      <c r="AL87" s="130"/>
      <c r="AM87" s="127">
        <f>AG87*'1. Standard_Cost'!$B$27+'Incremental_Cost Year 2'!AH87*'1. Standard_Cost'!$C$27+'Incremental_Cost Year 2'!AI87*'1. Standard_Cost'!$D$27+'Incremental_Cost Year 2'!AJ87+'Incremental_Cost Year 2'!AL87+AK87</f>
        <v>0</v>
      </c>
      <c r="AN87" s="127">
        <f>AM87*'1. Standard_Cost'!$C$31</f>
        <v>0</v>
      </c>
      <c r="AO87" s="130"/>
      <c r="AQ87" s="171">
        <f>L87+M87</f>
        <v>0</v>
      </c>
      <c r="AR87" s="171">
        <f>AF87</f>
        <v>0</v>
      </c>
      <c r="AS87" s="171">
        <f>AM87+AN87</f>
        <v>0</v>
      </c>
      <c r="AT87" s="171">
        <f>SUM(AQ87,AR87,AS87)</f>
        <v>0</v>
      </c>
      <c r="AU87" s="250"/>
      <c r="AV87" s="250"/>
      <c r="AW87" s="250"/>
      <c r="AX87" s="250"/>
      <c r="AY87" s="250"/>
      <c r="AZ87" s="250"/>
      <c r="BA87" s="250"/>
      <c r="BB87" s="251">
        <f t="shared" si="63"/>
        <v>0</v>
      </c>
      <c r="BC87" s="169"/>
      <c r="BD87" s="169"/>
      <c r="BE87" s="169"/>
      <c r="BF87" s="169"/>
    </row>
    <row r="88" spans="1:58" ht="63" outlineLevel="1" x14ac:dyDescent="0.25">
      <c r="A88" s="115"/>
      <c r="B88" s="165"/>
      <c r="C88" s="166"/>
      <c r="D88" s="212" t="s">
        <v>240</v>
      </c>
      <c r="E88" s="212" t="s">
        <v>269</v>
      </c>
      <c r="F88" s="117">
        <v>2024</v>
      </c>
      <c r="G88" s="117">
        <v>2030</v>
      </c>
      <c r="H88" s="110" t="s">
        <v>270</v>
      </c>
      <c r="I88" s="252"/>
      <c r="J88" s="252"/>
      <c r="K88" s="252"/>
      <c r="L88" s="127">
        <f>SUM(L86:L87)</f>
        <v>0</v>
      </c>
      <c r="M88" s="127">
        <f>SUM(M86:M87)</f>
        <v>0</v>
      </c>
      <c r="N88" s="252"/>
      <c r="O88" s="252"/>
      <c r="P88" s="252"/>
      <c r="Q88" s="252"/>
      <c r="R88" s="127">
        <f>SUM(R86:R87)</f>
        <v>0</v>
      </c>
      <c r="S88" s="127">
        <f>SUM(S86:S87)</f>
        <v>0</v>
      </c>
      <c r="T88" s="127">
        <f>SUM(T86:T87)</f>
        <v>0</v>
      </c>
      <c r="U88" s="127">
        <f>SUM(U86:U87)</f>
        <v>0</v>
      </c>
      <c r="V88" s="252"/>
      <c r="W88" s="252"/>
      <c r="X88" s="252"/>
      <c r="Y88" s="127">
        <f>SUM(Y86:Y87)</f>
        <v>0</v>
      </c>
      <c r="Z88" s="252"/>
      <c r="AA88" s="252"/>
      <c r="AB88" s="127">
        <f>SUM(AB86:AB87)</f>
        <v>0</v>
      </c>
      <c r="AC88" s="127">
        <f>SUM(AC86:AC87)</f>
        <v>0</v>
      </c>
      <c r="AD88" s="127">
        <f>SUM(AD86:AD87)</f>
        <v>0</v>
      </c>
      <c r="AE88" s="127">
        <f>SUM(AE86:AE87)</f>
        <v>0</v>
      </c>
      <c r="AF88" s="127">
        <f>SUM(AF86:AF87)</f>
        <v>0</v>
      </c>
      <c r="AG88" s="252"/>
      <c r="AH88" s="252"/>
      <c r="AI88" s="252"/>
      <c r="AJ88" s="127">
        <f>SUM(AJ86:AJ87)</f>
        <v>0</v>
      </c>
      <c r="AK88" s="127">
        <f>SUM(AK86:AK87)</f>
        <v>0</v>
      </c>
      <c r="AL88" s="127">
        <f>SUM(AL86:AL87)</f>
        <v>0</v>
      </c>
      <c r="AM88" s="127">
        <f>SUM(AM86:AM87)</f>
        <v>0</v>
      </c>
      <c r="AN88" s="127">
        <f>SUM(AN86:AN87)</f>
        <v>0</v>
      </c>
      <c r="AO88" s="253"/>
      <c r="AP88" s="254"/>
      <c r="AQ88" s="175">
        <f>SUM(AQ86:AQ87)</f>
        <v>0</v>
      </c>
      <c r="AR88" s="175">
        <f>SUM(AR86:AR87)</f>
        <v>0</v>
      </c>
      <c r="AS88" s="175">
        <f>SUM(AS86:AS87)</f>
        <v>0</v>
      </c>
      <c r="AT88" s="175">
        <f>SUM(AT86:AT87)</f>
        <v>0</v>
      </c>
      <c r="AU88" s="175">
        <f t="shared" ref="AU88:BB88" si="64">SUM(AU86:AU87)</f>
        <v>0</v>
      </c>
      <c r="AV88" s="175">
        <f t="shared" si="64"/>
        <v>0</v>
      </c>
      <c r="AW88" s="175">
        <f>SUM(AW86:AW87)</f>
        <v>0</v>
      </c>
      <c r="AX88" s="175">
        <f t="shared" si="64"/>
        <v>0</v>
      </c>
      <c r="AY88" s="175">
        <f t="shared" si="64"/>
        <v>0</v>
      </c>
      <c r="AZ88" s="175">
        <f t="shared" si="64"/>
        <v>0</v>
      </c>
      <c r="BA88" s="175">
        <f t="shared" si="64"/>
        <v>0</v>
      </c>
      <c r="BB88" s="175">
        <f t="shared" si="64"/>
        <v>0</v>
      </c>
      <c r="BC88" s="169"/>
      <c r="BD88" s="169"/>
      <c r="BE88" s="169"/>
      <c r="BF88" s="169"/>
    </row>
    <row r="89" spans="1:58" ht="63" outlineLevel="2" x14ac:dyDescent="0.25">
      <c r="A89" s="115"/>
      <c r="B89" s="200"/>
      <c r="C89" s="201"/>
      <c r="D89" s="346"/>
      <c r="E89" s="321"/>
      <c r="F89" s="306"/>
      <c r="G89" s="307"/>
      <c r="H89" s="199" t="s">
        <v>424</v>
      </c>
      <c r="I89" s="130" t="s">
        <v>2</v>
      </c>
      <c r="J89" s="126">
        <v>12</v>
      </c>
      <c r="K89" s="126">
        <v>2</v>
      </c>
      <c r="L89" s="125">
        <f>IF(I89&lt;&gt;0,((VLOOKUP(I89,'1. Standard_Cost'!$B$4:$D$11,2)+VLOOKUP(I89,'1. Standard_Cost'!$B$4:$D$11,3))*J89*K89),"0")</f>
        <v>2904000</v>
      </c>
      <c r="M89" s="125">
        <f>L89*'1. Standard_Cost'!$F$4</f>
        <v>484968</v>
      </c>
      <c r="N89" s="126"/>
      <c r="O89" s="126"/>
      <c r="P89" s="126"/>
      <c r="Q89" s="126"/>
      <c r="R89" s="127">
        <f>'1. Standard_Cost'!$B$15*N89*P89</f>
        <v>0</v>
      </c>
      <c r="S89" s="127">
        <f>N89*O89*P89*'1. Standard_Cost'!$C$15</f>
        <v>0</v>
      </c>
      <c r="T89" s="127">
        <f>N89*P89*Q89*'1. Standard_Cost'!$D$15</f>
        <v>0</v>
      </c>
      <c r="U89" s="127">
        <f>N89*O89*'1. Standard_Cost'!$E$15</f>
        <v>0</v>
      </c>
      <c r="V89" s="126"/>
      <c r="W89" s="126"/>
      <c r="X89" s="126"/>
      <c r="Y89" s="127">
        <f>+V89*((X89*'1. Standard_Cost'!$B$19)+(W89*X89*'1. Standard_Cost'!$C$19))</f>
        <v>0</v>
      </c>
      <c r="Z89" s="126"/>
      <c r="AA89" s="126"/>
      <c r="AB89" s="127">
        <f>+Z89*'1. Standard_Cost'!$B$23+AA89*'1. Standard_Cost'!$C$23</f>
        <v>0</v>
      </c>
      <c r="AC89" s="128">
        <v>406676</v>
      </c>
      <c r="AD89" s="129"/>
      <c r="AE89" s="127">
        <f>SUM(AD89,AC89,AB89,Y89,U89,T89,S89,R89)*'1. Standard_Cost'!$B$31</f>
        <v>81335.200000000012</v>
      </c>
      <c r="AF89" s="127">
        <f>SUM(AE89,AD89,AC89,AB89,Y89,U89,T89,S89,R89)</f>
        <v>488011.2</v>
      </c>
      <c r="AG89" s="126"/>
      <c r="AH89" s="126"/>
      <c r="AI89" s="126"/>
      <c r="AJ89" s="130"/>
      <c r="AK89" s="130"/>
      <c r="AL89" s="130"/>
      <c r="AM89" s="127">
        <f>AG89*'1. Standard_Cost'!$B$27+'Incremental_Cost Year 2'!AH89*'1. Standard_Cost'!$C$27+'Incremental_Cost Year 2'!AI89*'1. Standard_Cost'!$D$27+'Incremental_Cost Year 2'!AJ89+'Incremental_Cost Year 2'!AL89+AK89</f>
        <v>0</v>
      </c>
      <c r="AN89" s="127">
        <f>AM89*'1. Standard_Cost'!$C$31</f>
        <v>0</v>
      </c>
      <c r="AO89" s="130"/>
      <c r="AQ89" s="171">
        <f>L89+M89</f>
        <v>3388968</v>
      </c>
      <c r="AR89" s="171">
        <f>AF89</f>
        <v>488011.2</v>
      </c>
      <c r="AS89" s="171">
        <f>AM89+AN89</f>
        <v>0</v>
      </c>
      <c r="AT89" s="171">
        <f>SUM(AQ89,AR89,AS89)</f>
        <v>3876979.2</v>
      </c>
      <c r="AU89" s="250">
        <v>3876979</v>
      </c>
      <c r="AV89" s="250"/>
      <c r="AW89" s="250"/>
      <c r="AX89" s="250"/>
      <c r="AY89" s="250"/>
      <c r="AZ89" s="250"/>
      <c r="BA89" s="250"/>
      <c r="BB89" s="251">
        <f t="shared" ref="BB89:BB91" si="65">SUM(AU89:BA89)-AT89</f>
        <v>-0.20000000018626451</v>
      </c>
      <c r="BC89" s="169"/>
      <c r="BD89" s="169"/>
      <c r="BE89" s="169"/>
      <c r="BF89" s="169"/>
    </row>
    <row r="90" spans="1:58" ht="94.5" outlineLevel="2" x14ac:dyDescent="0.25">
      <c r="A90" s="115"/>
      <c r="B90" s="200"/>
      <c r="C90" s="201"/>
      <c r="D90" s="203"/>
      <c r="E90" s="323"/>
      <c r="F90" s="308"/>
      <c r="G90" s="309"/>
      <c r="H90" s="199" t="s">
        <v>425</v>
      </c>
      <c r="I90" s="130" t="s">
        <v>2</v>
      </c>
      <c r="J90" s="126">
        <v>12</v>
      </c>
      <c r="K90" s="126">
        <v>1</v>
      </c>
      <c r="L90" s="125">
        <f>IF(I90&lt;&gt;0,((VLOOKUP(I90,'1. Standard_Cost'!$B$4:$D$11,2)+VLOOKUP(I90,'1. Standard_Cost'!$B$4:$D$11,3))*J90*K90),"0")</f>
        <v>1452000</v>
      </c>
      <c r="M90" s="125">
        <f>L90*'1. Standard_Cost'!$F$4</f>
        <v>242484</v>
      </c>
      <c r="N90" s="126"/>
      <c r="O90" s="126"/>
      <c r="P90" s="126"/>
      <c r="Q90" s="126"/>
      <c r="R90" s="127">
        <f>'1. Standard_Cost'!$B$15*N90*P90</f>
        <v>0</v>
      </c>
      <c r="S90" s="127">
        <f>N90*O90*P90*'1. Standard_Cost'!$C$15</f>
        <v>0</v>
      </c>
      <c r="T90" s="127">
        <f>N90*P90*Q90*'1. Standard_Cost'!$D$15</f>
        <v>0</v>
      </c>
      <c r="U90" s="127">
        <f>N90*O90*'1. Standard_Cost'!$E$15</f>
        <v>0</v>
      </c>
      <c r="V90" s="126"/>
      <c r="W90" s="126"/>
      <c r="X90" s="126"/>
      <c r="Y90" s="127">
        <f>+V90*((X90*'1. Standard_Cost'!$B$19)+(W90*X90*'1. Standard_Cost'!$C$19))</f>
        <v>0</v>
      </c>
      <c r="Z90" s="126"/>
      <c r="AA90" s="126">
        <v>25</v>
      </c>
      <c r="AB90" s="127">
        <f>+Z90*'1. Standard_Cost'!$B$23+AA90*'1. Standard_Cost'!$C$23</f>
        <v>475000</v>
      </c>
      <c r="AC90" s="128">
        <v>203240</v>
      </c>
      <c r="AD90" s="129"/>
      <c r="AE90" s="127">
        <f>SUM(AD90,AC90,AB90,Y90,U90,T90,S90,R90)*'1. Standard_Cost'!$B$31</f>
        <v>135648</v>
      </c>
      <c r="AF90" s="127">
        <f>SUM(AE90,AD90,AC90,AB90,Y90,U90,T90,S90,R90)</f>
        <v>813888</v>
      </c>
      <c r="AG90" s="126"/>
      <c r="AH90" s="126"/>
      <c r="AI90" s="126"/>
      <c r="AJ90" s="130"/>
      <c r="AK90" s="130"/>
      <c r="AL90" s="130"/>
      <c r="AM90" s="127">
        <f>AG90*'1. Standard_Cost'!$B$27+'Incremental_Cost Year 2'!AH90*'1. Standard_Cost'!$C$27+'Incremental_Cost Year 2'!AI90*'1. Standard_Cost'!$D$27+'Incremental_Cost Year 2'!AJ90+'Incremental_Cost Year 2'!AL90+AK90</f>
        <v>0</v>
      </c>
      <c r="AN90" s="127">
        <f>AM90*'1. Standard_Cost'!$C$31</f>
        <v>0</v>
      </c>
      <c r="AO90" s="130"/>
      <c r="AQ90" s="171">
        <f>L90+M90</f>
        <v>1694484</v>
      </c>
      <c r="AR90" s="171">
        <f>AF90</f>
        <v>813888</v>
      </c>
      <c r="AS90" s="171">
        <f>AM90+AN90</f>
        <v>0</v>
      </c>
      <c r="AT90" s="171">
        <f>SUM(AQ90,AR90,AS90)</f>
        <v>2508372</v>
      </c>
      <c r="AU90" s="250">
        <v>1938372</v>
      </c>
      <c r="AV90" s="250"/>
      <c r="AW90" s="250"/>
      <c r="AX90" s="250"/>
      <c r="AY90" s="250"/>
      <c r="AZ90" s="250"/>
      <c r="BA90" s="250"/>
      <c r="BB90" s="251">
        <f t="shared" si="65"/>
        <v>-570000</v>
      </c>
      <c r="BC90" s="169"/>
      <c r="BD90" s="169"/>
      <c r="BE90" s="169"/>
      <c r="BF90" s="169"/>
    </row>
    <row r="91" spans="1:58" ht="78.75" outlineLevel="2" x14ac:dyDescent="0.25">
      <c r="A91" s="115"/>
      <c r="B91" s="200"/>
      <c r="C91" s="201"/>
      <c r="D91" s="133"/>
      <c r="E91" s="322"/>
      <c r="F91" s="324"/>
      <c r="G91" s="325"/>
      <c r="H91" s="109" t="s">
        <v>426</v>
      </c>
      <c r="I91" s="130" t="s">
        <v>3</v>
      </c>
      <c r="J91" s="126">
        <v>3</v>
      </c>
      <c r="K91" s="126">
        <v>3</v>
      </c>
      <c r="L91" s="125">
        <f>IF(I91&lt;&gt;0,((VLOOKUP(I91,'1. Standard_Cost'!$B$4:$D$11,2)+VLOOKUP(I91,'1. Standard_Cost'!$B$4:$D$11,3))*J91*K91),"0")</f>
        <v>907200</v>
      </c>
      <c r="M91" s="125">
        <f>L91*'1. Standard_Cost'!$F$4</f>
        <v>151502.39999999999</v>
      </c>
      <c r="N91" s="126"/>
      <c r="O91" s="126"/>
      <c r="P91" s="126"/>
      <c r="Q91" s="126"/>
      <c r="R91" s="127">
        <f>'1. Standard_Cost'!$B$15*N91*P91</f>
        <v>0</v>
      </c>
      <c r="S91" s="127">
        <f>N91*O91*P91*'1. Standard_Cost'!$C$15</f>
        <v>0</v>
      </c>
      <c r="T91" s="127">
        <f>N91*P91*Q91*'1. Standard_Cost'!$D$15</f>
        <v>0</v>
      </c>
      <c r="U91" s="127">
        <f>N91*O91*'1. Standard_Cost'!$E$15</f>
        <v>0</v>
      </c>
      <c r="V91" s="126">
        <v>1</v>
      </c>
      <c r="W91" s="126">
        <v>5</v>
      </c>
      <c r="X91" s="126">
        <v>3</v>
      </c>
      <c r="Y91" s="127">
        <f>+V91*((X91*'1. Standard_Cost'!$B$19)+(W91*X91*'1. Standard_Cost'!$C$19))</f>
        <v>255000</v>
      </c>
      <c r="Z91" s="126"/>
      <c r="AA91" s="126"/>
      <c r="AB91" s="127">
        <f>+Z91*'1. Standard_Cost'!$B$23+AA91*'1. Standard_Cost'!$C$23</f>
        <v>0</v>
      </c>
      <c r="AC91" s="128">
        <v>127045</v>
      </c>
      <c r="AD91" s="129"/>
      <c r="AE91" s="127">
        <f>SUM(AD91,AC91,AB91,Y91,U91,T91,S91,R91)*'1. Standard_Cost'!$B$31</f>
        <v>76409</v>
      </c>
      <c r="AF91" s="127">
        <f>SUM(AE91,AD91,AC91,AB91,Y91,U91,T91,S91,R91)</f>
        <v>458454</v>
      </c>
      <c r="AG91" s="126"/>
      <c r="AH91" s="126"/>
      <c r="AI91" s="126"/>
      <c r="AJ91" s="130"/>
      <c r="AK91" s="130"/>
      <c r="AL91" s="130"/>
      <c r="AM91" s="127">
        <f>AG91*'1. Standard_Cost'!$B$27+'Incremental_Cost Year 2'!AH91*'1. Standard_Cost'!$C$27+'Incremental_Cost Year 2'!AI91*'1. Standard_Cost'!$D$27+'Incremental_Cost Year 2'!AJ91+'Incremental_Cost Year 2'!AL91+AK91</f>
        <v>0</v>
      </c>
      <c r="AN91" s="127">
        <f>AM91*'1. Standard_Cost'!$C$31</f>
        <v>0</v>
      </c>
      <c r="AO91" s="130"/>
      <c r="AQ91" s="171">
        <f>L91+M91</f>
        <v>1058702.3999999999</v>
      </c>
      <c r="AR91" s="171">
        <f>AF91</f>
        <v>458454</v>
      </c>
      <c r="AS91" s="171">
        <f>AM91+AN91</f>
        <v>0</v>
      </c>
      <c r="AT91" s="171">
        <f>SUM(AQ91,AR91,AS91)</f>
        <v>1517156.4</v>
      </c>
      <c r="AU91" s="250">
        <v>1517156</v>
      </c>
      <c r="AV91" s="250"/>
      <c r="AW91" s="250"/>
      <c r="AX91" s="250"/>
      <c r="AY91" s="250"/>
      <c r="AZ91" s="250"/>
      <c r="BA91" s="250"/>
      <c r="BB91" s="251">
        <f t="shared" si="65"/>
        <v>-0.39999999990686774</v>
      </c>
      <c r="BC91" s="169"/>
      <c r="BD91" s="169"/>
      <c r="BE91" s="169"/>
      <c r="BF91" s="169"/>
    </row>
    <row r="92" spans="1:58" ht="78.75" outlineLevel="1" x14ac:dyDescent="0.25">
      <c r="A92" s="115"/>
      <c r="B92" s="165"/>
      <c r="C92" s="166"/>
      <c r="D92" s="150" t="s">
        <v>240</v>
      </c>
      <c r="E92" s="212" t="s">
        <v>271</v>
      </c>
      <c r="F92" s="104">
        <v>2021</v>
      </c>
      <c r="G92" s="104">
        <v>2030</v>
      </c>
      <c r="H92" s="110" t="s">
        <v>272</v>
      </c>
      <c r="I92" s="252"/>
      <c r="J92" s="252"/>
      <c r="K92" s="252"/>
      <c r="L92" s="127">
        <f>SUM(L89:L91)</f>
        <v>5263200</v>
      </c>
      <c r="M92" s="127">
        <f>SUM(M89:M91)</f>
        <v>878954.4</v>
      </c>
      <c r="N92" s="252"/>
      <c r="O92" s="252"/>
      <c r="P92" s="252"/>
      <c r="Q92" s="252"/>
      <c r="R92" s="127">
        <f>SUM(R89:R91)</f>
        <v>0</v>
      </c>
      <c r="S92" s="127">
        <f>SUM(S89:S91)</f>
        <v>0</v>
      </c>
      <c r="T92" s="127">
        <f>SUM(T89:T91)</f>
        <v>0</v>
      </c>
      <c r="U92" s="127">
        <f>SUM(U89:U91)</f>
        <v>0</v>
      </c>
      <c r="V92" s="252"/>
      <c r="W92" s="252"/>
      <c r="X92" s="252"/>
      <c r="Y92" s="127">
        <f>SUM(Y89:Y91)</f>
        <v>255000</v>
      </c>
      <c r="Z92" s="252"/>
      <c r="AA92" s="252"/>
      <c r="AB92" s="127">
        <f>SUM(AB89:AB91)</f>
        <v>475000</v>
      </c>
      <c r="AC92" s="127">
        <f>SUM(AC89:AC91)</f>
        <v>736961</v>
      </c>
      <c r="AD92" s="127">
        <f>SUM(AD89:AD91)</f>
        <v>0</v>
      </c>
      <c r="AE92" s="127">
        <f>SUM(AE89:AE91)</f>
        <v>293392.2</v>
      </c>
      <c r="AF92" s="127">
        <f>SUM(AF89:AF91)</f>
        <v>1760353.2</v>
      </c>
      <c r="AG92" s="252"/>
      <c r="AH92" s="252"/>
      <c r="AI92" s="252"/>
      <c r="AJ92" s="127">
        <f>SUM(AJ89:AJ91)</f>
        <v>0</v>
      </c>
      <c r="AK92" s="127">
        <f>SUM(AK89:AK91)</f>
        <v>0</v>
      </c>
      <c r="AL92" s="127">
        <f>SUM(AL89:AL91)</f>
        <v>0</v>
      </c>
      <c r="AM92" s="127">
        <f>SUM(AM89:AM91)</f>
        <v>0</v>
      </c>
      <c r="AN92" s="127">
        <f>SUM(AN89:AN91)</f>
        <v>0</v>
      </c>
      <c r="AO92" s="253"/>
      <c r="AP92" s="254"/>
      <c r="AQ92" s="175">
        <f>SUM(AQ89:AQ91)</f>
        <v>6142154.4000000004</v>
      </c>
      <c r="AR92" s="175">
        <f>SUM(AR89:AR91)</f>
        <v>1760353.2</v>
      </c>
      <c r="AS92" s="175">
        <f>SUM(AS89:AS91)</f>
        <v>0</v>
      </c>
      <c r="AT92" s="175">
        <f>SUM(AT89:AT91)</f>
        <v>7902507.5999999996</v>
      </c>
      <c r="AU92" s="175">
        <f t="shared" ref="AU92:BB92" si="66">SUM(AU89:AU91)</f>
        <v>7332507</v>
      </c>
      <c r="AV92" s="175">
        <f t="shared" si="66"/>
        <v>0</v>
      </c>
      <c r="AW92" s="175">
        <f>SUM(AW89:AW91)</f>
        <v>0</v>
      </c>
      <c r="AX92" s="175">
        <f t="shared" si="66"/>
        <v>0</v>
      </c>
      <c r="AY92" s="175">
        <f t="shared" si="66"/>
        <v>0</v>
      </c>
      <c r="AZ92" s="175">
        <f t="shared" si="66"/>
        <v>0</v>
      </c>
      <c r="BA92" s="175">
        <f t="shared" si="66"/>
        <v>0</v>
      </c>
      <c r="BB92" s="175">
        <f t="shared" si="66"/>
        <v>-570000.60000000009</v>
      </c>
      <c r="BC92" s="169"/>
      <c r="BD92" s="169"/>
      <c r="BE92" s="169"/>
      <c r="BF92" s="169"/>
    </row>
    <row r="93" spans="1:58" s="184" customFormat="1" ht="15.75" customHeight="1" x14ac:dyDescent="0.25">
      <c r="A93" s="143"/>
      <c r="B93" s="290"/>
      <c r="C93" s="391" t="s">
        <v>537</v>
      </c>
      <c r="D93" s="391"/>
      <c r="E93" s="392"/>
      <c r="F93" s="291"/>
      <c r="G93" s="291"/>
      <c r="H93" s="144" t="s">
        <v>165</v>
      </c>
      <c r="I93" s="257"/>
      <c r="J93" s="257"/>
      <c r="K93" s="257"/>
      <c r="L93" s="258">
        <f>SUM(L99)</f>
        <v>555200</v>
      </c>
      <c r="M93" s="258">
        <f>SUM(M99)</f>
        <v>92718.399999999994</v>
      </c>
      <c r="N93" s="257"/>
      <c r="O93" s="257"/>
      <c r="P93" s="257"/>
      <c r="Q93" s="257"/>
      <c r="R93" s="258">
        <f>SUM(R99)</f>
        <v>0</v>
      </c>
      <c r="S93" s="258">
        <f>SUM(S99)</f>
        <v>0</v>
      </c>
      <c r="T93" s="258">
        <f>SUM(T99)</f>
        <v>0</v>
      </c>
      <c r="U93" s="258">
        <f>SUM(U99)</f>
        <v>0</v>
      </c>
      <c r="V93" s="257"/>
      <c r="W93" s="257"/>
      <c r="X93" s="257"/>
      <c r="Y93" s="258">
        <f>SUM(Y99)</f>
        <v>0</v>
      </c>
      <c r="Z93" s="257"/>
      <c r="AA93" s="257"/>
      <c r="AB93" s="258">
        <f>SUM(AB99)</f>
        <v>950000</v>
      </c>
      <c r="AC93" s="258">
        <f>SUM(AC99)</f>
        <v>69000</v>
      </c>
      <c r="AD93" s="258">
        <f>SUM(AD99)</f>
        <v>0</v>
      </c>
      <c r="AE93" s="258">
        <f>SUM(AE99)</f>
        <v>203800</v>
      </c>
      <c r="AF93" s="258">
        <f>SUM(AF99)</f>
        <v>1222800</v>
      </c>
      <c r="AG93" s="257"/>
      <c r="AH93" s="257"/>
      <c r="AI93" s="257"/>
      <c r="AJ93" s="258">
        <f>SUM(AJ99)</f>
        <v>0</v>
      </c>
      <c r="AK93" s="258">
        <f>SUM(AK99)</f>
        <v>0</v>
      </c>
      <c r="AL93" s="258">
        <f>SUM(AL99)</f>
        <v>0</v>
      </c>
      <c r="AM93" s="258">
        <f>SUM(AM99)</f>
        <v>0</v>
      </c>
      <c r="AN93" s="258">
        <f>SUM(AN99)</f>
        <v>0</v>
      </c>
      <c r="AO93" s="259"/>
      <c r="AP93" s="260"/>
      <c r="AQ93" s="261">
        <f>SUM(AQ99)</f>
        <v>647918.4</v>
      </c>
      <c r="AR93" s="261">
        <f>SUM(AR99)</f>
        <v>1222800</v>
      </c>
      <c r="AS93" s="261">
        <f>SUM(AS99)</f>
        <v>0</v>
      </c>
      <c r="AT93" s="261">
        <f>SUM(AT99)</f>
        <v>1870718.4</v>
      </c>
      <c r="AU93" s="261">
        <f t="shared" ref="AU93:BA93" si="67">SUM(AU99)</f>
        <v>93307</v>
      </c>
      <c r="AV93" s="261">
        <f t="shared" si="67"/>
        <v>0</v>
      </c>
      <c r="AW93" s="261">
        <f>SUM(AW99)</f>
        <v>0</v>
      </c>
      <c r="AX93" s="261">
        <f t="shared" si="67"/>
        <v>0</v>
      </c>
      <c r="AY93" s="261">
        <f t="shared" si="67"/>
        <v>0</v>
      </c>
      <c r="AZ93" s="261">
        <f t="shared" si="67"/>
        <v>0</v>
      </c>
      <c r="BA93" s="261">
        <f t="shared" si="67"/>
        <v>0</v>
      </c>
      <c r="BB93" s="261">
        <f>SUM(BB99)</f>
        <v>-1777411.4</v>
      </c>
    </row>
    <row r="94" spans="1:58" ht="94.5" outlineLevel="2" x14ac:dyDescent="0.25">
      <c r="A94" s="115"/>
      <c r="B94" s="200"/>
      <c r="C94" s="201"/>
      <c r="D94" s="346"/>
      <c r="E94" s="321"/>
      <c r="F94" s="306"/>
      <c r="G94" s="307"/>
      <c r="H94" s="109" t="s">
        <v>427</v>
      </c>
      <c r="I94" s="130" t="s">
        <v>5</v>
      </c>
      <c r="J94" s="126">
        <v>1</v>
      </c>
      <c r="K94" s="126">
        <v>1</v>
      </c>
      <c r="L94" s="125">
        <f>IF(I94&lt;&gt;0,((VLOOKUP(I94,'1. Standard_Cost'!$B$4:$D$11,2)+VLOOKUP(I94,'1. Standard_Cost'!$B$4:$D$11,3))*J94*K94),"0")</f>
        <v>70700</v>
      </c>
      <c r="M94" s="125">
        <f>L94*'1. Standard_Cost'!$F$4</f>
        <v>11806.900000000001</v>
      </c>
      <c r="N94" s="126"/>
      <c r="O94" s="126"/>
      <c r="P94" s="126"/>
      <c r="Q94" s="126"/>
      <c r="R94" s="127">
        <f>'1. Standard_Cost'!$B$15*N94*P94</f>
        <v>0</v>
      </c>
      <c r="S94" s="127">
        <f>N94*O94*P94*'1. Standard_Cost'!$C$15</f>
        <v>0</v>
      </c>
      <c r="T94" s="127">
        <f>N94*P94*Q94*'1. Standard_Cost'!$D$15</f>
        <v>0</v>
      </c>
      <c r="U94" s="127">
        <f>N94*O94*'1. Standard_Cost'!$E$15</f>
        <v>0</v>
      </c>
      <c r="V94" s="126"/>
      <c r="W94" s="126"/>
      <c r="X94" s="126"/>
      <c r="Y94" s="127">
        <f>+V94*((X94*'1. Standard_Cost'!$B$19)+(W94*X94*'1. Standard_Cost'!$C$19))</f>
        <v>0</v>
      </c>
      <c r="Z94" s="126"/>
      <c r="AA94" s="126">
        <v>50</v>
      </c>
      <c r="AB94" s="127">
        <f>+Z94*'1. Standard_Cost'!$B$23+AA94*'1. Standard_Cost'!$C$23</f>
        <v>950000</v>
      </c>
      <c r="AC94" s="128">
        <v>9000</v>
      </c>
      <c r="AD94" s="129"/>
      <c r="AE94" s="127">
        <f>SUM(AD94,AC94,AB94,Y94,U94,T94,S94,R94)*'1. Standard_Cost'!$B$31</f>
        <v>191800</v>
      </c>
      <c r="AF94" s="127">
        <f>SUM(AE94,AD94,AC94,AB94,Y94,U94,T94,S94,R94)</f>
        <v>1150800</v>
      </c>
      <c r="AG94" s="126"/>
      <c r="AH94" s="126"/>
      <c r="AI94" s="126"/>
      <c r="AJ94" s="130"/>
      <c r="AK94" s="130"/>
      <c r="AL94" s="130"/>
      <c r="AM94" s="127">
        <f>AG94*'1. Standard_Cost'!$B$27+'Incremental_Cost Year 2'!AH94*'1. Standard_Cost'!$C$27+'Incremental_Cost Year 2'!AI94*'1. Standard_Cost'!$D$27+'Incremental_Cost Year 2'!AJ94+'Incremental_Cost Year 2'!AL94+AK94</f>
        <v>0</v>
      </c>
      <c r="AN94" s="127">
        <f>AM94*'1. Standard_Cost'!$C$31</f>
        <v>0</v>
      </c>
      <c r="AO94" s="130"/>
      <c r="AQ94" s="171">
        <f>L94+M94</f>
        <v>82506.899999999994</v>
      </c>
      <c r="AR94" s="171">
        <f>AF94</f>
        <v>1150800</v>
      </c>
      <c r="AS94" s="171">
        <f>AM94+AN94</f>
        <v>0</v>
      </c>
      <c r="AT94" s="171">
        <f>SUM(AQ94,AR94,AS94)</f>
        <v>1233306.8999999999</v>
      </c>
      <c r="AU94" s="250">
        <v>93307</v>
      </c>
      <c r="AV94" s="250"/>
      <c r="AW94" s="250"/>
      <c r="AX94" s="250"/>
      <c r="AY94" s="250"/>
      <c r="AZ94" s="250"/>
      <c r="BA94" s="250"/>
      <c r="BB94" s="251">
        <f t="shared" ref="BB94:BB98" si="68">SUM(AU94:BA94)-AT94</f>
        <v>-1139999.8999999999</v>
      </c>
      <c r="BC94" s="169"/>
      <c r="BD94" s="169"/>
      <c r="BE94" s="169"/>
      <c r="BF94" s="169"/>
    </row>
    <row r="95" spans="1:58" ht="63" outlineLevel="2" x14ac:dyDescent="0.25">
      <c r="A95" s="115"/>
      <c r="B95" s="200"/>
      <c r="C95" s="201"/>
      <c r="D95" s="203"/>
      <c r="E95" s="323"/>
      <c r="F95" s="308"/>
      <c r="G95" s="309"/>
      <c r="H95" s="109" t="s">
        <v>428</v>
      </c>
      <c r="I95" s="130"/>
      <c r="J95" s="126"/>
      <c r="K95" s="126"/>
      <c r="L95" s="125" t="str">
        <f>IF(I95&lt;&gt;0,((VLOOKUP(I95,'1. Standard_Cost'!$B$4:$D$11,2)+VLOOKUP(I95,'1. Standard_Cost'!$B$4:$D$11,3))*J95*K95),"0")</f>
        <v>0</v>
      </c>
      <c r="M95" s="125">
        <f>L95*'1. Standard_Cost'!$F$4</f>
        <v>0</v>
      </c>
      <c r="N95" s="126"/>
      <c r="O95" s="126"/>
      <c r="P95" s="126"/>
      <c r="Q95" s="126"/>
      <c r="R95" s="127">
        <f>'1. Standard_Cost'!$B$15*N95*P95</f>
        <v>0</v>
      </c>
      <c r="S95" s="127">
        <f>N95*O95*P95*'1. Standard_Cost'!$C$15</f>
        <v>0</v>
      </c>
      <c r="T95" s="127">
        <f>N95*P95*Q95*'1. Standard_Cost'!$D$15</f>
        <v>0</v>
      </c>
      <c r="U95" s="127">
        <f>N95*O95*'1. Standard_Cost'!$E$15</f>
        <v>0</v>
      </c>
      <c r="V95" s="126"/>
      <c r="W95" s="126"/>
      <c r="X95" s="126"/>
      <c r="Y95" s="127">
        <f>+V95*((X95*'1. Standard_Cost'!$B$19)+(W95*X95*'1. Standard_Cost'!$C$19))</f>
        <v>0</v>
      </c>
      <c r="Z95" s="126"/>
      <c r="AA95" s="126"/>
      <c r="AB95" s="127">
        <f>+Z95*'1. Standard_Cost'!$B$23+AA95*'1. Standard_Cost'!$C$23</f>
        <v>0</v>
      </c>
      <c r="AC95" s="128"/>
      <c r="AD95" s="129"/>
      <c r="AE95" s="127">
        <f>SUM(AD95,AC95,AB95,Y95,U95,T95,S95,R95)*'1. Standard_Cost'!$B$31</f>
        <v>0</v>
      </c>
      <c r="AF95" s="127">
        <f>SUM(AE95,AD95,AC95,AB95,Y95,U95,T95,S95,R95)</f>
        <v>0</v>
      </c>
      <c r="AG95" s="126"/>
      <c r="AH95" s="126"/>
      <c r="AI95" s="126"/>
      <c r="AJ95" s="130"/>
      <c r="AK95" s="130"/>
      <c r="AL95" s="130"/>
      <c r="AM95" s="127">
        <f>AG95*'1. Standard_Cost'!$B$27+'Incremental_Cost Year 2'!AH95*'1. Standard_Cost'!$C$27+'Incremental_Cost Year 2'!AI95*'1. Standard_Cost'!$D$27+'Incremental_Cost Year 2'!AJ95+'Incremental_Cost Year 2'!AL95+AK95</f>
        <v>0</v>
      </c>
      <c r="AN95" s="127">
        <f>AM95*'1. Standard_Cost'!$C$31</f>
        <v>0</v>
      </c>
      <c r="AO95" s="130"/>
      <c r="AQ95" s="171">
        <f>L95+M95</f>
        <v>0</v>
      </c>
      <c r="AR95" s="171">
        <f>AF95</f>
        <v>0</v>
      </c>
      <c r="AS95" s="171">
        <f>AM95+AN95</f>
        <v>0</v>
      </c>
      <c r="AT95" s="171">
        <f>SUM(AQ95,AR95,AS95)</f>
        <v>0</v>
      </c>
      <c r="AU95" s="250"/>
      <c r="AV95" s="250"/>
      <c r="AW95" s="250"/>
      <c r="AX95" s="250"/>
      <c r="AY95" s="250"/>
      <c r="AZ95" s="250"/>
      <c r="BA95" s="250"/>
      <c r="BB95" s="251">
        <f t="shared" si="68"/>
        <v>0</v>
      </c>
      <c r="BC95" s="169"/>
      <c r="BD95" s="169"/>
      <c r="BE95" s="169"/>
      <c r="BF95" s="169"/>
    </row>
    <row r="96" spans="1:58" ht="78.75" outlineLevel="2" x14ac:dyDescent="0.25">
      <c r="A96" s="115"/>
      <c r="B96" s="200"/>
      <c r="C96" s="201"/>
      <c r="D96" s="203"/>
      <c r="E96" s="323"/>
      <c r="F96" s="326"/>
      <c r="G96" s="327"/>
      <c r="H96" s="109" t="s">
        <v>429</v>
      </c>
      <c r="I96" s="130"/>
      <c r="J96" s="126"/>
      <c r="K96" s="126"/>
      <c r="L96" s="125" t="str">
        <f>IF(I96&lt;&gt;0,((VLOOKUP(I96,'1. Standard_Cost'!$B$4:$D$11,2)+VLOOKUP(I96,'1. Standard_Cost'!$B$4:$D$11,3))*J96*K96),"0")</f>
        <v>0</v>
      </c>
      <c r="M96" s="125">
        <f>L96*'1. Standard_Cost'!$F$4</f>
        <v>0</v>
      </c>
      <c r="N96" s="126"/>
      <c r="O96" s="126"/>
      <c r="P96" s="126"/>
      <c r="Q96" s="126"/>
      <c r="R96" s="127">
        <f>'1. Standard_Cost'!$B$15*N96*P96</f>
        <v>0</v>
      </c>
      <c r="S96" s="127">
        <f>N96*O96*P96*'1. Standard_Cost'!$C$15</f>
        <v>0</v>
      </c>
      <c r="T96" s="127">
        <f>N96*P96*Q96*'1. Standard_Cost'!$D$15</f>
        <v>0</v>
      </c>
      <c r="U96" s="127">
        <f>N96*O96*'1. Standard_Cost'!$E$15</f>
        <v>0</v>
      </c>
      <c r="V96" s="126"/>
      <c r="W96" s="126"/>
      <c r="X96" s="126"/>
      <c r="Y96" s="127">
        <f>+V96*((X96*'1. Standard_Cost'!$B$19)+(W96*X96*'1. Standard_Cost'!$C$19))</f>
        <v>0</v>
      </c>
      <c r="Z96" s="126"/>
      <c r="AA96" s="126"/>
      <c r="AB96" s="127">
        <f>+Z96*'1. Standard_Cost'!$B$23+AA96*'1. Standard_Cost'!$C$23</f>
        <v>0</v>
      </c>
      <c r="AC96" s="128"/>
      <c r="AD96" s="129"/>
      <c r="AE96" s="127">
        <f>SUM(AD96,AC96,AB96,Y96,U96,T96,S96,R96)*'1. Standard_Cost'!$B$31</f>
        <v>0</v>
      </c>
      <c r="AF96" s="127">
        <f>SUM(AE96,AD96,AC96,AB96,Y96,U96,T96,S96,R96)</f>
        <v>0</v>
      </c>
      <c r="AG96" s="126"/>
      <c r="AH96" s="126"/>
      <c r="AI96" s="126"/>
      <c r="AJ96" s="130"/>
      <c r="AK96" s="130"/>
      <c r="AL96" s="130"/>
      <c r="AM96" s="127">
        <f>AG96*'1. Standard_Cost'!$B$27+'Incremental_Cost Year 2'!AH96*'1. Standard_Cost'!$C$27+'Incremental_Cost Year 2'!AI96*'1. Standard_Cost'!$D$27+'Incremental_Cost Year 2'!AJ96+'Incremental_Cost Year 2'!AL96+AK96</f>
        <v>0</v>
      </c>
      <c r="AN96" s="127">
        <f>AM96*'1. Standard_Cost'!$C$31</f>
        <v>0</v>
      </c>
      <c r="AO96" s="130"/>
      <c r="AQ96" s="171">
        <f>L96+M96</f>
        <v>0</v>
      </c>
      <c r="AR96" s="171">
        <f>AF96</f>
        <v>0</v>
      </c>
      <c r="AS96" s="171">
        <f>AM96+AN96</f>
        <v>0</v>
      </c>
      <c r="AT96" s="171">
        <f>SUM(AQ96,AR96,AS96)</f>
        <v>0</v>
      </c>
      <c r="AU96" s="250"/>
      <c r="AV96" s="250"/>
      <c r="AW96" s="250"/>
      <c r="AX96" s="250"/>
      <c r="AY96" s="250"/>
      <c r="AZ96" s="250"/>
      <c r="BA96" s="250"/>
      <c r="BB96" s="251">
        <f t="shared" si="68"/>
        <v>0</v>
      </c>
      <c r="BC96" s="169"/>
      <c r="BD96" s="169"/>
      <c r="BE96" s="169"/>
      <c r="BF96" s="169"/>
    </row>
    <row r="97" spans="1:58" ht="126" outlineLevel="2" x14ac:dyDescent="0.25">
      <c r="A97" s="115"/>
      <c r="B97" s="200"/>
      <c r="C97" s="201"/>
      <c r="D97" s="203"/>
      <c r="E97" s="323"/>
      <c r="F97" s="308"/>
      <c r="G97" s="309"/>
      <c r="H97" s="225" t="s">
        <v>430</v>
      </c>
      <c r="I97" s="130"/>
      <c r="J97" s="126"/>
      <c r="K97" s="126"/>
      <c r="L97" s="125" t="str">
        <f>IF(I97&lt;&gt;0,((VLOOKUP(I97,'1. Standard_Cost'!$B$4:$D$11,2)+VLOOKUP(I97,'1. Standard_Cost'!$B$4:$D$11,3))*J97*K97),"0")</f>
        <v>0</v>
      </c>
      <c r="M97" s="125">
        <f>L97*'1. Standard_Cost'!$F$4</f>
        <v>0</v>
      </c>
      <c r="N97" s="126"/>
      <c r="O97" s="126"/>
      <c r="P97" s="126"/>
      <c r="Q97" s="126"/>
      <c r="R97" s="127">
        <f>'1. Standard_Cost'!$B$15*N97*P97</f>
        <v>0</v>
      </c>
      <c r="S97" s="127">
        <f>N97*O97*P97*'1. Standard_Cost'!$C$15</f>
        <v>0</v>
      </c>
      <c r="T97" s="127">
        <f>N97*P97*Q97*'1. Standard_Cost'!$D$15</f>
        <v>0</v>
      </c>
      <c r="U97" s="127">
        <f>N97*O97*'1. Standard_Cost'!$E$15</f>
        <v>0</v>
      </c>
      <c r="V97" s="126"/>
      <c r="W97" s="126"/>
      <c r="X97" s="126"/>
      <c r="Y97" s="127">
        <f>+V97*((X97*'1. Standard_Cost'!$B$19)+(W97*X97*'1. Standard_Cost'!$C$19))</f>
        <v>0</v>
      </c>
      <c r="Z97" s="126"/>
      <c r="AA97" s="126"/>
      <c r="AB97" s="127">
        <f>+Z97*'1. Standard_Cost'!$B$23+AA97*'1. Standard_Cost'!$C$23</f>
        <v>0</v>
      </c>
      <c r="AC97" s="128"/>
      <c r="AD97" s="129"/>
      <c r="AE97" s="127">
        <f>SUM(AD97,AC97,AB97,Y97,U97,T97,S97,R97)*'1. Standard_Cost'!$B$31</f>
        <v>0</v>
      </c>
      <c r="AF97" s="127">
        <f>SUM(AE97,AD97,AC97,AB97,Y97,U97,T97,S97,R97)</f>
        <v>0</v>
      </c>
      <c r="AG97" s="126"/>
      <c r="AH97" s="126"/>
      <c r="AI97" s="126"/>
      <c r="AJ97" s="130"/>
      <c r="AK97" s="130"/>
      <c r="AL97" s="130"/>
      <c r="AM97" s="127">
        <f>AG97*'1. Standard_Cost'!$B$27+'Incremental_Cost Year 2'!AH97*'1. Standard_Cost'!$C$27+'Incremental_Cost Year 2'!AI97*'1. Standard_Cost'!$D$27+'Incremental_Cost Year 2'!AJ97+'Incremental_Cost Year 2'!AL97+AK97</f>
        <v>0</v>
      </c>
      <c r="AN97" s="127">
        <f>AM97*'1. Standard_Cost'!$C$31</f>
        <v>0</v>
      </c>
      <c r="AO97" s="130"/>
      <c r="AQ97" s="171">
        <f>L97+M97</f>
        <v>0</v>
      </c>
      <c r="AR97" s="171">
        <f>AF97</f>
        <v>0</v>
      </c>
      <c r="AS97" s="171">
        <f>AM97+AN97</f>
        <v>0</v>
      </c>
      <c r="AT97" s="171">
        <f>SUM(AQ97,AR97,AS97)</f>
        <v>0</v>
      </c>
      <c r="AU97" s="250"/>
      <c r="AV97" s="250"/>
      <c r="AW97" s="250"/>
      <c r="AX97" s="250"/>
      <c r="AY97" s="250"/>
      <c r="AZ97" s="250"/>
      <c r="BA97" s="250"/>
      <c r="BB97" s="251">
        <f t="shared" si="68"/>
        <v>0</v>
      </c>
      <c r="BC97" s="169"/>
      <c r="BD97" s="169"/>
      <c r="BE97" s="169"/>
      <c r="BF97" s="169"/>
    </row>
    <row r="98" spans="1:58" ht="78.75" outlineLevel="2" x14ac:dyDescent="0.25">
      <c r="A98" s="115"/>
      <c r="B98" s="200"/>
      <c r="C98" s="201"/>
      <c r="D98" s="133"/>
      <c r="E98" s="323"/>
      <c r="F98" s="308"/>
      <c r="G98" s="309"/>
      <c r="H98" s="109" t="s">
        <v>431</v>
      </c>
      <c r="I98" s="130" t="s">
        <v>4</v>
      </c>
      <c r="J98" s="126">
        <v>2</v>
      </c>
      <c r="K98" s="126">
        <v>3</v>
      </c>
      <c r="L98" s="125">
        <f>IF(I98&lt;&gt;0,((VLOOKUP(I98,'1. Standard_Cost'!$B$4:$D$11,2)+VLOOKUP(I98,'1. Standard_Cost'!$B$4:$D$11,3))*J98*K98),"0")</f>
        <v>484500</v>
      </c>
      <c r="M98" s="125">
        <f>L98*'1. Standard_Cost'!$F$4</f>
        <v>80911.5</v>
      </c>
      <c r="N98" s="126"/>
      <c r="O98" s="126"/>
      <c r="P98" s="126"/>
      <c r="Q98" s="126"/>
      <c r="R98" s="127">
        <f>'1. Standard_Cost'!$B$15*N98*P98</f>
        <v>0</v>
      </c>
      <c r="S98" s="127">
        <f>N98*O98*P98*'1. Standard_Cost'!$C$15</f>
        <v>0</v>
      </c>
      <c r="T98" s="127">
        <f>N98*P98*Q98*'1. Standard_Cost'!$D$15</f>
        <v>0</v>
      </c>
      <c r="U98" s="127">
        <f>N98*O98*'1. Standard_Cost'!$E$15</f>
        <v>0</v>
      </c>
      <c r="V98" s="126"/>
      <c r="W98" s="126"/>
      <c r="X98" s="126"/>
      <c r="Y98" s="127">
        <f>+V98*((X98*'1. Standard_Cost'!$B$19)+(W98*X98*'1. Standard_Cost'!$C$19))</f>
        <v>0</v>
      </c>
      <c r="Z98" s="126"/>
      <c r="AA98" s="145"/>
      <c r="AB98" s="127">
        <f>+Z98*'1. Standard_Cost'!$B$23+AA98*'1. Standard_Cost'!$C$23</f>
        <v>0</v>
      </c>
      <c r="AC98" s="128">
        <v>60000</v>
      </c>
      <c r="AD98" s="129"/>
      <c r="AE98" s="127">
        <f>SUM(AD98,AC98,AB98,Y98,U98,T98,S98,R98)*'1. Standard_Cost'!$B$31</f>
        <v>12000</v>
      </c>
      <c r="AF98" s="127">
        <f>SUM(AE98,AD98,AC98,AB98,Y98,U98,T98,S98,R98)</f>
        <v>72000</v>
      </c>
      <c r="AG98" s="126"/>
      <c r="AH98" s="126"/>
      <c r="AI98" s="126"/>
      <c r="AJ98" s="130"/>
      <c r="AK98" s="130"/>
      <c r="AL98" s="130"/>
      <c r="AM98" s="127">
        <f>AG98*'1. Standard_Cost'!$B$27+'Incremental_Cost Year 2'!AH98*'1. Standard_Cost'!$C$27+'Incremental_Cost Year 2'!AI98*'1. Standard_Cost'!$D$27+'Incremental_Cost Year 2'!AJ98+'Incremental_Cost Year 2'!AL98+AK98</f>
        <v>0</v>
      </c>
      <c r="AN98" s="127">
        <f>AM98*'1. Standard_Cost'!$C$31</f>
        <v>0</v>
      </c>
      <c r="AO98" s="262"/>
      <c r="AQ98" s="171">
        <f>L98+M98</f>
        <v>565411.5</v>
      </c>
      <c r="AR98" s="171">
        <f>AF98</f>
        <v>72000</v>
      </c>
      <c r="AS98" s="171">
        <f>AM98+AN98</f>
        <v>0</v>
      </c>
      <c r="AT98" s="171">
        <f>SUM(AQ98,AR98,AS98)</f>
        <v>637411.5</v>
      </c>
      <c r="AU98" s="250"/>
      <c r="AV98" s="250"/>
      <c r="AW98" s="250"/>
      <c r="AX98" s="250"/>
      <c r="AY98" s="250"/>
      <c r="AZ98" s="250"/>
      <c r="BA98" s="250"/>
      <c r="BB98" s="251">
        <f t="shared" si="68"/>
        <v>-637411.5</v>
      </c>
      <c r="BC98" s="169"/>
      <c r="BD98" s="169"/>
      <c r="BE98" s="169"/>
      <c r="BF98" s="169"/>
    </row>
    <row r="99" spans="1:58" ht="94.5" outlineLevel="1" x14ac:dyDescent="0.25">
      <c r="A99" s="115"/>
      <c r="B99" s="165"/>
      <c r="C99" s="166"/>
      <c r="D99" s="212" t="s">
        <v>432</v>
      </c>
      <c r="E99" s="212" t="s">
        <v>274</v>
      </c>
      <c r="F99" s="136">
        <v>2022</v>
      </c>
      <c r="G99" s="117">
        <v>2030</v>
      </c>
      <c r="H99" s="110" t="s">
        <v>164</v>
      </c>
      <c r="I99" s="252"/>
      <c r="J99" s="252"/>
      <c r="K99" s="252"/>
      <c r="L99" s="127">
        <f>SUM(L94:L98)</f>
        <v>555200</v>
      </c>
      <c r="M99" s="127">
        <f>SUM(M94:M98)</f>
        <v>92718.399999999994</v>
      </c>
      <c r="N99" s="252"/>
      <c r="O99" s="252"/>
      <c r="P99" s="252"/>
      <c r="Q99" s="252"/>
      <c r="R99" s="127">
        <f>SUM(R94:R98)</f>
        <v>0</v>
      </c>
      <c r="S99" s="127">
        <f>SUM(S94:S98)</f>
        <v>0</v>
      </c>
      <c r="T99" s="127">
        <f>SUM(T94:T98)</f>
        <v>0</v>
      </c>
      <c r="U99" s="127">
        <f>SUM(U94:U98)</f>
        <v>0</v>
      </c>
      <c r="V99" s="252"/>
      <c r="W99" s="252"/>
      <c r="X99" s="252"/>
      <c r="Y99" s="127">
        <f>SUM(Y94:Y98)</f>
        <v>0</v>
      </c>
      <c r="Z99" s="127">
        <f>SUM(Z94:Z98)</f>
        <v>0</v>
      </c>
      <c r="AA99" s="252"/>
      <c r="AB99" s="127">
        <f>SUM(AB94:AB98)</f>
        <v>950000</v>
      </c>
      <c r="AC99" s="127">
        <f>SUM(AC94:AC98)</f>
        <v>69000</v>
      </c>
      <c r="AD99" s="127">
        <f>SUM(AD94:AD98)</f>
        <v>0</v>
      </c>
      <c r="AE99" s="127">
        <f>SUM(AE94:AE98)</f>
        <v>203800</v>
      </c>
      <c r="AF99" s="127">
        <f>SUM(AF94:AF98)</f>
        <v>1222800</v>
      </c>
      <c r="AG99" s="252"/>
      <c r="AH99" s="252"/>
      <c r="AI99" s="252"/>
      <c r="AJ99" s="127">
        <f>SUM(AJ94:AJ98)</f>
        <v>0</v>
      </c>
      <c r="AK99" s="127">
        <f>SUM(AK94:AK98)</f>
        <v>0</v>
      </c>
      <c r="AL99" s="127">
        <f>SUM(AL94:AL98)</f>
        <v>0</v>
      </c>
      <c r="AM99" s="127">
        <f>SUM(AM94:AM98)</f>
        <v>0</v>
      </c>
      <c r="AN99" s="127">
        <f>SUM(AN94:AN98)</f>
        <v>0</v>
      </c>
      <c r="AO99" s="253"/>
      <c r="AP99" s="254"/>
      <c r="AQ99" s="175">
        <f>SUM(AQ94:AQ98)</f>
        <v>647918.4</v>
      </c>
      <c r="AR99" s="175">
        <f t="shared" ref="AR99:BA99" si="69">SUM(AR94:AR98)</f>
        <v>1222800</v>
      </c>
      <c r="AS99" s="175">
        <f t="shared" si="69"/>
        <v>0</v>
      </c>
      <c r="AT99" s="175">
        <f t="shared" si="69"/>
        <v>1870718.4</v>
      </c>
      <c r="AU99" s="175">
        <f t="shared" si="69"/>
        <v>93307</v>
      </c>
      <c r="AV99" s="175">
        <f t="shared" si="69"/>
        <v>0</v>
      </c>
      <c r="AW99" s="175">
        <f t="shared" si="69"/>
        <v>0</v>
      </c>
      <c r="AX99" s="175">
        <f t="shared" si="69"/>
        <v>0</v>
      </c>
      <c r="AY99" s="175">
        <f t="shared" si="69"/>
        <v>0</v>
      </c>
      <c r="AZ99" s="175">
        <f t="shared" si="69"/>
        <v>0</v>
      </c>
      <c r="BA99" s="175">
        <f t="shared" si="69"/>
        <v>0</v>
      </c>
      <c r="BB99" s="251">
        <f t="shared" ref="BB99" si="70">SUM(AU99:BA99)-AT99</f>
        <v>-1777411.4</v>
      </c>
      <c r="BC99" s="169"/>
      <c r="BD99" s="169"/>
      <c r="BE99" s="169"/>
      <c r="BF99" s="169"/>
    </row>
    <row r="100" spans="1:58" s="184" customFormat="1" ht="15.75" customHeight="1" x14ac:dyDescent="0.25">
      <c r="A100" s="143"/>
      <c r="B100" s="290"/>
      <c r="C100" s="391" t="s">
        <v>176</v>
      </c>
      <c r="D100" s="391"/>
      <c r="E100" s="392"/>
      <c r="F100" s="291"/>
      <c r="G100" s="291"/>
      <c r="H100" s="144" t="s">
        <v>178</v>
      </c>
      <c r="I100" s="257"/>
      <c r="J100" s="257"/>
      <c r="K100" s="257"/>
      <c r="L100" s="258">
        <f>SUM(L105)</f>
        <v>0</v>
      </c>
      <c r="M100" s="258">
        <f>SUM(M105)</f>
        <v>0</v>
      </c>
      <c r="N100" s="257"/>
      <c r="O100" s="257"/>
      <c r="P100" s="257"/>
      <c r="Q100" s="257"/>
      <c r="R100" s="258">
        <f>SUM(R105)</f>
        <v>0</v>
      </c>
      <c r="S100" s="258">
        <f>SUM(S105)</f>
        <v>0</v>
      </c>
      <c r="T100" s="258">
        <f>SUM(T105)</f>
        <v>0</v>
      </c>
      <c r="U100" s="258">
        <f>SUM(U105)</f>
        <v>0</v>
      </c>
      <c r="V100" s="257"/>
      <c r="W100" s="257"/>
      <c r="X100" s="257"/>
      <c r="Y100" s="258">
        <f>SUM(Y105)</f>
        <v>0</v>
      </c>
      <c r="Z100" s="257"/>
      <c r="AA100" s="257"/>
      <c r="AB100" s="258">
        <f>SUM(AB105)</f>
        <v>0</v>
      </c>
      <c r="AC100" s="258">
        <f>AC105</f>
        <v>0</v>
      </c>
      <c r="AD100" s="258">
        <f>AD105</f>
        <v>0</v>
      </c>
      <c r="AE100" s="258">
        <f>AE105</f>
        <v>0</v>
      </c>
      <c r="AF100" s="258">
        <f>SUM(AF105)</f>
        <v>0</v>
      </c>
      <c r="AG100" s="257"/>
      <c r="AH100" s="257"/>
      <c r="AI100" s="257"/>
      <c r="AJ100" s="258">
        <f>AJ105</f>
        <v>0</v>
      </c>
      <c r="AK100" s="258">
        <f>AK105</f>
        <v>0</v>
      </c>
      <c r="AL100" s="258">
        <f>AL105</f>
        <v>0</v>
      </c>
      <c r="AM100" s="258">
        <f>AM105</f>
        <v>0</v>
      </c>
      <c r="AN100" s="258">
        <f>AN105</f>
        <v>0</v>
      </c>
      <c r="AO100" s="259"/>
      <c r="AP100" s="260"/>
      <c r="AQ100" s="261">
        <f>SUM(AQ105)</f>
        <v>0</v>
      </c>
      <c r="AR100" s="261">
        <f>SUM(AR105)</f>
        <v>0</v>
      </c>
      <c r="AS100" s="261">
        <f>SUM(AS105)</f>
        <v>0</v>
      </c>
      <c r="AT100" s="261">
        <f>SUM(AT105)</f>
        <v>0</v>
      </c>
      <c r="AU100" s="261">
        <f t="shared" ref="AU100:BA100" si="71">AU105</f>
        <v>0</v>
      </c>
      <c r="AV100" s="261">
        <f t="shared" si="71"/>
        <v>0</v>
      </c>
      <c r="AW100" s="261">
        <f>AW105</f>
        <v>0</v>
      </c>
      <c r="AX100" s="261">
        <f t="shared" si="71"/>
        <v>0</v>
      </c>
      <c r="AY100" s="261">
        <f t="shared" si="71"/>
        <v>0</v>
      </c>
      <c r="AZ100" s="261">
        <f t="shared" si="71"/>
        <v>0</v>
      </c>
      <c r="BA100" s="261">
        <f t="shared" si="71"/>
        <v>0</v>
      </c>
      <c r="BB100" s="261">
        <f>SUM(BB105)</f>
        <v>0</v>
      </c>
    </row>
    <row r="101" spans="1:58" ht="47.25" outlineLevel="2" x14ac:dyDescent="0.25">
      <c r="A101" s="115"/>
      <c r="B101" s="303"/>
      <c r="C101" s="329"/>
      <c r="D101" s="342"/>
      <c r="E101" s="328"/>
      <c r="F101" s="328"/>
      <c r="G101" s="328"/>
      <c r="H101" s="199" t="s">
        <v>433</v>
      </c>
      <c r="I101" s="130"/>
      <c r="J101" s="126"/>
      <c r="K101" s="126"/>
      <c r="L101" s="125" t="str">
        <f>IF(I101&lt;&gt;0,((VLOOKUP(I101,'1. Standard_Cost'!$B$4:$D$11,2)+VLOOKUP(I101,'1. Standard_Cost'!$B$4:$D$11,3))*J101*K101),"0")</f>
        <v>0</v>
      </c>
      <c r="M101" s="125">
        <f>L101*'1. Standard_Cost'!$F$4</f>
        <v>0</v>
      </c>
      <c r="N101" s="126"/>
      <c r="O101" s="126"/>
      <c r="P101" s="126"/>
      <c r="Q101" s="126"/>
      <c r="R101" s="127">
        <f>'1. Standard_Cost'!$B$15*N101*P101</f>
        <v>0</v>
      </c>
      <c r="S101" s="127">
        <f>N101*O101*P101*'1. Standard_Cost'!$C$15</f>
        <v>0</v>
      </c>
      <c r="T101" s="127">
        <f>N101*P101*Q101*'1. Standard_Cost'!$D$15</f>
        <v>0</v>
      </c>
      <c r="U101" s="127">
        <f>N101*O101*'1. Standard_Cost'!$E$15</f>
        <v>0</v>
      </c>
      <c r="V101" s="126"/>
      <c r="W101" s="126"/>
      <c r="X101" s="126"/>
      <c r="Y101" s="127">
        <f>+V101*((X101*'1. Standard_Cost'!$B$19)+(W101*X101*'1. Standard_Cost'!$C$19))</f>
        <v>0</v>
      </c>
      <c r="Z101" s="126"/>
      <c r="AA101" s="126"/>
      <c r="AB101" s="127">
        <f>+Z101*'1. Standard_Cost'!$B$23+AA101*'1. Standard_Cost'!$C$23</f>
        <v>0</v>
      </c>
      <c r="AC101" s="128"/>
      <c r="AD101" s="129"/>
      <c r="AE101" s="127">
        <f>SUM(AD101,AC101,AB101,Y101,U101,T101,S101,R101)*'1. Standard_Cost'!$B$31</f>
        <v>0</v>
      </c>
      <c r="AF101" s="127">
        <f>SUM(AE101,AD101,AC101,AB101,Y101,U101,T101,S101,R101)</f>
        <v>0</v>
      </c>
      <c r="AG101" s="126"/>
      <c r="AH101" s="126"/>
      <c r="AI101" s="126"/>
      <c r="AJ101" s="130"/>
      <c r="AK101" s="130"/>
      <c r="AL101" s="130"/>
      <c r="AM101" s="127">
        <f>AG101*'1. Standard_Cost'!$B$27+'Incremental_Cost Year 2'!AH101*'1. Standard_Cost'!$C$27+'Incremental_Cost Year 2'!AI101*'1. Standard_Cost'!$D$27+'Incremental_Cost Year 2'!AJ101+'Incremental_Cost Year 2'!AL101+AK101</f>
        <v>0</v>
      </c>
      <c r="AN101" s="127">
        <f>AM101*'1. Standard_Cost'!$C$31</f>
        <v>0</v>
      </c>
      <c r="AO101" s="130"/>
      <c r="AQ101" s="171">
        <f>L101+M101</f>
        <v>0</v>
      </c>
      <c r="AR101" s="171">
        <f>AF101</f>
        <v>0</v>
      </c>
      <c r="AS101" s="171">
        <f>AM101+AN101</f>
        <v>0</v>
      </c>
      <c r="AT101" s="171">
        <f>SUM(AQ101,AR101,AS101)</f>
        <v>0</v>
      </c>
      <c r="AU101" s="250"/>
      <c r="AV101" s="250"/>
      <c r="AW101" s="250"/>
      <c r="AX101" s="250"/>
      <c r="AY101" s="250"/>
      <c r="AZ101" s="250"/>
      <c r="BA101" s="250"/>
      <c r="BB101" s="251">
        <f t="shared" ref="BB101:BB104" si="72">SUM(AU101:BA101)-AT101</f>
        <v>0</v>
      </c>
      <c r="BC101" s="169"/>
      <c r="BD101" s="169"/>
      <c r="BE101" s="169"/>
      <c r="BF101" s="169"/>
    </row>
    <row r="102" spans="1:58" ht="47.25" outlineLevel="2" x14ac:dyDescent="0.25">
      <c r="A102" s="115"/>
      <c r="B102" s="200"/>
      <c r="C102" s="330"/>
      <c r="D102" s="343"/>
      <c r="E102" s="328"/>
      <c r="F102" s="328"/>
      <c r="G102" s="328"/>
      <c r="H102" s="199" t="s">
        <v>434</v>
      </c>
      <c r="I102" s="130"/>
      <c r="J102" s="126"/>
      <c r="K102" s="126"/>
      <c r="L102" s="125" t="str">
        <f>IF(I102&lt;&gt;0,((VLOOKUP(I102,'1. Standard_Cost'!$B$4:$D$11,2)+VLOOKUP(I102,'1. Standard_Cost'!$B$4:$D$11,3))*J102*K102),"0")</f>
        <v>0</v>
      </c>
      <c r="M102" s="125">
        <f>L102*'1. Standard_Cost'!$F$4</f>
        <v>0</v>
      </c>
      <c r="N102" s="126"/>
      <c r="O102" s="126"/>
      <c r="P102" s="126"/>
      <c r="Q102" s="126"/>
      <c r="R102" s="127">
        <f>'1. Standard_Cost'!$B$15*N102*P102</f>
        <v>0</v>
      </c>
      <c r="S102" s="127">
        <f>N102*O102*P102*'1. Standard_Cost'!$C$15</f>
        <v>0</v>
      </c>
      <c r="T102" s="127">
        <f>N102*P102*Q102*'1. Standard_Cost'!$D$15</f>
        <v>0</v>
      </c>
      <c r="U102" s="127">
        <f>N102*O102*'1. Standard_Cost'!$E$15</f>
        <v>0</v>
      </c>
      <c r="V102" s="126"/>
      <c r="W102" s="126"/>
      <c r="X102" s="126"/>
      <c r="Y102" s="127">
        <f>+V102*((X102*'1. Standard_Cost'!$B$19)+(W102*X102*'1. Standard_Cost'!$C$19))</f>
        <v>0</v>
      </c>
      <c r="Z102" s="126"/>
      <c r="AA102" s="126"/>
      <c r="AB102" s="127">
        <f>+Z102*'1. Standard_Cost'!$B$23+AA102*'1. Standard_Cost'!$C$23</f>
        <v>0</v>
      </c>
      <c r="AC102" s="128"/>
      <c r="AD102" s="129"/>
      <c r="AE102" s="127">
        <f>SUM(AD102,AC102,AB102,Y102,U102,T102,S102,R102)*'1. Standard_Cost'!$B$31</f>
        <v>0</v>
      </c>
      <c r="AF102" s="127">
        <f>SUM(AE102,AD102,AC102,AB102,Y102,U102,T102,S102,R102)</f>
        <v>0</v>
      </c>
      <c r="AG102" s="126"/>
      <c r="AH102" s="126"/>
      <c r="AI102" s="126"/>
      <c r="AJ102" s="130"/>
      <c r="AK102" s="130"/>
      <c r="AL102" s="130"/>
      <c r="AM102" s="127">
        <f>AG102*'1. Standard_Cost'!$B$27+'Incremental_Cost Year 2'!AH102*'1. Standard_Cost'!$C$27+'Incremental_Cost Year 2'!AI102*'1. Standard_Cost'!$D$27+'Incremental_Cost Year 2'!AJ102+'Incremental_Cost Year 2'!AL102+AK102</f>
        <v>0</v>
      </c>
      <c r="AN102" s="127">
        <f>AM102*'1. Standard_Cost'!$C$31</f>
        <v>0</v>
      </c>
      <c r="AO102" s="130"/>
      <c r="AQ102" s="171">
        <f>L102+M102</f>
        <v>0</v>
      </c>
      <c r="AR102" s="171">
        <f>AF102</f>
        <v>0</v>
      </c>
      <c r="AS102" s="171">
        <f>AM102+AN102</f>
        <v>0</v>
      </c>
      <c r="AT102" s="171">
        <f>SUM(AQ102,AR102,AS102)</f>
        <v>0</v>
      </c>
      <c r="AU102" s="250"/>
      <c r="AV102" s="250"/>
      <c r="AW102" s="250"/>
      <c r="AX102" s="250"/>
      <c r="AY102" s="250"/>
      <c r="AZ102" s="250"/>
      <c r="BA102" s="250"/>
      <c r="BB102" s="251">
        <f t="shared" si="72"/>
        <v>0</v>
      </c>
      <c r="BC102" s="169"/>
      <c r="BD102" s="169"/>
      <c r="BE102" s="169"/>
      <c r="BF102" s="169"/>
    </row>
    <row r="103" spans="1:58" ht="31.5" outlineLevel="2" x14ac:dyDescent="0.25">
      <c r="A103" s="115"/>
      <c r="B103" s="200"/>
      <c r="C103" s="330"/>
      <c r="D103" s="343"/>
      <c r="E103" s="328"/>
      <c r="F103" s="328"/>
      <c r="G103" s="328"/>
      <c r="H103" s="103" t="s">
        <v>435</v>
      </c>
      <c r="I103" s="130"/>
      <c r="J103" s="126"/>
      <c r="K103" s="126"/>
      <c r="L103" s="125" t="str">
        <f>IF(I103&lt;&gt;0,((VLOOKUP(I103,'1. Standard_Cost'!$B$4:$D$11,2)+VLOOKUP(I103,'1. Standard_Cost'!$B$4:$D$11,3))*J103*K103),"0")</f>
        <v>0</v>
      </c>
      <c r="M103" s="125">
        <f>L103*'1. Standard_Cost'!$F$4</f>
        <v>0</v>
      </c>
      <c r="N103" s="126"/>
      <c r="O103" s="126"/>
      <c r="P103" s="126"/>
      <c r="Q103" s="126"/>
      <c r="R103" s="127">
        <f>'1. Standard_Cost'!$B$15*N103*P103</f>
        <v>0</v>
      </c>
      <c r="S103" s="127">
        <f>N103*O103*P103*'1. Standard_Cost'!$C$15</f>
        <v>0</v>
      </c>
      <c r="T103" s="127">
        <f>N103*P103*Q103*'1. Standard_Cost'!$D$15</f>
        <v>0</v>
      </c>
      <c r="U103" s="127">
        <f>N103*O103*'1. Standard_Cost'!$E$15</f>
        <v>0</v>
      </c>
      <c r="V103" s="126"/>
      <c r="W103" s="126"/>
      <c r="X103" s="126"/>
      <c r="Y103" s="127">
        <f>+V103*((X103*'1. Standard_Cost'!$B$19)+(W103*X103*'1. Standard_Cost'!$C$19))</f>
        <v>0</v>
      </c>
      <c r="Z103" s="126"/>
      <c r="AA103" s="126"/>
      <c r="AB103" s="127">
        <f>+Z103*'1. Standard_Cost'!$B$23+AA103*'1. Standard_Cost'!$C$23</f>
        <v>0</v>
      </c>
      <c r="AC103" s="128"/>
      <c r="AD103" s="129"/>
      <c r="AE103" s="127">
        <f>SUM(AD103,AC103,AB103,Y103,U103,T103,S103,R103)*'1. Standard_Cost'!$B$31</f>
        <v>0</v>
      </c>
      <c r="AF103" s="127">
        <f>SUM(AE103,AD103,AC103,AB103,Y103,U103,T103,S103,R103)</f>
        <v>0</v>
      </c>
      <c r="AG103" s="126"/>
      <c r="AH103" s="126"/>
      <c r="AI103" s="126"/>
      <c r="AJ103" s="130"/>
      <c r="AK103" s="130"/>
      <c r="AL103" s="130"/>
      <c r="AM103" s="127">
        <f>AG103*'1. Standard_Cost'!$B$27+'Incremental_Cost Year 2'!AH103*'1. Standard_Cost'!$C$27+'Incremental_Cost Year 2'!AI103*'1. Standard_Cost'!$D$27+'Incremental_Cost Year 2'!AJ103+'Incremental_Cost Year 2'!AL103+AK103</f>
        <v>0</v>
      </c>
      <c r="AN103" s="127">
        <f>AM103*'1. Standard_Cost'!$C$31</f>
        <v>0</v>
      </c>
      <c r="AO103" s="130"/>
      <c r="AQ103" s="171">
        <f>L103+M103</f>
        <v>0</v>
      </c>
      <c r="AR103" s="171">
        <f>AF103</f>
        <v>0</v>
      </c>
      <c r="AS103" s="171">
        <f>AM103+AN103</f>
        <v>0</v>
      </c>
      <c r="AT103" s="171">
        <f>SUM(AQ103,AR103,AS103)</f>
        <v>0</v>
      </c>
      <c r="AU103" s="250"/>
      <c r="AV103" s="250"/>
      <c r="AW103" s="250"/>
      <c r="AX103" s="250"/>
      <c r="AY103" s="250"/>
      <c r="AZ103" s="250"/>
      <c r="BA103" s="250"/>
      <c r="BB103" s="251">
        <f t="shared" si="72"/>
        <v>0</v>
      </c>
      <c r="BC103" s="169"/>
      <c r="BD103" s="169"/>
      <c r="BE103" s="169"/>
      <c r="BF103" s="169"/>
    </row>
    <row r="104" spans="1:58" ht="63" outlineLevel="2" x14ac:dyDescent="0.25">
      <c r="A104" s="115"/>
      <c r="B104" s="310"/>
      <c r="C104" s="331"/>
      <c r="D104" s="344"/>
      <c r="E104" s="328"/>
      <c r="F104" s="328"/>
      <c r="G104" s="328"/>
      <c r="H104" s="103" t="s">
        <v>436</v>
      </c>
      <c r="I104" s="130"/>
      <c r="J104" s="126"/>
      <c r="K104" s="126"/>
      <c r="L104" s="125" t="str">
        <f>IF(I104&lt;&gt;0,((VLOOKUP(I104,'1. Standard_Cost'!$B$4:$D$11,2)+VLOOKUP(I104,'1. Standard_Cost'!$B$4:$D$11,3))*J104*K104),"0")</f>
        <v>0</v>
      </c>
      <c r="M104" s="125">
        <f>L104*'1. Standard_Cost'!$F$4</f>
        <v>0</v>
      </c>
      <c r="N104" s="126"/>
      <c r="O104" s="126"/>
      <c r="P104" s="126"/>
      <c r="Q104" s="126"/>
      <c r="R104" s="127">
        <f>'1. Standard_Cost'!$B$15*N104*P104</f>
        <v>0</v>
      </c>
      <c r="S104" s="127">
        <f>N104*O104*P104*'1. Standard_Cost'!$C$15</f>
        <v>0</v>
      </c>
      <c r="T104" s="127">
        <f>N104*P104*Q104*'1. Standard_Cost'!$D$15</f>
        <v>0</v>
      </c>
      <c r="U104" s="127">
        <f>N104*O104*'1. Standard_Cost'!$E$15</f>
        <v>0</v>
      </c>
      <c r="V104" s="126"/>
      <c r="W104" s="126"/>
      <c r="X104" s="126"/>
      <c r="Y104" s="127">
        <f>+V104*((X104*'1. Standard_Cost'!$B$19)+(W104*X104*'1. Standard_Cost'!$C$19))</f>
        <v>0</v>
      </c>
      <c r="Z104" s="126"/>
      <c r="AA104" s="145"/>
      <c r="AB104" s="127">
        <f>+Z104*'1. Standard_Cost'!$B$23+AA104*'1. Standard_Cost'!$C$23</f>
        <v>0</v>
      </c>
      <c r="AC104" s="128"/>
      <c r="AD104" s="129"/>
      <c r="AE104" s="127">
        <f>SUM(AD104,AC104,AB104,Y104,U104,T104,S104,R104)*'1. Standard_Cost'!$B$31</f>
        <v>0</v>
      </c>
      <c r="AF104" s="127">
        <f>SUM(AE104,AD104,AC104,AB104,Y104,U104,T104,S104,R104)</f>
        <v>0</v>
      </c>
      <c r="AG104" s="126"/>
      <c r="AH104" s="126"/>
      <c r="AI104" s="126"/>
      <c r="AJ104" s="130"/>
      <c r="AK104" s="130"/>
      <c r="AL104" s="130"/>
      <c r="AM104" s="127">
        <f>AG104*'1. Standard_Cost'!$B$27+'Incremental_Cost Year 2'!AH104*'1. Standard_Cost'!$C$27+'Incremental_Cost Year 2'!AI104*'1. Standard_Cost'!$D$27+'Incremental_Cost Year 2'!AJ104+'Incremental_Cost Year 2'!AL104+AK104</f>
        <v>0</v>
      </c>
      <c r="AN104" s="127">
        <f>AM104*'1. Standard_Cost'!$C$31</f>
        <v>0</v>
      </c>
      <c r="AO104" s="262"/>
      <c r="AQ104" s="171">
        <f>L104+M104</f>
        <v>0</v>
      </c>
      <c r="AR104" s="171">
        <f>AF104</f>
        <v>0</v>
      </c>
      <c r="AS104" s="171">
        <f>AM104+AN104</f>
        <v>0</v>
      </c>
      <c r="AT104" s="171">
        <f>SUM(AQ104,AR104,AS104)</f>
        <v>0</v>
      </c>
      <c r="AU104" s="250"/>
      <c r="AV104" s="250"/>
      <c r="AW104" s="250"/>
      <c r="AX104" s="250"/>
      <c r="AY104" s="250"/>
      <c r="AZ104" s="250"/>
      <c r="BA104" s="250"/>
      <c r="BB104" s="251">
        <f t="shared" si="72"/>
        <v>0</v>
      </c>
      <c r="BC104" s="169"/>
      <c r="BD104" s="169"/>
      <c r="BE104" s="169"/>
      <c r="BF104" s="169"/>
    </row>
    <row r="105" spans="1:58" ht="47.25" outlineLevel="1" x14ac:dyDescent="0.25">
      <c r="A105" s="115"/>
      <c r="B105" s="165"/>
      <c r="C105" s="166"/>
      <c r="D105" s="229" t="s">
        <v>432</v>
      </c>
      <c r="E105" s="212" t="s">
        <v>275</v>
      </c>
      <c r="F105" s="136">
        <v>2023</v>
      </c>
      <c r="G105" s="117">
        <v>2030</v>
      </c>
      <c r="H105" s="110" t="s">
        <v>177</v>
      </c>
      <c r="I105" s="252"/>
      <c r="J105" s="252"/>
      <c r="K105" s="252"/>
      <c r="L105" s="127">
        <f>SUM(L101:L104)</f>
        <v>0</v>
      </c>
      <c r="M105" s="127">
        <f>SUM(M101:M104)</f>
        <v>0</v>
      </c>
      <c r="N105" s="127"/>
      <c r="O105" s="252"/>
      <c r="P105" s="252"/>
      <c r="Q105" s="252"/>
      <c r="R105" s="127">
        <f>SUM(R101:R104)</f>
        <v>0</v>
      </c>
      <c r="S105" s="127">
        <f>SUM(S101:S104)</f>
        <v>0</v>
      </c>
      <c r="T105" s="127">
        <f>SUM(T101:T104)</f>
        <v>0</v>
      </c>
      <c r="U105" s="127">
        <f>SUM(U101:U104)</f>
        <v>0</v>
      </c>
      <c r="V105" s="252"/>
      <c r="W105" s="252"/>
      <c r="X105" s="252"/>
      <c r="Y105" s="127">
        <f>SUM(Y101:Y104)</f>
        <v>0</v>
      </c>
      <c r="Z105" s="252"/>
      <c r="AA105" s="252"/>
      <c r="AB105" s="127">
        <f>SUM(AB101:AB104)</f>
        <v>0</v>
      </c>
      <c r="AC105" s="127">
        <f>SUM(AC101:AC104)</f>
        <v>0</v>
      </c>
      <c r="AD105" s="127">
        <f>SUM(AD101:AD104)</f>
        <v>0</v>
      </c>
      <c r="AE105" s="127">
        <f>SUM(AE101:AE104)</f>
        <v>0</v>
      </c>
      <c r="AF105" s="127">
        <f>SUM(AF101:AF104)</f>
        <v>0</v>
      </c>
      <c r="AG105" s="252"/>
      <c r="AH105" s="252"/>
      <c r="AI105" s="252"/>
      <c r="AJ105" s="127">
        <f>SUM(AJ101:AJ104)</f>
        <v>0</v>
      </c>
      <c r="AK105" s="127">
        <f>SUM(AK101:AK104)</f>
        <v>0</v>
      </c>
      <c r="AL105" s="127">
        <f>SUM(AL101:AL104)</f>
        <v>0</v>
      </c>
      <c r="AM105" s="127">
        <f>SUM(AM101:AM104)</f>
        <v>0</v>
      </c>
      <c r="AN105" s="127">
        <f>SUM(AN101:AN104)</f>
        <v>0</v>
      </c>
      <c r="AO105" s="253"/>
      <c r="AP105" s="254"/>
      <c r="AQ105" s="175">
        <f>SUM(AQ101:AQ104)</f>
        <v>0</v>
      </c>
      <c r="AR105" s="175">
        <f>SUM(AR101:AR104)</f>
        <v>0</v>
      </c>
      <c r="AS105" s="175">
        <f>SUM(AS101:AS104)</f>
        <v>0</v>
      </c>
      <c r="AT105" s="175">
        <f>SUM(AT101:AT104)</f>
        <v>0</v>
      </c>
      <c r="AU105" s="175">
        <f t="shared" ref="AU105:BB105" si="73">SUM(AU101:AU104)</f>
        <v>0</v>
      </c>
      <c r="AV105" s="175">
        <f t="shared" si="73"/>
        <v>0</v>
      </c>
      <c r="AW105" s="175">
        <f>SUM(AW101:AW104)</f>
        <v>0</v>
      </c>
      <c r="AX105" s="175">
        <f t="shared" si="73"/>
        <v>0</v>
      </c>
      <c r="AY105" s="175">
        <f t="shared" si="73"/>
        <v>0</v>
      </c>
      <c r="AZ105" s="175">
        <f t="shared" si="73"/>
        <v>0</v>
      </c>
      <c r="BA105" s="175">
        <f t="shared" si="73"/>
        <v>0</v>
      </c>
      <c r="BB105" s="175">
        <f t="shared" si="73"/>
        <v>0</v>
      </c>
      <c r="BC105" s="169"/>
      <c r="BD105" s="169"/>
      <c r="BE105" s="169"/>
      <c r="BF105" s="169"/>
    </row>
    <row r="106" spans="1:58" s="184" customFormat="1" ht="15.75" customHeight="1" x14ac:dyDescent="0.25">
      <c r="A106" s="143"/>
      <c r="B106" s="290"/>
      <c r="C106" s="391" t="s">
        <v>276</v>
      </c>
      <c r="D106" s="391"/>
      <c r="E106" s="392"/>
      <c r="F106" s="291"/>
      <c r="G106" s="291"/>
      <c r="H106" s="144" t="s">
        <v>258</v>
      </c>
      <c r="I106" s="257"/>
      <c r="J106" s="257"/>
      <c r="K106" s="257"/>
      <c r="L106" s="258">
        <f>SUM(L110)</f>
        <v>0</v>
      </c>
      <c r="M106" s="258">
        <f>SUM(M110)</f>
        <v>0</v>
      </c>
      <c r="N106" s="257"/>
      <c r="O106" s="257"/>
      <c r="P106" s="257"/>
      <c r="Q106" s="257"/>
      <c r="R106" s="258">
        <f>SUM(R110)</f>
        <v>0</v>
      </c>
      <c r="S106" s="258">
        <f>SUM(S110)</f>
        <v>0</v>
      </c>
      <c r="T106" s="258">
        <f>SUM(T110)</f>
        <v>0</v>
      </c>
      <c r="U106" s="258">
        <f>SUM(U110)</f>
        <v>0</v>
      </c>
      <c r="V106" s="257"/>
      <c r="W106" s="257"/>
      <c r="X106" s="257"/>
      <c r="Y106" s="258">
        <f>SUM(Y110)</f>
        <v>0</v>
      </c>
      <c r="Z106" s="258"/>
      <c r="AA106" s="258"/>
      <c r="AB106" s="258">
        <f>SUM(AB110)</f>
        <v>0</v>
      </c>
      <c r="AC106" s="258">
        <f>SUM(AC110)</f>
        <v>0</v>
      </c>
      <c r="AD106" s="258">
        <f>SUM(AD110)</f>
        <v>0</v>
      </c>
      <c r="AE106" s="258">
        <f>SUM(AE110)</f>
        <v>0</v>
      </c>
      <c r="AF106" s="258">
        <f>SUM(AF110)</f>
        <v>0</v>
      </c>
      <c r="AG106" s="257"/>
      <c r="AH106" s="257"/>
      <c r="AI106" s="257"/>
      <c r="AJ106" s="258">
        <f>SUM(AJ110)</f>
        <v>0</v>
      </c>
      <c r="AK106" s="258">
        <f>SUM(AK110)</f>
        <v>0</v>
      </c>
      <c r="AL106" s="258">
        <f>SUM(AL110)</f>
        <v>0</v>
      </c>
      <c r="AM106" s="258">
        <f>SUM(AM110)</f>
        <v>0</v>
      </c>
      <c r="AN106" s="258">
        <f>SUM(AN110)</f>
        <v>0</v>
      </c>
      <c r="AO106" s="259"/>
      <c r="AP106" s="260"/>
      <c r="AQ106" s="261">
        <f>SUM(AQ110)</f>
        <v>0</v>
      </c>
      <c r="AR106" s="261">
        <f t="shared" ref="AR106:BA106" si="74">SUM(AR110)</f>
        <v>0</v>
      </c>
      <c r="AS106" s="261">
        <f t="shared" si="74"/>
        <v>0</v>
      </c>
      <c r="AT106" s="261">
        <f t="shared" si="74"/>
        <v>0</v>
      </c>
      <c r="AU106" s="261">
        <f t="shared" si="74"/>
        <v>0</v>
      </c>
      <c r="AV106" s="261">
        <f t="shared" si="74"/>
        <v>0</v>
      </c>
      <c r="AW106" s="261">
        <f t="shared" si="74"/>
        <v>0</v>
      </c>
      <c r="AX106" s="261">
        <f t="shared" si="74"/>
        <v>0</v>
      </c>
      <c r="AY106" s="261">
        <f t="shared" si="74"/>
        <v>0</v>
      </c>
      <c r="AZ106" s="261">
        <f t="shared" si="74"/>
        <v>0</v>
      </c>
      <c r="BA106" s="261">
        <f t="shared" si="74"/>
        <v>0</v>
      </c>
      <c r="BB106" s="261">
        <f>SUM(BB110)</f>
        <v>0</v>
      </c>
    </row>
    <row r="107" spans="1:58" ht="63" outlineLevel="2" x14ac:dyDescent="0.25">
      <c r="A107" s="115"/>
      <c r="B107" s="200"/>
      <c r="C107" s="201"/>
      <c r="D107" s="202"/>
      <c r="E107" s="226"/>
      <c r="F107" s="306"/>
      <c r="G107" s="307"/>
      <c r="H107" s="199" t="s">
        <v>437</v>
      </c>
      <c r="I107" s="130"/>
      <c r="J107" s="126"/>
      <c r="K107" s="126"/>
      <c r="L107" s="125" t="str">
        <f>IF(I107&lt;&gt;0,((VLOOKUP(I107,'1. Standard_Cost'!$B$4:$D$11,2)+VLOOKUP(I107,'1. Standard_Cost'!$B$4:$D$11,3))*J107*K107),"0")</f>
        <v>0</v>
      </c>
      <c r="M107" s="125">
        <f>L107*'1. Standard_Cost'!$F$4</f>
        <v>0</v>
      </c>
      <c r="N107" s="126"/>
      <c r="O107" s="126"/>
      <c r="P107" s="126"/>
      <c r="Q107" s="126"/>
      <c r="R107" s="127">
        <f>'1. Standard_Cost'!$B$15*N107*P107</f>
        <v>0</v>
      </c>
      <c r="S107" s="127">
        <f>N107*O107*P107*'1. Standard_Cost'!$C$15</f>
        <v>0</v>
      </c>
      <c r="T107" s="127">
        <f>N107*P107*Q107*'1. Standard_Cost'!$D$15</f>
        <v>0</v>
      </c>
      <c r="U107" s="127">
        <f>N107*O107*'1. Standard_Cost'!$E$15</f>
        <v>0</v>
      </c>
      <c r="V107" s="126"/>
      <c r="W107" s="126"/>
      <c r="X107" s="126"/>
      <c r="Y107" s="127">
        <f>+V107*((X107*'1. Standard_Cost'!$B$19)+(W107*X107*'1. Standard_Cost'!$C$19))</f>
        <v>0</v>
      </c>
      <c r="Z107" s="126"/>
      <c r="AA107" s="126"/>
      <c r="AB107" s="127">
        <f>+Z107*'1. Standard_Cost'!$B$23+AA107*'1. Standard_Cost'!$C$23</f>
        <v>0</v>
      </c>
      <c r="AC107" s="128"/>
      <c r="AD107" s="129"/>
      <c r="AE107" s="127">
        <f>SUM(AD107,AC107,AB107,Y107,U107,T107,S107,R107)*'1. Standard_Cost'!$B$31</f>
        <v>0</v>
      </c>
      <c r="AF107" s="127">
        <f>SUM(AE107,AD107,AC107,AB107,Y107,U107,T107,S107,R107)</f>
        <v>0</v>
      </c>
      <c r="AG107" s="126"/>
      <c r="AH107" s="126"/>
      <c r="AI107" s="126"/>
      <c r="AJ107" s="130"/>
      <c r="AK107" s="130"/>
      <c r="AL107" s="130"/>
      <c r="AM107" s="127">
        <f>AG107*'1. Standard_Cost'!$B$27+'Incremental_Cost Year 2'!AH107*'1. Standard_Cost'!$C$27+'Incremental_Cost Year 2'!AI107*'1. Standard_Cost'!$D$27+'Incremental_Cost Year 2'!AJ107+'Incremental_Cost Year 2'!AL107+AK107</f>
        <v>0</v>
      </c>
      <c r="AN107" s="127">
        <f>AM107*'1. Standard_Cost'!$C$31</f>
        <v>0</v>
      </c>
      <c r="AO107" s="130"/>
      <c r="AQ107" s="171">
        <f>L107+M107</f>
        <v>0</v>
      </c>
      <c r="AR107" s="171">
        <f>AF107</f>
        <v>0</v>
      </c>
      <c r="AS107" s="171">
        <f>AM107+AN107</f>
        <v>0</v>
      </c>
      <c r="AT107" s="171">
        <f>SUM(AQ107,AR107,AS107)</f>
        <v>0</v>
      </c>
      <c r="AU107" s="250"/>
      <c r="AV107" s="250"/>
      <c r="AW107" s="250"/>
      <c r="AX107" s="250"/>
      <c r="AY107" s="250"/>
      <c r="AZ107" s="250"/>
      <c r="BA107" s="250"/>
      <c r="BB107" s="251">
        <f t="shared" ref="BB107:BB109" si="75">SUM(AU107:BA107)-AT107</f>
        <v>0</v>
      </c>
      <c r="BC107" s="169"/>
      <c r="BD107" s="169"/>
      <c r="BE107" s="169"/>
      <c r="BF107" s="169"/>
    </row>
    <row r="108" spans="1:58" ht="78.75" outlineLevel="2" x14ac:dyDescent="0.25">
      <c r="A108" s="115"/>
      <c r="B108" s="200"/>
      <c r="C108" s="201"/>
      <c r="D108" s="202"/>
      <c r="E108" s="202"/>
      <c r="F108" s="308"/>
      <c r="G108" s="309"/>
      <c r="H108" s="199" t="s">
        <v>438</v>
      </c>
      <c r="I108" s="130"/>
      <c r="J108" s="126"/>
      <c r="K108" s="126"/>
      <c r="L108" s="125" t="str">
        <f>IF(I108&lt;&gt;0,((VLOOKUP(I108,'1. Standard_Cost'!$B$4:$D$11,2)+VLOOKUP(I108,'1. Standard_Cost'!$B$4:$D$11,3))*J108*K108),"0")</f>
        <v>0</v>
      </c>
      <c r="M108" s="125">
        <f>L108*'1. Standard_Cost'!$F$4</f>
        <v>0</v>
      </c>
      <c r="N108" s="126"/>
      <c r="O108" s="126"/>
      <c r="P108" s="126"/>
      <c r="Q108" s="126"/>
      <c r="R108" s="127">
        <f>'1. Standard_Cost'!$B$15*N108*P108</f>
        <v>0</v>
      </c>
      <c r="S108" s="127">
        <f>N108*O108*P108*'1. Standard_Cost'!$C$15</f>
        <v>0</v>
      </c>
      <c r="T108" s="127">
        <f>N108*P108*Q108*'1. Standard_Cost'!$D$15</f>
        <v>0</v>
      </c>
      <c r="U108" s="127">
        <f>N108*O108*'1. Standard_Cost'!$E$15</f>
        <v>0</v>
      </c>
      <c r="V108" s="126"/>
      <c r="W108" s="126"/>
      <c r="X108" s="126"/>
      <c r="Y108" s="127">
        <f>+V108*((X108*'1. Standard_Cost'!$B$19)+(W108*X108*'1. Standard_Cost'!$C$19))</f>
        <v>0</v>
      </c>
      <c r="Z108" s="126"/>
      <c r="AA108" s="126"/>
      <c r="AB108" s="127">
        <f>+Z108*'1. Standard_Cost'!$B$23+AA108*'1. Standard_Cost'!$C$23</f>
        <v>0</v>
      </c>
      <c r="AC108" s="128"/>
      <c r="AD108" s="129"/>
      <c r="AE108" s="127">
        <f>SUM(AD108,AC108,AB108,Y108,U108,T108,S108,R108)*'1. Standard_Cost'!$B$31</f>
        <v>0</v>
      </c>
      <c r="AF108" s="127">
        <f>SUM(AE108,AD108,AC108,AB108,Y108,U108,T108,S108,R108)</f>
        <v>0</v>
      </c>
      <c r="AG108" s="126"/>
      <c r="AH108" s="126"/>
      <c r="AI108" s="126"/>
      <c r="AJ108" s="130"/>
      <c r="AK108" s="130"/>
      <c r="AL108" s="130"/>
      <c r="AM108" s="127">
        <f>AG108*'1. Standard_Cost'!$B$27+'Incremental_Cost Year 2'!AH108*'1. Standard_Cost'!$C$27+'Incremental_Cost Year 2'!AI108*'1. Standard_Cost'!$D$27+'Incremental_Cost Year 2'!AJ108+'Incremental_Cost Year 2'!AL108+AK108</f>
        <v>0</v>
      </c>
      <c r="AN108" s="127">
        <f>AM108*'1. Standard_Cost'!$C$31</f>
        <v>0</v>
      </c>
      <c r="AO108" s="130"/>
      <c r="AQ108" s="171">
        <f>L108+M108</f>
        <v>0</v>
      </c>
      <c r="AR108" s="171">
        <f>AF108</f>
        <v>0</v>
      </c>
      <c r="AS108" s="171">
        <f>AM108+AN108</f>
        <v>0</v>
      </c>
      <c r="AT108" s="171">
        <f>SUM(AQ108,AR108,AS108)</f>
        <v>0</v>
      </c>
      <c r="AU108" s="250"/>
      <c r="AV108" s="250"/>
      <c r="AW108" s="250"/>
      <c r="AX108" s="250"/>
      <c r="AY108" s="250"/>
      <c r="AZ108" s="250"/>
      <c r="BA108" s="250"/>
      <c r="BB108" s="251">
        <f t="shared" si="75"/>
        <v>0</v>
      </c>
      <c r="BC108" s="169"/>
      <c r="BD108" s="169"/>
      <c r="BE108" s="169"/>
      <c r="BF108" s="169"/>
    </row>
    <row r="109" spans="1:58" ht="78.75" outlineLevel="2" x14ac:dyDescent="0.25">
      <c r="A109" s="115"/>
      <c r="B109" s="200"/>
      <c r="C109" s="201"/>
      <c r="D109" s="202"/>
      <c r="E109" s="310"/>
      <c r="F109" s="311"/>
      <c r="G109" s="312"/>
      <c r="H109" s="199" t="s">
        <v>439</v>
      </c>
      <c r="I109" s="130"/>
      <c r="J109" s="126"/>
      <c r="K109" s="126"/>
      <c r="L109" s="125" t="str">
        <f>IF(I109&lt;&gt;0,((VLOOKUP(I109,'1. Standard_Cost'!$B$4:$D$11,2)+VLOOKUP(I109,'1. Standard_Cost'!$B$4:$D$11,3))*J109*K109),"0")</f>
        <v>0</v>
      </c>
      <c r="M109" s="125">
        <f>L109*'1. Standard_Cost'!$F$4</f>
        <v>0</v>
      </c>
      <c r="N109" s="126"/>
      <c r="O109" s="126"/>
      <c r="P109" s="126"/>
      <c r="Q109" s="126"/>
      <c r="R109" s="127">
        <f>'1. Standard_Cost'!$B$15*N109*P109</f>
        <v>0</v>
      </c>
      <c r="S109" s="127">
        <f>N109*O109*P109*'1. Standard_Cost'!$C$15</f>
        <v>0</v>
      </c>
      <c r="T109" s="127">
        <f>N109*P109*Q109*'1. Standard_Cost'!$D$15</f>
        <v>0</v>
      </c>
      <c r="U109" s="127">
        <f>N109*O109*'1. Standard_Cost'!$E$15</f>
        <v>0</v>
      </c>
      <c r="V109" s="126"/>
      <c r="W109" s="126"/>
      <c r="X109" s="126"/>
      <c r="Y109" s="127">
        <f>+V109*((X109*'1. Standard_Cost'!$B$19)+(W109*X109*'1. Standard_Cost'!$C$19))</f>
        <v>0</v>
      </c>
      <c r="Z109" s="126"/>
      <c r="AA109" s="126"/>
      <c r="AB109" s="127">
        <f>+Z109*'1. Standard_Cost'!$B$23+AA109*'1. Standard_Cost'!$C$23</f>
        <v>0</v>
      </c>
      <c r="AC109" s="128"/>
      <c r="AD109" s="129"/>
      <c r="AE109" s="127">
        <f>SUM(AD109,AC109,AB109,Y109,U109,T109,S109,R109)*'1. Standard_Cost'!$B$31</f>
        <v>0</v>
      </c>
      <c r="AF109" s="127">
        <f>SUM(AE109,AD109,AC109,AB109,Y109,U109,T109,S109,R109)</f>
        <v>0</v>
      </c>
      <c r="AG109" s="126"/>
      <c r="AH109" s="126"/>
      <c r="AI109" s="126"/>
      <c r="AJ109" s="130"/>
      <c r="AK109" s="130"/>
      <c r="AL109" s="130"/>
      <c r="AM109" s="127">
        <f>AG109*'1. Standard_Cost'!$B$27+'Incremental_Cost Year 2'!AH109*'1. Standard_Cost'!$C$27+'Incremental_Cost Year 2'!AI109*'1. Standard_Cost'!$D$27+'Incremental_Cost Year 2'!AJ109+'Incremental_Cost Year 2'!AL109+AK109</f>
        <v>0</v>
      </c>
      <c r="AN109" s="127">
        <f>AM109*'1. Standard_Cost'!$C$31</f>
        <v>0</v>
      </c>
      <c r="AO109" s="130"/>
      <c r="AQ109" s="171">
        <f>L109+M109</f>
        <v>0</v>
      </c>
      <c r="AR109" s="171">
        <f>AF109</f>
        <v>0</v>
      </c>
      <c r="AS109" s="171">
        <f>AM109+AN109</f>
        <v>0</v>
      </c>
      <c r="AT109" s="171">
        <f>SUM(AQ109,AR109,AS109)</f>
        <v>0</v>
      </c>
      <c r="AU109" s="250"/>
      <c r="AV109" s="250"/>
      <c r="AW109" s="250"/>
      <c r="AX109" s="250"/>
      <c r="AY109" s="250"/>
      <c r="AZ109" s="250"/>
      <c r="BA109" s="250"/>
      <c r="BB109" s="251">
        <f t="shared" si="75"/>
        <v>0</v>
      </c>
      <c r="BC109" s="169"/>
      <c r="BD109" s="169"/>
      <c r="BE109" s="169"/>
      <c r="BF109" s="169"/>
    </row>
    <row r="110" spans="1:58" ht="47.25" outlineLevel="1" x14ac:dyDescent="0.25">
      <c r="A110" s="115"/>
      <c r="B110" s="200"/>
      <c r="C110" s="201"/>
      <c r="D110" s="227" t="s">
        <v>432</v>
      </c>
      <c r="E110" s="226" t="s">
        <v>275</v>
      </c>
      <c r="F110" s="136">
        <v>2025</v>
      </c>
      <c r="G110" s="117">
        <v>2030</v>
      </c>
      <c r="H110" s="110" t="s">
        <v>277</v>
      </c>
      <c r="I110" s="252"/>
      <c r="J110" s="252"/>
      <c r="K110" s="252"/>
      <c r="L110" s="127">
        <f>SUM(L107:L109)</f>
        <v>0</v>
      </c>
      <c r="M110" s="127">
        <f>SUM(M107:M109)</f>
        <v>0</v>
      </c>
      <c r="N110" s="127"/>
      <c r="O110" s="252"/>
      <c r="P110" s="252"/>
      <c r="Q110" s="252"/>
      <c r="R110" s="127">
        <f>SUM(R107:R109)</f>
        <v>0</v>
      </c>
      <c r="S110" s="127">
        <f>SUM(S107:S109)</f>
        <v>0</v>
      </c>
      <c r="T110" s="127">
        <f>SUM(T107:T109)</f>
        <v>0</v>
      </c>
      <c r="U110" s="127">
        <f>SUM(U107:U109)</f>
        <v>0</v>
      </c>
      <c r="V110" s="252"/>
      <c r="W110" s="252"/>
      <c r="X110" s="252"/>
      <c r="Y110" s="127">
        <f>SUM(Y107:Y109)</f>
        <v>0</v>
      </c>
      <c r="Z110" s="252"/>
      <c r="AA110" s="252"/>
      <c r="AB110" s="127">
        <f>SUM(AB107:AB109)</f>
        <v>0</v>
      </c>
      <c r="AC110" s="127">
        <f>SUM(AC107:AC109)</f>
        <v>0</v>
      </c>
      <c r="AD110" s="127">
        <f>SUM(AD107:AD109)</f>
        <v>0</v>
      </c>
      <c r="AE110" s="127">
        <f>SUM(AE107:AE109)</f>
        <v>0</v>
      </c>
      <c r="AF110" s="127">
        <f>SUM(AF107:AF109)</f>
        <v>0</v>
      </c>
      <c r="AG110" s="252"/>
      <c r="AH110" s="252"/>
      <c r="AI110" s="252"/>
      <c r="AJ110" s="127">
        <f>SUM(AJ107:AJ109)</f>
        <v>0</v>
      </c>
      <c r="AK110" s="127">
        <f>SUM(AK107:AK109)</f>
        <v>0</v>
      </c>
      <c r="AL110" s="127">
        <f>SUM(AL107:AL109)</f>
        <v>0</v>
      </c>
      <c r="AM110" s="127">
        <f>SUM(AM107:AM109)</f>
        <v>0</v>
      </c>
      <c r="AN110" s="127">
        <f>SUM(AN107:AN109)</f>
        <v>0</v>
      </c>
      <c r="AO110" s="253"/>
      <c r="AP110" s="254"/>
      <c r="AQ110" s="175">
        <f>SUM(AQ107:AQ109)</f>
        <v>0</v>
      </c>
      <c r="AR110" s="175">
        <f>SUM(AR107:AR109)</f>
        <v>0</v>
      </c>
      <c r="AS110" s="175">
        <f>SUM(AS107:AS109)</f>
        <v>0</v>
      </c>
      <c r="AT110" s="175">
        <f>SUM(AT107:AT109)</f>
        <v>0</v>
      </c>
      <c r="AU110" s="175">
        <f t="shared" ref="AU110:BB110" si="76">SUM(AU107:AU109)</f>
        <v>0</v>
      </c>
      <c r="AV110" s="175">
        <f t="shared" si="76"/>
        <v>0</v>
      </c>
      <c r="AW110" s="175">
        <f>SUM(AW107:AW109)</f>
        <v>0</v>
      </c>
      <c r="AX110" s="175">
        <f t="shared" si="76"/>
        <v>0</v>
      </c>
      <c r="AY110" s="175">
        <f t="shared" si="76"/>
        <v>0</v>
      </c>
      <c r="AZ110" s="175">
        <f t="shared" si="76"/>
        <v>0</v>
      </c>
      <c r="BA110" s="175">
        <f t="shared" si="76"/>
        <v>0</v>
      </c>
      <c r="BB110" s="175">
        <f t="shared" si="76"/>
        <v>0</v>
      </c>
      <c r="BC110" s="169"/>
      <c r="BD110" s="169"/>
      <c r="BE110" s="169"/>
      <c r="BF110" s="169"/>
    </row>
    <row r="111" spans="1:58" s="184" customFormat="1" ht="15.75" customHeight="1" x14ac:dyDescent="0.25">
      <c r="A111" s="143"/>
      <c r="B111" s="290"/>
      <c r="C111" s="391" t="s">
        <v>278</v>
      </c>
      <c r="D111" s="391"/>
      <c r="E111" s="392"/>
      <c r="F111" s="291"/>
      <c r="G111" s="291"/>
      <c r="H111" s="144" t="s">
        <v>262</v>
      </c>
      <c r="I111" s="257"/>
      <c r="J111" s="257"/>
      <c r="K111" s="257"/>
      <c r="L111" s="258">
        <f>SUM(L117)</f>
        <v>3973300</v>
      </c>
      <c r="M111" s="258">
        <f>SUM(M117)</f>
        <v>663541.10000000009</v>
      </c>
      <c r="N111" s="257"/>
      <c r="O111" s="257"/>
      <c r="P111" s="257"/>
      <c r="Q111" s="257"/>
      <c r="R111" s="258">
        <f>SUM(R117)</f>
        <v>0</v>
      </c>
      <c r="S111" s="258">
        <f>SUM(S117)</f>
        <v>0</v>
      </c>
      <c r="T111" s="258">
        <f>SUM(T117)</f>
        <v>0</v>
      </c>
      <c r="U111" s="258">
        <f>SUM(U117)</f>
        <v>0</v>
      </c>
      <c r="V111" s="257"/>
      <c r="W111" s="257"/>
      <c r="X111" s="257"/>
      <c r="Y111" s="258">
        <f>SUM(Y117)</f>
        <v>0</v>
      </c>
      <c r="Z111" s="258"/>
      <c r="AA111" s="258"/>
      <c r="AB111" s="258">
        <f>SUM(AB117)</f>
        <v>475000</v>
      </c>
      <c r="AC111" s="258">
        <f>SUM(AC117)</f>
        <v>556520</v>
      </c>
      <c r="AD111" s="258">
        <f>SUM(AD117)</f>
        <v>0</v>
      </c>
      <c r="AE111" s="258">
        <f>SUM(AE117)</f>
        <v>206304</v>
      </c>
      <c r="AF111" s="258">
        <f>SUM(AF117)</f>
        <v>1237824</v>
      </c>
      <c r="AG111" s="257"/>
      <c r="AH111" s="257"/>
      <c r="AI111" s="257"/>
      <c r="AJ111" s="258">
        <f>SUM(AJ117)</f>
        <v>0</v>
      </c>
      <c r="AK111" s="258">
        <f>SUM(AK117)</f>
        <v>0</v>
      </c>
      <c r="AL111" s="258">
        <f>SUM(AL117)</f>
        <v>0</v>
      </c>
      <c r="AM111" s="258">
        <f>SUM(AM117)</f>
        <v>0</v>
      </c>
      <c r="AN111" s="258">
        <f>SUM(AN117)</f>
        <v>0</v>
      </c>
      <c r="AO111" s="259"/>
      <c r="AP111" s="260"/>
      <c r="AQ111" s="261">
        <f>SUM(AQ117)</f>
        <v>4636841.0999999996</v>
      </c>
      <c r="AR111" s="261">
        <f t="shared" ref="AR111:BA111" si="77">SUM(AR117)</f>
        <v>1237824</v>
      </c>
      <c r="AS111" s="261">
        <f t="shared" si="77"/>
        <v>0</v>
      </c>
      <c r="AT111" s="261">
        <f t="shared" si="77"/>
        <v>5874665.0999999996</v>
      </c>
      <c r="AU111" s="261">
        <f t="shared" si="77"/>
        <v>5304666</v>
      </c>
      <c r="AV111" s="261">
        <f t="shared" si="77"/>
        <v>0</v>
      </c>
      <c r="AW111" s="261">
        <f t="shared" si="77"/>
        <v>0</v>
      </c>
      <c r="AX111" s="261">
        <f t="shared" si="77"/>
        <v>0</v>
      </c>
      <c r="AY111" s="261">
        <f t="shared" si="77"/>
        <v>0</v>
      </c>
      <c r="AZ111" s="261">
        <f t="shared" si="77"/>
        <v>0</v>
      </c>
      <c r="BA111" s="261">
        <f t="shared" si="77"/>
        <v>0</v>
      </c>
      <c r="BB111" s="261">
        <f>SUM(BB117)</f>
        <v>-569999.10000000009</v>
      </c>
    </row>
    <row r="112" spans="1:58" ht="78.75" outlineLevel="2" x14ac:dyDescent="0.25">
      <c r="A112" s="115"/>
      <c r="B112" s="200"/>
      <c r="C112" s="201"/>
      <c r="D112" s="210"/>
      <c r="E112" s="321"/>
      <c r="F112" s="306"/>
      <c r="G112" s="307"/>
      <c r="H112" s="199" t="s">
        <v>440</v>
      </c>
      <c r="I112" s="130" t="s">
        <v>2</v>
      </c>
      <c r="J112" s="126">
        <v>1</v>
      </c>
      <c r="K112" s="126">
        <v>6</v>
      </c>
      <c r="L112" s="125">
        <f>IF(I112&lt;&gt;0,((VLOOKUP(I112,'1. Standard_Cost'!$B$4:$D$11,2)+VLOOKUP(I112,'1. Standard_Cost'!$B$4:$D$11,3))*J112*K112),"0")</f>
        <v>726000</v>
      </c>
      <c r="M112" s="125">
        <f>L112*'1. Standard_Cost'!$F$4</f>
        <v>121242</v>
      </c>
      <c r="N112" s="126"/>
      <c r="O112" s="126"/>
      <c r="P112" s="126"/>
      <c r="Q112" s="126"/>
      <c r="R112" s="127">
        <f>'1. Standard_Cost'!$B$15*N112*P112</f>
        <v>0</v>
      </c>
      <c r="S112" s="127">
        <f>N112*O112*P112*'1. Standard_Cost'!$C$15</f>
        <v>0</v>
      </c>
      <c r="T112" s="127">
        <f>N112*P112*Q112*'1. Standard_Cost'!$D$15</f>
        <v>0</v>
      </c>
      <c r="U112" s="127">
        <f>N112*O112*'1. Standard_Cost'!$E$15</f>
        <v>0</v>
      </c>
      <c r="V112" s="126"/>
      <c r="W112" s="126"/>
      <c r="X112" s="126"/>
      <c r="Y112" s="127">
        <f>+V112*((X112*'1. Standard_Cost'!$B$19)+(W112*X112*'1. Standard_Cost'!$C$19))</f>
        <v>0</v>
      </c>
      <c r="Z112" s="126"/>
      <c r="AA112" s="126"/>
      <c r="AB112" s="127">
        <f>+Z112*'1. Standard_Cost'!$B$23+AA112*'1. Standard_Cost'!$C$23</f>
        <v>0</v>
      </c>
      <c r="AC112" s="128">
        <v>101700</v>
      </c>
      <c r="AD112" s="129"/>
      <c r="AE112" s="127">
        <f>SUM(AD112,AC112,AB112,Y112,U112,T112,S112,R112)*'1. Standard_Cost'!$B$31</f>
        <v>20340</v>
      </c>
      <c r="AF112" s="127">
        <f>SUM(AE112,AD112,AC112,AB112,Y112,U112,T112,S112,R112)</f>
        <v>122040</v>
      </c>
      <c r="AG112" s="126"/>
      <c r="AH112" s="126"/>
      <c r="AI112" s="126"/>
      <c r="AJ112" s="130"/>
      <c r="AK112" s="130"/>
      <c r="AL112" s="130"/>
      <c r="AM112" s="127">
        <f>AG112*'1. Standard_Cost'!$B$27+'Incremental_Cost Year 2'!AH112*'1. Standard_Cost'!$C$27+'Incremental_Cost Year 2'!AI112*'1. Standard_Cost'!$D$27+'Incremental_Cost Year 2'!AJ112+'Incremental_Cost Year 2'!AL112+AK112</f>
        <v>0</v>
      </c>
      <c r="AN112" s="127">
        <f>AM112*'1. Standard_Cost'!$C$31</f>
        <v>0</v>
      </c>
      <c r="AO112" s="130"/>
      <c r="AQ112" s="171">
        <f>L112+M112</f>
        <v>847242</v>
      </c>
      <c r="AR112" s="171">
        <f>AF112</f>
        <v>122040</v>
      </c>
      <c r="AS112" s="171">
        <f>AM112+AN112</f>
        <v>0</v>
      </c>
      <c r="AT112" s="171">
        <f>SUM(AQ112,AR112,AS112)</f>
        <v>969282</v>
      </c>
      <c r="AU112" s="250">
        <v>969282</v>
      </c>
      <c r="AV112" s="250"/>
      <c r="AW112" s="250"/>
      <c r="AX112" s="250"/>
      <c r="AY112" s="250"/>
      <c r="AZ112" s="250"/>
      <c r="BA112" s="250"/>
      <c r="BB112" s="251">
        <f t="shared" ref="BB112:BB116" si="78">SUM(AU112:BA112)-AT112</f>
        <v>0</v>
      </c>
      <c r="BC112" s="169"/>
      <c r="BD112" s="169"/>
      <c r="BE112" s="169"/>
      <c r="BF112" s="169"/>
    </row>
    <row r="113" spans="1:58" ht="63" customHeight="1" outlineLevel="2" x14ac:dyDescent="0.25">
      <c r="A113" s="115"/>
      <c r="B113" s="200"/>
      <c r="C113" s="201"/>
      <c r="D113" s="208"/>
      <c r="E113" s="323"/>
      <c r="F113" s="308"/>
      <c r="G113" s="309"/>
      <c r="H113" s="199" t="s">
        <v>441</v>
      </c>
      <c r="I113" s="130" t="s">
        <v>3</v>
      </c>
      <c r="J113" s="126">
        <v>3</v>
      </c>
      <c r="K113" s="126">
        <v>7</v>
      </c>
      <c r="L113" s="125">
        <f>IF(I113&lt;&gt;0,((VLOOKUP(I113,'1. Standard_Cost'!$B$4:$D$11,2)+VLOOKUP(I113,'1. Standard_Cost'!$B$4:$D$11,3))*J113*K113),"0")</f>
        <v>2116800</v>
      </c>
      <c r="M113" s="125">
        <f>L113*'1. Standard_Cost'!$F$4</f>
        <v>353505.60000000003</v>
      </c>
      <c r="N113" s="126"/>
      <c r="O113" s="126"/>
      <c r="P113" s="126"/>
      <c r="Q113" s="126"/>
      <c r="R113" s="127">
        <f>'1. Standard_Cost'!$B$15*N113*P113</f>
        <v>0</v>
      </c>
      <c r="S113" s="127">
        <f>N113*O113*P113*'1. Standard_Cost'!$C$15</f>
        <v>0</v>
      </c>
      <c r="T113" s="127">
        <f>N113*P113*Q113*'1. Standard_Cost'!$D$15</f>
        <v>0</v>
      </c>
      <c r="U113" s="127">
        <f>N113*O113*'1. Standard_Cost'!$E$15</f>
        <v>0</v>
      </c>
      <c r="V113" s="126"/>
      <c r="W113" s="126"/>
      <c r="X113" s="126"/>
      <c r="Y113" s="127">
        <f>+V113*((X113*'1. Standard_Cost'!$B$19)+(W113*X113*'1. Standard_Cost'!$C$19))</f>
        <v>0</v>
      </c>
      <c r="Z113" s="126"/>
      <c r="AA113" s="126"/>
      <c r="AB113" s="127">
        <f>+Z113*'1. Standard_Cost'!$B$23+AA113*'1. Standard_Cost'!$C$23</f>
        <v>0</v>
      </c>
      <c r="AC113" s="128">
        <v>296500</v>
      </c>
      <c r="AD113" s="129"/>
      <c r="AE113" s="127">
        <f>SUM(AD113,AC113,AB113,Y113,U113,T113,S113,R113)*'1. Standard_Cost'!$B$31</f>
        <v>59300</v>
      </c>
      <c r="AF113" s="127">
        <f>SUM(AE113,AD113,AC113,AB113,Y113,U113,T113,S113,R113)</f>
        <v>355800</v>
      </c>
      <c r="AG113" s="126"/>
      <c r="AH113" s="126"/>
      <c r="AI113" s="126"/>
      <c r="AJ113" s="130"/>
      <c r="AK113" s="130"/>
      <c r="AL113" s="130"/>
      <c r="AM113" s="127">
        <f>AG113*'1. Standard_Cost'!$B$27+'Incremental_Cost Year 2'!AH113*'1. Standard_Cost'!$C$27+'Incremental_Cost Year 2'!AI113*'1. Standard_Cost'!$D$27+'Incremental_Cost Year 2'!AJ113+'Incremental_Cost Year 2'!AL113+AK113</f>
        <v>0</v>
      </c>
      <c r="AN113" s="127">
        <f>AM113*'1. Standard_Cost'!$C$31</f>
        <v>0</v>
      </c>
      <c r="AO113" s="130"/>
      <c r="AQ113" s="171">
        <f>L113+M113</f>
        <v>2470305.6</v>
      </c>
      <c r="AR113" s="171">
        <f>AF113</f>
        <v>355800</v>
      </c>
      <c r="AS113" s="171">
        <f>AM113+AN113</f>
        <v>0</v>
      </c>
      <c r="AT113" s="171">
        <f>SUM(AQ113,AR113,AS113)</f>
        <v>2826105.6</v>
      </c>
      <c r="AU113" s="250">
        <v>2826106</v>
      </c>
      <c r="AV113" s="250"/>
      <c r="AW113" s="250"/>
      <c r="AX113" s="250"/>
      <c r="AY113" s="250"/>
      <c r="AZ113" s="250"/>
      <c r="BA113" s="250"/>
      <c r="BB113" s="251">
        <f t="shared" si="78"/>
        <v>0.39999999990686774</v>
      </c>
      <c r="BC113" s="169"/>
      <c r="BD113" s="169"/>
      <c r="BE113" s="169"/>
      <c r="BF113" s="169"/>
    </row>
    <row r="114" spans="1:58" ht="78.75" outlineLevel="2" x14ac:dyDescent="0.25">
      <c r="A114" s="115"/>
      <c r="B114" s="200"/>
      <c r="C114" s="201"/>
      <c r="D114" s="203"/>
      <c r="E114" s="323"/>
      <c r="F114" s="308"/>
      <c r="G114" s="309"/>
      <c r="H114" s="199" t="s">
        <v>547</v>
      </c>
      <c r="I114" s="130" t="s">
        <v>4</v>
      </c>
      <c r="J114" s="126">
        <v>2</v>
      </c>
      <c r="K114" s="126">
        <v>7</v>
      </c>
      <c r="L114" s="125">
        <f>IF(I114&lt;&gt;0,((VLOOKUP(I114,'1. Standard_Cost'!$B$4:$D$11,2)+VLOOKUP(I114,'1. Standard_Cost'!$B$4:$D$11,3))*J114*K114),"0")</f>
        <v>1130500</v>
      </c>
      <c r="M114" s="125">
        <f>L114*'1. Standard_Cost'!$F$4</f>
        <v>188793.5</v>
      </c>
      <c r="N114" s="126"/>
      <c r="O114" s="126"/>
      <c r="P114" s="126"/>
      <c r="Q114" s="126"/>
      <c r="R114" s="127">
        <f>'1. Standard_Cost'!$B$15*N114*P114</f>
        <v>0</v>
      </c>
      <c r="S114" s="127">
        <f>N114*O114*P114*'1. Standard_Cost'!$C$15</f>
        <v>0</v>
      </c>
      <c r="T114" s="127">
        <f>N114*P114*Q114*'1. Standard_Cost'!$D$15</f>
        <v>0</v>
      </c>
      <c r="U114" s="127">
        <f>N114*O114*'1. Standard_Cost'!$E$15</f>
        <v>0</v>
      </c>
      <c r="V114" s="126"/>
      <c r="W114" s="126"/>
      <c r="X114" s="126"/>
      <c r="Y114" s="127">
        <f>+V114*((X114*'1. Standard_Cost'!$B$19)+(W114*X114*'1. Standard_Cost'!$C$19))</f>
        <v>0</v>
      </c>
      <c r="Z114" s="126"/>
      <c r="AA114" s="126">
        <v>25</v>
      </c>
      <c r="AB114" s="127">
        <f>+Z114*'1. Standard_Cost'!$B$23+AA114*'1. Standard_Cost'!$C$23</f>
        <v>475000</v>
      </c>
      <c r="AC114" s="128">
        <v>158320</v>
      </c>
      <c r="AD114" s="129"/>
      <c r="AE114" s="127">
        <f>SUM(AD114,AC114,AB114,Y114,U114,T114,S114,R114)*'1. Standard_Cost'!$B$31</f>
        <v>126664</v>
      </c>
      <c r="AF114" s="127">
        <f>SUM(AE114,AD114,AC114,AB114,Y114,U114,T114,S114,R114)</f>
        <v>759984</v>
      </c>
      <c r="AG114" s="126"/>
      <c r="AH114" s="126"/>
      <c r="AI114" s="126"/>
      <c r="AJ114" s="130"/>
      <c r="AK114" s="130"/>
      <c r="AL114" s="130"/>
      <c r="AM114" s="127">
        <f>AG114*'1. Standard_Cost'!$B$27+'Incremental_Cost Year 2'!AH114*'1. Standard_Cost'!$C$27+'Incremental_Cost Year 2'!AI114*'1. Standard_Cost'!$D$27+'Incremental_Cost Year 2'!AJ114+'Incremental_Cost Year 2'!AL114+AK114</f>
        <v>0</v>
      </c>
      <c r="AN114" s="127">
        <f>AM114*'1. Standard_Cost'!$C$31</f>
        <v>0</v>
      </c>
      <c r="AO114" s="130"/>
      <c r="AQ114" s="171">
        <f>L114+M114</f>
        <v>1319293.5</v>
      </c>
      <c r="AR114" s="171">
        <f>AF114</f>
        <v>759984</v>
      </c>
      <c r="AS114" s="171">
        <f>AM114+AN114</f>
        <v>0</v>
      </c>
      <c r="AT114" s="171">
        <f>SUM(AQ114,AR114,AS114)</f>
        <v>2079277.5</v>
      </c>
      <c r="AU114" s="250">
        <v>1509278</v>
      </c>
      <c r="AV114" s="250"/>
      <c r="AW114" s="250"/>
      <c r="AX114" s="250"/>
      <c r="AY114" s="250"/>
      <c r="AZ114" s="250"/>
      <c r="BA114" s="250"/>
      <c r="BB114" s="251">
        <f t="shared" si="78"/>
        <v>-569999.5</v>
      </c>
      <c r="BC114" s="169"/>
      <c r="BD114" s="169"/>
      <c r="BE114" s="169"/>
      <c r="BF114" s="169"/>
    </row>
    <row r="115" spans="1:58" ht="31.5" outlineLevel="2" x14ac:dyDescent="0.25">
      <c r="A115" s="115"/>
      <c r="B115" s="200"/>
      <c r="C115" s="201"/>
      <c r="D115" s="203"/>
      <c r="E115" s="323"/>
      <c r="F115" s="308"/>
      <c r="G115" s="309"/>
      <c r="H115" s="199" t="s">
        <v>279</v>
      </c>
      <c r="I115" s="130"/>
      <c r="J115" s="126"/>
      <c r="K115" s="126"/>
      <c r="L115" s="125" t="str">
        <f>IF(I115&lt;&gt;0,((VLOOKUP(I115,'1. Standard_Cost'!$B$4:$D$11,2)+VLOOKUP(I115,'1. Standard_Cost'!$B$4:$D$11,3))*J115*K115),"0")</f>
        <v>0</v>
      </c>
      <c r="M115" s="125">
        <f>L115*'1. Standard_Cost'!$F$4</f>
        <v>0</v>
      </c>
      <c r="N115" s="126"/>
      <c r="O115" s="126"/>
      <c r="P115" s="126"/>
      <c r="Q115" s="126"/>
      <c r="R115" s="127">
        <f>'1. Standard_Cost'!$B$15*N115*P115</f>
        <v>0</v>
      </c>
      <c r="S115" s="127">
        <f>N115*O115*P115*'1. Standard_Cost'!$C$15</f>
        <v>0</v>
      </c>
      <c r="T115" s="127">
        <f>N115*P115*Q115*'1. Standard_Cost'!$D$15</f>
        <v>0</v>
      </c>
      <c r="U115" s="127">
        <f>N115*O115*'1. Standard_Cost'!$E$15</f>
        <v>0</v>
      </c>
      <c r="V115" s="126"/>
      <c r="W115" s="126"/>
      <c r="X115" s="126"/>
      <c r="Y115" s="127">
        <f>+V115*((X115*'1. Standard_Cost'!$B$19)+(W115*X115*'1. Standard_Cost'!$C$19))</f>
        <v>0</v>
      </c>
      <c r="Z115" s="126"/>
      <c r="AA115" s="126"/>
      <c r="AB115" s="127">
        <f>+Z115*'1. Standard_Cost'!$B$23+AA115*'1. Standard_Cost'!$C$23</f>
        <v>0</v>
      </c>
      <c r="AC115" s="128"/>
      <c r="AD115" s="129"/>
      <c r="AE115" s="127">
        <f>SUM(AD115,AC115,AB115,Y115,U115,T115,S115,R115)*'1. Standard_Cost'!$B$31</f>
        <v>0</v>
      </c>
      <c r="AF115" s="127">
        <f>SUM(AE115,AD115,AC115,AB115,Y115,U115,T115,S115,R115)</f>
        <v>0</v>
      </c>
      <c r="AG115" s="126"/>
      <c r="AH115" s="126"/>
      <c r="AI115" s="126"/>
      <c r="AJ115" s="130"/>
      <c r="AK115" s="130"/>
      <c r="AL115" s="130"/>
      <c r="AM115" s="127">
        <f>AG115*'1. Standard_Cost'!$B$27+'Incremental_Cost Year 2'!AH115*'1. Standard_Cost'!$C$27+'Incremental_Cost Year 2'!AI115*'1. Standard_Cost'!$D$27+'Incremental_Cost Year 2'!AJ115+'Incremental_Cost Year 2'!AL115+AK115</f>
        <v>0</v>
      </c>
      <c r="AN115" s="127">
        <f>AM115*'1. Standard_Cost'!$C$31</f>
        <v>0</v>
      </c>
      <c r="AO115" s="130"/>
      <c r="AQ115" s="171">
        <f>L115+M115</f>
        <v>0</v>
      </c>
      <c r="AR115" s="171">
        <f>AF115</f>
        <v>0</v>
      </c>
      <c r="AS115" s="171">
        <f>AM115+AN115</f>
        <v>0</v>
      </c>
      <c r="AT115" s="171">
        <f>SUM(AQ115,AR115,AS115)</f>
        <v>0</v>
      </c>
      <c r="AU115" s="250"/>
      <c r="AV115" s="250"/>
      <c r="AW115" s="250"/>
      <c r="AX115" s="250"/>
      <c r="AY115" s="250"/>
      <c r="AZ115" s="250"/>
      <c r="BA115" s="250"/>
      <c r="BB115" s="251">
        <f t="shared" si="78"/>
        <v>0</v>
      </c>
      <c r="BC115" s="169"/>
      <c r="BD115" s="169"/>
      <c r="BE115" s="169"/>
      <c r="BF115" s="169"/>
    </row>
    <row r="116" spans="1:58" ht="47.25" outlineLevel="2" x14ac:dyDescent="0.25">
      <c r="A116" s="115"/>
      <c r="B116" s="200"/>
      <c r="C116" s="201"/>
      <c r="D116" s="211"/>
      <c r="E116" s="322"/>
      <c r="F116" s="311"/>
      <c r="G116" s="312"/>
      <c r="H116" s="199" t="s">
        <v>442</v>
      </c>
      <c r="I116" s="130"/>
      <c r="J116" s="126"/>
      <c r="K116" s="126"/>
      <c r="L116" s="125" t="str">
        <f>IF(I116&lt;&gt;0,((VLOOKUP(I116,'1. Standard_Cost'!$B$4:$D$11,2)+VLOOKUP(I116,'1. Standard_Cost'!$B$4:$D$11,3))*J116*K116),"0")</f>
        <v>0</v>
      </c>
      <c r="M116" s="125">
        <f>L116*'1. Standard_Cost'!$F$4</f>
        <v>0</v>
      </c>
      <c r="N116" s="126"/>
      <c r="O116" s="126"/>
      <c r="P116" s="126"/>
      <c r="Q116" s="126"/>
      <c r="R116" s="127">
        <f>'1. Standard_Cost'!$B$15*N116*P116</f>
        <v>0</v>
      </c>
      <c r="S116" s="127">
        <f>N116*O116*P116*'1. Standard_Cost'!$C$15</f>
        <v>0</v>
      </c>
      <c r="T116" s="127">
        <f>N116*P116*Q116*'1. Standard_Cost'!$D$15</f>
        <v>0</v>
      </c>
      <c r="U116" s="127">
        <f>N116*O116*'1. Standard_Cost'!$E$15</f>
        <v>0</v>
      </c>
      <c r="V116" s="126"/>
      <c r="W116" s="126"/>
      <c r="X116" s="126"/>
      <c r="Y116" s="127">
        <f>+V116*((X116*'1. Standard_Cost'!$B$19)+(W116*X116*'1. Standard_Cost'!$C$19))</f>
        <v>0</v>
      </c>
      <c r="Z116" s="126"/>
      <c r="AA116" s="126"/>
      <c r="AB116" s="127">
        <f>+Z116*'1. Standard_Cost'!$B$23+AA116*'1. Standard_Cost'!$C$23</f>
        <v>0</v>
      </c>
      <c r="AC116" s="128"/>
      <c r="AD116" s="129"/>
      <c r="AE116" s="127">
        <f>SUM(AD116,AC116,AB116,Y116,U116,T116,S116,R116)*'1. Standard_Cost'!$B$31</f>
        <v>0</v>
      </c>
      <c r="AF116" s="127">
        <f>SUM(AE116,AD116,AC116,AB116,Y116,U116,T116,S116,R116)</f>
        <v>0</v>
      </c>
      <c r="AG116" s="126"/>
      <c r="AH116" s="126"/>
      <c r="AI116" s="126"/>
      <c r="AJ116" s="130"/>
      <c r="AK116" s="130"/>
      <c r="AL116" s="130"/>
      <c r="AM116" s="127">
        <f>AG116*'1. Standard_Cost'!$B$27+'Incremental_Cost Year 2'!AH116*'1. Standard_Cost'!$C$27+'Incremental_Cost Year 2'!AI116*'1. Standard_Cost'!$D$27+'Incremental_Cost Year 2'!AJ116+'Incremental_Cost Year 2'!AL116+AK116</f>
        <v>0</v>
      </c>
      <c r="AN116" s="127">
        <f>AM116*'1. Standard_Cost'!$C$31</f>
        <v>0</v>
      </c>
      <c r="AO116" s="130"/>
      <c r="AQ116" s="171">
        <f>L116+M116</f>
        <v>0</v>
      </c>
      <c r="AR116" s="171">
        <f>AF116</f>
        <v>0</v>
      </c>
      <c r="AS116" s="171">
        <f>AM116+AN116</f>
        <v>0</v>
      </c>
      <c r="AT116" s="171">
        <f>SUM(AQ116,AR116,AS116)</f>
        <v>0</v>
      </c>
      <c r="AU116" s="250"/>
      <c r="AV116" s="250"/>
      <c r="AW116" s="250"/>
      <c r="AX116" s="250"/>
      <c r="AY116" s="250"/>
      <c r="AZ116" s="250"/>
      <c r="BA116" s="250"/>
      <c r="BB116" s="251">
        <f t="shared" si="78"/>
        <v>0</v>
      </c>
      <c r="BC116" s="169"/>
      <c r="BD116" s="169"/>
      <c r="BE116" s="169"/>
      <c r="BF116" s="169"/>
    </row>
    <row r="117" spans="1:58" ht="47.25" outlineLevel="1" x14ac:dyDescent="0.25">
      <c r="A117" s="115"/>
      <c r="B117" s="165"/>
      <c r="C117" s="166"/>
      <c r="D117" s="229" t="s">
        <v>432</v>
      </c>
      <c r="E117" s="212" t="s">
        <v>280</v>
      </c>
      <c r="F117" s="136">
        <v>2021</v>
      </c>
      <c r="G117" s="117">
        <v>2030</v>
      </c>
      <c r="H117" s="110" t="s">
        <v>281</v>
      </c>
      <c r="I117" s="252"/>
      <c r="J117" s="252"/>
      <c r="K117" s="252"/>
      <c r="L117" s="127">
        <f>SUM(L112:L116)</f>
        <v>3973300</v>
      </c>
      <c r="M117" s="127">
        <f>SUM(M112:M116)</f>
        <v>663541.10000000009</v>
      </c>
      <c r="N117" s="127"/>
      <c r="O117" s="252"/>
      <c r="P117" s="252"/>
      <c r="Q117" s="252"/>
      <c r="R117" s="127">
        <f>SUM(R112:R116)</f>
        <v>0</v>
      </c>
      <c r="S117" s="127">
        <f>SUM(S112:S116)</f>
        <v>0</v>
      </c>
      <c r="T117" s="127">
        <f>SUM(T112:T116)</f>
        <v>0</v>
      </c>
      <c r="U117" s="127">
        <f>SUM(U112:U116)</f>
        <v>0</v>
      </c>
      <c r="V117" s="252"/>
      <c r="W117" s="252"/>
      <c r="X117" s="252"/>
      <c r="Y117" s="127">
        <f>SUM(Y112:Y116)</f>
        <v>0</v>
      </c>
      <c r="Z117" s="252"/>
      <c r="AA117" s="252"/>
      <c r="AB117" s="127">
        <f>SUM(AB112:AB116)</f>
        <v>475000</v>
      </c>
      <c r="AC117" s="127">
        <f>SUM(AC112:AC116)</f>
        <v>556520</v>
      </c>
      <c r="AD117" s="127">
        <f>SUM(AD112:AD116)</f>
        <v>0</v>
      </c>
      <c r="AE117" s="127">
        <f>SUM(AE112:AE116)</f>
        <v>206304</v>
      </c>
      <c r="AF117" s="127">
        <f>SUM(AF112:AF116)</f>
        <v>1237824</v>
      </c>
      <c r="AG117" s="252"/>
      <c r="AH117" s="252"/>
      <c r="AI117" s="252"/>
      <c r="AJ117" s="127">
        <f>SUM(AJ112:AJ116)</f>
        <v>0</v>
      </c>
      <c r="AK117" s="127">
        <f>SUM(AK112:AK116)</f>
        <v>0</v>
      </c>
      <c r="AL117" s="127">
        <f>SUM(AL112:AL116)</f>
        <v>0</v>
      </c>
      <c r="AM117" s="127">
        <f>SUM(AM112:AM116)</f>
        <v>0</v>
      </c>
      <c r="AN117" s="127">
        <f>SUM(AN112:AN116)</f>
        <v>0</v>
      </c>
      <c r="AO117" s="253"/>
      <c r="AP117" s="254"/>
      <c r="AQ117" s="175">
        <f>SUM(AQ112:AQ116)</f>
        <v>4636841.0999999996</v>
      </c>
      <c r="AR117" s="175">
        <f>SUM(AR112:AR116)</f>
        <v>1237824</v>
      </c>
      <c r="AS117" s="175">
        <f>SUM(AS112:AS116)</f>
        <v>0</v>
      </c>
      <c r="AT117" s="175">
        <f>SUM(AT112:AT116)</f>
        <v>5874665.0999999996</v>
      </c>
      <c r="AU117" s="175">
        <f t="shared" ref="AU117:BB117" si="79">SUM(AU112:AU116)</f>
        <v>5304666</v>
      </c>
      <c r="AV117" s="175">
        <f t="shared" si="79"/>
        <v>0</v>
      </c>
      <c r="AW117" s="175">
        <f>SUM(AW112:AW116)</f>
        <v>0</v>
      </c>
      <c r="AX117" s="175">
        <f t="shared" si="79"/>
        <v>0</v>
      </c>
      <c r="AY117" s="175">
        <f t="shared" si="79"/>
        <v>0</v>
      </c>
      <c r="AZ117" s="175">
        <f t="shared" si="79"/>
        <v>0</v>
      </c>
      <c r="BA117" s="175">
        <f t="shared" si="79"/>
        <v>0</v>
      </c>
      <c r="BB117" s="175">
        <f t="shared" si="79"/>
        <v>-569999.10000000009</v>
      </c>
      <c r="BC117" s="169"/>
      <c r="BD117" s="169"/>
      <c r="BE117" s="169"/>
      <c r="BF117" s="169"/>
    </row>
    <row r="118" spans="1:58" s="184" customFormat="1" ht="15.75" customHeight="1" x14ac:dyDescent="0.25">
      <c r="A118" s="143"/>
      <c r="B118" s="290"/>
      <c r="C118" s="391" t="s">
        <v>282</v>
      </c>
      <c r="D118" s="391"/>
      <c r="E118" s="392"/>
      <c r="F118" s="291"/>
      <c r="G118" s="291"/>
      <c r="H118" s="144" t="s">
        <v>266</v>
      </c>
      <c r="I118" s="257"/>
      <c r="J118" s="257"/>
      <c r="K118" s="257"/>
      <c r="L118" s="258">
        <f>SUM(L122)</f>
        <v>2520000</v>
      </c>
      <c r="M118" s="258">
        <f>SUM(M122)</f>
        <v>420840</v>
      </c>
      <c r="N118" s="257"/>
      <c r="O118" s="257"/>
      <c r="P118" s="257"/>
      <c r="Q118" s="257"/>
      <c r="R118" s="258">
        <f>SUM(R122)</f>
        <v>0</v>
      </c>
      <c r="S118" s="258">
        <f>SUM(S122)</f>
        <v>0</v>
      </c>
      <c r="T118" s="258">
        <f>SUM(T122)</f>
        <v>0</v>
      </c>
      <c r="U118" s="258">
        <f>SUM(U122)</f>
        <v>0</v>
      </c>
      <c r="V118" s="257"/>
      <c r="W118" s="257"/>
      <c r="X118" s="257"/>
      <c r="Y118" s="258">
        <f>SUM(Y122)</f>
        <v>0</v>
      </c>
      <c r="Z118" s="258"/>
      <c r="AA118" s="258"/>
      <c r="AB118" s="258">
        <f>SUM(AB122)</f>
        <v>1425000</v>
      </c>
      <c r="AC118" s="258">
        <f>SUM(AC122)</f>
        <v>735210</v>
      </c>
      <c r="AD118" s="258">
        <f>SUM(AD122)</f>
        <v>0</v>
      </c>
      <c r="AE118" s="258">
        <f>SUM(AE122)</f>
        <v>432042</v>
      </c>
      <c r="AF118" s="258">
        <f>SUM(AF122)</f>
        <v>2592252</v>
      </c>
      <c r="AG118" s="257"/>
      <c r="AH118" s="257"/>
      <c r="AI118" s="257"/>
      <c r="AJ118" s="258">
        <f>SUM(AJ122)</f>
        <v>0</v>
      </c>
      <c r="AK118" s="258">
        <f>SUM(AK122)</f>
        <v>0</v>
      </c>
      <c r="AL118" s="258">
        <f>SUM(AL122)</f>
        <v>0</v>
      </c>
      <c r="AM118" s="258">
        <f>SUM(AM122)</f>
        <v>0</v>
      </c>
      <c r="AN118" s="258">
        <f>SUM(AN122)</f>
        <v>0</v>
      </c>
      <c r="AO118" s="259"/>
      <c r="AP118" s="260"/>
      <c r="AQ118" s="261">
        <f>SUM(AQ122)</f>
        <v>2940840</v>
      </c>
      <c r="AR118" s="261">
        <f>SUM(AR122)</f>
        <v>2592252</v>
      </c>
      <c r="AS118" s="261">
        <f>SUM(AS122)</f>
        <v>0</v>
      </c>
      <c r="AT118" s="261">
        <f>SUM(AT122)</f>
        <v>5533092</v>
      </c>
      <c r="AU118" s="261">
        <f t="shared" ref="AU118:BA118" si="80">SUM(AU122)</f>
        <v>3538092</v>
      </c>
      <c r="AV118" s="261">
        <f t="shared" si="80"/>
        <v>0</v>
      </c>
      <c r="AW118" s="261">
        <f>SUM(AW122)</f>
        <v>0</v>
      </c>
      <c r="AX118" s="261">
        <f t="shared" si="80"/>
        <v>0</v>
      </c>
      <c r="AY118" s="261">
        <f t="shared" si="80"/>
        <v>0</v>
      </c>
      <c r="AZ118" s="261">
        <f t="shared" si="80"/>
        <v>0</v>
      </c>
      <c r="BA118" s="261">
        <f t="shared" si="80"/>
        <v>0</v>
      </c>
      <c r="BB118" s="261">
        <f>SUM(BB122)</f>
        <v>-1995000</v>
      </c>
    </row>
    <row r="119" spans="1:58" ht="94.5" outlineLevel="2" x14ac:dyDescent="0.25">
      <c r="A119" s="115"/>
      <c r="B119" s="200"/>
      <c r="C119" s="201"/>
      <c r="D119" s="348"/>
      <c r="E119" s="321"/>
      <c r="F119" s="306"/>
      <c r="G119" s="307"/>
      <c r="H119" s="199" t="s">
        <v>443</v>
      </c>
      <c r="I119" s="130" t="s">
        <v>3</v>
      </c>
      <c r="J119" s="126">
        <v>5</v>
      </c>
      <c r="K119" s="126">
        <v>5</v>
      </c>
      <c r="L119" s="125">
        <f>IF(I119&lt;&gt;0,((VLOOKUP(I119,'1. Standard_Cost'!$B$4:$D$11,2)+VLOOKUP(I119,'1. Standard_Cost'!$B$4:$D$11,3))*J119*K119),"0")</f>
        <v>2520000</v>
      </c>
      <c r="M119" s="125">
        <f>L119*'1. Standard_Cost'!$F$4</f>
        <v>420840</v>
      </c>
      <c r="N119" s="126"/>
      <c r="O119" s="126"/>
      <c r="P119" s="126"/>
      <c r="Q119" s="126"/>
      <c r="R119" s="127">
        <f>'1. Standard_Cost'!$B$15*N119*P119</f>
        <v>0</v>
      </c>
      <c r="S119" s="127">
        <f>N119*O119*P119*'1. Standard_Cost'!$C$15</f>
        <v>0</v>
      </c>
      <c r="T119" s="127">
        <f>N119*P119*Q119*'1. Standard_Cost'!$D$15</f>
        <v>0</v>
      </c>
      <c r="U119" s="127">
        <f>N119*O119*'1. Standard_Cost'!$E$15</f>
        <v>0</v>
      </c>
      <c r="V119" s="126"/>
      <c r="W119" s="126"/>
      <c r="X119" s="126"/>
      <c r="Y119" s="127">
        <f>+V119*((X119*'1. Standard_Cost'!$B$19)+(W119*X119*'1. Standard_Cost'!$C$19))</f>
        <v>0</v>
      </c>
      <c r="Z119" s="126"/>
      <c r="AA119" s="126">
        <v>75</v>
      </c>
      <c r="AB119" s="127">
        <f>+Z119*'1. Standard_Cost'!$B$23+AA119*'1. Standard_Cost'!$C$23</f>
        <v>1425000</v>
      </c>
      <c r="AC119" s="128">
        <v>735210</v>
      </c>
      <c r="AD119" s="129"/>
      <c r="AE119" s="127">
        <f>SUM(AD119,AC119,AB119,Y119,U119,T119,S119,R119)*'1. Standard_Cost'!$B$31</f>
        <v>432042</v>
      </c>
      <c r="AF119" s="127">
        <f>SUM(AE119,AD119,AC119,AB119,Y119,U119,T119,S119,R119)</f>
        <v>2592252</v>
      </c>
      <c r="AG119" s="126"/>
      <c r="AH119" s="126"/>
      <c r="AI119" s="126"/>
      <c r="AJ119" s="130"/>
      <c r="AK119" s="130"/>
      <c r="AL119" s="130"/>
      <c r="AM119" s="127">
        <f>AG119*'1. Standard_Cost'!$B$27+'Incremental_Cost Year 2'!AH119*'1. Standard_Cost'!$C$27+'Incremental_Cost Year 2'!AI119*'1. Standard_Cost'!$D$27+'Incremental_Cost Year 2'!AJ119+'Incremental_Cost Year 2'!AL119+AK119</f>
        <v>0</v>
      </c>
      <c r="AN119" s="127">
        <f>AM119*'1. Standard_Cost'!$C$31</f>
        <v>0</v>
      </c>
      <c r="AO119" s="130"/>
      <c r="AQ119" s="171">
        <f>L119+M119</f>
        <v>2940840</v>
      </c>
      <c r="AR119" s="171">
        <f>AF119</f>
        <v>2592252</v>
      </c>
      <c r="AS119" s="171">
        <f>AM119+AN119</f>
        <v>0</v>
      </c>
      <c r="AT119" s="171">
        <f>SUM(AQ119,AR119,AS119)</f>
        <v>5533092</v>
      </c>
      <c r="AU119" s="250">
        <v>3538092</v>
      </c>
      <c r="AV119" s="250"/>
      <c r="AW119" s="250"/>
      <c r="AX119" s="250"/>
      <c r="AY119" s="250"/>
      <c r="AZ119" s="250"/>
      <c r="BA119" s="250"/>
      <c r="BB119" s="251">
        <f t="shared" ref="BB119:BB121" si="81">SUM(AU119:BA119)-AT119</f>
        <v>-1995000</v>
      </c>
      <c r="BC119" s="169"/>
      <c r="BD119" s="169"/>
      <c r="BE119" s="169"/>
      <c r="BF119" s="169"/>
    </row>
    <row r="120" spans="1:58" ht="110.25" outlineLevel="2" x14ac:dyDescent="0.25">
      <c r="A120" s="115"/>
      <c r="B120" s="200"/>
      <c r="C120" s="201"/>
      <c r="D120" s="132"/>
      <c r="E120" s="323"/>
      <c r="F120" s="308"/>
      <c r="G120" s="309"/>
      <c r="H120" s="199" t="s">
        <v>444</v>
      </c>
      <c r="I120" s="130"/>
      <c r="J120" s="126"/>
      <c r="K120" s="126"/>
      <c r="L120" s="125" t="str">
        <f>IF(I120&lt;&gt;0,((VLOOKUP(I120,'1. Standard_Cost'!$B$4:$D$11,2)+VLOOKUP(I120,'1. Standard_Cost'!$B$4:$D$11,3))*J120*K120),"0")</f>
        <v>0</v>
      </c>
      <c r="M120" s="125">
        <f>L120*'1. Standard_Cost'!$F$4</f>
        <v>0</v>
      </c>
      <c r="N120" s="126"/>
      <c r="O120" s="126"/>
      <c r="P120" s="126"/>
      <c r="Q120" s="126"/>
      <c r="R120" s="127">
        <f>'1. Standard_Cost'!$B$15*N120*P120</f>
        <v>0</v>
      </c>
      <c r="S120" s="127">
        <f>N120*O120*P120*'1. Standard_Cost'!$C$15</f>
        <v>0</v>
      </c>
      <c r="T120" s="127">
        <f>N120*P120*Q120*'1. Standard_Cost'!$D$15</f>
        <v>0</v>
      </c>
      <c r="U120" s="127">
        <f>N120*O120*'1. Standard_Cost'!$E$15</f>
        <v>0</v>
      </c>
      <c r="V120" s="126"/>
      <c r="W120" s="126"/>
      <c r="X120" s="126"/>
      <c r="Y120" s="127">
        <f>+V120*((X120*'1. Standard_Cost'!$B$19)+(W120*X120*'1. Standard_Cost'!$C$19))</f>
        <v>0</v>
      </c>
      <c r="Z120" s="126"/>
      <c r="AA120" s="126"/>
      <c r="AB120" s="127">
        <f>+Z120*'1. Standard_Cost'!$B$23+AA120*'1. Standard_Cost'!$C$23</f>
        <v>0</v>
      </c>
      <c r="AC120" s="128"/>
      <c r="AD120" s="129"/>
      <c r="AE120" s="127">
        <f>SUM(AD120,AC120,AB120,Y120,U120,T120,S120,R120)*'1. Standard_Cost'!$B$31</f>
        <v>0</v>
      </c>
      <c r="AF120" s="127">
        <f>SUM(AE120,AD120,AC120,AB120,Y120,U120,T120,S120,R120)</f>
        <v>0</v>
      </c>
      <c r="AG120" s="126"/>
      <c r="AH120" s="126"/>
      <c r="AI120" s="126"/>
      <c r="AJ120" s="130"/>
      <c r="AK120" s="130"/>
      <c r="AL120" s="130"/>
      <c r="AM120" s="127">
        <f>AG120*'1. Standard_Cost'!$B$27+'Incremental_Cost Year 2'!AH120*'1. Standard_Cost'!$C$27+'Incremental_Cost Year 2'!AI120*'1. Standard_Cost'!$D$27+'Incremental_Cost Year 2'!AJ120+'Incremental_Cost Year 2'!AL120+AK120</f>
        <v>0</v>
      </c>
      <c r="AN120" s="127">
        <f>AM120*'1. Standard_Cost'!$C$31</f>
        <v>0</v>
      </c>
      <c r="AO120" s="130"/>
      <c r="AQ120" s="171">
        <f>L120+M120</f>
        <v>0</v>
      </c>
      <c r="AR120" s="171">
        <f>AF120</f>
        <v>0</v>
      </c>
      <c r="AS120" s="171">
        <f>AM120+AN120</f>
        <v>0</v>
      </c>
      <c r="AT120" s="171">
        <f>SUM(AQ120,AR120,AS120)</f>
        <v>0</v>
      </c>
      <c r="AU120" s="250"/>
      <c r="AV120" s="250"/>
      <c r="AW120" s="250"/>
      <c r="AX120" s="250"/>
      <c r="AY120" s="250"/>
      <c r="AZ120" s="250"/>
      <c r="BA120" s="250"/>
      <c r="BB120" s="251">
        <f t="shared" si="81"/>
        <v>0</v>
      </c>
      <c r="BC120" s="169"/>
      <c r="BD120" s="169"/>
      <c r="BE120" s="169"/>
      <c r="BF120" s="169"/>
    </row>
    <row r="121" spans="1:58" ht="110.25" outlineLevel="2" x14ac:dyDescent="0.25">
      <c r="A121" s="115"/>
      <c r="B121" s="200"/>
      <c r="C121" s="201"/>
      <c r="D121" s="349"/>
      <c r="E121" s="322"/>
      <c r="F121" s="311"/>
      <c r="G121" s="312"/>
      <c r="H121" s="199" t="s">
        <v>445</v>
      </c>
      <c r="I121" s="130"/>
      <c r="J121" s="126"/>
      <c r="K121" s="126"/>
      <c r="L121" s="125" t="str">
        <f>IF(I121&lt;&gt;0,((VLOOKUP(I121,'1. Standard_Cost'!$B$4:$D$11,2)+VLOOKUP(I121,'1. Standard_Cost'!$B$4:$D$11,3))*J121*K121),"0")</f>
        <v>0</v>
      </c>
      <c r="M121" s="125">
        <f>L121*'1. Standard_Cost'!$F$4</f>
        <v>0</v>
      </c>
      <c r="N121" s="126"/>
      <c r="O121" s="126"/>
      <c r="P121" s="126"/>
      <c r="Q121" s="126"/>
      <c r="R121" s="127">
        <f>'1. Standard_Cost'!$B$15*N121*P121</f>
        <v>0</v>
      </c>
      <c r="S121" s="127">
        <f>N121*O121*P121*'1. Standard_Cost'!$C$15</f>
        <v>0</v>
      </c>
      <c r="T121" s="127">
        <f>N121*P121*Q121*'1. Standard_Cost'!$D$15</f>
        <v>0</v>
      </c>
      <c r="U121" s="127">
        <f>N121*O121*'1. Standard_Cost'!$E$15</f>
        <v>0</v>
      </c>
      <c r="V121" s="126"/>
      <c r="W121" s="126"/>
      <c r="X121" s="126"/>
      <c r="Y121" s="127">
        <f>+V121*((X121*'1. Standard_Cost'!$B$19)+(W121*X121*'1. Standard_Cost'!$C$19))</f>
        <v>0</v>
      </c>
      <c r="Z121" s="126"/>
      <c r="AA121" s="126"/>
      <c r="AB121" s="127">
        <f>+Z121*'1. Standard_Cost'!$B$23+AA121*'1. Standard_Cost'!$C$23</f>
        <v>0</v>
      </c>
      <c r="AC121" s="128"/>
      <c r="AD121" s="129"/>
      <c r="AE121" s="127">
        <f>SUM(AD121,AC121,AB121,Y121,U121,T121,S121,R121)*'1. Standard_Cost'!$B$31</f>
        <v>0</v>
      </c>
      <c r="AF121" s="127">
        <f>SUM(AE121,AD121,AC121,AB121,Y121,U121,T121,S121,R121)</f>
        <v>0</v>
      </c>
      <c r="AG121" s="126"/>
      <c r="AH121" s="126"/>
      <c r="AI121" s="126"/>
      <c r="AJ121" s="130"/>
      <c r="AK121" s="130"/>
      <c r="AL121" s="130"/>
      <c r="AM121" s="127">
        <f>AG121*'1. Standard_Cost'!$B$27+'Incremental_Cost Year 2'!AH121*'1. Standard_Cost'!$C$27+'Incremental_Cost Year 2'!AI121*'1. Standard_Cost'!$D$27+'Incremental_Cost Year 2'!AJ121+'Incremental_Cost Year 2'!AL121+AK121</f>
        <v>0</v>
      </c>
      <c r="AN121" s="127">
        <f>AM121*'1. Standard_Cost'!$C$31</f>
        <v>0</v>
      </c>
      <c r="AO121" s="130"/>
      <c r="AQ121" s="171">
        <f>L121+M121</f>
        <v>0</v>
      </c>
      <c r="AR121" s="171">
        <f>AF121</f>
        <v>0</v>
      </c>
      <c r="AS121" s="171">
        <f>AM121+AN121</f>
        <v>0</v>
      </c>
      <c r="AT121" s="171">
        <f>SUM(AQ121,AR121,AS121)</f>
        <v>0</v>
      </c>
      <c r="AU121" s="250"/>
      <c r="AV121" s="250"/>
      <c r="AW121" s="250"/>
      <c r="AX121" s="250"/>
      <c r="AY121" s="250"/>
      <c r="AZ121" s="250"/>
      <c r="BA121" s="250"/>
      <c r="BB121" s="251">
        <f t="shared" si="81"/>
        <v>0</v>
      </c>
      <c r="BC121" s="169"/>
      <c r="BD121" s="169"/>
      <c r="BE121" s="169"/>
      <c r="BF121" s="169"/>
    </row>
    <row r="122" spans="1:58" ht="63" outlineLevel="1" x14ac:dyDescent="0.25">
      <c r="A122" s="115"/>
      <c r="B122" s="200"/>
      <c r="C122" s="201"/>
      <c r="D122" s="146" t="s">
        <v>432</v>
      </c>
      <c r="E122" s="212" t="s">
        <v>283</v>
      </c>
      <c r="F122" s="136">
        <v>2022</v>
      </c>
      <c r="G122" s="117">
        <v>2025</v>
      </c>
      <c r="H122" s="110" t="s">
        <v>268</v>
      </c>
      <c r="I122" s="252"/>
      <c r="J122" s="252"/>
      <c r="K122" s="252"/>
      <c r="L122" s="127">
        <f>SUM(L119:L121)</f>
        <v>2520000</v>
      </c>
      <c r="M122" s="127">
        <f>SUM(M119:M121)</f>
        <v>420840</v>
      </c>
      <c r="N122" s="127"/>
      <c r="O122" s="252"/>
      <c r="P122" s="252"/>
      <c r="Q122" s="252"/>
      <c r="R122" s="127">
        <f>SUM(R119:R121)</f>
        <v>0</v>
      </c>
      <c r="S122" s="127">
        <f>SUM(S119:S121)</f>
        <v>0</v>
      </c>
      <c r="T122" s="127">
        <f>SUM(T119:T121)</f>
        <v>0</v>
      </c>
      <c r="U122" s="127">
        <f>SUM(U119:U121)</f>
        <v>0</v>
      </c>
      <c r="V122" s="252"/>
      <c r="W122" s="252"/>
      <c r="X122" s="252"/>
      <c r="Y122" s="127">
        <f>SUM(Y119:Y121)</f>
        <v>0</v>
      </c>
      <c r="Z122" s="252"/>
      <c r="AA122" s="252"/>
      <c r="AB122" s="127">
        <f>SUM(AB119:AB121)</f>
        <v>1425000</v>
      </c>
      <c r="AC122" s="127">
        <f>SUM(AC119:AC121)</f>
        <v>735210</v>
      </c>
      <c r="AD122" s="127">
        <f>SUM(AD119:AD121)</f>
        <v>0</v>
      </c>
      <c r="AE122" s="127">
        <f>SUM(AE119:AE121)</f>
        <v>432042</v>
      </c>
      <c r="AF122" s="127">
        <f>SUM(AF119:AF121)</f>
        <v>2592252</v>
      </c>
      <c r="AG122" s="252"/>
      <c r="AH122" s="252"/>
      <c r="AI122" s="252"/>
      <c r="AJ122" s="127">
        <f>SUM(AJ119:AJ121)</f>
        <v>0</v>
      </c>
      <c r="AK122" s="127">
        <f>SUM(AK119:AK121)</f>
        <v>0</v>
      </c>
      <c r="AL122" s="127">
        <f>SUM(AL119:AL121)</f>
        <v>0</v>
      </c>
      <c r="AM122" s="127">
        <f>SUM(AM119:AM121)</f>
        <v>0</v>
      </c>
      <c r="AN122" s="127">
        <f>SUM(AN119:AN121)</f>
        <v>0</v>
      </c>
      <c r="AO122" s="253"/>
      <c r="AP122" s="254"/>
      <c r="AQ122" s="175">
        <f>SUM(AQ119:AQ121)</f>
        <v>2940840</v>
      </c>
      <c r="AR122" s="175">
        <f>SUM(AR119:AR121)</f>
        <v>2592252</v>
      </c>
      <c r="AS122" s="175">
        <f>SUM(AS119:AS121)</f>
        <v>0</v>
      </c>
      <c r="AT122" s="175">
        <f>SUM(AT119:AT121)</f>
        <v>5533092</v>
      </c>
      <c r="AU122" s="175">
        <f t="shared" ref="AU122:BB122" si="82">SUM(AU119:AU121)</f>
        <v>3538092</v>
      </c>
      <c r="AV122" s="175">
        <f t="shared" si="82"/>
        <v>0</v>
      </c>
      <c r="AW122" s="175">
        <f>SUM(AW119:AW121)</f>
        <v>0</v>
      </c>
      <c r="AX122" s="175">
        <f t="shared" si="82"/>
        <v>0</v>
      </c>
      <c r="AY122" s="175">
        <f t="shared" si="82"/>
        <v>0</v>
      </c>
      <c r="AZ122" s="175">
        <f t="shared" si="82"/>
        <v>0</v>
      </c>
      <c r="BA122" s="175">
        <f t="shared" si="82"/>
        <v>0</v>
      </c>
      <c r="BB122" s="175">
        <f t="shared" si="82"/>
        <v>-1995000</v>
      </c>
      <c r="BC122" s="169"/>
      <c r="BD122" s="169"/>
      <c r="BE122" s="169"/>
      <c r="BF122" s="169"/>
    </row>
    <row r="123" spans="1:58" s="184" customFormat="1" ht="15.75" customHeight="1" x14ac:dyDescent="0.25">
      <c r="A123" s="143"/>
      <c r="B123" s="290"/>
      <c r="C123" s="391" t="s">
        <v>287</v>
      </c>
      <c r="D123" s="391"/>
      <c r="E123" s="392"/>
      <c r="F123" s="291"/>
      <c r="G123" s="289"/>
      <c r="H123" s="144" t="s">
        <v>288</v>
      </c>
      <c r="I123" s="257"/>
      <c r="J123" s="257"/>
      <c r="K123" s="257"/>
      <c r="L123" s="258">
        <f>SUM(L133)</f>
        <v>24719357.142857146</v>
      </c>
      <c r="M123" s="258">
        <f>SUM(M133)</f>
        <v>4128132.6428571432</v>
      </c>
      <c r="N123" s="257"/>
      <c r="O123" s="257"/>
      <c r="P123" s="257"/>
      <c r="Q123" s="257"/>
      <c r="R123" s="258">
        <f>SUM(R133)</f>
        <v>0</v>
      </c>
      <c r="S123" s="258">
        <f>SUM(S133)</f>
        <v>0</v>
      </c>
      <c r="T123" s="258">
        <f>SUM(T133)</f>
        <v>0</v>
      </c>
      <c r="U123" s="258">
        <f>SUM(U133)</f>
        <v>0</v>
      </c>
      <c r="V123" s="257"/>
      <c r="W123" s="257"/>
      <c r="X123" s="257"/>
      <c r="Y123" s="258">
        <f>SUM(Y133)</f>
        <v>0</v>
      </c>
      <c r="Z123" s="258"/>
      <c r="AA123" s="258"/>
      <c r="AB123" s="258">
        <f>SUM(AB133)</f>
        <v>570000</v>
      </c>
      <c r="AC123" s="258">
        <f>SUM(AC133)</f>
        <v>4077212</v>
      </c>
      <c r="AD123" s="258">
        <f>SUM(AD133)</f>
        <v>0</v>
      </c>
      <c r="AE123" s="258">
        <f>SUM(AE133)</f>
        <v>929442.4</v>
      </c>
      <c r="AF123" s="258">
        <f>SUM(AF133)</f>
        <v>5576654.4000000004</v>
      </c>
      <c r="AG123" s="257"/>
      <c r="AH123" s="257"/>
      <c r="AI123" s="257"/>
      <c r="AJ123" s="258">
        <f>SUM(AJ133)</f>
        <v>0</v>
      </c>
      <c r="AK123" s="258">
        <f>SUM(AK133)</f>
        <v>0</v>
      </c>
      <c r="AL123" s="258">
        <f>SUM(AL133)</f>
        <v>0</v>
      </c>
      <c r="AM123" s="258">
        <f>SUM(AM133)</f>
        <v>0</v>
      </c>
      <c r="AN123" s="258">
        <f>SUM(AN133)</f>
        <v>0</v>
      </c>
      <c r="AO123" s="259"/>
      <c r="AP123" s="260"/>
      <c r="AQ123" s="261">
        <f>SUM(AQ133)</f>
        <v>28847489.785714284</v>
      </c>
      <c r="AR123" s="261">
        <f>SUM(AR133)</f>
        <v>5576654.4000000004</v>
      </c>
      <c r="AS123" s="261">
        <f>SUM(AS133)</f>
        <v>0</v>
      </c>
      <c r="AT123" s="261">
        <f>SUM(AT133)</f>
        <v>34424144.18571429</v>
      </c>
      <c r="AU123" s="261">
        <f t="shared" ref="AU123:BA123" si="83">SUM(AU133)</f>
        <v>33626145</v>
      </c>
      <c r="AV123" s="261">
        <f t="shared" si="83"/>
        <v>0</v>
      </c>
      <c r="AW123" s="261">
        <f>SUM(AW133)</f>
        <v>0</v>
      </c>
      <c r="AX123" s="261">
        <f t="shared" si="83"/>
        <v>0</v>
      </c>
      <c r="AY123" s="261">
        <f t="shared" si="83"/>
        <v>0</v>
      </c>
      <c r="AZ123" s="261">
        <f t="shared" si="83"/>
        <v>0</v>
      </c>
      <c r="BA123" s="261">
        <f t="shared" si="83"/>
        <v>0</v>
      </c>
      <c r="BB123" s="261">
        <f t="shared" ref="BB123" si="84">SUM(BB133)</f>
        <v>-797999.18571428582</v>
      </c>
    </row>
    <row r="124" spans="1:58" ht="78.75" outlineLevel="2" x14ac:dyDescent="0.25">
      <c r="A124" s="115"/>
      <c r="B124" s="200"/>
      <c r="C124" s="201"/>
      <c r="D124" s="346"/>
      <c r="E124" s="321"/>
      <c r="F124" s="306"/>
      <c r="G124" s="307"/>
      <c r="H124" s="199" t="s">
        <v>549</v>
      </c>
      <c r="I124" s="130" t="s">
        <v>5</v>
      </c>
      <c r="J124" s="126">
        <v>5</v>
      </c>
      <c r="K124" s="126">
        <v>9</v>
      </c>
      <c r="L124" s="125">
        <f>IF(I124&lt;&gt;0,((VLOOKUP(I124,'1. Standard_Cost'!$B$4:$D$11,2)+VLOOKUP(I124,'1. Standard_Cost'!$B$4:$D$11,3))*J124*K124),"0")</f>
        <v>3181500</v>
      </c>
      <c r="M124" s="125">
        <f>L124*'1. Standard_Cost'!$F$4</f>
        <v>531310.5</v>
      </c>
      <c r="N124" s="126"/>
      <c r="O124" s="126"/>
      <c r="P124" s="126"/>
      <c r="Q124" s="126"/>
      <c r="R124" s="127">
        <f>'1. Standard_Cost'!$B$15*N124*P124</f>
        <v>0</v>
      </c>
      <c r="S124" s="127">
        <f>N124*O124*P124*'1. Standard_Cost'!$C$15</f>
        <v>0</v>
      </c>
      <c r="T124" s="127">
        <f>N124*P124*Q124*'1. Standard_Cost'!$D$15</f>
        <v>0</v>
      </c>
      <c r="U124" s="127">
        <f>N124*O124*'1. Standard_Cost'!$E$15</f>
        <v>0</v>
      </c>
      <c r="V124" s="126"/>
      <c r="W124" s="126"/>
      <c r="X124" s="126"/>
      <c r="Y124" s="127">
        <f>+V124*((X124*'1. Standard_Cost'!$B$19)+(W124*X124*'1. Standard_Cost'!$C$19))</f>
        <v>0</v>
      </c>
      <c r="Z124" s="126"/>
      <c r="AA124" s="126">
        <v>30</v>
      </c>
      <c r="AB124" s="127">
        <f>+Z124*'1. Standard_Cost'!$B$23+AA124*'1. Standard_Cost'!$C$23</f>
        <v>570000</v>
      </c>
      <c r="AC124" s="128">
        <v>910000</v>
      </c>
      <c r="AD124" s="129"/>
      <c r="AE124" s="127">
        <f>SUM(AD124,AC124,AB124,Y124,U124,T124,S124,R124)*'1. Standard_Cost'!$B$31</f>
        <v>296000</v>
      </c>
      <c r="AF124" s="127">
        <f t="shared" ref="AF124:AF132" si="85">SUM(AE124,AD124,AC124,AB124,Y124,U124,T124,S124,R124)</f>
        <v>1776000</v>
      </c>
      <c r="AG124" s="126"/>
      <c r="AH124" s="126"/>
      <c r="AI124" s="126"/>
      <c r="AJ124" s="130"/>
      <c r="AK124" s="130"/>
      <c r="AL124" s="130"/>
      <c r="AM124" s="127">
        <f>AG124*'1. Standard_Cost'!$B$27+'Incremental_Cost Year 2'!AH124*'1. Standard_Cost'!$C$27+'Incremental_Cost Year 2'!AI124*'1. Standard_Cost'!$D$27+'Incremental_Cost Year 2'!AJ124+'Incremental_Cost Year 2'!AL124+AK124</f>
        <v>0</v>
      </c>
      <c r="AN124" s="127">
        <f>AM124*'1. Standard_Cost'!$C$31</f>
        <v>0</v>
      </c>
      <c r="AO124" s="130"/>
      <c r="AQ124" s="171">
        <f t="shared" ref="AQ124:AQ132" si="86">L124+M124</f>
        <v>3712810.5</v>
      </c>
      <c r="AR124" s="171">
        <f t="shared" ref="AR124:AR132" si="87">AF124</f>
        <v>1776000</v>
      </c>
      <c r="AS124" s="171">
        <f t="shared" ref="AS124:AS132" si="88">AM124+AN124</f>
        <v>0</v>
      </c>
      <c r="AT124" s="171">
        <f t="shared" ref="AT124:AT132" si="89">SUM(AQ124,AR124,AS124)</f>
        <v>5488810.5</v>
      </c>
      <c r="AU124" s="250">
        <v>4690811</v>
      </c>
      <c r="AV124" s="250"/>
      <c r="AW124" s="250"/>
      <c r="AX124" s="250"/>
      <c r="AY124" s="250"/>
      <c r="AZ124" s="250"/>
      <c r="BA124" s="250"/>
      <c r="BB124" s="251">
        <f t="shared" ref="BB124:BB132" si="90">SUM(AU124:BA124)-AT124</f>
        <v>-797999.5</v>
      </c>
      <c r="BC124" s="169"/>
      <c r="BD124" s="169"/>
      <c r="BE124" s="169"/>
      <c r="BF124" s="169"/>
    </row>
    <row r="125" spans="1:58" ht="47.25" outlineLevel="2" x14ac:dyDescent="0.25">
      <c r="A125" s="115"/>
      <c r="B125" s="200"/>
      <c r="C125" s="201"/>
      <c r="D125" s="131"/>
      <c r="E125" s="323"/>
      <c r="F125" s="308"/>
      <c r="G125" s="309"/>
      <c r="H125" s="199" t="s">
        <v>446</v>
      </c>
      <c r="I125" s="130" t="s">
        <v>1</v>
      </c>
      <c r="J125" s="126">
        <v>12</v>
      </c>
      <c r="K125" s="126">
        <v>12</v>
      </c>
      <c r="L125" s="125">
        <f>IF(I125&lt;&gt;0,((VLOOKUP(I125,'1. Standard_Cost'!$B$4:$D$11,2)+VLOOKUP(I125,'1. Standard_Cost'!$B$4:$D$11,3))*J125*K125),"0")</f>
        <v>10338171.428571429</v>
      </c>
      <c r="M125" s="125">
        <f>L125*'1. Standard_Cost'!$F$4</f>
        <v>1726474.6285714288</v>
      </c>
      <c r="N125" s="126"/>
      <c r="O125" s="126"/>
      <c r="P125" s="126"/>
      <c r="Q125" s="126"/>
      <c r="R125" s="127">
        <f>'1. Standard_Cost'!$B$15*N125*P125</f>
        <v>0</v>
      </c>
      <c r="S125" s="127">
        <f>N125*O125*P125*'1. Standard_Cost'!$C$15</f>
        <v>0</v>
      </c>
      <c r="T125" s="127">
        <f>N125*P125*Q125*'1. Standard_Cost'!$D$15</f>
        <v>0</v>
      </c>
      <c r="U125" s="127">
        <f>N125*O125*'1. Standard_Cost'!$E$15</f>
        <v>0</v>
      </c>
      <c r="V125" s="126"/>
      <c r="W125" s="126"/>
      <c r="X125" s="126"/>
      <c r="Y125" s="127">
        <f>+V125*((X125*'1. Standard_Cost'!$B$19)+(W125*X125*'1. Standard_Cost'!$C$19))</f>
        <v>0</v>
      </c>
      <c r="Z125" s="126"/>
      <c r="AA125" s="126"/>
      <c r="AB125" s="127">
        <f>+Z125*'1. Standard_Cost'!$B$23+AA125*'1. Standard_Cost'!$C$23</f>
        <v>0</v>
      </c>
      <c r="AC125" s="128">
        <v>1448000</v>
      </c>
      <c r="AD125" s="129"/>
      <c r="AE125" s="127">
        <f>SUM(AD125,AC125,AB125,Y125,U125,T125,S125,R125)*'1. Standard_Cost'!$B$31</f>
        <v>289600</v>
      </c>
      <c r="AF125" s="127">
        <f t="shared" si="85"/>
        <v>1737600</v>
      </c>
      <c r="AG125" s="126"/>
      <c r="AH125" s="126"/>
      <c r="AI125" s="126"/>
      <c r="AJ125" s="130"/>
      <c r="AK125" s="130"/>
      <c r="AL125" s="130"/>
      <c r="AM125" s="127">
        <f>AG125*'1. Standard_Cost'!$B$27+'Incremental_Cost Year 2'!AH125*'1. Standard_Cost'!$C$27+'Incremental_Cost Year 2'!AI125*'1. Standard_Cost'!$D$27+'Incremental_Cost Year 2'!AJ125+'Incremental_Cost Year 2'!AL125+AK125</f>
        <v>0</v>
      </c>
      <c r="AN125" s="127">
        <f>AM125*'1. Standard_Cost'!$C$31</f>
        <v>0</v>
      </c>
      <c r="AO125" s="130"/>
      <c r="AQ125" s="171">
        <f t="shared" si="86"/>
        <v>12064646.057142857</v>
      </c>
      <c r="AR125" s="171">
        <f t="shared" si="87"/>
        <v>1737600</v>
      </c>
      <c r="AS125" s="171">
        <f t="shared" si="88"/>
        <v>0</v>
      </c>
      <c r="AT125" s="171">
        <f t="shared" si="89"/>
        <v>13802246.057142857</v>
      </c>
      <c r="AU125" s="250">
        <v>13802246</v>
      </c>
      <c r="AV125" s="250"/>
      <c r="AW125" s="250"/>
      <c r="AX125" s="250"/>
      <c r="AY125" s="250"/>
      <c r="AZ125" s="250"/>
      <c r="BA125" s="250"/>
      <c r="BB125" s="251">
        <f t="shared" si="90"/>
        <v>-5.714285746216774E-2</v>
      </c>
      <c r="BC125" s="169"/>
      <c r="BD125" s="169"/>
      <c r="BE125" s="169"/>
      <c r="BF125" s="169"/>
    </row>
    <row r="126" spans="1:58" ht="47.25" outlineLevel="2" x14ac:dyDescent="0.25">
      <c r="A126" s="115"/>
      <c r="B126" s="200"/>
      <c r="C126" s="201"/>
      <c r="D126" s="131"/>
      <c r="E126" s="323"/>
      <c r="F126" s="308"/>
      <c r="G126" s="309"/>
      <c r="H126" s="199" t="s">
        <v>447</v>
      </c>
      <c r="I126" s="130" t="s">
        <v>1</v>
      </c>
      <c r="J126" s="126">
        <v>12</v>
      </c>
      <c r="K126" s="126">
        <v>8</v>
      </c>
      <c r="L126" s="125">
        <f>IF(I126&lt;&gt;0,((VLOOKUP(I126,'1. Standard_Cost'!$B$4:$D$11,2)+VLOOKUP(I126,'1. Standard_Cost'!$B$4:$D$11,3))*J126*K126),"0")</f>
        <v>6892114.2857142854</v>
      </c>
      <c r="M126" s="125">
        <f>L126*'1. Standard_Cost'!$F$4</f>
        <v>1150983.0857142857</v>
      </c>
      <c r="N126" s="126"/>
      <c r="O126" s="126"/>
      <c r="P126" s="126"/>
      <c r="Q126" s="126"/>
      <c r="R126" s="127">
        <f>'1. Standard_Cost'!$B$15*N126*P126</f>
        <v>0</v>
      </c>
      <c r="S126" s="127">
        <f>N126*O126*P126*'1. Standard_Cost'!$C$15</f>
        <v>0</v>
      </c>
      <c r="T126" s="127">
        <f>N126*P126*Q126*'1. Standard_Cost'!$D$15</f>
        <v>0</v>
      </c>
      <c r="U126" s="127">
        <f>N126*O126*'1. Standard_Cost'!$E$15</f>
        <v>0</v>
      </c>
      <c r="V126" s="126"/>
      <c r="W126" s="126"/>
      <c r="X126" s="126"/>
      <c r="Y126" s="127">
        <f>+V126*((X126*'1. Standard_Cost'!$B$19)+(W126*X126*'1. Standard_Cost'!$C$19))</f>
        <v>0</v>
      </c>
      <c r="Z126" s="126"/>
      <c r="AA126" s="126"/>
      <c r="AB126" s="127">
        <f>+Z126*'1. Standard_Cost'!$B$23+AA126*'1. Standard_Cost'!$C$23</f>
        <v>0</v>
      </c>
      <c r="AC126" s="128">
        <v>965172</v>
      </c>
      <c r="AD126" s="129"/>
      <c r="AE126" s="127">
        <f>SUM(AD126,AC126,AB126,Y126,U126,T126,S126,R126)*'1. Standard_Cost'!$B$31</f>
        <v>193034.40000000002</v>
      </c>
      <c r="AF126" s="127">
        <f t="shared" si="85"/>
        <v>1158206.3999999999</v>
      </c>
      <c r="AG126" s="126"/>
      <c r="AH126" s="126"/>
      <c r="AI126" s="126"/>
      <c r="AJ126" s="130"/>
      <c r="AK126" s="130"/>
      <c r="AL126" s="130"/>
      <c r="AM126" s="127">
        <f>AG126*'1. Standard_Cost'!$B$27+'Incremental_Cost Year 2'!AH126*'1. Standard_Cost'!$C$27+'Incremental_Cost Year 2'!AI126*'1. Standard_Cost'!$D$27+'Incremental_Cost Year 2'!AJ126+'Incremental_Cost Year 2'!AL126+AK126</f>
        <v>0</v>
      </c>
      <c r="AN126" s="127">
        <f>AM126*'1. Standard_Cost'!$C$31</f>
        <v>0</v>
      </c>
      <c r="AO126" s="130"/>
      <c r="AQ126" s="171">
        <f t="shared" si="86"/>
        <v>8043097.3714285716</v>
      </c>
      <c r="AR126" s="171">
        <f t="shared" si="87"/>
        <v>1158206.3999999999</v>
      </c>
      <c r="AS126" s="171">
        <f t="shared" si="88"/>
        <v>0</v>
      </c>
      <c r="AT126" s="171">
        <f t="shared" si="89"/>
        <v>9201303.771428572</v>
      </c>
      <c r="AU126" s="250">
        <v>9201304</v>
      </c>
      <c r="AV126" s="250"/>
      <c r="AW126" s="250"/>
      <c r="AX126" s="250"/>
      <c r="AY126" s="250"/>
      <c r="AZ126" s="250"/>
      <c r="BA126" s="250"/>
      <c r="BB126" s="251">
        <f t="shared" si="90"/>
        <v>0.22857142798602581</v>
      </c>
      <c r="BC126" s="169"/>
      <c r="BD126" s="169"/>
      <c r="BE126" s="169"/>
      <c r="BF126" s="169"/>
    </row>
    <row r="127" spans="1:58" ht="47.25" outlineLevel="2" x14ac:dyDescent="0.25">
      <c r="A127" s="115"/>
      <c r="B127" s="200"/>
      <c r="C127" s="201"/>
      <c r="D127" s="131"/>
      <c r="E127" s="323"/>
      <c r="F127" s="308"/>
      <c r="G127" s="309"/>
      <c r="H127" s="199" t="s">
        <v>448</v>
      </c>
      <c r="I127" s="263" t="s">
        <v>1</v>
      </c>
      <c r="J127" s="264">
        <v>12</v>
      </c>
      <c r="K127" s="264">
        <v>5</v>
      </c>
      <c r="L127" s="125">
        <f>IF(I127&lt;&gt;0,((VLOOKUP(I127,'1. Standard_Cost'!$B$4:$D$11,2)+VLOOKUP(I127,'1. Standard_Cost'!$B$4:$D$11,3))*J127*K127),"0")</f>
        <v>4307571.4285714282</v>
      </c>
      <c r="M127" s="125">
        <f>L127*'1. Standard_Cost'!$F$4</f>
        <v>719364.42857142852</v>
      </c>
      <c r="N127" s="126"/>
      <c r="O127" s="126"/>
      <c r="P127" s="126"/>
      <c r="Q127" s="126"/>
      <c r="R127" s="127">
        <f>'1. Standard_Cost'!$B$15*N127*P127</f>
        <v>0</v>
      </c>
      <c r="S127" s="127">
        <f>N127*O127*P127*'1. Standard_Cost'!$C$15</f>
        <v>0</v>
      </c>
      <c r="T127" s="127">
        <f>N127*P127*Q127*'1. Standard_Cost'!$D$15</f>
        <v>0</v>
      </c>
      <c r="U127" s="127">
        <f>N127*O127*'1. Standard_Cost'!$E$15</f>
        <v>0</v>
      </c>
      <c r="V127" s="126"/>
      <c r="W127" s="126"/>
      <c r="X127" s="126"/>
      <c r="Y127" s="127">
        <f>+V127*((X127*'1. Standard_Cost'!$B$19)+(W127*X127*'1. Standard_Cost'!$C$19))</f>
        <v>0</v>
      </c>
      <c r="Z127" s="126"/>
      <c r="AA127" s="126"/>
      <c r="AB127" s="127">
        <f>+Z127*'1. Standard_Cost'!$B$23+AA127*'1. Standard_Cost'!$C$23</f>
        <v>0</v>
      </c>
      <c r="AC127" s="128">
        <v>754040</v>
      </c>
      <c r="AD127" s="129"/>
      <c r="AE127" s="127">
        <f>SUM(AD127,AC127,AB127,Y127,U127,T127,S127,R127)*'1. Standard_Cost'!$B$31</f>
        <v>150808</v>
      </c>
      <c r="AF127" s="127">
        <f t="shared" si="85"/>
        <v>904848</v>
      </c>
      <c r="AG127" s="126"/>
      <c r="AH127" s="126"/>
      <c r="AI127" s="126"/>
      <c r="AJ127" s="130"/>
      <c r="AK127" s="130"/>
      <c r="AL127" s="130"/>
      <c r="AM127" s="127">
        <f>AG127*'1. Standard_Cost'!$B$27+'Incremental_Cost Year 2'!AH127*'1. Standard_Cost'!$C$27+'Incremental_Cost Year 2'!AI127*'1. Standard_Cost'!$D$27+'Incremental_Cost Year 2'!AJ127+'Incremental_Cost Year 2'!AL127+AK127</f>
        <v>0</v>
      </c>
      <c r="AN127" s="127">
        <f>AM127*'1. Standard_Cost'!$C$31</f>
        <v>0</v>
      </c>
      <c r="AO127" s="130"/>
      <c r="AQ127" s="171">
        <f t="shared" si="86"/>
        <v>5026935.8571428563</v>
      </c>
      <c r="AR127" s="171">
        <f t="shared" si="87"/>
        <v>904848</v>
      </c>
      <c r="AS127" s="171">
        <f t="shared" si="88"/>
        <v>0</v>
      </c>
      <c r="AT127" s="171">
        <f t="shared" si="89"/>
        <v>5931783.8571428563</v>
      </c>
      <c r="AU127" s="250">
        <v>5931784</v>
      </c>
      <c r="AV127" s="250"/>
      <c r="AW127" s="250"/>
      <c r="AX127" s="250"/>
      <c r="AY127" s="250"/>
      <c r="AZ127" s="250"/>
      <c r="BA127" s="250"/>
      <c r="BB127" s="251">
        <f t="shared" si="90"/>
        <v>0.14285714365541935</v>
      </c>
      <c r="BC127" s="169"/>
      <c r="BD127" s="169"/>
      <c r="BE127" s="169"/>
      <c r="BF127" s="169"/>
    </row>
    <row r="128" spans="1:58" ht="63" outlineLevel="2" x14ac:dyDescent="0.25">
      <c r="A128" s="115"/>
      <c r="B128" s="200"/>
      <c r="C128" s="201"/>
      <c r="D128" s="131"/>
      <c r="E128" s="323"/>
      <c r="F128" s="326"/>
      <c r="G128" s="309"/>
      <c r="H128" s="199" t="s">
        <v>449</v>
      </c>
      <c r="I128" s="130"/>
      <c r="J128" s="126"/>
      <c r="K128" s="126"/>
      <c r="L128" s="125" t="str">
        <f>IF(I128&lt;&gt;0,((VLOOKUP(I128,'1. Standard_Cost'!$B$4:$D$11,2)+VLOOKUP(I128,'1. Standard_Cost'!$B$4:$D$11,3))*J128*K128),"0")</f>
        <v>0</v>
      </c>
      <c r="M128" s="125">
        <f>L128*'1. Standard_Cost'!$F$4</f>
        <v>0</v>
      </c>
      <c r="N128" s="126"/>
      <c r="O128" s="126"/>
      <c r="P128" s="126"/>
      <c r="Q128" s="126"/>
      <c r="R128" s="127">
        <f>'1. Standard_Cost'!$B$15*N128*P128</f>
        <v>0</v>
      </c>
      <c r="S128" s="127">
        <f>N128*O128*P128*'1. Standard_Cost'!$C$15</f>
        <v>0</v>
      </c>
      <c r="T128" s="127">
        <f>N128*P128*Q128*'1. Standard_Cost'!$D$15</f>
        <v>0</v>
      </c>
      <c r="U128" s="127">
        <f>N128*O128*'1. Standard_Cost'!$E$15</f>
        <v>0</v>
      </c>
      <c r="V128" s="126"/>
      <c r="W128" s="126"/>
      <c r="X128" s="126"/>
      <c r="Y128" s="127">
        <f>+V128*((X128*'1. Standard_Cost'!$B$19)+(W128*X128*'1. Standard_Cost'!$C$19))</f>
        <v>0</v>
      </c>
      <c r="Z128" s="126"/>
      <c r="AA128" s="126"/>
      <c r="AB128" s="127">
        <f>+Z128*'1. Standard_Cost'!$B$23+AA128*'1. Standard_Cost'!$C$23</f>
        <v>0</v>
      </c>
      <c r="AC128" s="128"/>
      <c r="AD128" s="129"/>
      <c r="AE128" s="127">
        <f>SUM(AD128,AC128,AB128,Y128,U128,T128,S128,R128)*'1. Standard_Cost'!$B$31</f>
        <v>0</v>
      </c>
      <c r="AF128" s="127">
        <f t="shared" si="85"/>
        <v>0</v>
      </c>
      <c r="AG128" s="126"/>
      <c r="AH128" s="126"/>
      <c r="AI128" s="126"/>
      <c r="AJ128" s="130"/>
      <c r="AK128" s="130"/>
      <c r="AL128" s="130"/>
      <c r="AM128" s="127">
        <f>AG128*'1. Standard_Cost'!$B$27+'Incremental_Cost Year 2'!AH128*'1. Standard_Cost'!$C$27+'Incremental_Cost Year 2'!AI128*'1. Standard_Cost'!$D$27+'Incremental_Cost Year 2'!AJ128+'Incremental_Cost Year 2'!AL128+AK128</f>
        <v>0</v>
      </c>
      <c r="AN128" s="127">
        <f>AM128*'1. Standard_Cost'!$C$31</f>
        <v>0</v>
      </c>
      <c r="AO128" s="130"/>
      <c r="AQ128" s="171">
        <f t="shared" si="86"/>
        <v>0</v>
      </c>
      <c r="AR128" s="171">
        <f t="shared" si="87"/>
        <v>0</v>
      </c>
      <c r="AS128" s="171">
        <f t="shared" si="88"/>
        <v>0</v>
      </c>
      <c r="AT128" s="171">
        <f t="shared" si="89"/>
        <v>0</v>
      </c>
      <c r="AU128" s="250"/>
      <c r="AV128" s="250"/>
      <c r="AW128" s="250"/>
      <c r="AX128" s="250"/>
      <c r="AY128" s="250"/>
      <c r="AZ128" s="250"/>
      <c r="BA128" s="250"/>
      <c r="BB128" s="251">
        <f t="shared" si="90"/>
        <v>0</v>
      </c>
      <c r="BC128" s="169"/>
      <c r="BD128" s="169"/>
      <c r="BE128" s="169"/>
      <c r="BF128" s="169"/>
    </row>
    <row r="129" spans="1:58" ht="31.5" outlineLevel="2" x14ac:dyDescent="0.25">
      <c r="A129" s="115"/>
      <c r="B129" s="200"/>
      <c r="C129" s="201"/>
      <c r="D129" s="131"/>
      <c r="E129" s="323"/>
      <c r="F129" s="326"/>
      <c r="G129" s="309"/>
      <c r="H129" s="199" t="s">
        <v>284</v>
      </c>
      <c r="I129" s="130"/>
      <c r="J129" s="126"/>
      <c r="K129" s="126"/>
      <c r="L129" s="125" t="str">
        <f>IF(I129&lt;&gt;0,((VLOOKUP(I129,'1. Standard_Cost'!$B$4:$D$11,2)+VLOOKUP(I129,'1. Standard_Cost'!$B$4:$D$11,3))*J129*K129),"0")</f>
        <v>0</v>
      </c>
      <c r="M129" s="125">
        <f>L129*'1. Standard_Cost'!$F$4</f>
        <v>0</v>
      </c>
      <c r="N129" s="126"/>
      <c r="O129" s="126"/>
      <c r="P129" s="126"/>
      <c r="Q129" s="126"/>
      <c r="R129" s="127">
        <f>'1. Standard_Cost'!$B$15*N129*P129</f>
        <v>0</v>
      </c>
      <c r="S129" s="127">
        <f>N129*O129*P129*'1. Standard_Cost'!$C$15</f>
        <v>0</v>
      </c>
      <c r="T129" s="127">
        <f>N129*P129*Q129*'1. Standard_Cost'!$D$15</f>
        <v>0</v>
      </c>
      <c r="U129" s="127">
        <f>N129*O129*'1. Standard_Cost'!$E$15</f>
        <v>0</v>
      </c>
      <c r="V129" s="126"/>
      <c r="W129" s="126"/>
      <c r="X129" s="126"/>
      <c r="Y129" s="127">
        <f>+V129*((X129*'1. Standard_Cost'!$B$19)+(W129*X129*'1. Standard_Cost'!$C$19))</f>
        <v>0</v>
      </c>
      <c r="Z129" s="126"/>
      <c r="AA129" s="126"/>
      <c r="AB129" s="127">
        <f>+Z129*'1. Standard_Cost'!$B$23+AA129*'1. Standard_Cost'!$C$23</f>
        <v>0</v>
      </c>
      <c r="AC129" s="128"/>
      <c r="AD129" s="129"/>
      <c r="AE129" s="127">
        <f>SUM(AD129,AC129,AB129,Y129,U129,T129,S129,R129)*'1. Standard_Cost'!$B$31</f>
        <v>0</v>
      </c>
      <c r="AF129" s="127">
        <f t="shared" si="85"/>
        <v>0</v>
      </c>
      <c r="AG129" s="126"/>
      <c r="AH129" s="126"/>
      <c r="AI129" s="126"/>
      <c r="AJ129" s="130"/>
      <c r="AK129" s="130"/>
      <c r="AL129" s="130"/>
      <c r="AM129" s="127">
        <f>AG129*'1. Standard_Cost'!$B$27+'Incremental_Cost Year 2'!AH129*'1. Standard_Cost'!$C$27+'Incremental_Cost Year 2'!AI129*'1. Standard_Cost'!$D$27+'Incremental_Cost Year 2'!AJ129+'Incremental_Cost Year 2'!AL129+AK129</f>
        <v>0</v>
      </c>
      <c r="AN129" s="127">
        <f>AM129*'1. Standard_Cost'!$C$31</f>
        <v>0</v>
      </c>
      <c r="AO129" s="130"/>
      <c r="AQ129" s="171">
        <f t="shared" si="86"/>
        <v>0</v>
      </c>
      <c r="AR129" s="171">
        <f t="shared" si="87"/>
        <v>0</v>
      </c>
      <c r="AS129" s="171">
        <f t="shared" si="88"/>
        <v>0</v>
      </c>
      <c r="AT129" s="171">
        <f t="shared" si="89"/>
        <v>0</v>
      </c>
      <c r="AU129" s="250"/>
      <c r="AV129" s="250"/>
      <c r="AW129" s="250"/>
      <c r="AX129" s="250"/>
      <c r="AY129" s="250"/>
      <c r="AZ129" s="250"/>
      <c r="BA129" s="250"/>
      <c r="BB129" s="251">
        <f t="shared" si="90"/>
        <v>0</v>
      </c>
      <c r="BC129" s="169"/>
      <c r="BD129" s="169"/>
      <c r="BE129" s="169"/>
      <c r="BF129" s="169"/>
    </row>
    <row r="130" spans="1:58" ht="63" outlineLevel="2" x14ac:dyDescent="0.25">
      <c r="A130" s="115"/>
      <c r="B130" s="200"/>
      <c r="C130" s="201"/>
      <c r="D130" s="131"/>
      <c r="E130" s="323"/>
      <c r="F130" s="326"/>
      <c r="G130" s="309"/>
      <c r="H130" s="199" t="s">
        <v>450</v>
      </c>
      <c r="I130" s="130"/>
      <c r="J130" s="126"/>
      <c r="K130" s="126"/>
      <c r="L130" s="125" t="str">
        <f>IF(I130&lt;&gt;0,((VLOOKUP(I130,'1. Standard_Cost'!$B$4:$D$11,2)+VLOOKUP(I130,'1. Standard_Cost'!$B$4:$D$11,3))*J130*K130),"0")</f>
        <v>0</v>
      </c>
      <c r="M130" s="125">
        <f>L130*'1. Standard_Cost'!$F$4</f>
        <v>0</v>
      </c>
      <c r="N130" s="126"/>
      <c r="O130" s="126"/>
      <c r="P130" s="126"/>
      <c r="Q130" s="126"/>
      <c r="R130" s="127">
        <f>'1. Standard_Cost'!$B$15*N130*P130</f>
        <v>0</v>
      </c>
      <c r="S130" s="127">
        <f>N130*O130*P130*'1. Standard_Cost'!$C$15</f>
        <v>0</v>
      </c>
      <c r="T130" s="127">
        <f>N130*P130*Q130*'1. Standard_Cost'!$D$15</f>
        <v>0</v>
      </c>
      <c r="U130" s="127">
        <f>N130*O130*'1. Standard_Cost'!$E$15</f>
        <v>0</v>
      </c>
      <c r="V130" s="126"/>
      <c r="W130" s="126"/>
      <c r="X130" s="126"/>
      <c r="Y130" s="127">
        <f>+V130*((X130*'1. Standard_Cost'!$B$19)+(W130*X130*'1. Standard_Cost'!$C$19))</f>
        <v>0</v>
      </c>
      <c r="Z130" s="126"/>
      <c r="AA130" s="126"/>
      <c r="AB130" s="127">
        <f>+Z130*'1. Standard_Cost'!$B$23+AA130*'1. Standard_Cost'!$C$23</f>
        <v>0</v>
      </c>
      <c r="AC130" s="128"/>
      <c r="AD130" s="129"/>
      <c r="AE130" s="127">
        <f>SUM(AD130,AC130,AB130,Y130,U130,T130,S130,R130)*'1. Standard_Cost'!$B$31</f>
        <v>0</v>
      </c>
      <c r="AF130" s="127">
        <f t="shared" si="85"/>
        <v>0</v>
      </c>
      <c r="AG130" s="126"/>
      <c r="AH130" s="126"/>
      <c r="AI130" s="126"/>
      <c r="AJ130" s="130"/>
      <c r="AK130" s="130"/>
      <c r="AL130" s="130"/>
      <c r="AM130" s="127">
        <f>AG130*'1. Standard_Cost'!$B$27+'Incremental_Cost Year 2'!AH130*'1. Standard_Cost'!$C$27+'Incremental_Cost Year 2'!AI130*'1. Standard_Cost'!$D$27+'Incremental_Cost Year 2'!AJ130+'Incremental_Cost Year 2'!AL130+AK130</f>
        <v>0</v>
      </c>
      <c r="AN130" s="127">
        <f>AM130*'1. Standard_Cost'!$C$31</f>
        <v>0</v>
      </c>
      <c r="AO130" s="130"/>
      <c r="AQ130" s="171">
        <f t="shared" si="86"/>
        <v>0</v>
      </c>
      <c r="AR130" s="171">
        <f t="shared" si="87"/>
        <v>0</v>
      </c>
      <c r="AS130" s="171">
        <f t="shared" si="88"/>
        <v>0</v>
      </c>
      <c r="AT130" s="171">
        <f t="shared" si="89"/>
        <v>0</v>
      </c>
      <c r="AU130" s="250"/>
      <c r="AV130" s="250"/>
      <c r="AW130" s="250"/>
      <c r="AX130" s="250"/>
      <c r="AY130" s="250"/>
      <c r="AZ130" s="250"/>
      <c r="BA130" s="250"/>
      <c r="BB130" s="251">
        <f t="shared" si="90"/>
        <v>0</v>
      </c>
      <c r="BC130" s="169"/>
      <c r="BD130" s="169"/>
      <c r="BE130" s="169"/>
      <c r="BF130" s="169"/>
    </row>
    <row r="131" spans="1:58" ht="31.5" outlineLevel="2" x14ac:dyDescent="0.25">
      <c r="A131" s="115"/>
      <c r="B131" s="200"/>
      <c r="C131" s="201"/>
      <c r="D131" s="131"/>
      <c r="E131" s="323"/>
      <c r="F131" s="326"/>
      <c r="G131" s="309"/>
      <c r="H131" s="225" t="s">
        <v>285</v>
      </c>
      <c r="I131" s="130"/>
      <c r="J131" s="126"/>
      <c r="K131" s="126"/>
      <c r="L131" s="125" t="str">
        <f>IF(I131&lt;&gt;0,((VLOOKUP(I131,'1. Standard_Cost'!$B$4:$D$11,2)+VLOOKUP(I131,'1. Standard_Cost'!$B$4:$D$11,3))*J131*K131),"0")</f>
        <v>0</v>
      </c>
      <c r="M131" s="125">
        <f>L131*'1. Standard_Cost'!$F$4</f>
        <v>0</v>
      </c>
      <c r="N131" s="126"/>
      <c r="O131" s="126"/>
      <c r="P131" s="126"/>
      <c r="Q131" s="126"/>
      <c r="R131" s="127">
        <f>'1. Standard_Cost'!$B$15*N131*P131</f>
        <v>0</v>
      </c>
      <c r="S131" s="127">
        <f>N131*O131*P131*'1. Standard_Cost'!$C$15</f>
        <v>0</v>
      </c>
      <c r="T131" s="127">
        <f>N131*P131*Q131*'1. Standard_Cost'!$D$15</f>
        <v>0</v>
      </c>
      <c r="U131" s="127">
        <f>N131*O131*'1. Standard_Cost'!$E$15</f>
        <v>0</v>
      </c>
      <c r="V131" s="126"/>
      <c r="W131" s="126"/>
      <c r="X131" s="126"/>
      <c r="Y131" s="127">
        <f>+V131*((X131*'1. Standard_Cost'!$B$19)+(W131*X131*'1. Standard_Cost'!$C$19))</f>
        <v>0</v>
      </c>
      <c r="Z131" s="126"/>
      <c r="AA131" s="126"/>
      <c r="AB131" s="127">
        <f>+Z131*'1. Standard_Cost'!$B$23+AA131*'1. Standard_Cost'!$C$23</f>
        <v>0</v>
      </c>
      <c r="AC131" s="128"/>
      <c r="AD131" s="129"/>
      <c r="AE131" s="127">
        <f>SUM(AD131,AC131,AB131,Y131,U131,T131,S131,R131)*'1. Standard_Cost'!$B$31</f>
        <v>0</v>
      </c>
      <c r="AF131" s="127">
        <f t="shared" si="85"/>
        <v>0</v>
      </c>
      <c r="AG131" s="126"/>
      <c r="AH131" s="126"/>
      <c r="AI131" s="126"/>
      <c r="AJ131" s="130"/>
      <c r="AK131" s="130"/>
      <c r="AL131" s="130"/>
      <c r="AM131" s="127">
        <f>AG131*'1. Standard_Cost'!$B$27+'Incremental_Cost Year 2'!AH131*'1. Standard_Cost'!$C$27+'Incremental_Cost Year 2'!AI131*'1. Standard_Cost'!$D$27+'Incremental_Cost Year 2'!AJ131+'Incremental_Cost Year 2'!AL131+AK131</f>
        <v>0</v>
      </c>
      <c r="AN131" s="127">
        <f>AM131*'1. Standard_Cost'!$C$31</f>
        <v>0</v>
      </c>
      <c r="AO131" s="130"/>
      <c r="AQ131" s="171">
        <f t="shared" si="86"/>
        <v>0</v>
      </c>
      <c r="AR131" s="171">
        <f t="shared" si="87"/>
        <v>0</v>
      </c>
      <c r="AS131" s="171">
        <f t="shared" si="88"/>
        <v>0</v>
      </c>
      <c r="AT131" s="171">
        <f t="shared" si="89"/>
        <v>0</v>
      </c>
      <c r="AU131" s="250"/>
      <c r="AV131" s="250"/>
      <c r="AW131" s="250"/>
      <c r="AX131" s="250"/>
      <c r="AY131" s="250"/>
      <c r="AZ131" s="250"/>
      <c r="BA131" s="250"/>
      <c r="BB131" s="251">
        <f t="shared" si="90"/>
        <v>0</v>
      </c>
      <c r="BC131" s="169"/>
      <c r="BD131" s="169"/>
      <c r="BE131" s="169"/>
      <c r="BF131" s="169"/>
    </row>
    <row r="132" spans="1:58" ht="94.5" customHeight="1" outlineLevel="2" x14ac:dyDescent="0.25">
      <c r="A132" s="115"/>
      <c r="B132" s="147"/>
      <c r="C132" s="314"/>
      <c r="D132" s="305"/>
      <c r="E132" s="322"/>
      <c r="F132" s="324"/>
      <c r="G132" s="312"/>
      <c r="H132" s="225" t="s">
        <v>451</v>
      </c>
      <c r="I132" s="130"/>
      <c r="J132" s="126"/>
      <c r="K132" s="126"/>
      <c r="L132" s="125" t="str">
        <f>IF(I132&lt;&gt;0,((VLOOKUP(I132,'1. Standard_Cost'!$B$4:$D$11,2)+VLOOKUP(I132,'1. Standard_Cost'!$B$4:$D$11,3))*J132*K132),"0")</f>
        <v>0</v>
      </c>
      <c r="M132" s="125">
        <f>L132*'1. Standard_Cost'!$F$4</f>
        <v>0</v>
      </c>
      <c r="N132" s="126"/>
      <c r="O132" s="126"/>
      <c r="P132" s="126"/>
      <c r="Q132" s="126"/>
      <c r="R132" s="127">
        <f>'1. Standard_Cost'!$B$15*N132*P132</f>
        <v>0</v>
      </c>
      <c r="S132" s="127">
        <f>N132*O132*P132*'1. Standard_Cost'!$C$15</f>
        <v>0</v>
      </c>
      <c r="T132" s="127">
        <f>N132*P132*Q132*'1. Standard_Cost'!$D$15</f>
        <v>0</v>
      </c>
      <c r="U132" s="127">
        <f>N132*O132*'1. Standard_Cost'!$E$15</f>
        <v>0</v>
      </c>
      <c r="V132" s="126"/>
      <c r="W132" s="126"/>
      <c r="X132" s="126"/>
      <c r="Y132" s="127">
        <f>+V132*((X132*'1. Standard_Cost'!$B$19)+(W132*X132*'1. Standard_Cost'!$C$19))</f>
        <v>0</v>
      </c>
      <c r="Z132" s="126"/>
      <c r="AA132" s="126"/>
      <c r="AB132" s="127">
        <f>+Z132*'1. Standard_Cost'!$B$23+AA132*'1. Standard_Cost'!$C$23</f>
        <v>0</v>
      </c>
      <c r="AC132" s="128"/>
      <c r="AD132" s="129"/>
      <c r="AE132" s="127">
        <f>SUM(AD132,AC132,AB132,Y132,U132,T132,S132,R132)*'1. Standard_Cost'!$B$31</f>
        <v>0</v>
      </c>
      <c r="AF132" s="127">
        <f t="shared" si="85"/>
        <v>0</v>
      </c>
      <c r="AG132" s="126"/>
      <c r="AH132" s="126"/>
      <c r="AI132" s="126"/>
      <c r="AJ132" s="130"/>
      <c r="AK132" s="130"/>
      <c r="AL132" s="130"/>
      <c r="AM132" s="127">
        <f>AG132*'1. Standard_Cost'!$B$27+'Incremental_Cost Year 2'!AH132*'1. Standard_Cost'!$C$27+'Incremental_Cost Year 2'!AI132*'1. Standard_Cost'!$D$27+'Incremental_Cost Year 2'!AJ132+'Incremental_Cost Year 2'!AL132+AK132</f>
        <v>0</v>
      </c>
      <c r="AN132" s="127">
        <f>AM132*'1. Standard_Cost'!$C$31</f>
        <v>0</v>
      </c>
      <c r="AO132" s="130"/>
      <c r="AQ132" s="171">
        <f t="shared" si="86"/>
        <v>0</v>
      </c>
      <c r="AR132" s="171">
        <f t="shared" si="87"/>
        <v>0</v>
      </c>
      <c r="AS132" s="171">
        <f t="shared" si="88"/>
        <v>0</v>
      </c>
      <c r="AT132" s="171">
        <f t="shared" si="89"/>
        <v>0</v>
      </c>
      <c r="AU132" s="250"/>
      <c r="AV132" s="250"/>
      <c r="AW132" s="250"/>
      <c r="AX132" s="250"/>
      <c r="AY132" s="250"/>
      <c r="AZ132" s="250"/>
      <c r="BA132" s="250"/>
      <c r="BB132" s="251">
        <f t="shared" si="90"/>
        <v>0</v>
      </c>
      <c r="BC132" s="169"/>
      <c r="BD132" s="169"/>
      <c r="BE132" s="169"/>
      <c r="BF132" s="169"/>
    </row>
    <row r="133" spans="1:58" ht="110.25" outlineLevel="1" x14ac:dyDescent="0.25">
      <c r="A133" s="115"/>
      <c r="B133" s="200"/>
      <c r="C133" s="201"/>
      <c r="D133" s="146" t="s">
        <v>561</v>
      </c>
      <c r="E133" s="310" t="s">
        <v>452</v>
      </c>
      <c r="F133" s="121">
        <v>2021</v>
      </c>
      <c r="G133" s="223">
        <v>2030</v>
      </c>
      <c r="H133" s="110" t="s">
        <v>286</v>
      </c>
      <c r="I133" s="252"/>
      <c r="J133" s="252"/>
      <c r="K133" s="252"/>
      <c r="L133" s="127">
        <f>SUM(L124:L132)</f>
        <v>24719357.142857146</v>
      </c>
      <c r="M133" s="127">
        <f>SUM(M124:M132)</f>
        <v>4128132.6428571432</v>
      </c>
      <c r="N133" s="127"/>
      <c r="O133" s="252"/>
      <c r="P133" s="252"/>
      <c r="Q133" s="252"/>
      <c r="R133" s="127">
        <f>SUM(R124:R132)</f>
        <v>0</v>
      </c>
      <c r="S133" s="127">
        <f>SUM(S124:S132)</f>
        <v>0</v>
      </c>
      <c r="T133" s="127">
        <f>SUM(T124:T132)</f>
        <v>0</v>
      </c>
      <c r="U133" s="127">
        <f>SUM(U124:U132)</f>
        <v>0</v>
      </c>
      <c r="V133" s="252"/>
      <c r="W133" s="252"/>
      <c r="X133" s="252"/>
      <c r="Y133" s="127">
        <f>SUM(Y124:Y132)</f>
        <v>0</v>
      </c>
      <c r="Z133" s="252"/>
      <c r="AA133" s="252"/>
      <c r="AB133" s="127">
        <f>SUM(AB124:AB132)</f>
        <v>570000</v>
      </c>
      <c r="AC133" s="127">
        <f>SUM(AC124:AC132)</f>
        <v>4077212</v>
      </c>
      <c r="AD133" s="127">
        <f>SUM(AD124:AD132)</f>
        <v>0</v>
      </c>
      <c r="AE133" s="127">
        <f>SUM(AE124:AE132)</f>
        <v>929442.4</v>
      </c>
      <c r="AF133" s="127">
        <f>SUM(AF124:AF132)</f>
        <v>5576654.4000000004</v>
      </c>
      <c r="AG133" s="252"/>
      <c r="AH133" s="252"/>
      <c r="AI133" s="252"/>
      <c r="AJ133" s="127">
        <f>SUM(AJ124:AJ132)</f>
        <v>0</v>
      </c>
      <c r="AK133" s="127">
        <f>SUM(AK124:AK132)</f>
        <v>0</v>
      </c>
      <c r="AL133" s="127">
        <f>SUM(AL124:AL132)</f>
        <v>0</v>
      </c>
      <c r="AM133" s="127">
        <f>SUM(AM124:AM132)</f>
        <v>0</v>
      </c>
      <c r="AN133" s="127">
        <f>SUM(AN124:AN132)</f>
        <v>0</v>
      </c>
      <c r="AO133" s="253"/>
      <c r="AP133" s="254"/>
      <c r="AQ133" s="175">
        <f>SUM(AQ124:AQ132)</f>
        <v>28847489.785714284</v>
      </c>
      <c r="AR133" s="175">
        <f>SUM(AR124:AR132)</f>
        <v>5576654.4000000004</v>
      </c>
      <c r="AS133" s="175">
        <f>SUM(AS124:AS132)</f>
        <v>0</v>
      </c>
      <c r="AT133" s="175">
        <f>SUM(AT124:AT132)</f>
        <v>34424144.18571429</v>
      </c>
      <c r="AU133" s="175">
        <f t="shared" ref="AU133:BB133" si="91">SUM(AU124:AU132)</f>
        <v>33626145</v>
      </c>
      <c r="AV133" s="175">
        <f t="shared" si="91"/>
        <v>0</v>
      </c>
      <c r="AW133" s="175">
        <f>SUM(AW124:AW132)</f>
        <v>0</v>
      </c>
      <c r="AX133" s="175">
        <f t="shared" si="91"/>
        <v>0</v>
      </c>
      <c r="AY133" s="175">
        <f t="shared" si="91"/>
        <v>0</v>
      </c>
      <c r="AZ133" s="175">
        <f t="shared" si="91"/>
        <v>0</v>
      </c>
      <c r="BA133" s="175">
        <f t="shared" si="91"/>
        <v>0</v>
      </c>
      <c r="BB133" s="175">
        <f t="shared" si="91"/>
        <v>-797999.18571428582</v>
      </c>
      <c r="BC133" s="169"/>
      <c r="BD133" s="169"/>
      <c r="BE133" s="169"/>
      <c r="BF133" s="169"/>
    </row>
    <row r="134" spans="1:58" s="184" customFormat="1" ht="15.75" customHeight="1" x14ac:dyDescent="0.25">
      <c r="A134" s="143"/>
      <c r="B134" s="290"/>
      <c r="C134" s="391" t="s">
        <v>289</v>
      </c>
      <c r="D134" s="391"/>
      <c r="E134" s="392"/>
      <c r="F134" s="291"/>
      <c r="G134" s="289"/>
      <c r="H134" s="144" t="s">
        <v>290</v>
      </c>
      <c r="I134" s="257"/>
      <c r="J134" s="257"/>
      <c r="K134" s="257"/>
      <c r="L134" s="258">
        <f>SUM(L139)</f>
        <v>1696800</v>
      </c>
      <c r="M134" s="258">
        <f>SUM(M139)</f>
        <v>283365.60000000003</v>
      </c>
      <c r="N134" s="257"/>
      <c r="O134" s="257"/>
      <c r="P134" s="257"/>
      <c r="Q134" s="257"/>
      <c r="R134" s="258">
        <f>SUM(R139)</f>
        <v>0</v>
      </c>
      <c r="S134" s="258">
        <f>SUM(S139)</f>
        <v>0</v>
      </c>
      <c r="T134" s="258">
        <f>SUM(T139)</f>
        <v>0</v>
      </c>
      <c r="U134" s="258">
        <f>SUM(U139)</f>
        <v>0</v>
      </c>
      <c r="V134" s="257"/>
      <c r="W134" s="257"/>
      <c r="X134" s="257"/>
      <c r="Y134" s="258">
        <f>SUM(Y139)</f>
        <v>0</v>
      </c>
      <c r="Z134" s="258"/>
      <c r="AA134" s="258"/>
      <c r="AB134" s="258">
        <f>SUM(AB139)</f>
        <v>0</v>
      </c>
      <c r="AC134" s="258">
        <f>SUM(AC139)</f>
        <v>11030200000</v>
      </c>
      <c r="AD134" s="258">
        <f>SUM(AD139)</f>
        <v>0</v>
      </c>
      <c r="AE134" s="258">
        <f>SUM(AE139)</f>
        <v>2040000</v>
      </c>
      <c r="AF134" s="258">
        <f>SUM(AF139)</f>
        <v>11032240000</v>
      </c>
      <c r="AG134" s="257"/>
      <c r="AH134" s="257"/>
      <c r="AI134" s="257"/>
      <c r="AJ134" s="258">
        <f>SUM(AJ139)</f>
        <v>0</v>
      </c>
      <c r="AK134" s="258">
        <f>SUM(AK139)</f>
        <v>0</v>
      </c>
      <c r="AL134" s="258">
        <f>SUM(AL139)</f>
        <v>0</v>
      </c>
      <c r="AM134" s="258">
        <f>SUM(AM139)</f>
        <v>0</v>
      </c>
      <c r="AN134" s="258">
        <f>SUM(AN139)</f>
        <v>0</v>
      </c>
      <c r="AO134" s="259"/>
      <c r="AP134" s="260"/>
      <c r="AQ134" s="261">
        <f>SUM(AQ139)</f>
        <v>1980165.6</v>
      </c>
      <c r="AR134" s="261">
        <f>SUM(AR139)</f>
        <v>11032240000</v>
      </c>
      <c r="AS134" s="261">
        <f>SUM(AS139)</f>
        <v>0</v>
      </c>
      <c r="AT134" s="261">
        <f>SUM(AT139)</f>
        <v>11034220165.6</v>
      </c>
      <c r="AU134" s="261">
        <f t="shared" ref="AU134:BA134" si="92">SUM(AU139)</f>
        <v>11034220166</v>
      </c>
      <c r="AV134" s="261">
        <f t="shared" si="92"/>
        <v>0</v>
      </c>
      <c r="AW134" s="261">
        <f>SUM(AW139)</f>
        <v>0</v>
      </c>
      <c r="AX134" s="261">
        <f t="shared" si="92"/>
        <v>0</v>
      </c>
      <c r="AY134" s="261">
        <f t="shared" si="92"/>
        <v>0</v>
      </c>
      <c r="AZ134" s="261">
        <f t="shared" si="92"/>
        <v>0</v>
      </c>
      <c r="BA134" s="261">
        <f t="shared" si="92"/>
        <v>0</v>
      </c>
      <c r="BB134" s="261">
        <f t="shared" ref="BB134" si="93">SUM(BB139)</f>
        <v>0.40000000037252903</v>
      </c>
    </row>
    <row r="135" spans="1:58" ht="126" outlineLevel="2" x14ac:dyDescent="0.25">
      <c r="A135" s="115"/>
      <c r="B135" s="200"/>
      <c r="C135" s="201"/>
      <c r="D135" s="346"/>
      <c r="E135" s="321"/>
      <c r="F135" s="337"/>
      <c r="G135" s="338"/>
      <c r="H135" s="199" t="s">
        <v>453</v>
      </c>
      <c r="I135" s="130"/>
      <c r="J135" s="126"/>
      <c r="K135" s="126"/>
      <c r="L135" s="125" t="str">
        <f>IF(I135&lt;&gt;0,((VLOOKUP(I135,'1. Standard_Cost'!$B$4:$D$11,2)+VLOOKUP(I135,'1. Standard_Cost'!$B$4:$D$11,3))*J135*K135),"0")</f>
        <v>0</v>
      </c>
      <c r="M135" s="125">
        <f>L135*'1. Standard_Cost'!$F$4</f>
        <v>0</v>
      </c>
      <c r="N135" s="126"/>
      <c r="O135" s="126"/>
      <c r="P135" s="126"/>
      <c r="Q135" s="126"/>
      <c r="R135" s="127">
        <f>'1. Standard_Cost'!$B$15*N135*P135</f>
        <v>0</v>
      </c>
      <c r="S135" s="127">
        <f>N135*O135*P135*'1. Standard_Cost'!$C$15</f>
        <v>0</v>
      </c>
      <c r="T135" s="127">
        <f>N135*P135*Q135*'1. Standard_Cost'!$D$15</f>
        <v>0</v>
      </c>
      <c r="U135" s="127">
        <f>N135*O135*'1. Standard_Cost'!$E$15</f>
        <v>0</v>
      </c>
      <c r="V135" s="126"/>
      <c r="W135" s="126"/>
      <c r="X135" s="126"/>
      <c r="Y135" s="127">
        <f>+V135*((X135*'1. Standard_Cost'!$B$19)+(W135*X135*'1. Standard_Cost'!$C$19))</f>
        <v>0</v>
      </c>
      <c r="Z135" s="126"/>
      <c r="AA135" s="126"/>
      <c r="AB135" s="127">
        <f>+Z135*'1. Standard_Cost'!$B$23+AA135*'1. Standard_Cost'!$C$23</f>
        <v>0</v>
      </c>
      <c r="AC135" s="128">
        <v>11020000000</v>
      </c>
      <c r="AD135" s="129"/>
      <c r="AE135" s="127"/>
      <c r="AF135" s="127">
        <f>SUM(AE135,AD135,AC135,AB135,Y135,U135,T135,S135,R135)</f>
        <v>11020000000</v>
      </c>
      <c r="AG135" s="126"/>
      <c r="AH135" s="126"/>
      <c r="AI135" s="126"/>
      <c r="AJ135" s="130"/>
      <c r="AK135" s="130"/>
      <c r="AL135" s="130"/>
      <c r="AM135" s="127">
        <f>AG135*'1. Standard_Cost'!$B$27+'Incremental_Cost Year 2'!AH135*'1. Standard_Cost'!$C$27+'Incremental_Cost Year 2'!AI135*'1. Standard_Cost'!$D$27+'Incremental_Cost Year 2'!AJ135+'Incremental_Cost Year 2'!AL135+AK135</f>
        <v>0</v>
      </c>
      <c r="AN135" s="127">
        <f>AM135*'1. Standard_Cost'!$C$31</f>
        <v>0</v>
      </c>
      <c r="AO135" s="130"/>
      <c r="AQ135" s="171">
        <f>L135+M135</f>
        <v>0</v>
      </c>
      <c r="AR135" s="171">
        <f>AF135</f>
        <v>11020000000</v>
      </c>
      <c r="AS135" s="171">
        <f>AM135+AN135</f>
        <v>0</v>
      </c>
      <c r="AT135" s="171">
        <f>SUM(AQ135,AR135,AS135)</f>
        <v>11020000000</v>
      </c>
      <c r="AU135" s="250">
        <v>11020000000</v>
      </c>
      <c r="AV135" s="250"/>
      <c r="AW135" s="250"/>
      <c r="AX135" s="250"/>
      <c r="AY135" s="250"/>
      <c r="AZ135" s="250"/>
      <c r="BA135" s="250"/>
      <c r="BB135" s="251">
        <f t="shared" ref="BB135:BB138" si="94">SUM(AU135:BA135)-AT135</f>
        <v>0</v>
      </c>
      <c r="BC135" s="169"/>
      <c r="BD135" s="169"/>
      <c r="BE135" s="169"/>
      <c r="BF135" s="169"/>
    </row>
    <row r="136" spans="1:58" ht="78.75" outlineLevel="2" x14ac:dyDescent="0.25">
      <c r="A136" s="115"/>
      <c r="B136" s="200"/>
      <c r="C136" s="201"/>
      <c r="D136" s="203"/>
      <c r="E136" s="323"/>
      <c r="F136" s="335"/>
      <c r="G136" s="336"/>
      <c r="H136" s="199" t="s">
        <v>454</v>
      </c>
      <c r="I136" s="130"/>
      <c r="J136" s="126"/>
      <c r="K136" s="126"/>
      <c r="L136" s="125" t="str">
        <f>IF(I136&lt;&gt;0,((VLOOKUP(I136,'1. Standard_Cost'!$B$4:$D$11,2)+VLOOKUP(I136,'1. Standard_Cost'!$B$4:$D$11,3))*J136*K136),"0")</f>
        <v>0</v>
      </c>
      <c r="M136" s="125">
        <f>L136*'1. Standard_Cost'!$F$4</f>
        <v>0</v>
      </c>
      <c r="N136" s="126"/>
      <c r="O136" s="126"/>
      <c r="P136" s="126"/>
      <c r="Q136" s="126"/>
      <c r="R136" s="127">
        <f>'1. Standard_Cost'!$B$15*N136*P136</f>
        <v>0</v>
      </c>
      <c r="S136" s="127">
        <f>N136*O136*P136*'1. Standard_Cost'!$C$15</f>
        <v>0</v>
      </c>
      <c r="T136" s="127">
        <f>N136*P136*Q136*'1. Standard_Cost'!$D$15</f>
        <v>0</v>
      </c>
      <c r="U136" s="127">
        <f>N136*O136*'1. Standard_Cost'!$E$15</f>
        <v>0</v>
      </c>
      <c r="V136" s="126"/>
      <c r="W136" s="126"/>
      <c r="X136" s="126"/>
      <c r="Y136" s="127">
        <f>+V136*((X136*'1. Standard_Cost'!$B$19)+(W136*X136*'1. Standard_Cost'!$C$19))</f>
        <v>0</v>
      </c>
      <c r="Z136" s="126"/>
      <c r="AA136" s="126"/>
      <c r="AB136" s="127">
        <f>+Z136*'1. Standard_Cost'!$B$23+AA136*'1. Standard_Cost'!$C$23</f>
        <v>0</v>
      </c>
      <c r="AC136" s="128"/>
      <c r="AD136" s="129"/>
      <c r="AE136" s="127">
        <f>SUM(AD136,AC136,AB136,Y136,U136,T136,S136,R136)*'1. Standard_Cost'!$B$31</f>
        <v>0</v>
      </c>
      <c r="AF136" s="127">
        <f>SUM(AE136,AD136,AC136,AB136,Y136,U136,T136,S136,R136)</f>
        <v>0</v>
      </c>
      <c r="AG136" s="126"/>
      <c r="AH136" s="126"/>
      <c r="AI136" s="126"/>
      <c r="AJ136" s="130"/>
      <c r="AK136" s="130"/>
      <c r="AL136" s="130"/>
      <c r="AM136" s="127">
        <f>AG136*'1. Standard_Cost'!$B$27+'Incremental_Cost Year 2'!AH136*'1. Standard_Cost'!$C$27+'Incremental_Cost Year 2'!AI136*'1. Standard_Cost'!$D$27+'Incremental_Cost Year 2'!AJ136+'Incremental_Cost Year 2'!AL136+AK136</f>
        <v>0</v>
      </c>
      <c r="AN136" s="127">
        <f>AM136*'1. Standard_Cost'!$C$31</f>
        <v>0</v>
      </c>
      <c r="AO136" s="130"/>
      <c r="AQ136" s="171">
        <f>L136+M136</f>
        <v>0</v>
      </c>
      <c r="AR136" s="171">
        <f>AF136</f>
        <v>0</v>
      </c>
      <c r="AS136" s="171">
        <f>AM136+AN136</f>
        <v>0</v>
      </c>
      <c r="AT136" s="171">
        <f>SUM(AQ136,AR136,AS136)</f>
        <v>0</v>
      </c>
      <c r="AU136" s="250"/>
      <c r="AV136" s="250"/>
      <c r="AW136" s="250"/>
      <c r="AX136" s="250"/>
      <c r="AY136" s="250"/>
      <c r="AZ136" s="250"/>
      <c r="BA136" s="250"/>
      <c r="BB136" s="251">
        <f t="shared" si="94"/>
        <v>0</v>
      </c>
      <c r="BC136" s="169"/>
      <c r="BD136" s="169"/>
      <c r="BE136" s="169"/>
      <c r="BF136" s="169"/>
    </row>
    <row r="137" spans="1:58" ht="94.5" customHeight="1" outlineLevel="2" x14ac:dyDescent="0.25">
      <c r="A137" s="115"/>
      <c r="B137" s="200"/>
      <c r="C137" s="201"/>
      <c r="D137" s="203"/>
      <c r="E137" s="323"/>
      <c r="F137" s="335"/>
      <c r="G137" s="336"/>
      <c r="H137" s="199" t="s">
        <v>455</v>
      </c>
      <c r="I137" s="130"/>
      <c r="J137" s="126"/>
      <c r="K137" s="126"/>
      <c r="L137" s="125" t="str">
        <f>IF(I137&lt;&gt;0,((VLOOKUP(I137,'1. Standard_Cost'!$B$4:$D$11,2)+VLOOKUP(I137,'1. Standard_Cost'!$B$4:$D$11,3))*J137*K137),"0")</f>
        <v>0</v>
      </c>
      <c r="M137" s="125">
        <f>L137*'1. Standard_Cost'!$F$4</f>
        <v>0</v>
      </c>
      <c r="N137" s="126"/>
      <c r="O137" s="126"/>
      <c r="P137" s="126"/>
      <c r="Q137" s="126"/>
      <c r="R137" s="127">
        <f>'1. Standard_Cost'!$B$15*N137*P137</f>
        <v>0</v>
      </c>
      <c r="S137" s="127">
        <f>N137*O137*P137*'1. Standard_Cost'!$C$15</f>
        <v>0</v>
      </c>
      <c r="T137" s="127">
        <f>N137*P137*Q137*'1. Standard_Cost'!$D$15</f>
        <v>0</v>
      </c>
      <c r="U137" s="127">
        <f>N137*O137*'1. Standard_Cost'!$E$15</f>
        <v>0</v>
      </c>
      <c r="V137" s="126"/>
      <c r="W137" s="126"/>
      <c r="X137" s="126"/>
      <c r="Y137" s="127">
        <f>+V137*((X137*'1. Standard_Cost'!$B$19)+(W137*X137*'1. Standard_Cost'!$C$19))</f>
        <v>0</v>
      </c>
      <c r="Z137" s="126"/>
      <c r="AA137" s="126"/>
      <c r="AB137" s="127">
        <f>+Z137*'1. Standard_Cost'!$B$23+AA137*'1. Standard_Cost'!$C$23</f>
        <v>0</v>
      </c>
      <c r="AC137" s="128"/>
      <c r="AD137" s="129"/>
      <c r="AE137" s="127">
        <f>SUM(AD137,AC137,AB137,Y137,U137,T137,S137,R137)*'1. Standard_Cost'!$B$31</f>
        <v>0</v>
      </c>
      <c r="AF137" s="127">
        <f>SUM(AE137,AD137,AC137,AB137,Y137,U137,T137,S137,R137)</f>
        <v>0</v>
      </c>
      <c r="AG137" s="126"/>
      <c r="AH137" s="126"/>
      <c r="AI137" s="126"/>
      <c r="AJ137" s="130"/>
      <c r="AK137" s="130"/>
      <c r="AL137" s="130"/>
      <c r="AM137" s="127">
        <f>AG137*'1. Standard_Cost'!$B$27+'Incremental_Cost Year 2'!AH137*'1. Standard_Cost'!$C$27+'Incremental_Cost Year 2'!AI137*'1. Standard_Cost'!$D$27+'Incremental_Cost Year 2'!AJ137+'Incremental_Cost Year 2'!AL137+AK137</f>
        <v>0</v>
      </c>
      <c r="AN137" s="127">
        <f>AM137*'1. Standard_Cost'!$C$31</f>
        <v>0</v>
      </c>
      <c r="AO137" s="130"/>
      <c r="AQ137" s="171">
        <f>L137+M137</f>
        <v>0</v>
      </c>
      <c r="AR137" s="171">
        <f>AF137</f>
        <v>0</v>
      </c>
      <c r="AS137" s="171">
        <f>AM137+AN137</f>
        <v>0</v>
      </c>
      <c r="AT137" s="171">
        <f>SUM(AQ137,AR137,AS137)</f>
        <v>0</v>
      </c>
      <c r="AU137" s="250"/>
      <c r="AV137" s="250"/>
      <c r="AW137" s="250"/>
      <c r="AX137" s="250"/>
      <c r="AY137" s="250"/>
      <c r="AZ137" s="250"/>
      <c r="BA137" s="250"/>
      <c r="BB137" s="251">
        <f t="shared" si="94"/>
        <v>0</v>
      </c>
      <c r="BC137" s="169"/>
      <c r="BD137" s="169"/>
      <c r="BE137" s="169"/>
      <c r="BF137" s="169"/>
    </row>
    <row r="138" spans="1:58" ht="78.75" outlineLevel="2" x14ac:dyDescent="0.25">
      <c r="A138" s="115"/>
      <c r="B138" s="200"/>
      <c r="C138" s="334"/>
      <c r="D138" s="347"/>
      <c r="E138" s="323"/>
      <c r="F138" s="335"/>
      <c r="G138" s="336"/>
      <c r="H138" s="199" t="s">
        <v>456</v>
      </c>
      <c r="I138" s="130" t="s">
        <v>5</v>
      </c>
      <c r="J138" s="126">
        <v>12</v>
      </c>
      <c r="K138" s="126">
        <v>2</v>
      </c>
      <c r="L138" s="125">
        <f>IF(I138&lt;&gt;0,((VLOOKUP(I138,'1. Standard_Cost'!$B$4:$D$11,2)+VLOOKUP(I138,'1. Standard_Cost'!$B$4:$D$11,3))*J138*K138),"0")</f>
        <v>1696800</v>
      </c>
      <c r="M138" s="125">
        <f>L138*'1. Standard_Cost'!$F$4</f>
        <v>283365.60000000003</v>
      </c>
      <c r="N138" s="126"/>
      <c r="O138" s="126"/>
      <c r="P138" s="126"/>
      <c r="Q138" s="126"/>
      <c r="R138" s="127">
        <f>'1. Standard_Cost'!$B$15*N138*P138</f>
        <v>0</v>
      </c>
      <c r="S138" s="127">
        <f>N138*O138*P138*'1. Standard_Cost'!$C$15</f>
        <v>0</v>
      </c>
      <c r="T138" s="127">
        <f>N138*P138*Q138*'1. Standard_Cost'!$D$15</f>
        <v>0</v>
      </c>
      <c r="U138" s="127">
        <f>N138*O138*'1. Standard_Cost'!$E$15</f>
        <v>0</v>
      </c>
      <c r="V138" s="126"/>
      <c r="W138" s="126"/>
      <c r="X138" s="126"/>
      <c r="Y138" s="127">
        <f>+V138*((X138*'1. Standard_Cost'!$B$19)+(W138*X138*'1. Standard_Cost'!$C$19))</f>
        <v>0</v>
      </c>
      <c r="Z138" s="126"/>
      <c r="AA138" s="145"/>
      <c r="AB138" s="127">
        <f>+Z138*'1. Standard_Cost'!$B$23+AA138*'1. Standard_Cost'!$C$23</f>
        <v>0</v>
      </c>
      <c r="AC138" s="128">
        <v>10200000</v>
      </c>
      <c r="AD138" s="129"/>
      <c r="AE138" s="127">
        <f>SUM(AD138,AC138,AB138,Y138,U138,T138,S138,R138)*'1. Standard_Cost'!$B$31</f>
        <v>2040000</v>
      </c>
      <c r="AF138" s="127">
        <f>SUM(AE138,AD138,AC138,AB138,Y138,U138,T138,S138,R138)</f>
        <v>12240000</v>
      </c>
      <c r="AG138" s="126"/>
      <c r="AH138" s="126"/>
      <c r="AI138" s="126"/>
      <c r="AJ138" s="130"/>
      <c r="AK138" s="130"/>
      <c r="AL138" s="130"/>
      <c r="AM138" s="127">
        <f>AG138*'1. Standard_Cost'!$B$27+'Incremental_Cost Year 2'!AH138*'1. Standard_Cost'!$C$27+'Incremental_Cost Year 2'!AI138*'1. Standard_Cost'!$D$27+'Incremental_Cost Year 2'!AJ138+'Incremental_Cost Year 2'!AL138+AK138</f>
        <v>0</v>
      </c>
      <c r="AN138" s="127">
        <f>AM138*'1. Standard_Cost'!$C$31</f>
        <v>0</v>
      </c>
      <c r="AO138" s="262"/>
      <c r="AQ138" s="171">
        <f>L138+M138</f>
        <v>1980165.6</v>
      </c>
      <c r="AR138" s="171">
        <f>AF138</f>
        <v>12240000</v>
      </c>
      <c r="AS138" s="171">
        <f>AM138+AN138</f>
        <v>0</v>
      </c>
      <c r="AT138" s="171">
        <f>SUM(AQ138,AR138,AS138)</f>
        <v>14220165.6</v>
      </c>
      <c r="AU138" s="250">
        <v>14220166</v>
      </c>
      <c r="AV138" s="250"/>
      <c r="AW138" s="250"/>
      <c r="AX138" s="250"/>
      <c r="AY138" s="250"/>
      <c r="AZ138" s="250"/>
      <c r="BA138" s="250"/>
      <c r="BB138" s="251">
        <f t="shared" si="94"/>
        <v>0.40000000037252903</v>
      </c>
      <c r="BC138" s="169"/>
      <c r="BD138" s="169"/>
      <c r="BE138" s="169"/>
      <c r="BF138" s="169"/>
    </row>
    <row r="139" spans="1:58" ht="47.25" outlineLevel="1" x14ac:dyDescent="0.25">
      <c r="A139" s="115"/>
      <c r="B139" s="165"/>
      <c r="C139" s="166"/>
      <c r="D139" s="228" t="s">
        <v>233</v>
      </c>
      <c r="E139" s="212" t="s">
        <v>291</v>
      </c>
      <c r="F139" s="136">
        <v>2022</v>
      </c>
      <c r="G139" s="117">
        <v>2030</v>
      </c>
      <c r="H139" s="110" t="s">
        <v>292</v>
      </c>
      <c r="I139" s="252"/>
      <c r="J139" s="252"/>
      <c r="K139" s="252"/>
      <c r="L139" s="127">
        <f>SUM(L135:L138)</f>
        <v>1696800</v>
      </c>
      <c r="M139" s="127">
        <f>SUM(M135:M138)</f>
        <v>283365.60000000003</v>
      </c>
      <c r="N139" s="127"/>
      <c r="O139" s="252"/>
      <c r="P139" s="252"/>
      <c r="Q139" s="252"/>
      <c r="R139" s="127">
        <f>SUM(R135:R138)</f>
        <v>0</v>
      </c>
      <c r="S139" s="127">
        <f>SUM(S135:S138)</f>
        <v>0</v>
      </c>
      <c r="T139" s="127">
        <f>SUM(T135:T138)</f>
        <v>0</v>
      </c>
      <c r="U139" s="127">
        <f>SUM(U135:U138)</f>
        <v>0</v>
      </c>
      <c r="V139" s="252"/>
      <c r="W139" s="252"/>
      <c r="X139" s="252"/>
      <c r="Y139" s="127">
        <f>SUM(Y135:Y138)</f>
        <v>0</v>
      </c>
      <c r="Z139" s="252"/>
      <c r="AA139" s="252"/>
      <c r="AB139" s="127">
        <f>SUM(AB135:AB138)</f>
        <v>0</v>
      </c>
      <c r="AC139" s="127">
        <f>SUM(AC135:AC138)</f>
        <v>11030200000</v>
      </c>
      <c r="AD139" s="127">
        <f>SUM(AD135:AD138)</f>
        <v>0</v>
      </c>
      <c r="AE139" s="127">
        <f>SUM(AE135:AE138)</f>
        <v>2040000</v>
      </c>
      <c r="AF139" s="127">
        <f>SUM(AF135:AF138)</f>
        <v>11032240000</v>
      </c>
      <c r="AG139" s="252"/>
      <c r="AH139" s="252"/>
      <c r="AI139" s="252"/>
      <c r="AJ139" s="127">
        <f>SUM(AJ135:AJ138)</f>
        <v>0</v>
      </c>
      <c r="AK139" s="127">
        <f>SUM(AK135:AK138)</f>
        <v>0</v>
      </c>
      <c r="AL139" s="127">
        <f>SUM(AL135:AL138)</f>
        <v>0</v>
      </c>
      <c r="AM139" s="127">
        <f>SUM(AM135:AM138)</f>
        <v>0</v>
      </c>
      <c r="AN139" s="127">
        <f>SUM(AN135:AN138)</f>
        <v>0</v>
      </c>
      <c r="AO139" s="253"/>
      <c r="AP139" s="254"/>
      <c r="AQ139" s="175">
        <f>SUM(AQ135:AQ138)</f>
        <v>1980165.6</v>
      </c>
      <c r="AR139" s="175">
        <f>SUM(AR135:AR138)</f>
        <v>11032240000</v>
      </c>
      <c r="AS139" s="175">
        <f>SUM(AS135:AS138)</f>
        <v>0</v>
      </c>
      <c r="AT139" s="175">
        <f>SUM(AT135:AT138)</f>
        <v>11034220165.6</v>
      </c>
      <c r="AU139" s="175">
        <f t="shared" ref="AU139:BB139" si="95">SUM(AU135:AU138)</f>
        <v>11034220166</v>
      </c>
      <c r="AV139" s="175">
        <f t="shared" si="95"/>
        <v>0</v>
      </c>
      <c r="AW139" s="175">
        <f>SUM(AW135:AW138)</f>
        <v>0</v>
      </c>
      <c r="AX139" s="175">
        <f t="shared" si="95"/>
        <v>0</v>
      </c>
      <c r="AY139" s="175">
        <f t="shared" si="95"/>
        <v>0</v>
      </c>
      <c r="AZ139" s="175">
        <f t="shared" si="95"/>
        <v>0</v>
      </c>
      <c r="BA139" s="175">
        <f t="shared" si="95"/>
        <v>0</v>
      </c>
      <c r="BB139" s="175">
        <f t="shared" si="95"/>
        <v>0.40000000037252903</v>
      </c>
      <c r="BC139" s="169"/>
      <c r="BD139" s="169"/>
      <c r="BE139" s="169"/>
      <c r="BF139" s="169"/>
    </row>
    <row r="140" spans="1:58" s="184" customFormat="1" ht="15.75" customHeight="1" x14ac:dyDescent="0.25">
      <c r="A140" s="143"/>
      <c r="B140" s="290"/>
      <c r="C140" s="391" t="s">
        <v>293</v>
      </c>
      <c r="D140" s="391"/>
      <c r="E140" s="392"/>
      <c r="F140" s="291"/>
      <c r="G140" s="289"/>
      <c r="H140" s="144" t="s">
        <v>294</v>
      </c>
      <c r="I140" s="257"/>
      <c r="J140" s="257"/>
      <c r="K140" s="257"/>
      <c r="L140" s="258">
        <f>SUM(L149)</f>
        <v>0</v>
      </c>
      <c r="M140" s="258">
        <f>SUM(M149)</f>
        <v>0</v>
      </c>
      <c r="N140" s="257"/>
      <c r="O140" s="257"/>
      <c r="P140" s="257"/>
      <c r="Q140" s="257"/>
      <c r="R140" s="258">
        <f>SUM(R149)</f>
        <v>0</v>
      </c>
      <c r="S140" s="258">
        <f>SUM(S149)</f>
        <v>0</v>
      </c>
      <c r="T140" s="258">
        <f>SUM(T149)</f>
        <v>0</v>
      </c>
      <c r="U140" s="258">
        <f>SUM(U149)</f>
        <v>0</v>
      </c>
      <c r="V140" s="257"/>
      <c r="W140" s="257"/>
      <c r="X140" s="257"/>
      <c r="Y140" s="258">
        <f>SUM(Y149)</f>
        <v>0</v>
      </c>
      <c r="Z140" s="258"/>
      <c r="AA140" s="258"/>
      <c r="AB140" s="258">
        <f>SUM(AB149)</f>
        <v>0</v>
      </c>
      <c r="AC140" s="258">
        <f>SUM(AC149)</f>
        <v>0</v>
      </c>
      <c r="AD140" s="258">
        <f>SUM(AD149)</f>
        <v>0</v>
      </c>
      <c r="AE140" s="258">
        <f>SUM(AE149)</f>
        <v>0</v>
      </c>
      <c r="AF140" s="258">
        <f>SUM(AF149)</f>
        <v>0</v>
      </c>
      <c r="AG140" s="257"/>
      <c r="AH140" s="257"/>
      <c r="AI140" s="257"/>
      <c r="AJ140" s="258">
        <f>SUM(AJ149)</f>
        <v>0</v>
      </c>
      <c r="AK140" s="258">
        <f>SUM(AK149)</f>
        <v>0</v>
      </c>
      <c r="AL140" s="258">
        <f>SUM(AL149)</f>
        <v>0</v>
      </c>
      <c r="AM140" s="258">
        <f>SUM(AM149)</f>
        <v>0</v>
      </c>
      <c r="AN140" s="258">
        <f>SUM(AN149)</f>
        <v>0</v>
      </c>
      <c r="AO140" s="259"/>
      <c r="AP140" s="260"/>
      <c r="AQ140" s="261">
        <f>SUM(AQ149)</f>
        <v>0</v>
      </c>
      <c r="AR140" s="261">
        <f>SUM(AR149)</f>
        <v>0</v>
      </c>
      <c r="AS140" s="261">
        <f>SUM(AS149)</f>
        <v>0</v>
      </c>
      <c r="AT140" s="261">
        <f>SUM(AT149)</f>
        <v>0</v>
      </c>
      <c r="AU140" s="261">
        <f t="shared" ref="AU140:BA140" si="96">SUM(AU149)</f>
        <v>0</v>
      </c>
      <c r="AV140" s="261">
        <f t="shared" si="96"/>
        <v>0</v>
      </c>
      <c r="AW140" s="261">
        <f>SUM(AW149)</f>
        <v>0</v>
      </c>
      <c r="AX140" s="261">
        <f t="shared" si="96"/>
        <v>0</v>
      </c>
      <c r="AY140" s="261">
        <f t="shared" si="96"/>
        <v>0</v>
      </c>
      <c r="AZ140" s="261">
        <f t="shared" si="96"/>
        <v>0</v>
      </c>
      <c r="BA140" s="261">
        <f t="shared" si="96"/>
        <v>0</v>
      </c>
      <c r="BB140" s="261">
        <f t="shared" ref="BB140" si="97">SUM(BB149)</f>
        <v>0</v>
      </c>
    </row>
    <row r="141" spans="1:58" ht="78.75" outlineLevel="2" x14ac:dyDescent="0.25">
      <c r="A141" s="115"/>
      <c r="B141" s="303"/>
      <c r="C141" s="329"/>
      <c r="D141" s="342"/>
      <c r="E141" s="328"/>
      <c r="F141" s="328"/>
      <c r="G141" s="328"/>
      <c r="H141" s="199" t="s">
        <v>457</v>
      </c>
      <c r="I141" s="130"/>
      <c r="J141" s="126"/>
      <c r="K141" s="126"/>
      <c r="L141" s="125" t="str">
        <f>IF(I141&lt;&gt;0,((VLOOKUP(I141,'1. Standard_Cost'!$B$4:$D$11,2)+VLOOKUP(I141,'1. Standard_Cost'!$B$4:$D$11,3))*J141*K141),"0")</f>
        <v>0</v>
      </c>
      <c r="M141" s="125">
        <f>L141*'1. Standard_Cost'!$F$4</f>
        <v>0</v>
      </c>
      <c r="N141" s="126"/>
      <c r="O141" s="126"/>
      <c r="P141" s="126"/>
      <c r="Q141" s="126"/>
      <c r="R141" s="127">
        <f>'1. Standard_Cost'!$B$15*N141*P141</f>
        <v>0</v>
      </c>
      <c r="S141" s="127">
        <f>N141*O141*P141*'1. Standard_Cost'!$C$15</f>
        <v>0</v>
      </c>
      <c r="T141" s="127">
        <f>N141*P141*Q141*'1. Standard_Cost'!$D$15</f>
        <v>0</v>
      </c>
      <c r="U141" s="127">
        <f>N141*O141*'1. Standard_Cost'!$E$15</f>
        <v>0</v>
      </c>
      <c r="V141" s="126"/>
      <c r="W141" s="126"/>
      <c r="X141" s="126"/>
      <c r="Y141" s="127">
        <f>+V141*((X141*'1. Standard_Cost'!$B$19)+(W141*X141*'1. Standard_Cost'!$C$19))</f>
        <v>0</v>
      </c>
      <c r="Z141" s="126"/>
      <c r="AA141" s="126"/>
      <c r="AB141" s="127">
        <f>+Z141*'1. Standard_Cost'!$B$23+AA141*'1. Standard_Cost'!$C$23</f>
        <v>0</v>
      </c>
      <c r="AC141" s="128"/>
      <c r="AD141" s="129"/>
      <c r="AE141" s="127">
        <f>SUM(AD141,AC141,AB141,Y141,U141,T141,S141,R141)*'1. Standard_Cost'!$B$31</f>
        <v>0</v>
      </c>
      <c r="AF141" s="127">
        <f t="shared" ref="AF141:AF148" si="98">SUM(AE141,AD141,AC141,AB141,Y141,U141,T141,S141,R141)</f>
        <v>0</v>
      </c>
      <c r="AG141" s="126"/>
      <c r="AH141" s="126"/>
      <c r="AI141" s="126"/>
      <c r="AJ141" s="130"/>
      <c r="AK141" s="130"/>
      <c r="AL141" s="130"/>
      <c r="AM141" s="127">
        <f>AG141*'1. Standard_Cost'!$B$27+'Incremental_Cost Year 2'!AH141*'1. Standard_Cost'!$C$27+'Incremental_Cost Year 2'!AI141*'1. Standard_Cost'!$D$27+'Incremental_Cost Year 2'!AJ141+'Incremental_Cost Year 2'!AL141+AK141</f>
        <v>0</v>
      </c>
      <c r="AN141" s="127">
        <f>AM141*'1. Standard_Cost'!$C$31</f>
        <v>0</v>
      </c>
      <c r="AO141" s="130"/>
      <c r="AQ141" s="171">
        <f t="shared" ref="AQ141:AQ148" si="99">L141+M141</f>
        <v>0</v>
      </c>
      <c r="AR141" s="171">
        <f t="shared" ref="AR141:AR148" si="100">AF141</f>
        <v>0</v>
      </c>
      <c r="AS141" s="171">
        <f t="shared" ref="AS141:AS148" si="101">AM141+AN141</f>
        <v>0</v>
      </c>
      <c r="AT141" s="171">
        <f t="shared" ref="AT141:AT148" si="102">SUM(AQ141,AR141,AS141)</f>
        <v>0</v>
      </c>
      <c r="AU141" s="250"/>
      <c r="AV141" s="250"/>
      <c r="AW141" s="250"/>
      <c r="AX141" s="250"/>
      <c r="AY141" s="250"/>
      <c r="AZ141" s="250"/>
      <c r="BA141" s="250"/>
      <c r="BB141" s="251">
        <f t="shared" ref="BB141:BB148" si="103">SUM(AU141:BA141)-AT141</f>
        <v>0</v>
      </c>
      <c r="BC141" s="169"/>
      <c r="BD141" s="169"/>
      <c r="BE141" s="169"/>
      <c r="BF141" s="169"/>
    </row>
    <row r="142" spans="1:58" ht="47.25" outlineLevel="2" x14ac:dyDescent="0.25">
      <c r="A142" s="115"/>
      <c r="B142" s="200"/>
      <c r="C142" s="330"/>
      <c r="D142" s="343"/>
      <c r="E142" s="328"/>
      <c r="F142" s="328"/>
      <c r="G142" s="328"/>
      <c r="H142" s="199" t="s">
        <v>458</v>
      </c>
      <c r="I142" s="130"/>
      <c r="J142" s="126"/>
      <c r="K142" s="126"/>
      <c r="L142" s="125" t="str">
        <f>IF(I142&lt;&gt;0,((VLOOKUP(I142,'1. Standard_Cost'!$B$4:$D$11,2)+VLOOKUP(I142,'1. Standard_Cost'!$B$4:$D$11,3))*J142*K142),"0")</f>
        <v>0</v>
      </c>
      <c r="M142" s="125">
        <f>L142*'1. Standard_Cost'!$F$4</f>
        <v>0</v>
      </c>
      <c r="N142" s="126"/>
      <c r="O142" s="126"/>
      <c r="P142" s="126"/>
      <c r="Q142" s="126"/>
      <c r="R142" s="127">
        <f>'1. Standard_Cost'!$B$15*N142*P142</f>
        <v>0</v>
      </c>
      <c r="S142" s="127">
        <f>N142*O142*P142*'1. Standard_Cost'!$C$15</f>
        <v>0</v>
      </c>
      <c r="T142" s="127">
        <f>N142*P142*Q142*'1. Standard_Cost'!$D$15</f>
        <v>0</v>
      </c>
      <c r="U142" s="127">
        <f>N142*O142*'1. Standard_Cost'!$E$15</f>
        <v>0</v>
      </c>
      <c r="V142" s="126"/>
      <c r="W142" s="126"/>
      <c r="X142" s="126"/>
      <c r="Y142" s="127">
        <f>+V142*((X142*'1. Standard_Cost'!$B$19)+(W142*X142*'1. Standard_Cost'!$C$19))</f>
        <v>0</v>
      </c>
      <c r="Z142" s="126"/>
      <c r="AA142" s="126"/>
      <c r="AB142" s="127">
        <f>+Z142*'1. Standard_Cost'!$B$23+AA142*'1. Standard_Cost'!$C$23</f>
        <v>0</v>
      </c>
      <c r="AC142" s="128"/>
      <c r="AD142" s="129"/>
      <c r="AE142" s="127">
        <f>SUM(AD142,AC142,AB142,Y142,U142,T142,S142,R142)*'1. Standard_Cost'!$B$31</f>
        <v>0</v>
      </c>
      <c r="AF142" s="127">
        <f t="shared" si="98"/>
        <v>0</v>
      </c>
      <c r="AG142" s="126"/>
      <c r="AH142" s="126"/>
      <c r="AI142" s="126"/>
      <c r="AJ142" s="130"/>
      <c r="AK142" s="130"/>
      <c r="AL142" s="130"/>
      <c r="AM142" s="127">
        <f>AG142*'1. Standard_Cost'!$B$27+'Incremental_Cost Year 2'!AH142*'1. Standard_Cost'!$C$27+'Incremental_Cost Year 2'!AI142*'1. Standard_Cost'!$D$27+'Incremental_Cost Year 2'!AJ142+'Incremental_Cost Year 2'!AL142+AK142</f>
        <v>0</v>
      </c>
      <c r="AN142" s="127">
        <f>AM142*'1. Standard_Cost'!$C$31</f>
        <v>0</v>
      </c>
      <c r="AO142" s="130"/>
      <c r="AQ142" s="171">
        <f t="shared" si="99"/>
        <v>0</v>
      </c>
      <c r="AR142" s="171">
        <f t="shared" si="100"/>
        <v>0</v>
      </c>
      <c r="AS142" s="171">
        <f t="shared" si="101"/>
        <v>0</v>
      </c>
      <c r="AT142" s="171">
        <f t="shared" si="102"/>
        <v>0</v>
      </c>
      <c r="AU142" s="250"/>
      <c r="AV142" s="250"/>
      <c r="AW142" s="250"/>
      <c r="AX142" s="250"/>
      <c r="AY142" s="250"/>
      <c r="AZ142" s="250"/>
      <c r="BA142" s="250"/>
      <c r="BB142" s="251">
        <f t="shared" si="103"/>
        <v>0</v>
      </c>
      <c r="BC142" s="169"/>
      <c r="BD142" s="169"/>
      <c r="BE142" s="169"/>
      <c r="BF142" s="169"/>
    </row>
    <row r="143" spans="1:58" ht="94.5" outlineLevel="2" x14ac:dyDescent="0.25">
      <c r="A143" s="115"/>
      <c r="B143" s="200"/>
      <c r="C143" s="330"/>
      <c r="D143" s="343"/>
      <c r="E143" s="328"/>
      <c r="F143" s="328"/>
      <c r="G143" s="328"/>
      <c r="H143" s="199" t="s">
        <v>459</v>
      </c>
      <c r="I143" s="130"/>
      <c r="J143" s="126"/>
      <c r="K143" s="126"/>
      <c r="L143" s="125" t="str">
        <f>IF(I143&lt;&gt;0,((VLOOKUP(I143,'1. Standard_Cost'!$B$4:$D$11,2)+VLOOKUP(I143,'1. Standard_Cost'!$B$4:$D$11,3))*J143*K143),"0")</f>
        <v>0</v>
      </c>
      <c r="M143" s="125">
        <f>L143*'1. Standard_Cost'!$F$4</f>
        <v>0</v>
      </c>
      <c r="N143" s="126"/>
      <c r="O143" s="126"/>
      <c r="P143" s="126"/>
      <c r="Q143" s="126"/>
      <c r="R143" s="127">
        <f>'1. Standard_Cost'!$B$15*N143*P143</f>
        <v>0</v>
      </c>
      <c r="S143" s="127">
        <f>N143*O143*P143*'1. Standard_Cost'!$C$15</f>
        <v>0</v>
      </c>
      <c r="T143" s="127">
        <f>N143*P143*Q143*'1. Standard_Cost'!$D$15</f>
        <v>0</v>
      </c>
      <c r="U143" s="127">
        <f>N143*O143*'1. Standard_Cost'!$E$15</f>
        <v>0</v>
      </c>
      <c r="V143" s="126"/>
      <c r="W143" s="126"/>
      <c r="X143" s="126"/>
      <c r="Y143" s="127">
        <f>+V143*((X143*'1. Standard_Cost'!$B$19)+(W143*X143*'1. Standard_Cost'!$C$19))</f>
        <v>0</v>
      </c>
      <c r="Z143" s="126"/>
      <c r="AA143" s="126"/>
      <c r="AB143" s="127">
        <f>+Z143*'1. Standard_Cost'!$B$23+AA143*'1. Standard_Cost'!$C$23</f>
        <v>0</v>
      </c>
      <c r="AC143" s="128"/>
      <c r="AD143" s="129"/>
      <c r="AE143" s="127">
        <f>SUM(AD143,AC143,AB143,Y143,U143,T143,S143,R143)*'1. Standard_Cost'!$B$31</f>
        <v>0</v>
      </c>
      <c r="AF143" s="127">
        <f t="shared" si="98"/>
        <v>0</v>
      </c>
      <c r="AG143" s="126"/>
      <c r="AH143" s="126"/>
      <c r="AI143" s="126"/>
      <c r="AJ143" s="130"/>
      <c r="AK143" s="130"/>
      <c r="AL143" s="130"/>
      <c r="AM143" s="127">
        <f>AG143*'1. Standard_Cost'!$B$27+'Incremental_Cost Year 2'!AH143*'1. Standard_Cost'!$C$27+'Incremental_Cost Year 2'!AI143*'1. Standard_Cost'!$D$27+'Incremental_Cost Year 2'!AJ143+'Incremental_Cost Year 2'!AL143+AK143</f>
        <v>0</v>
      </c>
      <c r="AN143" s="127">
        <f>AM143*'1. Standard_Cost'!$C$31</f>
        <v>0</v>
      </c>
      <c r="AO143" s="130"/>
      <c r="AQ143" s="171">
        <f t="shared" si="99"/>
        <v>0</v>
      </c>
      <c r="AR143" s="171">
        <f t="shared" si="100"/>
        <v>0</v>
      </c>
      <c r="AS143" s="171">
        <f t="shared" si="101"/>
        <v>0</v>
      </c>
      <c r="AT143" s="171">
        <f t="shared" si="102"/>
        <v>0</v>
      </c>
      <c r="AU143" s="250"/>
      <c r="AV143" s="250"/>
      <c r="AW143" s="250"/>
      <c r="AX143" s="250"/>
      <c r="AY143" s="250"/>
      <c r="AZ143" s="250"/>
      <c r="BA143" s="250"/>
      <c r="BB143" s="251">
        <f t="shared" si="103"/>
        <v>0</v>
      </c>
      <c r="BC143" s="169"/>
      <c r="BD143" s="169"/>
      <c r="BE143" s="169"/>
      <c r="BF143" s="169"/>
    </row>
    <row r="144" spans="1:58" ht="47.25" outlineLevel="2" x14ac:dyDescent="0.25">
      <c r="A144" s="115"/>
      <c r="B144" s="200"/>
      <c r="C144" s="330"/>
      <c r="D144" s="343"/>
      <c r="E144" s="328"/>
      <c r="F144" s="328"/>
      <c r="G144" s="328"/>
      <c r="H144" s="199" t="s">
        <v>460</v>
      </c>
      <c r="I144" s="130"/>
      <c r="J144" s="126"/>
      <c r="K144" s="126"/>
      <c r="L144" s="125" t="str">
        <f>IF(I144&lt;&gt;0,((VLOOKUP(I144,'1. Standard_Cost'!$B$4:$D$11,2)+VLOOKUP(I144,'1. Standard_Cost'!$B$4:$D$11,3))*J144*K144),"0")</f>
        <v>0</v>
      </c>
      <c r="M144" s="125">
        <f>L144*'1. Standard_Cost'!$F$4</f>
        <v>0</v>
      </c>
      <c r="N144" s="126"/>
      <c r="O144" s="126"/>
      <c r="P144" s="126"/>
      <c r="Q144" s="126"/>
      <c r="R144" s="127">
        <f>'1. Standard_Cost'!$B$15*N144*P144</f>
        <v>0</v>
      </c>
      <c r="S144" s="127">
        <f>N144*O144*P144*'1. Standard_Cost'!$C$15</f>
        <v>0</v>
      </c>
      <c r="T144" s="127">
        <f>N144*P144*Q144*'1. Standard_Cost'!$D$15</f>
        <v>0</v>
      </c>
      <c r="U144" s="127">
        <f>N144*O144*'1. Standard_Cost'!$E$15</f>
        <v>0</v>
      </c>
      <c r="V144" s="126"/>
      <c r="W144" s="126"/>
      <c r="X144" s="126"/>
      <c r="Y144" s="127">
        <f>+V144*((X144*'1. Standard_Cost'!$B$19)+(W144*X144*'1. Standard_Cost'!$C$19))</f>
        <v>0</v>
      </c>
      <c r="Z144" s="126"/>
      <c r="AA144" s="126"/>
      <c r="AB144" s="127">
        <f>+Z144*'1. Standard_Cost'!$B$23+AA144*'1. Standard_Cost'!$C$23</f>
        <v>0</v>
      </c>
      <c r="AC144" s="128"/>
      <c r="AD144" s="129"/>
      <c r="AE144" s="127">
        <f>SUM(AD144,AC144,AB144,Y144,U144,T144,S144,R144)*'1. Standard_Cost'!$B$31</f>
        <v>0</v>
      </c>
      <c r="AF144" s="127">
        <f t="shared" si="98"/>
        <v>0</v>
      </c>
      <c r="AG144" s="126"/>
      <c r="AH144" s="126"/>
      <c r="AI144" s="126"/>
      <c r="AJ144" s="130"/>
      <c r="AK144" s="130"/>
      <c r="AL144" s="130"/>
      <c r="AM144" s="127">
        <f>AG144*'1. Standard_Cost'!$B$27+'Incremental_Cost Year 2'!AH144*'1. Standard_Cost'!$C$27+'Incremental_Cost Year 2'!AI144*'1. Standard_Cost'!$D$27+'Incremental_Cost Year 2'!AJ144+'Incremental_Cost Year 2'!AL144+AK144</f>
        <v>0</v>
      </c>
      <c r="AN144" s="127">
        <f>AM144*'1. Standard_Cost'!$C$31</f>
        <v>0</v>
      </c>
      <c r="AO144" s="130"/>
      <c r="AQ144" s="171">
        <f t="shared" si="99"/>
        <v>0</v>
      </c>
      <c r="AR144" s="171">
        <f t="shared" si="100"/>
        <v>0</v>
      </c>
      <c r="AS144" s="171">
        <f t="shared" si="101"/>
        <v>0</v>
      </c>
      <c r="AT144" s="171">
        <f t="shared" si="102"/>
        <v>0</v>
      </c>
      <c r="AU144" s="250"/>
      <c r="AV144" s="250"/>
      <c r="AW144" s="250"/>
      <c r="AX144" s="250"/>
      <c r="AY144" s="250"/>
      <c r="AZ144" s="250"/>
      <c r="BA144" s="250"/>
      <c r="BB144" s="251">
        <f t="shared" si="103"/>
        <v>0</v>
      </c>
      <c r="BC144" s="169"/>
      <c r="BD144" s="169"/>
      <c r="BE144" s="169"/>
      <c r="BF144" s="169"/>
    </row>
    <row r="145" spans="1:58" ht="94.5" outlineLevel="2" x14ac:dyDescent="0.25">
      <c r="A145" s="115"/>
      <c r="B145" s="200"/>
      <c r="C145" s="330"/>
      <c r="D145" s="343"/>
      <c r="E145" s="328"/>
      <c r="F145" s="328"/>
      <c r="G145" s="328"/>
      <c r="H145" s="199" t="s">
        <v>461</v>
      </c>
      <c r="I145" s="130"/>
      <c r="J145" s="126"/>
      <c r="K145" s="126"/>
      <c r="L145" s="125" t="str">
        <f>IF(I145&lt;&gt;0,((VLOOKUP(I145,'1. Standard_Cost'!$B$4:$D$11,2)+VLOOKUP(I145,'1. Standard_Cost'!$B$4:$D$11,3))*J145*K145),"0")</f>
        <v>0</v>
      </c>
      <c r="M145" s="125">
        <f>L145*'1. Standard_Cost'!$F$4</f>
        <v>0</v>
      </c>
      <c r="N145" s="126"/>
      <c r="O145" s="126"/>
      <c r="P145" s="126"/>
      <c r="Q145" s="126"/>
      <c r="R145" s="127">
        <f>'1. Standard_Cost'!$B$15*N145*P145</f>
        <v>0</v>
      </c>
      <c r="S145" s="127">
        <f>N145*O145*P145*'1. Standard_Cost'!$C$15</f>
        <v>0</v>
      </c>
      <c r="T145" s="127">
        <f>N145*P145*Q145*'1. Standard_Cost'!$D$15</f>
        <v>0</v>
      </c>
      <c r="U145" s="127">
        <f>N145*O145*'1. Standard_Cost'!$E$15</f>
        <v>0</v>
      </c>
      <c r="V145" s="126"/>
      <c r="W145" s="126"/>
      <c r="X145" s="126"/>
      <c r="Y145" s="127">
        <f>+V145*((X145*'1. Standard_Cost'!$B$19)+(W145*X145*'1. Standard_Cost'!$C$19))</f>
        <v>0</v>
      </c>
      <c r="Z145" s="126"/>
      <c r="AA145" s="126"/>
      <c r="AB145" s="127">
        <f>+Z145*'1. Standard_Cost'!$B$23+AA145*'1. Standard_Cost'!$C$23</f>
        <v>0</v>
      </c>
      <c r="AC145" s="128"/>
      <c r="AD145" s="129"/>
      <c r="AE145" s="127">
        <f>SUM(AD145,AC145,AB145,Y145,U145,T145,S145,R145)*'1. Standard_Cost'!$B$31</f>
        <v>0</v>
      </c>
      <c r="AF145" s="127">
        <f t="shared" si="98"/>
        <v>0</v>
      </c>
      <c r="AG145" s="126"/>
      <c r="AH145" s="126"/>
      <c r="AI145" s="126"/>
      <c r="AJ145" s="130"/>
      <c r="AK145" s="130"/>
      <c r="AL145" s="130"/>
      <c r="AM145" s="127">
        <f>AG145*'1. Standard_Cost'!$B$27+'Incremental_Cost Year 2'!AH145*'1. Standard_Cost'!$C$27+'Incremental_Cost Year 2'!AI145*'1. Standard_Cost'!$D$27+'Incremental_Cost Year 2'!AJ145+'Incremental_Cost Year 2'!AL145+AK145</f>
        <v>0</v>
      </c>
      <c r="AN145" s="127">
        <f>AM145*'1. Standard_Cost'!$C$31</f>
        <v>0</v>
      </c>
      <c r="AO145" s="130"/>
      <c r="AQ145" s="171">
        <f t="shared" si="99"/>
        <v>0</v>
      </c>
      <c r="AR145" s="171">
        <f t="shared" si="100"/>
        <v>0</v>
      </c>
      <c r="AS145" s="171">
        <f t="shared" si="101"/>
        <v>0</v>
      </c>
      <c r="AT145" s="171">
        <f t="shared" si="102"/>
        <v>0</v>
      </c>
      <c r="AU145" s="250"/>
      <c r="AV145" s="250"/>
      <c r="AW145" s="250"/>
      <c r="AX145" s="250"/>
      <c r="AY145" s="250"/>
      <c r="AZ145" s="250"/>
      <c r="BA145" s="250"/>
      <c r="BB145" s="251">
        <f t="shared" si="103"/>
        <v>0</v>
      </c>
      <c r="BC145" s="169"/>
      <c r="BD145" s="169"/>
      <c r="BE145" s="169"/>
      <c r="BF145" s="169"/>
    </row>
    <row r="146" spans="1:58" ht="173.25" outlineLevel="2" x14ac:dyDescent="0.25">
      <c r="A146" s="115"/>
      <c r="B146" s="200"/>
      <c r="C146" s="330"/>
      <c r="D146" s="343"/>
      <c r="E146" s="328"/>
      <c r="F146" s="328"/>
      <c r="G146" s="328"/>
      <c r="H146" s="199" t="s">
        <v>462</v>
      </c>
      <c r="I146" s="130"/>
      <c r="J146" s="126"/>
      <c r="K146" s="126"/>
      <c r="L146" s="125" t="str">
        <f>IF(I146&lt;&gt;0,((VLOOKUP(I146,'1. Standard_Cost'!$B$4:$D$11,2)+VLOOKUP(I146,'1. Standard_Cost'!$B$4:$D$11,3))*J146*K146),"0")</f>
        <v>0</v>
      </c>
      <c r="M146" s="125">
        <f>L146*'1. Standard_Cost'!$F$4</f>
        <v>0</v>
      </c>
      <c r="N146" s="126"/>
      <c r="O146" s="126"/>
      <c r="P146" s="126"/>
      <c r="Q146" s="126"/>
      <c r="R146" s="127">
        <f>'1. Standard_Cost'!$B$15*N146*P146</f>
        <v>0</v>
      </c>
      <c r="S146" s="127">
        <f>N146*O146*P146*'1. Standard_Cost'!$C$15</f>
        <v>0</v>
      </c>
      <c r="T146" s="127">
        <f>N146*P146*Q146*'1. Standard_Cost'!$D$15</f>
        <v>0</v>
      </c>
      <c r="U146" s="127">
        <f>N146*O146*'1. Standard_Cost'!$E$15</f>
        <v>0</v>
      </c>
      <c r="V146" s="126"/>
      <c r="W146" s="126"/>
      <c r="X146" s="126"/>
      <c r="Y146" s="127">
        <f>+V146*((X146*'1. Standard_Cost'!$B$19)+(W146*X146*'1. Standard_Cost'!$C$19))</f>
        <v>0</v>
      </c>
      <c r="Z146" s="126"/>
      <c r="AA146" s="126"/>
      <c r="AB146" s="127">
        <f>+Z146*'1. Standard_Cost'!$B$23+AA146*'1. Standard_Cost'!$C$23</f>
        <v>0</v>
      </c>
      <c r="AC146" s="128"/>
      <c r="AD146" s="129"/>
      <c r="AE146" s="127">
        <f>SUM(AD146,AC146,AB146,Y146,U146,T146,S146,R146)*'1. Standard_Cost'!$B$31</f>
        <v>0</v>
      </c>
      <c r="AF146" s="127">
        <f t="shared" si="98"/>
        <v>0</v>
      </c>
      <c r="AG146" s="126"/>
      <c r="AH146" s="126"/>
      <c r="AI146" s="126"/>
      <c r="AJ146" s="130"/>
      <c r="AK146" s="130"/>
      <c r="AL146" s="130"/>
      <c r="AM146" s="127">
        <f>AG146*'1. Standard_Cost'!$B$27+'Incremental_Cost Year 2'!AH146*'1. Standard_Cost'!$C$27+'Incremental_Cost Year 2'!AI146*'1. Standard_Cost'!$D$27+'Incremental_Cost Year 2'!AJ146+'Incremental_Cost Year 2'!AL146+AK146</f>
        <v>0</v>
      </c>
      <c r="AN146" s="127">
        <f>AM146*'1. Standard_Cost'!$C$31</f>
        <v>0</v>
      </c>
      <c r="AO146" s="130"/>
      <c r="AQ146" s="171">
        <f t="shared" si="99"/>
        <v>0</v>
      </c>
      <c r="AR146" s="171">
        <f t="shared" si="100"/>
        <v>0</v>
      </c>
      <c r="AS146" s="171">
        <f t="shared" si="101"/>
        <v>0</v>
      </c>
      <c r="AT146" s="171">
        <f t="shared" si="102"/>
        <v>0</v>
      </c>
      <c r="AU146" s="250"/>
      <c r="AV146" s="250"/>
      <c r="AW146" s="250"/>
      <c r="AX146" s="250"/>
      <c r="AY146" s="250"/>
      <c r="AZ146" s="250"/>
      <c r="BA146" s="250"/>
      <c r="BB146" s="251">
        <f t="shared" si="103"/>
        <v>0</v>
      </c>
      <c r="BC146" s="169"/>
      <c r="BD146" s="169"/>
      <c r="BE146" s="169"/>
      <c r="BF146" s="169"/>
    </row>
    <row r="147" spans="1:58" ht="94.5" outlineLevel="2" x14ac:dyDescent="0.25">
      <c r="A147" s="115"/>
      <c r="B147" s="200"/>
      <c r="C147" s="330"/>
      <c r="D147" s="343"/>
      <c r="E147" s="328"/>
      <c r="F147" s="328"/>
      <c r="G147" s="328"/>
      <c r="H147" s="199" t="s">
        <v>295</v>
      </c>
      <c r="I147" s="130"/>
      <c r="J147" s="126"/>
      <c r="K147" s="126"/>
      <c r="L147" s="125" t="str">
        <f>IF(I147&lt;&gt;0,((VLOOKUP(I147,'1. Standard_Cost'!$B$4:$D$11,2)+VLOOKUP(I147,'1. Standard_Cost'!$B$4:$D$11,3))*J147*K147),"0")</f>
        <v>0</v>
      </c>
      <c r="M147" s="125">
        <f>L147*'1. Standard_Cost'!$F$4</f>
        <v>0</v>
      </c>
      <c r="N147" s="126"/>
      <c r="O147" s="126"/>
      <c r="P147" s="126"/>
      <c r="Q147" s="126"/>
      <c r="R147" s="127">
        <f>'1. Standard_Cost'!$B$15*N147*P147</f>
        <v>0</v>
      </c>
      <c r="S147" s="127">
        <f>N147*O147*P147*'1. Standard_Cost'!$C$15</f>
        <v>0</v>
      </c>
      <c r="T147" s="127">
        <f>N147*P147*Q147*'1. Standard_Cost'!$D$15</f>
        <v>0</v>
      </c>
      <c r="U147" s="127">
        <f>N147*O147*'1. Standard_Cost'!$E$15</f>
        <v>0</v>
      </c>
      <c r="V147" s="126"/>
      <c r="W147" s="126"/>
      <c r="X147" s="126"/>
      <c r="Y147" s="127">
        <f>+V147*((X147*'1. Standard_Cost'!$B$19)+(W147*X147*'1. Standard_Cost'!$C$19))</f>
        <v>0</v>
      </c>
      <c r="Z147" s="126"/>
      <c r="AA147" s="126"/>
      <c r="AB147" s="127">
        <f>+Z147*'1. Standard_Cost'!$B$23+AA147*'1. Standard_Cost'!$C$23</f>
        <v>0</v>
      </c>
      <c r="AC147" s="128"/>
      <c r="AD147" s="129"/>
      <c r="AE147" s="127">
        <f>SUM(AD147,AC147,AB147,Y147,U147,T147,S147,R147)*'1. Standard_Cost'!$B$31</f>
        <v>0</v>
      </c>
      <c r="AF147" s="127">
        <f t="shared" si="98"/>
        <v>0</v>
      </c>
      <c r="AG147" s="126"/>
      <c r="AH147" s="126"/>
      <c r="AI147" s="126"/>
      <c r="AJ147" s="130"/>
      <c r="AK147" s="130"/>
      <c r="AL147" s="130"/>
      <c r="AM147" s="127">
        <f>AG147*'1. Standard_Cost'!$B$27+'Incremental_Cost Year 2'!AH147*'1. Standard_Cost'!$C$27+'Incremental_Cost Year 2'!AI147*'1. Standard_Cost'!$D$27+'Incremental_Cost Year 2'!AJ147+'Incremental_Cost Year 2'!AL147+AK147</f>
        <v>0</v>
      </c>
      <c r="AN147" s="127">
        <f>AM147*'1. Standard_Cost'!$C$31</f>
        <v>0</v>
      </c>
      <c r="AO147" s="130"/>
      <c r="AQ147" s="171">
        <f t="shared" si="99"/>
        <v>0</v>
      </c>
      <c r="AR147" s="171">
        <f t="shared" si="100"/>
        <v>0</v>
      </c>
      <c r="AS147" s="171">
        <f t="shared" si="101"/>
        <v>0</v>
      </c>
      <c r="AT147" s="171">
        <f t="shared" si="102"/>
        <v>0</v>
      </c>
      <c r="AU147" s="250"/>
      <c r="AV147" s="250"/>
      <c r="AW147" s="250"/>
      <c r="AX147" s="250"/>
      <c r="AY147" s="250"/>
      <c r="AZ147" s="250"/>
      <c r="BA147" s="250"/>
      <c r="BB147" s="251">
        <f t="shared" si="103"/>
        <v>0</v>
      </c>
      <c r="BC147" s="169"/>
      <c r="BD147" s="169"/>
      <c r="BE147" s="169"/>
      <c r="BF147" s="169"/>
    </row>
    <row r="148" spans="1:58" ht="126" outlineLevel="2" x14ac:dyDescent="0.25">
      <c r="A148" s="115"/>
      <c r="B148" s="147"/>
      <c r="C148" s="341"/>
      <c r="D148" s="343"/>
      <c r="E148" s="328"/>
      <c r="F148" s="328"/>
      <c r="G148" s="328"/>
      <c r="H148" s="199" t="s">
        <v>463</v>
      </c>
      <c r="I148" s="130"/>
      <c r="J148" s="126"/>
      <c r="K148" s="126"/>
      <c r="L148" s="125" t="str">
        <f>IF(I148&lt;&gt;0,((VLOOKUP(I148,'1. Standard_Cost'!$B$4:$D$11,2)+VLOOKUP(I148,'1. Standard_Cost'!$B$4:$D$11,3))*J148*K148),"0")</f>
        <v>0</v>
      </c>
      <c r="M148" s="125">
        <f>L148*'1. Standard_Cost'!$F$4</f>
        <v>0</v>
      </c>
      <c r="N148" s="126"/>
      <c r="O148" s="126"/>
      <c r="P148" s="126"/>
      <c r="Q148" s="126"/>
      <c r="R148" s="127">
        <f>'1. Standard_Cost'!$B$15*N148*P148</f>
        <v>0</v>
      </c>
      <c r="S148" s="127">
        <f>N148*O148*P148*'1. Standard_Cost'!$C$15</f>
        <v>0</v>
      </c>
      <c r="T148" s="127">
        <f>N148*P148*Q148*'1. Standard_Cost'!$D$15</f>
        <v>0</v>
      </c>
      <c r="U148" s="127">
        <f>N148*O148*'1. Standard_Cost'!$E$15</f>
        <v>0</v>
      </c>
      <c r="V148" s="126"/>
      <c r="W148" s="126"/>
      <c r="X148" s="126"/>
      <c r="Y148" s="127">
        <f>+V148*((X148*'1. Standard_Cost'!$B$19)+(W148*X148*'1. Standard_Cost'!$C$19))</f>
        <v>0</v>
      </c>
      <c r="Z148" s="126"/>
      <c r="AA148" s="126"/>
      <c r="AB148" s="127">
        <f>+Z148*'1. Standard_Cost'!$B$23+AA148*'1. Standard_Cost'!$C$23</f>
        <v>0</v>
      </c>
      <c r="AC148" s="128"/>
      <c r="AD148" s="129"/>
      <c r="AE148" s="127">
        <f>SUM(AD148,AC148,AB148,Y148,U148,T148,S148,R148)*'1. Standard_Cost'!$B$31</f>
        <v>0</v>
      </c>
      <c r="AF148" s="127">
        <f t="shared" si="98"/>
        <v>0</v>
      </c>
      <c r="AG148" s="126"/>
      <c r="AH148" s="126"/>
      <c r="AI148" s="126"/>
      <c r="AJ148" s="130"/>
      <c r="AK148" s="130"/>
      <c r="AL148" s="130"/>
      <c r="AM148" s="127">
        <f>AG148*'1. Standard_Cost'!$B$27+'Incremental_Cost Year 2'!AH148*'1. Standard_Cost'!$C$27+'Incremental_Cost Year 2'!AI148*'1. Standard_Cost'!$D$27+'Incremental_Cost Year 2'!AJ148+'Incremental_Cost Year 2'!AL148+AK148</f>
        <v>0</v>
      </c>
      <c r="AN148" s="127">
        <f>AM148*'1. Standard_Cost'!$C$31</f>
        <v>0</v>
      </c>
      <c r="AO148" s="130"/>
      <c r="AQ148" s="171">
        <f t="shared" si="99"/>
        <v>0</v>
      </c>
      <c r="AR148" s="171">
        <f t="shared" si="100"/>
        <v>0</v>
      </c>
      <c r="AS148" s="171">
        <f t="shared" si="101"/>
        <v>0</v>
      </c>
      <c r="AT148" s="171">
        <f t="shared" si="102"/>
        <v>0</v>
      </c>
      <c r="AU148" s="250"/>
      <c r="AV148" s="250"/>
      <c r="AW148" s="250"/>
      <c r="AX148" s="250"/>
      <c r="AY148" s="250"/>
      <c r="AZ148" s="250"/>
      <c r="BA148" s="250"/>
      <c r="BB148" s="251">
        <f t="shared" si="103"/>
        <v>0</v>
      </c>
      <c r="BC148" s="169"/>
      <c r="BD148" s="169"/>
      <c r="BE148" s="169"/>
      <c r="BF148" s="169"/>
    </row>
    <row r="149" spans="1:58" ht="141.75" outlineLevel="1" x14ac:dyDescent="0.25">
      <c r="A149" s="115"/>
      <c r="B149" s="165"/>
      <c r="C149" s="166"/>
      <c r="D149" s="228" t="s">
        <v>464</v>
      </c>
      <c r="E149" s="345" t="s">
        <v>296</v>
      </c>
      <c r="F149" s="136">
        <v>2024</v>
      </c>
      <c r="G149" s="117">
        <v>2030</v>
      </c>
      <c r="H149" s="110" t="s">
        <v>297</v>
      </c>
      <c r="I149" s="252"/>
      <c r="J149" s="252"/>
      <c r="K149" s="252"/>
      <c r="L149" s="127">
        <f>SUM(L141:L148)</f>
        <v>0</v>
      </c>
      <c r="M149" s="127">
        <f>SUM(M141:M148)</f>
        <v>0</v>
      </c>
      <c r="N149" s="127"/>
      <c r="O149" s="252"/>
      <c r="P149" s="252"/>
      <c r="Q149" s="252"/>
      <c r="R149" s="127">
        <f>SUM(R141:R148)</f>
        <v>0</v>
      </c>
      <c r="S149" s="127">
        <f>SUM(S141:S148)</f>
        <v>0</v>
      </c>
      <c r="T149" s="127">
        <f>SUM(T141:T148)</f>
        <v>0</v>
      </c>
      <c r="U149" s="127">
        <f>SUM(U141:U148)</f>
        <v>0</v>
      </c>
      <c r="V149" s="252"/>
      <c r="W149" s="252"/>
      <c r="X149" s="252"/>
      <c r="Y149" s="127">
        <f>SUM(Y141:Y148)</f>
        <v>0</v>
      </c>
      <c r="Z149" s="252"/>
      <c r="AA149" s="252"/>
      <c r="AB149" s="127">
        <f>SUM(AB141:AB148)</f>
        <v>0</v>
      </c>
      <c r="AC149" s="127">
        <f>SUM(AC141:AC148)</f>
        <v>0</v>
      </c>
      <c r="AD149" s="127">
        <f>SUM(AD141:AD148)</f>
        <v>0</v>
      </c>
      <c r="AE149" s="127">
        <f>SUM(AE141:AE148)</f>
        <v>0</v>
      </c>
      <c r="AF149" s="127">
        <f>SUM(AF141:AF148)</f>
        <v>0</v>
      </c>
      <c r="AG149" s="252"/>
      <c r="AH149" s="252"/>
      <c r="AI149" s="252"/>
      <c r="AJ149" s="127">
        <f>SUM(AJ141:AJ148)</f>
        <v>0</v>
      </c>
      <c r="AK149" s="127">
        <f>SUM(AK141:AK148)</f>
        <v>0</v>
      </c>
      <c r="AL149" s="127">
        <f>SUM(AL141:AL148)</f>
        <v>0</v>
      </c>
      <c r="AM149" s="127">
        <f>SUM(AM141:AM148)</f>
        <v>0</v>
      </c>
      <c r="AN149" s="127">
        <f>SUM(AN141:AN148)</f>
        <v>0</v>
      </c>
      <c r="AO149" s="253"/>
      <c r="AP149" s="254"/>
      <c r="AQ149" s="175">
        <f>SUM(AQ141:AQ148)</f>
        <v>0</v>
      </c>
      <c r="AR149" s="175">
        <f>SUM(AR141:AR148)</f>
        <v>0</v>
      </c>
      <c r="AS149" s="175">
        <f>SUM(AS141:AS148)</f>
        <v>0</v>
      </c>
      <c r="AT149" s="175">
        <f>SUM(AT141:AT148)</f>
        <v>0</v>
      </c>
      <c r="AU149" s="175">
        <f t="shared" ref="AU149:BB149" si="104">SUM(AU141:AU148)</f>
        <v>0</v>
      </c>
      <c r="AV149" s="175">
        <f t="shared" si="104"/>
        <v>0</v>
      </c>
      <c r="AW149" s="175">
        <f>SUM(AW141:AW148)</f>
        <v>0</v>
      </c>
      <c r="AX149" s="175">
        <f t="shared" si="104"/>
        <v>0</v>
      </c>
      <c r="AY149" s="175">
        <f t="shared" si="104"/>
        <v>0</v>
      </c>
      <c r="AZ149" s="175">
        <f t="shared" si="104"/>
        <v>0</v>
      </c>
      <c r="BA149" s="175">
        <f t="shared" si="104"/>
        <v>0</v>
      </c>
      <c r="BB149" s="175">
        <f t="shared" si="104"/>
        <v>0</v>
      </c>
      <c r="BC149" s="169"/>
      <c r="BD149" s="169"/>
      <c r="BE149" s="169"/>
      <c r="BF149" s="169"/>
    </row>
    <row r="150" spans="1:58" s="170" customFormat="1" ht="15.75" customHeight="1" x14ac:dyDescent="0.25">
      <c r="A150" s="120"/>
      <c r="B150" s="388" t="s">
        <v>231</v>
      </c>
      <c r="C150" s="393"/>
      <c r="D150" s="393"/>
      <c r="E150" s="394"/>
      <c r="F150" s="339"/>
      <c r="G150" s="339"/>
      <c r="H150" s="148" t="s">
        <v>166</v>
      </c>
      <c r="I150" s="265"/>
      <c r="J150" s="243"/>
      <c r="K150" s="243"/>
      <c r="L150" s="243">
        <f>L151+L163+L182</f>
        <v>10390902980</v>
      </c>
      <c r="M150" s="243">
        <f>M151+M163+M182</f>
        <v>1735280797.6600001</v>
      </c>
      <c r="N150" s="243"/>
      <c r="O150" s="243"/>
      <c r="P150" s="243"/>
      <c r="Q150" s="243"/>
      <c r="R150" s="243">
        <f>R151+R163+R182</f>
        <v>710000</v>
      </c>
      <c r="S150" s="243">
        <f>S151+S163+S182</f>
        <v>532500</v>
      </c>
      <c r="T150" s="243">
        <f>T151+T163+T182</f>
        <v>0</v>
      </c>
      <c r="U150" s="243">
        <f>U151+U163+U182</f>
        <v>640000</v>
      </c>
      <c r="V150" s="243"/>
      <c r="W150" s="243"/>
      <c r="X150" s="243"/>
      <c r="Y150" s="243"/>
      <c r="Z150" s="243">
        <v>0</v>
      </c>
      <c r="AA150" s="243"/>
      <c r="AB150" s="243">
        <f>AB151+AB163+AB182</f>
        <v>6574000</v>
      </c>
      <c r="AC150" s="243">
        <f>AC151+AC163+AC182</f>
        <v>13166998755</v>
      </c>
      <c r="AD150" s="243">
        <f>AD151+AD163+AD182</f>
        <v>0</v>
      </c>
      <c r="AE150" s="243">
        <f>AE151+AE163+AE182</f>
        <v>1643952851</v>
      </c>
      <c r="AF150" s="243">
        <f>AF151+AF163+AF182</f>
        <v>14819658106</v>
      </c>
      <c r="AG150" s="243"/>
      <c r="AH150" s="243"/>
      <c r="AI150" s="243"/>
      <c r="AJ150" s="243">
        <f>AJ151+AJ163+AJ182</f>
        <v>1442549000</v>
      </c>
      <c r="AK150" s="243">
        <f>AK151+AK163+AK182</f>
        <v>0</v>
      </c>
      <c r="AL150" s="243">
        <f>AL151+AL163+AL182</f>
        <v>341819000</v>
      </c>
      <c r="AM150" s="243">
        <f>AM151+AM163+AM182</f>
        <v>1784368000</v>
      </c>
      <c r="AN150" s="243">
        <f>AN151+AN163+AN182</f>
        <v>252713850</v>
      </c>
      <c r="AO150" s="243"/>
      <c r="AP150" s="244"/>
      <c r="AQ150" s="243">
        <f>AQ151+AQ163+AQ182</f>
        <v>12126183777.660002</v>
      </c>
      <c r="AR150" s="243">
        <f>AR151+AR163+AR182</f>
        <v>14819658106</v>
      </c>
      <c r="AS150" s="243">
        <f>AS151+AS163+AS182</f>
        <v>2037081850</v>
      </c>
      <c r="AT150" s="243">
        <f>AT151+AT163+AT182</f>
        <v>28982923733.66</v>
      </c>
      <c r="AU150" s="243">
        <f t="shared" ref="AU150:BB150" si="105">AU151+AU163+AU182</f>
        <v>28126106607.599998</v>
      </c>
      <c r="AV150" s="243">
        <f t="shared" si="105"/>
        <v>115000000</v>
      </c>
      <c r="AW150" s="243">
        <f>AW151+AW163+AW182</f>
        <v>272000000</v>
      </c>
      <c r="AX150" s="243">
        <f t="shared" si="105"/>
        <v>0</v>
      </c>
      <c r="AY150" s="243">
        <f t="shared" si="105"/>
        <v>0</v>
      </c>
      <c r="AZ150" s="243">
        <f t="shared" si="105"/>
        <v>212700000</v>
      </c>
      <c r="BA150" s="243">
        <f t="shared" si="105"/>
        <v>0</v>
      </c>
      <c r="BB150" s="243">
        <f t="shared" si="105"/>
        <v>-257117126.05999848</v>
      </c>
    </row>
    <row r="151" spans="1:58" s="184" customFormat="1" ht="15.75" customHeight="1" x14ac:dyDescent="0.25">
      <c r="A151" s="143"/>
      <c r="B151" s="290"/>
      <c r="C151" s="391" t="s">
        <v>232</v>
      </c>
      <c r="D151" s="391"/>
      <c r="E151" s="392"/>
      <c r="F151" s="287"/>
      <c r="G151" s="289"/>
      <c r="H151" s="149" t="s">
        <v>167</v>
      </c>
      <c r="I151" s="257"/>
      <c r="J151" s="257"/>
      <c r="K151" s="257"/>
      <c r="L151" s="258">
        <f>L156+L159+L162</f>
        <v>11413000</v>
      </c>
      <c r="M151" s="258">
        <f>M156+M159+M162</f>
        <v>1905971.0000000002</v>
      </c>
      <c r="N151" s="257"/>
      <c r="O151" s="257"/>
      <c r="P151" s="257"/>
      <c r="Q151" s="257"/>
      <c r="R151" s="258">
        <f>R156+R159+R162</f>
        <v>550000</v>
      </c>
      <c r="S151" s="258">
        <f>S156+S159+S162</f>
        <v>412500</v>
      </c>
      <c r="T151" s="258">
        <f>T156+T159+T162</f>
        <v>0</v>
      </c>
      <c r="U151" s="258">
        <f>U156+U159+U162</f>
        <v>440000</v>
      </c>
      <c r="V151" s="257"/>
      <c r="W151" s="257"/>
      <c r="X151" s="257"/>
      <c r="Y151" s="258"/>
      <c r="Z151" s="258">
        <v>0</v>
      </c>
      <c r="AA151" s="257"/>
      <c r="AB151" s="258">
        <f>AB156+AB159+AB162</f>
        <v>2774000</v>
      </c>
      <c r="AC151" s="258">
        <f>AC156+AC159+AC162</f>
        <v>17870000</v>
      </c>
      <c r="AD151" s="258">
        <f>AD156+AD159+AD162</f>
        <v>0</v>
      </c>
      <c r="AE151" s="258">
        <f>AE156+AE159+AE162</f>
        <v>869300</v>
      </c>
      <c r="AF151" s="258">
        <f>AF156+AF159+AF162</f>
        <v>22915800</v>
      </c>
      <c r="AG151" s="257"/>
      <c r="AH151" s="257"/>
      <c r="AI151" s="257"/>
      <c r="AJ151" s="258">
        <f>AJ156+AJ159+AJ162</f>
        <v>295052000</v>
      </c>
      <c r="AK151" s="258">
        <f>AK156+AK159+AK162</f>
        <v>0</v>
      </c>
      <c r="AL151" s="258">
        <f>AL156+AL159+AL162</f>
        <v>109609000</v>
      </c>
      <c r="AM151" s="258">
        <f>AM156+AM159+AM162</f>
        <v>404661000</v>
      </c>
      <c r="AN151" s="258">
        <f>AN156+AN159+AN162</f>
        <v>45757800</v>
      </c>
      <c r="AO151" s="259"/>
      <c r="AP151" s="260"/>
      <c r="AQ151" s="258">
        <f>AQ156+AQ159+AQ162</f>
        <v>13318971</v>
      </c>
      <c r="AR151" s="258">
        <f>AR156+AR159+AR162</f>
        <v>22915800</v>
      </c>
      <c r="AS151" s="258">
        <f>AS156+AS159+AS162</f>
        <v>450418800</v>
      </c>
      <c r="AT151" s="258">
        <f>AT156+AT159+AT162</f>
        <v>486653571</v>
      </c>
      <c r="AU151" s="258">
        <f t="shared" ref="AU151:BB151" si="106">AU156+AU159+AU162</f>
        <v>233051943.40000001</v>
      </c>
      <c r="AV151" s="258">
        <f t="shared" si="106"/>
        <v>0</v>
      </c>
      <c r="AW151" s="258">
        <f>AW156+AW159+AW162</f>
        <v>0</v>
      </c>
      <c r="AX151" s="258">
        <f t="shared" si="106"/>
        <v>0</v>
      </c>
      <c r="AY151" s="258">
        <f t="shared" si="106"/>
        <v>0</v>
      </c>
      <c r="AZ151" s="258">
        <f t="shared" si="106"/>
        <v>202700000</v>
      </c>
      <c r="BA151" s="258">
        <f t="shared" si="106"/>
        <v>0</v>
      </c>
      <c r="BB151" s="258">
        <f t="shared" si="106"/>
        <v>-50901627.600000001</v>
      </c>
    </row>
    <row r="152" spans="1:58" ht="47.25" outlineLevel="2" x14ac:dyDescent="0.25">
      <c r="A152" s="115"/>
      <c r="B152" s="200"/>
      <c r="C152" s="201"/>
      <c r="D152" s="202"/>
      <c r="E152" s="294"/>
      <c r="F152" s="306"/>
      <c r="G152" s="307"/>
      <c r="H152" s="199" t="s">
        <v>465</v>
      </c>
      <c r="I152" s="130"/>
      <c r="J152" s="126"/>
      <c r="K152" s="126"/>
      <c r="L152" s="125" t="str">
        <f>IF(I152&lt;&gt;0,((VLOOKUP(I152,'1. Standard_Cost'!$B$4:$D$11,2)+VLOOKUP(I152,'1. Standard_Cost'!$B$4:$D$11,3))*J152*K152),"0")</f>
        <v>0</v>
      </c>
      <c r="M152" s="125">
        <f>L152*'1. Standard_Cost'!$F$4</f>
        <v>0</v>
      </c>
      <c r="N152" s="126"/>
      <c r="O152" s="126"/>
      <c r="P152" s="126"/>
      <c r="Q152" s="126"/>
      <c r="R152" s="127">
        <f>'1. Standard_Cost'!$B$15*N152*P152</f>
        <v>0</v>
      </c>
      <c r="S152" s="127">
        <f>N152*O152*P152*'1. Standard_Cost'!$C$15</f>
        <v>0</v>
      </c>
      <c r="T152" s="127">
        <f>N152*P152*Q152*'1. Standard_Cost'!$D$15</f>
        <v>0</v>
      </c>
      <c r="U152" s="127">
        <f>N152*O152*'1. Standard_Cost'!$E$15</f>
        <v>0</v>
      </c>
      <c r="V152" s="126"/>
      <c r="W152" s="126"/>
      <c r="X152" s="126"/>
      <c r="Y152" s="127">
        <f>+V152*((X152*'1. Standard_Cost'!$B$19)+(W152*X152*'1. Standard_Cost'!$C$19))</f>
        <v>0</v>
      </c>
      <c r="Z152" s="126"/>
      <c r="AA152" s="126"/>
      <c r="AB152" s="127">
        <f>+Z152*'1. Standard_Cost'!$B$23+AA152*'1. Standard_Cost'!$C$23</f>
        <v>0</v>
      </c>
      <c r="AC152" s="128"/>
      <c r="AD152" s="129"/>
      <c r="AE152" s="127">
        <f>SUM(AD152,AC152,AB152,Y152,U152,T152,S152,R152)*'1. Standard_Cost'!$B$31</f>
        <v>0</v>
      </c>
      <c r="AF152" s="127">
        <f>SUM(AE152,AD152,AC152,AB152,Y152,U152,T152,S152,R152)</f>
        <v>0</v>
      </c>
      <c r="AG152" s="126"/>
      <c r="AH152" s="126"/>
      <c r="AI152" s="126"/>
      <c r="AJ152" s="130">
        <f>137052000+158000000</f>
        <v>295052000</v>
      </c>
      <c r="AK152" s="130"/>
      <c r="AL152" s="130">
        <v>10000000</v>
      </c>
      <c r="AM152" s="127">
        <f>AG152*'1. Standard_Cost'!$B$27+'Incremental_Cost Year 2'!AH152*'1. Standard_Cost'!$C$27+'Incremental_Cost Year 2'!AI152*'1. Standard_Cost'!$D$27+'Incremental_Cost Year 2'!AJ152+'Incremental_Cost Year 2'!AL152+AK152</f>
        <v>305052000</v>
      </c>
      <c r="AN152" s="127">
        <f>AM152*'1. Standard_Cost'!$C$31</f>
        <v>45757800</v>
      </c>
      <c r="AO152" s="130"/>
      <c r="AP152" s="256"/>
      <c r="AQ152" s="171">
        <f>L152+M152</f>
        <v>0</v>
      </c>
      <c r="AR152" s="171">
        <f>AF152</f>
        <v>0</v>
      </c>
      <c r="AS152" s="171">
        <f>AM152+AN152</f>
        <v>350809800</v>
      </c>
      <c r="AT152" s="171">
        <f>SUM(AQ152,AR152,AS152)</f>
        <v>350809800</v>
      </c>
      <c r="AU152" s="250">
        <v>147052000</v>
      </c>
      <c r="AV152" s="250"/>
      <c r="AW152" s="250"/>
      <c r="AX152" s="250"/>
      <c r="AY152" s="250"/>
      <c r="AZ152" s="250">
        <v>158000000</v>
      </c>
      <c r="BA152" s="250"/>
      <c r="BB152" s="251">
        <f t="shared" ref="BB152:BB155" si="107">SUM(AU152:BA152)-AT152</f>
        <v>-45757800</v>
      </c>
      <c r="BC152" s="169"/>
      <c r="BD152" s="169"/>
      <c r="BE152" s="169"/>
      <c r="BF152" s="169"/>
    </row>
    <row r="153" spans="1:58" ht="110.25" outlineLevel="2" x14ac:dyDescent="0.25">
      <c r="A153" s="115"/>
      <c r="B153" s="200"/>
      <c r="C153" s="201"/>
      <c r="D153" s="116"/>
      <c r="E153" s="230"/>
      <c r="F153" s="308"/>
      <c r="G153" s="309"/>
      <c r="H153" s="199" t="s">
        <v>466</v>
      </c>
      <c r="I153" s="130"/>
      <c r="J153" s="126"/>
      <c r="K153" s="126"/>
      <c r="L153" s="125" t="str">
        <f>IF(I153&lt;&gt;0,((VLOOKUP(I153,'1. Standard_Cost'!$B$4:$D$11,2)+VLOOKUP(I153,'1. Standard_Cost'!$B$4:$D$11,3))*J153*K153),"0")</f>
        <v>0</v>
      </c>
      <c r="M153" s="125">
        <f>L153*'1. Standard_Cost'!$F$4</f>
        <v>0</v>
      </c>
      <c r="N153" s="126"/>
      <c r="O153" s="126"/>
      <c r="P153" s="126"/>
      <c r="Q153" s="126"/>
      <c r="R153" s="127">
        <f>'1. Standard_Cost'!$B$15*N153*P153</f>
        <v>0</v>
      </c>
      <c r="S153" s="127">
        <f>N153*O153*P153*'1. Standard_Cost'!$C$15</f>
        <v>0</v>
      </c>
      <c r="T153" s="127">
        <f>N153*P153*Q153*'1. Standard_Cost'!$D$15</f>
        <v>0</v>
      </c>
      <c r="U153" s="127">
        <f>N153*O153*'1. Standard_Cost'!$E$15</f>
        <v>0</v>
      </c>
      <c r="V153" s="126"/>
      <c r="W153" s="126"/>
      <c r="X153" s="126"/>
      <c r="Y153" s="127">
        <f>+V153*((X153*'1. Standard_Cost'!$B$19)+(W153*X153*'1. Standard_Cost'!$C$19))</f>
        <v>0</v>
      </c>
      <c r="Z153" s="126"/>
      <c r="AA153" s="126"/>
      <c r="AB153" s="127">
        <f>+Z153*'1. Standard_Cost'!$B$23+AA153*'1. Standard_Cost'!$C$23</f>
        <v>0</v>
      </c>
      <c r="AC153" s="128"/>
      <c r="AD153" s="129"/>
      <c r="AE153" s="127">
        <f>SUM(AD153,AC153,AB153,Y153,U153,T153,S153,R153)*'1. Standard_Cost'!$B$31</f>
        <v>0</v>
      </c>
      <c r="AF153" s="127">
        <f>SUM(AE153,AD153,AC153,AB153,Y153,U153,T153,S153,R153)</f>
        <v>0</v>
      </c>
      <c r="AG153" s="126"/>
      <c r="AH153" s="126"/>
      <c r="AI153" s="126"/>
      <c r="AJ153" s="130"/>
      <c r="AK153" s="130"/>
      <c r="AL153" s="130"/>
      <c r="AM153" s="127">
        <f>AG153*'1. Standard_Cost'!$B$27+'Incremental_Cost Year 2'!AH153*'1. Standard_Cost'!$C$27+'Incremental_Cost Year 2'!AI153*'1. Standard_Cost'!$D$27+'Incremental_Cost Year 2'!AJ153+'Incremental_Cost Year 2'!AL153+AK153</f>
        <v>0</v>
      </c>
      <c r="AN153" s="127">
        <f>AM153*'1. Standard_Cost'!$C$31</f>
        <v>0</v>
      </c>
      <c r="AO153" s="130"/>
      <c r="AP153" s="256"/>
      <c r="AQ153" s="171">
        <f>L153+M153</f>
        <v>0</v>
      </c>
      <c r="AR153" s="171">
        <f>AF153</f>
        <v>0</v>
      </c>
      <c r="AS153" s="171">
        <f>AM153+AN153</f>
        <v>0</v>
      </c>
      <c r="AT153" s="171">
        <f>SUM(AQ153,AR153,AS153)</f>
        <v>0</v>
      </c>
      <c r="AU153" s="250"/>
      <c r="AV153" s="250"/>
      <c r="AW153" s="250"/>
      <c r="AX153" s="250"/>
      <c r="AY153" s="250"/>
      <c r="AZ153" s="250"/>
      <c r="BA153" s="250"/>
      <c r="BB153" s="251">
        <f t="shared" si="107"/>
        <v>0</v>
      </c>
      <c r="BC153" s="169"/>
      <c r="BD153" s="169"/>
      <c r="BE153" s="169"/>
      <c r="BF153" s="169"/>
    </row>
    <row r="154" spans="1:58" ht="63" outlineLevel="2" x14ac:dyDescent="0.25">
      <c r="A154" s="115"/>
      <c r="B154" s="200"/>
      <c r="C154" s="201"/>
      <c r="D154" s="139"/>
      <c r="E154" s="230"/>
      <c r="F154" s="308"/>
      <c r="G154" s="309"/>
      <c r="H154" s="199" t="s">
        <v>467</v>
      </c>
      <c r="I154" s="130" t="s">
        <v>5</v>
      </c>
      <c r="J154" s="126">
        <v>4</v>
      </c>
      <c r="K154" s="126">
        <v>1</v>
      </c>
      <c r="L154" s="125">
        <f>IF(I154&lt;&gt;0,((VLOOKUP(I154,'1. Standard_Cost'!$B$4:$D$11,2)+VLOOKUP(I154,'1. Standard_Cost'!$B$4:$D$11,3))*J154*K154),"0")</f>
        <v>282800</v>
      </c>
      <c r="M154" s="125">
        <f>L154*'1. Standard_Cost'!$F$4</f>
        <v>47227.600000000006</v>
      </c>
      <c r="N154" s="126"/>
      <c r="O154" s="126"/>
      <c r="P154" s="126"/>
      <c r="Q154" s="126"/>
      <c r="R154" s="127">
        <f>'1. Standard_Cost'!$B$15*N154*P154</f>
        <v>0</v>
      </c>
      <c r="S154" s="127">
        <f>N154*O154*P154*'1. Standard_Cost'!$C$15</f>
        <v>0</v>
      </c>
      <c r="T154" s="127">
        <f>N154*P154*Q154*'1. Standard_Cost'!$D$15</f>
        <v>0</v>
      </c>
      <c r="U154" s="127">
        <f>N154*O154*'1. Standard_Cost'!$E$15</f>
        <v>0</v>
      </c>
      <c r="V154" s="126"/>
      <c r="W154" s="126"/>
      <c r="X154" s="126"/>
      <c r="Y154" s="127">
        <f>+V154*((X154*'1. Standard_Cost'!$B$19)+(W154*X154*'1. Standard_Cost'!$C$19))</f>
        <v>0</v>
      </c>
      <c r="Z154" s="126"/>
      <c r="AA154" s="126">
        <v>100</v>
      </c>
      <c r="AB154" s="127">
        <f>+Z154*'1. Standard_Cost'!$B$23+AA154*'1. Standard_Cost'!$C$23</f>
        <v>1900000</v>
      </c>
      <c r="AC154" s="128">
        <v>60000</v>
      </c>
      <c r="AD154" s="129"/>
      <c r="AE154" s="127">
        <v>392000</v>
      </c>
      <c r="AF154" s="127">
        <f>SUM(AE154,AD154,AC154,AB154,Y154,U154,T154,S154,R154)</f>
        <v>2352000</v>
      </c>
      <c r="AG154" s="126"/>
      <c r="AH154" s="126"/>
      <c r="AI154" s="126"/>
      <c r="AJ154" s="130"/>
      <c r="AK154" s="130"/>
      <c r="AL154" s="130"/>
      <c r="AM154" s="127">
        <f>AG154*'1. Standard_Cost'!$B$27+'Incremental_Cost Year 2'!AH154*'1. Standard_Cost'!$C$27+'Incremental_Cost Year 2'!AI154*'1. Standard_Cost'!$D$27+'Incremental_Cost Year 2'!AJ154+'Incremental_Cost Year 2'!AL154+AK154</f>
        <v>0</v>
      </c>
      <c r="AN154" s="127">
        <f>AM154*'1. Standard_Cost'!$C$31</f>
        <v>0</v>
      </c>
      <c r="AO154" s="130"/>
      <c r="AP154" s="256"/>
      <c r="AQ154" s="171">
        <f>L154+M154</f>
        <v>330027.59999999998</v>
      </c>
      <c r="AR154" s="171">
        <f>AF154</f>
        <v>2352000</v>
      </c>
      <c r="AS154" s="171">
        <f>AM154+AN154</f>
        <v>0</v>
      </c>
      <c r="AT154" s="171">
        <f>SUM(AQ154,AR154,AS154)</f>
        <v>2682027.6</v>
      </c>
      <c r="AU154" s="250">
        <v>402000</v>
      </c>
      <c r="AV154" s="250"/>
      <c r="AW154" s="250"/>
      <c r="AX154" s="250"/>
      <c r="AY154" s="250"/>
      <c r="AZ154" s="250"/>
      <c r="BA154" s="250"/>
      <c r="BB154" s="251">
        <f t="shared" si="107"/>
        <v>-2280027.6</v>
      </c>
      <c r="BC154" s="169"/>
      <c r="BD154" s="169"/>
      <c r="BE154" s="169"/>
      <c r="BF154" s="169"/>
    </row>
    <row r="155" spans="1:58" ht="126" outlineLevel="2" x14ac:dyDescent="0.25">
      <c r="A155" s="115"/>
      <c r="B155" s="200"/>
      <c r="C155" s="201"/>
      <c r="D155" s="151"/>
      <c r="E155" s="121"/>
      <c r="F155" s="311"/>
      <c r="G155" s="312"/>
      <c r="H155" s="199" t="s">
        <v>540</v>
      </c>
      <c r="I155" s="130" t="s">
        <v>172</v>
      </c>
      <c r="J155" s="126">
        <v>2</v>
      </c>
      <c r="K155" s="126">
        <v>1</v>
      </c>
      <c r="L155" s="125">
        <f>IF(I155&lt;&gt;0,((VLOOKUP(I155,'1. Standard_Cost'!$B$4:$D$11,2)+VLOOKUP(I155,'1. Standard_Cost'!$B$4:$D$11,3))*J155*K155),"0")</f>
        <v>101000</v>
      </c>
      <c r="M155" s="125">
        <f>L155*'1. Standard_Cost'!$F$4</f>
        <v>16867</v>
      </c>
      <c r="N155" s="126">
        <v>11</v>
      </c>
      <c r="O155" s="126">
        <v>1</v>
      </c>
      <c r="P155" s="126">
        <v>25</v>
      </c>
      <c r="Q155" s="126"/>
      <c r="R155" s="127">
        <f>'1. Standard_Cost'!$B$15*N155*P155</f>
        <v>550000</v>
      </c>
      <c r="S155" s="127">
        <f>N155*O155*P155*'1. Standard_Cost'!$C$15</f>
        <v>412500</v>
      </c>
      <c r="T155" s="127">
        <f>N155*P155*Q155*'1. Standard_Cost'!$D$15</f>
        <v>0</v>
      </c>
      <c r="U155" s="127">
        <f>N155*O155*'1. Standard_Cost'!$E$15</f>
        <v>440000</v>
      </c>
      <c r="V155" s="126"/>
      <c r="W155" s="126"/>
      <c r="X155" s="126"/>
      <c r="Y155" s="127">
        <f>+V155*((X155*'1. Standard_Cost'!$B$19)+(W155*X155*'1. Standard_Cost'!$C$19))</f>
        <v>0</v>
      </c>
      <c r="Z155" s="126"/>
      <c r="AA155" s="126">
        <v>46</v>
      </c>
      <c r="AB155" s="127">
        <f>+Z155*'1. Standard_Cost'!$B$23+AA155*'1. Standard_Cost'!$C$23</f>
        <v>874000</v>
      </c>
      <c r="AC155" s="128">
        <f>14700000+110000</f>
        <v>14810000</v>
      </c>
      <c r="AD155" s="129"/>
      <c r="AE155" s="127">
        <v>477300</v>
      </c>
      <c r="AF155" s="127">
        <f>SUM(AE155,AD155,AC155,AB155,Y155,U155,T155,S155,R155)</f>
        <v>17563800</v>
      </c>
      <c r="AG155" s="126"/>
      <c r="AH155" s="126"/>
      <c r="AI155" s="126"/>
      <c r="AJ155" s="130"/>
      <c r="AK155" s="130"/>
      <c r="AL155" s="130"/>
      <c r="AM155" s="127">
        <f>AG155*'1. Standard_Cost'!$B$27+'Incremental_Cost Year 2'!AH155*'1. Standard_Cost'!$C$27+'Incremental_Cost Year 2'!AI155*'1. Standard_Cost'!$D$27+'Incremental_Cost Year 2'!AJ155+'Incremental_Cost Year 2'!AL155+AK155</f>
        <v>0</v>
      </c>
      <c r="AN155" s="127">
        <f>AM155*'1. Standard_Cost'!$C$31</f>
        <v>0</v>
      </c>
      <c r="AO155" s="130"/>
      <c r="AP155" s="256"/>
      <c r="AQ155" s="171">
        <f>L155+M155</f>
        <v>117867</v>
      </c>
      <c r="AR155" s="171">
        <f>AF155</f>
        <v>17563800</v>
      </c>
      <c r="AS155" s="171">
        <f>AM155+AN155</f>
        <v>0</v>
      </c>
      <c r="AT155" s="171">
        <f>SUM(AQ155,AR155,AS155)</f>
        <v>17681667</v>
      </c>
      <c r="AU155" s="250">
        <v>117867</v>
      </c>
      <c r="AV155" s="250"/>
      <c r="AW155" s="250"/>
      <c r="AX155" s="250"/>
      <c r="AY155" s="250"/>
      <c r="AZ155" s="250">
        <v>14700000</v>
      </c>
      <c r="BA155" s="250"/>
      <c r="BB155" s="251">
        <f t="shared" si="107"/>
        <v>-2863800</v>
      </c>
      <c r="BC155" s="169"/>
      <c r="BD155" s="169"/>
      <c r="BE155" s="169"/>
      <c r="BF155" s="169"/>
    </row>
    <row r="156" spans="1:58" ht="47.25" outlineLevel="2" x14ac:dyDescent="0.25">
      <c r="A156" s="115"/>
      <c r="B156" s="165"/>
      <c r="C156" s="166"/>
      <c r="D156" s="212" t="s">
        <v>233</v>
      </c>
      <c r="E156" s="212" t="s">
        <v>468</v>
      </c>
      <c r="F156" s="136">
        <v>2021</v>
      </c>
      <c r="G156" s="117">
        <v>2025</v>
      </c>
      <c r="H156" s="110" t="s">
        <v>168</v>
      </c>
      <c r="I156" s="252"/>
      <c r="J156" s="252"/>
      <c r="K156" s="252"/>
      <c r="L156" s="127">
        <f>SUM(L152:L155)</f>
        <v>383800</v>
      </c>
      <c r="M156" s="127">
        <f>SUM(M152:M155)</f>
        <v>64094.600000000006</v>
      </c>
      <c r="N156" s="252"/>
      <c r="O156" s="252"/>
      <c r="P156" s="252"/>
      <c r="Q156" s="252"/>
      <c r="R156" s="127">
        <f>SUM(R152:R155)</f>
        <v>550000</v>
      </c>
      <c r="S156" s="127">
        <f>SUM(S152:S155)</f>
        <v>412500</v>
      </c>
      <c r="T156" s="127">
        <f>SUM(T152:T155)</f>
        <v>0</v>
      </c>
      <c r="U156" s="127">
        <f>SUM(U152:U155)</f>
        <v>440000</v>
      </c>
      <c r="V156" s="252"/>
      <c r="W156" s="252"/>
      <c r="X156" s="252"/>
      <c r="Y156" s="127">
        <f>SUM(Y152:Y155)</f>
        <v>0</v>
      </c>
      <c r="Z156" s="252"/>
      <c r="AA156" s="252"/>
      <c r="AB156" s="127">
        <f>SUM(AB152:AB155)</f>
        <v>2774000</v>
      </c>
      <c r="AC156" s="127">
        <f>SUM(AC152:AC155)</f>
        <v>14870000</v>
      </c>
      <c r="AD156" s="127">
        <f>SUM(AD152:AD155)</f>
        <v>0</v>
      </c>
      <c r="AE156" s="127">
        <f>SUM(AE152:AE155)</f>
        <v>869300</v>
      </c>
      <c r="AF156" s="127">
        <f>SUM(AF152:AF155)</f>
        <v>19915800</v>
      </c>
      <c r="AG156" s="252"/>
      <c r="AH156" s="252"/>
      <c r="AI156" s="252"/>
      <c r="AJ156" s="127">
        <f>SUM(AJ152:AJ155)</f>
        <v>295052000</v>
      </c>
      <c r="AK156" s="127">
        <f>SUM(AK152:AK155)</f>
        <v>0</v>
      </c>
      <c r="AL156" s="127">
        <f>SUM(AL152:AL155)</f>
        <v>10000000</v>
      </c>
      <c r="AM156" s="127">
        <f>SUM(AM152:AM155)</f>
        <v>305052000</v>
      </c>
      <c r="AN156" s="127">
        <f>SUM(AN152:AN155)</f>
        <v>45757800</v>
      </c>
      <c r="AO156" s="253"/>
      <c r="AP156" s="254"/>
      <c r="AQ156" s="175">
        <f>SUM(AQ152:AQ155)</f>
        <v>447894.6</v>
      </c>
      <c r="AR156" s="175">
        <f>SUM(AR152:AR155)</f>
        <v>19915800</v>
      </c>
      <c r="AS156" s="175">
        <f>SUM(AS152:AS155)</f>
        <v>350809800</v>
      </c>
      <c r="AT156" s="175">
        <f>SUM(AT152:AT155)</f>
        <v>371173494.60000002</v>
      </c>
      <c r="AU156" s="175">
        <f t="shared" ref="AU156:BA156" si="108">SUM(AU152:AU155)</f>
        <v>147571867</v>
      </c>
      <c r="AV156" s="175">
        <f t="shared" si="108"/>
        <v>0</v>
      </c>
      <c r="AW156" s="175">
        <f>SUM(AW152:AW155)</f>
        <v>0</v>
      </c>
      <c r="AX156" s="175">
        <f t="shared" si="108"/>
        <v>0</v>
      </c>
      <c r="AY156" s="175">
        <f t="shared" si="108"/>
        <v>0</v>
      </c>
      <c r="AZ156" s="175">
        <f t="shared" si="108"/>
        <v>172700000</v>
      </c>
      <c r="BA156" s="175">
        <f t="shared" si="108"/>
        <v>0</v>
      </c>
      <c r="BB156" s="175">
        <f>SUM(BB152:BB155)</f>
        <v>-50901627.600000001</v>
      </c>
      <c r="BC156" s="169"/>
      <c r="BD156" s="169"/>
      <c r="BE156" s="169"/>
      <c r="BF156" s="169"/>
    </row>
    <row r="157" spans="1:58" ht="126" outlineLevel="1" x14ac:dyDescent="0.25">
      <c r="A157" s="115"/>
      <c r="B157" s="200"/>
      <c r="C157" s="201"/>
      <c r="D157" s="342"/>
      <c r="E157" s="328"/>
      <c r="F157" s="328"/>
      <c r="G157" s="328"/>
      <c r="H157" s="213" t="s">
        <v>469</v>
      </c>
      <c r="I157" s="130"/>
      <c r="J157" s="126"/>
      <c r="K157" s="126"/>
      <c r="L157" s="125" t="str">
        <f>IF(I157&lt;&gt;0,((VLOOKUP(I157,'1. Standard_Cost'!$B$4:$D$11,2)+VLOOKUP(I157,'1. Standard_Cost'!$B$4:$D$11,3))*J157*K157),"0")</f>
        <v>0</v>
      </c>
      <c r="M157" s="125">
        <f>L157*'1. Standard_Cost'!$F$4</f>
        <v>0</v>
      </c>
      <c r="N157" s="126"/>
      <c r="O157" s="126"/>
      <c r="P157" s="126"/>
      <c r="Q157" s="126"/>
      <c r="R157" s="127">
        <f>'1. Standard_Cost'!$B$15*N157*P157</f>
        <v>0</v>
      </c>
      <c r="S157" s="127">
        <f>N157*O157*P157*'1. Standard_Cost'!$C$15</f>
        <v>0</v>
      </c>
      <c r="T157" s="127">
        <f>N157*P157*Q157*'1. Standard_Cost'!$D$15</f>
        <v>0</v>
      </c>
      <c r="U157" s="127">
        <f>N157*O157*'1. Standard_Cost'!$E$15</f>
        <v>0</v>
      </c>
      <c r="V157" s="126"/>
      <c r="W157" s="126"/>
      <c r="X157" s="126"/>
      <c r="Y157" s="127">
        <f>+V157*((X157*'1. Standard_Cost'!$B$19)+(W157*X157*'1. Standard_Cost'!$C$19))</f>
        <v>0</v>
      </c>
      <c r="Z157" s="126"/>
      <c r="AA157" s="126"/>
      <c r="AB157" s="127">
        <f>+Z157*'1. Standard_Cost'!$B$23+AA157*'1. Standard_Cost'!$C$23</f>
        <v>0</v>
      </c>
      <c r="AC157" s="128"/>
      <c r="AD157" s="129"/>
      <c r="AE157" s="127">
        <f>SUM(AD157,AC157,AB157,Y157,U157,T157,S157,R157)*'1. Standard_Cost'!$B$31</f>
        <v>0</v>
      </c>
      <c r="AF157" s="127">
        <f>SUM(AE157,AD157,AC157,AB157,Y157,U157,T157,S157,R157)</f>
        <v>0</v>
      </c>
      <c r="AG157" s="126"/>
      <c r="AH157" s="126"/>
      <c r="AI157" s="126"/>
      <c r="AJ157" s="130"/>
      <c r="AK157" s="130"/>
      <c r="AL157" s="130">
        <f>69609000+30000000</f>
        <v>99609000</v>
      </c>
      <c r="AM157" s="127">
        <f>AG157*'1. Standard_Cost'!$B$27+'Incremental_Cost Year 2'!AH157*'1. Standard_Cost'!$C$27+'Incremental_Cost Year 2'!AI157*'1. Standard_Cost'!$D$27+'Incremental_Cost Year 2'!AJ157+'Incremental_Cost Year 2'!AL157+AK157</f>
        <v>99609000</v>
      </c>
      <c r="AN157" s="127"/>
      <c r="AO157" s="130"/>
      <c r="AP157" s="256"/>
      <c r="AQ157" s="171">
        <f>L157+M157</f>
        <v>0</v>
      </c>
      <c r="AR157" s="171">
        <f>AF157</f>
        <v>0</v>
      </c>
      <c r="AS157" s="171">
        <f>AM157+AN157</f>
        <v>99609000</v>
      </c>
      <c r="AT157" s="171">
        <f>SUM(AQ157,AR157,AS157)</f>
        <v>99609000</v>
      </c>
      <c r="AU157" s="250">
        <v>69609000</v>
      </c>
      <c r="AV157" s="250"/>
      <c r="AW157" s="250"/>
      <c r="AX157" s="250"/>
      <c r="AY157" s="250"/>
      <c r="AZ157" s="250">
        <v>30000000</v>
      </c>
      <c r="BA157" s="250"/>
      <c r="BB157" s="251">
        <f t="shared" ref="BB157:BB158" si="109">SUM(AU157:BA157)-AT157</f>
        <v>0</v>
      </c>
      <c r="BC157" s="169"/>
      <c r="BD157" s="169"/>
      <c r="BE157" s="169"/>
      <c r="BF157" s="169"/>
    </row>
    <row r="158" spans="1:58" ht="47.25" outlineLevel="2" x14ac:dyDescent="0.25">
      <c r="A158" s="115"/>
      <c r="B158" s="200"/>
      <c r="C158" s="201"/>
      <c r="D158" s="344"/>
      <c r="E158" s="328"/>
      <c r="F158" s="328"/>
      <c r="G158" s="328"/>
      <c r="H158" s="199" t="s">
        <v>470</v>
      </c>
      <c r="I158" s="130"/>
      <c r="J158" s="126"/>
      <c r="K158" s="126"/>
      <c r="L158" s="125" t="str">
        <f>IF(I158&lt;&gt;0,((VLOOKUP(I158,'1. Standard_Cost'!$B$4:$D$11,2)+VLOOKUP(I158,'1. Standard_Cost'!$B$4:$D$11,3))*J158*K158),"0")</f>
        <v>0</v>
      </c>
      <c r="M158" s="125">
        <f>L158*'1. Standard_Cost'!$F$4</f>
        <v>0</v>
      </c>
      <c r="N158" s="126"/>
      <c r="O158" s="126"/>
      <c r="P158" s="126"/>
      <c r="Q158" s="126"/>
      <c r="R158" s="127">
        <f>'1. Standard_Cost'!$B$15*N158*P158</f>
        <v>0</v>
      </c>
      <c r="S158" s="127">
        <f>N158*O158*P158*'1. Standard_Cost'!$C$15</f>
        <v>0</v>
      </c>
      <c r="T158" s="127">
        <f>N158*P158*Q158*'1. Standard_Cost'!$D$15</f>
        <v>0</v>
      </c>
      <c r="U158" s="127">
        <f>N158*O158*'1. Standard_Cost'!$E$15</f>
        <v>0</v>
      </c>
      <c r="V158" s="126"/>
      <c r="W158" s="126"/>
      <c r="X158" s="126"/>
      <c r="Y158" s="127">
        <f>+V158*((X158*'1. Standard_Cost'!$B$19)+(W158*X158*'1. Standard_Cost'!$C$19))</f>
        <v>0</v>
      </c>
      <c r="Z158" s="126"/>
      <c r="AA158" s="126"/>
      <c r="AB158" s="127">
        <f>+Z158*'1. Standard_Cost'!$B$23+AA158*'1. Standard_Cost'!$C$23</f>
        <v>0</v>
      </c>
      <c r="AC158" s="128"/>
      <c r="AD158" s="129"/>
      <c r="AE158" s="127">
        <f>SUM(AD158,AC158,AB158,Y158,U158,T158,S158,R158)*'1. Standard_Cost'!$B$31</f>
        <v>0</v>
      </c>
      <c r="AF158" s="127">
        <f>SUM(AE158,AD158,AC158,AB158,Y158,U158,T158,S158,R158)</f>
        <v>0</v>
      </c>
      <c r="AG158" s="126"/>
      <c r="AH158" s="126"/>
      <c r="AI158" s="126"/>
      <c r="AJ158" s="130"/>
      <c r="AK158" s="130"/>
      <c r="AL158" s="130"/>
      <c r="AM158" s="127">
        <f>AG158*'1. Standard_Cost'!$B$27+'Incremental_Cost Year 2'!AH158*'1. Standard_Cost'!$C$27+'Incremental_Cost Year 2'!AI158*'1. Standard_Cost'!$D$27+'Incremental_Cost Year 2'!AJ158+'Incremental_Cost Year 2'!AL158+AK158</f>
        <v>0</v>
      </c>
      <c r="AN158" s="127">
        <f>AM158*'1. Standard_Cost'!$C$31</f>
        <v>0</v>
      </c>
      <c r="AO158" s="130"/>
      <c r="AP158" s="256"/>
      <c r="AQ158" s="171">
        <f>L158+M158</f>
        <v>0</v>
      </c>
      <c r="AR158" s="171">
        <f>AF158</f>
        <v>0</v>
      </c>
      <c r="AS158" s="171">
        <f>AM158+AN158</f>
        <v>0</v>
      </c>
      <c r="AT158" s="171">
        <f>SUM(AQ158,AR158,AS158)</f>
        <v>0</v>
      </c>
      <c r="AU158" s="250"/>
      <c r="AV158" s="250"/>
      <c r="AW158" s="250"/>
      <c r="AX158" s="250"/>
      <c r="AY158" s="250"/>
      <c r="AZ158" s="250"/>
      <c r="BA158" s="250"/>
      <c r="BB158" s="251">
        <f t="shared" si="109"/>
        <v>0</v>
      </c>
      <c r="BC158" s="169"/>
      <c r="BD158" s="169"/>
      <c r="BE158" s="169"/>
      <c r="BF158" s="169"/>
    </row>
    <row r="159" spans="1:58" ht="63" outlineLevel="2" x14ac:dyDescent="0.25">
      <c r="A159" s="115"/>
      <c r="B159" s="165"/>
      <c r="C159" s="166"/>
      <c r="D159" s="150" t="s">
        <v>471</v>
      </c>
      <c r="E159" s="212" t="s">
        <v>472</v>
      </c>
      <c r="F159" s="106">
        <v>2021</v>
      </c>
      <c r="G159" s="104">
        <v>2030</v>
      </c>
      <c r="H159" s="110" t="s">
        <v>179</v>
      </c>
      <c r="I159" s="252"/>
      <c r="J159" s="252"/>
      <c r="K159" s="252"/>
      <c r="L159" s="127">
        <f>SUM(L157:L158)</f>
        <v>0</v>
      </c>
      <c r="M159" s="127">
        <f>SUM(M157:M158)</f>
        <v>0</v>
      </c>
      <c r="N159" s="252"/>
      <c r="O159" s="252"/>
      <c r="P159" s="252"/>
      <c r="Q159" s="252"/>
      <c r="R159" s="127">
        <f>SUM(R157:R158)</f>
        <v>0</v>
      </c>
      <c r="S159" s="127">
        <f>SUM(S157:S158)</f>
        <v>0</v>
      </c>
      <c r="T159" s="127">
        <f>SUM(T157:T158)</f>
        <v>0</v>
      </c>
      <c r="U159" s="127">
        <f>SUM(U157:U158)</f>
        <v>0</v>
      </c>
      <c r="V159" s="252"/>
      <c r="W159" s="252"/>
      <c r="X159" s="252"/>
      <c r="Y159" s="127">
        <f>SUM(Y157:Y158)</f>
        <v>0</v>
      </c>
      <c r="Z159" s="252"/>
      <c r="AA159" s="252"/>
      <c r="AB159" s="127">
        <f>SUM(AB157:AB158)</f>
        <v>0</v>
      </c>
      <c r="AC159" s="127">
        <f>SUM(AC157:AC158)</f>
        <v>0</v>
      </c>
      <c r="AD159" s="127">
        <f>SUM(AD157:AD158)</f>
        <v>0</v>
      </c>
      <c r="AE159" s="127">
        <f>SUM(AE157:AE158)</f>
        <v>0</v>
      </c>
      <c r="AF159" s="127">
        <f>SUM(AF157:AF158)</f>
        <v>0</v>
      </c>
      <c r="AG159" s="252"/>
      <c r="AH159" s="252"/>
      <c r="AI159" s="252"/>
      <c r="AJ159" s="127">
        <f>SUM(AJ157:AJ158)</f>
        <v>0</v>
      </c>
      <c r="AK159" s="127">
        <f>SUM(AK157:AK158)</f>
        <v>0</v>
      </c>
      <c r="AL159" s="127">
        <f>SUM(AL157:AL158)</f>
        <v>99609000</v>
      </c>
      <c r="AM159" s="127">
        <f>SUM(AM157:AM158)</f>
        <v>99609000</v>
      </c>
      <c r="AN159" s="127">
        <f>SUM(AN157:AN158)</f>
        <v>0</v>
      </c>
      <c r="AO159" s="253"/>
      <c r="AP159" s="254"/>
      <c r="AQ159" s="175">
        <f>SUM(AQ157:AQ158)</f>
        <v>0</v>
      </c>
      <c r="AR159" s="175">
        <f>SUM(AR157:AR158)</f>
        <v>0</v>
      </c>
      <c r="AS159" s="175">
        <f>SUM(AS157:AS158)</f>
        <v>99609000</v>
      </c>
      <c r="AT159" s="175">
        <f>SUM(AT157:AT158)</f>
        <v>99609000</v>
      </c>
      <c r="AU159" s="175">
        <f t="shared" ref="AU159:BA159" si="110">SUM(AU157:AU158)</f>
        <v>69609000</v>
      </c>
      <c r="AV159" s="175">
        <f t="shared" si="110"/>
        <v>0</v>
      </c>
      <c r="AW159" s="175">
        <f>SUM(AW157:AW158)</f>
        <v>0</v>
      </c>
      <c r="AX159" s="175">
        <f t="shared" si="110"/>
        <v>0</v>
      </c>
      <c r="AY159" s="175">
        <f t="shared" si="110"/>
        <v>0</v>
      </c>
      <c r="AZ159" s="175">
        <f t="shared" si="110"/>
        <v>30000000</v>
      </c>
      <c r="BA159" s="175">
        <f t="shared" si="110"/>
        <v>0</v>
      </c>
      <c r="BB159" s="175">
        <f t="shared" ref="BB159" si="111">SUM(BB157:BB158)</f>
        <v>0</v>
      </c>
      <c r="BC159" s="169"/>
      <c r="BD159" s="169"/>
      <c r="BE159" s="169"/>
      <c r="BF159" s="169"/>
    </row>
    <row r="160" spans="1:58" ht="94.5" outlineLevel="2" x14ac:dyDescent="0.25">
      <c r="A160" s="115"/>
      <c r="B160" s="200"/>
      <c r="C160" s="201"/>
      <c r="D160" s="328"/>
      <c r="E160" s="328"/>
      <c r="F160" s="328"/>
      <c r="G160" s="328"/>
      <c r="H160" s="199" t="s">
        <v>473</v>
      </c>
      <c r="I160" s="130"/>
      <c r="J160" s="126"/>
      <c r="K160" s="126"/>
      <c r="L160" s="125" t="str">
        <f>IF(I160&lt;&gt;0,((VLOOKUP(I160,'1. Standard_Cost'!$B$4:$D$11,2)+VLOOKUP(I160,'1. Standard_Cost'!$B$4:$D$11,3))*J160*K160),"0")</f>
        <v>0</v>
      </c>
      <c r="M160" s="125">
        <f>L160*'1. Standard_Cost'!$F$4</f>
        <v>0</v>
      </c>
      <c r="N160" s="126"/>
      <c r="O160" s="126"/>
      <c r="P160" s="126"/>
      <c r="Q160" s="126"/>
      <c r="R160" s="127">
        <f>'1. Standard_Cost'!$B$15*N160*P160</f>
        <v>0</v>
      </c>
      <c r="S160" s="127">
        <f>N160*O160*P160*'1. Standard_Cost'!$C$15</f>
        <v>0</v>
      </c>
      <c r="T160" s="127">
        <f>N160*P160*Q160*'1. Standard_Cost'!$D$15</f>
        <v>0</v>
      </c>
      <c r="U160" s="127">
        <f>N160*O160*'1. Standard_Cost'!$E$15</f>
        <v>0</v>
      </c>
      <c r="V160" s="126"/>
      <c r="W160" s="126"/>
      <c r="X160" s="126"/>
      <c r="Y160" s="127">
        <f>+V160*((X160*'1. Standard_Cost'!$B$19)+(W160*X160*'1. Standard_Cost'!$C$19))</f>
        <v>0</v>
      </c>
      <c r="Z160" s="126"/>
      <c r="AA160" s="126"/>
      <c r="AB160" s="127">
        <f>+Z160*'1. Standard_Cost'!$B$23+AA160*'1. Standard_Cost'!$C$23</f>
        <v>0</v>
      </c>
      <c r="AC160" s="128"/>
      <c r="AD160" s="129"/>
      <c r="AE160" s="127">
        <f>SUM(AD160,AC160,AB160,Y160,U160,T160,S160,R160)*'1. Standard_Cost'!$B$31</f>
        <v>0</v>
      </c>
      <c r="AF160" s="127">
        <f>SUM(AE160,AD160,AC160,AB160,Y160,U160,T160,S160,R160)</f>
        <v>0</v>
      </c>
      <c r="AG160" s="126"/>
      <c r="AH160" s="126"/>
      <c r="AI160" s="126"/>
      <c r="AJ160" s="130"/>
      <c r="AK160" s="130"/>
      <c r="AL160" s="130"/>
      <c r="AM160" s="127">
        <f>AG160*'1. Standard_Cost'!$B$27+'Incremental_Cost Year 2'!AH160*'1. Standard_Cost'!$C$27+'Incremental_Cost Year 2'!AI160*'1. Standard_Cost'!$D$27+'Incremental_Cost Year 2'!AJ160+'Incremental_Cost Year 2'!AL160+AK160</f>
        <v>0</v>
      </c>
      <c r="AN160" s="127">
        <f>AM160*'1. Standard_Cost'!$C$31</f>
        <v>0</v>
      </c>
      <c r="AO160" s="130"/>
      <c r="AP160" s="256"/>
      <c r="AQ160" s="171">
        <f>L160+M160</f>
        <v>0</v>
      </c>
      <c r="AR160" s="171">
        <f>AF160</f>
        <v>0</v>
      </c>
      <c r="AS160" s="171">
        <f>AM160+AN160</f>
        <v>0</v>
      </c>
      <c r="AT160" s="171">
        <f>SUM(AQ160,AR160,AS160)</f>
        <v>0</v>
      </c>
      <c r="AU160" s="250"/>
      <c r="AV160" s="250"/>
      <c r="AW160" s="250"/>
      <c r="AX160" s="250"/>
      <c r="AY160" s="250"/>
      <c r="AZ160" s="250"/>
      <c r="BA160" s="250"/>
      <c r="BB160" s="251">
        <f t="shared" ref="BB160:BB161" si="112">SUM(AU160:BA160)-AT160</f>
        <v>0</v>
      </c>
      <c r="BC160" s="169"/>
      <c r="BD160" s="169"/>
      <c r="BE160" s="169"/>
      <c r="BF160" s="169"/>
    </row>
    <row r="161" spans="1:58" ht="47.25" outlineLevel="2" x14ac:dyDescent="0.25">
      <c r="A161" s="115"/>
      <c r="B161" s="200"/>
      <c r="C161" s="201"/>
      <c r="D161" s="328"/>
      <c r="E161" s="328"/>
      <c r="F161" s="328"/>
      <c r="G161" s="328"/>
      <c r="H161" s="213" t="s">
        <v>311</v>
      </c>
      <c r="I161" s="130" t="s">
        <v>5</v>
      </c>
      <c r="J161" s="126">
        <v>12</v>
      </c>
      <c r="K161" s="126">
        <v>13</v>
      </c>
      <c r="L161" s="125">
        <f>IF(I161&lt;&gt;0,((VLOOKUP(I161,'1. Standard_Cost'!$B$4:$D$11,2)+VLOOKUP(I161,'1. Standard_Cost'!$B$4:$D$11,3))*J161*K161),"0")</f>
        <v>11029200</v>
      </c>
      <c r="M161" s="125">
        <f>L161*'1. Standard_Cost'!$F$4</f>
        <v>1841876.4000000001</v>
      </c>
      <c r="N161" s="126"/>
      <c r="O161" s="126"/>
      <c r="P161" s="126"/>
      <c r="Q161" s="126"/>
      <c r="R161" s="127">
        <f>'1. Standard_Cost'!$B$15*N161*P161</f>
        <v>0</v>
      </c>
      <c r="S161" s="127">
        <f>N161*O161*P161*'1. Standard_Cost'!$C$15</f>
        <v>0</v>
      </c>
      <c r="T161" s="127">
        <f>N161*P161*Q161*'1. Standard_Cost'!$D$15</f>
        <v>0</v>
      </c>
      <c r="U161" s="127">
        <f>N161*O161*'1. Standard_Cost'!$E$15</f>
        <v>0</v>
      </c>
      <c r="V161" s="126"/>
      <c r="W161" s="126"/>
      <c r="X161" s="126"/>
      <c r="Y161" s="127">
        <f>+V161*((X161*'1. Standard_Cost'!$B$19)+(W161*X161*'1. Standard_Cost'!$C$19))</f>
        <v>0</v>
      </c>
      <c r="Z161" s="126"/>
      <c r="AA161" s="126"/>
      <c r="AB161" s="127">
        <f>+Z161*'1. Standard_Cost'!$B$23+AA161*'1. Standard_Cost'!$C$23</f>
        <v>0</v>
      </c>
      <c r="AC161" s="128">
        <v>3000000</v>
      </c>
      <c r="AD161" s="129"/>
      <c r="AE161" s="127"/>
      <c r="AF161" s="127">
        <f>SUM(AE161,AD161,AC161,AB161,Y161,U161,T161,S161,R161)</f>
        <v>3000000</v>
      </c>
      <c r="AG161" s="126"/>
      <c r="AH161" s="126"/>
      <c r="AI161" s="126"/>
      <c r="AJ161" s="130"/>
      <c r="AK161" s="130"/>
      <c r="AL161" s="130"/>
      <c r="AM161" s="127">
        <f>AG161*'1. Standard_Cost'!$B$27+'Incremental_Cost Year 2'!AH161*'1. Standard_Cost'!$C$27+'Incremental_Cost Year 2'!AI161*'1. Standard_Cost'!$D$27+'Incremental_Cost Year 2'!AJ161+'Incremental_Cost Year 2'!AL161+AK161</f>
        <v>0</v>
      </c>
      <c r="AN161" s="127">
        <f>AM161*'1. Standard_Cost'!$C$31</f>
        <v>0</v>
      </c>
      <c r="AO161" s="130"/>
      <c r="AP161" s="256"/>
      <c r="AQ161" s="171">
        <f>L161+M161</f>
        <v>12871076.4</v>
      </c>
      <c r="AR161" s="171">
        <f>AF161</f>
        <v>3000000</v>
      </c>
      <c r="AS161" s="171">
        <f>AM161+AN161</f>
        <v>0</v>
      </c>
      <c r="AT161" s="171">
        <f>SUM(AQ161,AR161,AS161)</f>
        <v>15871076.4</v>
      </c>
      <c r="AU161" s="250">
        <v>15871076.4</v>
      </c>
      <c r="AV161" s="250"/>
      <c r="AW161" s="250"/>
      <c r="AX161" s="250"/>
      <c r="AY161" s="250"/>
      <c r="AZ161" s="250"/>
      <c r="BA161" s="250"/>
      <c r="BB161" s="251">
        <f t="shared" si="112"/>
        <v>0</v>
      </c>
      <c r="BC161" s="169"/>
      <c r="BD161" s="169"/>
      <c r="BE161" s="169"/>
      <c r="BF161" s="169"/>
    </row>
    <row r="162" spans="1:58" ht="47.25" outlineLevel="2" x14ac:dyDescent="0.25">
      <c r="A162" s="115"/>
      <c r="B162" s="165"/>
      <c r="C162" s="166"/>
      <c r="D162" s="107" t="s">
        <v>233</v>
      </c>
      <c r="E162" s="212" t="s">
        <v>474</v>
      </c>
      <c r="F162" s="136">
        <v>2021</v>
      </c>
      <c r="G162" s="117">
        <v>2030</v>
      </c>
      <c r="H162" s="110" t="s">
        <v>180</v>
      </c>
      <c r="I162" s="252"/>
      <c r="J162" s="252"/>
      <c r="K162" s="252"/>
      <c r="L162" s="127">
        <f>SUM(L160:L161)</f>
        <v>11029200</v>
      </c>
      <c r="M162" s="127">
        <f>SUM(M160:M161)</f>
        <v>1841876.4000000001</v>
      </c>
      <c r="N162" s="252"/>
      <c r="O162" s="252"/>
      <c r="P162" s="252"/>
      <c r="Q162" s="252"/>
      <c r="R162" s="127">
        <f>SUM(R160:R161)</f>
        <v>0</v>
      </c>
      <c r="S162" s="127">
        <f>SUM(S160:S161)</f>
        <v>0</v>
      </c>
      <c r="T162" s="127">
        <f>SUM(T160:T161)</f>
        <v>0</v>
      </c>
      <c r="U162" s="127">
        <f>SUM(U160:U161)</f>
        <v>0</v>
      </c>
      <c r="V162" s="252"/>
      <c r="W162" s="252"/>
      <c r="X162" s="252"/>
      <c r="Y162" s="127">
        <f>SUM(Y160:Y161)</f>
        <v>0</v>
      </c>
      <c r="Z162" s="252"/>
      <c r="AA162" s="252"/>
      <c r="AB162" s="127">
        <f>SUM(AB160:AB161)</f>
        <v>0</v>
      </c>
      <c r="AC162" s="127">
        <f>SUM(AC160:AC161)</f>
        <v>3000000</v>
      </c>
      <c r="AD162" s="127">
        <f>SUM(AD160:AD161)</f>
        <v>0</v>
      </c>
      <c r="AE162" s="127">
        <f>SUM(AE160:AE161)</f>
        <v>0</v>
      </c>
      <c r="AF162" s="127">
        <f>SUM(AF160:AF161)</f>
        <v>3000000</v>
      </c>
      <c r="AG162" s="252"/>
      <c r="AH162" s="252"/>
      <c r="AI162" s="252"/>
      <c r="AJ162" s="127">
        <f>SUM(AJ160:AJ161)</f>
        <v>0</v>
      </c>
      <c r="AK162" s="127">
        <f>SUM(AK160:AK161)</f>
        <v>0</v>
      </c>
      <c r="AL162" s="127">
        <f>SUM(AL160:AL161)</f>
        <v>0</v>
      </c>
      <c r="AM162" s="127">
        <f>SUM(AM160:AM161)</f>
        <v>0</v>
      </c>
      <c r="AN162" s="127">
        <f>SUM(AN160:AN161)</f>
        <v>0</v>
      </c>
      <c r="AO162" s="253"/>
      <c r="AP162" s="254"/>
      <c r="AQ162" s="175">
        <f>SUM(AQ160:AQ161)</f>
        <v>12871076.4</v>
      </c>
      <c r="AR162" s="175">
        <f>SUM(AR160:AR161)</f>
        <v>3000000</v>
      </c>
      <c r="AS162" s="175">
        <f>SUM(AS160:AS161)</f>
        <v>0</v>
      </c>
      <c r="AT162" s="175">
        <f>SUM(AT160:AT161)</f>
        <v>15871076.4</v>
      </c>
      <c r="AU162" s="175">
        <f t="shared" ref="AU162:BA162" si="113">SUM(AU160:AU161)</f>
        <v>15871076.4</v>
      </c>
      <c r="AV162" s="175">
        <f t="shared" si="113"/>
        <v>0</v>
      </c>
      <c r="AW162" s="175">
        <f>SUM(AW160:AW161)</f>
        <v>0</v>
      </c>
      <c r="AX162" s="175">
        <f t="shared" si="113"/>
        <v>0</v>
      </c>
      <c r="AY162" s="175">
        <f t="shared" si="113"/>
        <v>0</v>
      </c>
      <c r="AZ162" s="175">
        <f t="shared" si="113"/>
        <v>0</v>
      </c>
      <c r="BA162" s="175">
        <f t="shared" si="113"/>
        <v>0</v>
      </c>
      <c r="BB162" s="175">
        <f>SUM(BB160:BB161)</f>
        <v>0</v>
      </c>
      <c r="BC162" s="169"/>
      <c r="BD162" s="169"/>
      <c r="BE162" s="169"/>
      <c r="BF162" s="169"/>
    </row>
    <row r="163" spans="1:58" ht="15.75" customHeight="1" outlineLevel="2" x14ac:dyDescent="0.25">
      <c r="A163" s="143"/>
      <c r="B163" s="290"/>
      <c r="C163" s="391" t="s">
        <v>234</v>
      </c>
      <c r="D163" s="391"/>
      <c r="E163" s="392"/>
      <c r="F163" s="287"/>
      <c r="G163" s="289"/>
      <c r="H163" s="144" t="s">
        <v>169</v>
      </c>
      <c r="I163" s="257"/>
      <c r="J163" s="257"/>
      <c r="K163" s="257"/>
      <c r="L163" s="258">
        <f>L168+L178+L181</f>
        <v>440453850</v>
      </c>
      <c r="M163" s="258">
        <f>M168+M178+M181</f>
        <v>73555792.950000003</v>
      </c>
      <c r="N163" s="257"/>
      <c r="O163" s="257"/>
      <c r="P163" s="257"/>
      <c r="Q163" s="257"/>
      <c r="R163" s="258">
        <f>R168+R178+R181</f>
        <v>120000</v>
      </c>
      <c r="S163" s="258">
        <f>S168+S178+S181</f>
        <v>90000</v>
      </c>
      <c r="T163" s="258">
        <f>T168+T178+T181</f>
        <v>0</v>
      </c>
      <c r="U163" s="258">
        <f>U168+U178+U181</f>
        <v>160000</v>
      </c>
      <c r="V163" s="257"/>
      <c r="W163" s="257"/>
      <c r="X163" s="257"/>
      <c r="Y163" s="258">
        <f>Y168+Y178+Y181</f>
        <v>0</v>
      </c>
      <c r="Z163" s="258"/>
      <c r="AA163" s="258"/>
      <c r="AB163" s="258">
        <f>AB168+AB178+AB181</f>
        <v>2850000</v>
      </c>
      <c r="AC163" s="258">
        <f>AC168+AC178+AC181</f>
        <v>4942878755</v>
      </c>
      <c r="AD163" s="258">
        <f>AD168+AD178+AD181</f>
        <v>0</v>
      </c>
      <c r="AE163" s="258">
        <f>AE168+AE178+AE181</f>
        <v>2771551</v>
      </c>
      <c r="AF163" s="258">
        <f>AF168+AF178+AF181</f>
        <v>4948870306</v>
      </c>
      <c r="AG163" s="257"/>
      <c r="AH163" s="257"/>
      <c r="AI163" s="257"/>
      <c r="AJ163" s="258">
        <f>AJ168+AJ178+AJ181</f>
        <v>1147497000</v>
      </c>
      <c r="AK163" s="258">
        <f>AK168+AK178+AK181</f>
        <v>0</v>
      </c>
      <c r="AL163" s="258">
        <f>AL168+AL178+AL181</f>
        <v>232210000</v>
      </c>
      <c r="AM163" s="258">
        <f>AM168+AM178+AM181</f>
        <v>1379707000</v>
      </c>
      <c r="AN163" s="258">
        <f>AN168+AN178+AN181</f>
        <v>206956050</v>
      </c>
      <c r="AO163" s="259"/>
      <c r="AP163" s="260"/>
      <c r="AQ163" s="261">
        <f>AQ168+AQ178+AQ181</f>
        <v>514009642.94999999</v>
      </c>
      <c r="AR163" s="261">
        <f>AR168+AR178+AR181</f>
        <v>4948870306</v>
      </c>
      <c r="AS163" s="261">
        <f>AS168+AS178+AS181</f>
        <v>1586663050</v>
      </c>
      <c r="AT163" s="261">
        <f>AT168+AT178+AT181</f>
        <v>7049542998.9499998</v>
      </c>
      <c r="AU163" s="261">
        <f t="shared" ref="AU163:BB163" si="114">AU168+AU178+AU181</f>
        <v>6447705500.1999998</v>
      </c>
      <c r="AV163" s="261">
        <f t="shared" si="114"/>
        <v>115000000</v>
      </c>
      <c r="AW163" s="261">
        <f>AW168+AW178+AW181</f>
        <v>272000000</v>
      </c>
      <c r="AX163" s="261">
        <f t="shared" si="114"/>
        <v>0</v>
      </c>
      <c r="AY163" s="261">
        <f t="shared" si="114"/>
        <v>0</v>
      </c>
      <c r="AZ163" s="261">
        <f t="shared" si="114"/>
        <v>10000000</v>
      </c>
      <c r="BA163" s="261">
        <f t="shared" si="114"/>
        <v>0</v>
      </c>
      <c r="BB163" s="261">
        <f t="shared" si="114"/>
        <v>-204837498.75</v>
      </c>
      <c r="BC163" s="184"/>
      <c r="BD163" s="184"/>
      <c r="BE163" s="184"/>
      <c r="BF163" s="184"/>
    </row>
    <row r="164" spans="1:58" ht="78.75" outlineLevel="2" x14ac:dyDescent="0.25">
      <c r="A164" s="115"/>
      <c r="B164" s="200"/>
      <c r="C164" s="201"/>
      <c r="D164" s="333"/>
      <c r="E164" s="295"/>
      <c r="F164" s="306"/>
      <c r="G164" s="307"/>
      <c r="H164" s="199" t="s">
        <v>475</v>
      </c>
      <c r="I164" s="130" t="s">
        <v>4</v>
      </c>
      <c r="J164" s="126">
        <v>1</v>
      </c>
      <c r="K164" s="126">
        <v>7</v>
      </c>
      <c r="L164" s="125">
        <f>IF(I164&lt;&gt;0,((VLOOKUP(I164,'1. Standard_Cost'!$B$4:$D$11,2)+VLOOKUP(I164,'1. Standard_Cost'!$B$4:$D$11,3))*J164*K164),"0")</f>
        <v>565250</v>
      </c>
      <c r="M164" s="125">
        <f>L164*'1. Standard_Cost'!$F$4</f>
        <v>94396.75</v>
      </c>
      <c r="N164" s="126"/>
      <c r="O164" s="126"/>
      <c r="P164" s="126"/>
      <c r="Q164" s="126"/>
      <c r="R164" s="127">
        <f>'1. Standard_Cost'!$B$15*N164*P164</f>
        <v>0</v>
      </c>
      <c r="S164" s="127">
        <f>N164*O164*P164*'1. Standard_Cost'!$C$15</f>
        <v>0</v>
      </c>
      <c r="T164" s="127">
        <f>N164*P164*Q164*'1. Standard_Cost'!$D$15</f>
        <v>0</v>
      </c>
      <c r="U164" s="127">
        <f>N164*O164*'1. Standard_Cost'!$E$15</f>
        <v>0</v>
      </c>
      <c r="V164" s="126"/>
      <c r="W164" s="126"/>
      <c r="X164" s="126"/>
      <c r="Y164" s="127">
        <f>+V164*((X164*'1. Standard_Cost'!$B$19)+(W164*X164*'1. Standard_Cost'!$C$19))</f>
        <v>0</v>
      </c>
      <c r="Z164" s="126"/>
      <c r="AA164" s="126">
        <v>30</v>
      </c>
      <c r="AB164" s="127">
        <f>+Z164*'1. Standard_Cost'!$B$23+AA164*'1. Standard_Cost'!$C$23</f>
        <v>570000</v>
      </c>
      <c r="AC164" s="128">
        <v>150000</v>
      </c>
      <c r="AD164" s="129"/>
      <c r="AE164" s="127">
        <f>SUM(AD164,AC164,AB164,Y164,U164,T164,S164,R164)*'1. Standard_Cost'!$B$31</f>
        <v>144000</v>
      </c>
      <c r="AF164" s="127">
        <f>SUM(AE164,AD164,AC164,AB164,Y164,U164,T164,S164,R164)</f>
        <v>864000</v>
      </c>
      <c r="AG164" s="126"/>
      <c r="AH164" s="126"/>
      <c r="AI164" s="126"/>
      <c r="AJ164" s="130"/>
      <c r="AK164" s="130"/>
      <c r="AL164" s="130"/>
      <c r="AM164" s="127">
        <f>AG164*'1. Standard_Cost'!$B$27+'Incremental_Cost Year 2'!AH164*'1. Standard_Cost'!$C$27+'Incremental_Cost Year 2'!AI164*'1. Standard_Cost'!$D$27+'Incremental_Cost Year 2'!AJ164+'Incremental_Cost Year 2'!AL164+AK164</f>
        <v>0</v>
      </c>
      <c r="AN164" s="127">
        <f>AM164*'1. Standard_Cost'!$C$31</f>
        <v>0</v>
      </c>
      <c r="AO164" s="130"/>
      <c r="AP164" s="256"/>
      <c r="AQ164" s="171">
        <f>L164+M164</f>
        <v>659646.75</v>
      </c>
      <c r="AR164" s="171">
        <f>AF164</f>
        <v>864000</v>
      </c>
      <c r="AS164" s="171">
        <f>AM164+AN164</f>
        <v>0</v>
      </c>
      <c r="AT164" s="171">
        <f>SUM(AQ164,AR164,AS164)</f>
        <v>1523646.75</v>
      </c>
      <c r="AU164" s="250">
        <v>839647</v>
      </c>
      <c r="AV164" s="250"/>
      <c r="AW164" s="250"/>
      <c r="AX164" s="250"/>
      <c r="AY164" s="250"/>
      <c r="AZ164" s="250"/>
      <c r="BA164" s="250"/>
      <c r="BB164" s="251">
        <f t="shared" ref="BB164:BB167" si="115">SUM(AU164:BA164)-AT164</f>
        <v>-683999.75</v>
      </c>
      <c r="BC164" s="169"/>
      <c r="BD164" s="169"/>
      <c r="BE164" s="169"/>
      <c r="BF164" s="169"/>
    </row>
    <row r="165" spans="1:58" ht="78.75" outlineLevel="2" x14ac:dyDescent="0.25">
      <c r="A165" s="115"/>
      <c r="B165" s="200"/>
      <c r="C165" s="201"/>
      <c r="D165" s="151"/>
      <c r="E165" s="219"/>
      <c r="F165" s="308"/>
      <c r="G165" s="309"/>
      <c r="H165" s="199" t="s">
        <v>476</v>
      </c>
      <c r="I165" s="130" t="s">
        <v>4</v>
      </c>
      <c r="J165" s="126">
        <v>1</v>
      </c>
      <c r="K165" s="126">
        <v>9</v>
      </c>
      <c r="L165" s="125">
        <f>IF(I165&lt;&gt;0,((VLOOKUP(I165,'1. Standard_Cost'!$B$4:$D$11,2)+VLOOKUP(I165,'1. Standard_Cost'!$B$4:$D$11,3))*J165*K165),"0")</f>
        <v>726750</v>
      </c>
      <c r="M165" s="125">
        <f>L165*'1. Standard_Cost'!$F$4</f>
        <v>121367.25</v>
      </c>
      <c r="N165" s="126"/>
      <c r="O165" s="126"/>
      <c r="P165" s="126"/>
      <c r="Q165" s="126"/>
      <c r="R165" s="127">
        <f>'1. Standard_Cost'!$B$15*N165*P165</f>
        <v>0</v>
      </c>
      <c r="S165" s="127">
        <f>N165*O165*P165*'1. Standard_Cost'!$C$15</f>
        <v>0</v>
      </c>
      <c r="T165" s="127">
        <f>N165*P165*Q165*'1. Standard_Cost'!$D$15</f>
        <v>0</v>
      </c>
      <c r="U165" s="127">
        <f>N165*O165*'1. Standard_Cost'!$E$15</f>
        <v>0</v>
      </c>
      <c r="V165" s="126"/>
      <c r="W165" s="126"/>
      <c r="X165" s="126"/>
      <c r="Y165" s="127">
        <f>+V165*((X165*'1. Standard_Cost'!$B$19)+(W165*X165*'1. Standard_Cost'!$C$19))</f>
        <v>0</v>
      </c>
      <c r="Z165" s="126"/>
      <c r="AA165" s="126">
        <v>30</v>
      </c>
      <c r="AB165" s="127">
        <f>+Z165*'1. Standard_Cost'!$B$23+AA165*'1. Standard_Cost'!$C$23</f>
        <v>570000</v>
      </c>
      <c r="AC165" s="128">
        <v>150000</v>
      </c>
      <c r="AD165" s="129"/>
      <c r="AE165" s="127">
        <f>SUM(AD165,AC165,AB165,Y165,U165,T165,S165,R165)*'1. Standard_Cost'!$B$31</f>
        <v>144000</v>
      </c>
      <c r="AF165" s="127">
        <f>SUM(AE165,AD165,AC165,AB165,Y165,U165,T165,S165,R165)</f>
        <v>864000</v>
      </c>
      <c r="AG165" s="126"/>
      <c r="AH165" s="126"/>
      <c r="AI165" s="126"/>
      <c r="AJ165" s="130"/>
      <c r="AK165" s="130"/>
      <c r="AL165" s="130"/>
      <c r="AM165" s="127">
        <f>AG165*'1. Standard_Cost'!$B$27+'Incremental_Cost Year 2'!AH165*'1. Standard_Cost'!$C$27+'Incremental_Cost Year 2'!AI165*'1. Standard_Cost'!$D$27+'Incremental_Cost Year 2'!AJ165+'Incremental_Cost Year 2'!AL165+AK165</f>
        <v>0</v>
      </c>
      <c r="AN165" s="127">
        <f>AM165*'1. Standard_Cost'!$C$31</f>
        <v>0</v>
      </c>
      <c r="AO165" s="130"/>
      <c r="AP165" s="256"/>
      <c r="AQ165" s="171">
        <f>L165+M165</f>
        <v>848117.25</v>
      </c>
      <c r="AR165" s="171">
        <f>AF165</f>
        <v>864000</v>
      </c>
      <c r="AS165" s="171">
        <f>AM165+AN165</f>
        <v>0</v>
      </c>
      <c r="AT165" s="171">
        <f>SUM(AQ165,AR165,AS165)</f>
        <v>1712117.25</v>
      </c>
      <c r="AU165" s="250">
        <v>1028117</v>
      </c>
      <c r="AV165" s="250"/>
      <c r="AW165" s="250"/>
      <c r="AX165" s="250"/>
      <c r="AY165" s="250"/>
      <c r="AZ165" s="250"/>
      <c r="BA165" s="250"/>
      <c r="BB165" s="251">
        <f t="shared" si="115"/>
        <v>-684000.25</v>
      </c>
      <c r="BC165" s="169"/>
      <c r="BD165" s="169"/>
      <c r="BE165" s="169"/>
      <c r="BF165" s="169"/>
    </row>
    <row r="166" spans="1:58" ht="110.25" outlineLevel="2" x14ac:dyDescent="0.25">
      <c r="A166" s="115"/>
      <c r="B166" s="200"/>
      <c r="C166" s="201"/>
      <c r="D166" s="151"/>
      <c r="E166" s="219"/>
      <c r="F166" s="308"/>
      <c r="G166" s="309"/>
      <c r="H166" s="199" t="s">
        <v>541</v>
      </c>
      <c r="I166" s="130" t="s">
        <v>5</v>
      </c>
      <c r="J166" s="126">
        <v>1.5</v>
      </c>
      <c r="K166" s="126">
        <v>13</v>
      </c>
      <c r="L166" s="125">
        <f>IF(I166&lt;&gt;0,((VLOOKUP(I166,'1. Standard_Cost'!$B$4:$D$11,2)+VLOOKUP(I166,'1. Standard_Cost'!$B$4:$D$11,3))*J166*K166),"0")</f>
        <v>1378650</v>
      </c>
      <c r="M166" s="125">
        <f>L166*'1. Standard_Cost'!$F$4</f>
        <v>230234.55000000002</v>
      </c>
      <c r="N166" s="126">
        <v>4</v>
      </c>
      <c r="O166" s="126">
        <v>1</v>
      </c>
      <c r="P166" s="126">
        <v>15</v>
      </c>
      <c r="Q166" s="126"/>
      <c r="R166" s="127">
        <f>'1. Standard_Cost'!$B$15*N166*P166</f>
        <v>120000</v>
      </c>
      <c r="S166" s="127">
        <f>N166*O166*P166*'1. Standard_Cost'!$C$15</f>
        <v>90000</v>
      </c>
      <c r="T166" s="127">
        <f>N166*P166*Q166*'1. Standard_Cost'!$D$15</f>
        <v>0</v>
      </c>
      <c r="U166" s="127">
        <f>N166*O166*'1. Standard_Cost'!$E$15</f>
        <v>160000</v>
      </c>
      <c r="V166" s="126"/>
      <c r="W166" s="126"/>
      <c r="X166" s="126"/>
      <c r="Y166" s="127">
        <f>+V166*((X166*'1. Standard_Cost'!$B$19)+(W166*X166*'1. Standard_Cost'!$C$19))</f>
        <v>0</v>
      </c>
      <c r="Z166" s="126"/>
      <c r="AA166" s="126">
        <v>40</v>
      </c>
      <c r="AB166" s="127">
        <f>+Z166*'1. Standard_Cost'!$B$23+AA166*'1. Standard_Cost'!$C$23</f>
        <v>760000</v>
      </c>
      <c r="AC166" s="128">
        <f>10000000+160000</f>
        <v>10160000</v>
      </c>
      <c r="AD166" s="129"/>
      <c r="AE166" s="127">
        <f>SUM(AD166,AC166,AB166,Y166,U166,T166,S166,R166)*'1. Standard_Cost'!$B$31</f>
        <v>2258000</v>
      </c>
      <c r="AF166" s="127">
        <f>SUM(AE166,AD166,AC166,AB166,Y166,U166,T166,S166,R166)</f>
        <v>13548000</v>
      </c>
      <c r="AG166" s="126"/>
      <c r="AH166" s="126"/>
      <c r="AI166" s="126"/>
      <c r="AJ166" s="130"/>
      <c r="AK166" s="130"/>
      <c r="AL166" s="130"/>
      <c r="AM166" s="127">
        <f>AG166*'1. Standard_Cost'!$B$27+'Incremental_Cost Year 2'!AH166*'1. Standard_Cost'!$C$27+'Incremental_Cost Year 2'!AI166*'1. Standard_Cost'!$D$27+'Incremental_Cost Year 2'!AJ166+'Incremental_Cost Year 2'!AL166+AK166</f>
        <v>0</v>
      </c>
      <c r="AN166" s="127">
        <f>AM166*'1. Standard_Cost'!$C$31</f>
        <v>0</v>
      </c>
      <c r="AO166" s="130"/>
      <c r="AP166" s="256"/>
      <c r="AQ166" s="171">
        <f>L166+M166</f>
        <v>1608884.55</v>
      </c>
      <c r="AR166" s="171">
        <f>AF166</f>
        <v>13548000</v>
      </c>
      <c r="AS166" s="171">
        <f>AM166+AN166</f>
        <v>0</v>
      </c>
      <c r="AT166" s="171">
        <f>SUM(AQ166,AR166,AS166)</f>
        <v>15156884.550000001</v>
      </c>
      <c r="AU166" s="250">
        <v>1608885</v>
      </c>
      <c r="AV166" s="250"/>
      <c r="AW166" s="250"/>
      <c r="AX166" s="250"/>
      <c r="AY166" s="250"/>
      <c r="AZ166" s="250">
        <v>10000000</v>
      </c>
      <c r="BA166" s="250"/>
      <c r="BB166" s="251">
        <f t="shared" si="115"/>
        <v>-3547999.5500000007</v>
      </c>
      <c r="BC166" s="169"/>
      <c r="BD166" s="169"/>
      <c r="BE166" s="169"/>
      <c r="BF166" s="169"/>
    </row>
    <row r="167" spans="1:58" ht="31.5" outlineLevel="2" x14ac:dyDescent="0.25">
      <c r="A167" s="115"/>
      <c r="B167" s="200"/>
      <c r="C167" s="201"/>
      <c r="D167" s="310"/>
      <c r="E167" s="122"/>
      <c r="F167" s="311"/>
      <c r="G167" s="312"/>
      <c r="H167" s="199" t="s">
        <v>315</v>
      </c>
      <c r="I167" s="130" t="s">
        <v>4</v>
      </c>
      <c r="J167" s="126">
        <v>12</v>
      </c>
      <c r="K167" s="126">
        <v>398</v>
      </c>
      <c r="L167" s="125">
        <f>IF(I167&lt;&gt;0,((VLOOKUP(I167,'1. Standard_Cost'!$B$4:$D$11,2)+VLOOKUP(I167,'1. Standard_Cost'!$B$4:$D$11,3))*J167*K167),"0")</f>
        <v>385662000</v>
      </c>
      <c r="M167" s="125">
        <f>L167*'1. Standard_Cost'!$F$4</f>
        <v>64405554</v>
      </c>
      <c r="N167" s="126"/>
      <c r="O167" s="126"/>
      <c r="P167" s="126"/>
      <c r="Q167" s="126"/>
      <c r="R167" s="127">
        <f>'1. Standard_Cost'!$B$15*N167*P167</f>
        <v>0</v>
      </c>
      <c r="S167" s="127">
        <f>N167*O167*P167*'1. Standard_Cost'!$C$15</f>
        <v>0</v>
      </c>
      <c r="T167" s="127">
        <f>N167*P167*Q167*'1. Standard_Cost'!$D$15</f>
        <v>0</v>
      </c>
      <c r="U167" s="127">
        <f>N167*O167*'1. Standard_Cost'!$E$15</f>
        <v>0</v>
      </c>
      <c r="V167" s="126"/>
      <c r="W167" s="126"/>
      <c r="X167" s="126"/>
      <c r="Y167" s="127">
        <f>+V167*((X167*'1. Standard_Cost'!$B$19)+(W167*X167*'1. Standard_Cost'!$C$19))</f>
        <v>0</v>
      </c>
      <c r="Z167" s="126"/>
      <c r="AA167" s="126"/>
      <c r="AB167" s="127">
        <f>+Z167*'1. Standard_Cost'!$B$23+AA167*'1. Standard_Cost'!$C$23</f>
        <v>0</v>
      </c>
      <c r="AC167" s="128">
        <v>640000000</v>
      </c>
      <c r="AD167" s="129"/>
      <c r="AE167" s="127"/>
      <c r="AF167" s="127">
        <f>SUM(AE167,AD167,AC167,AB167,Y167,U167,T167,S167,R167)</f>
        <v>640000000</v>
      </c>
      <c r="AG167" s="126"/>
      <c r="AH167" s="126"/>
      <c r="AI167" s="126"/>
      <c r="AJ167" s="130"/>
      <c r="AK167" s="130"/>
      <c r="AL167" s="130"/>
      <c r="AM167" s="127">
        <f>AG167*'1. Standard_Cost'!$B$27+'Incremental_Cost Year 2'!AH167*'1. Standard_Cost'!$C$27+'Incremental_Cost Year 2'!AI167*'1. Standard_Cost'!$D$27+'Incremental_Cost Year 2'!AJ167+'Incremental_Cost Year 2'!AL167+AK167</f>
        <v>0</v>
      </c>
      <c r="AN167" s="127">
        <f>AM167*'1. Standard_Cost'!$C$31</f>
        <v>0</v>
      </c>
      <c r="AO167" s="130"/>
      <c r="AP167" s="256"/>
      <c r="AQ167" s="171">
        <f>L167+M167</f>
        <v>450067554</v>
      </c>
      <c r="AR167" s="171">
        <f>AF167</f>
        <v>640000000</v>
      </c>
      <c r="AS167" s="171">
        <f>AM167+AN167</f>
        <v>0</v>
      </c>
      <c r="AT167" s="171">
        <f>SUM(AQ167,AR167,AS167)</f>
        <v>1090067554</v>
      </c>
      <c r="AU167" s="250">
        <v>1090067554</v>
      </c>
      <c r="AV167" s="250"/>
      <c r="AW167" s="250"/>
      <c r="AX167" s="250"/>
      <c r="AY167" s="250"/>
      <c r="AZ167" s="250"/>
      <c r="BA167" s="250"/>
      <c r="BB167" s="251">
        <f t="shared" si="115"/>
        <v>0</v>
      </c>
      <c r="BC167" s="169"/>
      <c r="BD167" s="169"/>
      <c r="BE167" s="169"/>
      <c r="BF167" s="169"/>
    </row>
    <row r="168" spans="1:58" ht="78.75" outlineLevel="2" x14ac:dyDescent="0.25">
      <c r="A168" s="115"/>
      <c r="B168" s="165"/>
      <c r="C168" s="166"/>
      <c r="D168" s="139" t="s">
        <v>477</v>
      </c>
      <c r="E168" s="212" t="s">
        <v>478</v>
      </c>
      <c r="F168" s="136">
        <v>2021</v>
      </c>
      <c r="G168" s="117">
        <v>2030</v>
      </c>
      <c r="H168" s="110" t="s">
        <v>170</v>
      </c>
      <c r="I168" s="252"/>
      <c r="J168" s="252"/>
      <c r="K168" s="252"/>
      <c r="L168" s="127">
        <f>SUM(L164:L167)</f>
        <v>388332650</v>
      </c>
      <c r="M168" s="127">
        <f>SUM(M164:M167)</f>
        <v>64851552.549999997</v>
      </c>
      <c r="N168" s="252"/>
      <c r="O168" s="252"/>
      <c r="P168" s="252"/>
      <c r="Q168" s="252"/>
      <c r="R168" s="127">
        <f>SUM(R164:R167)</f>
        <v>120000</v>
      </c>
      <c r="S168" s="127">
        <f>SUM(S164:S167)</f>
        <v>90000</v>
      </c>
      <c r="T168" s="127">
        <f>SUM(T164:T167)</f>
        <v>0</v>
      </c>
      <c r="U168" s="127">
        <f>SUM(U164:U167)</f>
        <v>160000</v>
      </c>
      <c r="V168" s="252"/>
      <c r="W168" s="252"/>
      <c r="X168" s="252"/>
      <c r="Y168" s="127">
        <f>SUM(Y164:Y167)</f>
        <v>0</v>
      </c>
      <c r="Z168" s="127"/>
      <c r="AA168" s="252"/>
      <c r="AB168" s="127">
        <f>SUM(AB164:AB167)</f>
        <v>1900000</v>
      </c>
      <c r="AC168" s="127">
        <f>SUM(AC164:AC167)</f>
        <v>650460000</v>
      </c>
      <c r="AD168" s="127">
        <f>SUM(AD164:AD167)</f>
        <v>0</v>
      </c>
      <c r="AE168" s="127">
        <f>SUM(AE164:AE167)</f>
        <v>2546000</v>
      </c>
      <c r="AF168" s="127">
        <f>SUM(AF164:AF167)</f>
        <v>655276000</v>
      </c>
      <c r="AG168" s="252"/>
      <c r="AH168" s="252"/>
      <c r="AI168" s="252"/>
      <c r="AJ168" s="127">
        <f>SUM(AJ164:AJ167)</f>
        <v>0</v>
      </c>
      <c r="AK168" s="127">
        <f>SUM(AK164:AK167)</f>
        <v>0</v>
      </c>
      <c r="AL168" s="127">
        <f>SUM(AL164:AL167)</f>
        <v>0</v>
      </c>
      <c r="AM168" s="127">
        <f>SUM(AM164:AM167)</f>
        <v>0</v>
      </c>
      <c r="AN168" s="127">
        <f>SUM(AN164:AN167)</f>
        <v>0</v>
      </c>
      <c r="AO168" s="253"/>
      <c r="AP168" s="254"/>
      <c r="AQ168" s="175">
        <f>SUM(AQ164:AQ167)</f>
        <v>453184202.55000001</v>
      </c>
      <c r="AR168" s="175">
        <f>SUM(AR164:AR167)</f>
        <v>655276000</v>
      </c>
      <c r="AS168" s="175">
        <f>SUM(AS164:AS167)</f>
        <v>0</v>
      </c>
      <c r="AT168" s="175">
        <f>SUM(AT164:AT167)</f>
        <v>1108460202.55</v>
      </c>
      <c r="AU168" s="175">
        <f t="shared" ref="AU168:BA168" si="116">SUM(AU164:AU167)</f>
        <v>1093544203</v>
      </c>
      <c r="AV168" s="175">
        <f t="shared" si="116"/>
        <v>0</v>
      </c>
      <c r="AW168" s="175">
        <f>SUM(AW164:AW167)</f>
        <v>0</v>
      </c>
      <c r="AX168" s="175">
        <f t="shared" si="116"/>
        <v>0</v>
      </c>
      <c r="AY168" s="175">
        <f t="shared" si="116"/>
        <v>0</v>
      </c>
      <c r="AZ168" s="175">
        <f t="shared" si="116"/>
        <v>10000000</v>
      </c>
      <c r="BA168" s="175">
        <f t="shared" si="116"/>
        <v>0</v>
      </c>
      <c r="BB168" s="175">
        <f>SUM(BB164:BB167)</f>
        <v>-4915999.5500000007</v>
      </c>
      <c r="BC168" s="169"/>
      <c r="BD168" s="169"/>
      <c r="BE168" s="169"/>
      <c r="BF168" s="169"/>
    </row>
    <row r="169" spans="1:58" ht="31.5" outlineLevel="1" x14ac:dyDescent="0.25">
      <c r="A169" s="115"/>
      <c r="B169" s="200"/>
      <c r="C169" s="201"/>
      <c r="D169" s="342"/>
      <c r="E169" s="328"/>
      <c r="F169" s="328"/>
      <c r="G169" s="328"/>
      <c r="H169" s="199" t="s">
        <v>479</v>
      </c>
      <c r="I169" s="130"/>
      <c r="J169" s="126"/>
      <c r="K169" s="126"/>
      <c r="L169" s="125" t="str">
        <f>IF(I169&lt;&gt;0,((VLOOKUP(I169,'1. Standard_Cost'!$B$4:$D$11,2)+VLOOKUP(I169,'1. Standard_Cost'!$B$4:$D$11,3))*J169*K169),"0")</f>
        <v>0</v>
      </c>
      <c r="M169" s="125">
        <f>L169*'1. Standard_Cost'!$F$4</f>
        <v>0</v>
      </c>
      <c r="N169" s="126"/>
      <c r="O169" s="126"/>
      <c r="P169" s="126"/>
      <c r="Q169" s="126"/>
      <c r="R169" s="127">
        <f>'1. Standard_Cost'!$B$15*N169*P169</f>
        <v>0</v>
      </c>
      <c r="S169" s="127">
        <f>N169*O169*P169*'1. Standard_Cost'!$C$15</f>
        <v>0</v>
      </c>
      <c r="T169" s="127">
        <f>N169*P169*Q169*'1. Standard_Cost'!$D$15</f>
        <v>0</v>
      </c>
      <c r="U169" s="127">
        <f>N169*O169*'1. Standard_Cost'!$E$15</f>
        <v>0</v>
      </c>
      <c r="V169" s="126"/>
      <c r="W169" s="126"/>
      <c r="X169" s="126"/>
      <c r="Y169" s="127">
        <f>+V169*((X169*'1. Standard_Cost'!$B$19)+(W169*X169*'1. Standard_Cost'!$C$19))</f>
        <v>0</v>
      </c>
      <c r="Z169" s="126"/>
      <c r="AA169" s="126"/>
      <c r="AB169" s="127">
        <f>+Z169*'1. Standard_Cost'!$B$23+AA169*'1. Standard_Cost'!$C$23</f>
        <v>0</v>
      </c>
      <c r="AC169" s="128">
        <v>1290241000</v>
      </c>
      <c r="AD169" s="129"/>
      <c r="AE169" s="127">
        <v>0</v>
      </c>
      <c r="AF169" s="127">
        <f t="shared" ref="AF169:AF177" si="117">SUM(AE169,AD169,AC169,AB169,Y169,U169,T169,S169,R169)</f>
        <v>1290241000</v>
      </c>
      <c r="AG169" s="126"/>
      <c r="AH169" s="126"/>
      <c r="AI169" s="126"/>
      <c r="AJ169" s="130"/>
      <c r="AK169" s="130"/>
      <c r="AL169" s="130"/>
      <c r="AM169" s="127">
        <f>AG169*'1. Standard_Cost'!$B$27+'Incremental_Cost Year 2'!AH169*'1. Standard_Cost'!$C$27+'Incremental_Cost Year 2'!AI169*'1. Standard_Cost'!$D$27+'Incremental_Cost Year 2'!AJ169+'Incremental_Cost Year 2'!AL169+AK169</f>
        <v>0</v>
      </c>
      <c r="AN169" s="127">
        <f>AM169*'1. Standard_Cost'!$C$31</f>
        <v>0</v>
      </c>
      <c r="AO169" s="130"/>
      <c r="AP169" s="256"/>
      <c r="AQ169" s="171">
        <f t="shared" ref="AQ169:AQ177" si="118">L169+M169</f>
        <v>0</v>
      </c>
      <c r="AR169" s="171">
        <f t="shared" ref="AR169:AR177" si="119">AF169</f>
        <v>1290241000</v>
      </c>
      <c r="AS169" s="171">
        <f t="shared" ref="AS169:AS177" si="120">AM169+AN169</f>
        <v>0</v>
      </c>
      <c r="AT169" s="171">
        <f t="shared" ref="AT169:AT177" si="121">SUM(AQ169,AR169,AS169)</f>
        <v>1290241000</v>
      </c>
      <c r="AU169" s="250">
        <v>1290241000</v>
      </c>
      <c r="AV169" s="250"/>
      <c r="AW169" s="250"/>
      <c r="AX169" s="250"/>
      <c r="AY169" s="250"/>
      <c r="AZ169" s="250"/>
      <c r="BA169" s="250"/>
      <c r="BB169" s="251">
        <f t="shared" ref="BB169:BB177" si="122">SUM(AU169:BA169)-AT169</f>
        <v>0</v>
      </c>
      <c r="BC169" s="169"/>
      <c r="BD169" s="169"/>
      <c r="BE169" s="169"/>
      <c r="BF169" s="169"/>
    </row>
    <row r="170" spans="1:58" ht="47.25" outlineLevel="2" x14ac:dyDescent="0.25">
      <c r="A170" s="115"/>
      <c r="B170" s="200"/>
      <c r="C170" s="201"/>
      <c r="D170" s="343"/>
      <c r="E170" s="328"/>
      <c r="F170" s="328"/>
      <c r="G170" s="328"/>
      <c r="H170" s="213" t="s">
        <v>480</v>
      </c>
      <c r="I170" s="130"/>
      <c r="J170" s="126"/>
      <c r="K170" s="126"/>
      <c r="L170" s="125" t="str">
        <f>IF(I170&lt;&gt;0,((VLOOKUP(I170,'1. Standard_Cost'!$B$4:$D$11,2)+VLOOKUP(I170,'1. Standard_Cost'!$B$4:$D$11,3))*J170*K170),"0")</f>
        <v>0</v>
      </c>
      <c r="M170" s="125">
        <f>L170*'1. Standard_Cost'!$F$4</f>
        <v>0</v>
      </c>
      <c r="N170" s="126"/>
      <c r="O170" s="126"/>
      <c r="P170" s="126"/>
      <c r="Q170" s="126"/>
      <c r="R170" s="127">
        <f>'1. Standard_Cost'!$B$15*N170*P170</f>
        <v>0</v>
      </c>
      <c r="S170" s="127">
        <f>N170*O170*P170*'1. Standard_Cost'!$C$15</f>
        <v>0</v>
      </c>
      <c r="T170" s="127">
        <f>N170*P170*Q170*'1. Standard_Cost'!$D$15</f>
        <v>0</v>
      </c>
      <c r="U170" s="127">
        <f>N170*O170*'1. Standard_Cost'!$E$15</f>
        <v>0</v>
      </c>
      <c r="V170" s="126"/>
      <c r="W170" s="126"/>
      <c r="X170" s="126"/>
      <c r="Y170" s="127">
        <f>+V170*((X170*'1. Standard_Cost'!$B$19)+(W170*X170*'1. Standard_Cost'!$C$19))</f>
        <v>0</v>
      </c>
      <c r="Z170" s="126"/>
      <c r="AA170" s="126"/>
      <c r="AB170" s="127">
        <f>+Z170*'1. Standard_Cost'!$B$23+AA170*'1. Standard_Cost'!$C$23</f>
        <v>0</v>
      </c>
      <c r="AC170" s="266">
        <v>835000000</v>
      </c>
      <c r="AD170" s="129"/>
      <c r="AE170" s="127">
        <v>0</v>
      </c>
      <c r="AF170" s="127">
        <f t="shared" si="117"/>
        <v>835000000</v>
      </c>
      <c r="AG170" s="126"/>
      <c r="AH170" s="126"/>
      <c r="AI170" s="126"/>
      <c r="AJ170" s="130"/>
      <c r="AK170" s="130"/>
      <c r="AL170" s="130"/>
      <c r="AM170" s="127">
        <f>AG170*'1. Standard_Cost'!$B$27+'Incremental_Cost Year 2'!AH170*'1. Standard_Cost'!$C$27+'Incremental_Cost Year 2'!AI170*'1. Standard_Cost'!$D$27+'Incremental_Cost Year 2'!AJ170+'Incremental_Cost Year 2'!AL170+AK170</f>
        <v>0</v>
      </c>
      <c r="AN170" s="127">
        <f>AM170*'1. Standard_Cost'!$C$31</f>
        <v>0</v>
      </c>
      <c r="AO170" s="130"/>
      <c r="AP170" s="256"/>
      <c r="AQ170" s="171">
        <f t="shared" si="118"/>
        <v>0</v>
      </c>
      <c r="AR170" s="171">
        <f t="shared" si="119"/>
        <v>835000000</v>
      </c>
      <c r="AS170" s="171">
        <f t="shared" si="120"/>
        <v>0</v>
      </c>
      <c r="AT170" s="171">
        <f t="shared" si="121"/>
        <v>835000000</v>
      </c>
      <c r="AU170" s="250">
        <v>835000000</v>
      </c>
      <c r="AV170" s="250"/>
      <c r="AW170" s="250"/>
      <c r="AX170" s="250"/>
      <c r="AY170" s="250"/>
      <c r="AZ170" s="250"/>
      <c r="BA170" s="250"/>
      <c r="BB170" s="251">
        <f t="shared" si="122"/>
        <v>0</v>
      </c>
      <c r="BC170" s="169"/>
      <c r="BD170" s="169"/>
      <c r="BE170" s="169"/>
      <c r="BF170" s="169"/>
    </row>
    <row r="171" spans="1:58" ht="31.5" outlineLevel="2" x14ac:dyDescent="0.25">
      <c r="A171" s="115"/>
      <c r="B171" s="200"/>
      <c r="C171" s="201"/>
      <c r="D171" s="343"/>
      <c r="E171" s="328"/>
      <c r="F171" s="328"/>
      <c r="G171" s="328"/>
      <c r="H171" s="213" t="s">
        <v>481</v>
      </c>
      <c r="I171" s="130"/>
      <c r="J171" s="126"/>
      <c r="K171" s="126"/>
      <c r="L171" s="125" t="str">
        <f>IF(I171&lt;&gt;0,((VLOOKUP(I171,'1. Standard_Cost'!$B$4:$D$11,2)+VLOOKUP(I171,'1. Standard_Cost'!$B$4:$D$11,3))*J171*K171),"0")</f>
        <v>0</v>
      </c>
      <c r="M171" s="125">
        <f>L171*'1. Standard_Cost'!$F$4</f>
        <v>0</v>
      </c>
      <c r="N171" s="126"/>
      <c r="O171" s="126"/>
      <c r="P171" s="126"/>
      <c r="Q171" s="126"/>
      <c r="R171" s="127">
        <f>'1. Standard_Cost'!$B$15*N171*P171</f>
        <v>0</v>
      </c>
      <c r="S171" s="127">
        <f>N171*O171*P171*'1. Standard_Cost'!$C$15</f>
        <v>0</v>
      </c>
      <c r="T171" s="127">
        <f>N171*P171*Q171*'1. Standard_Cost'!$D$15</f>
        <v>0</v>
      </c>
      <c r="U171" s="127">
        <f>N171*O171*'1. Standard_Cost'!$E$15</f>
        <v>0</v>
      </c>
      <c r="V171" s="126"/>
      <c r="W171" s="126"/>
      <c r="X171" s="126"/>
      <c r="Y171" s="127">
        <f>+V171*((X171*'1. Standard_Cost'!$B$19)+(W171*X171*'1. Standard_Cost'!$C$19))</f>
        <v>0</v>
      </c>
      <c r="Z171" s="126"/>
      <c r="AA171" s="126"/>
      <c r="AB171" s="127">
        <f>+Z171*'1. Standard_Cost'!$B$23+AA171*'1. Standard_Cost'!$C$23</f>
        <v>0</v>
      </c>
      <c r="AC171" s="128">
        <v>1750000000</v>
      </c>
      <c r="AD171" s="129"/>
      <c r="AE171" s="127">
        <v>0</v>
      </c>
      <c r="AF171" s="127">
        <f t="shared" si="117"/>
        <v>1750000000</v>
      </c>
      <c r="AG171" s="126"/>
      <c r="AH171" s="126"/>
      <c r="AI171" s="126"/>
      <c r="AJ171" s="130"/>
      <c r="AK171" s="130"/>
      <c r="AL171" s="130"/>
      <c r="AM171" s="127">
        <f>AG171*'1. Standard_Cost'!$B$27+'Incremental_Cost Year 2'!AH171*'1. Standard_Cost'!$C$27+'Incremental_Cost Year 2'!AI171*'1. Standard_Cost'!$D$27+'Incremental_Cost Year 2'!AJ171+'Incremental_Cost Year 2'!AL171+AK171</f>
        <v>0</v>
      </c>
      <c r="AN171" s="127">
        <f>AM171*'1. Standard_Cost'!$C$31</f>
        <v>0</v>
      </c>
      <c r="AO171" s="130"/>
      <c r="AP171" s="256"/>
      <c r="AQ171" s="171">
        <f t="shared" si="118"/>
        <v>0</v>
      </c>
      <c r="AR171" s="171">
        <f t="shared" si="119"/>
        <v>1750000000</v>
      </c>
      <c r="AS171" s="171">
        <f t="shared" si="120"/>
        <v>0</v>
      </c>
      <c r="AT171" s="171">
        <f t="shared" si="121"/>
        <v>1750000000</v>
      </c>
      <c r="AU171" s="250">
        <v>1750000000</v>
      </c>
      <c r="AV171" s="250"/>
      <c r="AW171" s="250"/>
      <c r="AX171" s="250"/>
      <c r="AY171" s="250"/>
      <c r="AZ171" s="250"/>
      <c r="BA171" s="250"/>
      <c r="BB171" s="251">
        <f t="shared" si="122"/>
        <v>0</v>
      </c>
      <c r="BC171" s="169"/>
      <c r="BD171" s="169"/>
      <c r="BE171" s="169"/>
      <c r="BF171" s="169"/>
    </row>
    <row r="172" spans="1:58" ht="47.25" outlineLevel="2" x14ac:dyDescent="0.25">
      <c r="A172" s="115"/>
      <c r="B172" s="200"/>
      <c r="C172" s="201"/>
      <c r="D172" s="343"/>
      <c r="E172" s="328"/>
      <c r="F172" s="328"/>
      <c r="G172" s="328"/>
      <c r="H172" s="213" t="s">
        <v>542</v>
      </c>
      <c r="I172" s="130"/>
      <c r="J172" s="126"/>
      <c r="K172" s="126"/>
      <c r="L172" s="125" t="str">
        <f>IF(I172&lt;&gt;0,((VLOOKUP(I172,'1. Standard_Cost'!$B$4:$D$11,2)+VLOOKUP(I172,'1. Standard_Cost'!$B$4:$D$11,3))*J172*K172),"0")</f>
        <v>0</v>
      </c>
      <c r="M172" s="125">
        <f>L172*'1. Standard_Cost'!$F$4</f>
        <v>0</v>
      </c>
      <c r="N172" s="126"/>
      <c r="O172" s="126"/>
      <c r="P172" s="126"/>
      <c r="Q172" s="126"/>
      <c r="R172" s="127">
        <f>'1. Standard_Cost'!$B$15*N172*P172</f>
        <v>0</v>
      </c>
      <c r="S172" s="127">
        <f>N172*O172*P172*'1. Standard_Cost'!$C$15</f>
        <v>0</v>
      </c>
      <c r="T172" s="127">
        <f>N172*P172*Q172*'1. Standard_Cost'!$D$15</f>
        <v>0</v>
      </c>
      <c r="U172" s="127">
        <f>N172*O172*'1. Standard_Cost'!$E$15</f>
        <v>0</v>
      </c>
      <c r="V172" s="126"/>
      <c r="W172" s="126"/>
      <c r="X172" s="126"/>
      <c r="Y172" s="127">
        <f>+V172*((X172*'1. Standard_Cost'!$B$19)+(W172*X172*'1. Standard_Cost'!$C$19))</f>
        <v>0</v>
      </c>
      <c r="Z172" s="126"/>
      <c r="AA172" s="126"/>
      <c r="AB172" s="127">
        <f>+Z172*'1. Standard_Cost'!$B$23+AA172*'1. Standard_Cost'!$C$23</f>
        <v>0</v>
      </c>
      <c r="AC172" s="128"/>
      <c r="AD172" s="129"/>
      <c r="AE172" s="127">
        <f>SUM(AD172,AC172,AB172,Y172,U172,T172,S172,R172)*'1. Standard_Cost'!$B$31</f>
        <v>0</v>
      </c>
      <c r="AF172" s="127">
        <f t="shared" si="117"/>
        <v>0</v>
      </c>
      <c r="AG172" s="126"/>
      <c r="AH172" s="126"/>
      <c r="AI172" s="126"/>
      <c r="AJ172" s="130">
        <v>1093000000</v>
      </c>
      <c r="AK172" s="130"/>
      <c r="AL172" s="130">
        <v>232210000</v>
      </c>
      <c r="AM172" s="127">
        <f>AG172*'1. Standard_Cost'!$B$27+'Incremental_Cost Year 2'!AH172*'1. Standard_Cost'!$C$27+'Incremental_Cost Year 2'!AI172*'1. Standard_Cost'!$D$27+'Incremental_Cost Year 2'!AJ172+'Incremental_Cost Year 2'!AL172+AK172</f>
        <v>1325210000</v>
      </c>
      <c r="AN172" s="127">
        <f>AM172*'1. Standard_Cost'!$C$31</f>
        <v>198781500</v>
      </c>
      <c r="AO172" s="130"/>
      <c r="AP172" s="256"/>
      <c r="AQ172" s="171">
        <f t="shared" si="118"/>
        <v>0</v>
      </c>
      <c r="AR172" s="171">
        <f t="shared" si="119"/>
        <v>0</v>
      </c>
      <c r="AS172" s="171">
        <f t="shared" si="120"/>
        <v>1523991500</v>
      </c>
      <c r="AT172" s="171">
        <f t="shared" si="121"/>
        <v>1523991500</v>
      </c>
      <c r="AU172" s="250">
        <v>938210000</v>
      </c>
      <c r="AV172" s="250">
        <v>115000000</v>
      </c>
      <c r="AW172" s="250">
        <v>272000000</v>
      </c>
      <c r="AX172" s="250"/>
      <c r="AY172" s="250"/>
      <c r="AZ172" s="250"/>
      <c r="BA172" s="250"/>
      <c r="BB172" s="251">
        <f t="shared" si="122"/>
        <v>-198781500</v>
      </c>
      <c r="BC172" s="169"/>
      <c r="BD172" s="169"/>
      <c r="BE172" s="169"/>
      <c r="BF172" s="169"/>
    </row>
    <row r="173" spans="1:58" ht="31.5" outlineLevel="2" x14ac:dyDescent="0.25">
      <c r="A173" s="115"/>
      <c r="B173" s="200"/>
      <c r="C173" s="201"/>
      <c r="D173" s="343"/>
      <c r="E173" s="328"/>
      <c r="F173" s="328"/>
      <c r="G173" s="328"/>
      <c r="H173" s="213" t="s">
        <v>482</v>
      </c>
      <c r="I173" s="130" t="s">
        <v>5</v>
      </c>
      <c r="J173" s="126">
        <v>12</v>
      </c>
      <c r="K173" s="126">
        <v>59</v>
      </c>
      <c r="L173" s="125">
        <f>IF(I173&lt;&gt;0,((VLOOKUP(I173,'1. Standard_Cost'!$B$4:$D$11,2)+VLOOKUP(I173,'1. Standard_Cost'!$B$4:$D$11,3))*J173*K173),"0")</f>
        <v>50055600</v>
      </c>
      <c r="M173" s="125">
        <f>L173*'1. Standard_Cost'!$F$4</f>
        <v>8359285.2000000002</v>
      </c>
      <c r="N173" s="126"/>
      <c r="O173" s="126"/>
      <c r="P173" s="126"/>
      <c r="Q173" s="126"/>
      <c r="R173" s="127">
        <f>'1. Standard_Cost'!$B$15*N173*P173</f>
        <v>0</v>
      </c>
      <c r="S173" s="127">
        <f>N173*O173*P173*'1. Standard_Cost'!$C$15</f>
        <v>0</v>
      </c>
      <c r="T173" s="127">
        <f>N173*P173*Q173*'1. Standard_Cost'!$D$15</f>
        <v>0</v>
      </c>
      <c r="U173" s="127">
        <f>N173*O173*'1. Standard_Cost'!$E$15</f>
        <v>0</v>
      </c>
      <c r="V173" s="126"/>
      <c r="W173" s="126"/>
      <c r="X173" s="126"/>
      <c r="Y173" s="127">
        <f>+V173*((X173*'1. Standard_Cost'!$B$19)+(W173*X173*'1. Standard_Cost'!$C$19))</f>
        <v>0</v>
      </c>
      <c r="Z173" s="126"/>
      <c r="AA173" s="126"/>
      <c r="AB173" s="127">
        <f>+Z173*'1. Standard_Cost'!$B$23+AA173*'1. Standard_Cost'!$C$23</f>
        <v>0</v>
      </c>
      <c r="AC173" s="128">
        <v>397000000</v>
      </c>
      <c r="AD173" s="129"/>
      <c r="AE173" s="127">
        <v>0</v>
      </c>
      <c r="AF173" s="127">
        <f t="shared" si="117"/>
        <v>397000000</v>
      </c>
      <c r="AG173" s="126"/>
      <c r="AH173" s="126"/>
      <c r="AI173" s="126"/>
      <c r="AJ173" s="130">
        <v>54497000</v>
      </c>
      <c r="AK173" s="130"/>
      <c r="AL173" s="130"/>
      <c r="AM173" s="127">
        <f>AG173*'1. Standard_Cost'!$B$27+'Incremental_Cost Year 2'!AH173*'1. Standard_Cost'!$C$27+'Incremental_Cost Year 2'!AI173*'1. Standard_Cost'!$D$27+'Incremental_Cost Year 2'!AJ173+'Incremental_Cost Year 2'!AL173+AK173</f>
        <v>54497000</v>
      </c>
      <c r="AN173" s="127">
        <f>AM173*'1. Standard_Cost'!$C$31</f>
        <v>8174550</v>
      </c>
      <c r="AO173" s="130"/>
      <c r="AP173" s="256"/>
      <c r="AQ173" s="171">
        <f t="shared" si="118"/>
        <v>58414885.200000003</v>
      </c>
      <c r="AR173" s="171">
        <f t="shared" si="119"/>
        <v>397000000</v>
      </c>
      <c r="AS173" s="171">
        <f t="shared" si="120"/>
        <v>62671550</v>
      </c>
      <c r="AT173" s="171">
        <f t="shared" si="121"/>
        <v>518086435.19999999</v>
      </c>
      <c r="AU173" s="250">
        <v>518086435.19999999</v>
      </c>
      <c r="AV173" s="250"/>
      <c r="AW173" s="250"/>
      <c r="AX173" s="250"/>
      <c r="AY173" s="250"/>
      <c r="AZ173" s="250"/>
      <c r="BA173" s="250"/>
      <c r="BB173" s="251">
        <f t="shared" si="122"/>
        <v>0</v>
      </c>
      <c r="BC173" s="169"/>
      <c r="BD173" s="169"/>
      <c r="BE173" s="169"/>
      <c r="BF173" s="169"/>
    </row>
    <row r="174" spans="1:58" ht="15.75" outlineLevel="2" x14ac:dyDescent="0.25">
      <c r="A174" s="115"/>
      <c r="B174" s="200"/>
      <c r="C174" s="201"/>
      <c r="D174" s="343"/>
      <c r="E174" s="328"/>
      <c r="F174" s="328"/>
      <c r="G174" s="328"/>
      <c r="H174" s="199"/>
      <c r="I174" s="130"/>
      <c r="J174" s="126"/>
      <c r="K174" s="126"/>
      <c r="L174" s="125" t="str">
        <f>IF(I174&lt;&gt;0,((VLOOKUP(I174,'1. Standard_Cost'!$B$4:$D$11,2)+VLOOKUP(I174,'1. Standard_Cost'!$B$4:$D$11,3))*J174*K174),"0")</f>
        <v>0</v>
      </c>
      <c r="M174" s="125">
        <f>L174*'1. Standard_Cost'!$F$4</f>
        <v>0</v>
      </c>
      <c r="N174" s="126"/>
      <c r="O174" s="126"/>
      <c r="P174" s="126"/>
      <c r="Q174" s="126"/>
      <c r="R174" s="127">
        <f>'1. Standard_Cost'!$B$15*N174*P174</f>
        <v>0</v>
      </c>
      <c r="S174" s="127">
        <f>N174*O174*P174*'1. Standard_Cost'!$C$15</f>
        <v>0</v>
      </c>
      <c r="T174" s="127">
        <f>N174*P174*Q174*'1. Standard_Cost'!$D$15</f>
        <v>0</v>
      </c>
      <c r="U174" s="127">
        <f>N174*O174*'1. Standard_Cost'!$E$15</f>
        <v>0</v>
      </c>
      <c r="V174" s="126"/>
      <c r="W174" s="126"/>
      <c r="X174" s="126"/>
      <c r="Y174" s="127">
        <f>+V174*((X174*'1. Standard_Cost'!$B$19)+(W174*X174*'1. Standard_Cost'!$C$19))</f>
        <v>0</v>
      </c>
      <c r="Z174" s="126"/>
      <c r="AA174" s="126"/>
      <c r="AB174" s="127">
        <f>+Z174*'1. Standard_Cost'!$B$23+AA174*'1. Standard_Cost'!$C$23</f>
        <v>0</v>
      </c>
      <c r="AC174" s="128"/>
      <c r="AD174" s="129"/>
      <c r="AE174" s="127">
        <f>SUM(AD174,AC174,AB174,Y174,U174,T174,S174,R174)*'1. Standard_Cost'!$B$31</f>
        <v>0</v>
      </c>
      <c r="AF174" s="127">
        <f t="shared" si="117"/>
        <v>0</v>
      </c>
      <c r="AG174" s="126"/>
      <c r="AH174" s="126"/>
      <c r="AI174" s="126"/>
      <c r="AJ174" s="130"/>
      <c r="AK174" s="130"/>
      <c r="AL174" s="130"/>
      <c r="AM174" s="127">
        <f>AG174*'1. Standard_Cost'!$B$27+'Incremental_Cost Year 2'!AH174*'1. Standard_Cost'!$C$27+'Incremental_Cost Year 2'!AI174*'1. Standard_Cost'!$D$27+'Incremental_Cost Year 2'!AJ174+'Incremental_Cost Year 2'!AL174+AK174</f>
        <v>0</v>
      </c>
      <c r="AN174" s="127">
        <f>AM174*'1. Standard_Cost'!$C$31</f>
        <v>0</v>
      </c>
      <c r="AO174" s="130"/>
      <c r="AP174" s="256"/>
      <c r="AQ174" s="171">
        <f t="shared" si="118"/>
        <v>0</v>
      </c>
      <c r="AR174" s="171">
        <f t="shared" si="119"/>
        <v>0</v>
      </c>
      <c r="AS174" s="171">
        <f t="shared" si="120"/>
        <v>0</v>
      </c>
      <c r="AT174" s="171">
        <f t="shared" si="121"/>
        <v>0</v>
      </c>
      <c r="AU174" s="250"/>
      <c r="AV174" s="250"/>
      <c r="AW174" s="250"/>
      <c r="AX174" s="250"/>
      <c r="AY174" s="250"/>
      <c r="AZ174" s="250"/>
      <c r="BA174" s="250"/>
      <c r="BB174" s="251">
        <f t="shared" si="122"/>
        <v>0</v>
      </c>
      <c r="BC174" s="169"/>
      <c r="BD174" s="169"/>
      <c r="BE174" s="169"/>
      <c r="BF174" s="169"/>
    </row>
    <row r="175" spans="1:58" ht="47.25" outlineLevel="2" x14ac:dyDescent="0.25">
      <c r="A175" s="115"/>
      <c r="B175" s="200"/>
      <c r="C175" s="201"/>
      <c r="D175" s="343"/>
      <c r="E175" s="328"/>
      <c r="F175" s="328"/>
      <c r="G175" s="328"/>
      <c r="H175" s="213" t="s">
        <v>483</v>
      </c>
      <c r="I175" s="130" t="s">
        <v>5</v>
      </c>
      <c r="J175" s="126">
        <v>2</v>
      </c>
      <c r="K175" s="126">
        <v>7</v>
      </c>
      <c r="L175" s="125">
        <f>IF(I175&lt;&gt;0,((VLOOKUP(I175,'1. Standard_Cost'!$B$4:$D$11,2)+VLOOKUP(I175,'1. Standard_Cost'!$B$4:$D$11,3))*J175*K175),"0")</f>
        <v>989800</v>
      </c>
      <c r="M175" s="125">
        <f>L175*'1. Standard_Cost'!$F$4</f>
        <v>165296.6</v>
      </c>
      <c r="N175" s="126"/>
      <c r="O175" s="126"/>
      <c r="P175" s="126"/>
      <c r="Q175" s="126"/>
      <c r="R175" s="127">
        <f>'1. Standard_Cost'!$B$15*N175*P175</f>
        <v>0</v>
      </c>
      <c r="S175" s="127">
        <f>N175*O175*P175*'1. Standard_Cost'!$C$15</f>
        <v>0</v>
      </c>
      <c r="T175" s="127">
        <f>N175*P175*Q175*'1. Standard_Cost'!$D$15</f>
        <v>0</v>
      </c>
      <c r="U175" s="127">
        <f>N175*O175*'1. Standard_Cost'!$E$15</f>
        <v>0</v>
      </c>
      <c r="V175" s="126"/>
      <c r="W175" s="126"/>
      <c r="X175" s="126"/>
      <c r="Y175" s="127">
        <f>+V175*((X175*'1. Standard_Cost'!$B$19)+(W175*X175*'1. Standard_Cost'!$C$19))</f>
        <v>0</v>
      </c>
      <c r="Z175" s="126"/>
      <c r="AA175" s="126">
        <v>30</v>
      </c>
      <c r="AB175" s="127">
        <f>+Z175*'1. Standard_Cost'!$B$23+AA175*'1. Standard_Cost'!$C$23</f>
        <v>570000</v>
      </c>
      <c r="AC175" s="128">
        <v>27000</v>
      </c>
      <c r="AD175" s="129"/>
      <c r="AE175" s="127">
        <f>SUM(AD175,AC175,AB175,Y175,U175,T175,S175,R175)*'1. Standard_Cost'!$B$31</f>
        <v>119400</v>
      </c>
      <c r="AF175" s="127">
        <f t="shared" si="117"/>
        <v>716400</v>
      </c>
      <c r="AG175" s="126"/>
      <c r="AH175" s="126"/>
      <c r="AI175" s="126"/>
      <c r="AJ175" s="130"/>
      <c r="AK175" s="130"/>
      <c r="AL175" s="130"/>
      <c r="AM175" s="127">
        <f>AG175*'1. Standard_Cost'!$B$27+'Incremental_Cost Year 2'!AH175*'1. Standard_Cost'!$C$27+'Incremental_Cost Year 2'!AI175*'1. Standard_Cost'!$D$27+'Incremental_Cost Year 2'!AJ175+'Incremental_Cost Year 2'!AL175+AK175</f>
        <v>0</v>
      </c>
      <c r="AN175" s="127">
        <f>AM175*'1. Standard_Cost'!$C$31</f>
        <v>0</v>
      </c>
      <c r="AO175" s="130"/>
      <c r="AP175" s="256"/>
      <c r="AQ175" s="171">
        <f t="shared" si="118"/>
        <v>1155096.6000000001</v>
      </c>
      <c r="AR175" s="171">
        <f t="shared" si="119"/>
        <v>716400</v>
      </c>
      <c r="AS175" s="171">
        <f t="shared" si="120"/>
        <v>0</v>
      </c>
      <c r="AT175" s="171">
        <f t="shared" si="121"/>
        <v>1871496.6</v>
      </c>
      <c r="AU175" s="250">
        <v>1187497</v>
      </c>
      <c r="AV175" s="250"/>
      <c r="AW175" s="250"/>
      <c r="AX175" s="250"/>
      <c r="AY175" s="250"/>
      <c r="AZ175" s="250"/>
      <c r="BA175" s="250"/>
      <c r="BB175" s="251">
        <f t="shared" si="122"/>
        <v>-683999.60000000009</v>
      </c>
      <c r="BC175" s="169"/>
      <c r="BD175" s="169"/>
      <c r="BE175" s="169"/>
      <c r="BF175" s="169"/>
    </row>
    <row r="176" spans="1:58" ht="63" outlineLevel="2" x14ac:dyDescent="0.25">
      <c r="A176" s="115"/>
      <c r="B176" s="200"/>
      <c r="C176" s="201"/>
      <c r="D176" s="343"/>
      <c r="E176" s="328"/>
      <c r="F176" s="328"/>
      <c r="G176" s="328"/>
      <c r="H176" s="199" t="s">
        <v>484</v>
      </c>
      <c r="I176" s="130" t="s">
        <v>1</v>
      </c>
      <c r="J176" s="126">
        <v>2</v>
      </c>
      <c r="K176" s="126">
        <v>7</v>
      </c>
      <c r="L176" s="125">
        <f>IF(I176&lt;&gt;0,((VLOOKUP(I176,'1. Standard_Cost'!$B$4:$D$11,2)+VLOOKUP(I176,'1. Standard_Cost'!$B$4:$D$11,3))*J176*K176),"0")</f>
        <v>1005100</v>
      </c>
      <c r="M176" s="125">
        <f>L176*'1. Standard_Cost'!$F$4</f>
        <v>167851.7</v>
      </c>
      <c r="N176" s="126"/>
      <c r="O176" s="126"/>
      <c r="P176" s="126"/>
      <c r="Q176" s="126"/>
      <c r="R176" s="127">
        <f>'1. Standard_Cost'!$B$15*N176*P176</f>
        <v>0</v>
      </c>
      <c r="S176" s="127">
        <f>N176*O176*P176*'1. Standard_Cost'!$C$15</f>
        <v>0</v>
      </c>
      <c r="T176" s="127">
        <f>N176*P176*Q176*'1. Standard_Cost'!$D$15</f>
        <v>0</v>
      </c>
      <c r="U176" s="127">
        <f>N176*O176*'1. Standard_Cost'!$E$15</f>
        <v>0</v>
      </c>
      <c r="V176" s="126"/>
      <c r="W176" s="126"/>
      <c r="X176" s="126"/>
      <c r="Y176" s="127">
        <f>+V176*((X176*'1. Standard_Cost'!$B$19)+(W176*X176*'1. Standard_Cost'!$C$19))</f>
        <v>0</v>
      </c>
      <c r="Z176" s="126"/>
      <c r="AA176" s="126"/>
      <c r="AB176" s="127">
        <f>+Z176*'1. Standard_Cost'!$B$23+AA176*'1. Standard_Cost'!$C$23</f>
        <v>0</v>
      </c>
      <c r="AC176" s="128">
        <v>140755</v>
      </c>
      <c r="AD176" s="129"/>
      <c r="AE176" s="127">
        <f>SUM(AD176,AC176,AB176,Y176,U176,T176,S176,R176)*'1. Standard_Cost'!$B$31</f>
        <v>28151</v>
      </c>
      <c r="AF176" s="127">
        <f t="shared" si="117"/>
        <v>168906</v>
      </c>
      <c r="AG176" s="126"/>
      <c r="AH176" s="126"/>
      <c r="AI176" s="126"/>
      <c r="AJ176" s="130"/>
      <c r="AK176" s="130"/>
      <c r="AL176" s="130"/>
      <c r="AM176" s="127">
        <f>AG176*'1. Standard_Cost'!$B$27+'Incremental_Cost Year 2'!AH176*'1. Standard_Cost'!$C$27+'Incremental_Cost Year 2'!AI176*'1. Standard_Cost'!$D$27+'Incremental_Cost Year 2'!AJ176+'Incremental_Cost Year 2'!AL176+AK176</f>
        <v>0</v>
      </c>
      <c r="AN176" s="127">
        <f>AM176*'1. Standard_Cost'!$C$31</f>
        <v>0</v>
      </c>
      <c r="AO176" s="130"/>
      <c r="AP176" s="256"/>
      <c r="AQ176" s="171">
        <f t="shared" si="118"/>
        <v>1172951.7</v>
      </c>
      <c r="AR176" s="171">
        <f t="shared" si="119"/>
        <v>168906</v>
      </c>
      <c r="AS176" s="171">
        <f t="shared" si="120"/>
        <v>0</v>
      </c>
      <c r="AT176" s="171">
        <f t="shared" si="121"/>
        <v>1341857.7</v>
      </c>
      <c r="AU176" s="250">
        <v>1341858</v>
      </c>
      <c r="AV176" s="250"/>
      <c r="AW176" s="250"/>
      <c r="AX176" s="250"/>
      <c r="AY176" s="250"/>
      <c r="AZ176" s="250"/>
      <c r="BA176" s="250"/>
      <c r="BB176" s="251">
        <f t="shared" si="122"/>
        <v>0.30000000004656613</v>
      </c>
      <c r="BC176" s="169"/>
      <c r="BD176" s="169"/>
      <c r="BE176" s="169"/>
      <c r="BF176" s="169"/>
    </row>
    <row r="177" spans="1:58" ht="15.75" outlineLevel="2" x14ac:dyDescent="0.25">
      <c r="A177" s="115"/>
      <c r="B177" s="200"/>
      <c r="C177" s="201"/>
      <c r="D177" s="344"/>
      <c r="E177" s="328"/>
      <c r="F177" s="328"/>
      <c r="G177" s="328"/>
      <c r="H177" s="231" t="s">
        <v>235</v>
      </c>
      <c r="I177" s="130"/>
      <c r="J177" s="126"/>
      <c r="K177" s="126"/>
      <c r="L177" s="125" t="str">
        <f>IF(I177&lt;&gt;0,((VLOOKUP(I177,'1. Standard_Cost'!$B$4:$D$11,2)+VLOOKUP(I177,'1. Standard_Cost'!$B$4:$D$11,3))*J177*K177),"0")</f>
        <v>0</v>
      </c>
      <c r="M177" s="125">
        <f>L177*'1. Standard_Cost'!$F$4</f>
        <v>0</v>
      </c>
      <c r="N177" s="126"/>
      <c r="O177" s="126"/>
      <c r="P177" s="126"/>
      <c r="Q177" s="126"/>
      <c r="R177" s="127">
        <f>'1. Standard_Cost'!$B$15*N177*P177</f>
        <v>0</v>
      </c>
      <c r="S177" s="127">
        <f>N177*O177*P177*'1. Standard_Cost'!$C$15</f>
        <v>0</v>
      </c>
      <c r="T177" s="127">
        <f>N177*P177*Q177*'1. Standard_Cost'!$D$15</f>
        <v>0</v>
      </c>
      <c r="U177" s="127">
        <f>N177*O177*'1. Standard_Cost'!$E$15</f>
        <v>0</v>
      </c>
      <c r="V177" s="126"/>
      <c r="W177" s="126"/>
      <c r="X177" s="126"/>
      <c r="Y177" s="127">
        <f>+V177*((X177*'1. Standard_Cost'!$B$19)+(W177*X177*'1. Standard_Cost'!$C$19))</f>
        <v>0</v>
      </c>
      <c r="Z177" s="126"/>
      <c r="AA177" s="126"/>
      <c r="AB177" s="127">
        <f>+Z177*'1. Standard_Cost'!$B$23+AA177*'1. Standard_Cost'!$C$23</f>
        <v>0</v>
      </c>
      <c r="AC177" s="128">
        <v>20000000</v>
      </c>
      <c r="AD177" s="129"/>
      <c r="AE177" s="127"/>
      <c r="AF177" s="127">
        <f t="shared" si="117"/>
        <v>20000000</v>
      </c>
      <c r="AG177" s="126"/>
      <c r="AH177" s="126"/>
      <c r="AI177" s="126"/>
      <c r="AJ177" s="130"/>
      <c r="AK177" s="130"/>
      <c r="AL177" s="130"/>
      <c r="AM177" s="127">
        <f>AG177*'1. Standard_Cost'!$B$27+'Incremental_Cost Year 2'!AH177*'1. Standard_Cost'!$C$27+'Incremental_Cost Year 2'!AI177*'1. Standard_Cost'!$D$27+'Incremental_Cost Year 2'!AJ177+'Incremental_Cost Year 2'!AL177+AK177</f>
        <v>0</v>
      </c>
      <c r="AN177" s="127">
        <f>AM177*'1. Standard_Cost'!$C$31</f>
        <v>0</v>
      </c>
      <c r="AO177" s="130"/>
      <c r="AP177" s="256"/>
      <c r="AQ177" s="171">
        <f t="shared" si="118"/>
        <v>0</v>
      </c>
      <c r="AR177" s="171">
        <f t="shared" si="119"/>
        <v>20000000</v>
      </c>
      <c r="AS177" s="171">
        <f t="shared" si="120"/>
        <v>0</v>
      </c>
      <c r="AT177" s="171">
        <f t="shared" si="121"/>
        <v>20000000</v>
      </c>
      <c r="AU177" s="250">
        <v>20000000</v>
      </c>
      <c r="AV177" s="250"/>
      <c r="AW177" s="250"/>
      <c r="AX177" s="250"/>
      <c r="AY177" s="250"/>
      <c r="AZ177" s="250"/>
      <c r="BA177" s="250"/>
      <c r="BB177" s="251">
        <f t="shared" si="122"/>
        <v>0</v>
      </c>
      <c r="BC177" s="169"/>
      <c r="BD177" s="169"/>
      <c r="BE177" s="169"/>
      <c r="BF177" s="169"/>
    </row>
    <row r="178" spans="1:58" ht="78.75" outlineLevel="2" x14ac:dyDescent="0.25">
      <c r="A178" s="115"/>
      <c r="B178" s="165"/>
      <c r="C178" s="166"/>
      <c r="D178" s="150" t="s">
        <v>485</v>
      </c>
      <c r="E178" s="212" t="s">
        <v>486</v>
      </c>
      <c r="F178" s="106">
        <v>2021</v>
      </c>
      <c r="G178" s="104">
        <v>2030</v>
      </c>
      <c r="H178" s="110" t="s">
        <v>181</v>
      </c>
      <c r="I178" s="252"/>
      <c r="J178" s="252"/>
      <c r="K178" s="252"/>
      <c r="L178" s="127">
        <f>SUM(L169:L177)</f>
        <v>52050500</v>
      </c>
      <c r="M178" s="127">
        <f>SUM(M169:M177)</f>
        <v>8692433.5</v>
      </c>
      <c r="N178" s="252"/>
      <c r="O178" s="252"/>
      <c r="P178" s="252"/>
      <c r="Q178" s="252"/>
      <c r="R178" s="127">
        <f>SUM(R169:R177)</f>
        <v>0</v>
      </c>
      <c r="S178" s="127">
        <f>SUM(S169:S177)</f>
        <v>0</v>
      </c>
      <c r="T178" s="127">
        <f>SUM(T169:T177)</f>
        <v>0</v>
      </c>
      <c r="U178" s="127">
        <f>SUM(U169:U177)</f>
        <v>0</v>
      </c>
      <c r="V178" s="252"/>
      <c r="W178" s="252"/>
      <c r="X178" s="252"/>
      <c r="Y178" s="127">
        <f>SUM(Y169:Y177)</f>
        <v>0</v>
      </c>
      <c r="Z178" s="127"/>
      <c r="AA178" s="252"/>
      <c r="AB178" s="127">
        <f>SUM(AB169:AB177)</f>
        <v>570000</v>
      </c>
      <c r="AC178" s="127">
        <f>SUM(AC169:AC177)</f>
        <v>4292408755</v>
      </c>
      <c r="AD178" s="127">
        <f>SUM(AD169:AD177)</f>
        <v>0</v>
      </c>
      <c r="AE178" s="127">
        <f>SUM(AE169:AE177)</f>
        <v>147551</v>
      </c>
      <c r="AF178" s="127">
        <f>SUM(AF169:AF177)</f>
        <v>4293126306</v>
      </c>
      <c r="AG178" s="252"/>
      <c r="AH178" s="252"/>
      <c r="AI178" s="252"/>
      <c r="AJ178" s="127">
        <f>SUM(AJ169:AJ177)</f>
        <v>1147497000</v>
      </c>
      <c r="AK178" s="127">
        <f>SUM(AK169:AK177)</f>
        <v>0</v>
      </c>
      <c r="AL178" s="127">
        <f>SUM(AL169:AL177)</f>
        <v>232210000</v>
      </c>
      <c r="AM178" s="127">
        <f>SUM(AM169:AM177)</f>
        <v>1379707000</v>
      </c>
      <c r="AN178" s="127">
        <f>SUM(AN169:AN177)</f>
        <v>206956050</v>
      </c>
      <c r="AO178" s="253"/>
      <c r="AP178" s="254"/>
      <c r="AQ178" s="175">
        <f>SUM(AQ169:AQ177)</f>
        <v>60742933.500000007</v>
      </c>
      <c r="AR178" s="175">
        <f>SUM(AR169:AR177)</f>
        <v>4293126306</v>
      </c>
      <c r="AS178" s="175">
        <f>SUM(AS169:AS177)</f>
        <v>1586663050</v>
      </c>
      <c r="AT178" s="175">
        <f>SUM(AT169:AT177)</f>
        <v>5940532289.5</v>
      </c>
      <c r="AU178" s="175">
        <f t="shared" ref="AU178:BA178" si="123">SUM(AU169:AU177)</f>
        <v>5354066790.1999998</v>
      </c>
      <c r="AV178" s="175">
        <f t="shared" si="123"/>
        <v>115000000</v>
      </c>
      <c r="AW178" s="175">
        <f>SUM(AW169:AW177)</f>
        <v>272000000</v>
      </c>
      <c r="AX178" s="175">
        <f t="shared" si="123"/>
        <v>0</v>
      </c>
      <c r="AY178" s="175">
        <f t="shared" si="123"/>
        <v>0</v>
      </c>
      <c r="AZ178" s="175">
        <f t="shared" si="123"/>
        <v>0</v>
      </c>
      <c r="BA178" s="175">
        <f t="shared" si="123"/>
        <v>0</v>
      </c>
      <c r="BB178" s="175">
        <f>SUM(BB169:BB177)</f>
        <v>-199465499.29999998</v>
      </c>
      <c r="BC178" s="169"/>
      <c r="BD178" s="169"/>
      <c r="BE178" s="169"/>
      <c r="BF178" s="169"/>
    </row>
    <row r="179" spans="1:58" ht="31.5" outlineLevel="2" x14ac:dyDescent="0.25">
      <c r="A179" s="115"/>
      <c r="B179" s="200"/>
      <c r="C179" s="201"/>
      <c r="D179" s="210"/>
      <c r="E179" s="328"/>
      <c r="F179" s="328"/>
      <c r="G179" s="328"/>
      <c r="H179" s="199" t="s">
        <v>487</v>
      </c>
      <c r="I179" s="130"/>
      <c r="J179" s="126"/>
      <c r="K179" s="126"/>
      <c r="L179" s="125" t="str">
        <f>IF(I179&lt;&gt;0,((VLOOKUP(I179,'1. Standard_Cost'!$B$4:$D$11,2)+VLOOKUP(I179,'1. Standard_Cost'!$B$4:$D$11,3))*J179*K179),"0")</f>
        <v>0</v>
      </c>
      <c r="M179" s="125">
        <f>L179*'1. Standard_Cost'!$F$4</f>
        <v>0</v>
      </c>
      <c r="N179" s="126"/>
      <c r="O179" s="126"/>
      <c r="P179" s="126"/>
      <c r="Q179" s="126"/>
      <c r="R179" s="127">
        <f>'1. Standard_Cost'!$B$15*N179*P179</f>
        <v>0</v>
      </c>
      <c r="S179" s="127">
        <f>N179*O179*P179*'1. Standard_Cost'!$C$15</f>
        <v>0</v>
      </c>
      <c r="T179" s="127">
        <f>N179*P179*Q179*'1. Standard_Cost'!$D$15</f>
        <v>0</v>
      </c>
      <c r="U179" s="127">
        <f>N179*O179*'1. Standard_Cost'!$E$15</f>
        <v>0</v>
      </c>
      <c r="V179" s="126"/>
      <c r="W179" s="126"/>
      <c r="X179" s="126"/>
      <c r="Y179" s="127">
        <f>+V179*((X179*'1. Standard_Cost'!$B$19)+(W179*X179*'1. Standard_Cost'!$C$19))</f>
        <v>0</v>
      </c>
      <c r="Z179" s="126"/>
      <c r="AA179" s="126"/>
      <c r="AB179" s="127">
        <f>+Z179*'1. Standard_Cost'!$B$23+AA179*'1. Standard_Cost'!$C$23</f>
        <v>0</v>
      </c>
      <c r="AC179" s="128"/>
      <c r="AD179" s="129"/>
      <c r="AE179" s="127">
        <f>SUM(AD179,AC179,AB179,Y179,U179,T179,S179,R179)*'1. Standard_Cost'!$B$31</f>
        <v>0</v>
      </c>
      <c r="AF179" s="127">
        <f>SUM(AE179,AD179,AC179,AB179,Y179,U179,T179,S179,R179)</f>
        <v>0</v>
      </c>
      <c r="AG179" s="126"/>
      <c r="AH179" s="126"/>
      <c r="AI179" s="126"/>
      <c r="AJ179" s="130"/>
      <c r="AK179" s="130"/>
      <c r="AL179" s="130"/>
      <c r="AM179" s="127">
        <f>AG179*'1. Standard_Cost'!$B$27+'Incremental_Cost Year 2'!AH179*'1. Standard_Cost'!$C$27+'Incremental_Cost Year 2'!AI179*'1. Standard_Cost'!$D$27+'Incremental_Cost Year 2'!AJ179+'Incremental_Cost Year 2'!AL179+AK179</f>
        <v>0</v>
      </c>
      <c r="AN179" s="127">
        <f>AM179*'1. Standard_Cost'!$C$31</f>
        <v>0</v>
      </c>
      <c r="AO179" s="130"/>
      <c r="AP179" s="256"/>
      <c r="AQ179" s="171">
        <f>L179+M179</f>
        <v>0</v>
      </c>
      <c r="AR179" s="171">
        <f>AF179</f>
        <v>0</v>
      </c>
      <c r="AS179" s="171">
        <f>AM179+AN179</f>
        <v>0</v>
      </c>
      <c r="AT179" s="171">
        <f>SUM(AQ179,AR179,AS179)</f>
        <v>0</v>
      </c>
      <c r="AU179" s="250"/>
      <c r="AV179" s="250"/>
      <c r="AW179" s="250"/>
      <c r="AX179" s="250"/>
      <c r="AY179" s="250"/>
      <c r="AZ179" s="250"/>
      <c r="BA179" s="250"/>
      <c r="BB179" s="251">
        <f t="shared" ref="BB179:BB180" si="124">SUM(AU179:BA179)-AT179</f>
        <v>0</v>
      </c>
      <c r="BC179" s="169"/>
      <c r="BD179" s="169"/>
      <c r="BE179" s="169"/>
      <c r="BF179" s="169"/>
    </row>
    <row r="180" spans="1:58" ht="94.5" outlineLevel="2" x14ac:dyDescent="0.25">
      <c r="A180" s="115"/>
      <c r="B180" s="200"/>
      <c r="C180" s="201"/>
      <c r="D180" s="211"/>
      <c r="E180" s="328"/>
      <c r="F180" s="328"/>
      <c r="G180" s="328"/>
      <c r="H180" s="213" t="s">
        <v>488</v>
      </c>
      <c r="I180" s="130" t="s">
        <v>5</v>
      </c>
      <c r="J180" s="126">
        <v>1</v>
      </c>
      <c r="K180" s="126">
        <v>1</v>
      </c>
      <c r="L180" s="125">
        <f>IF(I180&lt;&gt;0,((VLOOKUP(I180,'1. Standard_Cost'!$B$4:$D$11,2)+VLOOKUP(I180,'1. Standard_Cost'!$B$4:$D$11,3))*J180*K180),"0")</f>
        <v>70700</v>
      </c>
      <c r="M180" s="125">
        <f>L180*'1. Standard_Cost'!$F$4</f>
        <v>11806.900000000001</v>
      </c>
      <c r="N180" s="126"/>
      <c r="O180" s="126"/>
      <c r="P180" s="126"/>
      <c r="Q180" s="126"/>
      <c r="R180" s="127">
        <f>'1. Standard_Cost'!$B$15*N180*P180</f>
        <v>0</v>
      </c>
      <c r="S180" s="127">
        <f>N180*O180*P180*'1. Standard_Cost'!$C$15</f>
        <v>0</v>
      </c>
      <c r="T180" s="127">
        <f>N180*P180*Q180*'1. Standard_Cost'!$D$15</f>
        <v>0</v>
      </c>
      <c r="U180" s="127">
        <f>N180*O180*'1. Standard_Cost'!$E$15</f>
        <v>0</v>
      </c>
      <c r="V180" s="126"/>
      <c r="W180" s="126"/>
      <c r="X180" s="126"/>
      <c r="Y180" s="127">
        <f>+V180*((X180*'1. Standard_Cost'!$B$19)+(W180*X180*'1. Standard_Cost'!$C$19))</f>
        <v>0</v>
      </c>
      <c r="Z180" s="126"/>
      <c r="AA180" s="126">
        <v>20</v>
      </c>
      <c r="AB180" s="127">
        <f>+Z180*'1. Standard_Cost'!$B$23+AA180*'1. Standard_Cost'!$C$23</f>
        <v>380000</v>
      </c>
      <c r="AC180" s="128">
        <v>10000</v>
      </c>
      <c r="AD180" s="129"/>
      <c r="AE180" s="127">
        <f>SUM(AD180,AC180,AB180,Y180,U180,T180,S180,R180)*'1. Standard_Cost'!$B$31</f>
        <v>78000</v>
      </c>
      <c r="AF180" s="127">
        <f>SUM(AE180,AD180,AC180,AB180,Y180,U180,T180,S180,R180)</f>
        <v>468000</v>
      </c>
      <c r="AG180" s="126"/>
      <c r="AH180" s="126"/>
      <c r="AI180" s="126"/>
      <c r="AJ180" s="130"/>
      <c r="AK180" s="130"/>
      <c r="AL180" s="130"/>
      <c r="AM180" s="127">
        <f>AG180*'1. Standard_Cost'!$B$27+'Incremental_Cost Year 2'!AH180*'1. Standard_Cost'!$C$27+'Incremental_Cost Year 2'!AI180*'1. Standard_Cost'!$D$27+'Incremental_Cost Year 2'!AJ180+'Incremental_Cost Year 2'!AL180+AK180</f>
        <v>0</v>
      </c>
      <c r="AN180" s="127">
        <f>AM180*'1. Standard_Cost'!$C$31</f>
        <v>0</v>
      </c>
      <c r="AO180" s="130"/>
      <c r="AP180" s="256"/>
      <c r="AQ180" s="171">
        <f>L180+M180</f>
        <v>82506.899999999994</v>
      </c>
      <c r="AR180" s="171">
        <f>AF180</f>
        <v>468000</v>
      </c>
      <c r="AS180" s="171">
        <f>AM180+AN180</f>
        <v>0</v>
      </c>
      <c r="AT180" s="171">
        <f>SUM(AQ180,AR180,AS180)</f>
        <v>550506.9</v>
      </c>
      <c r="AU180" s="250">
        <v>94507</v>
      </c>
      <c r="AV180" s="250"/>
      <c r="AW180" s="250"/>
      <c r="AX180" s="250"/>
      <c r="AY180" s="250"/>
      <c r="AZ180" s="250"/>
      <c r="BA180" s="250"/>
      <c r="BB180" s="251">
        <f t="shared" si="124"/>
        <v>-455999.9</v>
      </c>
      <c r="BC180" s="169"/>
      <c r="BD180" s="169"/>
      <c r="BE180" s="169"/>
      <c r="BF180" s="169"/>
    </row>
    <row r="181" spans="1:58" ht="63" outlineLevel="2" x14ac:dyDescent="0.25">
      <c r="A181" s="115"/>
      <c r="B181" s="165"/>
      <c r="C181" s="166"/>
      <c r="D181" s="110" t="s">
        <v>489</v>
      </c>
      <c r="E181" s="139" t="s">
        <v>490</v>
      </c>
      <c r="F181" s="104">
        <v>2022</v>
      </c>
      <c r="G181" s="104">
        <v>2025</v>
      </c>
      <c r="H181" s="150" t="s">
        <v>236</v>
      </c>
      <c r="I181" s="252"/>
      <c r="J181" s="252"/>
      <c r="K181" s="252"/>
      <c r="L181" s="127">
        <f>SUM(L179:L180)</f>
        <v>70700</v>
      </c>
      <c r="M181" s="127">
        <f>SUM(M179:M180)</f>
        <v>11806.900000000001</v>
      </c>
      <c r="N181" s="252"/>
      <c r="O181" s="252"/>
      <c r="P181" s="252"/>
      <c r="Q181" s="252"/>
      <c r="R181" s="127">
        <f>SUM(R179:R180)</f>
        <v>0</v>
      </c>
      <c r="S181" s="127">
        <f>SUM(S179:S180)</f>
        <v>0</v>
      </c>
      <c r="T181" s="127">
        <f>SUM(T179:T180)</f>
        <v>0</v>
      </c>
      <c r="U181" s="127">
        <f>SUM(U179:U180)</f>
        <v>0</v>
      </c>
      <c r="V181" s="252"/>
      <c r="W181" s="252"/>
      <c r="X181" s="252"/>
      <c r="Y181" s="127">
        <f>SUM(Y179:Y180)</f>
        <v>0</v>
      </c>
      <c r="Z181" s="127"/>
      <c r="AA181" s="252"/>
      <c r="AB181" s="127">
        <f>SUM(AB179:AB180)</f>
        <v>380000</v>
      </c>
      <c r="AC181" s="127">
        <f>SUM(AC179:AC180)</f>
        <v>10000</v>
      </c>
      <c r="AD181" s="127">
        <f>SUM(AD179:AD180)</f>
        <v>0</v>
      </c>
      <c r="AE181" s="127">
        <f>SUM(AE179:AE180)</f>
        <v>78000</v>
      </c>
      <c r="AF181" s="127">
        <f>SUM(AF179:AF180)</f>
        <v>468000</v>
      </c>
      <c r="AG181" s="252"/>
      <c r="AH181" s="252"/>
      <c r="AI181" s="252"/>
      <c r="AJ181" s="127">
        <f>SUM(AJ179:AJ180)</f>
        <v>0</v>
      </c>
      <c r="AK181" s="127">
        <f>SUM(AK179:AK180)</f>
        <v>0</v>
      </c>
      <c r="AL181" s="127">
        <f>SUM(AL179:AL180)</f>
        <v>0</v>
      </c>
      <c r="AM181" s="127">
        <f>SUM(AM179:AM180)</f>
        <v>0</v>
      </c>
      <c r="AN181" s="127">
        <f>SUM(AN179:AN180)</f>
        <v>0</v>
      </c>
      <c r="AO181" s="253"/>
      <c r="AP181" s="254"/>
      <c r="AQ181" s="175">
        <f>SUM(AQ179:AQ180)</f>
        <v>82506.899999999994</v>
      </c>
      <c r="AR181" s="175">
        <f>SUM(AR179:AR180)</f>
        <v>468000</v>
      </c>
      <c r="AS181" s="175">
        <f>SUM(AS179:AS180)</f>
        <v>0</v>
      </c>
      <c r="AT181" s="175">
        <f>SUM(AT179:AT180)</f>
        <v>550506.9</v>
      </c>
      <c r="AU181" s="175">
        <f t="shared" ref="AU181:BB181" si="125">SUM(AU179:AU180)</f>
        <v>94507</v>
      </c>
      <c r="AV181" s="175">
        <f t="shared" si="125"/>
        <v>0</v>
      </c>
      <c r="AW181" s="175">
        <f>SUM(AW179:AW180)</f>
        <v>0</v>
      </c>
      <c r="AX181" s="175">
        <f t="shared" si="125"/>
        <v>0</v>
      </c>
      <c r="AY181" s="175">
        <f t="shared" si="125"/>
        <v>0</v>
      </c>
      <c r="AZ181" s="175">
        <f t="shared" si="125"/>
        <v>0</v>
      </c>
      <c r="BA181" s="175">
        <f t="shared" si="125"/>
        <v>0</v>
      </c>
      <c r="BB181" s="175">
        <f t="shared" si="125"/>
        <v>-455999.9</v>
      </c>
      <c r="BC181" s="169"/>
      <c r="BD181" s="169"/>
      <c r="BE181" s="169"/>
      <c r="BF181" s="169"/>
    </row>
    <row r="182" spans="1:58" ht="15.75" customHeight="1" outlineLevel="2" x14ac:dyDescent="0.25">
      <c r="A182" s="143"/>
      <c r="B182" s="290"/>
      <c r="C182" s="391" t="s">
        <v>237</v>
      </c>
      <c r="D182" s="391"/>
      <c r="E182" s="392"/>
      <c r="F182" s="287"/>
      <c r="G182" s="289"/>
      <c r="H182" s="144" t="s">
        <v>182</v>
      </c>
      <c r="I182" s="257"/>
      <c r="J182" s="257"/>
      <c r="K182" s="257"/>
      <c r="L182" s="258">
        <f>L190+L193+L196</f>
        <v>9939036130</v>
      </c>
      <c r="M182" s="258">
        <f>M190+M193+M196</f>
        <v>1659819033.71</v>
      </c>
      <c r="N182" s="257"/>
      <c r="O182" s="257"/>
      <c r="P182" s="257"/>
      <c r="Q182" s="257"/>
      <c r="R182" s="258">
        <f>R190+R193+R196</f>
        <v>40000</v>
      </c>
      <c r="S182" s="258">
        <f>S190+S193+S196</f>
        <v>30000</v>
      </c>
      <c r="T182" s="258">
        <f>T190+T193+T196</f>
        <v>0</v>
      </c>
      <c r="U182" s="258">
        <f>U190+U193+U196</f>
        <v>40000</v>
      </c>
      <c r="V182" s="257"/>
      <c r="W182" s="257"/>
      <c r="X182" s="257"/>
      <c r="Y182" s="258">
        <f>Y190+Y193+Y196</f>
        <v>0</v>
      </c>
      <c r="Z182" s="258"/>
      <c r="AA182" s="258"/>
      <c r="AB182" s="258">
        <f>AB190+AB193+AB196</f>
        <v>950000</v>
      </c>
      <c r="AC182" s="258">
        <f>AC190+AC193+AC196</f>
        <v>8206250000</v>
      </c>
      <c r="AD182" s="258">
        <f>AD190+AD193+AD196</f>
        <v>0</v>
      </c>
      <c r="AE182" s="258">
        <f>AE190+AE193+AE196</f>
        <v>1640312000</v>
      </c>
      <c r="AF182" s="258">
        <f>AF190+AF193+AF196</f>
        <v>9847872000</v>
      </c>
      <c r="AG182" s="257"/>
      <c r="AH182" s="257"/>
      <c r="AI182" s="257"/>
      <c r="AJ182" s="258">
        <f>AJ190+AJ193+AJ196</f>
        <v>0</v>
      </c>
      <c r="AK182" s="258">
        <f>AK190+AK193+AK196</f>
        <v>0</v>
      </c>
      <c r="AL182" s="258">
        <f>AL190+AL193+AL196</f>
        <v>0</v>
      </c>
      <c r="AM182" s="258">
        <f>AM190+AM193+AM196</f>
        <v>0</v>
      </c>
      <c r="AN182" s="258">
        <f>AN190+AN193+AN196</f>
        <v>0</v>
      </c>
      <c r="AO182" s="259"/>
      <c r="AP182" s="260"/>
      <c r="AQ182" s="261">
        <f>AQ190+AQ193+AQ196</f>
        <v>11598855163.710001</v>
      </c>
      <c r="AR182" s="261">
        <f>AR190+AR193+AR196</f>
        <v>9847872000</v>
      </c>
      <c r="AS182" s="261">
        <f>AS190+AS193+AS196</f>
        <v>0</v>
      </c>
      <c r="AT182" s="261">
        <f>AT190+AT193+AT196</f>
        <v>21446727163.709999</v>
      </c>
      <c r="AU182" s="261">
        <f t="shared" ref="AU182:BA182" si="126">AU190+AU193+AU196</f>
        <v>21445349164</v>
      </c>
      <c r="AV182" s="261">
        <f t="shared" si="126"/>
        <v>0</v>
      </c>
      <c r="AW182" s="261">
        <f>AW190+AW193+AW196</f>
        <v>0</v>
      </c>
      <c r="AX182" s="261">
        <f t="shared" si="126"/>
        <v>0</v>
      </c>
      <c r="AY182" s="261">
        <f t="shared" si="126"/>
        <v>0</v>
      </c>
      <c r="AZ182" s="261">
        <f t="shared" si="126"/>
        <v>0</v>
      </c>
      <c r="BA182" s="261">
        <f t="shared" si="126"/>
        <v>0</v>
      </c>
      <c r="BB182" s="261">
        <f>BB190+BB193+BB196</f>
        <v>-1377999.709998474</v>
      </c>
      <c r="BC182" s="184"/>
      <c r="BD182" s="184"/>
      <c r="BE182" s="184"/>
      <c r="BF182" s="184"/>
    </row>
    <row r="183" spans="1:58" ht="94.5" outlineLevel="2" x14ac:dyDescent="0.25">
      <c r="A183" s="115"/>
      <c r="B183" s="303"/>
      <c r="C183" s="329"/>
      <c r="D183" s="342"/>
      <c r="E183" s="328"/>
      <c r="F183" s="328"/>
      <c r="G183" s="328"/>
      <c r="H183" s="199" t="s">
        <v>544</v>
      </c>
      <c r="I183" s="130" t="s">
        <v>5</v>
      </c>
      <c r="J183" s="126">
        <v>12</v>
      </c>
      <c r="K183" s="126">
        <v>10882</v>
      </c>
      <c r="L183" s="125">
        <f>IF(I183&lt;&gt;0,((VLOOKUP(I183,'1. Standard_Cost'!$B$4:$D$11,2)+VLOOKUP(I183,'1. Standard_Cost'!$B$4:$D$11,3))*J183*K183),"0")</f>
        <v>9232288800</v>
      </c>
      <c r="M183" s="125">
        <f>L183*'1. Standard_Cost'!$F$4</f>
        <v>1541792229.6000001</v>
      </c>
      <c r="N183" s="126"/>
      <c r="O183" s="126"/>
      <c r="P183" s="126"/>
      <c r="Q183" s="126"/>
      <c r="R183" s="127">
        <f>'1. Standard_Cost'!$B$15*N183*P183</f>
        <v>0</v>
      </c>
      <c r="S183" s="127">
        <f>N183*O183*P183*'1. Standard_Cost'!$C$15</f>
        <v>0</v>
      </c>
      <c r="T183" s="127">
        <f>N183*P183*Q183*'1. Standard_Cost'!$D$15</f>
        <v>0</v>
      </c>
      <c r="U183" s="127">
        <f>N183*O183*'1. Standard_Cost'!$E$15</f>
        <v>0</v>
      </c>
      <c r="V183" s="126"/>
      <c r="W183" s="126"/>
      <c r="X183" s="126"/>
      <c r="Y183" s="127">
        <f>+V183*((X183*'1. Standard_Cost'!$B$19)+(W183*X183*'1. Standard_Cost'!$C$19))</f>
        <v>0</v>
      </c>
      <c r="Z183" s="126"/>
      <c r="AA183" s="126"/>
      <c r="AB183" s="127">
        <f>+Z183*'1. Standard_Cost'!$B$23+AA183*'1. Standard_Cost'!$C$23</f>
        <v>0</v>
      </c>
      <c r="AC183" s="128">
        <v>8200000000</v>
      </c>
      <c r="AD183" s="129"/>
      <c r="AE183" s="127">
        <f>SUM(AD183,AC183,AB183,Y183,U183,T183,S183,R183)*'1. Standard_Cost'!$B$31</f>
        <v>1640000000</v>
      </c>
      <c r="AF183" s="127">
        <f t="shared" ref="AF183:AF189" si="127">SUM(AE183,AD183,AC183,AB183,Y183,U183,T183,S183,R183)</f>
        <v>9840000000</v>
      </c>
      <c r="AG183" s="126"/>
      <c r="AH183" s="126"/>
      <c r="AI183" s="126"/>
      <c r="AJ183" s="130"/>
      <c r="AK183" s="130"/>
      <c r="AL183" s="130"/>
      <c r="AM183" s="127">
        <f>AG183*'1. Standard_Cost'!$B$27+'Incremental_Cost Year 2'!AH183*'1. Standard_Cost'!$C$27+'Incremental_Cost Year 2'!AI183*'1. Standard_Cost'!$D$27+'Incremental_Cost Year 2'!AJ183+'Incremental_Cost Year 2'!AL183+AK183</f>
        <v>0</v>
      </c>
      <c r="AN183" s="127">
        <f>AM183*'1. Standard_Cost'!$C$31</f>
        <v>0</v>
      </c>
      <c r="AO183" s="130"/>
      <c r="AP183" s="256"/>
      <c r="AQ183" s="171">
        <f t="shared" ref="AQ183:AQ189" si="128">L183+M183</f>
        <v>10774081029.6</v>
      </c>
      <c r="AR183" s="171">
        <f t="shared" ref="AR183:AR189" si="129">AF183</f>
        <v>9840000000</v>
      </c>
      <c r="AS183" s="171">
        <f t="shared" ref="AS183:AS189" si="130">AM183+AN183</f>
        <v>0</v>
      </c>
      <c r="AT183" s="171">
        <f t="shared" ref="AT183:AT189" si="131">SUM(AQ183,AR183,AS183)</f>
        <v>20614081029.599998</v>
      </c>
      <c r="AU183" s="250">
        <v>20614081030</v>
      </c>
      <c r="AV183" s="250"/>
      <c r="AW183" s="250"/>
      <c r="AX183" s="250"/>
      <c r="AY183" s="250"/>
      <c r="AZ183" s="250"/>
      <c r="BA183" s="250"/>
      <c r="BB183" s="251">
        <f t="shared" ref="BB183:BB189" si="132">SUM(AU183:BA183)-AT183</f>
        <v>0.40000152587890625</v>
      </c>
      <c r="BC183" s="169"/>
      <c r="BD183" s="169"/>
      <c r="BE183" s="169"/>
      <c r="BF183" s="169"/>
    </row>
    <row r="184" spans="1:58" ht="78.75" outlineLevel="2" x14ac:dyDescent="0.25">
      <c r="A184" s="115"/>
      <c r="B184" s="200"/>
      <c r="C184" s="330"/>
      <c r="D184" s="343"/>
      <c r="E184" s="328"/>
      <c r="F184" s="328"/>
      <c r="G184" s="328"/>
      <c r="H184" s="213" t="s">
        <v>543</v>
      </c>
      <c r="I184" s="267"/>
      <c r="J184" s="268"/>
      <c r="K184" s="268"/>
      <c r="L184" s="125">
        <v>685500000</v>
      </c>
      <c r="M184" s="125">
        <f>L184*'1. Standard_Cost'!$F$4</f>
        <v>114478500</v>
      </c>
      <c r="N184" s="126"/>
      <c r="O184" s="126"/>
      <c r="P184" s="126"/>
      <c r="Q184" s="126"/>
      <c r="R184" s="127">
        <f>'1. Standard_Cost'!$B$15*N184*P184</f>
        <v>0</v>
      </c>
      <c r="S184" s="127">
        <f>N184*O184*P184*'1. Standard_Cost'!$C$15</f>
        <v>0</v>
      </c>
      <c r="T184" s="127">
        <f>N184*P184*Q184*'1. Standard_Cost'!$D$15</f>
        <v>0</v>
      </c>
      <c r="U184" s="127">
        <f>N184*O184*'1. Standard_Cost'!$E$15</f>
        <v>0</v>
      </c>
      <c r="V184" s="126"/>
      <c r="W184" s="126"/>
      <c r="X184" s="126"/>
      <c r="Y184" s="127">
        <f>+V184*((X184*'1. Standard_Cost'!$B$19)+(W184*X184*'1. Standard_Cost'!$C$19))</f>
        <v>0</v>
      </c>
      <c r="Z184" s="126"/>
      <c r="AA184" s="126"/>
      <c r="AB184" s="127">
        <f>+Z184*'1. Standard_Cost'!$B$23+AA184*'1. Standard_Cost'!$C$23</f>
        <v>0</v>
      </c>
      <c r="AC184" s="128"/>
      <c r="AD184" s="129"/>
      <c r="AE184" s="127">
        <f>SUM(AD184,AC184,AB184,Y184,U184,T184,S184,R184)*'1. Standard_Cost'!$B$31</f>
        <v>0</v>
      </c>
      <c r="AF184" s="127">
        <f t="shared" si="127"/>
        <v>0</v>
      </c>
      <c r="AG184" s="126"/>
      <c r="AH184" s="126"/>
      <c r="AI184" s="126"/>
      <c r="AJ184" s="130"/>
      <c r="AK184" s="130"/>
      <c r="AL184" s="130"/>
      <c r="AM184" s="127">
        <f>AG184*'1. Standard_Cost'!$B$27+'Incremental_Cost Year 2'!AH184*'1. Standard_Cost'!$C$27+'Incremental_Cost Year 2'!AI184*'1. Standard_Cost'!$D$27+'Incremental_Cost Year 2'!AJ184+'Incremental_Cost Year 2'!AL184+AK184</f>
        <v>0</v>
      </c>
      <c r="AN184" s="127">
        <f>AM184*'1. Standard_Cost'!$C$31</f>
        <v>0</v>
      </c>
      <c r="AO184" s="130"/>
      <c r="AP184" s="256"/>
      <c r="AQ184" s="171">
        <f t="shared" si="128"/>
        <v>799978500</v>
      </c>
      <c r="AR184" s="171">
        <f t="shared" si="129"/>
        <v>0</v>
      </c>
      <c r="AS184" s="171">
        <f t="shared" si="130"/>
        <v>0</v>
      </c>
      <c r="AT184" s="171">
        <f t="shared" si="131"/>
        <v>799978500</v>
      </c>
      <c r="AU184" s="250">
        <v>799978500</v>
      </c>
      <c r="AV184" s="250"/>
      <c r="AW184" s="250"/>
      <c r="AX184" s="250"/>
      <c r="AY184" s="250"/>
      <c r="AZ184" s="250"/>
      <c r="BA184" s="250"/>
      <c r="BB184" s="251">
        <f t="shared" si="132"/>
        <v>0</v>
      </c>
      <c r="BC184" s="169"/>
      <c r="BD184" s="169"/>
      <c r="BE184" s="169"/>
      <c r="BF184" s="169"/>
    </row>
    <row r="185" spans="1:58" ht="63" outlineLevel="2" x14ac:dyDescent="0.25">
      <c r="A185" s="115"/>
      <c r="B185" s="200"/>
      <c r="C185" s="330"/>
      <c r="D185" s="343"/>
      <c r="E185" s="328"/>
      <c r="F185" s="328"/>
      <c r="G185" s="328"/>
      <c r="H185" s="199" t="s">
        <v>491</v>
      </c>
      <c r="I185" s="130" t="s">
        <v>5</v>
      </c>
      <c r="J185" s="126">
        <v>2</v>
      </c>
      <c r="K185" s="126">
        <v>5</v>
      </c>
      <c r="L185" s="125">
        <f>IF(I185&lt;&gt;0,((VLOOKUP(I185,'1. Standard_Cost'!$B$4:$D$11,2)+VLOOKUP(I185,'1. Standard_Cost'!$B$4:$D$11,3))*J185*K185),"0")</f>
        <v>707000</v>
      </c>
      <c r="M185" s="125">
        <f>L185*'1. Standard_Cost'!$F$4</f>
        <v>118069</v>
      </c>
      <c r="N185" s="126"/>
      <c r="O185" s="126"/>
      <c r="P185" s="126"/>
      <c r="Q185" s="126"/>
      <c r="R185" s="127">
        <f>'1. Standard_Cost'!$B$15*N185*P185</f>
        <v>0</v>
      </c>
      <c r="S185" s="127">
        <f>N185*O185*P185*'1. Standard_Cost'!$C$15</f>
        <v>0</v>
      </c>
      <c r="T185" s="127">
        <f>N185*P185*Q185*'1. Standard_Cost'!$D$15</f>
        <v>0</v>
      </c>
      <c r="U185" s="127">
        <f>N185*O185*'1. Standard_Cost'!$E$15</f>
        <v>0</v>
      </c>
      <c r="V185" s="126"/>
      <c r="W185" s="126"/>
      <c r="X185" s="126"/>
      <c r="Y185" s="127">
        <f>+V185*((X185*'1. Standard_Cost'!$B$19)+(W185*X185*'1. Standard_Cost'!$C$19))</f>
        <v>0</v>
      </c>
      <c r="Z185" s="126"/>
      <c r="AA185" s="126"/>
      <c r="AB185" s="127">
        <f>+Z185*'1. Standard_Cost'!$B$23+AA185*'1. Standard_Cost'!$C$23</f>
        <v>0</v>
      </c>
      <c r="AC185" s="128">
        <v>110000</v>
      </c>
      <c r="AD185" s="129"/>
      <c r="AE185" s="127">
        <f>SUM(AD185,AC185,AB185,Y185,U185,T185,S185,R185)*'1. Standard_Cost'!$B$31</f>
        <v>22000</v>
      </c>
      <c r="AF185" s="127">
        <f t="shared" si="127"/>
        <v>132000</v>
      </c>
      <c r="AG185" s="126"/>
      <c r="AH185" s="126"/>
      <c r="AI185" s="126"/>
      <c r="AJ185" s="130"/>
      <c r="AK185" s="130"/>
      <c r="AL185" s="130"/>
      <c r="AM185" s="127">
        <f>AG185*'1. Standard_Cost'!$B$27+'Incremental_Cost Year 2'!AH185*'1. Standard_Cost'!$C$27+'Incremental_Cost Year 2'!AI185*'1. Standard_Cost'!$D$27+'Incremental_Cost Year 2'!AJ185+'Incremental_Cost Year 2'!AL185+AK185</f>
        <v>0</v>
      </c>
      <c r="AN185" s="127">
        <f>AM185*'1. Standard_Cost'!$C$31</f>
        <v>0</v>
      </c>
      <c r="AO185" s="130"/>
      <c r="AP185" s="256"/>
      <c r="AQ185" s="171">
        <f t="shared" si="128"/>
        <v>825069</v>
      </c>
      <c r="AR185" s="171">
        <f t="shared" si="129"/>
        <v>132000</v>
      </c>
      <c r="AS185" s="171">
        <f t="shared" si="130"/>
        <v>0</v>
      </c>
      <c r="AT185" s="171">
        <f t="shared" si="131"/>
        <v>957069</v>
      </c>
      <c r="AU185" s="250">
        <v>957069</v>
      </c>
      <c r="AV185" s="250"/>
      <c r="AW185" s="250"/>
      <c r="AX185" s="250"/>
      <c r="AY185" s="250"/>
      <c r="AZ185" s="250"/>
      <c r="BA185" s="250"/>
      <c r="BB185" s="251">
        <f t="shared" si="132"/>
        <v>0</v>
      </c>
      <c r="BC185" s="169"/>
      <c r="BD185" s="169"/>
      <c r="BE185" s="169"/>
      <c r="BF185" s="169"/>
    </row>
    <row r="186" spans="1:58" ht="78.75" outlineLevel="2" x14ac:dyDescent="0.25">
      <c r="A186" s="115"/>
      <c r="B186" s="200"/>
      <c r="C186" s="330"/>
      <c r="D186" s="343"/>
      <c r="E186" s="328"/>
      <c r="F186" s="328"/>
      <c r="G186" s="328"/>
      <c r="H186" s="199" t="s">
        <v>492</v>
      </c>
      <c r="I186" s="130"/>
      <c r="J186" s="126"/>
      <c r="K186" s="126"/>
      <c r="L186" s="125" t="str">
        <f>IF(I186&lt;&gt;0,((VLOOKUP(I186,'1. Standard_Cost'!$B$4:$D$11,2)+VLOOKUP(I186,'1. Standard_Cost'!$B$4:$D$11,3))*J186*K186),"0")</f>
        <v>0</v>
      </c>
      <c r="M186" s="125">
        <f>L186*'1. Standard_Cost'!$F$4</f>
        <v>0</v>
      </c>
      <c r="N186" s="126"/>
      <c r="O186" s="126"/>
      <c r="P186" s="126"/>
      <c r="Q186" s="126"/>
      <c r="R186" s="127">
        <f>'1. Standard_Cost'!$B$15*N186*P186</f>
        <v>0</v>
      </c>
      <c r="S186" s="127">
        <f>N186*O186*P186*'1. Standard_Cost'!$C$15</f>
        <v>0</v>
      </c>
      <c r="T186" s="127">
        <f>N186*P186*Q186*'1. Standard_Cost'!$D$15</f>
        <v>0</v>
      </c>
      <c r="U186" s="127">
        <f>N186*O186*'1. Standard_Cost'!$E$15</f>
        <v>0</v>
      </c>
      <c r="V186" s="126"/>
      <c r="W186" s="126"/>
      <c r="X186" s="126"/>
      <c r="Y186" s="127">
        <f>+V186*((X186*'1. Standard_Cost'!$B$19)+(W186*X186*'1. Standard_Cost'!$C$19))</f>
        <v>0</v>
      </c>
      <c r="Z186" s="126"/>
      <c r="AA186" s="126"/>
      <c r="AB186" s="127">
        <f>+Z186*'1. Standard_Cost'!$B$23+AA186*'1. Standard_Cost'!$C$23</f>
        <v>0</v>
      </c>
      <c r="AC186" s="128"/>
      <c r="AD186" s="129"/>
      <c r="AE186" s="127">
        <f>SUM(AD186,AC186,AB186,Y186,U186,T186,S186,R186)*'1. Standard_Cost'!$B$31</f>
        <v>0</v>
      </c>
      <c r="AF186" s="127">
        <f t="shared" si="127"/>
        <v>0</v>
      </c>
      <c r="AG186" s="126"/>
      <c r="AH186" s="126"/>
      <c r="AI186" s="126"/>
      <c r="AJ186" s="130"/>
      <c r="AK186" s="130"/>
      <c r="AL186" s="130"/>
      <c r="AM186" s="127">
        <f>AG186*'1. Standard_Cost'!$B$27+'Incremental_Cost Year 2'!AH186*'1. Standard_Cost'!$C$27+'Incremental_Cost Year 2'!AI186*'1. Standard_Cost'!$D$27+'Incremental_Cost Year 2'!AJ186+'Incremental_Cost Year 2'!AL186+AK186</f>
        <v>0</v>
      </c>
      <c r="AN186" s="127">
        <f>AM186*'1. Standard_Cost'!$C$31</f>
        <v>0</v>
      </c>
      <c r="AO186" s="130"/>
      <c r="AP186" s="256"/>
      <c r="AQ186" s="171">
        <f t="shared" si="128"/>
        <v>0</v>
      </c>
      <c r="AR186" s="171">
        <f t="shared" si="129"/>
        <v>0</v>
      </c>
      <c r="AS186" s="171">
        <f t="shared" si="130"/>
        <v>0</v>
      </c>
      <c r="AT186" s="171">
        <f t="shared" si="131"/>
        <v>0</v>
      </c>
      <c r="AU186" s="250"/>
      <c r="AV186" s="250"/>
      <c r="AW186" s="250"/>
      <c r="AX186" s="250"/>
      <c r="AY186" s="250"/>
      <c r="AZ186" s="250"/>
      <c r="BA186" s="250"/>
      <c r="BB186" s="251">
        <f t="shared" si="132"/>
        <v>0</v>
      </c>
      <c r="BC186" s="169"/>
      <c r="BD186" s="169"/>
      <c r="BE186" s="169"/>
      <c r="BF186" s="169"/>
    </row>
    <row r="187" spans="1:58" ht="78.75" outlineLevel="2" x14ac:dyDescent="0.25">
      <c r="A187" s="115"/>
      <c r="B187" s="200"/>
      <c r="C187" s="330"/>
      <c r="D187" s="343"/>
      <c r="E187" s="328"/>
      <c r="F187" s="328"/>
      <c r="G187" s="328"/>
      <c r="H187" s="199" t="s">
        <v>493</v>
      </c>
      <c r="I187" s="130"/>
      <c r="J187" s="126"/>
      <c r="K187" s="126"/>
      <c r="L187" s="125" t="str">
        <f>IF(I187&lt;&gt;0,((VLOOKUP(I187,'1. Standard_Cost'!$B$4:$D$11,2)+VLOOKUP(I187,'1. Standard_Cost'!$B$4:$D$11,3))*J187*K187),"0")</f>
        <v>0</v>
      </c>
      <c r="M187" s="125">
        <f>L187*'1. Standard_Cost'!$F$4</f>
        <v>0</v>
      </c>
      <c r="N187" s="126"/>
      <c r="O187" s="126"/>
      <c r="P187" s="126"/>
      <c r="Q187" s="126"/>
      <c r="R187" s="127">
        <f>'1. Standard_Cost'!$B$15*N187*P187</f>
        <v>0</v>
      </c>
      <c r="S187" s="127">
        <f>N187*O187*P187*'1. Standard_Cost'!$C$15</f>
        <v>0</v>
      </c>
      <c r="T187" s="127">
        <f>N187*P187*Q187*'1. Standard_Cost'!$D$15</f>
        <v>0</v>
      </c>
      <c r="U187" s="127">
        <f>N187*O187*'1. Standard_Cost'!$E$15</f>
        <v>0</v>
      </c>
      <c r="V187" s="126"/>
      <c r="W187" s="126"/>
      <c r="X187" s="126"/>
      <c r="Y187" s="127">
        <f>+V187*((X187*'1. Standard_Cost'!$B$19)+(W187*X187*'1. Standard_Cost'!$C$19))</f>
        <v>0</v>
      </c>
      <c r="Z187" s="126"/>
      <c r="AA187" s="126"/>
      <c r="AB187" s="127">
        <f>+Z187*'1. Standard_Cost'!$B$23+AA187*'1. Standard_Cost'!$C$23</f>
        <v>0</v>
      </c>
      <c r="AC187" s="128"/>
      <c r="AD187" s="129"/>
      <c r="AE187" s="127">
        <f>SUM(AD187,AC187,AB187,Y187,U187,T187,S187,R187)*'1. Standard_Cost'!$B$31</f>
        <v>0</v>
      </c>
      <c r="AF187" s="127">
        <f t="shared" si="127"/>
        <v>0</v>
      </c>
      <c r="AG187" s="126"/>
      <c r="AH187" s="126"/>
      <c r="AI187" s="126"/>
      <c r="AJ187" s="130"/>
      <c r="AK187" s="130"/>
      <c r="AL187" s="130"/>
      <c r="AM187" s="127">
        <f>AG187*'1. Standard_Cost'!$B$27+'Incremental_Cost Year 2'!AH187*'1. Standard_Cost'!$C$27+'Incremental_Cost Year 2'!AI187*'1. Standard_Cost'!$D$27+'Incremental_Cost Year 2'!AJ187+'Incremental_Cost Year 2'!AL187+AK187</f>
        <v>0</v>
      </c>
      <c r="AN187" s="127">
        <f>AM187*'1. Standard_Cost'!$C$31</f>
        <v>0</v>
      </c>
      <c r="AO187" s="130"/>
      <c r="AP187" s="256"/>
      <c r="AQ187" s="171">
        <f t="shared" si="128"/>
        <v>0</v>
      </c>
      <c r="AR187" s="171">
        <f t="shared" si="129"/>
        <v>0</v>
      </c>
      <c r="AS187" s="171">
        <f t="shared" si="130"/>
        <v>0</v>
      </c>
      <c r="AT187" s="171">
        <f t="shared" si="131"/>
        <v>0</v>
      </c>
      <c r="AU187" s="250"/>
      <c r="AV187" s="250"/>
      <c r="AW187" s="250"/>
      <c r="AX187" s="250"/>
      <c r="AY187" s="250"/>
      <c r="AZ187" s="250"/>
      <c r="BA187" s="250"/>
      <c r="BB187" s="251">
        <f t="shared" si="132"/>
        <v>0</v>
      </c>
      <c r="BC187" s="169"/>
      <c r="BD187" s="169"/>
      <c r="BE187" s="169"/>
      <c r="BF187" s="169"/>
    </row>
    <row r="188" spans="1:58" ht="78.75" outlineLevel="2" x14ac:dyDescent="0.25">
      <c r="A188" s="115"/>
      <c r="B188" s="200"/>
      <c r="C188" s="330"/>
      <c r="D188" s="343"/>
      <c r="E188" s="328"/>
      <c r="F188" s="328"/>
      <c r="G188" s="328"/>
      <c r="H188" s="199" t="s">
        <v>494</v>
      </c>
      <c r="I188" s="130"/>
      <c r="J188" s="126"/>
      <c r="K188" s="126"/>
      <c r="L188" s="125" t="str">
        <f>IF(I188&lt;&gt;0,((VLOOKUP(I188,'1. Standard_Cost'!$B$4:$D$11,2)+VLOOKUP(I188,'1. Standard_Cost'!$B$4:$D$11,3))*J188*K188),"0")</f>
        <v>0</v>
      </c>
      <c r="M188" s="125">
        <f>L188*'1. Standard_Cost'!$F$4</f>
        <v>0</v>
      </c>
      <c r="N188" s="126"/>
      <c r="O188" s="126"/>
      <c r="P188" s="126"/>
      <c r="Q188" s="126"/>
      <c r="R188" s="127">
        <f>'1. Standard_Cost'!$B$15*N188*P188</f>
        <v>0</v>
      </c>
      <c r="S188" s="127">
        <f>N188*O188*P188*'1. Standard_Cost'!$C$15</f>
        <v>0</v>
      </c>
      <c r="T188" s="127">
        <f>N188*P188*Q188*'1. Standard_Cost'!$D$15</f>
        <v>0</v>
      </c>
      <c r="U188" s="127">
        <f>N188*O188*'1. Standard_Cost'!$E$15</f>
        <v>0</v>
      </c>
      <c r="V188" s="126"/>
      <c r="W188" s="126"/>
      <c r="X188" s="126"/>
      <c r="Y188" s="127">
        <f>+V188*((X188*'1. Standard_Cost'!$B$19)+(W188*X188*'1. Standard_Cost'!$C$19))</f>
        <v>0</v>
      </c>
      <c r="Z188" s="126"/>
      <c r="AA188" s="126"/>
      <c r="AB188" s="127">
        <f>+Z188*'1. Standard_Cost'!$B$23+AA188*'1. Standard_Cost'!$C$23</f>
        <v>0</v>
      </c>
      <c r="AC188" s="128"/>
      <c r="AD188" s="129"/>
      <c r="AE188" s="127">
        <f>SUM(AD188,AC188,AB188,Y188,U188,T188,S188,R188)*'1. Standard_Cost'!$B$31</f>
        <v>0</v>
      </c>
      <c r="AF188" s="127">
        <f t="shared" si="127"/>
        <v>0</v>
      </c>
      <c r="AG188" s="126"/>
      <c r="AH188" s="126"/>
      <c r="AI188" s="126"/>
      <c r="AJ188" s="130"/>
      <c r="AK188" s="130"/>
      <c r="AL188" s="130"/>
      <c r="AM188" s="127">
        <f>AG188*'1. Standard_Cost'!$B$27+'Incremental_Cost Year 2'!AH188*'1. Standard_Cost'!$C$27+'Incremental_Cost Year 2'!AI188*'1. Standard_Cost'!$D$27+'Incremental_Cost Year 2'!AJ188+'Incremental_Cost Year 2'!AL188+AK188</f>
        <v>0</v>
      </c>
      <c r="AN188" s="127">
        <f>AM188*'1. Standard_Cost'!$C$31</f>
        <v>0</v>
      </c>
      <c r="AO188" s="130"/>
      <c r="AP188" s="256"/>
      <c r="AQ188" s="171">
        <f t="shared" si="128"/>
        <v>0</v>
      </c>
      <c r="AR188" s="171">
        <f t="shared" si="129"/>
        <v>0</v>
      </c>
      <c r="AS188" s="171">
        <f t="shared" si="130"/>
        <v>0</v>
      </c>
      <c r="AT188" s="171">
        <f t="shared" si="131"/>
        <v>0</v>
      </c>
      <c r="AU188" s="250"/>
      <c r="AV188" s="250"/>
      <c r="AW188" s="250"/>
      <c r="AX188" s="250"/>
      <c r="AY188" s="250"/>
      <c r="AZ188" s="250"/>
      <c r="BA188" s="250"/>
      <c r="BB188" s="251">
        <f t="shared" si="132"/>
        <v>0</v>
      </c>
      <c r="BC188" s="169"/>
      <c r="BD188" s="169"/>
      <c r="BE188" s="169"/>
      <c r="BF188" s="169"/>
    </row>
    <row r="189" spans="1:58" ht="47.25" outlineLevel="2" x14ac:dyDescent="0.25">
      <c r="A189" s="115"/>
      <c r="B189" s="200"/>
      <c r="C189" s="330"/>
      <c r="D189" s="343"/>
      <c r="E189" s="328"/>
      <c r="F189" s="328"/>
      <c r="G189" s="328"/>
      <c r="H189" s="199" t="s">
        <v>495</v>
      </c>
      <c r="I189" s="130" t="s">
        <v>4</v>
      </c>
      <c r="J189" s="126">
        <v>3</v>
      </c>
      <c r="K189" s="126">
        <v>7</v>
      </c>
      <c r="L189" s="125">
        <f>IF(I189&lt;&gt;0,((VLOOKUP(I189,'1. Standard_Cost'!$B$4:$D$11,2)+VLOOKUP(I189,'1. Standard_Cost'!$B$4:$D$11,3))*J189*K189),"0")</f>
        <v>1695750</v>
      </c>
      <c r="M189" s="125">
        <f>L189*'1. Standard_Cost'!$F$4</f>
        <v>283190.25</v>
      </c>
      <c r="N189" s="126"/>
      <c r="O189" s="126"/>
      <c r="P189" s="126"/>
      <c r="Q189" s="126"/>
      <c r="R189" s="127">
        <f>'1. Standard_Cost'!$B$15*N189*P189</f>
        <v>0</v>
      </c>
      <c r="S189" s="127">
        <f>N189*O189*P189*'1. Standard_Cost'!$C$15</f>
        <v>0</v>
      </c>
      <c r="T189" s="127">
        <f>N189*P189*Q189*'1. Standard_Cost'!$D$15</f>
        <v>0</v>
      </c>
      <c r="U189" s="127">
        <f>N189*O189*'1. Standard_Cost'!$E$15</f>
        <v>0</v>
      </c>
      <c r="V189" s="126"/>
      <c r="W189" s="126"/>
      <c r="X189" s="126"/>
      <c r="Y189" s="127">
        <f>+V189*((X189*'1. Standard_Cost'!$B$19)+(W189*X189*'1. Standard_Cost'!$C$19))</f>
        <v>0</v>
      </c>
      <c r="Z189" s="126"/>
      <c r="AA189" s="126">
        <v>50</v>
      </c>
      <c r="AB189" s="127">
        <f>+Z189*'1. Standard_Cost'!$B$23+AA189*'1. Standard_Cost'!$C$23</f>
        <v>950000</v>
      </c>
      <c r="AC189" s="128">
        <v>250000</v>
      </c>
      <c r="AD189" s="129"/>
      <c r="AE189" s="127">
        <f>SUM(AD189,AC189,AB189,Y189,U189,T189,S189,R189)*'1. Standard_Cost'!$B$31</f>
        <v>240000</v>
      </c>
      <c r="AF189" s="127">
        <f t="shared" si="127"/>
        <v>1440000</v>
      </c>
      <c r="AG189" s="126"/>
      <c r="AH189" s="126"/>
      <c r="AI189" s="126"/>
      <c r="AJ189" s="130"/>
      <c r="AK189" s="130"/>
      <c r="AL189" s="130"/>
      <c r="AM189" s="127">
        <f>AG189*'1. Standard_Cost'!$B$27+'Incremental_Cost Year 2'!AH189*'1. Standard_Cost'!$C$27+'Incremental_Cost Year 2'!AI189*'1. Standard_Cost'!$D$27+'Incremental_Cost Year 2'!AJ189+'Incremental_Cost Year 2'!AL189+AK189</f>
        <v>0</v>
      </c>
      <c r="AN189" s="127">
        <f>AM189*'1. Standard_Cost'!$C$31</f>
        <v>0</v>
      </c>
      <c r="AO189" s="130"/>
      <c r="AP189" s="256"/>
      <c r="AQ189" s="171">
        <f t="shared" si="128"/>
        <v>1978940.25</v>
      </c>
      <c r="AR189" s="171">
        <f t="shared" si="129"/>
        <v>1440000</v>
      </c>
      <c r="AS189" s="171">
        <f t="shared" si="130"/>
        <v>0</v>
      </c>
      <c r="AT189" s="171">
        <f t="shared" si="131"/>
        <v>3418940.25</v>
      </c>
      <c r="AU189" s="250">
        <v>2088940</v>
      </c>
      <c r="AV189" s="250"/>
      <c r="AW189" s="250"/>
      <c r="AX189" s="250"/>
      <c r="AY189" s="250"/>
      <c r="AZ189" s="250"/>
      <c r="BA189" s="250"/>
      <c r="BB189" s="251">
        <f t="shared" si="132"/>
        <v>-1330000.25</v>
      </c>
      <c r="BC189" s="169"/>
      <c r="BD189" s="169"/>
      <c r="BE189" s="169"/>
      <c r="BF189" s="169"/>
    </row>
    <row r="190" spans="1:58" ht="15.75" outlineLevel="2" x14ac:dyDescent="0.25">
      <c r="A190" s="115"/>
      <c r="B190" s="200"/>
      <c r="C190" s="330"/>
      <c r="D190" s="343"/>
      <c r="E190" s="328"/>
      <c r="F190" s="328"/>
      <c r="G190" s="328"/>
      <c r="H190" s="110" t="s">
        <v>183</v>
      </c>
      <c r="I190" s="252"/>
      <c r="J190" s="252"/>
      <c r="K190" s="252"/>
      <c r="L190" s="127">
        <f>SUM(L183:L189)</f>
        <v>9920191550</v>
      </c>
      <c r="M190" s="127">
        <f>SUM(M183:M189)</f>
        <v>1656671988.8500001</v>
      </c>
      <c r="N190" s="252"/>
      <c r="O190" s="252"/>
      <c r="P190" s="252"/>
      <c r="Q190" s="252"/>
      <c r="R190" s="127">
        <f>SUM(R183:R189)</f>
        <v>0</v>
      </c>
      <c r="S190" s="127">
        <f>SUM(S183:S189)</f>
        <v>0</v>
      </c>
      <c r="T190" s="127">
        <f>SUM(T183:T189)</f>
        <v>0</v>
      </c>
      <c r="U190" s="127">
        <f>SUM(U183:U189)</f>
        <v>0</v>
      </c>
      <c r="V190" s="252"/>
      <c r="W190" s="252"/>
      <c r="X190" s="252"/>
      <c r="Y190" s="127">
        <f>SUM(Y183:Y189)</f>
        <v>0</v>
      </c>
      <c r="Z190" s="127"/>
      <c r="AA190" s="252"/>
      <c r="AB190" s="127">
        <f>SUM(AB183:AB189)</f>
        <v>950000</v>
      </c>
      <c r="AC190" s="127">
        <f>SUM(AC183:AC188)</f>
        <v>8200110000</v>
      </c>
      <c r="AD190" s="127">
        <f>SUM(AD183:AD188)</f>
        <v>0</v>
      </c>
      <c r="AE190" s="127">
        <f>SUM(AE183:AE189)</f>
        <v>1640262000</v>
      </c>
      <c r="AF190" s="127">
        <f>SUM(AF183:AF189)</f>
        <v>9841572000</v>
      </c>
      <c r="AG190" s="252"/>
      <c r="AH190" s="252"/>
      <c r="AI190" s="252"/>
      <c r="AJ190" s="127">
        <f>SUM(AJ183:AJ188)</f>
        <v>0</v>
      </c>
      <c r="AK190" s="127">
        <f>SUM(AK183:AK188)</f>
        <v>0</v>
      </c>
      <c r="AL190" s="127">
        <f>SUM(AL183:AL188)</f>
        <v>0</v>
      </c>
      <c r="AM190" s="127">
        <f>SUM(AM183:AM189)</f>
        <v>0</v>
      </c>
      <c r="AN190" s="127">
        <f>SUM(AN183:AN189)</f>
        <v>0</v>
      </c>
      <c r="AO190" s="253"/>
      <c r="AP190" s="254"/>
      <c r="AQ190" s="175">
        <f>SUM(AQ183:AQ189)</f>
        <v>11576863538.85</v>
      </c>
      <c r="AR190" s="175">
        <f t="shared" ref="AR190:BB190" si="133">SUM(AR183:AR189)</f>
        <v>9841572000</v>
      </c>
      <c r="AS190" s="175">
        <f t="shared" si="133"/>
        <v>0</v>
      </c>
      <c r="AT190" s="175">
        <f t="shared" si="133"/>
        <v>21418435538.849998</v>
      </c>
      <c r="AU190" s="175">
        <f t="shared" si="133"/>
        <v>21417105539</v>
      </c>
      <c r="AV190" s="175">
        <f t="shared" si="133"/>
        <v>0</v>
      </c>
      <c r="AW190" s="175">
        <f t="shared" si="133"/>
        <v>0</v>
      </c>
      <c r="AX190" s="175">
        <f t="shared" si="133"/>
        <v>0</v>
      </c>
      <c r="AY190" s="175">
        <f t="shared" si="133"/>
        <v>0</v>
      </c>
      <c r="AZ190" s="175">
        <f t="shared" si="133"/>
        <v>0</v>
      </c>
      <c r="BA190" s="175">
        <f t="shared" si="133"/>
        <v>0</v>
      </c>
      <c r="BB190" s="175">
        <f t="shared" si="133"/>
        <v>-1329999.8499984741</v>
      </c>
      <c r="BC190" s="169"/>
      <c r="BD190" s="169"/>
      <c r="BE190" s="169"/>
      <c r="BF190" s="169"/>
    </row>
    <row r="191" spans="1:58" ht="47.25" outlineLevel="2" x14ac:dyDescent="0.25">
      <c r="A191" s="115"/>
      <c r="B191" s="200"/>
      <c r="C191" s="330"/>
      <c r="D191" s="343"/>
      <c r="E191" s="328"/>
      <c r="F191" s="328"/>
      <c r="G191" s="328"/>
      <c r="H191" s="213" t="s">
        <v>496</v>
      </c>
      <c r="I191" s="130" t="s">
        <v>5</v>
      </c>
      <c r="J191" s="126">
        <v>12</v>
      </c>
      <c r="K191" s="126">
        <v>20</v>
      </c>
      <c r="L191" s="125">
        <f>IF(I191&lt;&gt;0,((VLOOKUP(I191,'1. Standard_Cost'!$B$4:$D$11,2)+VLOOKUP(I191,'1. Standard_Cost'!$B$4:$D$11,3))*J191*K191),"0")</f>
        <v>16968000</v>
      </c>
      <c r="M191" s="125">
        <f>L191*'1. Standard_Cost'!$F$4</f>
        <v>2833656</v>
      </c>
      <c r="N191" s="126"/>
      <c r="O191" s="126"/>
      <c r="P191" s="126"/>
      <c r="Q191" s="126"/>
      <c r="R191" s="127">
        <f>'1. Standard_Cost'!$B$15*N191*P191</f>
        <v>0</v>
      </c>
      <c r="S191" s="127">
        <f>N191*O191*P191*'1. Standard_Cost'!$C$15</f>
        <v>0</v>
      </c>
      <c r="T191" s="127">
        <f>N191*P191*Q191*'1. Standard_Cost'!$D$15</f>
        <v>0</v>
      </c>
      <c r="U191" s="127">
        <f>N191*O191*'1. Standard_Cost'!$E$15</f>
        <v>0</v>
      </c>
      <c r="V191" s="126"/>
      <c r="W191" s="126"/>
      <c r="X191" s="126"/>
      <c r="Y191" s="127">
        <f>+V191*((X191*'1. Standard_Cost'!$B$19)+(W191*X191*'1. Standard_Cost'!$C$19))</f>
        <v>0</v>
      </c>
      <c r="Z191" s="126"/>
      <c r="AA191" s="126"/>
      <c r="AB191" s="127">
        <f>+Z191*'1. Standard_Cost'!$B$23+AA191*'1. Standard_Cost'!$C$23</f>
        <v>0</v>
      </c>
      <c r="AC191" s="128">
        <v>6000000</v>
      </c>
      <c r="AD191" s="129"/>
      <c r="AE191" s="127"/>
      <c r="AF191" s="127">
        <f>SUM(AE191,AD191,AC191,AB191,Y191,U191,T191,S191,R191)</f>
        <v>6000000</v>
      </c>
      <c r="AG191" s="126"/>
      <c r="AH191" s="126"/>
      <c r="AI191" s="126"/>
      <c r="AJ191" s="130"/>
      <c r="AK191" s="130"/>
      <c r="AL191" s="130"/>
      <c r="AM191" s="127">
        <f>AG191*'1. Standard_Cost'!$B$27+'Incremental_Cost Year 2'!AH191*'1. Standard_Cost'!$C$27+'Incremental_Cost Year 2'!AI191*'1. Standard_Cost'!$D$27+'Incremental_Cost Year 2'!AJ191+'Incremental_Cost Year 2'!AL191+AK191</f>
        <v>0</v>
      </c>
      <c r="AN191" s="127">
        <f>AM191*'1. Standard_Cost'!$C$31</f>
        <v>0</v>
      </c>
      <c r="AO191" s="130"/>
      <c r="AP191" s="256"/>
      <c r="AQ191" s="171">
        <f>L191+M191</f>
        <v>19801656</v>
      </c>
      <c r="AR191" s="171">
        <f>AF191</f>
        <v>6000000</v>
      </c>
      <c r="AS191" s="171">
        <f>AM191+AN191</f>
        <v>0</v>
      </c>
      <c r="AT191" s="171">
        <f>SUM(AQ191,AR191,AS191)</f>
        <v>25801656</v>
      </c>
      <c r="AU191" s="250">
        <v>25801656</v>
      </c>
      <c r="AV191" s="250"/>
      <c r="AW191" s="250"/>
      <c r="AX191" s="250"/>
      <c r="AY191" s="250"/>
      <c r="AZ191" s="250"/>
      <c r="BA191" s="250"/>
      <c r="BB191" s="251">
        <f t="shared" ref="BB191:BB192" si="134">SUM(AU191:BA191)-AT191</f>
        <v>0</v>
      </c>
      <c r="BC191" s="169"/>
      <c r="BD191" s="169"/>
      <c r="BE191" s="169"/>
      <c r="BF191" s="169"/>
    </row>
    <row r="192" spans="1:58" ht="47.25" outlineLevel="2" x14ac:dyDescent="0.25">
      <c r="A192" s="115"/>
      <c r="B192" s="200"/>
      <c r="C192" s="330"/>
      <c r="D192" s="343"/>
      <c r="E192" s="328"/>
      <c r="F192" s="328"/>
      <c r="G192" s="328"/>
      <c r="H192" s="199" t="s">
        <v>238</v>
      </c>
      <c r="I192" s="130" t="s">
        <v>172</v>
      </c>
      <c r="J192" s="126">
        <v>12</v>
      </c>
      <c r="K192" s="126">
        <v>2</v>
      </c>
      <c r="L192" s="125">
        <f>IF(I192&lt;&gt;0,((VLOOKUP(I192,'1. Standard_Cost'!$B$4:$D$11,2)+VLOOKUP(I192,'1. Standard_Cost'!$B$4:$D$11,3))*J192*K192),"0")</f>
        <v>1212000</v>
      </c>
      <c r="M192" s="125">
        <f>L192*'1. Standard_Cost'!$F$4</f>
        <v>202404</v>
      </c>
      <c r="N192" s="126"/>
      <c r="O192" s="126"/>
      <c r="P192" s="126"/>
      <c r="Q192" s="126"/>
      <c r="R192" s="127">
        <f>'1. Standard_Cost'!$B$15*N192*P192</f>
        <v>0</v>
      </c>
      <c r="S192" s="127">
        <f>N192*O192*P192*'1. Standard_Cost'!$C$15</f>
        <v>0</v>
      </c>
      <c r="T192" s="127">
        <f>N192*P192*Q192*'1. Standard_Cost'!$D$15</f>
        <v>0</v>
      </c>
      <c r="U192" s="127">
        <f>N192*O192*'1. Standard_Cost'!$E$15</f>
        <v>0</v>
      </c>
      <c r="V192" s="126"/>
      <c r="W192" s="126"/>
      <c r="X192" s="126"/>
      <c r="Y192" s="127">
        <f>+V192*((X192*'1. Standard_Cost'!$B$19)+(W192*X192*'1. Standard_Cost'!$C$19))</f>
        <v>0</v>
      </c>
      <c r="Z192" s="126"/>
      <c r="AA192" s="126"/>
      <c r="AB192" s="127">
        <f>+Z192*'1. Standard_Cost'!$B$23+AA192*'1. Standard_Cost'!$C$23</f>
        <v>0</v>
      </c>
      <c r="AC192" s="128">
        <v>50000</v>
      </c>
      <c r="AD192" s="129"/>
      <c r="AE192" s="127">
        <f>SUM(AD192,AC192,AB192,Y192,U192,T192,S192,R192)*'1. Standard_Cost'!$B$31</f>
        <v>10000</v>
      </c>
      <c r="AF192" s="127">
        <f>SUM(AE192,AD192,AC192,AB192,Y192,U192,T192,S192,R192)</f>
        <v>60000</v>
      </c>
      <c r="AG192" s="126"/>
      <c r="AH192" s="126"/>
      <c r="AI192" s="126"/>
      <c r="AJ192" s="130"/>
      <c r="AK192" s="130"/>
      <c r="AL192" s="130"/>
      <c r="AM192" s="127">
        <f>AG192*'1. Standard_Cost'!$B$27+'Incremental_Cost Year 2'!AH192*'1. Standard_Cost'!$C$27+'Incremental_Cost Year 2'!AI192*'1. Standard_Cost'!$D$27+'Incremental_Cost Year 2'!AJ192+'Incremental_Cost Year 2'!AL192+AK192</f>
        <v>0</v>
      </c>
      <c r="AN192" s="127">
        <f>AM192*'1. Standard_Cost'!$C$31</f>
        <v>0</v>
      </c>
      <c r="AO192" s="130"/>
      <c r="AP192" s="256"/>
      <c r="AQ192" s="171">
        <f>L192+M192</f>
        <v>1414404</v>
      </c>
      <c r="AR192" s="171">
        <f>AF192</f>
        <v>60000</v>
      </c>
      <c r="AS192" s="171">
        <f>AM192+AN192</f>
        <v>0</v>
      </c>
      <c r="AT192" s="171">
        <f>SUM(AQ192,AR192,AS192)</f>
        <v>1474404</v>
      </c>
      <c r="AU192" s="250">
        <v>1474404</v>
      </c>
      <c r="AV192" s="250"/>
      <c r="AW192" s="250"/>
      <c r="AX192" s="250"/>
      <c r="AY192" s="250"/>
      <c r="AZ192" s="250"/>
      <c r="BA192" s="250"/>
      <c r="BB192" s="251">
        <f t="shared" si="134"/>
        <v>0</v>
      </c>
      <c r="BC192" s="169"/>
      <c r="BD192" s="169"/>
      <c r="BE192" s="169"/>
      <c r="BF192" s="169"/>
    </row>
    <row r="193" spans="1:58" ht="15.75" outlineLevel="1" x14ac:dyDescent="0.25">
      <c r="A193" s="115"/>
      <c r="B193" s="200"/>
      <c r="C193" s="330"/>
      <c r="D193" s="343"/>
      <c r="E193" s="328"/>
      <c r="F193" s="328"/>
      <c r="G193" s="328"/>
      <c r="H193" s="150" t="s">
        <v>239</v>
      </c>
      <c r="I193" s="252"/>
      <c r="J193" s="252"/>
      <c r="K193" s="252"/>
      <c r="L193" s="127">
        <f>SUM(L191:L192)</f>
        <v>18180000</v>
      </c>
      <c r="M193" s="127">
        <f>SUM(M191:M192)</f>
        <v>3036060</v>
      </c>
      <c r="N193" s="252"/>
      <c r="O193" s="252"/>
      <c r="P193" s="252"/>
      <c r="Q193" s="252"/>
      <c r="R193" s="127">
        <f>SUM(R191:R192)</f>
        <v>0</v>
      </c>
      <c r="S193" s="127">
        <f>SUM(S191:S192)</f>
        <v>0</v>
      </c>
      <c r="T193" s="127">
        <f>SUM(T191:T192)</f>
        <v>0</v>
      </c>
      <c r="U193" s="127">
        <f>SUM(U191:U192)</f>
        <v>0</v>
      </c>
      <c r="V193" s="252"/>
      <c r="W193" s="252"/>
      <c r="X193" s="252"/>
      <c r="Y193" s="127">
        <f>SUM(Y191:Y192)</f>
        <v>0</v>
      </c>
      <c r="Z193" s="127"/>
      <c r="AA193" s="252"/>
      <c r="AB193" s="127">
        <f>SUM(AB191:AB192)</f>
        <v>0</v>
      </c>
      <c r="AC193" s="127">
        <f>SUM(AC191:AC192)</f>
        <v>6050000</v>
      </c>
      <c r="AD193" s="127">
        <f>SUM(AD191:AD192)</f>
        <v>0</v>
      </c>
      <c r="AE193" s="127">
        <f>SUM(AE191:AE192)</f>
        <v>10000</v>
      </c>
      <c r="AF193" s="127">
        <f>SUM(AF191:AF192)</f>
        <v>6060000</v>
      </c>
      <c r="AG193" s="252"/>
      <c r="AH193" s="252"/>
      <c r="AI193" s="252"/>
      <c r="AJ193" s="127">
        <f>SUM(AJ191:AJ192)</f>
        <v>0</v>
      </c>
      <c r="AK193" s="127">
        <f>SUM(AK191:AK192)</f>
        <v>0</v>
      </c>
      <c r="AL193" s="127">
        <f>SUM(AL191:AL192)</f>
        <v>0</v>
      </c>
      <c r="AM193" s="127">
        <f>SUM(AM191:AM192)</f>
        <v>0</v>
      </c>
      <c r="AN193" s="127">
        <f>SUM(AN191:AN192)</f>
        <v>0</v>
      </c>
      <c r="AO193" s="253"/>
      <c r="AP193" s="254"/>
      <c r="AQ193" s="175">
        <f>SUM(AQ191:AQ192)</f>
        <v>21216060</v>
      </c>
      <c r="AR193" s="175">
        <f>SUM(AR191:AR192)</f>
        <v>6060000</v>
      </c>
      <c r="AS193" s="175">
        <f>SUM(AS191:AS192)</f>
        <v>0</v>
      </c>
      <c r="AT193" s="175">
        <f>SUM(AT191:AT192)</f>
        <v>27276060</v>
      </c>
      <c r="AU193" s="175">
        <f t="shared" ref="AU193:BA193" si="135">SUM(AU191:AU192)</f>
        <v>27276060</v>
      </c>
      <c r="AV193" s="175">
        <f t="shared" si="135"/>
        <v>0</v>
      </c>
      <c r="AW193" s="175">
        <f>SUM(AW191:AW192)</f>
        <v>0</v>
      </c>
      <c r="AX193" s="175">
        <f t="shared" si="135"/>
        <v>0</v>
      </c>
      <c r="AY193" s="175">
        <f t="shared" si="135"/>
        <v>0</v>
      </c>
      <c r="AZ193" s="175">
        <f t="shared" si="135"/>
        <v>0</v>
      </c>
      <c r="BA193" s="175">
        <f t="shared" si="135"/>
        <v>0</v>
      </c>
      <c r="BB193" s="175">
        <f>SUM(BB191:BB192)</f>
        <v>0</v>
      </c>
      <c r="BC193" s="169"/>
      <c r="BD193" s="169"/>
      <c r="BE193" s="169"/>
      <c r="BF193" s="169"/>
    </row>
    <row r="194" spans="1:58" ht="47.25" outlineLevel="2" x14ac:dyDescent="0.25">
      <c r="A194" s="115"/>
      <c r="B194" s="200"/>
      <c r="C194" s="330"/>
      <c r="D194" s="343"/>
      <c r="E194" s="328"/>
      <c r="F194" s="328"/>
      <c r="G194" s="328"/>
      <c r="H194" s="199" t="s">
        <v>497</v>
      </c>
      <c r="I194" s="130" t="s">
        <v>5</v>
      </c>
      <c r="J194" s="126">
        <v>3</v>
      </c>
      <c r="K194" s="126">
        <v>3</v>
      </c>
      <c r="L194" s="125">
        <f>IF(I194&lt;&gt;0,((VLOOKUP(I194,'1. Standard_Cost'!$B$4:$D$11,2)+VLOOKUP(I194,'1. Standard_Cost'!$B$4:$D$11,3))*J194*K194),"0")</f>
        <v>636300</v>
      </c>
      <c r="M194" s="125">
        <f>L194*'1. Standard_Cost'!$F$4</f>
        <v>106262.1</v>
      </c>
      <c r="N194" s="126"/>
      <c r="O194" s="126"/>
      <c r="P194" s="126"/>
      <c r="Q194" s="126"/>
      <c r="R194" s="127">
        <f>'1. Standard_Cost'!$B$15*N194*P194</f>
        <v>0</v>
      </c>
      <c r="S194" s="127">
        <f>N194*O194*P194*'1. Standard_Cost'!$C$15</f>
        <v>0</v>
      </c>
      <c r="T194" s="127">
        <f>N194*P194*Q194*'1. Standard_Cost'!$D$15</f>
        <v>0</v>
      </c>
      <c r="U194" s="127">
        <f>N194*O194*'1. Standard_Cost'!$E$15</f>
        <v>0</v>
      </c>
      <c r="V194" s="126"/>
      <c r="W194" s="126"/>
      <c r="X194" s="126"/>
      <c r="Y194" s="127">
        <f>+V194*((X194*'1. Standard_Cost'!$B$19)+(W194*X194*'1. Standard_Cost'!$C$19))</f>
        <v>0</v>
      </c>
      <c r="Z194" s="126"/>
      <c r="AA194" s="126"/>
      <c r="AB194" s="127">
        <f>+Z194*'1. Standard_Cost'!$B$23+AA194*'1. Standard_Cost'!$C$23</f>
        <v>0</v>
      </c>
      <c r="AC194" s="128">
        <v>75000</v>
      </c>
      <c r="AD194" s="129"/>
      <c r="AE194" s="127">
        <f>SUM(AD194,AC194,AB194,Y194,U194,T194,S194,R194)*'1. Standard_Cost'!$B$31</f>
        <v>15000</v>
      </c>
      <c r="AF194" s="127">
        <f>SUM(AE194,AD194,AC194,AB194,Y194,U194,T194,S194,R194)</f>
        <v>90000</v>
      </c>
      <c r="AG194" s="126"/>
      <c r="AH194" s="126"/>
      <c r="AI194" s="126"/>
      <c r="AJ194" s="130"/>
      <c r="AK194" s="130"/>
      <c r="AL194" s="130"/>
      <c r="AM194" s="127">
        <f>AG194*'1. Standard_Cost'!$B$27+'Incremental_Cost Year 2'!AH194*'1. Standard_Cost'!$C$27+'Incremental_Cost Year 2'!AI194*'1. Standard_Cost'!$D$27+'Incremental_Cost Year 2'!AJ194+'Incremental_Cost Year 2'!AL194+AK194</f>
        <v>0</v>
      </c>
      <c r="AN194" s="127">
        <f>AM194*'1. Standard_Cost'!$C$31</f>
        <v>0</v>
      </c>
      <c r="AO194" s="130"/>
      <c r="AP194" s="256"/>
      <c r="AQ194" s="171">
        <f>L194+M194</f>
        <v>742562.1</v>
      </c>
      <c r="AR194" s="171">
        <f>AF194</f>
        <v>90000</v>
      </c>
      <c r="AS194" s="171">
        <f>AM194+AN194</f>
        <v>0</v>
      </c>
      <c r="AT194" s="171">
        <f>SUM(AQ194,AR194,AS194)</f>
        <v>832562.1</v>
      </c>
      <c r="AU194" s="250">
        <v>832562</v>
      </c>
      <c r="AV194" s="250"/>
      <c r="AW194" s="250"/>
      <c r="AX194" s="250"/>
      <c r="AY194" s="250"/>
      <c r="AZ194" s="250"/>
      <c r="BA194" s="250"/>
      <c r="BB194" s="251">
        <f t="shared" ref="BB194:BB195" si="136">SUM(AU194:BA194)-AT194</f>
        <v>-9.9999999976716936E-2</v>
      </c>
      <c r="BC194" s="169"/>
      <c r="BD194" s="169"/>
      <c r="BE194" s="169"/>
      <c r="BF194" s="169"/>
    </row>
    <row r="195" spans="1:58" ht="47.25" outlineLevel="2" x14ac:dyDescent="0.25">
      <c r="A195" s="115"/>
      <c r="B195" s="147"/>
      <c r="C195" s="341"/>
      <c r="D195" s="344"/>
      <c r="E195" s="328"/>
      <c r="F195" s="328"/>
      <c r="G195" s="328"/>
      <c r="H195" s="199" t="s">
        <v>498</v>
      </c>
      <c r="I195" s="130" t="s">
        <v>5</v>
      </c>
      <c r="J195" s="126">
        <v>0.2</v>
      </c>
      <c r="K195" s="126">
        <v>2</v>
      </c>
      <c r="L195" s="125">
        <f>IF(I195&lt;&gt;0,((VLOOKUP(I195,'1. Standard_Cost'!$B$4:$D$11,2)+VLOOKUP(I195,'1. Standard_Cost'!$B$4:$D$11,3))*J195*K195),"0")</f>
        <v>28280</v>
      </c>
      <c r="M195" s="125">
        <f>L195*'1. Standard_Cost'!$F$4</f>
        <v>4722.76</v>
      </c>
      <c r="N195" s="126">
        <v>1</v>
      </c>
      <c r="O195" s="126">
        <v>1</v>
      </c>
      <c r="P195" s="126">
        <v>20</v>
      </c>
      <c r="Q195" s="126"/>
      <c r="R195" s="127">
        <f>'1. Standard_Cost'!$B$15*N195*P195</f>
        <v>40000</v>
      </c>
      <c r="S195" s="127">
        <f>N195*O195*P195*'1. Standard_Cost'!$C$15</f>
        <v>30000</v>
      </c>
      <c r="T195" s="127">
        <f>N195*P195*Q195*'1. Standard_Cost'!$D$15</f>
        <v>0</v>
      </c>
      <c r="U195" s="127">
        <f>N195*O195*'1. Standard_Cost'!$E$15</f>
        <v>40000</v>
      </c>
      <c r="V195" s="126"/>
      <c r="W195" s="126"/>
      <c r="X195" s="126"/>
      <c r="Y195" s="127">
        <f>+V195*((X195*'1. Standard_Cost'!$B$19)+(W195*X195*'1. Standard_Cost'!$C$19))</f>
        <v>0</v>
      </c>
      <c r="Z195" s="126"/>
      <c r="AA195" s="126"/>
      <c r="AB195" s="127">
        <f>+Z195*'1. Standard_Cost'!$B$23+AA195*'1. Standard_Cost'!$C$23</f>
        <v>0</v>
      </c>
      <c r="AC195" s="128">
        <v>15000</v>
      </c>
      <c r="AD195" s="129"/>
      <c r="AE195" s="127">
        <f>SUM(AD195,AC195,AB195,Y195,U195,T195,S195,R195)*'1. Standard_Cost'!$B$31</f>
        <v>25000</v>
      </c>
      <c r="AF195" s="127">
        <f>SUM(AE195,AD195,AC195,AB195,Y195,U195,T195,S195,R195)</f>
        <v>150000</v>
      </c>
      <c r="AG195" s="126"/>
      <c r="AH195" s="126"/>
      <c r="AI195" s="126"/>
      <c r="AJ195" s="130"/>
      <c r="AK195" s="130"/>
      <c r="AL195" s="130"/>
      <c r="AM195" s="127">
        <f>AG195*'1. Standard_Cost'!$B$27+'Incremental_Cost Year 2'!AH195*'1. Standard_Cost'!$C$27+'Incremental_Cost Year 2'!AI195*'1. Standard_Cost'!$D$27+'Incremental_Cost Year 2'!AJ195+'Incremental_Cost Year 2'!AL195+AK195</f>
        <v>0</v>
      </c>
      <c r="AN195" s="127">
        <f>AM195*'1. Standard_Cost'!$C$31</f>
        <v>0</v>
      </c>
      <c r="AO195" s="130"/>
      <c r="AP195" s="256"/>
      <c r="AQ195" s="171">
        <f>L195+M195</f>
        <v>33002.76</v>
      </c>
      <c r="AR195" s="171">
        <f>AF195</f>
        <v>150000</v>
      </c>
      <c r="AS195" s="171">
        <f>AM195+AN195</f>
        <v>0</v>
      </c>
      <c r="AT195" s="171">
        <f>SUM(AQ195,AR195,AS195)</f>
        <v>183002.76</v>
      </c>
      <c r="AU195" s="250">
        <v>135003</v>
      </c>
      <c r="AV195" s="250"/>
      <c r="AW195" s="250"/>
      <c r="AX195" s="250"/>
      <c r="AY195" s="250"/>
      <c r="AZ195" s="250"/>
      <c r="BA195" s="250"/>
      <c r="BB195" s="251">
        <f t="shared" si="136"/>
        <v>-47999.760000000009</v>
      </c>
      <c r="BC195" s="169"/>
      <c r="BD195" s="169"/>
      <c r="BE195" s="169"/>
      <c r="BF195" s="169"/>
    </row>
    <row r="196" spans="1:58" ht="63" outlineLevel="1" x14ac:dyDescent="0.25">
      <c r="A196" s="115"/>
      <c r="B196" s="200"/>
      <c r="C196" s="201"/>
      <c r="D196" s="107" t="s">
        <v>240</v>
      </c>
      <c r="E196" s="212" t="s">
        <v>499</v>
      </c>
      <c r="F196" s="104">
        <v>2021</v>
      </c>
      <c r="G196" s="104">
        <v>2030</v>
      </c>
      <c r="H196" s="150" t="s">
        <v>241</v>
      </c>
      <c r="I196" s="252"/>
      <c r="J196" s="252"/>
      <c r="K196" s="252"/>
      <c r="L196" s="127">
        <f>SUM(L194:L195)</f>
        <v>664580</v>
      </c>
      <c r="M196" s="127">
        <f>SUM(M194:M195)</f>
        <v>110984.86</v>
      </c>
      <c r="N196" s="252"/>
      <c r="O196" s="252"/>
      <c r="P196" s="252"/>
      <c r="Q196" s="252"/>
      <c r="R196" s="127">
        <f>SUM(R194:R195)</f>
        <v>40000</v>
      </c>
      <c r="S196" s="127">
        <f>SUM(S194:S195)</f>
        <v>30000</v>
      </c>
      <c r="T196" s="127">
        <f>SUM(T194:T195)</f>
        <v>0</v>
      </c>
      <c r="U196" s="127">
        <f>SUM(U194:U195)</f>
        <v>40000</v>
      </c>
      <c r="V196" s="252"/>
      <c r="W196" s="252"/>
      <c r="X196" s="252"/>
      <c r="Y196" s="127">
        <f>SUM(Y194:Y195)</f>
        <v>0</v>
      </c>
      <c r="Z196" s="127"/>
      <c r="AA196" s="252"/>
      <c r="AB196" s="127">
        <f>SUM(AB194:AB195)</f>
        <v>0</v>
      </c>
      <c r="AC196" s="127">
        <f>SUM(AC194:AC195)</f>
        <v>90000</v>
      </c>
      <c r="AD196" s="127">
        <f>SUM(AD194:AD195)</f>
        <v>0</v>
      </c>
      <c r="AE196" s="127">
        <f>SUM(AE194:AE195)</f>
        <v>40000</v>
      </c>
      <c r="AF196" s="127">
        <f>SUM(AF194:AF195)</f>
        <v>240000</v>
      </c>
      <c r="AG196" s="252"/>
      <c r="AH196" s="252"/>
      <c r="AI196" s="252"/>
      <c r="AJ196" s="127">
        <f>SUM(AJ194:AJ195)</f>
        <v>0</v>
      </c>
      <c r="AK196" s="127">
        <f>SUM(AK194:AK195)</f>
        <v>0</v>
      </c>
      <c r="AL196" s="127">
        <f>SUM(AL194:AL195)</f>
        <v>0</v>
      </c>
      <c r="AM196" s="127">
        <f>SUM(AM194:AM195)</f>
        <v>0</v>
      </c>
      <c r="AN196" s="127">
        <f>SUM(AN194:AN195)</f>
        <v>0</v>
      </c>
      <c r="AO196" s="253"/>
      <c r="AP196" s="254"/>
      <c r="AQ196" s="175">
        <f>SUM(AQ194:AQ195)</f>
        <v>775564.86</v>
      </c>
      <c r="AR196" s="175">
        <f>SUM(AR194:AR195)</f>
        <v>240000</v>
      </c>
      <c r="AS196" s="175">
        <f>SUM(AS194:AS195)</f>
        <v>0</v>
      </c>
      <c r="AT196" s="175">
        <f>SUM(AT194:AT195)</f>
        <v>1015564.86</v>
      </c>
      <c r="AU196" s="175">
        <f t="shared" ref="AU196:BA196" si="137">SUM(AU194:AU195)</f>
        <v>967565</v>
      </c>
      <c r="AV196" s="175">
        <f t="shared" si="137"/>
        <v>0</v>
      </c>
      <c r="AW196" s="175">
        <f>SUM(AW194:AW195)</f>
        <v>0</v>
      </c>
      <c r="AX196" s="175">
        <f t="shared" si="137"/>
        <v>0</v>
      </c>
      <c r="AY196" s="175">
        <f t="shared" si="137"/>
        <v>0</v>
      </c>
      <c r="AZ196" s="175">
        <f t="shared" si="137"/>
        <v>0</v>
      </c>
      <c r="BA196" s="175">
        <f t="shared" si="137"/>
        <v>0</v>
      </c>
      <c r="BB196" s="175">
        <f>SUM(BB194:BB195)</f>
        <v>-47999.859999999986</v>
      </c>
      <c r="BC196" s="169"/>
      <c r="BD196" s="169"/>
      <c r="BE196" s="169"/>
      <c r="BF196" s="169"/>
    </row>
    <row r="197" spans="1:58" s="170" customFormat="1" ht="15.75" customHeight="1" x14ac:dyDescent="0.25">
      <c r="A197" s="120"/>
      <c r="B197" s="396" t="s">
        <v>243</v>
      </c>
      <c r="C197" s="389"/>
      <c r="D197" s="389"/>
      <c r="E197" s="390"/>
      <c r="F197" s="286"/>
      <c r="G197" s="286"/>
      <c r="H197" s="286" t="s">
        <v>184</v>
      </c>
      <c r="I197" s="243"/>
      <c r="J197" s="243"/>
      <c r="K197" s="243"/>
      <c r="L197" s="243">
        <f>SUM(L198,L213,L221,L226,L232,L238)</f>
        <v>1101875754.2857141</v>
      </c>
      <c r="M197" s="243">
        <f>SUM(M198,M213,M221,M226,M232,M238)</f>
        <v>184013250.96571428</v>
      </c>
      <c r="N197" s="243"/>
      <c r="O197" s="243"/>
      <c r="P197" s="243"/>
      <c r="Q197" s="243"/>
      <c r="R197" s="243">
        <f>SUM(R198,R213,R221,R226,R232,R238)</f>
        <v>800000</v>
      </c>
      <c r="S197" s="243">
        <f>SUM(S198,S213,S221,S226,S232,S238)</f>
        <v>600000</v>
      </c>
      <c r="T197" s="243">
        <f>SUM(T198,T213,T221,T226,T232,T238)</f>
        <v>0</v>
      </c>
      <c r="U197" s="243">
        <f>SUM(U198,U213,U221,U226,U232,U238)</f>
        <v>800000</v>
      </c>
      <c r="V197" s="243"/>
      <c r="W197" s="243"/>
      <c r="X197" s="243"/>
      <c r="Y197" s="243">
        <f>SUM(Y198,Y213,Y221,Y226,Y232,Y238)</f>
        <v>0</v>
      </c>
      <c r="Z197" s="243">
        <f>SUM(Z198,Z213,Z221,Z226,Z232,Z238)</f>
        <v>0</v>
      </c>
      <c r="AA197" s="243"/>
      <c r="AB197" s="243">
        <f>SUM(AB198,AB213,AB221,AB226,AB232,AB238)</f>
        <v>2128000</v>
      </c>
      <c r="AC197" s="243">
        <f>SUM(AC198,AC213,AC221,AC226,AC232,AC238)</f>
        <v>1651807000</v>
      </c>
      <c r="AD197" s="243">
        <f>SUM(AD198,AD213,AD221,AD226,AD232,AD238)</f>
        <v>0</v>
      </c>
      <c r="AE197" s="243">
        <f>SUM(AE198,AE213,AE221,AE226,AE232,AE238)</f>
        <v>42794400</v>
      </c>
      <c r="AF197" s="243">
        <f>SUM(AF198,AF213,AF221,AF226,AF232,AF238)</f>
        <v>1698929400</v>
      </c>
      <c r="AG197" s="243"/>
      <c r="AH197" s="243"/>
      <c r="AI197" s="243"/>
      <c r="AJ197" s="243">
        <f>SUM(AJ198,AJ213,AJ221,AJ226,AJ232,AJ238)</f>
        <v>13680000</v>
      </c>
      <c r="AK197" s="243">
        <f>SUM(AK198,AK213,AK221,AK226,AK232,AK238)</f>
        <v>0</v>
      </c>
      <c r="AL197" s="243">
        <f>SUM(AL198,AL213,AL221,AL226,AL232,AL238)</f>
        <v>710000000</v>
      </c>
      <c r="AM197" s="243">
        <f>SUM(AM198,AM213,AM221,AM226,AM232,AM238)</f>
        <v>723680000</v>
      </c>
      <c r="AN197" s="243">
        <f>SUM(AN198,AN213,AN221,AN226,AN232,AN238)</f>
        <v>3552000</v>
      </c>
      <c r="AO197" s="243"/>
      <c r="AP197" s="244"/>
      <c r="AQ197" s="245">
        <f>SUM(AQ198,AQ213,AQ221,AQ226,AQ232,AQ238)</f>
        <v>1285889005.2514286</v>
      </c>
      <c r="AR197" s="245">
        <f>SUM(AR198,AR213,AR221,AR226,AR232,AR238)</f>
        <v>1698929400</v>
      </c>
      <c r="AS197" s="245">
        <f>SUM(AS198,AS213,AS221,AS226,AS232,AS238)</f>
        <v>727232000</v>
      </c>
      <c r="AT197" s="245">
        <f>SUM(AT198,AT213,AT221,AT226,AT232,AT238)</f>
        <v>3712050405.2514291</v>
      </c>
      <c r="AU197" s="245">
        <f t="shared" ref="AU197:BB197" si="138">SUM(AU198,AU213,AU221,AU226,AU232,AU238)</f>
        <v>2991692005.2514286</v>
      </c>
      <c r="AV197" s="245">
        <f t="shared" si="138"/>
        <v>0</v>
      </c>
      <c r="AW197" s="245">
        <f>SUM(AW198,AW213,AW221,AW226,AW232,AW238)</f>
        <v>710000000</v>
      </c>
      <c r="AX197" s="245">
        <f t="shared" si="138"/>
        <v>0</v>
      </c>
      <c r="AY197" s="245">
        <f t="shared" si="138"/>
        <v>0</v>
      </c>
      <c r="AZ197" s="245">
        <f t="shared" si="138"/>
        <v>0</v>
      </c>
      <c r="BA197" s="245">
        <f t="shared" si="138"/>
        <v>0</v>
      </c>
      <c r="BB197" s="245">
        <f t="shared" si="138"/>
        <v>-10358400</v>
      </c>
    </row>
    <row r="198" spans="1:58" s="184" customFormat="1" ht="15.75" customHeight="1" x14ac:dyDescent="0.25">
      <c r="A198" s="143"/>
      <c r="B198" s="332"/>
      <c r="C198" s="397" t="s">
        <v>244</v>
      </c>
      <c r="D198" s="397"/>
      <c r="E198" s="398"/>
      <c r="F198" s="291"/>
      <c r="G198" s="340"/>
      <c r="H198" s="144" t="s">
        <v>185</v>
      </c>
      <c r="I198" s="269"/>
      <c r="J198" s="257"/>
      <c r="K198" s="257"/>
      <c r="L198" s="258">
        <f>SUM(L203,L209,L212)</f>
        <v>149551854.2857143</v>
      </c>
      <c r="M198" s="258">
        <f>SUM(M203,M209,M212)</f>
        <v>24975159.665714286</v>
      </c>
      <c r="N198" s="257"/>
      <c r="O198" s="257"/>
      <c r="P198" s="257"/>
      <c r="Q198" s="257"/>
      <c r="R198" s="258">
        <f>SUM(R203,R209,R212)</f>
        <v>800000</v>
      </c>
      <c r="S198" s="258">
        <f>SUM(S203,S209,S212)</f>
        <v>600000</v>
      </c>
      <c r="T198" s="258">
        <f>SUM(T203,T209,T212)</f>
        <v>0</v>
      </c>
      <c r="U198" s="258">
        <f>SUM(U203,U209,U212)</f>
        <v>800000</v>
      </c>
      <c r="V198" s="257"/>
      <c r="W198" s="257"/>
      <c r="X198" s="257"/>
      <c r="Y198" s="258">
        <f>SUM(Y203,Y209,Y212)</f>
        <v>0</v>
      </c>
      <c r="Z198" s="258">
        <f>SUM(Z203,Z209,Z212)</f>
        <v>0</v>
      </c>
      <c r="AA198" s="257"/>
      <c r="AB198" s="258">
        <f>SUM(AB203,AB209,AB212)</f>
        <v>2128000</v>
      </c>
      <c r="AC198" s="258">
        <f>SUM(AC203,AC209,AC212)</f>
        <v>209344000</v>
      </c>
      <c r="AD198" s="258">
        <f>SUM(AD203,AD209,AD212)</f>
        <v>0</v>
      </c>
      <c r="AE198" s="258">
        <f>SUM(AE203,AE209,AE212)</f>
        <v>42734400</v>
      </c>
      <c r="AF198" s="258">
        <f>SUM(AF203,AF209,AF212)</f>
        <v>256406400</v>
      </c>
      <c r="AG198" s="257"/>
      <c r="AH198" s="257"/>
      <c r="AI198" s="257"/>
      <c r="AJ198" s="258">
        <f>SUM(AJ203,AJ209,AJ212)</f>
        <v>13680000</v>
      </c>
      <c r="AK198" s="258">
        <f>SUM(AK203,AK209,AK212)</f>
        <v>0</v>
      </c>
      <c r="AL198" s="258">
        <f>SUM(AL203,AL209,AL212)</f>
        <v>710000000</v>
      </c>
      <c r="AM198" s="258">
        <f>SUM(AM203,AM209,AM212)</f>
        <v>723680000</v>
      </c>
      <c r="AN198" s="258">
        <f>SUM(AN203,AN209,AN212)</f>
        <v>3552000</v>
      </c>
      <c r="AO198" s="259"/>
      <c r="AP198" s="260"/>
      <c r="AQ198" s="261">
        <f>SUM(AQ203,AQ209,AQ212)</f>
        <v>174527013.95142856</v>
      </c>
      <c r="AR198" s="261">
        <f>SUM(AR203,AR209,AR212)</f>
        <v>256406400</v>
      </c>
      <c r="AS198" s="261">
        <f>SUM(AS203,AS209,AS212)</f>
        <v>727232000</v>
      </c>
      <c r="AT198" s="261">
        <f>SUM(AT203,AT209,AT212)</f>
        <v>1158165413.9514287</v>
      </c>
      <c r="AU198" s="261">
        <f t="shared" ref="AU198:BB198" si="139">SUM(AU203,AU209,AU212)</f>
        <v>437807013.95142859</v>
      </c>
      <c r="AV198" s="261">
        <f t="shared" si="139"/>
        <v>0</v>
      </c>
      <c r="AW198" s="261">
        <f>SUM(AW203,AW209,AW212)</f>
        <v>710000000</v>
      </c>
      <c r="AX198" s="261">
        <f t="shared" si="139"/>
        <v>0</v>
      </c>
      <c r="AY198" s="261">
        <f t="shared" si="139"/>
        <v>0</v>
      </c>
      <c r="AZ198" s="261">
        <f t="shared" si="139"/>
        <v>0</v>
      </c>
      <c r="BA198" s="261">
        <f t="shared" si="139"/>
        <v>0</v>
      </c>
      <c r="BB198" s="261">
        <f t="shared" si="139"/>
        <v>-10358400</v>
      </c>
    </row>
    <row r="199" spans="1:58" ht="63" outlineLevel="2" x14ac:dyDescent="0.25">
      <c r="A199" s="115"/>
      <c r="B199" s="200"/>
      <c r="C199" s="201"/>
      <c r="D199" s="202"/>
      <c r="E199" s="226"/>
      <c r="F199" s="295"/>
      <c r="G199" s="296"/>
      <c r="H199" s="199" t="s">
        <v>500</v>
      </c>
      <c r="I199" s="130" t="s">
        <v>1</v>
      </c>
      <c r="J199" s="126">
        <v>1</v>
      </c>
      <c r="K199" s="126">
        <v>50</v>
      </c>
      <c r="L199" s="125">
        <f>IF(I199&lt;&gt;0,((VLOOKUP(I199,'1. Standard_Cost'!$B$4:$D$11,2)+VLOOKUP(I199,'1. Standard_Cost'!$B$4:$D$11,3))*J199*K199),"0")</f>
        <v>3589642.8571428573</v>
      </c>
      <c r="M199" s="125">
        <f>L199*'1. Standard_Cost'!$F$4</f>
        <v>599470.35714285716</v>
      </c>
      <c r="N199" s="126"/>
      <c r="O199" s="126"/>
      <c r="P199" s="126"/>
      <c r="Q199" s="126"/>
      <c r="R199" s="127">
        <f>'1. Standard_Cost'!$B$15*N199*P199</f>
        <v>0</v>
      </c>
      <c r="S199" s="127">
        <f>N199*O199*P199*'1. Standard_Cost'!$C$15</f>
        <v>0</v>
      </c>
      <c r="T199" s="127">
        <f>N199*P199*Q199*'1. Standard_Cost'!$D$15</f>
        <v>0</v>
      </c>
      <c r="U199" s="127">
        <f>N199*O199*'1. Standard_Cost'!$E$15</f>
        <v>0</v>
      </c>
      <c r="V199" s="126"/>
      <c r="W199" s="126"/>
      <c r="X199" s="126"/>
      <c r="Y199" s="127">
        <f>+V199*((X199*'1. Standard_Cost'!$B$19)+(W199*X199*'1. Standard_Cost'!$C$19))</f>
        <v>0</v>
      </c>
      <c r="Z199" s="126"/>
      <c r="AA199" s="126"/>
      <c r="AB199" s="127">
        <f>+Z199*'1. Standard_Cost'!$B$23+AA199*'1. Standard_Cost'!$C$23</f>
        <v>0</v>
      </c>
      <c r="AC199" s="128"/>
      <c r="AD199" s="129"/>
      <c r="AE199" s="127">
        <f>SUM(AD199,AC199,AB199,Y199,U199,T199,S199,R199)*'1. Standard_Cost'!$B$31</f>
        <v>0</v>
      </c>
      <c r="AF199" s="127">
        <f>SUM(AE199,AD199,AC199,AB199,Y199,U199,T199,S199,R199)</f>
        <v>0</v>
      </c>
      <c r="AG199" s="126"/>
      <c r="AH199" s="126"/>
      <c r="AI199" s="126"/>
      <c r="AJ199" s="130"/>
      <c r="AK199" s="130"/>
      <c r="AL199" s="130"/>
      <c r="AM199" s="127">
        <f>AG199*'1. Standard_Cost'!$B$27+'Incremental_Cost Year 2'!AH199*'1. Standard_Cost'!$C$27+'Incremental_Cost Year 2'!AI199*'1. Standard_Cost'!$D$27+'Incremental_Cost Year 2'!AJ199+'Incremental_Cost Year 2'!AL199+AK199</f>
        <v>0</v>
      </c>
      <c r="AN199" s="127">
        <f>AM199*'1. Standard_Cost'!$C$31</f>
        <v>0</v>
      </c>
      <c r="AO199" s="130"/>
      <c r="AQ199" s="171">
        <f>L199+M199</f>
        <v>4189113.2142857146</v>
      </c>
      <c r="AR199" s="171">
        <f>AF199</f>
        <v>0</v>
      </c>
      <c r="AS199" s="171">
        <f>AM199+AN199</f>
        <v>0</v>
      </c>
      <c r="AT199" s="171">
        <f>SUM(AQ199,AR199,AS199)</f>
        <v>4189113.2142857146</v>
      </c>
      <c r="AU199" s="250">
        <f>AT199</f>
        <v>4189113.2142857146</v>
      </c>
      <c r="AV199" s="250"/>
      <c r="AW199" s="250"/>
      <c r="AX199" s="250"/>
      <c r="AY199" s="250"/>
      <c r="AZ199" s="250"/>
      <c r="BA199" s="250"/>
      <c r="BB199" s="251">
        <f t="shared" ref="BB199:BB202" si="140">SUM(AU199:BA199)-AT199</f>
        <v>0</v>
      </c>
      <c r="BC199" s="169"/>
      <c r="BD199" s="169"/>
      <c r="BE199" s="169"/>
      <c r="BF199" s="169"/>
    </row>
    <row r="200" spans="1:58" ht="94.5" customHeight="1" outlineLevel="2" x14ac:dyDescent="0.25">
      <c r="A200" s="115"/>
      <c r="B200" s="200"/>
      <c r="C200" s="201"/>
      <c r="D200" s="202"/>
      <c r="E200" s="202"/>
      <c r="F200" s="219"/>
      <c r="G200" s="313"/>
      <c r="H200" s="199" t="s">
        <v>501</v>
      </c>
      <c r="I200" s="130" t="s">
        <v>3</v>
      </c>
      <c r="J200" s="126">
        <v>2</v>
      </c>
      <c r="K200" s="126">
        <v>10</v>
      </c>
      <c r="L200" s="125">
        <f>IF(I200&lt;&gt;0,((VLOOKUP(I200,'1. Standard_Cost'!$B$4:$D$11,2)+VLOOKUP(I200,'1. Standard_Cost'!$B$4:$D$11,3))*J200*K200),"0")</f>
        <v>2016000</v>
      </c>
      <c r="M200" s="125">
        <f>L200*'1. Standard_Cost'!$F$4</f>
        <v>336672</v>
      </c>
      <c r="N200" s="126"/>
      <c r="O200" s="126"/>
      <c r="P200" s="126"/>
      <c r="Q200" s="126"/>
      <c r="R200" s="127">
        <f>'1. Standard_Cost'!$B$15*N200*P200</f>
        <v>0</v>
      </c>
      <c r="S200" s="127">
        <f>N200*O200*P200*'1. Standard_Cost'!$C$15</f>
        <v>0</v>
      </c>
      <c r="T200" s="127">
        <f>N200*P200*Q200*'1. Standard_Cost'!$D$15</f>
        <v>0</v>
      </c>
      <c r="U200" s="127">
        <f>N200*O200*'1. Standard_Cost'!$E$15</f>
        <v>0</v>
      </c>
      <c r="V200" s="126"/>
      <c r="W200" s="126"/>
      <c r="X200" s="126"/>
      <c r="Y200" s="127">
        <f>+V200*((X200*'1. Standard_Cost'!$B$19)+(W200*X200*'1. Standard_Cost'!$C$19))</f>
        <v>0</v>
      </c>
      <c r="Z200" s="126"/>
      <c r="AA200" s="126">
        <v>90</v>
      </c>
      <c r="AB200" s="127">
        <f>+Z200*'1. Standard_Cost'!$B$23+AA200*'1. Standard_Cost'!$C$23</f>
        <v>1710000</v>
      </c>
      <c r="AC200" s="128">
        <f>4*20*300</f>
        <v>24000</v>
      </c>
      <c r="AD200" s="129"/>
      <c r="AE200" s="127">
        <f>SUM(AD200,AC200,AB200,Y200,U200,T200,S200,R200)*'1. Standard_Cost'!$B$31</f>
        <v>346800</v>
      </c>
      <c r="AF200" s="127">
        <f>SUM(AE200,AD200,AC200,AB200,Y200,U200,T200,S200,R200)</f>
        <v>2080800</v>
      </c>
      <c r="AG200" s="126"/>
      <c r="AH200" s="126"/>
      <c r="AI200" s="126"/>
      <c r="AJ200" s="130"/>
      <c r="AK200" s="130"/>
      <c r="AL200" s="130"/>
      <c r="AM200" s="127">
        <f>AG200*'1. Standard_Cost'!$B$27+'Incremental_Cost Year 2'!AH200*'1. Standard_Cost'!$C$27+'Incremental_Cost Year 2'!AI200*'1. Standard_Cost'!$D$27+'Incremental_Cost Year 2'!AJ200+'Incremental_Cost Year 2'!AL200+AK200</f>
        <v>0</v>
      </c>
      <c r="AN200" s="127">
        <f>AM200*'1. Standard_Cost'!$C$31</f>
        <v>0</v>
      </c>
      <c r="AO200" s="130"/>
      <c r="AQ200" s="171">
        <f>L200+M200</f>
        <v>2352672</v>
      </c>
      <c r="AR200" s="171">
        <f>AF200</f>
        <v>2080800</v>
      </c>
      <c r="AS200" s="171">
        <f>AM200+AN200</f>
        <v>0</v>
      </c>
      <c r="AT200" s="171">
        <f>SUM(AQ200,AR200,AS200)</f>
        <v>4433472</v>
      </c>
      <c r="AU200" s="250">
        <f>AQ200</f>
        <v>2352672</v>
      </c>
      <c r="AV200" s="250"/>
      <c r="AW200" s="250"/>
      <c r="AX200" s="250"/>
      <c r="AY200" s="250"/>
      <c r="AZ200" s="250"/>
      <c r="BA200" s="250"/>
      <c r="BB200" s="251">
        <f t="shared" si="140"/>
        <v>-2080800</v>
      </c>
      <c r="BC200" s="169"/>
      <c r="BD200" s="169"/>
      <c r="BE200" s="169"/>
      <c r="BF200" s="169"/>
    </row>
    <row r="201" spans="1:58" ht="31.5" outlineLevel="2" x14ac:dyDescent="0.25">
      <c r="A201" s="115"/>
      <c r="B201" s="200"/>
      <c r="C201" s="201"/>
      <c r="D201" s="202"/>
      <c r="E201" s="202"/>
      <c r="F201" s="219"/>
      <c r="G201" s="313"/>
      <c r="H201" s="199" t="s">
        <v>502</v>
      </c>
      <c r="I201" s="130"/>
      <c r="J201" s="126"/>
      <c r="K201" s="126"/>
      <c r="L201" s="125" t="str">
        <f>IF(I201&lt;&gt;0,((VLOOKUP(I201,'1. Standard_Cost'!$B$4:$D$11,2)+VLOOKUP(I201,'1. Standard_Cost'!$B$4:$D$11,3))*J201*K201),"0")</f>
        <v>0</v>
      </c>
      <c r="M201" s="125">
        <f>L201*'1. Standard_Cost'!$F$4</f>
        <v>0</v>
      </c>
      <c r="N201" s="126"/>
      <c r="O201" s="126"/>
      <c r="P201" s="126"/>
      <c r="Q201" s="126"/>
      <c r="R201" s="127">
        <f>'1. Standard_Cost'!$B$15*N201*P201</f>
        <v>0</v>
      </c>
      <c r="S201" s="127">
        <f>N201*O201*P201*'1. Standard_Cost'!$C$15</f>
        <v>0</v>
      </c>
      <c r="T201" s="127">
        <f>N201*P201*Q201*'1. Standard_Cost'!$D$15</f>
        <v>0</v>
      </c>
      <c r="U201" s="127">
        <f>N201*O201*'1. Standard_Cost'!$E$15</f>
        <v>0</v>
      </c>
      <c r="V201" s="126"/>
      <c r="W201" s="126"/>
      <c r="X201" s="126"/>
      <c r="Y201" s="127">
        <f>+V201*((X201*'1. Standard_Cost'!$B$19)+(W201*X201*'1. Standard_Cost'!$C$19))</f>
        <v>0</v>
      </c>
      <c r="Z201" s="126"/>
      <c r="AA201" s="126"/>
      <c r="AB201" s="127">
        <f>+Z201*'1. Standard_Cost'!$B$23+AA201*'1. Standard_Cost'!$C$23</f>
        <v>0</v>
      </c>
      <c r="AC201" s="128"/>
      <c r="AD201" s="129"/>
      <c r="AE201" s="127">
        <f>SUM(AD201,AC201,AB201,Y201,U201,T201,S201,R201)*'1. Standard_Cost'!$B$31</f>
        <v>0</v>
      </c>
      <c r="AF201" s="127">
        <f>SUM(AE201,AD201,AC201,AB201,Y201,U201,T201,S201,R201)</f>
        <v>0</v>
      </c>
      <c r="AG201" s="126"/>
      <c r="AH201" s="126"/>
      <c r="AI201" s="126"/>
      <c r="AJ201" s="130"/>
      <c r="AK201" s="130"/>
      <c r="AL201" s="130"/>
      <c r="AM201" s="127">
        <f>AG201*'1. Standard_Cost'!$B$27+'Incremental_Cost Year 2'!AH201*'1. Standard_Cost'!$C$27+'Incremental_Cost Year 2'!AI201*'1. Standard_Cost'!$D$27+'Incremental_Cost Year 2'!AJ201+'Incremental_Cost Year 2'!AL201+AK201</f>
        <v>0</v>
      </c>
      <c r="AN201" s="127">
        <f>AM201*'1. Standard_Cost'!$C$31</f>
        <v>0</v>
      </c>
      <c r="AO201" s="130"/>
      <c r="AQ201" s="171">
        <f>L201+M201</f>
        <v>0</v>
      </c>
      <c r="AR201" s="171">
        <f>AF201</f>
        <v>0</v>
      </c>
      <c r="AS201" s="171">
        <f>AM201+AN201</f>
        <v>0</v>
      </c>
      <c r="AT201" s="171">
        <f>SUM(AQ201,AR201,AS201)</f>
        <v>0</v>
      </c>
      <c r="AU201" s="250"/>
      <c r="AV201" s="250"/>
      <c r="AW201" s="250"/>
      <c r="AX201" s="250"/>
      <c r="AY201" s="250"/>
      <c r="AZ201" s="250"/>
      <c r="BA201" s="250"/>
      <c r="BB201" s="251">
        <f t="shared" si="140"/>
        <v>0</v>
      </c>
      <c r="BC201" s="169"/>
      <c r="BD201" s="169"/>
      <c r="BE201" s="169"/>
      <c r="BF201" s="169"/>
    </row>
    <row r="202" spans="1:58" ht="47.25" outlineLevel="2" x14ac:dyDescent="0.25">
      <c r="A202" s="115"/>
      <c r="B202" s="200"/>
      <c r="C202" s="201"/>
      <c r="D202" s="202"/>
      <c r="E202" s="310"/>
      <c r="F202" s="122"/>
      <c r="G202" s="123"/>
      <c r="H202" s="199" t="s">
        <v>545</v>
      </c>
      <c r="I202" s="130"/>
      <c r="J202" s="126"/>
      <c r="K202" s="126"/>
      <c r="L202" s="125" t="str">
        <f>IF(I202&lt;&gt;0,((VLOOKUP(I202,'1. Standard_Cost'!$B$4:$D$11,2)+VLOOKUP(I202,'1. Standard_Cost'!$B$4:$D$11,3))*J202*K202),"0")</f>
        <v>0</v>
      </c>
      <c r="M202" s="125">
        <f>L202*'1. Standard_Cost'!$F$4</f>
        <v>0</v>
      </c>
      <c r="N202" s="126"/>
      <c r="O202" s="126"/>
      <c r="P202" s="126"/>
      <c r="Q202" s="126"/>
      <c r="R202" s="127">
        <f>'1. Standard_Cost'!$B$15*N202*P202</f>
        <v>0</v>
      </c>
      <c r="S202" s="127">
        <f>N202*O202*P202*'1. Standard_Cost'!$C$15</f>
        <v>0</v>
      </c>
      <c r="T202" s="127">
        <f>N202*P202*Q202*'1. Standard_Cost'!$D$15</f>
        <v>0</v>
      </c>
      <c r="U202" s="127">
        <f>N202*O202*'1. Standard_Cost'!$E$15</f>
        <v>0</v>
      </c>
      <c r="V202" s="126"/>
      <c r="W202" s="126"/>
      <c r="X202" s="126"/>
      <c r="Y202" s="127">
        <f>+V202*((X202*'1. Standard_Cost'!$B$19)+(W202*X202*'1. Standard_Cost'!$C$19))</f>
        <v>0</v>
      </c>
      <c r="Z202" s="126"/>
      <c r="AA202" s="126"/>
      <c r="AB202" s="127">
        <f>+Z202*'1. Standard_Cost'!$B$23+AA202*'1. Standard_Cost'!$C$23</f>
        <v>0</v>
      </c>
      <c r="AC202" s="128"/>
      <c r="AD202" s="129"/>
      <c r="AE202" s="127">
        <f>SUM(AD202,AC202,AB202,Y202,U202,T202,S202,R202)*'1. Standard_Cost'!$B$31</f>
        <v>0</v>
      </c>
      <c r="AF202" s="127">
        <f>SUM(AE202,AD202,AC202,AB202,Y202,U202,T202,S202,R202)</f>
        <v>0</v>
      </c>
      <c r="AG202" s="126"/>
      <c r="AH202" s="126"/>
      <c r="AI202" s="126"/>
      <c r="AJ202" s="130"/>
      <c r="AK202" s="130"/>
      <c r="AL202" s="130">
        <v>700000000</v>
      </c>
      <c r="AM202" s="127">
        <f>AG202*'1. Standard_Cost'!$B$27+'Incremental_Cost Year 2'!AH202*'1. Standard_Cost'!$C$27+'Incremental_Cost Year 2'!AI202*'1. Standard_Cost'!$D$27+'Incremental_Cost Year 2'!AJ202+'Incremental_Cost Year 2'!AL202+AK202</f>
        <v>700000000</v>
      </c>
      <c r="AN202" s="127"/>
      <c r="AO202" s="130"/>
      <c r="AQ202" s="171">
        <f>L202+M202</f>
        <v>0</v>
      </c>
      <c r="AR202" s="171">
        <f>AF202</f>
        <v>0</v>
      </c>
      <c r="AS202" s="171">
        <f>AM202+AN202</f>
        <v>700000000</v>
      </c>
      <c r="AT202" s="171">
        <f>SUM(AQ202,AR202,AS202)</f>
        <v>700000000</v>
      </c>
      <c r="AU202" s="250"/>
      <c r="AV202" s="250"/>
      <c r="AW202" s="250">
        <v>700000000</v>
      </c>
      <c r="AX202" s="250"/>
      <c r="AY202" s="250"/>
      <c r="AZ202" s="250"/>
      <c r="BA202" s="250"/>
      <c r="BB202" s="251">
        <f t="shared" si="140"/>
        <v>0</v>
      </c>
      <c r="BC202" s="169"/>
      <c r="BD202" s="169"/>
      <c r="BE202" s="169"/>
      <c r="BF202" s="169"/>
    </row>
    <row r="203" spans="1:58" ht="47.25" outlineLevel="1" x14ac:dyDescent="0.25">
      <c r="A203" s="115"/>
      <c r="B203" s="165"/>
      <c r="C203" s="166"/>
      <c r="D203" s="212" t="s">
        <v>240</v>
      </c>
      <c r="E203" s="212" t="s">
        <v>245</v>
      </c>
      <c r="F203" s="117">
        <v>2021</v>
      </c>
      <c r="G203" s="117">
        <v>2025</v>
      </c>
      <c r="H203" s="110" t="s">
        <v>186</v>
      </c>
      <c r="I203" s="252"/>
      <c r="J203" s="252"/>
      <c r="K203" s="252"/>
      <c r="L203" s="127">
        <f>SUM(L199:L202)</f>
        <v>5605642.8571428573</v>
      </c>
      <c r="M203" s="127">
        <f>SUM(M199:M202)</f>
        <v>936142.35714285716</v>
      </c>
      <c r="N203" s="252"/>
      <c r="O203" s="252"/>
      <c r="P203" s="252"/>
      <c r="Q203" s="252"/>
      <c r="R203" s="127">
        <f>SUM(R199:R202)</f>
        <v>0</v>
      </c>
      <c r="S203" s="127">
        <f>SUM(S199:S202)</f>
        <v>0</v>
      </c>
      <c r="T203" s="127">
        <f>SUM(T199:T202)</f>
        <v>0</v>
      </c>
      <c r="U203" s="127">
        <f>SUM(U199:U202)</f>
        <v>0</v>
      </c>
      <c r="V203" s="252"/>
      <c r="W203" s="252"/>
      <c r="X203" s="252"/>
      <c r="Y203" s="127">
        <f>SUM(Y199:Y202)</f>
        <v>0</v>
      </c>
      <c r="Z203" s="252"/>
      <c r="AA203" s="252"/>
      <c r="AB203" s="127">
        <f>SUM(AB199:AB202)</f>
        <v>1710000</v>
      </c>
      <c r="AC203" s="127">
        <f>SUM(AC199:AC202)</f>
        <v>24000</v>
      </c>
      <c r="AD203" s="127">
        <f>SUM(AD199:AD202)</f>
        <v>0</v>
      </c>
      <c r="AE203" s="127">
        <f>SUM(AE199:AE202)</f>
        <v>346800</v>
      </c>
      <c r="AF203" s="127">
        <f>SUM(AF199:AF202)</f>
        <v>2080800</v>
      </c>
      <c r="AG203" s="252"/>
      <c r="AH203" s="252"/>
      <c r="AI203" s="252"/>
      <c r="AJ203" s="127">
        <f>SUM(AJ199:AJ202)</f>
        <v>0</v>
      </c>
      <c r="AK203" s="127">
        <f>SUM(AK199:AK202)</f>
        <v>0</v>
      </c>
      <c r="AL203" s="127">
        <f>SUM(AL199:AL202)</f>
        <v>700000000</v>
      </c>
      <c r="AM203" s="127">
        <f>SUM(AM199:AM202)</f>
        <v>700000000</v>
      </c>
      <c r="AN203" s="127">
        <f>SUM(AN199:AN202)</f>
        <v>0</v>
      </c>
      <c r="AO203" s="253"/>
      <c r="AP203" s="254"/>
      <c r="AQ203" s="175">
        <f>SUM(AQ199:AQ202)</f>
        <v>6541785.2142857146</v>
      </c>
      <c r="AR203" s="175">
        <f>SUM(AR199:AR202)</f>
        <v>2080800</v>
      </c>
      <c r="AS203" s="175">
        <f>SUM(AS199:AS202)</f>
        <v>700000000</v>
      </c>
      <c r="AT203" s="175">
        <f>SUM(AT199:AT202)</f>
        <v>708622585.21428573</v>
      </c>
      <c r="AU203" s="175">
        <f t="shared" ref="AU203:BB203" si="141">SUM(AU199:AU202)</f>
        <v>6541785.2142857146</v>
      </c>
      <c r="AV203" s="175">
        <f t="shared" si="141"/>
        <v>0</v>
      </c>
      <c r="AW203" s="175">
        <f t="shared" si="141"/>
        <v>700000000</v>
      </c>
      <c r="AX203" s="175">
        <f t="shared" si="141"/>
        <v>0</v>
      </c>
      <c r="AY203" s="175">
        <f t="shared" si="141"/>
        <v>0</v>
      </c>
      <c r="AZ203" s="175">
        <f t="shared" si="141"/>
        <v>0</v>
      </c>
      <c r="BA203" s="175">
        <f t="shared" si="141"/>
        <v>0</v>
      </c>
      <c r="BB203" s="175">
        <f t="shared" si="141"/>
        <v>-2080800</v>
      </c>
      <c r="BC203" s="169"/>
      <c r="BD203" s="169"/>
      <c r="BE203" s="169"/>
      <c r="BF203" s="169"/>
    </row>
    <row r="204" spans="1:58" ht="78.75" outlineLevel="2" x14ac:dyDescent="0.25">
      <c r="A204" s="115"/>
      <c r="B204" s="200"/>
      <c r="C204" s="201"/>
      <c r="D204" s="202"/>
      <c r="E204" s="226"/>
      <c r="F204" s="295"/>
      <c r="G204" s="296"/>
      <c r="H204" s="199" t="s">
        <v>503</v>
      </c>
      <c r="I204" s="130"/>
      <c r="J204" s="126"/>
      <c r="K204" s="126"/>
      <c r="L204" s="125" t="str">
        <f>IF(I204&lt;&gt;0,((VLOOKUP(I204,'1. Standard_Cost'!$B$4:$D$11,2)+VLOOKUP(I204,'1. Standard_Cost'!$B$4:$D$11,3))*J204*K204),"0")</f>
        <v>0</v>
      </c>
      <c r="M204" s="125">
        <f>L204*'1. Standard_Cost'!$F$4</f>
        <v>0</v>
      </c>
      <c r="N204" s="126"/>
      <c r="O204" s="126"/>
      <c r="P204" s="126"/>
      <c r="Q204" s="126"/>
      <c r="R204" s="127">
        <f>'1. Standard_Cost'!$B$15*N204*P204</f>
        <v>0</v>
      </c>
      <c r="S204" s="127">
        <f>N204*O204*P204*'1. Standard_Cost'!$C$15</f>
        <v>0</v>
      </c>
      <c r="T204" s="127">
        <f>N204*P204*Q204*'1. Standard_Cost'!$D$15</f>
        <v>0</v>
      </c>
      <c r="U204" s="127">
        <f>N204*O204*'1. Standard_Cost'!$E$15</f>
        <v>0</v>
      </c>
      <c r="V204" s="126"/>
      <c r="W204" s="126"/>
      <c r="X204" s="126"/>
      <c r="Y204" s="127">
        <f>+V204*((X204*'1. Standard_Cost'!$B$19)+(W204*X204*'1. Standard_Cost'!$C$19))</f>
        <v>0</v>
      </c>
      <c r="Z204" s="126"/>
      <c r="AA204" s="126"/>
      <c r="AB204" s="127">
        <f>+Z204*'1. Standard_Cost'!$B$23+AA204*'1. Standard_Cost'!$C$23</f>
        <v>0</v>
      </c>
      <c r="AC204" s="128"/>
      <c r="AD204" s="129"/>
      <c r="AE204" s="127">
        <f>SUM(AD204,AC204,AB204,Y204,U204,T204,S204,R204)*'1. Standard_Cost'!$B$31</f>
        <v>0</v>
      </c>
      <c r="AF204" s="127">
        <f>SUM(AE204,AD204,AC204,AB204,Y204,U204,T204,S204,R204)</f>
        <v>0</v>
      </c>
      <c r="AG204" s="126"/>
      <c r="AH204" s="126"/>
      <c r="AI204" s="126"/>
      <c r="AJ204" s="130">
        <v>13680000</v>
      </c>
      <c r="AK204" s="130"/>
      <c r="AL204" s="130">
        <v>10000000</v>
      </c>
      <c r="AM204" s="127">
        <f>AG204*'1. Standard_Cost'!$B$27+'Incremental_Cost Year 2'!AH204*'1. Standard_Cost'!$C$27+'Incremental_Cost Year 2'!AI204*'1. Standard_Cost'!$D$27+'Incremental_Cost Year 2'!AJ204+'Incremental_Cost Year 2'!AL204+AK204</f>
        <v>23680000</v>
      </c>
      <c r="AN204" s="127">
        <f>AM204*'1. Standard_Cost'!$C$31</f>
        <v>3552000</v>
      </c>
      <c r="AO204" s="130"/>
      <c r="AQ204" s="171">
        <f>L204+M204</f>
        <v>0</v>
      </c>
      <c r="AR204" s="171">
        <f>AF204</f>
        <v>0</v>
      </c>
      <c r="AS204" s="171">
        <f>AM204+AN204</f>
        <v>27232000</v>
      </c>
      <c r="AT204" s="171">
        <f>SUM(AQ204,AR204,AS204)</f>
        <v>27232000</v>
      </c>
      <c r="AU204" s="250">
        <f>AJ204</f>
        <v>13680000</v>
      </c>
      <c r="AV204" s="250"/>
      <c r="AW204" s="250">
        <f>10000000</f>
        <v>10000000</v>
      </c>
      <c r="AX204" s="250"/>
      <c r="AY204" s="250"/>
      <c r="AZ204" s="250"/>
      <c r="BA204" s="250"/>
      <c r="BB204" s="251">
        <f t="shared" ref="BB204:BB208" si="142">SUM(AU204:BA204)-AT204</f>
        <v>-3552000</v>
      </c>
      <c r="BC204" s="169"/>
      <c r="BD204" s="169"/>
      <c r="BE204" s="169"/>
      <c r="BF204" s="169"/>
    </row>
    <row r="205" spans="1:58" ht="47.25" outlineLevel="2" x14ac:dyDescent="0.25">
      <c r="A205" s="115"/>
      <c r="B205" s="200"/>
      <c r="C205" s="201"/>
      <c r="D205" s="202"/>
      <c r="E205" s="202"/>
      <c r="F205" s="219"/>
      <c r="G205" s="313"/>
      <c r="H205" s="199" t="s">
        <v>504</v>
      </c>
      <c r="I205" s="130" t="s">
        <v>3</v>
      </c>
      <c r="J205" s="126">
        <v>12</v>
      </c>
      <c r="K205" s="126">
        <v>40</v>
      </c>
      <c r="L205" s="125">
        <f>IF(I205&lt;&gt;0,((VLOOKUP(I205,'1. Standard_Cost'!$B$4:$D$11,2)+VLOOKUP(I205,'1. Standard_Cost'!$B$4:$D$11,3))*J205*K205),"0")</f>
        <v>48384000</v>
      </c>
      <c r="M205" s="125">
        <f>L205*'1. Standard_Cost'!$F$4</f>
        <v>8080128</v>
      </c>
      <c r="N205" s="126"/>
      <c r="O205" s="126"/>
      <c r="P205" s="126"/>
      <c r="Q205" s="126"/>
      <c r="R205" s="127">
        <f>'1. Standard_Cost'!$B$15*N205*P205</f>
        <v>0</v>
      </c>
      <c r="S205" s="127">
        <f>N205*O205*P205*'1. Standard_Cost'!$C$15</f>
        <v>0</v>
      </c>
      <c r="T205" s="127">
        <f>N205*P205*Q205*'1. Standard_Cost'!$D$15</f>
        <v>0</v>
      </c>
      <c r="U205" s="127">
        <f>N205*O205*'1. Standard_Cost'!$E$15</f>
        <v>0</v>
      </c>
      <c r="V205" s="126"/>
      <c r="W205" s="126"/>
      <c r="X205" s="126"/>
      <c r="Y205" s="127">
        <f>+V205*((X205*'1. Standard_Cost'!$B$19)+(W205*X205*'1. Standard_Cost'!$C$19))</f>
        <v>0</v>
      </c>
      <c r="Z205" s="126"/>
      <c r="AA205" s="126"/>
      <c r="AB205" s="127">
        <f>+Z205*'1. Standard_Cost'!$B$23+AA205*'1. Standard_Cost'!$C$23</f>
        <v>0</v>
      </c>
      <c r="AC205" s="128">
        <v>100000000</v>
      </c>
      <c r="AD205" s="129"/>
      <c r="AE205" s="127">
        <f>SUM(AD205,AC205,AB205,Y205,U205,T205,S205,R205)*'1. Standard_Cost'!$B$31</f>
        <v>20000000</v>
      </c>
      <c r="AF205" s="127">
        <f>SUM(AE205,AD205,AC205,AB205,Y205,U205,T205,S205,R205)</f>
        <v>120000000</v>
      </c>
      <c r="AG205" s="126"/>
      <c r="AH205" s="126"/>
      <c r="AI205" s="126"/>
      <c r="AJ205" s="130"/>
      <c r="AK205" s="130"/>
      <c r="AL205" s="130"/>
      <c r="AM205" s="127">
        <f>AG205*'1. Standard_Cost'!$B$27+'Incremental_Cost Year 2'!AH205*'1. Standard_Cost'!$C$27+'Incremental_Cost Year 2'!AI205*'1. Standard_Cost'!$D$27+'Incremental_Cost Year 2'!AJ205+'Incremental_Cost Year 2'!AL205+AK205</f>
        <v>0</v>
      </c>
      <c r="AN205" s="127">
        <f>AM205*'1. Standard_Cost'!$C$31</f>
        <v>0</v>
      </c>
      <c r="AO205" s="130"/>
      <c r="AQ205" s="171">
        <f>L205+M205</f>
        <v>56464128</v>
      </c>
      <c r="AR205" s="171">
        <f>AF205</f>
        <v>120000000</v>
      </c>
      <c r="AS205" s="171">
        <f>AM205+AN205</f>
        <v>0</v>
      </c>
      <c r="AT205" s="171">
        <f>SUM(AQ205,AR205,AS205)</f>
        <v>176464128</v>
      </c>
      <c r="AU205" s="250">
        <f>AT205</f>
        <v>176464128</v>
      </c>
      <c r="AV205" s="250"/>
      <c r="AW205" s="250"/>
      <c r="AX205" s="250"/>
      <c r="AY205" s="250"/>
      <c r="AZ205" s="250"/>
      <c r="BA205" s="250"/>
      <c r="BB205" s="251">
        <f t="shared" si="142"/>
        <v>0</v>
      </c>
      <c r="BC205" s="169"/>
      <c r="BD205" s="169"/>
      <c r="BE205" s="169"/>
      <c r="BF205" s="169"/>
    </row>
    <row r="206" spans="1:58" ht="63" outlineLevel="2" x14ac:dyDescent="0.25">
      <c r="A206" s="115"/>
      <c r="B206" s="200"/>
      <c r="C206" s="201"/>
      <c r="D206" s="202"/>
      <c r="E206" s="202"/>
      <c r="F206" s="308"/>
      <c r="G206" s="309"/>
      <c r="H206" s="199" t="s">
        <v>246</v>
      </c>
      <c r="I206" s="130" t="s">
        <v>4</v>
      </c>
      <c r="J206" s="126">
        <v>2</v>
      </c>
      <c r="K206" s="126">
        <v>10</v>
      </c>
      <c r="L206" s="125">
        <f>IF(I206&lt;&gt;0,((VLOOKUP(I206,'1. Standard_Cost'!$B$4:$D$11,2)+VLOOKUP(I206,'1. Standard_Cost'!$B$4:$D$11,3))*J206*K206),"0")</f>
        <v>1615000</v>
      </c>
      <c r="M206" s="125">
        <f>L206*'1. Standard_Cost'!$F$4</f>
        <v>269705</v>
      </c>
      <c r="N206" s="126"/>
      <c r="O206" s="126"/>
      <c r="P206" s="126"/>
      <c r="Q206" s="126"/>
      <c r="R206" s="127">
        <f>'1. Standard_Cost'!$B$15*N206*P206</f>
        <v>0</v>
      </c>
      <c r="S206" s="127">
        <f>N206*O206*P206*'1. Standard_Cost'!$C$15</f>
        <v>0</v>
      </c>
      <c r="T206" s="127">
        <f>N206*P206*Q206*'1. Standard_Cost'!$D$15</f>
        <v>0</v>
      </c>
      <c r="U206" s="127">
        <f>N206*O206*'1. Standard_Cost'!$E$15</f>
        <v>0</v>
      </c>
      <c r="V206" s="126"/>
      <c r="W206" s="126"/>
      <c r="X206" s="126"/>
      <c r="Y206" s="127">
        <f>+V206*((X206*'1. Standard_Cost'!$B$19)+(W206*X206*'1. Standard_Cost'!$C$19))</f>
        <v>0</v>
      </c>
      <c r="Z206" s="126"/>
      <c r="AA206" s="126"/>
      <c r="AB206" s="127">
        <f>+Z206*'1. Standard_Cost'!$B$23+AA206*'1. Standard_Cost'!$C$23</f>
        <v>0</v>
      </c>
      <c r="AC206" s="128"/>
      <c r="AD206" s="129"/>
      <c r="AE206" s="127">
        <f>SUM(AD206,AC206,AB206,Y206,U206,T206,S206,R206)*'1. Standard_Cost'!$B$31</f>
        <v>0</v>
      </c>
      <c r="AF206" s="127">
        <f>SUM(AE206,AD206,AC206,AB206,Y206,U206,T206,S206,R206)</f>
        <v>0</v>
      </c>
      <c r="AG206" s="126"/>
      <c r="AH206" s="126"/>
      <c r="AI206" s="126"/>
      <c r="AJ206" s="130"/>
      <c r="AK206" s="130"/>
      <c r="AL206" s="130"/>
      <c r="AM206" s="127">
        <f>AG206*'1. Standard_Cost'!$B$27+'Incremental_Cost Year 2'!AH206*'1. Standard_Cost'!$C$27+'Incremental_Cost Year 2'!AI206*'1. Standard_Cost'!$D$27+'Incremental_Cost Year 2'!AJ206+'Incremental_Cost Year 2'!AL206+AK206</f>
        <v>0</v>
      </c>
      <c r="AN206" s="127">
        <f>AM206*'1. Standard_Cost'!$C$31</f>
        <v>0</v>
      </c>
      <c r="AO206" s="130"/>
      <c r="AQ206" s="171">
        <f>L206+M206</f>
        <v>1884705</v>
      </c>
      <c r="AR206" s="171">
        <f>AF206</f>
        <v>0</v>
      </c>
      <c r="AS206" s="171">
        <f>AM206+AN206</f>
        <v>0</v>
      </c>
      <c r="AT206" s="171">
        <f>SUM(AQ206,AR206,AS206)</f>
        <v>1884705</v>
      </c>
      <c r="AU206" s="250">
        <f>AT206</f>
        <v>1884705</v>
      </c>
      <c r="AV206" s="250"/>
      <c r="AW206" s="250"/>
      <c r="AX206" s="250"/>
      <c r="AY206" s="250"/>
      <c r="AZ206" s="250"/>
      <c r="BA206" s="250"/>
      <c r="BB206" s="251">
        <f t="shared" si="142"/>
        <v>0</v>
      </c>
      <c r="BC206" s="169"/>
      <c r="BD206" s="169"/>
      <c r="BE206" s="169"/>
      <c r="BF206" s="169"/>
    </row>
    <row r="207" spans="1:58" ht="63" outlineLevel="2" x14ac:dyDescent="0.25">
      <c r="A207" s="115"/>
      <c r="B207" s="200"/>
      <c r="C207" s="201"/>
      <c r="D207" s="202"/>
      <c r="E207" s="202"/>
      <c r="F207" s="308"/>
      <c r="G207" s="309"/>
      <c r="H207" s="199" t="s">
        <v>505</v>
      </c>
      <c r="I207" s="130" t="s">
        <v>4</v>
      </c>
      <c r="J207" s="126">
        <v>6</v>
      </c>
      <c r="K207" s="126">
        <f>36*5</f>
        <v>180</v>
      </c>
      <c r="L207" s="125">
        <f>IF(I207&lt;&gt;0,((VLOOKUP(I207,'1. Standard_Cost'!$B$4:$D$11,2)+VLOOKUP(I207,'1. Standard_Cost'!$B$4:$D$11,3))*J207*K207),"0")</f>
        <v>87210000</v>
      </c>
      <c r="M207" s="125">
        <f>L207*'1. Standard_Cost'!$F$4</f>
        <v>14564070</v>
      </c>
      <c r="N207" s="126"/>
      <c r="O207" s="126"/>
      <c r="P207" s="126"/>
      <c r="Q207" s="126"/>
      <c r="R207" s="127">
        <f>'1. Standard_Cost'!$B$15*N207*P207</f>
        <v>0</v>
      </c>
      <c r="S207" s="127">
        <f>N207*O207*P207*'1. Standard_Cost'!$C$15</f>
        <v>0</v>
      </c>
      <c r="T207" s="127">
        <f>N207*P207*Q207*'1. Standard_Cost'!$D$15</f>
        <v>0</v>
      </c>
      <c r="U207" s="127">
        <f>N207*O207*'1. Standard_Cost'!$E$15</f>
        <v>0</v>
      </c>
      <c r="V207" s="126"/>
      <c r="W207" s="126"/>
      <c r="X207" s="126"/>
      <c r="Y207" s="127">
        <f>+V207*((X207*'1. Standard_Cost'!$B$19)+(W207*X207*'1. Standard_Cost'!$C$19))</f>
        <v>0</v>
      </c>
      <c r="Z207" s="126"/>
      <c r="AA207" s="126"/>
      <c r="AB207" s="127">
        <f>+Z207*'1. Standard_Cost'!$B$23+AA207*'1. Standard_Cost'!$C$23</f>
        <v>0</v>
      </c>
      <c r="AC207" s="128">
        <f>3000000*36</f>
        <v>108000000</v>
      </c>
      <c r="AD207" s="129"/>
      <c r="AE207" s="127">
        <f>SUM(AD207,AC207,AB207,Y207,U207,T207,S207,R207)*'1. Standard_Cost'!$B$31</f>
        <v>21600000</v>
      </c>
      <c r="AF207" s="127">
        <f>SUM(AE207,AD207,AC207,AB207,Y207,U207,T207,S207,R207)</f>
        <v>129600000</v>
      </c>
      <c r="AG207" s="126"/>
      <c r="AH207" s="126"/>
      <c r="AI207" s="126"/>
      <c r="AJ207" s="130"/>
      <c r="AK207" s="130"/>
      <c r="AL207" s="130"/>
      <c r="AM207" s="127">
        <f>AG207*'1. Standard_Cost'!$B$27+'Incremental_Cost Year 2'!AH207*'1. Standard_Cost'!$C$27+'Incremental_Cost Year 2'!AI207*'1. Standard_Cost'!$D$27+'Incremental_Cost Year 2'!AJ207+'Incremental_Cost Year 2'!AL207+AK207</f>
        <v>0</v>
      </c>
      <c r="AN207" s="127">
        <f>AM207*'1. Standard_Cost'!$C$31</f>
        <v>0</v>
      </c>
      <c r="AO207" s="130"/>
      <c r="AQ207" s="171">
        <f>L207+M207</f>
        <v>101774070</v>
      </c>
      <c r="AR207" s="171">
        <f>AF207</f>
        <v>129600000</v>
      </c>
      <c r="AS207" s="171">
        <f>AM207+AN207</f>
        <v>0</v>
      </c>
      <c r="AT207" s="171">
        <f>SUM(AQ207,AR207,AS207)</f>
        <v>231374070</v>
      </c>
      <c r="AU207" s="250">
        <f>AT207</f>
        <v>231374070</v>
      </c>
      <c r="AV207" s="250"/>
      <c r="AW207" s="250"/>
      <c r="AX207" s="250"/>
      <c r="AY207" s="250"/>
      <c r="AZ207" s="250"/>
      <c r="BA207" s="250"/>
      <c r="BB207" s="251">
        <f t="shared" si="142"/>
        <v>0</v>
      </c>
      <c r="BC207" s="169"/>
      <c r="BD207" s="169"/>
      <c r="BE207" s="169"/>
      <c r="BF207" s="169"/>
    </row>
    <row r="208" spans="1:58" ht="63" outlineLevel="2" x14ac:dyDescent="0.25">
      <c r="A208" s="115"/>
      <c r="B208" s="200"/>
      <c r="C208" s="201"/>
      <c r="D208" s="202"/>
      <c r="E208" s="310"/>
      <c r="F208" s="311"/>
      <c r="G208" s="312"/>
      <c r="H208" s="199" t="s">
        <v>506</v>
      </c>
      <c r="I208" s="130" t="s">
        <v>3</v>
      </c>
      <c r="J208" s="126">
        <v>6</v>
      </c>
      <c r="K208" s="126">
        <v>10</v>
      </c>
      <c r="L208" s="125">
        <f>IF(I208&lt;&gt;0,((VLOOKUP(I208,'1. Standard_Cost'!$B$4:$D$11,2)+VLOOKUP(I208,'1. Standard_Cost'!$B$4:$D$11,3))*J208*K208),"0")</f>
        <v>6048000</v>
      </c>
      <c r="M208" s="125">
        <f>L208*'1. Standard_Cost'!$F$4</f>
        <v>1010016</v>
      </c>
      <c r="N208" s="126"/>
      <c r="O208" s="126"/>
      <c r="P208" s="126"/>
      <c r="Q208" s="126"/>
      <c r="R208" s="127">
        <f>'1. Standard_Cost'!$B$15*N208*P208</f>
        <v>0</v>
      </c>
      <c r="S208" s="127">
        <f>N208*O208*P208*'1. Standard_Cost'!$C$15</f>
        <v>0</v>
      </c>
      <c r="T208" s="127">
        <f>N208*P208*Q208*'1. Standard_Cost'!$D$15</f>
        <v>0</v>
      </c>
      <c r="U208" s="127">
        <f>N208*O208*'1. Standard_Cost'!$E$15</f>
        <v>0</v>
      </c>
      <c r="V208" s="126"/>
      <c r="W208" s="126"/>
      <c r="X208" s="126"/>
      <c r="Y208" s="127">
        <f>+V208*((X208*'1. Standard_Cost'!$B$19)+(W208*X208*'1. Standard_Cost'!$C$19))</f>
        <v>0</v>
      </c>
      <c r="Z208" s="126"/>
      <c r="AA208" s="126"/>
      <c r="AB208" s="127">
        <f>+Z208*'1. Standard_Cost'!$B$23+AA208*'1. Standard_Cost'!$C$23</f>
        <v>0</v>
      </c>
      <c r="AC208" s="128"/>
      <c r="AD208" s="129"/>
      <c r="AE208" s="127">
        <f>SUM(AD208,AC208,AB208,Y208,U208,T208,S208,R208)*'1. Standard_Cost'!$B$31</f>
        <v>0</v>
      </c>
      <c r="AF208" s="127">
        <f>SUM(AE208,AD208,AC208,AB208,Y208,U208,T208,S208,R208)</f>
        <v>0</v>
      </c>
      <c r="AG208" s="126"/>
      <c r="AH208" s="126"/>
      <c r="AI208" s="126"/>
      <c r="AJ208" s="130"/>
      <c r="AK208" s="130"/>
      <c r="AL208" s="130"/>
      <c r="AM208" s="127">
        <f>AG208*'1. Standard_Cost'!$B$27+'Incremental_Cost Year 2'!AH208*'1. Standard_Cost'!$C$27+'Incremental_Cost Year 2'!AI208*'1. Standard_Cost'!$D$27+'Incremental_Cost Year 2'!AJ208+'Incremental_Cost Year 2'!AL208+AK208</f>
        <v>0</v>
      </c>
      <c r="AN208" s="127">
        <f>AM208*'1. Standard_Cost'!$C$31</f>
        <v>0</v>
      </c>
      <c r="AO208" s="130"/>
      <c r="AQ208" s="171">
        <f>L208+M208</f>
        <v>7058016</v>
      </c>
      <c r="AR208" s="171">
        <f>AF208</f>
        <v>0</v>
      </c>
      <c r="AS208" s="171">
        <f>AM208+AN208</f>
        <v>0</v>
      </c>
      <c r="AT208" s="171">
        <f>SUM(AQ208,AR208,AS208)</f>
        <v>7058016</v>
      </c>
      <c r="AU208" s="250">
        <f>AT208</f>
        <v>7058016</v>
      </c>
      <c r="AV208" s="250"/>
      <c r="AW208" s="250"/>
      <c r="AX208" s="250"/>
      <c r="AY208" s="250"/>
      <c r="AZ208" s="250"/>
      <c r="BA208" s="250"/>
      <c r="BB208" s="251">
        <f t="shared" si="142"/>
        <v>0</v>
      </c>
      <c r="BC208" s="169"/>
      <c r="BD208" s="169"/>
      <c r="BE208" s="169"/>
      <c r="BF208" s="169"/>
    </row>
    <row r="209" spans="1:58" ht="63" outlineLevel="1" x14ac:dyDescent="0.25">
      <c r="A209" s="115"/>
      <c r="B209" s="165"/>
      <c r="C209" s="166"/>
      <c r="D209" s="150" t="s">
        <v>507</v>
      </c>
      <c r="E209" s="212" t="s">
        <v>247</v>
      </c>
      <c r="F209" s="311">
        <v>2021</v>
      </c>
      <c r="G209" s="312">
        <v>2025</v>
      </c>
      <c r="H209" s="110" t="s">
        <v>187</v>
      </c>
      <c r="I209" s="252"/>
      <c r="J209" s="252"/>
      <c r="K209" s="252"/>
      <c r="L209" s="127">
        <f>SUM(L204:L208)</f>
        <v>143257000</v>
      </c>
      <c r="M209" s="127">
        <f>SUM(M204:M208)</f>
        <v>23923919</v>
      </c>
      <c r="N209" s="252"/>
      <c r="O209" s="252"/>
      <c r="P209" s="252"/>
      <c r="Q209" s="252"/>
      <c r="R209" s="127">
        <f t="shared" ref="R209:U209" si="143">SUM(R204:R208)</f>
        <v>0</v>
      </c>
      <c r="S209" s="127">
        <f t="shared" si="143"/>
        <v>0</v>
      </c>
      <c r="T209" s="127">
        <f t="shared" si="143"/>
        <v>0</v>
      </c>
      <c r="U209" s="127">
        <f t="shared" si="143"/>
        <v>0</v>
      </c>
      <c r="V209" s="252"/>
      <c r="W209" s="252"/>
      <c r="X209" s="252"/>
      <c r="Y209" s="127">
        <f>SUM(Y204:Y208)</f>
        <v>0</v>
      </c>
      <c r="Z209" s="252"/>
      <c r="AA209" s="252"/>
      <c r="AB209" s="127">
        <f t="shared" ref="AB209:AF209" si="144">SUM(AB204:AB208)</f>
        <v>0</v>
      </c>
      <c r="AC209" s="127">
        <f t="shared" si="144"/>
        <v>208000000</v>
      </c>
      <c r="AD209" s="127">
        <f t="shared" si="144"/>
        <v>0</v>
      </c>
      <c r="AE209" s="127">
        <f t="shared" si="144"/>
        <v>41600000</v>
      </c>
      <c r="AF209" s="127">
        <f t="shared" si="144"/>
        <v>249600000</v>
      </c>
      <c r="AG209" s="252"/>
      <c r="AH209" s="252"/>
      <c r="AI209" s="252"/>
      <c r="AJ209" s="127">
        <f t="shared" ref="AJ209:AN209" si="145">SUM(AJ204:AJ208)</f>
        <v>13680000</v>
      </c>
      <c r="AK209" s="127">
        <f t="shared" si="145"/>
        <v>0</v>
      </c>
      <c r="AL209" s="127">
        <f t="shared" si="145"/>
        <v>10000000</v>
      </c>
      <c r="AM209" s="127">
        <f t="shared" si="145"/>
        <v>23680000</v>
      </c>
      <c r="AN209" s="127">
        <f t="shared" si="145"/>
        <v>3552000</v>
      </c>
      <c r="AO209" s="253"/>
      <c r="AP209" s="254"/>
      <c r="AQ209" s="127">
        <f>SUM(AQ204:AQ208)</f>
        <v>167180919</v>
      </c>
      <c r="AR209" s="127">
        <f t="shared" ref="AR209:BB209" si="146">SUM(AR204:AR208)</f>
        <v>249600000</v>
      </c>
      <c r="AS209" s="127">
        <f t="shared" si="146"/>
        <v>27232000</v>
      </c>
      <c r="AT209" s="127">
        <f t="shared" si="146"/>
        <v>444012919</v>
      </c>
      <c r="AU209" s="127">
        <f t="shared" si="146"/>
        <v>430460919</v>
      </c>
      <c r="AV209" s="127">
        <f t="shared" si="146"/>
        <v>0</v>
      </c>
      <c r="AW209" s="127">
        <f t="shared" si="146"/>
        <v>10000000</v>
      </c>
      <c r="AX209" s="127">
        <f t="shared" si="146"/>
        <v>0</v>
      </c>
      <c r="AY209" s="127">
        <f t="shared" si="146"/>
        <v>0</v>
      </c>
      <c r="AZ209" s="127">
        <f t="shared" si="146"/>
        <v>0</v>
      </c>
      <c r="BA209" s="127">
        <f t="shared" si="146"/>
        <v>0</v>
      </c>
      <c r="BB209" s="127">
        <f t="shared" si="146"/>
        <v>-3552000</v>
      </c>
      <c r="BC209" s="169"/>
      <c r="BD209" s="169"/>
      <c r="BE209" s="169"/>
      <c r="BF209" s="169"/>
    </row>
    <row r="210" spans="1:58" ht="126" outlineLevel="2" x14ac:dyDescent="0.25">
      <c r="A210" s="115"/>
      <c r="B210" s="200"/>
      <c r="C210" s="201"/>
      <c r="D210" s="202"/>
      <c r="E210" s="226"/>
      <c r="F210" s="295"/>
      <c r="G210" s="296"/>
      <c r="H210" s="199" t="s">
        <v>508</v>
      </c>
      <c r="I210" s="130" t="s">
        <v>1</v>
      </c>
      <c r="J210" s="126">
        <v>0.8</v>
      </c>
      <c r="K210" s="126">
        <v>6</v>
      </c>
      <c r="L210" s="125">
        <f>IF(I210&lt;&gt;0,((VLOOKUP(I210,'1. Standard_Cost'!$B$4:$D$11,2)+VLOOKUP(I210,'1. Standard_Cost'!$B$4:$D$11,3))*J210*K210),"0")</f>
        <v>344605.71428571432</v>
      </c>
      <c r="M210" s="125">
        <f>L210*'1. Standard_Cost'!$F$4</f>
        <v>57549.154285714292</v>
      </c>
      <c r="N210" s="126">
        <v>10</v>
      </c>
      <c r="O210" s="126">
        <v>1</v>
      </c>
      <c r="P210" s="126">
        <v>20</v>
      </c>
      <c r="Q210" s="126"/>
      <c r="R210" s="127">
        <f>'1. Standard_Cost'!$B$15*N210*P210</f>
        <v>400000</v>
      </c>
      <c r="S210" s="127">
        <f>N210*O210*P210*'1. Standard_Cost'!$C$15</f>
        <v>300000</v>
      </c>
      <c r="T210" s="127">
        <f>N210*P210*Q210*'1. Standard_Cost'!$D$15</f>
        <v>0</v>
      </c>
      <c r="U210" s="127">
        <f>N210*O210*'1. Standard_Cost'!$E$15</f>
        <v>400000</v>
      </c>
      <c r="V210" s="126"/>
      <c r="W210" s="126"/>
      <c r="X210" s="126"/>
      <c r="Y210" s="127">
        <f>+V210*((X210*'1. Standard_Cost'!$B$19)+(W210*X210*'1. Standard_Cost'!$C$19))</f>
        <v>0</v>
      </c>
      <c r="Z210" s="126"/>
      <c r="AA210" s="126">
        <v>11</v>
      </c>
      <c r="AB210" s="127">
        <f>+Z210*'1. Standard_Cost'!$B$23+AA210*'1. Standard_Cost'!$C$23</f>
        <v>209000</v>
      </c>
      <c r="AC210" s="128">
        <f>200*3300</f>
        <v>660000</v>
      </c>
      <c r="AD210" s="129"/>
      <c r="AE210" s="127">
        <f>SUM(AD210,AC210,AB210,Y210,U210,T210,S210,R210)*'1. Standard_Cost'!$B$31</f>
        <v>393800</v>
      </c>
      <c r="AF210" s="127">
        <f>SUM(AE210,AD210,AC210,AB210,Y210,U210,T210,S210,R210)</f>
        <v>2362800</v>
      </c>
      <c r="AG210" s="126"/>
      <c r="AH210" s="126"/>
      <c r="AI210" s="126"/>
      <c r="AJ210" s="130"/>
      <c r="AK210" s="130"/>
      <c r="AL210" s="130"/>
      <c r="AM210" s="127">
        <f>AG210*'1. Standard_Cost'!$B$27+'Incremental_Cost Year 2'!AH210*'1. Standard_Cost'!$C$27+'Incremental_Cost Year 2'!AI210*'1. Standard_Cost'!$D$27+'Incremental_Cost Year 2'!AJ210+'Incremental_Cost Year 2'!AL210+AK210</f>
        <v>0</v>
      </c>
      <c r="AN210" s="127">
        <f>AM210*'1. Standard_Cost'!$C$31</f>
        <v>0</v>
      </c>
      <c r="AO210" s="130"/>
      <c r="AQ210" s="171">
        <f>L210+M210</f>
        <v>402154.86857142858</v>
      </c>
      <c r="AR210" s="171">
        <f>AF210</f>
        <v>2362800</v>
      </c>
      <c r="AS210" s="171">
        <f>AM210+AN210</f>
        <v>0</v>
      </c>
      <c r="AT210" s="171">
        <f>SUM(AQ210,AR210,AS210)</f>
        <v>2764954.8685714286</v>
      </c>
      <c r="AU210" s="250">
        <f>AQ210</f>
        <v>402154.86857142858</v>
      </c>
      <c r="AV210" s="250"/>
      <c r="AW210" s="250"/>
      <c r="AX210" s="250"/>
      <c r="AY210" s="250"/>
      <c r="AZ210" s="250"/>
      <c r="BA210" s="250"/>
      <c r="BB210" s="251">
        <f t="shared" ref="BB210:BB211" si="147">SUM(AU210:BA210)-AT210</f>
        <v>-2362800</v>
      </c>
      <c r="BC210" s="169"/>
      <c r="BD210" s="169"/>
      <c r="BE210" s="169"/>
      <c r="BF210" s="169"/>
    </row>
    <row r="211" spans="1:58" ht="126" outlineLevel="2" x14ac:dyDescent="0.25">
      <c r="A211" s="115"/>
      <c r="B211" s="200"/>
      <c r="C211" s="201"/>
      <c r="D211" s="202"/>
      <c r="E211" s="310"/>
      <c r="F211" s="122"/>
      <c r="G211" s="123"/>
      <c r="H211" s="199" t="s">
        <v>509</v>
      </c>
      <c r="I211" s="130" t="s">
        <v>1</v>
      </c>
      <c r="J211" s="126">
        <v>0.8</v>
      </c>
      <c r="K211" s="126">
        <v>6</v>
      </c>
      <c r="L211" s="125">
        <f>IF(I211&lt;&gt;0,((VLOOKUP(I211,'1. Standard_Cost'!$B$4:$D$11,2)+VLOOKUP(I211,'1. Standard_Cost'!$B$4:$D$11,3))*J211*K211),"0")</f>
        <v>344605.71428571432</v>
      </c>
      <c r="M211" s="125">
        <f>L211*'1. Standard_Cost'!$F$4</f>
        <v>57549.154285714292</v>
      </c>
      <c r="N211" s="126">
        <v>10</v>
      </c>
      <c r="O211" s="126">
        <v>1</v>
      </c>
      <c r="P211" s="126">
        <v>20</v>
      </c>
      <c r="Q211" s="126"/>
      <c r="R211" s="127">
        <f>'1. Standard_Cost'!$B$15*N211*P211</f>
        <v>400000</v>
      </c>
      <c r="S211" s="127">
        <f>N211*O211*P211*'1. Standard_Cost'!$C$15</f>
        <v>300000</v>
      </c>
      <c r="T211" s="127">
        <f>N211*P211*Q211*'1. Standard_Cost'!$D$15</f>
        <v>0</v>
      </c>
      <c r="U211" s="127">
        <f>N211*O211*'1. Standard_Cost'!$E$15</f>
        <v>400000</v>
      </c>
      <c r="V211" s="126"/>
      <c r="W211" s="126"/>
      <c r="X211" s="126"/>
      <c r="Y211" s="127">
        <f>+V211*((X211*'1. Standard_Cost'!$B$19)+(W211*X211*'1. Standard_Cost'!$C$19))</f>
        <v>0</v>
      </c>
      <c r="Z211" s="126"/>
      <c r="AA211" s="126">
        <v>11</v>
      </c>
      <c r="AB211" s="127">
        <f>+Z211*'1. Standard_Cost'!$B$23+AA211*'1. Standard_Cost'!$C$23</f>
        <v>209000</v>
      </c>
      <c r="AC211" s="128">
        <f>200*3300</f>
        <v>660000</v>
      </c>
      <c r="AD211" s="129"/>
      <c r="AE211" s="127">
        <f>SUM(AD211,AC211,AB211,Y211,U211,T211,S211,R211)*'1. Standard_Cost'!$B$31</f>
        <v>393800</v>
      </c>
      <c r="AF211" s="127">
        <f>SUM(AE211,AD211,AC211,AB211,Y211,U211,T211,S211,R211)</f>
        <v>2362800</v>
      </c>
      <c r="AG211" s="126"/>
      <c r="AH211" s="126"/>
      <c r="AI211" s="126"/>
      <c r="AJ211" s="130"/>
      <c r="AK211" s="130"/>
      <c r="AL211" s="130"/>
      <c r="AM211" s="127">
        <f>AG211*'1. Standard_Cost'!$B$27+'Incremental_Cost Year 2'!AH211*'1. Standard_Cost'!$C$27+'Incremental_Cost Year 2'!AI211*'1. Standard_Cost'!$D$27+'Incremental_Cost Year 2'!AJ211+'Incremental_Cost Year 2'!AL211+AK211</f>
        <v>0</v>
      </c>
      <c r="AN211" s="127">
        <f>AM211*'1. Standard_Cost'!$C$31</f>
        <v>0</v>
      </c>
      <c r="AO211" s="130"/>
      <c r="AQ211" s="171">
        <f>L211+M211</f>
        <v>402154.86857142858</v>
      </c>
      <c r="AR211" s="171">
        <f>AF211</f>
        <v>2362800</v>
      </c>
      <c r="AS211" s="171">
        <f>AM211+AN211</f>
        <v>0</v>
      </c>
      <c r="AT211" s="171">
        <f>SUM(AQ211,AR211,AS211)</f>
        <v>2764954.8685714286</v>
      </c>
      <c r="AU211" s="250">
        <f>AQ211</f>
        <v>402154.86857142858</v>
      </c>
      <c r="AV211" s="250"/>
      <c r="AW211" s="250"/>
      <c r="AX211" s="250"/>
      <c r="AY211" s="250"/>
      <c r="AZ211" s="250"/>
      <c r="BA211" s="250"/>
      <c r="BB211" s="251">
        <f t="shared" si="147"/>
        <v>-2362800</v>
      </c>
      <c r="BC211" s="169"/>
      <c r="BD211" s="169"/>
      <c r="BE211" s="169"/>
      <c r="BF211" s="169"/>
    </row>
    <row r="212" spans="1:58" ht="47.25" outlineLevel="1" x14ac:dyDescent="0.25">
      <c r="A212" s="115"/>
      <c r="B212" s="165"/>
      <c r="C212" s="166"/>
      <c r="D212" s="107" t="s">
        <v>233</v>
      </c>
      <c r="E212" s="212" t="s">
        <v>248</v>
      </c>
      <c r="F212" s="136">
        <v>2022</v>
      </c>
      <c r="G212" s="117">
        <v>2025</v>
      </c>
      <c r="H212" s="110" t="s">
        <v>188</v>
      </c>
      <c r="I212" s="252"/>
      <c r="J212" s="252"/>
      <c r="K212" s="252"/>
      <c r="L212" s="127">
        <f>SUM(L210:L211)</f>
        <v>689211.42857142864</v>
      </c>
      <c r="M212" s="127">
        <f>SUM(M210:M211)</f>
        <v>115098.30857142858</v>
      </c>
      <c r="N212" s="252"/>
      <c r="O212" s="252"/>
      <c r="P212" s="252"/>
      <c r="Q212" s="252"/>
      <c r="R212" s="127">
        <f>SUM(R210:R211)</f>
        <v>800000</v>
      </c>
      <c r="S212" s="127">
        <f>SUM(S210:S211)</f>
        <v>600000</v>
      </c>
      <c r="T212" s="127">
        <f>SUM(T210:T211)</f>
        <v>0</v>
      </c>
      <c r="U212" s="127">
        <f>SUM(U210:U211)</f>
        <v>800000</v>
      </c>
      <c r="V212" s="252"/>
      <c r="W212" s="252"/>
      <c r="X212" s="252"/>
      <c r="Y212" s="127">
        <f>SUM(Y210:Y211)</f>
        <v>0</v>
      </c>
      <c r="Z212" s="252"/>
      <c r="AA212" s="252"/>
      <c r="AB212" s="127">
        <f>SUM(AB210:AB211)</f>
        <v>418000</v>
      </c>
      <c r="AC212" s="127">
        <f>SUM(AC210:AC211)</f>
        <v>1320000</v>
      </c>
      <c r="AD212" s="127">
        <f>SUM(AD210:AD211)</f>
        <v>0</v>
      </c>
      <c r="AE212" s="127">
        <f>SUM(AE210:AE211)</f>
        <v>787600</v>
      </c>
      <c r="AF212" s="127">
        <f>SUM(AF210:AF211)</f>
        <v>4725600</v>
      </c>
      <c r="AG212" s="252"/>
      <c r="AH212" s="252"/>
      <c r="AI212" s="252"/>
      <c r="AJ212" s="127">
        <f>SUM(AJ210:AJ211)</f>
        <v>0</v>
      </c>
      <c r="AK212" s="127">
        <f>SUM(AK210:AK211)</f>
        <v>0</v>
      </c>
      <c r="AL212" s="127">
        <f>SUM(AL210:AL211)</f>
        <v>0</v>
      </c>
      <c r="AM212" s="127">
        <f>SUM(AM210:AM211)</f>
        <v>0</v>
      </c>
      <c r="AN212" s="127">
        <f>SUM(AN210:AN211)</f>
        <v>0</v>
      </c>
      <c r="AO212" s="253"/>
      <c r="AP212" s="254"/>
      <c r="AQ212" s="175">
        <f>SUM(AQ210:AQ211)</f>
        <v>804309.73714285716</v>
      </c>
      <c r="AR212" s="175">
        <f>SUM(AR210:AR211)</f>
        <v>4725600</v>
      </c>
      <c r="AS212" s="175">
        <f>SUM(AS210:AS211)</f>
        <v>0</v>
      </c>
      <c r="AT212" s="175">
        <f>SUM(AT210:AT211)</f>
        <v>5529909.7371428572</v>
      </c>
      <c r="AU212" s="175">
        <f t="shared" ref="AU212:BB212" si="148">SUM(AU210:AU211)</f>
        <v>804309.73714285716</v>
      </c>
      <c r="AV212" s="175">
        <f t="shared" si="148"/>
        <v>0</v>
      </c>
      <c r="AW212" s="175">
        <f t="shared" si="148"/>
        <v>0</v>
      </c>
      <c r="AX212" s="175">
        <f t="shared" si="148"/>
        <v>0</v>
      </c>
      <c r="AY212" s="175">
        <f t="shared" si="148"/>
        <v>0</v>
      </c>
      <c r="AZ212" s="175">
        <f t="shared" si="148"/>
        <v>0</v>
      </c>
      <c r="BA212" s="175">
        <f t="shared" si="148"/>
        <v>0</v>
      </c>
      <c r="BB212" s="175">
        <f t="shared" si="148"/>
        <v>-4725600</v>
      </c>
      <c r="BC212" s="169"/>
      <c r="BD212" s="169"/>
      <c r="BE212" s="169"/>
      <c r="BF212" s="169"/>
    </row>
    <row r="213" spans="1:58" s="184" customFormat="1" ht="15.75" customHeight="1" x14ac:dyDescent="0.25">
      <c r="A213" s="143"/>
      <c r="B213" s="332"/>
      <c r="C213" s="397" t="s">
        <v>249</v>
      </c>
      <c r="D213" s="397"/>
      <c r="E213" s="398"/>
      <c r="F213" s="291"/>
      <c r="G213" s="340"/>
      <c r="H213" s="144" t="s">
        <v>299</v>
      </c>
      <c r="I213" s="257"/>
      <c r="J213" s="257"/>
      <c r="K213" s="257"/>
      <c r="L213" s="258">
        <f>SUM(L220)</f>
        <v>842465228.57142854</v>
      </c>
      <c r="M213" s="258">
        <f>SUM(M220)</f>
        <v>140691693.17142856</v>
      </c>
      <c r="N213" s="257"/>
      <c r="O213" s="257"/>
      <c r="P213" s="257"/>
      <c r="Q213" s="257"/>
      <c r="R213" s="258">
        <f>SUM(R220)</f>
        <v>0</v>
      </c>
      <c r="S213" s="258">
        <f>SUM(S220)</f>
        <v>0</v>
      </c>
      <c r="T213" s="258">
        <f>SUM(T220)</f>
        <v>0</v>
      </c>
      <c r="U213" s="258">
        <f>SUM(U220)</f>
        <v>0</v>
      </c>
      <c r="V213" s="257"/>
      <c r="W213" s="257"/>
      <c r="X213" s="257"/>
      <c r="Y213" s="258">
        <f>SUM(Y220)</f>
        <v>0</v>
      </c>
      <c r="Z213" s="258"/>
      <c r="AA213" s="258"/>
      <c r="AB213" s="258">
        <f>SUM(AB220)</f>
        <v>0</v>
      </c>
      <c r="AC213" s="258">
        <f>SUM(AC220)</f>
        <v>1442163000</v>
      </c>
      <c r="AD213" s="258">
        <f>SUM(AD220)</f>
        <v>0</v>
      </c>
      <c r="AE213" s="258">
        <f>SUM(AE220)</f>
        <v>0</v>
      </c>
      <c r="AF213" s="258">
        <f>SUM(AF220)</f>
        <v>1442163000</v>
      </c>
      <c r="AG213" s="257"/>
      <c r="AH213" s="257"/>
      <c r="AI213" s="257"/>
      <c r="AJ213" s="258">
        <f>SUM(AJ220)</f>
        <v>0</v>
      </c>
      <c r="AK213" s="258">
        <f>SUM(AK220)</f>
        <v>0</v>
      </c>
      <c r="AL213" s="258">
        <f>SUM(AL220)</f>
        <v>0</v>
      </c>
      <c r="AM213" s="258">
        <f>SUM(AM220)</f>
        <v>0</v>
      </c>
      <c r="AN213" s="258">
        <f>SUM(AN220)</f>
        <v>0</v>
      </c>
      <c r="AO213" s="259"/>
      <c r="AP213" s="260"/>
      <c r="AQ213" s="261">
        <f>SUM(AQ220)</f>
        <v>983156921.7428571</v>
      </c>
      <c r="AR213" s="261">
        <f>SUM(AR220)</f>
        <v>1442163000</v>
      </c>
      <c r="AS213" s="261">
        <f>SUM(AS220)</f>
        <v>0</v>
      </c>
      <c r="AT213" s="261">
        <f>SUM(AT220)</f>
        <v>2425319921.7428575</v>
      </c>
      <c r="AU213" s="261">
        <f t="shared" ref="AU213:BB213" si="149">SUM(AU220)</f>
        <v>2425319921.7428575</v>
      </c>
      <c r="AV213" s="261">
        <f t="shared" si="149"/>
        <v>0</v>
      </c>
      <c r="AW213" s="261">
        <f t="shared" si="149"/>
        <v>0</v>
      </c>
      <c r="AX213" s="261">
        <f t="shared" si="149"/>
        <v>0</v>
      </c>
      <c r="AY213" s="261">
        <f t="shared" si="149"/>
        <v>0</v>
      </c>
      <c r="AZ213" s="261">
        <f t="shared" si="149"/>
        <v>0</v>
      </c>
      <c r="BA213" s="261">
        <f t="shared" si="149"/>
        <v>0</v>
      </c>
      <c r="BB213" s="261">
        <f t="shared" si="149"/>
        <v>0</v>
      </c>
    </row>
    <row r="214" spans="1:58" ht="31.5" outlineLevel="2" x14ac:dyDescent="0.25">
      <c r="A214" s="115"/>
      <c r="B214" s="200"/>
      <c r="C214" s="201"/>
      <c r="D214" s="210"/>
      <c r="E214" s="328"/>
      <c r="F214" s="328"/>
      <c r="G214" s="328"/>
      <c r="H214" s="199" t="s">
        <v>510</v>
      </c>
      <c r="I214" s="130"/>
      <c r="J214" s="126"/>
      <c r="K214" s="126"/>
      <c r="L214" s="125" t="str">
        <f>IF(I214&lt;&gt;0,((VLOOKUP(I214,'1. Standard_Cost'!$B$4:$D$11,2)+VLOOKUP(I214,'1. Standard_Cost'!$B$4:$D$11,3))*J214*K214),"0")</f>
        <v>0</v>
      </c>
      <c r="M214" s="125">
        <f>L214*'1. Standard_Cost'!$F$4</f>
        <v>0</v>
      </c>
      <c r="N214" s="126"/>
      <c r="O214" s="126"/>
      <c r="P214" s="126"/>
      <c r="Q214" s="126"/>
      <c r="R214" s="127">
        <f>'1. Standard_Cost'!$B$15*N214*P214</f>
        <v>0</v>
      </c>
      <c r="S214" s="127">
        <f>N214*O214*P214*'1. Standard_Cost'!$C$15</f>
        <v>0</v>
      </c>
      <c r="T214" s="127">
        <f>N214*P214*Q214*'1. Standard_Cost'!$D$15</f>
        <v>0</v>
      </c>
      <c r="U214" s="127">
        <f>N214*O214*'1. Standard_Cost'!$E$15</f>
        <v>0</v>
      </c>
      <c r="V214" s="126"/>
      <c r="W214" s="126"/>
      <c r="X214" s="126"/>
      <c r="Y214" s="127">
        <f>+V214*((X214*'1. Standard_Cost'!$B$19)+(W214*X214*'1. Standard_Cost'!$C$19))</f>
        <v>0</v>
      </c>
      <c r="Z214" s="126"/>
      <c r="AA214" s="126"/>
      <c r="AB214" s="127">
        <f>+Z214*'1. Standard_Cost'!$B$23+AA214*'1. Standard_Cost'!$C$23</f>
        <v>0</v>
      </c>
      <c r="AC214" s="128"/>
      <c r="AD214" s="129"/>
      <c r="AE214" s="127">
        <f>SUM(AD214,AC214,AB214,Y214,U214,T214,S214,R214)*'1. Standard_Cost'!$B$31</f>
        <v>0</v>
      </c>
      <c r="AF214" s="127">
        <f t="shared" ref="AF214:AF219" si="150">SUM(AE214,AD214,AC214,AB214,Y214,U214,T214,S214,R214)</f>
        <v>0</v>
      </c>
      <c r="AG214" s="126"/>
      <c r="AH214" s="126"/>
      <c r="AI214" s="126"/>
      <c r="AJ214" s="130"/>
      <c r="AK214" s="130"/>
      <c r="AL214" s="130"/>
      <c r="AM214" s="127">
        <f>AG214*'1. Standard_Cost'!$B$27+'Incremental_Cost Year 2'!AH214*'1. Standard_Cost'!$C$27+'Incremental_Cost Year 2'!AI214*'1. Standard_Cost'!$D$27+'Incremental_Cost Year 2'!AJ214+'Incremental_Cost Year 2'!AL214+AK214</f>
        <v>0</v>
      </c>
      <c r="AN214" s="127">
        <f>AM214*'1. Standard_Cost'!$C$31</f>
        <v>0</v>
      </c>
      <c r="AO214" s="130"/>
      <c r="AQ214" s="171">
        <f t="shared" ref="AQ214:AQ219" si="151">L214+M214</f>
        <v>0</v>
      </c>
      <c r="AR214" s="171">
        <f t="shared" ref="AR214:AR219" si="152">AF214</f>
        <v>0</v>
      </c>
      <c r="AS214" s="171">
        <f t="shared" ref="AS214:AS219" si="153">AM214+AN214</f>
        <v>0</v>
      </c>
      <c r="AT214" s="171">
        <f t="shared" ref="AT214:AT219" si="154">SUM(AQ214,AR214,AS214)</f>
        <v>0</v>
      </c>
      <c r="AU214" s="250"/>
      <c r="AV214" s="250"/>
      <c r="AW214" s="250"/>
      <c r="AX214" s="250"/>
      <c r="AY214" s="250"/>
      <c r="AZ214" s="250"/>
      <c r="BA214" s="250"/>
      <c r="BB214" s="251">
        <f t="shared" ref="BB214:BB219" si="155">SUM(AU214:BA214)-AT214</f>
        <v>0</v>
      </c>
      <c r="BC214" s="169"/>
      <c r="BD214" s="169"/>
      <c r="BE214" s="169"/>
      <c r="BF214" s="169"/>
    </row>
    <row r="215" spans="1:58" ht="47.25" outlineLevel="2" x14ac:dyDescent="0.25">
      <c r="A215" s="115"/>
      <c r="B215" s="200"/>
      <c r="C215" s="201"/>
      <c r="D215" s="203"/>
      <c r="E215" s="328"/>
      <c r="F215" s="328"/>
      <c r="G215" s="328"/>
      <c r="H215" s="199" t="s">
        <v>511</v>
      </c>
      <c r="I215" s="130"/>
      <c r="J215" s="126"/>
      <c r="K215" s="126"/>
      <c r="L215" s="125" t="str">
        <f>IF(I215&lt;&gt;0,((VLOOKUP(I215,'1. Standard_Cost'!$B$4:$D$11,2)+VLOOKUP(I215,'1. Standard_Cost'!$B$4:$D$11,3))*J215*K215),"0")</f>
        <v>0</v>
      </c>
      <c r="M215" s="125">
        <f>L215*'1. Standard_Cost'!$F$4</f>
        <v>0</v>
      </c>
      <c r="N215" s="126"/>
      <c r="O215" s="126"/>
      <c r="P215" s="126"/>
      <c r="Q215" s="126"/>
      <c r="R215" s="127">
        <f>'1. Standard_Cost'!$B$15*N215*P215</f>
        <v>0</v>
      </c>
      <c r="S215" s="127">
        <f>N215*O215*P215*'1. Standard_Cost'!$C$15</f>
        <v>0</v>
      </c>
      <c r="T215" s="127">
        <f>N215*P215*Q215*'1. Standard_Cost'!$D$15</f>
        <v>0</v>
      </c>
      <c r="U215" s="127">
        <f>N215*O215*'1. Standard_Cost'!$E$15</f>
        <v>0</v>
      </c>
      <c r="V215" s="126"/>
      <c r="W215" s="126"/>
      <c r="X215" s="126"/>
      <c r="Y215" s="127">
        <f>+V215*((X215*'1. Standard_Cost'!$B$19)+(W215*X215*'1. Standard_Cost'!$C$19))</f>
        <v>0</v>
      </c>
      <c r="Z215" s="126"/>
      <c r="AA215" s="126"/>
      <c r="AB215" s="127">
        <f>+Z215*'1. Standard_Cost'!$B$23+AA215*'1. Standard_Cost'!$C$23</f>
        <v>0</v>
      </c>
      <c r="AC215" s="128"/>
      <c r="AD215" s="129"/>
      <c r="AE215" s="127">
        <f>SUM(AD215,AC215,AB215,Y215,U215,T215,S215,R215)*'1. Standard_Cost'!$B$31</f>
        <v>0</v>
      </c>
      <c r="AF215" s="127">
        <f t="shared" si="150"/>
        <v>0</v>
      </c>
      <c r="AG215" s="126"/>
      <c r="AH215" s="126"/>
      <c r="AI215" s="126"/>
      <c r="AJ215" s="130"/>
      <c r="AK215" s="130"/>
      <c r="AL215" s="130"/>
      <c r="AM215" s="127">
        <f>AG215*'1. Standard_Cost'!$B$27+'Incremental_Cost Year 2'!AH215*'1. Standard_Cost'!$C$27+'Incremental_Cost Year 2'!AI215*'1. Standard_Cost'!$D$27+'Incremental_Cost Year 2'!AJ215+'Incremental_Cost Year 2'!AL215+AK215</f>
        <v>0</v>
      </c>
      <c r="AN215" s="127">
        <f>AM215*'1. Standard_Cost'!$C$31</f>
        <v>0</v>
      </c>
      <c r="AO215" s="130"/>
      <c r="AQ215" s="171">
        <f t="shared" si="151"/>
        <v>0</v>
      </c>
      <c r="AR215" s="171">
        <f t="shared" si="152"/>
        <v>0</v>
      </c>
      <c r="AS215" s="171">
        <f t="shared" si="153"/>
        <v>0</v>
      </c>
      <c r="AT215" s="171">
        <f t="shared" si="154"/>
        <v>0</v>
      </c>
      <c r="AU215" s="250"/>
      <c r="AV215" s="250"/>
      <c r="AW215" s="250"/>
      <c r="AX215" s="250"/>
      <c r="AY215" s="250"/>
      <c r="AZ215" s="250"/>
      <c r="BA215" s="250"/>
      <c r="BB215" s="251">
        <f t="shared" si="155"/>
        <v>0</v>
      </c>
      <c r="BC215" s="169"/>
      <c r="BD215" s="169"/>
      <c r="BE215" s="169"/>
      <c r="BF215" s="169"/>
    </row>
    <row r="216" spans="1:58" ht="78.75" outlineLevel="2" x14ac:dyDescent="0.25">
      <c r="A216" s="115"/>
      <c r="B216" s="200"/>
      <c r="C216" s="201"/>
      <c r="D216" s="203"/>
      <c r="E216" s="328"/>
      <c r="F216" s="328"/>
      <c r="G216" s="328"/>
      <c r="H216" s="199" t="s">
        <v>512</v>
      </c>
      <c r="I216" s="130"/>
      <c r="J216" s="126"/>
      <c r="K216" s="126"/>
      <c r="L216" s="125" t="str">
        <f>IF(I216&lt;&gt;0,((VLOOKUP(I216,'1. Standard_Cost'!$B$4:$D$11,2)+VLOOKUP(I216,'1. Standard_Cost'!$B$4:$D$11,3))*J216*K216),"0")</f>
        <v>0</v>
      </c>
      <c r="M216" s="125">
        <f>L216*'1. Standard_Cost'!$F$4</f>
        <v>0</v>
      </c>
      <c r="N216" s="126"/>
      <c r="O216" s="126"/>
      <c r="P216" s="126"/>
      <c r="Q216" s="126"/>
      <c r="R216" s="127">
        <f>'1. Standard_Cost'!$B$15*N216*P216</f>
        <v>0</v>
      </c>
      <c r="S216" s="127">
        <f>N216*O216*P216*'1. Standard_Cost'!$C$15</f>
        <v>0</v>
      </c>
      <c r="T216" s="127">
        <f>N216*P216*Q216*'1. Standard_Cost'!$D$15</f>
        <v>0</v>
      </c>
      <c r="U216" s="127">
        <f>N216*O216*'1. Standard_Cost'!$E$15</f>
        <v>0</v>
      </c>
      <c r="V216" s="126"/>
      <c r="W216" s="126"/>
      <c r="X216" s="126"/>
      <c r="Y216" s="127">
        <f>+V216*((X216*'1. Standard_Cost'!$B$19)+(W216*X216*'1. Standard_Cost'!$C$19))</f>
        <v>0</v>
      </c>
      <c r="Z216" s="126"/>
      <c r="AA216" s="126"/>
      <c r="AB216" s="127">
        <f>+Z216*'1. Standard_Cost'!$B$23+AA216*'1. Standard_Cost'!$C$23</f>
        <v>0</v>
      </c>
      <c r="AC216" s="128"/>
      <c r="AD216" s="129"/>
      <c r="AE216" s="127">
        <f>SUM(AD216,AC216,AB216,Y216,U216,T216,S216,R216)*'1. Standard_Cost'!$B$31</f>
        <v>0</v>
      </c>
      <c r="AF216" s="127">
        <f t="shared" si="150"/>
        <v>0</v>
      </c>
      <c r="AG216" s="126"/>
      <c r="AH216" s="126"/>
      <c r="AI216" s="126"/>
      <c r="AJ216" s="130"/>
      <c r="AK216" s="130"/>
      <c r="AL216" s="130"/>
      <c r="AM216" s="127">
        <f>AG216*'1. Standard_Cost'!$B$27+'Incremental_Cost Year 2'!AH216*'1. Standard_Cost'!$C$27+'Incremental_Cost Year 2'!AI216*'1. Standard_Cost'!$D$27+'Incremental_Cost Year 2'!AJ216+'Incremental_Cost Year 2'!AL216+AK216</f>
        <v>0</v>
      </c>
      <c r="AN216" s="127">
        <f>AM216*'1. Standard_Cost'!$C$31</f>
        <v>0</v>
      </c>
      <c r="AO216" s="130"/>
      <c r="AQ216" s="171">
        <f t="shared" si="151"/>
        <v>0</v>
      </c>
      <c r="AR216" s="171">
        <f t="shared" si="152"/>
        <v>0</v>
      </c>
      <c r="AS216" s="171">
        <f t="shared" si="153"/>
        <v>0</v>
      </c>
      <c r="AT216" s="171">
        <f t="shared" si="154"/>
        <v>0</v>
      </c>
      <c r="AU216" s="250"/>
      <c r="AV216" s="250"/>
      <c r="AW216" s="250"/>
      <c r="AX216" s="250"/>
      <c r="AY216" s="250"/>
      <c r="AZ216" s="250"/>
      <c r="BA216" s="250"/>
      <c r="BB216" s="251">
        <f t="shared" si="155"/>
        <v>0</v>
      </c>
      <c r="BC216" s="169"/>
      <c r="BD216" s="169"/>
      <c r="BE216" s="169"/>
      <c r="BF216" s="169"/>
    </row>
    <row r="217" spans="1:58" ht="47.25" outlineLevel="2" x14ac:dyDescent="0.25">
      <c r="A217" s="115"/>
      <c r="B217" s="200"/>
      <c r="C217" s="201"/>
      <c r="D217" s="203"/>
      <c r="E217" s="328"/>
      <c r="F217" s="328"/>
      <c r="G217" s="328"/>
      <c r="H217" s="213" t="s">
        <v>250</v>
      </c>
      <c r="I217" s="130" t="s">
        <v>1</v>
      </c>
      <c r="J217" s="126">
        <v>12</v>
      </c>
      <c r="K217" s="126">
        <v>824</v>
      </c>
      <c r="L217" s="125">
        <f>IF(I217&lt;&gt;0,((VLOOKUP(I217,'1. Standard_Cost'!$B$4:$D$11,2)+VLOOKUP(I217,'1. Standard_Cost'!$B$4:$D$11,3))*J217*K217),"0")</f>
        <v>709887771.42857134</v>
      </c>
      <c r="M217" s="125">
        <f>L217*'1. Standard_Cost'!$F$4</f>
        <v>118551257.82857142</v>
      </c>
      <c r="N217" s="126"/>
      <c r="O217" s="126"/>
      <c r="P217" s="126"/>
      <c r="Q217" s="126"/>
      <c r="R217" s="127">
        <f>'1. Standard_Cost'!$B$15*N217*P217</f>
        <v>0</v>
      </c>
      <c r="S217" s="127">
        <f>N217*O217*P217*'1. Standard_Cost'!$C$15</f>
        <v>0</v>
      </c>
      <c r="T217" s="127">
        <f>N217*P217*Q217*'1. Standard_Cost'!$D$15</f>
        <v>0</v>
      </c>
      <c r="U217" s="127">
        <f>N217*O217*'1. Standard_Cost'!$E$15</f>
        <v>0</v>
      </c>
      <c r="V217" s="126"/>
      <c r="W217" s="126"/>
      <c r="X217" s="126"/>
      <c r="Y217" s="127">
        <f>+V217*((X217*'1. Standard_Cost'!$B$19)+(W217*X217*'1. Standard_Cost'!$C$19))</f>
        <v>0</v>
      </c>
      <c r="Z217" s="126"/>
      <c r="AA217" s="126"/>
      <c r="AB217" s="127">
        <f>+Z217*'1. Standard_Cost'!$B$23+AA217*'1. Standard_Cost'!$C$23</f>
        <v>0</v>
      </c>
      <c r="AC217" s="128">
        <f>230000000+250000000*2</f>
        <v>730000000</v>
      </c>
      <c r="AD217" s="129"/>
      <c r="AE217" s="127"/>
      <c r="AF217" s="127">
        <f t="shared" si="150"/>
        <v>730000000</v>
      </c>
      <c r="AG217" s="126"/>
      <c r="AH217" s="126"/>
      <c r="AI217" s="126"/>
      <c r="AJ217" s="130"/>
      <c r="AK217" s="130"/>
      <c r="AL217" s="130"/>
      <c r="AM217" s="127">
        <f>AG217*'1. Standard_Cost'!$B$27+'Incremental_Cost Year 2'!AH217*'1. Standard_Cost'!$C$27+'Incremental_Cost Year 2'!AI217*'1. Standard_Cost'!$D$27+'Incremental_Cost Year 2'!AJ217+'Incremental_Cost Year 2'!AL217+AK217</f>
        <v>0</v>
      </c>
      <c r="AN217" s="127">
        <f>AM217*'1. Standard_Cost'!$C$31</f>
        <v>0</v>
      </c>
      <c r="AO217" s="130"/>
      <c r="AQ217" s="171">
        <f t="shared" si="151"/>
        <v>828439029.25714278</v>
      </c>
      <c r="AR217" s="171">
        <f t="shared" si="152"/>
        <v>730000000</v>
      </c>
      <c r="AS217" s="171">
        <f t="shared" si="153"/>
        <v>0</v>
      </c>
      <c r="AT217" s="171">
        <f t="shared" si="154"/>
        <v>1558439029.2571428</v>
      </c>
      <c r="AU217" s="250">
        <f>AT217</f>
        <v>1558439029.2571428</v>
      </c>
      <c r="AV217" s="250"/>
      <c r="AW217" s="250"/>
      <c r="AX217" s="250"/>
      <c r="AY217" s="250"/>
      <c r="AZ217" s="250"/>
      <c r="BA217" s="250"/>
      <c r="BB217" s="251">
        <f t="shared" si="155"/>
        <v>0</v>
      </c>
      <c r="BC217" s="169"/>
      <c r="BD217" s="169"/>
      <c r="BE217" s="169"/>
      <c r="BF217" s="169"/>
    </row>
    <row r="218" spans="1:58" ht="47.25" outlineLevel="2" x14ac:dyDescent="0.25">
      <c r="A218" s="115"/>
      <c r="B218" s="200"/>
      <c r="C218" s="201"/>
      <c r="D218" s="203"/>
      <c r="E218" s="328"/>
      <c r="F218" s="328"/>
      <c r="G218" s="328"/>
      <c r="H218" s="213" t="s">
        <v>513</v>
      </c>
      <c r="I218" s="130" t="s">
        <v>1</v>
      </c>
      <c r="J218" s="126">
        <v>12</v>
      </c>
      <c r="K218" s="126">
        <v>123</v>
      </c>
      <c r="L218" s="125">
        <f>IF(I218&lt;&gt;0,((VLOOKUP(I218,'1. Standard_Cost'!$B$4:$D$11,2)+VLOOKUP(I218,'1. Standard_Cost'!$B$4:$D$11,3))*J218*K218),"0")</f>
        <v>105966257.14285713</v>
      </c>
      <c r="M218" s="125">
        <f>L218*'1. Standard_Cost'!$F$4</f>
        <v>17696364.942857143</v>
      </c>
      <c r="N218" s="126"/>
      <c r="O218" s="126"/>
      <c r="P218" s="126"/>
      <c r="Q218" s="126"/>
      <c r="R218" s="127">
        <f>'1. Standard_Cost'!$B$15*N218*P218</f>
        <v>0</v>
      </c>
      <c r="S218" s="127">
        <f>N218*O218*P218*'1. Standard_Cost'!$C$15</f>
        <v>0</v>
      </c>
      <c r="T218" s="127">
        <f>N218*P218*Q218*'1. Standard_Cost'!$D$15</f>
        <v>0</v>
      </c>
      <c r="U218" s="127">
        <f>N218*O218*'1. Standard_Cost'!$E$15</f>
        <v>0</v>
      </c>
      <c r="V218" s="126"/>
      <c r="W218" s="126"/>
      <c r="X218" s="126"/>
      <c r="Y218" s="127">
        <f>+V218*((X218*'1. Standard_Cost'!$B$19)+(W218*X218*'1. Standard_Cost'!$C$19))</f>
        <v>0</v>
      </c>
      <c r="Z218" s="126"/>
      <c r="AA218" s="126"/>
      <c r="AB218" s="127">
        <f>+Z218*'1. Standard_Cost'!$B$23+AA218*'1. Standard_Cost'!$C$23</f>
        <v>0</v>
      </c>
      <c r="AC218" s="128">
        <f>220000000*3</f>
        <v>660000000</v>
      </c>
      <c r="AD218" s="129"/>
      <c r="AE218" s="127"/>
      <c r="AF218" s="127">
        <f t="shared" si="150"/>
        <v>660000000</v>
      </c>
      <c r="AG218" s="126"/>
      <c r="AH218" s="126"/>
      <c r="AI218" s="126"/>
      <c r="AJ218" s="130"/>
      <c r="AK218" s="130"/>
      <c r="AL218" s="130"/>
      <c r="AM218" s="127">
        <f>AG218*'1. Standard_Cost'!$B$27+'Incremental_Cost Year 2'!AH218*'1. Standard_Cost'!$C$27+'Incremental_Cost Year 2'!AI218*'1. Standard_Cost'!$D$27+'Incremental_Cost Year 2'!AJ218+'Incremental_Cost Year 2'!AL218+AK218</f>
        <v>0</v>
      </c>
      <c r="AN218" s="127">
        <f>AM218*'1. Standard_Cost'!$C$31</f>
        <v>0</v>
      </c>
      <c r="AO218" s="130"/>
      <c r="AQ218" s="171">
        <f t="shared" si="151"/>
        <v>123662622.08571428</v>
      </c>
      <c r="AR218" s="171">
        <f t="shared" si="152"/>
        <v>660000000</v>
      </c>
      <c r="AS218" s="171">
        <f t="shared" si="153"/>
        <v>0</v>
      </c>
      <c r="AT218" s="171">
        <f t="shared" si="154"/>
        <v>783662622.08571434</v>
      </c>
      <c r="AU218" s="250">
        <f>AT218</f>
        <v>783662622.08571434</v>
      </c>
      <c r="AV218" s="250"/>
      <c r="AW218" s="250"/>
      <c r="AX218" s="250"/>
      <c r="AY218" s="250"/>
      <c r="AZ218" s="250"/>
      <c r="BA218" s="250"/>
      <c r="BB218" s="251">
        <f t="shared" si="155"/>
        <v>0</v>
      </c>
      <c r="BC218" s="169"/>
      <c r="BD218" s="169"/>
      <c r="BE218" s="169"/>
      <c r="BF218" s="169"/>
    </row>
    <row r="219" spans="1:58" ht="63" outlineLevel="2" x14ac:dyDescent="0.25">
      <c r="A219" s="115"/>
      <c r="B219" s="200"/>
      <c r="C219" s="201"/>
      <c r="D219" s="203"/>
      <c r="E219" s="328"/>
      <c r="F219" s="328"/>
      <c r="G219" s="328"/>
      <c r="H219" s="199" t="s">
        <v>514</v>
      </c>
      <c r="I219" s="130" t="s">
        <v>3</v>
      </c>
      <c r="J219" s="126">
        <v>3</v>
      </c>
      <c r="K219" s="126">
        <v>88</v>
      </c>
      <c r="L219" s="125">
        <f>IF(I219&lt;&gt;0,((VLOOKUP(I219,'1. Standard_Cost'!$B$4:$D$11,2)+VLOOKUP(I219,'1. Standard_Cost'!$B$4:$D$11,3))*J219*K219),"0")</f>
        <v>26611200</v>
      </c>
      <c r="M219" s="125">
        <f>L219*'1. Standard_Cost'!$F$4</f>
        <v>4444070.4000000004</v>
      </c>
      <c r="N219" s="126"/>
      <c r="O219" s="126"/>
      <c r="P219" s="126"/>
      <c r="Q219" s="126"/>
      <c r="R219" s="127">
        <f>'1. Standard_Cost'!$B$15*N219*P219</f>
        <v>0</v>
      </c>
      <c r="S219" s="127">
        <f>N219*O219*P219*'1. Standard_Cost'!$C$15</f>
        <v>0</v>
      </c>
      <c r="T219" s="127">
        <f>N219*P219*Q219*'1. Standard_Cost'!$D$15</f>
        <v>0</v>
      </c>
      <c r="U219" s="127">
        <f>N219*O219*'1. Standard_Cost'!$E$15</f>
        <v>0</v>
      </c>
      <c r="V219" s="126"/>
      <c r="W219" s="126"/>
      <c r="X219" s="126"/>
      <c r="Y219" s="127">
        <f>+V219*((X219*'1. Standard_Cost'!$B$19)+(W219*X219*'1. Standard_Cost'!$C$19))</f>
        <v>0</v>
      </c>
      <c r="Z219" s="126"/>
      <c r="AA219" s="126"/>
      <c r="AB219" s="127">
        <f>+Z219*'1. Standard_Cost'!$B$23+AA219*'1. Standard_Cost'!$C$23</f>
        <v>0</v>
      </c>
      <c r="AC219" s="128">
        <v>52163000</v>
      </c>
      <c r="AD219" s="129"/>
      <c r="AE219" s="127"/>
      <c r="AF219" s="127">
        <f t="shared" si="150"/>
        <v>52163000</v>
      </c>
      <c r="AG219" s="126"/>
      <c r="AH219" s="126"/>
      <c r="AI219" s="126"/>
      <c r="AJ219" s="130"/>
      <c r="AK219" s="130"/>
      <c r="AL219" s="130"/>
      <c r="AM219" s="127">
        <f>AG219*'1. Standard_Cost'!$B$27+'Incremental_Cost Year 2'!AH219*'1. Standard_Cost'!$C$27+'Incremental_Cost Year 2'!AI219*'1. Standard_Cost'!$D$27+'Incremental_Cost Year 2'!AJ219+'Incremental_Cost Year 2'!AL219+AK219</f>
        <v>0</v>
      </c>
      <c r="AN219" s="127">
        <f>AM219*'1. Standard_Cost'!$C$31</f>
        <v>0</v>
      </c>
      <c r="AO219" s="130"/>
      <c r="AQ219" s="171">
        <f t="shared" si="151"/>
        <v>31055270.399999999</v>
      </c>
      <c r="AR219" s="171">
        <f t="shared" si="152"/>
        <v>52163000</v>
      </c>
      <c r="AS219" s="171">
        <f t="shared" si="153"/>
        <v>0</v>
      </c>
      <c r="AT219" s="171">
        <f t="shared" si="154"/>
        <v>83218270.400000006</v>
      </c>
      <c r="AU219" s="250">
        <f>AT219</f>
        <v>83218270.400000006</v>
      </c>
      <c r="AV219" s="250"/>
      <c r="AW219" s="250"/>
      <c r="AX219" s="250"/>
      <c r="AY219" s="250"/>
      <c r="AZ219" s="250"/>
      <c r="BA219" s="250"/>
      <c r="BB219" s="251">
        <f t="shared" si="155"/>
        <v>0</v>
      </c>
      <c r="BC219" s="169"/>
      <c r="BD219" s="169"/>
      <c r="BE219" s="169"/>
      <c r="BF219" s="169"/>
    </row>
    <row r="220" spans="1:58" ht="78.75" outlineLevel="1" x14ac:dyDescent="0.25">
      <c r="A220" s="115"/>
      <c r="B220" s="165"/>
      <c r="C220" s="166"/>
      <c r="D220" s="139" t="s">
        <v>557</v>
      </c>
      <c r="E220" s="212" t="s">
        <v>251</v>
      </c>
      <c r="F220" s="352">
        <v>2021</v>
      </c>
      <c r="G220" s="353">
        <v>2030</v>
      </c>
      <c r="H220" s="150" t="s">
        <v>252</v>
      </c>
      <c r="I220" s="252"/>
      <c r="J220" s="252"/>
      <c r="K220" s="252"/>
      <c r="L220" s="127">
        <f>SUM(L214:L219)</f>
        <v>842465228.57142854</v>
      </c>
      <c r="M220" s="127">
        <f>SUM(M214:M219)</f>
        <v>140691693.17142856</v>
      </c>
      <c r="N220" s="252"/>
      <c r="O220" s="252"/>
      <c r="P220" s="252"/>
      <c r="Q220" s="252"/>
      <c r="R220" s="127">
        <f>SUM(R214:R219)</f>
        <v>0</v>
      </c>
      <c r="S220" s="127">
        <f>SUM(S214:S219)</f>
        <v>0</v>
      </c>
      <c r="T220" s="127">
        <f>SUM(T214:T219)</f>
        <v>0</v>
      </c>
      <c r="U220" s="127">
        <f>SUM(U214:U219)</f>
        <v>0</v>
      </c>
      <c r="V220" s="252"/>
      <c r="W220" s="252"/>
      <c r="X220" s="252"/>
      <c r="Y220" s="127">
        <f>SUM(Y214:Y219)</f>
        <v>0</v>
      </c>
      <c r="Z220" s="127"/>
      <c r="AA220" s="252"/>
      <c r="AB220" s="127">
        <f>SUM(AB214:AB219)</f>
        <v>0</v>
      </c>
      <c r="AC220" s="127">
        <f>SUM(AC214:AC219)</f>
        <v>1442163000</v>
      </c>
      <c r="AD220" s="127">
        <f>SUM(AD214:AD219)</f>
        <v>0</v>
      </c>
      <c r="AE220" s="127">
        <f>SUM(AE214:AE219)</f>
        <v>0</v>
      </c>
      <c r="AF220" s="127">
        <f>SUM(AF214:AF219)</f>
        <v>1442163000</v>
      </c>
      <c r="AG220" s="252"/>
      <c r="AH220" s="252"/>
      <c r="AI220" s="252"/>
      <c r="AJ220" s="127">
        <f>SUM(AJ214:AJ219)</f>
        <v>0</v>
      </c>
      <c r="AK220" s="127">
        <f>SUM(AK214:AK219)</f>
        <v>0</v>
      </c>
      <c r="AL220" s="127">
        <f>SUM(AL214:AL219)</f>
        <v>0</v>
      </c>
      <c r="AM220" s="127">
        <f>SUM(AM214:AM219)</f>
        <v>0</v>
      </c>
      <c r="AN220" s="127">
        <f>SUM(AN214:AN219)</f>
        <v>0</v>
      </c>
      <c r="AO220" s="253"/>
      <c r="AP220" s="254"/>
      <c r="AQ220" s="175">
        <f>SUM(AQ214:AQ219)</f>
        <v>983156921.7428571</v>
      </c>
      <c r="AR220" s="175">
        <f>SUM(AR214:AR219)</f>
        <v>1442163000</v>
      </c>
      <c r="AS220" s="175">
        <f>SUM(AS214:AS219)</f>
        <v>0</v>
      </c>
      <c r="AT220" s="175">
        <f>SUM(AT214:AT219)</f>
        <v>2425319921.7428575</v>
      </c>
      <c r="AU220" s="175">
        <f t="shared" ref="AU220:BB220" si="156">SUM(AU214:AU219)</f>
        <v>2425319921.7428575</v>
      </c>
      <c r="AV220" s="175">
        <f t="shared" si="156"/>
        <v>0</v>
      </c>
      <c r="AW220" s="175">
        <f t="shared" si="156"/>
        <v>0</v>
      </c>
      <c r="AX220" s="175">
        <f t="shared" si="156"/>
        <v>0</v>
      </c>
      <c r="AY220" s="175">
        <f t="shared" si="156"/>
        <v>0</v>
      </c>
      <c r="AZ220" s="175">
        <f t="shared" si="156"/>
        <v>0</v>
      </c>
      <c r="BA220" s="175">
        <f t="shared" si="156"/>
        <v>0</v>
      </c>
      <c r="BB220" s="175">
        <f t="shared" si="156"/>
        <v>0</v>
      </c>
      <c r="BC220" s="169"/>
      <c r="BD220" s="169"/>
      <c r="BE220" s="169"/>
      <c r="BF220" s="169"/>
    </row>
    <row r="221" spans="1:58" s="184" customFormat="1" ht="15.75" customHeight="1" x14ac:dyDescent="0.25">
      <c r="A221" s="143"/>
      <c r="B221" s="332"/>
      <c r="C221" s="397" t="s">
        <v>253</v>
      </c>
      <c r="D221" s="397"/>
      <c r="E221" s="398"/>
      <c r="F221" s="291"/>
      <c r="G221" s="340"/>
      <c r="H221" s="144" t="s">
        <v>300</v>
      </c>
      <c r="I221" s="257"/>
      <c r="J221" s="257"/>
      <c r="K221" s="257"/>
      <c r="L221" s="258">
        <f>SUM(L225)</f>
        <v>34776000</v>
      </c>
      <c r="M221" s="258">
        <f>SUM(M225)</f>
        <v>5807592</v>
      </c>
      <c r="N221" s="257"/>
      <c r="O221" s="257"/>
      <c r="P221" s="257"/>
      <c r="Q221" s="257"/>
      <c r="R221" s="258">
        <f>SUM(R225)</f>
        <v>0</v>
      </c>
      <c r="S221" s="258">
        <f>SUM(S225)</f>
        <v>0</v>
      </c>
      <c r="T221" s="258">
        <f>SUM(T225)</f>
        <v>0</v>
      </c>
      <c r="U221" s="258">
        <f>SUM(U225)</f>
        <v>0</v>
      </c>
      <c r="V221" s="257"/>
      <c r="W221" s="257"/>
      <c r="X221" s="257"/>
      <c r="Y221" s="258">
        <f>SUM(Y225)</f>
        <v>0</v>
      </c>
      <c r="Z221" s="258"/>
      <c r="AA221" s="258"/>
      <c r="AB221" s="258">
        <f>SUM(AB225)</f>
        <v>0</v>
      </c>
      <c r="AC221" s="258">
        <f>SUM(AC225)</f>
        <v>0</v>
      </c>
      <c r="AD221" s="258">
        <f>SUM(AD225)</f>
        <v>0</v>
      </c>
      <c r="AE221" s="258">
        <f>SUM(AE225)</f>
        <v>0</v>
      </c>
      <c r="AF221" s="258">
        <f>SUM(AF225)</f>
        <v>0</v>
      </c>
      <c r="AG221" s="257"/>
      <c r="AH221" s="257"/>
      <c r="AI221" s="257"/>
      <c r="AJ221" s="258">
        <f>SUM(AJ225)</f>
        <v>0</v>
      </c>
      <c r="AK221" s="258">
        <f>SUM(AK225)</f>
        <v>0</v>
      </c>
      <c r="AL221" s="258">
        <f>SUM(AL225)</f>
        <v>0</v>
      </c>
      <c r="AM221" s="258">
        <f>SUM(AM225)</f>
        <v>0</v>
      </c>
      <c r="AN221" s="258">
        <f>SUM(AN225)</f>
        <v>0</v>
      </c>
      <c r="AO221" s="259"/>
      <c r="AP221" s="260"/>
      <c r="AQ221" s="261">
        <f>SUM(AQ225)</f>
        <v>40583592</v>
      </c>
      <c r="AR221" s="261">
        <f>SUM(AR225)</f>
        <v>0</v>
      </c>
      <c r="AS221" s="261">
        <f>SUM(AS225)</f>
        <v>0</v>
      </c>
      <c r="AT221" s="261">
        <f>SUM(AT225)</f>
        <v>40583592</v>
      </c>
      <c r="AU221" s="261">
        <f t="shared" ref="AU221:BB221" si="157">SUM(AU225)</f>
        <v>40583592</v>
      </c>
      <c r="AV221" s="261">
        <f t="shared" si="157"/>
        <v>0</v>
      </c>
      <c r="AW221" s="261">
        <f t="shared" si="157"/>
        <v>0</v>
      </c>
      <c r="AX221" s="261">
        <f t="shared" si="157"/>
        <v>0</v>
      </c>
      <c r="AY221" s="261">
        <f t="shared" si="157"/>
        <v>0</v>
      </c>
      <c r="AZ221" s="261">
        <f t="shared" si="157"/>
        <v>0</v>
      </c>
      <c r="BA221" s="261">
        <f t="shared" si="157"/>
        <v>0</v>
      </c>
      <c r="BB221" s="261">
        <f t="shared" si="157"/>
        <v>0</v>
      </c>
    </row>
    <row r="222" spans="1:58" ht="63" outlineLevel="2" x14ac:dyDescent="0.25">
      <c r="A222" s="115"/>
      <c r="B222" s="200"/>
      <c r="C222" s="201"/>
      <c r="D222" s="342"/>
      <c r="E222" s="328"/>
      <c r="F222" s="328"/>
      <c r="G222" s="328"/>
      <c r="H222" s="199" t="s">
        <v>515</v>
      </c>
      <c r="I222" s="130" t="s">
        <v>3</v>
      </c>
      <c r="J222" s="126">
        <v>3</v>
      </c>
      <c r="K222" s="126">
        <v>15</v>
      </c>
      <c r="L222" s="125">
        <f>IF(I222&lt;&gt;0,((VLOOKUP(I222,'1. Standard_Cost'!$B$4:$D$11,2)+VLOOKUP(I222,'1. Standard_Cost'!$B$4:$D$11,3))*J222*K222),"0")</f>
        <v>4536000</v>
      </c>
      <c r="M222" s="125">
        <f>L222*'1. Standard_Cost'!$F$4</f>
        <v>757512</v>
      </c>
      <c r="N222" s="126"/>
      <c r="O222" s="126"/>
      <c r="P222" s="126"/>
      <c r="Q222" s="126"/>
      <c r="R222" s="127">
        <f>'1. Standard_Cost'!$B$15*N222*P222</f>
        <v>0</v>
      </c>
      <c r="S222" s="127">
        <f>N222*O222*P222*'1. Standard_Cost'!$C$15</f>
        <v>0</v>
      </c>
      <c r="T222" s="127">
        <f>N222*P222*Q222*'1. Standard_Cost'!$D$15</f>
        <v>0</v>
      </c>
      <c r="U222" s="127">
        <f>N222*O222*'1. Standard_Cost'!$E$15</f>
        <v>0</v>
      </c>
      <c r="V222" s="126"/>
      <c r="W222" s="126"/>
      <c r="X222" s="126"/>
      <c r="Y222" s="127">
        <f>+V222*((X222*'1. Standard_Cost'!$B$19)+(W222*X222*'1. Standard_Cost'!$C$19))</f>
        <v>0</v>
      </c>
      <c r="Z222" s="126"/>
      <c r="AA222" s="126"/>
      <c r="AB222" s="127">
        <f>+Z222*'1. Standard_Cost'!$B$23+AA222*'1. Standard_Cost'!$C$23</f>
        <v>0</v>
      </c>
      <c r="AC222" s="128"/>
      <c r="AD222" s="129"/>
      <c r="AE222" s="127">
        <f>SUM(AD222,AC222,AB222,Y222,U222,T222,S222,R222)*'1. Standard_Cost'!$B$31</f>
        <v>0</v>
      </c>
      <c r="AF222" s="127">
        <f>SUM(AE222,AD222,AC222,AB222,Y222,U222,T222,S222,R222)</f>
        <v>0</v>
      </c>
      <c r="AG222" s="126"/>
      <c r="AH222" s="126"/>
      <c r="AI222" s="126"/>
      <c r="AJ222" s="130"/>
      <c r="AK222" s="130"/>
      <c r="AL222" s="130"/>
      <c r="AM222" s="127">
        <f>AG222*'1. Standard_Cost'!$B$27+'Incremental_Cost Year 2'!AH222*'1. Standard_Cost'!$C$27+'Incremental_Cost Year 2'!AI222*'1. Standard_Cost'!$D$27+'Incremental_Cost Year 2'!AJ222+'Incremental_Cost Year 2'!AL222+AK222</f>
        <v>0</v>
      </c>
      <c r="AN222" s="127">
        <f>AM222*'1. Standard_Cost'!$C$31</f>
        <v>0</v>
      </c>
      <c r="AO222" s="130"/>
      <c r="AQ222" s="171">
        <f>L222+M222</f>
        <v>5293512</v>
      </c>
      <c r="AR222" s="171">
        <f>AF222</f>
        <v>0</v>
      </c>
      <c r="AS222" s="171">
        <f>AM222+AN222</f>
        <v>0</v>
      </c>
      <c r="AT222" s="171">
        <f>SUM(AQ222,AR222,AS222)</f>
        <v>5293512</v>
      </c>
      <c r="AU222" s="250">
        <f>AT222</f>
        <v>5293512</v>
      </c>
      <c r="AV222" s="250"/>
      <c r="AW222" s="250"/>
      <c r="AX222" s="250"/>
      <c r="AY222" s="250"/>
      <c r="AZ222" s="250"/>
      <c r="BA222" s="250"/>
      <c r="BB222" s="251">
        <f t="shared" ref="BB222:BB224" si="158">SUM(AU222:BA222)-AT222</f>
        <v>0</v>
      </c>
      <c r="BC222" s="169"/>
      <c r="BD222" s="169"/>
      <c r="BE222" s="169"/>
      <c r="BF222" s="169"/>
    </row>
    <row r="223" spans="1:58" ht="63" outlineLevel="2" x14ac:dyDescent="0.25">
      <c r="A223" s="115"/>
      <c r="B223" s="200"/>
      <c r="C223" s="201"/>
      <c r="D223" s="343"/>
      <c r="E223" s="328"/>
      <c r="F223" s="328"/>
      <c r="G223" s="328"/>
      <c r="H223" s="199" t="s">
        <v>516</v>
      </c>
      <c r="I223" s="130" t="s">
        <v>3</v>
      </c>
      <c r="J223" s="126">
        <v>3</v>
      </c>
      <c r="K223" s="126">
        <v>100</v>
      </c>
      <c r="L223" s="125">
        <f>IF(I223&lt;&gt;0,((VLOOKUP(I223,'1. Standard_Cost'!$B$4:$D$11,2)+VLOOKUP(I223,'1. Standard_Cost'!$B$4:$D$11,3))*J223*K223),"0")</f>
        <v>30240000</v>
      </c>
      <c r="M223" s="125">
        <f>L223*'1. Standard_Cost'!$F$4</f>
        <v>5050080</v>
      </c>
      <c r="N223" s="126"/>
      <c r="O223" s="126"/>
      <c r="P223" s="126"/>
      <c r="Q223" s="126"/>
      <c r="R223" s="127">
        <f>'1. Standard_Cost'!$B$15*N223*P223</f>
        <v>0</v>
      </c>
      <c r="S223" s="127">
        <f>N223*O223*P223*'1. Standard_Cost'!$C$15</f>
        <v>0</v>
      </c>
      <c r="T223" s="127">
        <f>N223*P223*Q223*'1. Standard_Cost'!$D$15</f>
        <v>0</v>
      </c>
      <c r="U223" s="127">
        <f>N223*O223*'1. Standard_Cost'!$E$15</f>
        <v>0</v>
      </c>
      <c r="V223" s="126"/>
      <c r="W223" s="126"/>
      <c r="X223" s="126"/>
      <c r="Y223" s="127">
        <f>+V223*((X223*'1. Standard_Cost'!$B$19)+(W223*X223*'1. Standard_Cost'!$C$19))</f>
        <v>0</v>
      </c>
      <c r="Z223" s="126"/>
      <c r="AA223" s="126"/>
      <c r="AB223" s="127">
        <f>+Z223*'1. Standard_Cost'!$B$23+AA223*'1. Standard_Cost'!$C$23</f>
        <v>0</v>
      </c>
      <c r="AC223" s="128"/>
      <c r="AD223" s="129"/>
      <c r="AE223" s="127">
        <f>SUM(AD223,AC223,AB223,Y223,U223,T223,S223,R223)*'1. Standard_Cost'!$B$31</f>
        <v>0</v>
      </c>
      <c r="AF223" s="127">
        <f>SUM(AE223,AD223,AC223,AB223,Y223,U223,T223,S223,R223)</f>
        <v>0</v>
      </c>
      <c r="AG223" s="126"/>
      <c r="AH223" s="126"/>
      <c r="AI223" s="126"/>
      <c r="AJ223" s="130"/>
      <c r="AK223" s="130"/>
      <c r="AL223" s="130"/>
      <c r="AM223" s="127">
        <f>AG223*'1. Standard_Cost'!$B$27+'Incremental_Cost Year 2'!AH223*'1. Standard_Cost'!$C$27+'Incremental_Cost Year 2'!AI223*'1. Standard_Cost'!$D$27+'Incremental_Cost Year 2'!AJ223+'Incremental_Cost Year 2'!AL223+AK223</f>
        <v>0</v>
      </c>
      <c r="AN223" s="127">
        <f>AM223*'1. Standard_Cost'!$C$31</f>
        <v>0</v>
      </c>
      <c r="AO223" s="130"/>
      <c r="AQ223" s="171">
        <f>L223+M223</f>
        <v>35290080</v>
      </c>
      <c r="AR223" s="171">
        <f>AF223</f>
        <v>0</v>
      </c>
      <c r="AS223" s="171">
        <f>AM223+AN223</f>
        <v>0</v>
      </c>
      <c r="AT223" s="171">
        <f>SUM(AQ223,AR223,AS223)</f>
        <v>35290080</v>
      </c>
      <c r="AU223" s="250">
        <f>AT223</f>
        <v>35290080</v>
      </c>
      <c r="AV223" s="250"/>
      <c r="AW223" s="250"/>
      <c r="AX223" s="250"/>
      <c r="AY223" s="250"/>
      <c r="AZ223" s="250"/>
      <c r="BA223" s="250"/>
      <c r="BB223" s="251">
        <f t="shared" si="158"/>
        <v>0</v>
      </c>
      <c r="BC223" s="169"/>
      <c r="BD223" s="169"/>
      <c r="BE223" s="169"/>
      <c r="BF223" s="169"/>
    </row>
    <row r="224" spans="1:58" ht="31.5" outlineLevel="2" x14ac:dyDescent="0.25">
      <c r="A224" s="115"/>
      <c r="B224" s="200"/>
      <c r="C224" s="201"/>
      <c r="D224" s="344"/>
      <c r="E224" s="328"/>
      <c r="F224" s="328"/>
      <c r="G224" s="328"/>
      <c r="H224" s="199" t="s">
        <v>254</v>
      </c>
      <c r="I224" s="130"/>
      <c r="J224" s="126"/>
      <c r="K224" s="126"/>
      <c r="L224" s="125" t="str">
        <f>IF(I224&lt;&gt;0,((VLOOKUP(I224,'1. Standard_Cost'!$B$4:$D$11,2)+VLOOKUP(I224,'1. Standard_Cost'!$B$4:$D$11,3))*J224*K224),"0")</f>
        <v>0</v>
      </c>
      <c r="M224" s="125">
        <f>L224*'1. Standard_Cost'!$F$4</f>
        <v>0</v>
      </c>
      <c r="N224" s="126"/>
      <c r="O224" s="126"/>
      <c r="P224" s="126"/>
      <c r="Q224" s="126"/>
      <c r="R224" s="127">
        <f>'1. Standard_Cost'!$B$15*N224*P224</f>
        <v>0</v>
      </c>
      <c r="S224" s="127">
        <f>N224*O224*P224*'1. Standard_Cost'!$C$15</f>
        <v>0</v>
      </c>
      <c r="T224" s="127">
        <f>N224*P224*Q224*'1. Standard_Cost'!$D$15</f>
        <v>0</v>
      </c>
      <c r="U224" s="127">
        <f>N224*O224*'1. Standard_Cost'!$E$15</f>
        <v>0</v>
      </c>
      <c r="V224" s="126"/>
      <c r="W224" s="126"/>
      <c r="X224" s="126"/>
      <c r="Y224" s="127">
        <f>+V224*((X224*'1. Standard_Cost'!$B$19)+(W224*X224*'1. Standard_Cost'!$C$19))</f>
        <v>0</v>
      </c>
      <c r="Z224" s="126"/>
      <c r="AA224" s="126"/>
      <c r="AB224" s="127">
        <f>+Z224*'1. Standard_Cost'!$B$23+AA224*'1. Standard_Cost'!$C$23</f>
        <v>0</v>
      </c>
      <c r="AC224" s="128"/>
      <c r="AD224" s="129"/>
      <c r="AE224" s="127">
        <f>SUM(AD224,AC224,AB224,Y224,U224,T224,S224,R224)*'1. Standard_Cost'!$B$31</f>
        <v>0</v>
      </c>
      <c r="AF224" s="127">
        <f>SUM(AE224,AD224,AC224,AB224,Y224,U224,T224,S224,R224)</f>
        <v>0</v>
      </c>
      <c r="AG224" s="126"/>
      <c r="AH224" s="126"/>
      <c r="AI224" s="126"/>
      <c r="AJ224" s="130"/>
      <c r="AK224" s="130"/>
      <c r="AL224" s="130"/>
      <c r="AM224" s="127">
        <f>AG224*'1. Standard_Cost'!$B$27+'Incremental_Cost Year 2'!AH224*'1. Standard_Cost'!$C$27+'Incremental_Cost Year 2'!AI224*'1. Standard_Cost'!$D$27+'Incremental_Cost Year 2'!AJ224+'Incremental_Cost Year 2'!AL224+AK224</f>
        <v>0</v>
      </c>
      <c r="AN224" s="127">
        <f>AM224*'1. Standard_Cost'!$C$31</f>
        <v>0</v>
      </c>
      <c r="AO224" s="130"/>
      <c r="AQ224" s="171">
        <f>L224+M224</f>
        <v>0</v>
      </c>
      <c r="AR224" s="171">
        <f>AF224</f>
        <v>0</v>
      </c>
      <c r="AS224" s="171">
        <f>AM224+AN224</f>
        <v>0</v>
      </c>
      <c r="AT224" s="171">
        <f>SUM(AQ224,AR224,AS224)</f>
        <v>0</v>
      </c>
      <c r="AU224" s="250"/>
      <c r="AV224" s="250"/>
      <c r="AW224" s="250"/>
      <c r="AX224" s="250"/>
      <c r="AY224" s="250"/>
      <c r="AZ224" s="250"/>
      <c r="BA224" s="250"/>
      <c r="BB224" s="251">
        <f t="shared" si="158"/>
        <v>0</v>
      </c>
      <c r="BC224" s="169"/>
      <c r="BD224" s="169"/>
      <c r="BE224" s="169"/>
      <c r="BF224" s="169"/>
    </row>
    <row r="225" spans="1:58" ht="47.25" outlineLevel="1" x14ac:dyDescent="0.25">
      <c r="A225" s="115"/>
      <c r="B225" s="165"/>
      <c r="C225" s="166"/>
      <c r="D225" s="150" t="s">
        <v>240</v>
      </c>
      <c r="E225" s="212" t="s">
        <v>255</v>
      </c>
      <c r="F225" s="142">
        <v>2021</v>
      </c>
      <c r="G225" s="209">
        <v>2022</v>
      </c>
      <c r="H225" s="150" t="s">
        <v>256</v>
      </c>
      <c r="I225" s="252"/>
      <c r="J225" s="252"/>
      <c r="K225" s="252"/>
      <c r="L225" s="127">
        <f>SUM(L222:L224)</f>
        <v>34776000</v>
      </c>
      <c r="M225" s="127">
        <f>SUM(M222:M224)</f>
        <v>5807592</v>
      </c>
      <c r="N225" s="252"/>
      <c r="O225" s="252"/>
      <c r="P225" s="252"/>
      <c r="Q225" s="252"/>
      <c r="R225" s="127">
        <f>SUM(R222:R224)</f>
        <v>0</v>
      </c>
      <c r="S225" s="127">
        <f>SUM(S222:S224)</f>
        <v>0</v>
      </c>
      <c r="T225" s="127">
        <f>SUM(T222:T224)</f>
        <v>0</v>
      </c>
      <c r="U225" s="127">
        <f>SUM(U222:U224)</f>
        <v>0</v>
      </c>
      <c r="V225" s="252"/>
      <c r="W225" s="252"/>
      <c r="X225" s="252"/>
      <c r="Y225" s="127">
        <f>SUM(Y222:Y224)</f>
        <v>0</v>
      </c>
      <c r="Z225" s="127"/>
      <c r="AA225" s="252"/>
      <c r="AB225" s="127">
        <f>SUM(AB222:AB224)</f>
        <v>0</v>
      </c>
      <c r="AC225" s="127">
        <f>SUM(AC222:AC224)</f>
        <v>0</v>
      </c>
      <c r="AD225" s="127">
        <f>SUM(AD222:AD224)</f>
        <v>0</v>
      </c>
      <c r="AE225" s="127">
        <f>SUM(AE222:AE224)</f>
        <v>0</v>
      </c>
      <c r="AF225" s="127">
        <f>SUM(AF222:AF224)</f>
        <v>0</v>
      </c>
      <c r="AG225" s="252"/>
      <c r="AH225" s="252"/>
      <c r="AI225" s="252"/>
      <c r="AJ225" s="127">
        <f>SUM(AJ222:AJ224)</f>
        <v>0</v>
      </c>
      <c r="AK225" s="127">
        <f>SUM(AK222:AK224)</f>
        <v>0</v>
      </c>
      <c r="AL225" s="127">
        <f>SUM(AL222:AL224)</f>
        <v>0</v>
      </c>
      <c r="AM225" s="127">
        <f>SUM(AM222:AM224)</f>
        <v>0</v>
      </c>
      <c r="AN225" s="127">
        <f>SUM(AN222:AN224)</f>
        <v>0</v>
      </c>
      <c r="AO225" s="253"/>
      <c r="AP225" s="254"/>
      <c r="AQ225" s="175">
        <f>SUM(AQ222:AQ224)</f>
        <v>40583592</v>
      </c>
      <c r="AR225" s="175">
        <f>SUM(AR222:AR224)</f>
        <v>0</v>
      </c>
      <c r="AS225" s="175">
        <f>SUM(AS222:AS224)</f>
        <v>0</v>
      </c>
      <c r="AT225" s="175">
        <f>SUM(AT222:AT224)</f>
        <v>40583592</v>
      </c>
      <c r="AU225" s="175">
        <f t="shared" ref="AU225:BB225" si="159">SUM(AU222:AU224)</f>
        <v>40583592</v>
      </c>
      <c r="AV225" s="175">
        <f t="shared" si="159"/>
        <v>0</v>
      </c>
      <c r="AW225" s="175">
        <f t="shared" si="159"/>
        <v>0</v>
      </c>
      <c r="AX225" s="175">
        <f t="shared" si="159"/>
        <v>0</v>
      </c>
      <c r="AY225" s="175">
        <f t="shared" si="159"/>
        <v>0</v>
      </c>
      <c r="AZ225" s="175">
        <f t="shared" si="159"/>
        <v>0</v>
      </c>
      <c r="BA225" s="175">
        <f t="shared" si="159"/>
        <v>0</v>
      </c>
      <c r="BB225" s="175">
        <f t="shared" si="159"/>
        <v>0</v>
      </c>
      <c r="BC225" s="169"/>
      <c r="BD225" s="169"/>
      <c r="BE225" s="169"/>
      <c r="BF225" s="169"/>
    </row>
    <row r="226" spans="1:58" s="184" customFormat="1" ht="15.75" customHeight="1" x14ac:dyDescent="0.25">
      <c r="A226" s="143"/>
      <c r="B226" s="332"/>
      <c r="C226" s="397" t="s">
        <v>257</v>
      </c>
      <c r="D226" s="397"/>
      <c r="E226" s="398"/>
      <c r="F226" s="291"/>
      <c r="G226" s="340"/>
      <c r="H226" s="144" t="s">
        <v>301</v>
      </c>
      <c r="I226" s="257"/>
      <c r="J226" s="257"/>
      <c r="K226" s="257"/>
      <c r="L226" s="258">
        <f>SUM(L231)</f>
        <v>70644171.428571418</v>
      </c>
      <c r="M226" s="258">
        <f>SUM(M231)</f>
        <v>11797576.628571428</v>
      </c>
      <c r="N226" s="257"/>
      <c r="O226" s="257"/>
      <c r="P226" s="257"/>
      <c r="Q226" s="257"/>
      <c r="R226" s="258">
        <f>SUM(R231)</f>
        <v>0</v>
      </c>
      <c r="S226" s="258">
        <f>SUM(S231)</f>
        <v>0</v>
      </c>
      <c r="T226" s="258">
        <f>SUM(T231)</f>
        <v>0</v>
      </c>
      <c r="U226" s="258">
        <f>SUM(U231)</f>
        <v>0</v>
      </c>
      <c r="V226" s="257"/>
      <c r="W226" s="257"/>
      <c r="X226" s="257"/>
      <c r="Y226" s="258">
        <f>SUM(Y231)</f>
        <v>0</v>
      </c>
      <c r="Z226" s="258"/>
      <c r="AA226" s="258"/>
      <c r="AB226" s="258">
        <f>SUM(AB231)</f>
        <v>0</v>
      </c>
      <c r="AC226" s="258">
        <f>SUM(AC231)</f>
        <v>300000</v>
      </c>
      <c r="AD226" s="258">
        <f>SUM(AD231)</f>
        <v>0</v>
      </c>
      <c r="AE226" s="258">
        <f>SUM(AE231)</f>
        <v>60000</v>
      </c>
      <c r="AF226" s="258">
        <f>SUM(AF231)</f>
        <v>360000</v>
      </c>
      <c r="AG226" s="257"/>
      <c r="AH226" s="257"/>
      <c r="AI226" s="257"/>
      <c r="AJ226" s="258">
        <f>SUM(AJ231)</f>
        <v>0</v>
      </c>
      <c r="AK226" s="258">
        <f>SUM(AK231)</f>
        <v>0</v>
      </c>
      <c r="AL226" s="258">
        <f>SUM(AL231)</f>
        <v>0</v>
      </c>
      <c r="AM226" s="258">
        <f>SUM(AM231)</f>
        <v>0</v>
      </c>
      <c r="AN226" s="258">
        <f>SUM(AN231)</f>
        <v>0</v>
      </c>
      <c r="AO226" s="259"/>
      <c r="AP226" s="260"/>
      <c r="AQ226" s="261">
        <f>SUM(AQ231)</f>
        <v>82441748.057142854</v>
      </c>
      <c r="AR226" s="261">
        <f>SUM(AR231)</f>
        <v>360000</v>
      </c>
      <c r="AS226" s="261">
        <f>SUM(AS231)</f>
        <v>0</v>
      </c>
      <c r="AT226" s="261">
        <f>SUM(AT231)</f>
        <v>82801748.057142854</v>
      </c>
      <c r="AU226" s="261">
        <f t="shared" ref="AU226:BB226" si="160">SUM(AU231)</f>
        <v>82801748.057142854</v>
      </c>
      <c r="AV226" s="261">
        <f t="shared" si="160"/>
        <v>0</v>
      </c>
      <c r="AW226" s="261">
        <f t="shared" si="160"/>
        <v>0</v>
      </c>
      <c r="AX226" s="261">
        <f t="shared" si="160"/>
        <v>0</v>
      </c>
      <c r="AY226" s="261">
        <f t="shared" si="160"/>
        <v>0</v>
      </c>
      <c r="AZ226" s="261">
        <f t="shared" si="160"/>
        <v>0</v>
      </c>
      <c r="BA226" s="261">
        <f t="shared" si="160"/>
        <v>0</v>
      </c>
      <c r="BB226" s="261">
        <f t="shared" si="160"/>
        <v>0</v>
      </c>
    </row>
    <row r="227" spans="1:58" ht="47.25" outlineLevel="2" x14ac:dyDescent="0.25">
      <c r="A227" s="115"/>
      <c r="B227" s="200"/>
      <c r="C227" s="201"/>
      <c r="D227" s="210"/>
      <c r="E227" s="328"/>
      <c r="F227" s="328"/>
      <c r="G227" s="328"/>
      <c r="H227" s="199" t="s">
        <v>517</v>
      </c>
      <c r="I227" s="130" t="s">
        <v>1</v>
      </c>
      <c r="J227" s="126">
        <v>12</v>
      </c>
      <c r="K227" s="126">
        <v>72</v>
      </c>
      <c r="L227" s="125">
        <f>IF(I227&lt;&gt;0,((VLOOKUP(I227,'1. Standard_Cost'!$B$4:$D$11,2)+VLOOKUP(I227,'1. Standard_Cost'!$B$4:$D$11,3))*J227*K227),"0")</f>
        <v>62029028.571428567</v>
      </c>
      <c r="M227" s="125">
        <f>L227*'1. Standard_Cost'!$F$4</f>
        <v>10358847.771428572</v>
      </c>
      <c r="N227" s="126"/>
      <c r="O227" s="126"/>
      <c r="P227" s="126"/>
      <c r="Q227" s="126"/>
      <c r="R227" s="127">
        <f>'1. Standard_Cost'!$B$15*N227*P227</f>
        <v>0</v>
      </c>
      <c r="S227" s="127">
        <f>N227*O227*P227*'1. Standard_Cost'!$C$15</f>
        <v>0</v>
      </c>
      <c r="T227" s="127">
        <f>N227*P227*Q227*'1. Standard_Cost'!$D$15</f>
        <v>0</v>
      </c>
      <c r="U227" s="127">
        <f>N227*O227*'1. Standard_Cost'!$E$15</f>
        <v>0</v>
      </c>
      <c r="V227" s="126"/>
      <c r="W227" s="126"/>
      <c r="X227" s="126"/>
      <c r="Y227" s="127">
        <f>+V227*((X227*'1. Standard_Cost'!$B$19)+(W227*X227*'1. Standard_Cost'!$C$19))</f>
        <v>0</v>
      </c>
      <c r="Z227" s="126"/>
      <c r="AA227" s="126"/>
      <c r="AB227" s="127">
        <f>+Z227*'1. Standard_Cost'!$B$23+AA227*'1. Standard_Cost'!$C$23</f>
        <v>0</v>
      </c>
      <c r="AC227" s="128"/>
      <c r="AD227" s="129"/>
      <c r="AE227" s="127">
        <f>SUM(AD227,AC227,AB227,Y227,U227,T227,S227,R227)*'1. Standard_Cost'!$B$31</f>
        <v>0</v>
      </c>
      <c r="AF227" s="127">
        <f>SUM(AE227,AD227,AC227,AB227,Y227,U227,T227,S227,R227)</f>
        <v>0</v>
      </c>
      <c r="AG227" s="126"/>
      <c r="AH227" s="126"/>
      <c r="AI227" s="126"/>
      <c r="AJ227" s="130"/>
      <c r="AK227" s="130"/>
      <c r="AL227" s="130"/>
      <c r="AM227" s="127">
        <f>AG227*'1. Standard_Cost'!$B$27+'Incremental_Cost Year 2'!AH227*'1. Standard_Cost'!$C$27+'Incremental_Cost Year 2'!AI227*'1. Standard_Cost'!$D$27+'Incremental_Cost Year 2'!AJ227+'Incremental_Cost Year 2'!AL227+AK227</f>
        <v>0</v>
      </c>
      <c r="AN227" s="127">
        <f>AM227*'1. Standard_Cost'!$C$31</f>
        <v>0</v>
      </c>
      <c r="AO227" s="130"/>
      <c r="AQ227" s="171">
        <f>L227+M227</f>
        <v>72387876.342857137</v>
      </c>
      <c r="AR227" s="171">
        <f>AF227</f>
        <v>0</v>
      </c>
      <c r="AS227" s="171">
        <f>AM227+AN227</f>
        <v>0</v>
      </c>
      <c r="AT227" s="171">
        <f>SUM(AQ227,AR227,AS227)</f>
        <v>72387876.342857137</v>
      </c>
      <c r="AU227" s="250">
        <f>AT227</f>
        <v>72387876.342857137</v>
      </c>
      <c r="AV227" s="250"/>
      <c r="AW227" s="250"/>
      <c r="AX227" s="250"/>
      <c r="AY227" s="250"/>
      <c r="AZ227" s="250"/>
      <c r="BA227" s="250"/>
      <c r="BB227" s="251">
        <f t="shared" ref="BB227:BB230" si="161">SUM(AU227:BA227)-AT227</f>
        <v>0</v>
      </c>
      <c r="BC227" s="169"/>
      <c r="BD227" s="169"/>
      <c r="BE227" s="169"/>
      <c r="BF227" s="169"/>
    </row>
    <row r="228" spans="1:58" ht="94.5" outlineLevel="2" x14ac:dyDescent="0.25">
      <c r="A228" s="115"/>
      <c r="B228" s="200"/>
      <c r="C228" s="201"/>
      <c r="D228" s="203"/>
      <c r="E228" s="328"/>
      <c r="F228" s="328"/>
      <c r="G228" s="328"/>
      <c r="H228" s="199" t="s">
        <v>518</v>
      </c>
      <c r="I228" s="130" t="s">
        <v>1</v>
      </c>
      <c r="J228" s="126">
        <v>12</v>
      </c>
      <c r="K228" s="126">
        <v>10</v>
      </c>
      <c r="L228" s="125">
        <f>IF(I228&lt;&gt;0,((VLOOKUP(I228,'1. Standard_Cost'!$B$4:$D$11,2)+VLOOKUP(I228,'1. Standard_Cost'!$B$4:$D$11,3))*J228*K228),"0")</f>
        <v>8615142.8571428563</v>
      </c>
      <c r="M228" s="125">
        <f>L228*'1. Standard_Cost'!$F$4</f>
        <v>1438728.857142857</v>
      </c>
      <c r="N228" s="126"/>
      <c r="O228" s="126"/>
      <c r="P228" s="126"/>
      <c r="Q228" s="126"/>
      <c r="R228" s="127">
        <f>'1. Standard_Cost'!$B$15*N228*P228</f>
        <v>0</v>
      </c>
      <c r="S228" s="127">
        <f>N228*O228*P228*'1. Standard_Cost'!$C$15</f>
        <v>0</v>
      </c>
      <c r="T228" s="127">
        <f>N228*P228*Q228*'1. Standard_Cost'!$D$15</f>
        <v>0</v>
      </c>
      <c r="U228" s="127">
        <f>N228*O228*'1. Standard_Cost'!$E$15</f>
        <v>0</v>
      </c>
      <c r="V228" s="126"/>
      <c r="W228" s="126"/>
      <c r="X228" s="126"/>
      <c r="Y228" s="127">
        <f>+V228*((X228*'1. Standard_Cost'!$B$19)+(W228*X228*'1. Standard_Cost'!$C$19))</f>
        <v>0</v>
      </c>
      <c r="Z228" s="126"/>
      <c r="AA228" s="126"/>
      <c r="AB228" s="127">
        <f>+Z228*'1. Standard_Cost'!$B$23+AA228*'1. Standard_Cost'!$C$23</f>
        <v>0</v>
      </c>
      <c r="AC228" s="128">
        <f>300000</f>
        <v>300000</v>
      </c>
      <c r="AD228" s="129"/>
      <c r="AE228" s="127">
        <f>SUM(AD228,AC228,AB228,Y228,U228,T228,S228,R228)*'1. Standard_Cost'!$B$31</f>
        <v>60000</v>
      </c>
      <c r="AF228" s="127">
        <f>SUM(AE228,AD228,AC228,AB228,Y228,U228,T228,S228,R228)</f>
        <v>360000</v>
      </c>
      <c r="AG228" s="126"/>
      <c r="AH228" s="126"/>
      <c r="AI228" s="126"/>
      <c r="AJ228" s="130"/>
      <c r="AK228" s="130"/>
      <c r="AL228" s="130"/>
      <c r="AM228" s="127">
        <f>AG228*'1. Standard_Cost'!$B$27+'Incremental_Cost Year 2'!AH228*'1. Standard_Cost'!$C$27+'Incremental_Cost Year 2'!AI228*'1. Standard_Cost'!$D$27+'Incremental_Cost Year 2'!AJ228+'Incremental_Cost Year 2'!AL228+AK228</f>
        <v>0</v>
      </c>
      <c r="AN228" s="127">
        <f>AM228*'1. Standard_Cost'!$C$31</f>
        <v>0</v>
      </c>
      <c r="AO228" s="130"/>
      <c r="AQ228" s="171">
        <f>L228+M228</f>
        <v>10053871.714285713</v>
      </c>
      <c r="AR228" s="171">
        <f>AF228</f>
        <v>360000</v>
      </c>
      <c r="AS228" s="171">
        <f>AM228+AN228</f>
        <v>0</v>
      </c>
      <c r="AT228" s="171">
        <f>SUM(AQ228,AR228,AS228)</f>
        <v>10413871.714285713</v>
      </c>
      <c r="AU228" s="250">
        <f>AT228</f>
        <v>10413871.714285713</v>
      </c>
      <c r="AV228" s="250"/>
      <c r="AW228" s="250"/>
      <c r="AX228" s="250"/>
      <c r="AY228" s="250"/>
      <c r="AZ228" s="250"/>
      <c r="BA228" s="250"/>
      <c r="BB228" s="251">
        <f t="shared" si="161"/>
        <v>0</v>
      </c>
      <c r="BC228" s="169"/>
      <c r="BD228" s="169"/>
      <c r="BE228" s="169"/>
      <c r="BF228" s="169"/>
    </row>
    <row r="229" spans="1:58" ht="110.25" outlineLevel="2" x14ac:dyDescent="0.25">
      <c r="A229" s="115"/>
      <c r="B229" s="200"/>
      <c r="C229" s="201"/>
      <c r="D229" s="203"/>
      <c r="E229" s="328"/>
      <c r="F229" s="328"/>
      <c r="G229" s="328"/>
      <c r="H229" s="199" t="s">
        <v>519</v>
      </c>
      <c r="I229" s="130"/>
      <c r="J229" s="126"/>
      <c r="K229" s="126"/>
      <c r="L229" s="125" t="str">
        <f>IF(I229&lt;&gt;0,((VLOOKUP(I229,'1. Standard_Cost'!$B$4:$D$11,2)+VLOOKUP(I229,'1. Standard_Cost'!$B$4:$D$11,3))*J229*K229),"0")</f>
        <v>0</v>
      </c>
      <c r="M229" s="125">
        <f>L229*'1. Standard_Cost'!$F$4</f>
        <v>0</v>
      </c>
      <c r="N229" s="126"/>
      <c r="O229" s="126"/>
      <c r="P229" s="126"/>
      <c r="Q229" s="126"/>
      <c r="R229" s="127">
        <f>'1. Standard_Cost'!$B$15*N229*P229</f>
        <v>0</v>
      </c>
      <c r="S229" s="127">
        <f>N229*O229*P229*'1. Standard_Cost'!$C$15</f>
        <v>0</v>
      </c>
      <c r="T229" s="127">
        <f>N229*P229*Q229*'1. Standard_Cost'!$D$15</f>
        <v>0</v>
      </c>
      <c r="U229" s="127">
        <f>N229*O229*'1. Standard_Cost'!$E$15</f>
        <v>0</v>
      </c>
      <c r="V229" s="126"/>
      <c r="W229" s="126"/>
      <c r="X229" s="126"/>
      <c r="Y229" s="127">
        <f>+V229*((X229*'1. Standard_Cost'!$B$19)+(W229*X229*'1. Standard_Cost'!$C$19))</f>
        <v>0</v>
      </c>
      <c r="Z229" s="126"/>
      <c r="AA229" s="126"/>
      <c r="AB229" s="127">
        <f>+Z229*'1. Standard_Cost'!$B$23+AA229*'1. Standard_Cost'!$C$23</f>
        <v>0</v>
      </c>
      <c r="AC229" s="128"/>
      <c r="AD229" s="129"/>
      <c r="AE229" s="127">
        <f>SUM(AD229,AC229,AB229,Y229,U229,T229,S229,R229)*'1. Standard_Cost'!$B$31</f>
        <v>0</v>
      </c>
      <c r="AF229" s="127">
        <f>SUM(AE229,AD229,AC229,AB229,Y229,U229,T229,S229,R229)</f>
        <v>0</v>
      </c>
      <c r="AG229" s="126"/>
      <c r="AH229" s="126"/>
      <c r="AI229" s="126"/>
      <c r="AJ229" s="130"/>
      <c r="AK229" s="130"/>
      <c r="AL229" s="130"/>
      <c r="AM229" s="127">
        <f>AG229*'1. Standard_Cost'!$B$27+'Incremental_Cost Year 2'!AH229*'1. Standard_Cost'!$C$27+'Incremental_Cost Year 2'!AI229*'1. Standard_Cost'!$D$27+'Incremental_Cost Year 2'!AJ229+'Incremental_Cost Year 2'!AL229+AK229</f>
        <v>0</v>
      </c>
      <c r="AN229" s="127">
        <f>AM229*'1. Standard_Cost'!$C$31</f>
        <v>0</v>
      </c>
      <c r="AO229" s="130"/>
      <c r="AQ229" s="171">
        <f>L229+M229</f>
        <v>0</v>
      </c>
      <c r="AR229" s="171">
        <f>AF229</f>
        <v>0</v>
      </c>
      <c r="AS229" s="171">
        <f>AM229+AN229</f>
        <v>0</v>
      </c>
      <c r="AT229" s="171">
        <f>SUM(AQ229,AR229,AS229)</f>
        <v>0</v>
      </c>
      <c r="AU229" s="250"/>
      <c r="AV229" s="250"/>
      <c r="AW229" s="250"/>
      <c r="AX229" s="250"/>
      <c r="AY229" s="250"/>
      <c r="AZ229" s="250"/>
      <c r="BA229" s="250"/>
      <c r="BB229" s="251">
        <f t="shared" si="161"/>
        <v>0</v>
      </c>
      <c r="BC229" s="169"/>
      <c r="BD229" s="169"/>
      <c r="BE229" s="169"/>
      <c r="BF229" s="169"/>
    </row>
    <row r="230" spans="1:58" ht="110.25" outlineLevel="2" x14ac:dyDescent="0.25">
      <c r="A230" s="115"/>
      <c r="B230" s="200"/>
      <c r="C230" s="201"/>
      <c r="D230" s="133"/>
      <c r="E230" s="328"/>
      <c r="F230" s="328"/>
      <c r="G230" s="328"/>
      <c r="H230" s="199" t="s">
        <v>520</v>
      </c>
      <c r="I230" s="130"/>
      <c r="J230" s="126"/>
      <c r="K230" s="126"/>
      <c r="L230" s="125" t="str">
        <f>IF(I230&lt;&gt;0,((VLOOKUP(I230,'1. Standard_Cost'!$B$4:$D$11,2)+VLOOKUP(I230,'1. Standard_Cost'!$B$4:$D$11,3))*J230*K230),"0")</f>
        <v>0</v>
      </c>
      <c r="M230" s="125">
        <f>L230*'1. Standard_Cost'!$F$4</f>
        <v>0</v>
      </c>
      <c r="N230" s="126"/>
      <c r="O230" s="126"/>
      <c r="P230" s="126"/>
      <c r="Q230" s="126"/>
      <c r="R230" s="127">
        <f>'1. Standard_Cost'!$B$15*N230*P230</f>
        <v>0</v>
      </c>
      <c r="S230" s="127">
        <f>N230*O230*P230*'1. Standard_Cost'!$C$15</f>
        <v>0</v>
      </c>
      <c r="T230" s="127">
        <f>N230*P230*Q230*'1. Standard_Cost'!$D$15</f>
        <v>0</v>
      </c>
      <c r="U230" s="127">
        <f>N230*O230*'1. Standard_Cost'!$E$15</f>
        <v>0</v>
      </c>
      <c r="V230" s="126"/>
      <c r="W230" s="126"/>
      <c r="X230" s="126"/>
      <c r="Y230" s="127">
        <f>+V230*((X230*'1. Standard_Cost'!$B$19)+(W230*X230*'1. Standard_Cost'!$C$19))</f>
        <v>0</v>
      </c>
      <c r="Z230" s="126"/>
      <c r="AA230" s="126"/>
      <c r="AB230" s="127">
        <f>+Z230*'1. Standard_Cost'!$B$23+AA230*'1. Standard_Cost'!$C$23</f>
        <v>0</v>
      </c>
      <c r="AC230" s="128"/>
      <c r="AD230" s="129"/>
      <c r="AE230" s="127">
        <f>SUM(AD230,AC230,AB230,Y230,U230,T230,S230,R230)*'1. Standard_Cost'!$B$31</f>
        <v>0</v>
      </c>
      <c r="AF230" s="127">
        <f>SUM(AE230,AD230,AC230,AB230,Y230,U230,T230,S230,R230)</f>
        <v>0</v>
      </c>
      <c r="AG230" s="126"/>
      <c r="AH230" s="126"/>
      <c r="AI230" s="126"/>
      <c r="AJ230" s="130"/>
      <c r="AK230" s="130"/>
      <c r="AL230" s="130"/>
      <c r="AM230" s="127">
        <f>AG230*'1. Standard_Cost'!$B$27+'Incremental_Cost Year 2'!AH230*'1. Standard_Cost'!$C$27+'Incremental_Cost Year 2'!AI230*'1. Standard_Cost'!$D$27+'Incremental_Cost Year 2'!AJ230+'Incremental_Cost Year 2'!AL230+AK230</f>
        <v>0</v>
      </c>
      <c r="AN230" s="127">
        <f>AM230*'1. Standard_Cost'!$C$31</f>
        <v>0</v>
      </c>
      <c r="AO230" s="130"/>
      <c r="AQ230" s="171">
        <f>L230+M230</f>
        <v>0</v>
      </c>
      <c r="AR230" s="171">
        <f>AF230</f>
        <v>0</v>
      </c>
      <c r="AS230" s="171">
        <f>AM230+AN230</f>
        <v>0</v>
      </c>
      <c r="AT230" s="171">
        <f>SUM(AQ230,AR230,AS230)</f>
        <v>0</v>
      </c>
      <c r="AU230" s="250"/>
      <c r="AV230" s="250"/>
      <c r="AW230" s="250"/>
      <c r="AX230" s="250"/>
      <c r="AY230" s="250"/>
      <c r="AZ230" s="250"/>
      <c r="BA230" s="250"/>
      <c r="BB230" s="251">
        <f t="shared" si="161"/>
        <v>0</v>
      </c>
      <c r="BC230" s="169"/>
      <c r="BD230" s="169"/>
      <c r="BE230" s="169"/>
      <c r="BF230" s="169"/>
    </row>
    <row r="231" spans="1:58" ht="63" outlineLevel="1" x14ac:dyDescent="0.25">
      <c r="A231" s="115"/>
      <c r="B231" s="165"/>
      <c r="C231" s="166"/>
      <c r="D231" s="107" t="s">
        <v>507</v>
      </c>
      <c r="E231" s="212" t="s">
        <v>259</v>
      </c>
      <c r="F231" s="142">
        <v>2021</v>
      </c>
      <c r="G231" s="209">
        <v>2025</v>
      </c>
      <c r="H231" s="150" t="s">
        <v>260</v>
      </c>
      <c r="I231" s="252"/>
      <c r="J231" s="252"/>
      <c r="K231" s="252"/>
      <c r="L231" s="127">
        <f>SUM(L227:L230)</f>
        <v>70644171.428571418</v>
      </c>
      <c r="M231" s="127">
        <f>SUM(M227:M230)</f>
        <v>11797576.628571428</v>
      </c>
      <c r="N231" s="252"/>
      <c r="O231" s="252"/>
      <c r="P231" s="252"/>
      <c r="Q231" s="252"/>
      <c r="R231" s="127">
        <f>SUM(R227:R230)</f>
        <v>0</v>
      </c>
      <c r="S231" s="127">
        <f>SUM(S227:S230)</f>
        <v>0</v>
      </c>
      <c r="T231" s="127">
        <f>SUM(T227:T230)</f>
        <v>0</v>
      </c>
      <c r="U231" s="127">
        <f>SUM(U227:U230)</f>
        <v>0</v>
      </c>
      <c r="V231" s="252"/>
      <c r="W231" s="252"/>
      <c r="X231" s="252"/>
      <c r="Y231" s="127">
        <f>SUM(Y227:Y230)</f>
        <v>0</v>
      </c>
      <c r="Z231" s="127"/>
      <c r="AA231" s="252"/>
      <c r="AB231" s="127">
        <f>SUM(AB227:AB230)</f>
        <v>0</v>
      </c>
      <c r="AC231" s="127">
        <f>SUM(AC227:AC230)</f>
        <v>300000</v>
      </c>
      <c r="AD231" s="127">
        <f>SUM(AD227:AD230)</f>
        <v>0</v>
      </c>
      <c r="AE231" s="127">
        <f>SUM(AE227:AE230)</f>
        <v>60000</v>
      </c>
      <c r="AF231" s="127">
        <f>SUM(AF227:AF230)</f>
        <v>360000</v>
      </c>
      <c r="AG231" s="252"/>
      <c r="AH231" s="252"/>
      <c r="AI231" s="252"/>
      <c r="AJ231" s="127">
        <f>SUM(AJ227:AJ230)</f>
        <v>0</v>
      </c>
      <c r="AK231" s="127">
        <f>SUM(AK227:AK230)</f>
        <v>0</v>
      </c>
      <c r="AL231" s="127">
        <f>SUM(AL227:AL230)</f>
        <v>0</v>
      </c>
      <c r="AM231" s="127">
        <f>SUM(AM227:AM230)</f>
        <v>0</v>
      </c>
      <c r="AN231" s="127">
        <f>SUM(AN227:AN230)</f>
        <v>0</v>
      </c>
      <c r="AO231" s="253"/>
      <c r="AP231" s="254"/>
      <c r="AQ231" s="175">
        <f>SUM(AQ227:AQ230)</f>
        <v>82441748.057142854</v>
      </c>
      <c r="AR231" s="175">
        <f>SUM(AR227:AR230)</f>
        <v>360000</v>
      </c>
      <c r="AS231" s="175">
        <f>SUM(AS227:AS230)</f>
        <v>0</v>
      </c>
      <c r="AT231" s="175">
        <f>SUM(AT227:AT230)</f>
        <v>82801748.057142854</v>
      </c>
      <c r="AU231" s="175">
        <f t="shared" ref="AU231:BB231" si="162">SUM(AU227:AU230)</f>
        <v>82801748.057142854</v>
      </c>
      <c r="AV231" s="175">
        <f t="shared" si="162"/>
        <v>0</v>
      </c>
      <c r="AW231" s="175">
        <f t="shared" si="162"/>
        <v>0</v>
      </c>
      <c r="AX231" s="175">
        <f t="shared" si="162"/>
        <v>0</v>
      </c>
      <c r="AY231" s="175">
        <f t="shared" si="162"/>
        <v>0</v>
      </c>
      <c r="AZ231" s="175">
        <f t="shared" si="162"/>
        <v>0</v>
      </c>
      <c r="BA231" s="175">
        <f t="shared" si="162"/>
        <v>0</v>
      </c>
      <c r="BB231" s="175">
        <f t="shared" si="162"/>
        <v>0</v>
      </c>
      <c r="BC231" s="169"/>
      <c r="BD231" s="169"/>
      <c r="BE231" s="169"/>
      <c r="BF231" s="169"/>
    </row>
    <row r="232" spans="1:58" s="184" customFormat="1" ht="15.75" customHeight="1" x14ac:dyDescent="0.25">
      <c r="A232" s="143"/>
      <c r="B232" s="332"/>
      <c r="C232" s="397" t="s">
        <v>261</v>
      </c>
      <c r="D232" s="397"/>
      <c r="E232" s="398"/>
      <c r="F232" s="291"/>
      <c r="G232" s="340"/>
      <c r="H232" s="144" t="s">
        <v>302</v>
      </c>
      <c r="I232" s="257"/>
      <c r="J232" s="257"/>
      <c r="K232" s="257"/>
      <c r="L232" s="258">
        <f>SUM(L237)</f>
        <v>0</v>
      </c>
      <c r="M232" s="258">
        <f>SUM(M237)</f>
        <v>0</v>
      </c>
      <c r="N232" s="257"/>
      <c r="O232" s="257"/>
      <c r="P232" s="257"/>
      <c r="Q232" s="257"/>
      <c r="R232" s="258">
        <f>SUM(R237)</f>
        <v>0</v>
      </c>
      <c r="S232" s="258">
        <f>SUM(S237)</f>
        <v>0</v>
      </c>
      <c r="T232" s="258">
        <f>SUM(T237)</f>
        <v>0</v>
      </c>
      <c r="U232" s="258">
        <f>SUM(U237)</f>
        <v>0</v>
      </c>
      <c r="V232" s="257"/>
      <c r="W232" s="257"/>
      <c r="X232" s="257"/>
      <c r="Y232" s="258">
        <f>SUM(Y237)</f>
        <v>0</v>
      </c>
      <c r="Z232" s="258"/>
      <c r="AA232" s="258"/>
      <c r="AB232" s="258">
        <f>SUM(AB237)</f>
        <v>0</v>
      </c>
      <c r="AC232" s="258">
        <f>SUM(AC237)</f>
        <v>0</v>
      </c>
      <c r="AD232" s="258">
        <f>SUM(AD237)</f>
        <v>0</v>
      </c>
      <c r="AE232" s="258">
        <f>SUM(AE237)</f>
        <v>0</v>
      </c>
      <c r="AF232" s="258">
        <f>SUM(AF237)</f>
        <v>0</v>
      </c>
      <c r="AG232" s="257"/>
      <c r="AH232" s="257"/>
      <c r="AI232" s="257"/>
      <c r="AJ232" s="258">
        <f>SUM(AJ237)</f>
        <v>0</v>
      </c>
      <c r="AK232" s="258">
        <f>SUM(AK237)</f>
        <v>0</v>
      </c>
      <c r="AL232" s="258">
        <f>SUM(AL237)</f>
        <v>0</v>
      </c>
      <c r="AM232" s="258">
        <f>SUM(AM237)</f>
        <v>0</v>
      </c>
      <c r="AN232" s="258">
        <f>SUM(AN237)</f>
        <v>0</v>
      </c>
      <c r="AO232" s="259"/>
      <c r="AP232" s="260"/>
      <c r="AQ232" s="261">
        <f>SUM(AQ237)</f>
        <v>0</v>
      </c>
      <c r="AR232" s="261">
        <f>SUM(AR237)</f>
        <v>0</v>
      </c>
      <c r="AS232" s="261">
        <f>SUM(AS237)</f>
        <v>0</v>
      </c>
      <c r="AT232" s="261">
        <f>SUM(AT237)</f>
        <v>0</v>
      </c>
      <c r="AU232" s="261">
        <f t="shared" ref="AU232:BB232" si="163">SUM(AU237)</f>
        <v>0</v>
      </c>
      <c r="AV232" s="261">
        <f t="shared" si="163"/>
        <v>0</v>
      </c>
      <c r="AW232" s="261">
        <f t="shared" si="163"/>
        <v>0</v>
      </c>
      <c r="AX232" s="261">
        <f t="shared" si="163"/>
        <v>0</v>
      </c>
      <c r="AY232" s="261">
        <f t="shared" si="163"/>
        <v>0</v>
      </c>
      <c r="AZ232" s="261">
        <f t="shared" si="163"/>
        <v>0</v>
      </c>
      <c r="BA232" s="261">
        <f t="shared" si="163"/>
        <v>0</v>
      </c>
      <c r="BB232" s="261">
        <f t="shared" si="163"/>
        <v>0</v>
      </c>
    </row>
    <row r="233" spans="1:58" ht="78.75" outlineLevel="2" x14ac:dyDescent="0.25">
      <c r="A233" s="115"/>
      <c r="B233" s="200"/>
      <c r="C233" s="201"/>
      <c r="D233" s="342"/>
      <c r="E233" s="328"/>
      <c r="F233" s="328"/>
      <c r="G233" s="328"/>
      <c r="H233" s="213" t="s">
        <v>521</v>
      </c>
      <c r="I233" s="130"/>
      <c r="J233" s="126"/>
      <c r="K233" s="126"/>
      <c r="L233" s="125" t="str">
        <f>IF(I233&lt;&gt;0,((VLOOKUP(I233,'1. Standard_Cost'!$B$4:$D$11,2)+VLOOKUP(I233,'1. Standard_Cost'!$B$4:$D$11,3))*J233*K233),"0")</f>
        <v>0</v>
      </c>
      <c r="M233" s="125">
        <f>L233*'1. Standard_Cost'!$F$4</f>
        <v>0</v>
      </c>
      <c r="N233" s="126"/>
      <c r="O233" s="126"/>
      <c r="P233" s="126"/>
      <c r="Q233" s="126"/>
      <c r="R233" s="127">
        <f>'1. Standard_Cost'!$B$15*N233*P233</f>
        <v>0</v>
      </c>
      <c r="S233" s="127">
        <f>N233*O233*P233*'1. Standard_Cost'!$C$15</f>
        <v>0</v>
      </c>
      <c r="T233" s="127">
        <f>N233*P233*Q233*'1. Standard_Cost'!$D$15</f>
        <v>0</v>
      </c>
      <c r="U233" s="127">
        <f>N233*O233*'1. Standard_Cost'!$E$15</f>
        <v>0</v>
      </c>
      <c r="V233" s="126"/>
      <c r="W233" s="126"/>
      <c r="X233" s="126"/>
      <c r="Y233" s="127">
        <f>+V233*((X233*'1. Standard_Cost'!$B$19)+(W233*X233*'1. Standard_Cost'!$C$19))</f>
        <v>0</v>
      </c>
      <c r="Z233" s="126"/>
      <c r="AA233" s="126"/>
      <c r="AB233" s="127">
        <f>+Z233*'1. Standard_Cost'!$B$23+AA233*'1. Standard_Cost'!$C$23</f>
        <v>0</v>
      </c>
      <c r="AC233" s="128"/>
      <c r="AD233" s="129"/>
      <c r="AE233" s="127">
        <f>SUM(AD233,AC233,AB233,Y233,U233,T233,S233,R233)*'1. Standard_Cost'!$B$31</f>
        <v>0</v>
      </c>
      <c r="AF233" s="127">
        <f>SUM(AE233,AD233,AC233,AB233,Y233,U233,T233,S233,R233)</f>
        <v>0</v>
      </c>
      <c r="AG233" s="126"/>
      <c r="AH233" s="126"/>
      <c r="AI233" s="126"/>
      <c r="AJ233" s="130"/>
      <c r="AK233" s="130"/>
      <c r="AL233" s="130"/>
      <c r="AM233" s="127">
        <f>AG233*'1. Standard_Cost'!$B$27+'Incremental_Cost Year 2'!AH233*'1. Standard_Cost'!$C$27+'Incremental_Cost Year 2'!AI233*'1. Standard_Cost'!$D$27+'Incremental_Cost Year 2'!AJ233+'Incremental_Cost Year 2'!AL233+AK233</f>
        <v>0</v>
      </c>
      <c r="AN233" s="127">
        <f>AM233*'1. Standard_Cost'!$C$31</f>
        <v>0</v>
      </c>
      <c r="AO233" s="130"/>
      <c r="AQ233" s="171">
        <f>L233+M233</f>
        <v>0</v>
      </c>
      <c r="AR233" s="171">
        <f>AF233</f>
        <v>0</v>
      </c>
      <c r="AS233" s="171">
        <f>AM233+AN233</f>
        <v>0</v>
      </c>
      <c r="AT233" s="171">
        <f>SUM(AQ233,AR233,AS233)</f>
        <v>0</v>
      </c>
      <c r="AU233" s="250"/>
      <c r="AV233" s="250"/>
      <c r="AW233" s="250"/>
      <c r="AX233" s="250"/>
      <c r="AY233" s="250"/>
      <c r="AZ233" s="250"/>
      <c r="BA233" s="250"/>
      <c r="BB233" s="251">
        <f t="shared" ref="BB233:BB236" si="164">SUM(AU233:BA233)-AT233</f>
        <v>0</v>
      </c>
      <c r="BC233" s="169"/>
      <c r="BD233" s="169"/>
      <c r="BE233" s="169"/>
      <c r="BF233" s="169"/>
    </row>
    <row r="234" spans="1:58" ht="94.5" outlineLevel="2" x14ac:dyDescent="0.25">
      <c r="A234" s="115"/>
      <c r="B234" s="200"/>
      <c r="C234" s="201"/>
      <c r="D234" s="343"/>
      <c r="E234" s="328"/>
      <c r="F234" s="328"/>
      <c r="G234" s="328"/>
      <c r="H234" s="199" t="s">
        <v>522</v>
      </c>
      <c r="I234" s="130"/>
      <c r="J234" s="126"/>
      <c r="K234" s="126"/>
      <c r="L234" s="125" t="str">
        <f>IF(I234&lt;&gt;0,((VLOOKUP(I234,'1. Standard_Cost'!$B$4:$D$11,2)+VLOOKUP(I234,'1. Standard_Cost'!$B$4:$D$11,3))*J234*K234),"0")</f>
        <v>0</v>
      </c>
      <c r="M234" s="125">
        <f>L234*'1. Standard_Cost'!$F$4</f>
        <v>0</v>
      </c>
      <c r="N234" s="126"/>
      <c r="O234" s="126"/>
      <c r="P234" s="126"/>
      <c r="Q234" s="126"/>
      <c r="R234" s="127">
        <f>'1. Standard_Cost'!$B$15*N234*P234</f>
        <v>0</v>
      </c>
      <c r="S234" s="127">
        <f>N234*O234*P234*'1. Standard_Cost'!$C$15</f>
        <v>0</v>
      </c>
      <c r="T234" s="127">
        <f>N234*P234*Q234*'1. Standard_Cost'!$D$15</f>
        <v>0</v>
      </c>
      <c r="U234" s="127">
        <f>N234*O234*'1. Standard_Cost'!$E$15</f>
        <v>0</v>
      </c>
      <c r="V234" s="126"/>
      <c r="W234" s="126"/>
      <c r="X234" s="126"/>
      <c r="Y234" s="127">
        <f>+V234*((X234*'1. Standard_Cost'!$B$19)+(W234*X234*'1. Standard_Cost'!$C$19))</f>
        <v>0</v>
      </c>
      <c r="Z234" s="126"/>
      <c r="AA234" s="126"/>
      <c r="AB234" s="127">
        <f>+Z234*'1. Standard_Cost'!$B$23+AA234*'1. Standard_Cost'!$C$23</f>
        <v>0</v>
      </c>
      <c r="AC234" s="128"/>
      <c r="AD234" s="129"/>
      <c r="AE234" s="127">
        <f>SUM(AD234,AC234,AB234,Y234,U234,T234,S234,R234)*'1. Standard_Cost'!$B$31</f>
        <v>0</v>
      </c>
      <c r="AF234" s="127">
        <f>SUM(AE234,AD234,AC234,AB234,Y234,U234,T234,S234,R234)</f>
        <v>0</v>
      </c>
      <c r="AG234" s="126"/>
      <c r="AH234" s="126"/>
      <c r="AI234" s="126"/>
      <c r="AJ234" s="130"/>
      <c r="AK234" s="130"/>
      <c r="AL234" s="130"/>
      <c r="AM234" s="127">
        <f>AG234*'1. Standard_Cost'!$B$27+'Incremental_Cost Year 2'!AH234*'1. Standard_Cost'!$C$27+'Incremental_Cost Year 2'!AI234*'1. Standard_Cost'!$D$27+'Incremental_Cost Year 2'!AJ234+'Incremental_Cost Year 2'!AL234+AK234</f>
        <v>0</v>
      </c>
      <c r="AN234" s="127">
        <f>AM234*'1. Standard_Cost'!$C$31</f>
        <v>0</v>
      </c>
      <c r="AO234" s="130"/>
      <c r="AQ234" s="171">
        <f>L234+M234</f>
        <v>0</v>
      </c>
      <c r="AR234" s="171">
        <f>AF234</f>
        <v>0</v>
      </c>
      <c r="AS234" s="171">
        <f>AM234+AN234</f>
        <v>0</v>
      </c>
      <c r="AT234" s="171">
        <f>SUM(AQ234,AR234,AS234)</f>
        <v>0</v>
      </c>
      <c r="AU234" s="250"/>
      <c r="AV234" s="250"/>
      <c r="AW234" s="250"/>
      <c r="AX234" s="250"/>
      <c r="AY234" s="250"/>
      <c r="AZ234" s="250"/>
      <c r="BA234" s="250"/>
      <c r="BB234" s="251">
        <f t="shared" si="164"/>
        <v>0</v>
      </c>
      <c r="BC234" s="169"/>
      <c r="BD234" s="169"/>
      <c r="BE234" s="169"/>
      <c r="BF234" s="169"/>
    </row>
    <row r="235" spans="1:58" ht="94.5" outlineLevel="2" x14ac:dyDescent="0.25">
      <c r="A235" s="115"/>
      <c r="B235" s="200"/>
      <c r="C235" s="201"/>
      <c r="D235" s="343"/>
      <c r="E235" s="328"/>
      <c r="F235" s="328"/>
      <c r="G235" s="328"/>
      <c r="H235" s="199" t="s">
        <v>523</v>
      </c>
      <c r="I235" s="130"/>
      <c r="J235" s="126"/>
      <c r="K235" s="126"/>
      <c r="L235" s="125" t="str">
        <f>IF(I235&lt;&gt;0,((VLOOKUP(I235,'1. Standard_Cost'!$B$4:$D$11,2)+VLOOKUP(I235,'1. Standard_Cost'!$B$4:$D$11,3))*J235*K235),"0")</f>
        <v>0</v>
      </c>
      <c r="M235" s="125">
        <f>L235*'1. Standard_Cost'!$F$4</f>
        <v>0</v>
      </c>
      <c r="N235" s="126"/>
      <c r="O235" s="126"/>
      <c r="P235" s="126"/>
      <c r="Q235" s="126"/>
      <c r="R235" s="127">
        <f>'1. Standard_Cost'!$B$15*N235*P235</f>
        <v>0</v>
      </c>
      <c r="S235" s="127">
        <f>N235*O235*P235*'1. Standard_Cost'!$C$15</f>
        <v>0</v>
      </c>
      <c r="T235" s="127">
        <f>N235*P235*Q235*'1. Standard_Cost'!$D$15</f>
        <v>0</v>
      </c>
      <c r="U235" s="127">
        <f>N235*O235*'1. Standard_Cost'!$E$15</f>
        <v>0</v>
      </c>
      <c r="V235" s="126"/>
      <c r="W235" s="126"/>
      <c r="X235" s="126"/>
      <c r="Y235" s="127">
        <f>+V235*((X235*'1. Standard_Cost'!$B$19)+(W235*X235*'1. Standard_Cost'!$C$19))</f>
        <v>0</v>
      </c>
      <c r="Z235" s="126"/>
      <c r="AA235" s="126"/>
      <c r="AB235" s="127">
        <f>+Z235*'1. Standard_Cost'!$B$23+AA235*'1. Standard_Cost'!$C$23</f>
        <v>0</v>
      </c>
      <c r="AC235" s="128"/>
      <c r="AD235" s="129"/>
      <c r="AE235" s="127">
        <f>SUM(AD235,AC235,AB235,Y235,U235,T235,S235,R235)*'1. Standard_Cost'!$B$31</f>
        <v>0</v>
      </c>
      <c r="AF235" s="127">
        <f>SUM(AE235,AD235,AC235,AB235,Y235,U235,T235,S235,R235)</f>
        <v>0</v>
      </c>
      <c r="AG235" s="126"/>
      <c r="AH235" s="126"/>
      <c r="AI235" s="126"/>
      <c r="AJ235" s="130"/>
      <c r="AK235" s="130"/>
      <c r="AL235" s="130"/>
      <c r="AM235" s="127">
        <f>AG235*'1. Standard_Cost'!$B$27+'Incremental_Cost Year 2'!AH235*'1. Standard_Cost'!$C$27+'Incremental_Cost Year 2'!AI235*'1. Standard_Cost'!$D$27+'Incremental_Cost Year 2'!AJ235+'Incremental_Cost Year 2'!AL235+AK235</f>
        <v>0</v>
      </c>
      <c r="AN235" s="127">
        <f>AM235*'1. Standard_Cost'!$C$31</f>
        <v>0</v>
      </c>
      <c r="AO235" s="130"/>
      <c r="AQ235" s="171">
        <f>L235+M235</f>
        <v>0</v>
      </c>
      <c r="AR235" s="171">
        <f>AF235</f>
        <v>0</v>
      </c>
      <c r="AS235" s="171">
        <f>AM235+AN235</f>
        <v>0</v>
      </c>
      <c r="AT235" s="171">
        <f>SUM(AQ235,AR235,AS235)</f>
        <v>0</v>
      </c>
      <c r="AU235" s="250"/>
      <c r="AV235" s="250"/>
      <c r="AW235" s="250"/>
      <c r="AX235" s="250"/>
      <c r="AY235" s="250"/>
      <c r="AZ235" s="250"/>
      <c r="BA235" s="250"/>
      <c r="BB235" s="251">
        <f t="shared" si="164"/>
        <v>0</v>
      </c>
      <c r="BC235" s="169"/>
      <c r="BD235" s="169"/>
      <c r="BE235" s="169"/>
      <c r="BF235" s="169"/>
    </row>
    <row r="236" spans="1:58" ht="78.75" outlineLevel="2" x14ac:dyDescent="0.25">
      <c r="A236" s="115"/>
      <c r="B236" s="200"/>
      <c r="C236" s="201"/>
      <c r="D236" s="344"/>
      <c r="E236" s="328"/>
      <c r="F236" s="328"/>
      <c r="G236" s="328"/>
      <c r="H236" s="199" t="s">
        <v>524</v>
      </c>
      <c r="I236" s="130"/>
      <c r="J236" s="126"/>
      <c r="K236" s="126"/>
      <c r="L236" s="125" t="str">
        <f>IF(I236&lt;&gt;0,((VLOOKUP(I236,'1. Standard_Cost'!$B$4:$D$11,2)+VLOOKUP(I236,'1. Standard_Cost'!$B$4:$D$11,3))*J236*K236),"0")</f>
        <v>0</v>
      </c>
      <c r="M236" s="125">
        <f>L236*'1. Standard_Cost'!$F$4</f>
        <v>0</v>
      </c>
      <c r="N236" s="126"/>
      <c r="O236" s="126"/>
      <c r="P236" s="126"/>
      <c r="Q236" s="126"/>
      <c r="R236" s="127">
        <f>'1. Standard_Cost'!$B$15*N236*P236</f>
        <v>0</v>
      </c>
      <c r="S236" s="127">
        <f>N236*O236*P236*'1. Standard_Cost'!$C$15</f>
        <v>0</v>
      </c>
      <c r="T236" s="127">
        <f>N236*P236*Q236*'1. Standard_Cost'!$D$15</f>
        <v>0</v>
      </c>
      <c r="U236" s="127">
        <f>N236*O236*'1. Standard_Cost'!$E$15</f>
        <v>0</v>
      </c>
      <c r="V236" s="126"/>
      <c r="W236" s="126"/>
      <c r="X236" s="126"/>
      <c r="Y236" s="127">
        <f>+V236*((X236*'1. Standard_Cost'!$B$19)+(W236*X236*'1. Standard_Cost'!$C$19))</f>
        <v>0</v>
      </c>
      <c r="Z236" s="126"/>
      <c r="AA236" s="126"/>
      <c r="AB236" s="127">
        <f>+Z236*'1. Standard_Cost'!$B$23+AA236*'1. Standard_Cost'!$C$23</f>
        <v>0</v>
      </c>
      <c r="AC236" s="128"/>
      <c r="AD236" s="129"/>
      <c r="AE236" s="127">
        <f>SUM(AD236,AC236,AB236,Y236,U236,T236,S236,R236)*'1. Standard_Cost'!$B$31</f>
        <v>0</v>
      </c>
      <c r="AF236" s="127">
        <f>SUM(AE236,AD236,AC236,AB236,Y236,U236,T236,S236,R236)</f>
        <v>0</v>
      </c>
      <c r="AG236" s="126"/>
      <c r="AH236" s="126"/>
      <c r="AI236" s="126"/>
      <c r="AJ236" s="130"/>
      <c r="AK236" s="130"/>
      <c r="AL236" s="130"/>
      <c r="AM236" s="127">
        <f>AG236*'1. Standard_Cost'!$B$27+'Incremental_Cost Year 2'!AH236*'1. Standard_Cost'!$C$27+'Incremental_Cost Year 2'!AI236*'1. Standard_Cost'!$D$27+'Incremental_Cost Year 2'!AJ236+'Incremental_Cost Year 2'!AL236+AK236</f>
        <v>0</v>
      </c>
      <c r="AN236" s="127">
        <f>AM236*'1. Standard_Cost'!$C$31</f>
        <v>0</v>
      </c>
      <c r="AO236" s="130"/>
      <c r="AQ236" s="171">
        <f>L236+M236</f>
        <v>0</v>
      </c>
      <c r="AR236" s="171">
        <f>AF236</f>
        <v>0</v>
      </c>
      <c r="AS236" s="171">
        <f>AM236+AN236</f>
        <v>0</v>
      </c>
      <c r="AT236" s="171">
        <f>SUM(AQ236,AR236,AS236)</f>
        <v>0</v>
      </c>
      <c r="AU236" s="250"/>
      <c r="AV236" s="250"/>
      <c r="AW236" s="250"/>
      <c r="AX236" s="250"/>
      <c r="AY236" s="250"/>
      <c r="AZ236" s="250"/>
      <c r="BA236" s="250"/>
      <c r="BB236" s="251">
        <f t="shared" si="164"/>
        <v>0</v>
      </c>
      <c r="BC236" s="169"/>
      <c r="BD236" s="169"/>
      <c r="BE236" s="169"/>
      <c r="BF236" s="169"/>
    </row>
    <row r="237" spans="1:58" ht="63" outlineLevel="1" x14ac:dyDescent="0.25">
      <c r="A237" s="115"/>
      <c r="B237" s="165"/>
      <c r="C237" s="166"/>
      <c r="D237" s="209" t="s">
        <v>563</v>
      </c>
      <c r="E237" s="212" t="s">
        <v>263</v>
      </c>
      <c r="F237" s="136">
        <v>2023</v>
      </c>
      <c r="G237" s="117">
        <v>2025</v>
      </c>
      <c r="H237" s="150" t="s">
        <v>264</v>
      </c>
      <c r="I237" s="252"/>
      <c r="J237" s="252"/>
      <c r="K237" s="252"/>
      <c r="L237" s="127">
        <f>SUM(L233:L236)</f>
        <v>0</v>
      </c>
      <c r="M237" s="127">
        <f>SUM(M233:M236)</f>
        <v>0</v>
      </c>
      <c r="N237" s="252"/>
      <c r="O237" s="252"/>
      <c r="P237" s="252"/>
      <c r="Q237" s="252"/>
      <c r="R237" s="127">
        <f>SUM(R233:R236)</f>
        <v>0</v>
      </c>
      <c r="S237" s="127">
        <f>SUM(S233:S236)</f>
        <v>0</v>
      </c>
      <c r="T237" s="127">
        <f>SUM(T233:T236)</f>
        <v>0</v>
      </c>
      <c r="U237" s="127">
        <f>SUM(U233:U236)</f>
        <v>0</v>
      </c>
      <c r="V237" s="252"/>
      <c r="W237" s="252"/>
      <c r="X237" s="252"/>
      <c r="Y237" s="127">
        <f>SUM(Y233:Y236)</f>
        <v>0</v>
      </c>
      <c r="Z237" s="127"/>
      <c r="AA237" s="252"/>
      <c r="AB237" s="127">
        <f>SUM(AB233:AB236)</f>
        <v>0</v>
      </c>
      <c r="AC237" s="127">
        <f>SUM(AC233:AC236)</f>
        <v>0</v>
      </c>
      <c r="AD237" s="127">
        <f>SUM(AD233:AD236)</f>
        <v>0</v>
      </c>
      <c r="AE237" s="127">
        <f>SUM(AE233:AE236)</f>
        <v>0</v>
      </c>
      <c r="AF237" s="127">
        <f>SUM(AF233:AF236)</f>
        <v>0</v>
      </c>
      <c r="AG237" s="252"/>
      <c r="AH237" s="252"/>
      <c r="AI237" s="252"/>
      <c r="AJ237" s="127">
        <f>SUM(AJ233:AJ236)</f>
        <v>0</v>
      </c>
      <c r="AK237" s="127">
        <f>SUM(AK233:AK236)</f>
        <v>0</v>
      </c>
      <c r="AL237" s="127">
        <f>SUM(AL233:AL236)</f>
        <v>0</v>
      </c>
      <c r="AM237" s="127">
        <f>SUM(AM233:AM236)</f>
        <v>0</v>
      </c>
      <c r="AN237" s="127">
        <f>SUM(AN233:AN236)</f>
        <v>0</v>
      </c>
      <c r="AO237" s="253"/>
      <c r="AP237" s="254"/>
      <c r="AQ237" s="175">
        <f>SUM(AQ233:AQ236)</f>
        <v>0</v>
      </c>
      <c r="AR237" s="175">
        <f>SUM(AR233:AR236)</f>
        <v>0</v>
      </c>
      <c r="AS237" s="175">
        <f>SUM(AS233:AS236)</f>
        <v>0</v>
      </c>
      <c r="AT237" s="175">
        <f>SUM(AT233:AT236)</f>
        <v>0</v>
      </c>
      <c r="AU237" s="175">
        <f t="shared" ref="AU237:BB237" si="165">SUM(AU233:AU236)</f>
        <v>0</v>
      </c>
      <c r="AV237" s="175">
        <f t="shared" si="165"/>
        <v>0</v>
      </c>
      <c r="AW237" s="175">
        <f t="shared" si="165"/>
        <v>0</v>
      </c>
      <c r="AX237" s="175">
        <f t="shared" si="165"/>
        <v>0</v>
      </c>
      <c r="AY237" s="175">
        <f t="shared" si="165"/>
        <v>0</v>
      </c>
      <c r="AZ237" s="175">
        <f t="shared" si="165"/>
        <v>0</v>
      </c>
      <c r="BA237" s="175">
        <f t="shared" si="165"/>
        <v>0</v>
      </c>
      <c r="BB237" s="175">
        <f t="shared" si="165"/>
        <v>0</v>
      </c>
      <c r="BC237" s="169"/>
      <c r="BD237" s="169"/>
      <c r="BE237" s="169"/>
      <c r="BF237" s="169"/>
    </row>
    <row r="238" spans="1:58" s="184" customFormat="1" ht="15.75" customHeight="1" x14ac:dyDescent="0.25">
      <c r="A238" s="143"/>
      <c r="B238" s="332"/>
      <c r="C238" s="397" t="s">
        <v>265</v>
      </c>
      <c r="D238" s="397"/>
      <c r="E238" s="398"/>
      <c r="F238" s="291"/>
      <c r="G238" s="340"/>
      <c r="H238" s="144" t="s">
        <v>303</v>
      </c>
      <c r="I238" s="257"/>
      <c r="J238" s="257"/>
      <c r="K238" s="257"/>
      <c r="L238" s="258">
        <f>SUM(L243)</f>
        <v>4438500</v>
      </c>
      <c r="M238" s="258">
        <f>SUM(M243)</f>
        <v>741229.5</v>
      </c>
      <c r="N238" s="257"/>
      <c r="O238" s="257"/>
      <c r="P238" s="257"/>
      <c r="Q238" s="257"/>
      <c r="R238" s="258">
        <f>SUM(R243)</f>
        <v>0</v>
      </c>
      <c r="S238" s="258">
        <f>SUM(S243)</f>
        <v>0</v>
      </c>
      <c r="T238" s="258">
        <f>SUM(T243)</f>
        <v>0</v>
      </c>
      <c r="U238" s="258">
        <f>SUM(U243)</f>
        <v>0</v>
      </c>
      <c r="V238" s="257"/>
      <c r="W238" s="257"/>
      <c r="X238" s="257"/>
      <c r="Y238" s="258">
        <f>SUM(Y243)</f>
        <v>0</v>
      </c>
      <c r="Z238" s="258"/>
      <c r="AA238" s="258"/>
      <c r="AB238" s="258">
        <f>SUM(AB243)</f>
        <v>0</v>
      </c>
      <c r="AC238" s="258">
        <f>SUM(AC243)</f>
        <v>0</v>
      </c>
      <c r="AD238" s="258">
        <f>SUM(AD243)</f>
        <v>0</v>
      </c>
      <c r="AE238" s="258">
        <f>SUM(AE243)</f>
        <v>0</v>
      </c>
      <c r="AF238" s="258">
        <f>SUM(AF243)</f>
        <v>0</v>
      </c>
      <c r="AG238" s="257"/>
      <c r="AH238" s="257"/>
      <c r="AI238" s="257"/>
      <c r="AJ238" s="258">
        <f>SUM(AJ243)</f>
        <v>0</v>
      </c>
      <c r="AK238" s="258">
        <f>SUM(AK243)</f>
        <v>0</v>
      </c>
      <c r="AL238" s="258">
        <f>SUM(AL243)</f>
        <v>0</v>
      </c>
      <c r="AM238" s="258">
        <f>SUM(AM243)</f>
        <v>0</v>
      </c>
      <c r="AN238" s="258">
        <f>SUM(AN243)</f>
        <v>0</v>
      </c>
      <c r="AO238" s="259"/>
      <c r="AP238" s="260"/>
      <c r="AQ238" s="261">
        <f>SUM(AQ243)</f>
        <v>5179729.5</v>
      </c>
      <c r="AR238" s="261">
        <f>SUM(AR243)</f>
        <v>0</v>
      </c>
      <c r="AS238" s="261">
        <f>SUM(AS243)</f>
        <v>0</v>
      </c>
      <c r="AT238" s="261">
        <f>SUM(AT243)</f>
        <v>5179729.5</v>
      </c>
      <c r="AU238" s="261">
        <f t="shared" ref="AU238:BB238" si="166">SUM(AU243)</f>
        <v>5179729.5</v>
      </c>
      <c r="AV238" s="261">
        <f t="shared" si="166"/>
        <v>0</v>
      </c>
      <c r="AW238" s="261">
        <f t="shared" si="166"/>
        <v>0</v>
      </c>
      <c r="AX238" s="261">
        <f t="shared" si="166"/>
        <v>0</v>
      </c>
      <c r="AY238" s="261">
        <f t="shared" si="166"/>
        <v>0</v>
      </c>
      <c r="AZ238" s="261">
        <f t="shared" si="166"/>
        <v>0</v>
      </c>
      <c r="BA238" s="261">
        <f t="shared" si="166"/>
        <v>0</v>
      </c>
      <c r="BB238" s="261">
        <f t="shared" si="166"/>
        <v>0</v>
      </c>
    </row>
    <row r="239" spans="1:58" ht="63" outlineLevel="2" x14ac:dyDescent="0.25">
      <c r="A239" s="115"/>
      <c r="B239" s="200"/>
      <c r="C239" s="201"/>
      <c r="D239" s="202"/>
      <c r="E239" s="354"/>
      <c r="F239" s="355"/>
      <c r="G239" s="356"/>
      <c r="H239" s="199" t="s">
        <v>525</v>
      </c>
      <c r="I239" s="130" t="s">
        <v>3</v>
      </c>
      <c r="J239" s="126">
        <v>2</v>
      </c>
      <c r="K239" s="126">
        <v>10</v>
      </c>
      <c r="L239" s="125">
        <f>IF(I239&lt;&gt;0,((VLOOKUP(I239,'1. Standard_Cost'!$B$4:$D$11,2)+VLOOKUP(I239,'1. Standard_Cost'!$B$4:$D$11,3))*J239*K239),"0")</f>
        <v>2016000</v>
      </c>
      <c r="M239" s="125">
        <f>L239*'1. Standard_Cost'!$F$4</f>
        <v>336672</v>
      </c>
      <c r="N239" s="126"/>
      <c r="O239" s="126"/>
      <c r="P239" s="126"/>
      <c r="Q239" s="126"/>
      <c r="R239" s="127">
        <f>'1. Standard_Cost'!$B$15*N239*P239</f>
        <v>0</v>
      </c>
      <c r="S239" s="127">
        <f>N239*O239*P239*'1. Standard_Cost'!$C$15</f>
        <v>0</v>
      </c>
      <c r="T239" s="127">
        <f>N239*P239*Q239*'1. Standard_Cost'!$D$15</f>
        <v>0</v>
      </c>
      <c r="U239" s="127">
        <f>N239*O239*'1. Standard_Cost'!$E$15</f>
        <v>0</v>
      </c>
      <c r="V239" s="126"/>
      <c r="W239" s="126"/>
      <c r="X239" s="126"/>
      <c r="Y239" s="127">
        <f>+V239*((X239*'1. Standard_Cost'!$B$19)+(W239*X239*'1. Standard_Cost'!$C$19))</f>
        <v>0</v>
      </c>
      <c r="Z239" s="126"/>
      <c r="AA239" s="126"/>
      <c r="AB239" s="127">
        <f>+Z239*'1. Standard_Cost'!$B$23+AA239*'1. Standard_Cost'!$C$23</f>
        <v>0</v>
      </c>
      <c r="AC239" s="128"/>
      <c r="AD239" s="129"/>
      <c r="AE239" s="127">
        <f>SUM(AD239,AC239,AB239,Y239,U239,T239,S239,R239)*'1. Standard_Cost'!$B$31</f>
        <v>0</v>
      </c>
      <c r="AF239" s="127">
        <f>SUM(AE239,AD239,AC239,AB239,Y239,U239,T239,S239,R239)</f>
        <v>0</v>
      </c>
      <c r="AG239" s="126"/>
      <c r="AH239" s="126"/>
      <c r="AI239" s="126"/>
      <c r="AJ239" s="130"/>
      <c r="AK239" s="130"/>
      <c r="AL239" s="130"/>
      <c r="AM239" s="127">
        <f>AG239*'1. Standard_Cost'!$B$27+'Incremental_Cost Year 2'!AH239*'1. Standard_Cost'!$C$27+'Incremental_Cost Year 2'!AI239*'1. Standard_Cost'!$D$27+'Incremental_Cost Year 2'!AJ239+'Incremental_Cost Year 2'!AL239+AK239</f>
        <v>0</v>
      </c>
      <c r="AN239" s="127">
        <f>AM239*'1. Standard_Cost'!$C$31</f>
        <v>0</v>
      </c>
      <c r="AO239" s="130"/>
      <c r="AQ239" s="171">
        <f>L239+M239</f>
        <v>2352672</v>
      </c>
      <c r="AR239" s="171">
        <f>AF239</f>
        <v>0</v>
      </c>
      <c r="AS239" s="171">
        <f>AM239+AN239</f>
        <v>0</v>
      </c>
      <c r="AT239" s="171">
        <f>SUM(AQ239,AR239,AS239)</f>
        <v>2352672</v>
      </c>
      <c r="AU239" s="250">
        <f>AT239</f>
        <v>2352672</v>
      </c>
      <c r="AV239" s="250"/>
      <c r="AW239" s="250"/>
      <c r="AX239" s="250"/>
      <c r="AY239" s="250"/>
      <c r="AZ239" s="250"/>
      <c r="BA239" s="250"/>
      <c r="BB239" s="251">
        <f t="shared" ref="BB239:BB242" si="167">SUM(AU239:BA239)-AT239</f>
        <v>0</v>
      </c>
      <c r="BC239" s="169"/>
      <c r="BD239" s="169"/>
      <c r="BE239" s="169"/>
      <c r="BF239" s="169"/>
    </row>
    <row r="240" spans="1:58" ht="31.5" outlineLevel="2" x14ac:dyDescent="0.25">
      <c r="A240" s="115"/>
      <c r="B240" s="200"/>
      <c r="C240" s="201"/>
      <c r="D240" s="202"/>
      <c r="E240" s="357"/>
      <c r="F240" s="358"/>
      <c r="G240" s="359"/>
      <c r="H240" s="199" t="s">
        <v>526</v>
      </c>
      <c r="I240" s="130" t="s">
        <v>4</v>
      </c>
      <c r="J240" s="126">
        <v>0.5</v>
      </c>
      <c r="K240" s="126">
        <v>30</v>
      </c>
      <c r="L240" s="125">
        <f>IF(I240&lt;&gt;0,((VLOOKUP(I240,'1. Standard_Cost'!$B$4:$D$11,2)+VLOOKUP(I240,'1. Standard_Cost'!$B$4:$D$11,3))*J240*K240),"0")</f>
        <v>1211250</v>
      </c>
      <c r="M240" s="125">
        <f>L240*'1. Standard_Cost'!$F$4</f>
        <v>202278.75</v>
      </c>
      <c r="N240" s="126"/>
      <c r="O240" s="126"/>
      <c r="P240" s="126"/>
      <c r="Q240" s="126"/>
      <c r="R240" s="127">
        <f>'1. Standard_Cost'!$B$15*N240*P240</f>
        <v>0</v>
      </c>
      <c r="S240" s="127">
        <f>N240*O240*P240*'1. Standard_Cost'!$C$15</f>
        <v>0</v>
      </c>
      <c r="T240" s="127">
        <f>N240*P240*Q240*'1. Standard_Cost'!$D$15</f>
        <v>0</v>
      </c>
      <c r="U240" s="127">
        <f>N240*O240*'1. Standard_Cost'!$E$15</f>
        <v>0</v>
      </c>
      <c r="V240" s="126"/>
      <c r="W240" s="126"/>
      <c r="X240" s="126"/>
      <c r="Y240" s="127">
        <f>+V240*((X240*'1. Standard_Cost'!$B$19)+(W240*X240*'1. Standard_Cost'!$C$19))</f>
        <v>0</v>
      </c>
      <c r="Z240" s="126"/>
      <c r="AA240" s="126"/>
      <c r="AB240" s="127">
        <f>+Z240*'1. Standard_Cost'!$B$23+AA240*'1. Standard_Cost'!$C$23</f>
        <v>0</v>
      </c>
      <c r="AC240" s="128"/>
      <c r="AD240" s="129"/>
      <c r="AE240" s="127">
        <f>SUM(AD240,AC240,AB240,Y240,U240,T240,S240,R240)*'1. Standard_Cost'!$B$31</f>
        <v>0</v>
      </c>
      <c r="AF240" s="127">
        <f>SUM(AE240,AD240,AC240,AB240,Y240,U240,T240,S240,R240)</f>
        <v>0</v>
      </c>
      <c r="AG240" s="126"/>
      <c r="AH240" s="126"/>
      <c r="AI240" s="126"/>
      <c r="AJ240" s="130"/>
      <c r="AK240" s="130"/>
      <c r="AL240" s="130"/>
      <c r="AM240" s="127">
        <f>AG240*'1. Standard_Cost'!$B$27+'Incremental_Cost Year 2'!AH240*'1. Standard_Cost'!$C$27+'Incremental_Cost Year 2'!AI240*'1. Standard_Cost'!$D$27+'Incremental_Cost Year 2'!AJ240+'Incremental_Cost Year 2'!AL240+AK240</f>
        <v>0</v>
      </c>
      <c r="AN240" s="127">
        <f>AM240*'1. Standard_Cost'!$C$31</f>
        <v>0</v>
      </c>
      <c r="AO240" s="130"/>
      <c r="AQ240" s="171">
        <f>L240+M240</f>
        <v>1413528.75</v>
      </c>
      <c r="AR240" s="171">
        <f>AF240</f>
        <v>0</v>
      </c>
      <c r="AS240" s="171">
        <f>AM240+AN240</f>
        <v>0</v>
      </c>
      <c r="AT240" s="171">
        <f>SUM(AQ240,AR240,AS240)</f>
        <v>1413528.75</v>
      </c>
      <c r="AU240" s="250">
        <f>AT240</f>
        <v>1413528.75</v>
      </c>
      <c r="AV240" s="250"/>
      <c r="AW240" s="250"/>
      <c r="AX240" s="250"/>
      <c r="AY240" s="250"/>
      <c r="AZ240" s="250"/>
      <c r="BA240" s="250"/>
      <c r="BB240" s="251">
        <f t="shared" si="167"/>
        <v>0</v>
      </c>
      <c r="BC240" s="169"/>
      <c r="BD240" s="169"/>
      <c r="BE240" s="169"/>
      <c r="BF240" s="169"/>
    </row>
    <row r="241" spans="1:58" ht="47.25" outlineLevel="2" x14ac:dyDescent="0.25">
      <c r="A241" s="115"/>
      <c r="B241" s="200"/>
      <c r="C241" s="201"/>
      <c r="D241" s="202"/>
      <c r="E241" s="357"/>
      <c r="F241" s="358"/>
      <c r="G241" s="359"/>
      <c r="H241" s="199" t="s">
        <v>527</v>
      </c>
      <c r="I241" s="130" t="s">
        <v>4</v>
      </c>
      <c r="J241" s="126">
        <v>0.5</v>
      </c>
      <c r="K241" s="126">
        <v>30</v>
      </c>
      <c r="L241" s="125">
        <f>IF(I241&lt;&gt;0,((VLOOKUP(I241,'1. Standard_Cost'!$B$4:$D$11,2)+VLOOKUP(I241,'1. Standard_Cost'!$B$4:$D$11,3))*J241*K241),"0")</f>
        <v>1211250</v>
      </c>
      <c r="M241" s="125">
        <f>L241*'1. Standard_Cost'!$F$4</f>
        <v>202278.75</v>
      </c>
      <c r="N241" s="126"/>
      <c r="O241" s="126"/>
      <c r="P241" s="126"/>
      <c r="Q241" s="126"/>
      <c r="R241" s="127">
        <f>'1. Standard_Cost'!$B$15*N241*P241</f>
        <v>0</v>
      </c>
      <c r="S241" s="127">
        <f>N241*O241*P241*'1. Standard_Cost'!$C$15</f>
        <v>0</v>
      </c>
      <c r="T241" s="127">
        <f>N241*P241*Q241*'1. Standard_Cost'!$D$15</f>
        <v>0</v>
      </c>
      <c r="U241" s="127">
        <f>N241*O241*'1. Standard_Cost'!$E$15</f>
        <v>0</v>
      </c>
      <c r="V241" s="126"/>
      <c r="W241" s="126"/>
      <c r="X241" s="126"/>
      <c r="Y241" s="127">
        <f>+V241*((X241*'1. Standard_Cost'!$B$19)+(W241*X241*'1. Standard_Cost'!$C$19))</f>
        <v>0</v>
      </c>
      <c r="Z241" s="126"/>
      <c r="AA241" s="126"/>
      <c r="AB241" s="127">
        <f>+Z241*'1. Standard_Cost'!$B$23+AA241*'1. Standard_Cost'!$C$23</f>
        <v>0</v>
      </c>
      <c r="AC241" s="128"/>
      <c r="AD241" s="129"/>
      <c r="AE241" s="127">
        <f>SUM(AD241,AC241,AB241,Y241,U241,T241,S241,R241)*'1. Standard_Cost'!$B$31</f>
        <v>0</v>
      </c>
      <c r="AF241" s="127">
        <f>SUM(AE241,AD241,AC241,AB241,Y241,U241,T241,S241,R241)</f>
        <v>0</v>
      </c>
      <c r="AG241" s="126"/>
      <c r="AH241" s="126"/>
      <c r="AI241" s="126"/>
      <c r="AJ241" s="130"/>
      <c r="AK241" s="130"/>
      <c r="AL241" s="130"/>
      <c r="AM241" s="127">
        <f>AG241*'1. Standard_Cost'!$B$27+'Incremental_Cost Year 2'!AH241*'1. Standard_Cost'!$C$27+'Incremental_Cost Year 2'!AI241*'1. Standard_Cost'!$D$27+'Incremental_Cost Year 2'!AJ241+'Incremental_Cost Year 2'!AL241+AK241</f>
        <v>0</v>
      </c>
      <c r="AN241" s="127">
        <f>AM241*'1. Standard_Cost'!$C$31</f>
        <v>0</v>
      </c>
      <c r="AO241" s="130"/>
      <c r="AQ241" s="171">
        <f>L241+M241</f>
        <v>1413528.75</v>
      </c>
      <c r="AR241" s="171">
        <f>AF241</f>
        <v>0</v>
      </c>
      <c r="AS241" s="171">
        <f>AM241+AN241</f>
        <v>0</v>
      </c>
      <c r="AT241" s="171">
        <f>SUM(AQ241,AR241,AS241)</f>
        <v>1413528.75</v>
      </c>
      <c r="AU241" s="250">
        <f>AT241</f>
        <v>1413528.75</v>
      </c>
      <c r="AV241" s="250"/>
      <c r="AW241" s="250"/>
      <c r="AX241" s="250"/>
      <c r="AY241" s="250"/>
      <c r="AZ241" s="250"/>
      <c r="BA241" s="250"/>
      <c r="BB241" s="251">
        <f t="shared" si="167"/>
        <v>0</v>
      </c>
      <c r="BC241" s="169"/>
      <c r="BD241" s="169"/>
      <c r="BE241" s="169"/>
      <c r="BF241" s="169"/>
    </row>
    <row r="242" spans="1:58" ht="94.5" outlineLevel="2" x14ac:dyDescent="0.25">
      <c r="A242" s="115"/>
      <c r="B242" s="200"/>
      <c r="C242" s="201"/>
      <c r="D242" s="202"/>
      <c r="E242" s="360"/>
      <c r="F242" s="361"/>
      <c r="G242" s="362"/>
      <c r="H242" s="213" t="s">
        <v>528</v>
      </c>
      <c r="I242" s="130"/>
      <c r="J242" s="126"/>
      <c r="K242" s="126"/>
      <c r="L242" s="125" t="str">
        <f>IF(I242&lt;&gt;0,((VLOOKUP(I242,'1. Standard_Cost'!$B$4:$D$11,2)+VLOOKUP(I242,'1. Standard_Cost'!$B$4:$D$11,3))*J242*K242),"0")</f>
        <v>0</v>
      </c>
      <c r="M242" s="125">
        <f>L242*'1. Standard_Cost'!$F$4</f>
        <v>0</v>
      </c>
      <c r="N242" s="126"/>
      <c r="O242" s="126"/>
      <c r="P242" s="126"/>
      <c r="Q242" s="126"/>
      <c r="R242" s="127">
        <f>'1. Standard_Cost'!$B$15*N242*P242</f>
        <v>0</v>
      </c>
      <c r="S242" s="127">
        <f>N242*O242*P242*'1. Standard_Cost'!$C$15</f>
        <v>0</v>
      </c>
      <c r="T242" s="127">
        <f>N242*P242*Q242*'1. Standard_Cost'!$D$15</f>
        <v>0</v>
      </c>
      <c r="U242" s="127">
        <f>N242*O242*'1. Standard_Cost'!$E$15</f>
        <v>0</v>
      </c>
      <c r="V242" s="126"/>
      <c r="W242" s="126"/>
      <c r="X242" s="126"/>
      <c r="Y242" s="127">
        <f>+V242*((X242*'1. Standard_Cost'!$B$19)+(W242*X242*'1. Standard_Cost'!$C$19))</f>
        <v>0</v>
      </c>
      <c r="Z242" s="126"/>
      <c r="AA242" s="126"/>
      <c r="AB242" s="127">
        <f>+Z242*'1. Standard_Cost'!$B$23+AA242*'1. Standard_Cost'!$C$23</f>
        <v>0</v>
      </c>
      <c r="AC242" s="128"/>
      <c r="AD242" s="129"/>
      <c r="AE242" s="127">
        <f>SUM(AD242,AC242,AB242,Y242,U242,T242,S242,R242)*'1. Standard_Cost'!$B$31</f>
        <v>0</v>
      </c>
      <c r="AF242" s="127">
        <f>SUM(AE242,AD242,AC242,AB242,Y242,U242,T242,S242,R242)</f>
        <v>0</v>
      </c>
      <c r="AG242" s="126"/>
      <c r="AH242" s="126"/>
      <c r="AI242" s="126"/>
      <c r="AJ242" s="130"/>
      <c r="AK242" s="130"/>
      <c r="AL242" s="130"/>
      <c r="AM242" s="127">
        <f>AG242*'1. Standard_Cost'!$B$27+'Incremental_Cost Year 2'!AH242*'1. Standard_Cost'!$C$27+'Incremental_Cost Year 2'!AI242*'1. Standard_Cost'!$D$27+'Incremental_Cost Year 2'!AJ242+'Incremental_Cost Year 2'!AL242+AK242</f>
        <v>0</v>
      </c>
      <c r="AN242" s="127">
        <f>AM242*'1. Standard_Cost'!$C$31</f>
        <v>0</v>
      </c>
      <c r="AO242" s="130"/>
      <c r="AQ242" s="171">
        <f>L242+M242</f>
        <v>0</v>
      </c>
      <c r="AR242" s="171">
        <f>AF242</f>
        <v>0</v>
      </c>
      <c r="AS242" s="171">
        <f>AM242+AN242</f>
        <v>0</v>
      </c>
      <c r="AT242" s="171">
        <f>SUM(AQ242,AR242,AS242)</f>
        <v>0</v>
      </c>
      <c r="AU242" s="250"/>
      <c r="AV242" s="250"/>
      <c r="AW242" s="250"/>
      <c r="AX242" s="250"/>
      <c r="AY242" s="250"/>
      <c r="AZ242" s="250"/>
      <c r="BA242" s="250"/>
      <c r="BB242" s="251">
        <f t="shared" si="167"/>
        <v>0</v>
      </c>
      <c r="BC242" s="169"/>
      <c r="BD242" s="169"/>
      <c r="BE242" s="169"/>
      <c r="BF242" s="169"/>
    </row>
    <row r="243" spans="1:58" ht="94.5" outlineLevel="1" x14ac:dyDescent="0.25">
      <c r="A243" s="115"/>
      <c r="B243" s="165"/>
      <c r="C243" s="166"/>
      <c r="D243" s="150" t="s">
        <v>564</v>
      </c>
      <c r="E243" s="212" t="s">
        <v>267</v>
      </c>
      <c r="F243" s="136">
        <v>2021</v>
      </c>
      <c r="G243" s="117">
        <v>2024</v>
      </c>
      <c r="H243" s="150" t="s">
        <v>304</v>
      </c>
      <c r="I243" s="252"/>
      <c r="J243" s="252"/>
      <c r="K243" s="252"/>
      <c r="L243" s="127">
        <f>SUM(L239:L242)</f>
        <v>4438500</v>
      </c>
      <c r="M243" s="127">
        <f>SUM(M239:M242)</f>
        <v>741229.5</v>
      </c>
      <c r="N243" s="252"/>
      <c r="O243" s="252"/>
      <c r="P243" s="252"/>
      <c r="Q243" s="252"/>
      <c r="R243" s="127">
        <f>SUM(R239:R242)</f>
        <v>0</v>
      </c>
      <c r="S243" s="127">
        <f>SUM(S239:S242)</f>
        <v>0</v>
      </c>
      <c r="T243" s="127">
        <f>SUM(T239:T242)</f>
        <v>0</v>
      </c>
      <c r="U243" s="127">
        <f>SUM(U239:U242)</f>
        <v>0</v>
      </c>
      <c r="V243" s="252"/>
      <c r="W243" s="252"/>
      <c r="X243" s="252"/>
      <c r="Y243" s="127">
        <f>SUM(Y239:Y242)</f>
        <v>0</v>
      </c>
      <c r="Z243" s="127"/>
      <c r="AA243" s="252"/>
      <c r="AB243" s="127">
        <f>SUM(AB239:AB242)</f>
        <v>0</v>
      </c>
      <c r="AC243" s="127">
        <f>SUM(AC239:AC242)</f>
        <v>0</v>
      </c>
      <c r="AD243" s="127">
        <f>SUM(AD239:AD242)</f>
        <v>0</v>
      </c>
      <c r="AE243" s="127">
        <f>SUM(AE239:AE242)</f>
        <v>0</v>
      </c>
      <c r="AF243" s="127">
        <f>SUM(AF239:AF242)</f>
        <v>0</v>
      </c>
      <c r="AG243" s="252"/>
      <c r="AH243" s="252"/>
      <c r="AI243" s="252"/>
      <c r="AJ243" s="127">
        <f>SUM(AJ239:AJ242)</f>
        <v>0</v>
      </c>
      <c r="AK243" s="127">
        <f>SUM(AK239:AK242)</f>
        <v>0</v>
      </c>
      <c r="AL243" s="127">
        <f>SUM(AL239:AL242)</f>
        <v>0</v>
      </c>
      <c r="AM243" s="127">
        <f>SUM(AM239:AM242)</f>
        <v>0</v>
      </c>
      <c r="AN243" s="127">
        <f>SUM(AN239:AN242)</f>
        <v>0</v>
      </c>
      <c r="AO243" s="253"/>
      <c r="AP243" s="254"/>
      <c r="AQ243" s="175">
        <f>SUM(AQ239:AQ242)</f>
        <v>5179729.5</v>
      </c>
      <c r="AR243" s="175">
        <f>SUM(AR239:AR242)</f>
        <v>0</v>
      </c>
      <c r="AS243" s="175">
        <f>SUM(AS239:AS242)</f>
        <v>0</v>
      </c>
      <c r="AT243" s="175">
        <f>SUM(AT239:AT242)</f>
        <v>5179729.5</v>
      </c>
      <c r="AU243" s="175">
        <f t="shared" ref="AU243:BB243" si="168">SUM(AU239:AU242)</f>
        <v>5179729.5</v>
      </c>
      <c r="AV243" s="175">
        <f t="shared" si="168"/>
        <v>0</v>
      </c>
      <c r="AW243" s="175">
        <f t="shared" si="168"/>
        <v>0</v>
      </c>
      <c r="AX243" s="175">
        <f t="shared" si="168"/>
        <v>0</v>
      </c>
      <c r="AY243" s="175">
        <f t="shared" si="168"/>
        <v>0</v>
      </c>
      <c r="AZ243" s="175">
        <f t="shared" si="168"/>
        <v>0</v>
      </c>
      <c r="BA243" s="175">
        <f t="shared" si="168"/>
        <v>0</v>
      </c>
      <c r="BB243" s="175">
        <f t="shared" si="168"/>
        <v>0</v>
      </c>
      <c r="BC243" s="169"/>
      <c r="BD243" s="169"/>
      <c r="BE243" s="169"/>
      <c r="BF243" s="169"/>
    </row>
    <row r="244" spans="1:58" ht="12.75" customHeight="1" x14ac:dyDescent="0.2">
      <c r="A244" s="173"/>
      <c r="B244" s="399" t="s">
        <v>316</v>
      </c>
      <c r="C244" s="400"/>
      <c r="D244" s="400"/>
      <c r="E244" s="401"/>
      <c r="F244" s="367"/>
      <c r="G244" s="367"/>
      <c r="H244" s="367" t="s">
        <v>317</v>
      </c>
      <c r="I244" s="245"/>
      <c r="J244" s="245"/>
      <c r="K244" s="245"/>
      <c r="L244" s="245">
        <f>L245+L259+L269+L277+L284</f>
        <v>30083400</v>
      </c>
      <c r="M244" s="245">
        <f>M245+M259+M269+M277+M284</f>
        <v>5023927.8000000007</v>
      </c>
      <c r="N244" s="245"/>
      <c r="O244" s="245"/>
      <c r="P244" s="245"/>
      <c r="Q244" s="245"/>
      <c r="R244" s="245">
        <f>R245+R259+R269+R277+R284</f>
        <v>1320000</v>
      </c>
      <c r="S244" s="245">
        <f>S245+S259+S269+S277+S284</f>
        <v>990000</v>
      </c>
      <c r="T244" s="245">
        <f>T245+T259+T269+T277+T284</f>
        <v>0</v>
      </c>
      <c r="U244" s="245">
        <f>U245+U259+U269+U277+U284</f>
        <v>1240000</v>
      </c>
      <c r="V244" s="245"/>
      <c r="W244" s="245"/>
      <c r="X244" s="245"/>
      <c r="Y244" s="245">
        <f t="shared" ref="Y244:AF244" si="169">Y245+Y259+Y269+Y277+Y284</f>
        <v>0</v>
      </c>
      <c r="Z244" s="245">
        <f t="shared" si="169"/>
        <v>0</v>
      </c>
      <c r="AA244" s="245">
        <f t="shared" si="169"/>
        <v>0</v>
      </c>
      <c r="AB244" s="245">
        <f t="shared" si="169"/>
        <v>2697000</v>
      </c>
      <c r="AC244" s="245">
        <f t="shared" si="169"/>
        <v>50136180</v>
      </c>
      <c r="AD244" s="245">
        <f t="shared" si="169"/>
        <v>0</v>
      </c>
      <c r="AE244" s="245">
        <f t="shared" si="169"/>
        <v>354236</v>
      </c>
      <c r="AF244" s="245">
        <f t="shared" si="169"/>
        <v>56737416</v>
      </c>
      <c r="AG244" s="245"/>
      <c r="AH244" s="245"/>
      <c r="AI244" s="245"/>
      <c r="AJ244" s="245">
        <f>AJ245+AJ259+AJ269+AJ277+AJ284</f>
        <v>0</v>
      </c>
      <c r="AK244" s="245">
        <f>AK245+AK259+AK269+AK277+AK284</f>
        <v>123000000</v>
      </c>
      <c r="AL244" s="245">
        <f>AL245+AL259+AL269+AL277+AL284</f>
        <v>0</v>
      </c>
      <c r="AM244" s="245">
        <f>AM245+AM259+AM269+AM277+AM284</f>
        <v>123000000</v>
      </c>
      <c r="AN244" s="245">
        <f>AN245+AN259+AN269+AN277+AN284</f>
        <v>0</v>
      </c>
      <c r="AO244" s="245"/>
      <c r="AP244" s="244"/>
      <c r="AQ244" s="245">
        <f>AQ245+AQ259+AQ269+AQ277+AQ284</f>
        <v>35107327.799999997</v>
      </c>
      <c r="AR244" s="245">
        <f t="shared" ref="AR244:BB244" si="170">AR245+AR259+AR269+AR277+AR284</f>
        <v>56737416</v>
      </c>
      <c r="AS244" s="245">
        <f t="shared" si="170"/>
        <v>123000000</v>
      </c>
      <c r="AT244" s="245">
        <f t="shared" si="170"/>
        <v>214844743.80000001</v>
      </c>
      <c r="AU244" s="245">
        <f t="shared" si="170"/>
        <v>81418743.799999997</v>
      </c>
      <c r="AV244" s="245">
        <f t="shared" si="170"/>
        <v>0</v>
      </c>
      <c r="AW244" s="245">
        <f t="shared" si="170"/>
        <v>102500000</v>
      </c>
      <c r="AX244" s="245">
        <f t="shared" si="170"/>
        <v>0</v>
      </c>
      <c r="AY244" s="245">
        <f t="shared" si="170"/>
        <v>0</v>
      </c>
      <c r="AZ244" s="245">
        <f t="shared" si="170"/>
        <v>24395000</v>
      </c>
      <c r="BA244" s="245">
        <f t="shared" si="170"/>
        <v>0</v>
      </c>
      <c r="BB244" s="245">
        <f t="shared" si="170"/>
        <v>-6531000</v>
      </c>
      <c r="BC244" s="170"/>
      <c r="BD244" s="170"/>
      <c r="BE244" s="170"/>
      <c r="BF244" s="170"/>
    </row>
    <row r="245" spans="1:58" ht="12.75" customHeight="1" x14ac:dyDescent="0.2">
      <c r="A245" s="179"/>
      <c r="B245" s="290"/>
      <c r="C245" s="391" t="s">
        <v>318</v>
      </c>
      <c r="D245" s="391"/>
      <c r="E245" s="392"/>
      <c r="F245" s="287"/>
      <c r="G245" s="289"/>
      <c r="H245" s="368" t="s">
        <v>319</v>
      </c>
      <c r="I245" s="270"/>
      <c r="J245" s="271"/>
      <c r="K245" s="271"/>
      <c r="L245" s="261">
        <f>L250+L254+L258</f>
        <v>0</v>
      </c>
      <c r="M245" s="261">
        <f>M250+M254+M258</f>
        <v>0</v>
      </c>
      <c r="N245" s="271"/>
      <c r="O245" s="271"/>
      <c r="P245" s="271"/>
      <c r="Q245" s="271"/>
      <c r="R245" s="261">
        <f>R250+R254+R258</f>
        <v>0</v>
      </c>
      <c r="S245" s="261">
        <f>S250+S254+S258</f>
        <v>0</v>
      </c>
      <c r="T245" s="261">
        <f>T250+T254+T258</f>
        <v>0</v>
      </c>
      <c r="U245" s="261">
        <f>U250+U254+U258</f>
        <v>0</v>
      </c>
      <c r="V245" s="271"/>
      <c r="W245" s="271"/>
      <c r="X245" s="271"/>
      <c r="Y245" s="261">
        <f>Y250+Y254+Y258</f>
        <v>0</v>
      </c>
      <c r="Z245" s="261">
        <f>Z250+Z254+Z258</f>
        <v>0</v>
      </c>
      <c r="AA245" s="271"/>
      <c r="AB245" s="261">
        <f>AB250+AB254+AB258</f>
        <v>0</v>
      </c>
      <c r="AC245" s="261">
        <f>AC250+AC254+AC258</f>
        <v>18900000</v>
      </c>
      <c r="AD245" s="261">
        <f>AD250+AD254+AD258</f>
        <v>0</v>
      </c>
      <c r="AE245" s="261">
        <f>AE250+AE254+AE258</f>
        <v>0</v>
      </c>
      <c r="AF245" s="261">
        <f>AF250+AF254+AF258</f>
        <v>18900000</v>
      </c>
      <c r="AG245" s="271"/>
      <c r="AH245" s="271"/>
      <c r="AI245" s="271"/>
      <c r="AJ245" s="261">
        <f>AJ250+AJ254+AJ258</f>
        <v>0</v>
      </c>
      <c r="AK245" s="261">
        <f>AK250+AK254+AK258</f>
        <v>0</v>
      </c>
      <c r="AL245" s="261">
        <f>AL250+AL254+AL258</f>
        <v>0</v>
      </c>
      <c r="AM245" s="261">
        <f>AM250+AM254+AM258</f>
        <v>0</v>
      </c>
      <c r="AN245" s="261">
        <f>AN250+AN254+AN258</f>
        <v>0</v>
      </c>
      <c r="AO245" s="272"/>
      <c r="AP245" s="260"/>
      <c r="AQ245" s="261">
        <f>AQ250+AQ254+AQ258</f>
        <v>0</v>
      </c>
      <c r="AR245" s="261">
        <f t="shared" ref="AR245:BB245" si="171">AR250+AR254+AR258</f>
        <v>18900000</v>
      </c>
      <c r="AS245" s="261">
        <f t="shared" si="171"/>
        <v>0</v>
      </c>
      <c r="AT245" s="261">
        <f t="shared" si="171"/>
        <v>18900000</v>
      </c>
      <c r="AU245" s="261">
        <f t="shared" si="171"/>
        <v>0</v>
      </c>
      <c r="AV245" s="261">
        <f t="shared" si="171"/>
        <v>0</v>
      </c>
      <c r="AW245" s="261">
        <f t="shared" si="171"/>
        <v>0</v>
      </c>
      <c r="AX245" s="261">
        <f t="shared" si="171"/>
        <v>0</v>
      </c>
      <c r="AY245" s="261">
        <f t="shared" si="171"/>
        <v>0</v>
      </c>
      <c r="AZ245" s="261">
        <f t="shared" si="171"/>
        <v>18900000</v>
      </c>
      <c r="BA245" s="261">
        <f t="shared" si="171"/>
        <v>0</v>
      </c>
      <c r="BB245" s="261">
        <f t="shared" si="171"/>
        <v>0</v>
      </c>
      <c r="BC245" s="184"/>
      <c r="BD245" s="184"/>
      <c r="BE245" s="184"/>
      <c r="BF245" s="184"/>
    </row>
    <row r="246" spans="1:58" ht="94.5" x14ac:dyDescent="0.25">
      <c r="A246" s="172"/>
      <c r="B246" s="200"/>
      <c r="C246" s="201"/>
      <c r="D246" s="346"/>
      <c r="E246" s="355"/>
      <c r="F246" s="355"/>
      <c r="G246" s="356"/>
      <c r="H246" s="199" t="s">
        <v>320</v>
      </c>
      <c r="I246" s="178"/>
      <c r="J246" s="174"/>
      <c r="K246" s="174"/>
      <c r="L246" s="125" t="str">
        <f>IF(I246&lt;&gt;0,((VLOOKUP(I246,'1. Standard_Cost'!$B$4:$D$11,2)+VLOOKUP(I246,'1. Standard_Cost'!$B$4:$D$11,3))*J246*K246),"0")</f>
        <v>0</v>
      </c>
      <c r="M246" s="125">
        <f>L246*'1. Standard_Cost'!$F$4</f>
        <v>0</v>
      </c>
      <c r="N246" s="174"/>
      <c r="O246" s="174"/>
      <c r="P246" s="174"/>
      <c r="Q246" s="174"/>
      <c r="R246" s="127">
        <f>'1. Standard_Cost'!$B$15*N246*P246</f>
        <v>0</v>
      </c>
      <c r="S246" s="127">
        <f>N246*O246*P246*'1. Standard_Cost'!$C$15</f>
        <v>0</v>
      </c>
      <c r="T246" s="127">
        <f>N246*P246*Q246*'1. Standard_Cost'!$D$15</f>
        <v>0</v>
      </c>
      <c r="U246" s="127">
        <f>N246*O246*'1. Standard_Cost'!$E$15</f>
        <v>0</v>
      </c>
      <c r="V246" s="174"/>
      <c r="W246" s="174"/>
      <c r="X246" s="174"/>
      <c r="Y246" s="127">
        <f>+V246*((X246*'1. Standard_Cost'!$B$19)+(W246*X246*'1. Standard_Cost'!$C$19))</f>
        <v>0</v>
      </c>
      <c r="Z246" s="174"/>
      <c r="AA246" s="174"/>
      <c r="AB246" s="127">
        <f>+Z246*'1. Standard_Cost'!$B$23+AA246*'1. Standard_Cost'!$C$23</f>
        <v>0</v>
      </c>
      <c r="AC246" s="176"/>
      <c r="AD246" s="177"/>
      <c r="AE246" s="127">
        <f>SUM(AD246,AC246,AB246,Y246,U246,T246,S246,R246)*'1. Standard_Cost'!$B$31</f>
        <v>0</v>
      </c>
      <c r="AF246" s="127">
        <f>SUM(AE246,AD246,AC246,AB246,Y246,U246,T246,S246,R246)</f>
        <v>0</v>
      </c>
      <c r="AG246" s="174"/>
      <c r="AH246" s="174"/>
      <c r="AI246" s="174"/>
      <c r="AJ246" s="178"/>
      <c r="AK246" s="178"/>
      <c r="AL246" s="178"/>
      <c r="AM246" s="127">
        <f>AG246*'1. Standard_Cost'!$B$27+'Incremental_Cost Year 2'!AH246*'1. Standard_Cost'!$C$27+'Incremental_Cost Year 2'!AI246*'1. Standard_Cost'!$D$27+'Incremental_Cost Year 2'!AJ246+'Incremental_Cost Year 2'!AL246+AK246</f>
        <v>0</v>
      </c>
      <c r="AN246" s="127">
        <f>AM246*'1. Standard_Cost'!$C$31</f>
        <v>0</v>
      </c>
      <c r="AO246" s="178"/>
      <c r="AP246" s="256"/>
      <c r="AQ246" s="171">
        <f>L246+M246</f>
        <v>0</v>
      </c>
      <c r="AR246" s="171">
        <f>AF246</f>
        <v>0</v>
      </c>
      <c r="AS246" s="171">
        <f>AM246+AN246</f>
        <v>0</v>
      </c>
      <c r="AT246" s="171">
        <f>SUM(AQ246,AR246,AS246)</f>
        <v>0</v>
      </c>
      <c r="AU246" s="250">
        <v>0</v>
      </c>
      <c r="AV246" s="250"/>
      <c r="AW246" s="250"/>
      <c r="AX246" s="250"/>
      <c r="AY246" s="250"/>
      <c r="AZ246" s="250"/>
      <c r="BA246" s="250"/>
      <c r="BB246" s="251">
        <f t="shared" ref="BB246:BB249" si="172">SUM(AU246:BA246)-AT246</f>
        <v>0</v>
      </c>
      <c r="BC246" s="169"/>
      <c r="BD246" s="169"/>
      <c r="BE246" s="169"/>
      <c r="BF246" s="169"/>
    </row>
    <row r="247" spans="1:58" ht="63" x14ac:dyDescent="0.25">
      <c r="A247" s="172"/>
      <c r="B247" s="200"/>
      <c r="C247" s="201"/>
      <c r="D247" s="203"/>
      <c r="E247" s="358"/>
      <c r="F247" s="358"/>
      <c r="G247" s="359"/>
      <c r="H247" s="199" t="s">
        <v>321</v>
      </c>
      <c r="I247" s="178"/>
      <c r="J247" s="174"/>
      <c r="K247" s="174"/>
      <c r="L247" s="125" t="str">
        <f>IF(I247&lt;&gt;0,((VLOOKUP(I247,'1. Standard_Cost'!$B$4:$D$11,2)+VLOOKUP(I247,'1. Standard_Cost'!$B$4:$D$11,3))*J247*K247),"0")</f>
        <v>0</v>
      </c>
      <c r="M247" s="125">
        <f>L247*'1. Standard_Cost'!$F$4</f>
        <v>0</v>
      </c>
      <c r="N247" s="174"/>
      <c r="O247" s="174"/>
      <c r="P247" s="174"/>
      <c r="Q247" s="174"/>
      <c r="R247" s="127">
        <f>'1. Standard_Cost'!$B$15*N247*P247</f>
        <v>0</v>
      </c>
      <c r="S247" s="127">
        <f>N247*O247*P247*'1. Standard_Cost'!$C$15</f>
        <v>0</v>
      </c>
      <c r="T247" s="127">
        <f>N247*P247*Q247*'1. Standard_Cost'!$D$15</f>
        <v>0</v>
      </c>
      <c r="U247" s="127">
        <f>N247*O247*'1. Standard_Cost'!$E$15</f>
        <v>0</v>
      </c>
      <c r="V247" s="174"/>
      <c r="W247" s="174"/>
      <c r="X247" s="174"/>
      <c r="Y247" s="127">
        <f>+V247*((X247*'1. Standard_Cost'!$B$19)+(W247*X247*'1. Standard_Cost'!$C$19))</f>
        <v>0</v>
      </c>
      <c r="Z247" s="174"/>
      <c r="AA247" s="174"/>
      <c r="AB247" s="127">
        <f>+Z247*'1. Standard_Cost'!$B$23+AA247*'1. Standard_Cost'!$C$23</f>
        <v>0</v>
      </c>
      <c r="AC247" s="176"/>
      <c r="AD247" s="177"/>
      <c r="AE247" s="127">
        <f>SUM(AD247,AC247,AB247,Y247,U247,T247,S247,R247)*'1. Standard_Cost'!$B$31</f>
        <v>0</v>
      </c>
      <c r="AF247" s="127">
        <f>SUM(AE247,AD247,AC247,AB247,Y247,U247,T247,S247,R247)</f>
        <v>0</v>
      </c>
      <c r="AG247" s="174"/>
      <c r="AH247" s="174"/>
      <c r="AI247" s="174"/>
      <c r="AJ247" s="178"/>
      <c r="AK247" s="178"/>
      <c r="AL247" s="178"/>
      <c r="AM247" s="127">
        <f>AG247*'1. Standard_Cost'!$B$27+'Incremental_Cost Year 2'!AH247*'1. Standard_Cost'!$C$27+'Incremental_Cost Year 2'!AI247*'1. Standard_Cost'!$D$27+'Incremental_Cost Year 2'!AJ247+'Incremental_Cost Year 2'!AL247+AK247</f>
        <v>0</v>
      </c>
      <c r="AN247" s="127">
        <f>AM247*'1. Standard_Cost'!$C$31</f>
        <v>0</v>
      </c>
      <c r="AO247" s="178"/>
      <c r="AP247" s="256"/>
      <c r="AQ247" s="171">
        <f>L247+M247</f>
        <v>0</v>
      </c>
      <c r="AR247" s="171">
        <f>AF247</f>
        <v>0</v>
      </c>
      <c r="AS247" s="171">
        <f>AM247+AN247</f>
        <v>0</v>
      </c>
      <c r="AT247" s="171">
        <f>SUM(AQ247,AR247,AS247)</f>
        <v>0</v>
      </c>
      <c r="AU247" s="250">
        <v>0</v>
      </c>
      <c r="AV247" s="250"/>
      <c r="AW247" s="250"/>
      <c r="AX247" s="250"/>
      <c r="AY247" s="250"/>
      <c r="AZ247" s="250"/>
      <c r="BA247" s="250"/>
      <c r="BB247" s="251">
        <f t="shared" si="172"/>
        <v>0</v>
      </c>
      <c r="BC247" s="169"/>
      <c r="BD247" s="169"/>
      <c r="BE247" s="169"/>
      <c r="BF247" s="169"/>
    </row>
    <row r="248" spans="1:58" ht="110.25" x14ac:dyDescent="0.25">
      <c r="A248" s="172"/>
      <c r="B248" s="200"/>
      <c r="C248" s="201"/>
      <c r="D248" s="203"/>
      <c r="E248" s="358"/>
      <c r="F248" s="358"/>
      <c r="G248" s="359"/>
      <c r="H248" s="213" t="s">
        <v>322</v>
      </c>
      <c r="I248" s="178"/>
      <c r="J248" s="174"/>
      <c r="K248" s="174"/>
      <c r="L248" s="125" t="str">
        <f>IF(I248&lt;&gt;0,((VLOOKUP(I248,'1. Standard_Cost'!$B$4:$D$11,2)+VLOOKUP(I248,'1. Standard_Cost'!$B$4:$D$11,3))*J248*K248),"0")</f>
        <v>0</v>
      </c>
      <c r="M248" s="125">
        <f>L248*'1. Standard_Cost'!$F$4</f>
        <v>0</v>
      </c>
      <c r="N248" s="174"/>
      <c r="O248" s="174"/>
      <c r="P248" s="174"/>
      <c r="Q248" s="174"/>
      <c r="R248" s="127">
        <f>'1. Standard_Cost'!$B$15*N248*P248</f>
        <v>0</v>
      </c>
      <c r="S248" s="127">
        <f>N248*O248*P248*'1. Standard_Cost'!$C$15</f>
        <v>0</v>
      </c>
      <c r="T248" s="127">
        <f>N248*P248*Q248*'1. Standard_Cost'!$D$15</f>
        <v>0</v>
      </c>
      <c r="U248" s="127">
        <f>N248*O248*'1. Standard_Cost'!$E$15</f>
        <v>0</v>
      </c>
      <c r="V248" s="174"/>
      <c r="W248" s="174"/>
      <c r="X248" s="174"/>
      <c r="Y248" s="127">
        <f>+V248*((X248*'1. Standard_Cost'!$B$19)+(W248*X248*'1. Standard_Cost'!$C$19))</f>
        <v>0</v>
      </c>
      <c r="Z248" s="174"/>
      <c r="AA248" s="174"/>
      <c r="AB248" s="127">
        <f>+Z248*'1. Standard_Cost'!$B$23+AA248*'1. Standard_Cost'!$C$23</f>
        <v>0</v>
      </c>
      <c r="AC248" s="176"/>
      <c r="AD248" s="177"/>
      <c r="AE248" s="127">
        <f>SUM(AD248,AC248,AB248,Y248,U248,T248,S248,R248)*'1. Standard_Cost'!$B$31</f>
        <v>0</v>
      </c>
      <c r="AF248" s="127">
        <f>SUM(AE248,AD248,AC248,AB248,Y248,U248,T248,S248,R248)</f>
        <v>0</v>
      </c>
      <c r="AG248" s="174"/>
      <c r="AH248" s="174"/>
      <c r="AI248" s="174"/>
      <c r="AJ248" s="178"/>
      <c r="AK248" s="178"/>
      <c r="AL248" s="178"/>
      <c r="AM248" s="127">
        <f>AG248*'1. Standard_Cost'!$B$27+'Incremental_Cost Year 2'!AH248*'1. Standard_Cost'!$C$27+'Incremental_Cost Year 2'!AI248*'1. Standard_Cost'!$D$27+'Incremental_Cost Year 2'!AJ248+'Incremental_Cost Year 2'!AL248+AK248</f>
        <v>0</v>
      </c>
      <c r="AN248" s="127">
        <f>AM248*'1. Standard_Cost'!$C$31</f>
        <v>0</v>
      </c>
      <c r="AO248" s="178"/>
      <c r="AP248" s="256"/>
      <c r="AQ248" s="171">
        <f>L248+M248</f>
        <v>0</v>
      </c>
      <c r="AR248" s="171">
        <f>AF248</f>
        <v>0</v>
      </c>
      <c r="AS248" s="171">
        <f>AM248+AN248</f>
        <v>0</v>
      </c>
      <c r="AT248" s="171">
        <f>SUM(AQ248,AR248,AS248)</f>
        <v>0</v>
      </c>
      <c r="AU248" s="250"/>
      <c r="AV248" s="250"/>
      <c r="AW248" s="250"/>
      <c r="AX248" s="250"/>
      <c r="AY248" s="250"/>
      <c r="AZ248" s="250"/>
      <c r="BA248" s="250"/>
      <c r="BB248" s="251">
        <f t="shared" si="172"/>
        <v>0</v>
      </c>
      <c r="BC248" s="169"/>
      <c r="BD248" s="169"/>
      <c r="BE248" s="169"/>
      <c r="BF248" s="169"/>
    </row>
    <row r="249" spans="1:58" ht="47.25" x14ac:dyDescent="0.25">
      <c r="A249" s="172"/>
      <c r="B249" s="200"/>
      <c r="C249" s="201"/>
      <c r="D249" s="133"/>
      <c r="E249" s="361"/>
      <c r="F249" s="361"/>
      <c r="G249" s="362"/>
      <c r="H249" s="199" t="s">
        <v>323</v>
      </c>
      <c r="I249" s="178"/>
      <c r="J249" s="174"/>
      <c r="K249" s="174"/>
      <c r="L249" s="125" t="str">
        <f>IF(I249&lt;&gt;0,((VLOOKUP(I249,'1. Standard_Cost'!$B$4:$D$11,2)+VLOOKUP(I249,'1. Standard_Cost'!$B$4:$D$11,3))*J249*K249),"0")</f>
        <v>0</v>
      </c>
      <c r="M249" s="125">
        <f>L249*'1. Standard_Cost'!$F$4</f>
        <v>0</v>
      </c>
      <c r="N249" s="174"/>
      <c r="O249" s="174"/>
      <c r="P249" s="174"/>
      <c r="Q249" s="174"/>
      <c r="R249" s="127">
        <f>'1. Standard_Cost'!$B$15*N249*P249</f>
        <v>0</v>
      </c>
      <c r="S249" s="127">
        <f>N249*O249*P249*'1. Standard_Cost'!$C$15</f>
        <v>0</v>
      </c>
      <c r="T249" s="127">
        <f>N249*P249*Q249*'1. Standard_Cost'!$D$15</f>
        <v>0</v>
      </c>
      <c r="U249" s="127">
        <f>N249*O249*'1. Standard_Cost'!$E$15</f>
        <v>0</v>
      </c>
      <c r="V249" s="174"/>
      <c r="W249" s="174"/>
      <c r="X249" s="174"/>
      <c r="Y249" s="127">
        <f>+V249*((X249*'1. Standard_Cost'!$B$19)+(W249*X249*'1. Standard_Cost'!$C$19))</f>
        <v>0</v>
      </c>
      <c r="Z249" s="174"/>
      <c r="AA249" s="174"/>
      <c r="AB249" s="127">
        <f>+Z249*'1. Standard_Cost'!$B$23+AA249*'1. Standard_Cost'!$C$23</f>
        <v>0</v>
      </c>
      <c r="AC249" s="176"/>
      <c r="AD249" s="177"/>
      <c r="AE249" s="127">
        <f>SUM(AD249,AC249,AB249,Y249,U249,T249,S249,R249)*'1. Standard_Cost'!$B$31</f>
        <v>0</v>
      </c>
      <c r="AF249" s="127">
        <f>SUM(AE249,AD249,AC249,AB249,Y249,U249,T249,S249,R249)</f>
        <v>0</v>
      </c>
      <c r="AG249" s="174"/>
      <c r="AH249" s="174"/>
      <c r="AI249" s="174"/>
      <c r="AJ249" s="178"/>
      <c r="AK249" s="178"/>
      <c r="AL249" s="178"/>
      <c r="AM249" s="127">
        <f>AG249*'1. Standard_Cost'!$B$27+'Incremental_Cost Year 2'!AH249*'1. Standard_Cost'!$C$27+'Incremental_Cost Year 2'!AI249*'1. Standard_Cost'!$D$27+'Incremental_Cost Year 2'!AJ249+'Incremental_Cost Year 2'!AL249+AK249</f>
        <v>0</v>
      </c>
      <c r="AN249" s="127">
        <f>AM249*'1. Standard_Cost'!$C$31</f>
        <v>0</v>
      </c>
      <c r="AO249" s="178"/>
      <c r="AP249" s="256"/>
      <c r="AQ249" s="171">
        <f>L249+M249</f>
        <v>0</v>
      </c>
      <c r="AR249" s="171">
        <f>AF249</f>
        <v>0</v>
      </c>
      <c r="AS249" s="171">
        <f>AM249+AN249</f>
        <v>0</v>
      </c>
      <c r="AT249" s="171">
        <f>SUM(AQ249,AR249,AS249)</f>
        <v>0</v>
      </c>
      <c r="AU249" s="250"/>
      <c r="AV249" s="250"/>
      <c r="AW249" s="250"/>
      <c r="AX249" s="250"/>
      <c r="AY249" s="250"/>
      <c r="AZ249" s="250"/>
      <c r="BA249" s="250"/>
      <c r="BB249" s="251">
        <f t="shared" si="172"/>
        <v>0</v>
      </c>
      <c r="BC249" s="169"/>
      <c r="BD249" s="169"/>
      <c r="BE249" s="169"/>
      <c r="BF249" s="169"/>
    </row>
    <row r="250" spans="1:58" ht="30" x14ac:dyDescent="0.25">
      <c r="A250" s="172"/>
      <c r="B250" s="363"/>
      <c r="C250" s="364"/>
      <c r="D250" s="365" t="s">
        <v>559</v>
      </c>
      <c r="E250" s="365" t="s">
        <v>324</v>
      </c>
      <c r="F250" s="366">
        <v>2025</v>
      </c>
      <c r="G250" s="209">
        <v>2030</v>
      </c>
      <c r="H250" s="180" t="s">
        <v>325</v>
      </c>
      <c r="I250" s="273"/>
      <c r="J250" s="273"/>
      <c r="K250" s="273"/>
      <c r="L250" s="175">
        <f>SUM(L246:L249)</f>
        <v>0</v>
      </c>
      <c r="M250" s="175">
        <f>SUM(M246:M249)</f>
        <v>0</v>
      </c>
      <c r="N250" s="273"/>
      <c r="O250" s="273"/>
      <c r="P250" s="273"/>
      <c r="Q250" s="273"/>
      <c r="R250" s="175">
        <f>SUM(R246:R249)</f>
        <v>0</v>
      </c>
      <c r="S250" s="175">
        <f>SUM(S246:S249)</f>
        <v>0</v>
      </c>
      <c r="T250" s="175">
        <f>SUM(T246:T249)</f>
        <v>0</v>
      </c>
      <c r="U250" s="175">
        <f>SUM(U246:U249)</f>
        <v>0</v>
      </c>
      <c r="V250" s="273"/>
      <c r="W250" s="273"/>
      <c r="X250" s="273"/>
      <c r="Y250" s="175">
        <f>SUM(Y246:Y249)</f>
        <v>0</v>
      </c>
      <c r="Z250" s="273"/>
      <c r="AA250" s="273"/>
      <c r="AB250" s="175">
        <f>SUM(AB246:AB249)</f>
        <v>0</v>
      </c>
      <c r="AC250" s="175">
        <f>SUM(AC246:AC249)</f>
        <v>0</v>
      </c>
      <c r="AD250" s="175">
        <f>SUM(AD246:AD249)</f>
        <v>0</v>
      </c>
      <c r="AE250" s="175">
        <f>SUM(AE246:AE249)</f>
        <v>0</v>
      </c>
      <c r="AF250" s="175">
        <f>SUM(AF246:AF249)</f>
        <v>0</v>
      </c>
      <c r="AG250" s="273"/>
      <c r="AH250" s="273"/>
      <c r="AI250" s="273"/>
      <c r="AJ250" s="175">
        <f>SUM(AJ246:AJ249)</f>
        <v>0</v>
      </c>
      <c r="AK250" s="175">
        <f>SUM(AK246:AK249)</f>
        <v>0</v>
      </c>
      <c r="AL250" s="175">
        <f>SUM(AL246:AL249)</f>
        <v>0</v>
      </c>
      <c r="AM250" s="175">
        <f>SUM(AM246:AM249)</f>
        <v>0</v>
      </c>
      <c r="AN250" s="175">
        <f>SUM(AN246:AN249)</f>
        <v>0</v>
      </c>
      <c r="AO250" s="274"/>
      <c r="AP250" s="254"/>
      <c r="AQ250" s="175">
        <f>SUM(AQ246:AQ249)</f>
        <v>0</v>
      </c>
      <c r="AR250" s="175">
        <f t="shared" ref="AR250:BB250" si="173">SUM(AR246:AR249)</f>
        <v>0</v>
      </c>
      <c r="AS250" s="175">
        <f t="shared" si="173"/>
        <v>0</v>
      </c>
      <c r="AT250" s="175">
        <f t="shared" si="173"/>
        <v>0</v>
      </c>
      <c r="AU250" s="175">
        <f t="shared" si="173"/>
        <v>0</v>
      </c>
      <c r="AV250" s="175">
        <f t="shared" si="173"/>
        <v>0</v>
      </c>
      <c r="AW250" s="175">
        <f t="shared" si="173"/>
        <v>0</v>
      </c>
      <c r="AX250" s="175">
        <f t="shared" si="173"/>
        <v>0</v>
      </c>
      <c r="AY250" s="175">
        <f t="shared" si="173"/>
        <v>0</v>
      </c>
      <c r="AZ250" s="175">
        <f t="shared" si="173"/>
        <v>0</v>
      </c>
      <c r="BA250" s="175">
        <f t="shared" si="173"/>
        <v>0</v>
      </c>
      <c r="BB250" s="175">
        <f t="shared" si="173"/>
        <v>0</v>
      </c>
      <c r="BC250" s="169"/>
      <c r="BD250" s="169"/>
      <c r="BE250" s="169"/>
      <c r="BF250" s="169"/>
    </row>
    <row r="251" spans="1:58" ht="63" customHeight="1" x14ac:dyDescent="0.25">
      <c r="A251" s="172"/>
      <c r="B251" s="200"/>
      <c r="C251" s="201"/>
      <c r="D251" s="202"/>
      <c r="E251" s="354"/>
      <c r="F251" s="355"/>
      <c r="G251" s="356"/>
      <c r="H251" s="213" t="s">
        <v>361</v>
      </c>
      <c r="I251" s="178"/>
      <c r="J251" s="174"/>
      <c r="K251" s="174"/>
      <c r="L251" s="125" t="str">
        <f>IF(I251&lt;&gt;0,((VLOOKUP(I251,'1. Standard_Cost'!$B$4:$D$11,2)+VLOOKUP(I251,'1. Standard_Cost'!$B$4:$D$11,3))*J251*K251),"0")</f>
        <v>0</v>
      </c>
      <c r="M251" s="125">
        <f>L251*'1. Standard_Cost'!$F$4</f>
        <v>0</v>
      </c>
      <c r="N251" s="174"/>
      <c r="O251" s="174"/>
      <c r="P251" s="174"/>
      <c r="Q251" s="174"/>
      <c r="R251" s="127">
        <f>'1. Standard_Cost'!$B$15*N251*P251</f>
        <v>0</v>
      </c>
      <c r="S251" s="127">
        <f>N251*O251*P251*'1. Standard_Cost'!$C$15</f>
        <v>0</v>
      </c>
      <c r="T251" s="127">
        <f>N251*P251*Q251*'1. Standard_Cost'!$D$15</f>
        <v>0</v>
      </c>
      <c r="U251" s="127">
        <f>N251*O251*'1. Standard_Cost'!$E$15</f>
        <v>0</v>
      </c>
      <c r="V251" s="174"/>
      <c r="W251" s="174"/>
      <c r="X251" s="174"/>
      <c r="Y251" s="127">
        <f>+V251*((X251*'1. Standard_Cost'!$B$19)+(W251*X251*'1. Standard_Cost'!$C$19))</f>
        <v>0</v>
      </c>
      <c r="Z251" s="174"/>
      <c r="AA251" s="174"/>
      <c r="AB251" s="127">
        <f>+Z251*'1. Standard_Cost'!$B$23+AA251*'1. Standard_Cost'!$C$23</f>
        <v>0</v>
      </c>
      <c r="AC251" s="176">
        <v>18900000</v>
      </c>
      <c r="AD251" s="177"/>
      <c r="AE251" s="127"/>
      <c r="AF251" s="127">
        <f>SUM(AE251,AD251,AC251,AB251,Y251,U251,T251,S251,R251)</f>
        <v>18900000</v>
      </c>
      <c r="AG251" s="174"/>
      <c r="AH251" s="174"/>
      <c r="AI251" s="174"/>
      <c r="AJ251" s="178"/>
      <c r="AK251" s="178"/>
      <c r="AL251" s="178"/>
      <c r="AM251" s="127">
        <f>AG251*'1. Standard_Cost'!$B$27+'Incremental_Cost Year 2'!AH251*'1. Standard_Cost'!$C$27+'Incremental_Cost Year 2'!AI251*'1. Standard_Cost'!$D$27+'Incremental_Cost Year 2'!AJ251+'Incremental_Cost Year 2'!AL251+AK251</f>
        <v>0</v>
      </c>
      <c r="AN251" s="127">
        <f>AM251*'1. Standard_Cost'!$C$31</f>
        <v>0</v>
      </c>
      <c r="AO251" s="178"/>
      <c r="AP251" s="256"/>
      <c r="AQ251" s="171">
        <f>L251+M251</f>
        <v>0</v>
      </c>
      <c r="AR251" s="171">
        <f>AF251</f>
        <v>18900000</v>
      </c>
      <c r="AS251" s="171">
        <f>AM251+AN251</f>
        <v>0</v>
      </c>
      <c r="AT251" s="171">
        <f>SUM(AQ251,AR251,AS251)</f>
        <v>18900000</v>
      </c>
      <c r="AU251" s="250"/>
      <c r="AV251" s="250"/>
      <c r="AW251" s="250"/>
      <c r="AX251" s="250"/>
      <c r="AY251" s="250"/>
      <c r="AZ251" s="250">
        <v>18900000</v>
      </c>
      <c r="BA251" s="250"/>
      <c r="BB251" s="251">
        <f t="shared" ref="BB251:BB253" si="174">SUM(AU251:BA251)-AT251</f>
        <v>0</v>
      </c>
      <c r="BC251" s="169"/>
      <c r="BD251" s="169"/>
      <c r="BE251" s="169"/>
      <c r="BF251" s="169"/>
    </row>
    <row r="252" spans="1:58" ht="189" x14ac:dyDescent="0.25">
      <c r="A252" s="172"/>
      <c r="B252" s="200"/>
      <c r="C252" s="201"/>
      <c r="D252" s="202"/>
      <c r="E252" s="357"/>
      <c r="F252" s="358"/>
      <c r="G252" s="359"/>
      <c r="H252" s="199" t="s">
        <v>326</v>
      </c>
      <c r="I252" s="178"/>
      <c r="J252" s="174"/>
      <c r="K252" s="174"/>
      <c r="L252" s="125" t="str">
        <f>IF(I252&lt;&gt;0,((VLOOKUP(I252,'1. Standard_Cost'!$B$4:$D$11,2)+VLOOKUP(I252,'1. Standard_Cost'!$B$4:$D$11,3))*J252*K252),"0")</f>
        <v>0</v>
      </c>
      <c r="M252" s="125">
        <f>L252*'1. Standard_Cost'!$F$4</f>
        <v>0</v>
      </c>
      <c r="N252" s="174"/>
      <c r="O252" s="174"/>
      <c r="P252" s="174"/>
      <c r="Q252" s="174"/>
      <c r="R252" s="127">
        <f>'1. Standard_Cost'!$B$15*N252*P252</f>
        <v>0</v>
      </c>
      <c r="S252" s="127">
        <f>N252*O252*P252*'1. Standard_Cost'!$C$15</f>
        <v>0</v>
      </c>
      <c r="T252" s="127">
        <f>N252*P252*Q252*'1. Standard_Cost'!$D$15</f>
        <v>0</v>
      </c>
      <c r="U252" s="127">
        <f>N252*O252*'1. Standard_Cost'!$E$15</f>
        <v>0</v>
      </c>
      <c r="V252" s="174"/>
      <c r="W252" s="174"/>
      <c r="X252" s="174"/>
      <c r="Y252" s="127">
        <f>+V252*((X252*'1. Standard_Cost'!$B$19)+(W252*X252*'1. Standard_Cost'!$C$19))</f>
        <v>0</v>
      </c>
      <c r="Z252" s="174"/>
      <c r="AA252" s="174"/>
      <c r="AB252" s="127">
        <f>+Z252*'1. Standard_Cost'!$B$23+AA252*'1. Standard_Cost'!$C$23</f>
        <v>0</v>
      </c>
      <c r="AC252" s="176"/>
      <c r="AD252" s="177"/>
      <c r="AE252" s="127">
        <f>SUM(AD252,AC252,AB252,Y252,U252,T252,S252,R252)*'1. Standard_Cost'!$B$31</f>
        <v>0</v>
      </c>
      <c r="AF252" s="127">
        <f>SUM(AE252,AD252,AC252,AB252,Y252,U252,T252,S252,R252)</f>
        <v>0</v>
      </c>
      <c r="AG252" s="174"/>
      <c r="AH252" s="174"/>
      <c r="AI252" s="174"/>
      <c r="AJ252" s="178"/>
      <c r="AK252" s="178"/>
      <c r="AL252" s="178"/>
      <c r="AM252" s="127">
        <f>AG252*'1. Standard_Cost'!$B$27+'Incremental_Cost Year 2'!AH252*'1. Standard_Cost'!$C$27+'Incremental_Cost Year 2'!AI252*'1. Standard_Cost'!$D$27+'Incremental_Cost Year 2'!AJ252+'Incremental_Cost Year 2'!AL252+AK252</f>
        <v>0</v>
      </c>
      <c r="AN252" s="127">
        <f>AM252*'1. Standard_Cost'!$C$31</f>
        <v>0</v>
      </c>
      <c r="AO252" s="178"/>
      <c r="AP252" s="256"/>
      <c r="AQ252" s="171">
        <f>L252+M252</f>
        <v>0</v>
      </c>
      <c r="AR252" s="171">
        <f>AF252</f>
        <v>0</v>
      </c>
      <c r="AS252" s="171">
        <f>AM252+AN252</f>
        <v>0</v>
      </c>
      <c r="AT252" s="171">
        <f>SUM(AQ252,AR252,AS252)</f>
        <v>0</v>
      </c>
      <c r="AU252" s="250"/>
      <c r="AV252" s="250"/>
      <c r="AW252" s="250">
        <v>0</v>
      </c>
      <c r="AX252" s="250"/>
      <c r="AY252" s="250"/>
      <c r="AZ252" s="250"/>
      <c r="BA252" s="250"/>
      <c r="BB252" s="251">
        <f t="shared" si="174"/>
        <v>0</v>
      </c>
      <c r="BC252" s="169"/>
      <c r="BD252" s="169"/>
      <c r="BE252" s="169"/>
      <c r="BF252" s="169"/>
    </row>
    <row r="253" spans="1:58" ht="141.75" x14ac:dyDescent="0.25">
      <c r="A253" s="172"/>
      <c r="B253" s="200"/>
      <c r="C253" s="201"/>
      <c r="D253" s="202"/>
      <c r="E253" s="360"/>
      <c r="F253" s="361"/>
      <c r="G253" s="362"/>
      <c r="H253" s="199" t="s">
        <v>327</v>
      </c>
      <c r="I253" s="178"/>
      <c r="J253" s="174"/>
      <c r="K253" s="174"/>
      <c r="L253" s="125" t="str">
        <f>IF(I253&lt;&gt;0,((VLOOKUP(I253,'1. Standard_Cost'!$B$4:$D$11,2)+VLOOKUP(I253,'1. Standard_Cost'!$B$4:$D$11,3))*J253*K253),"0")</f>
        <v>0</v>
      </c>
      <c r="M253" s="125">
        <f>L253*'1. Standard_Cost'!$F$4</f>
        <v>0</v>
      </c>
      <c r="N253" s="174"/>
      <c r="O253" s="174"/>
      <c r="P253" s="174"/>
      <c r="Q253" s="174"/>
      <c r="R253" s="127">
        <f>'1. Standard_Cost'!$B$15*N253*P253</f>
        <v>0</v>
      </c>
      <c r="S253" s="127">
        <f>N253*O253*P253*'1. Standard_Cost'!$C$15</f>
        <v>0</v>
      </c>
      <c r="T253" s="127">
        <f>N253*P253*Q253*'1. Standard_Cost'!$D$15</f>
        <v>0</v>
      </c>
      <c r="U253" s="127">
        <f>N253*O253*'1. Standard_Cost'!$E$15</f>
        <v>0</v>
      </c>
      <c r="V253" s="174"/>
      <c r="W253" s="174"/>
      <c r="X253" s="174"/>
      <c r="Y253" s="127">
        <f>+V253*((X253*'1. Standard_Cost'!$B$19)+(W253*X253*'1. Standard_Cost'!$C$19))</f>
        <v>0</v>
      </c>
      <c r="Z253" s="174"/>
      <c r="AA253" s="174"/>
      <c r="AB253" s="127">
        <f>+Z253*'1. Standard_Cost'!$B$23+AA253*'1. Standard_Cost'!$C$23</f>
        <v>0</v>
      </c>
      <c r="AC253" s="176">
        <v>0</v>
      </c>
      <c r="AD253" s="177"/>
      <c r="AE253" s="127">
        <f>SUM(AD253,AC253,AB253,Y253,U253,T253,S253,R253)*'1. Standard_Cost'!$B$31</f>
        <v>0</v>
      </c>
      <c r="AF253" s="127">
        <f>SUM(AE253,AD253,AC253,AB253,Y253,U253,T253,S253,R253)</f>
        <v>0</v>
      </c>
      <c r="AG253" s="174"/>
      <c r="AH253" s="174"/>
      <c r="AI253" s="174"/>
      <c r="AJ253" s="178"/>
      <c r="AK253" s="178"/>
      <c r="AL253" s="178"/>
      <c r="AM253" s="127">
        <f>AG253*'1. Standard_Cost'!$B$27+'Incremental_Cost Year 2'!AH253*'1. Standard_Cost'!$C$27+'Incremental_Cost Year 2'!AI253*'1. Standard_Cost'!$D$27+'Incremental_Cost Year 2'!AJ253+'Incremental_Cost Year 2'!AL253+AK253</f>
        <v>0</v>
      </c>
      <c r="AN253" s="127">
        <f>AM253*'1. Standard_Cost'!$C$31</f>
        <v>0</v>
      </c>
      <c r="AO253" s="178"/>
      <c r="AP253" s="256"/>
      <c r="AQ253" s="171">
        <f>L253+M253</f>
        <v>0</v>
      </c>
      <c r="AR253" s="171">
        <f>AF253</f>
        <v>0</v>
      </c>
      <c r="AS253" s="171">
        <f>AM253+AN253</f>
        <v>0</v>
      </c>
      <c r="AT253" s="171">
        <f>SUM(AQ253,AR253,AS253)</f>
        <v>0</v>
      </c>
      <c r="AU253" s="250">
        <v>0</v>
      </c>
      <c r="AV253" s="250"/>
      <c r="AW253" s="250"/>
      <c r="AX253" s="250"/>
      <c r="AY253" s="250"/>
      <c r="AZ253" s="250"/>
      <c r="BA253" s="250"/>
      <c r="BB253" s="251">
        <f t="shared" si="174"/>
        <v>0</v>
      </c>
      <c r="BC253" s="169"/>
      <c r="BD253" s="169"/>
      <c r="BE253" s="169"/>
      <c r="BF253" s="169"/>
    </row>
    <row r="254" spans="1:58" ht="51" x14ac:dyDescent="0.2">
      <c r="A254" s="172"/>
      <c r="B254" s="168"/>
      <c r="C254" s="204"/>
      <c r="D254" s="195" t="s">
        <v>558</v>
      </c>
      <c r="E254" s="205" t="s">
        <v>328</v>
      </c>
      <c r="F254" s="206">
        <v>2021</v>
      </c>
      <c r="G254" s="209">
        <v>2030</v>
      </c>
      <c r="H254" s="180" t="s">
        <v>329</v>
      </c>
      <c r="I254" s="273"/>
      <c r="J254" s="273"/>
      <c r="K254" s="273"/>
      <c r="L254" s="175">
        <f>SUM(L251:L253)</f>
        <v>0</v>
      </c>
      <c r="M254" s="175">
        <f>SUM(M251:M253)</f>
        <v>0</v>
      </c>
      <c r="N254" s="273"/>
      <c r="O254" s="273"/>
      <c r="P254" s="273"/>
      <c r="Q254" s="273"/>
      <c r="R254" s="175">
        <f>SUM(R251:R253)</f>
        <v>0</v>
      </c>
      <c r="S254" s="175">
        <f>SUM(S251:S253)</f>
        <v>0</v>
      </c>
      <c r="T254" s="175">
        <f>SUM(T251:T253)</f>
        <v>0</v>
      </c>
      <c r="U254" s="175">
        <f>SUM(U251:U253)</f>
        <v>0</v>
      </c>
      <c r="V254" s="273"/>
      <c r="W254" s="273"/>
      <c r="X254" s="273"/>
      <c r="Y254" s="175">
        <f>SUM(Y251:Y253)</f>
        <v>0</v>
      </c>
      <c r="Z254" s="273"/>
      <c r="AA254" s="273"/>
      <c r="AB254" s="175">
        <f>SUM(AB251:AB253)</f>
        <v>0</v>
      </c>
      <c r="AC254" s="175">
        <f>SUM(AC251:AC253)</f>
        <v>18900000</v>
      </c>
      <c r="AD254" s="175">
        <f>SUM(AD251:AD253)</f>
        <v>0</v>
      </c>
      <c r="AE254" s="175">
        <f>SUM(AE251:AE253)</f>
        <v>0</v>
      </c>
      <c r="AF254" s="175">
        <f>SUM(AF251:AF253)</f>
        <v>18900000</v>
      </c>
      <c r="AG254" s="273"/>
      <c r="AH254" s="273"/>
      <c r="AI254" s="273"/>
      <c r="AJ254" s="175">
        <f>SUM(AJ251:AJ253)</f>
        <v>0</v>
      </c>
      <c r="AK254" s="175">
        <f>SUM(AK251:AK253)</f>
        <v>0</v>
      </c>
      <c r="AL254" s="175">
        <f>SUM(AL251:AL253)</f>
        <v>0</v>
      </c>
      <c r="AM254" s="175">
        <f>SUM(AM251:AM253)</f>
        <v>0</v>
      </c>
      <c r="AN254" s="175">
        <f>SUM(AN251:AN253)</f>
        <v>0</v>
      </c>
      <c r="AO254" s="274"/>
      <c r="AP254" s="254"/>
      <c r="AQ254" s="175">
        <f>SUM(AQ251:AQ253)</f>
        <v>0</v>
      </c>
      <c r="AR254" s="175">
        <f t="shared" ref="AR254:BB254" si="175">SUM(AR251:AR253)</f>
        <v>18900000</v>
      </c>
      <c r="AS254" s="175">
        <f t="shared" si="175"/>
        <v>0</v>
      </c>
      <c r="AT254" s="175">
        <f t="shared" si="175"/>
        <v>18900000</v>
      </c>
      <c r="AU254" s="175">
        <f t="shared" si="175"/>
        <v>0</v>
      </c>
      <c r="AV254" s="175">
        <f t="shared" si="175"/>
        <v>0</v>
      </c>
      <c r="AW254" s="175">
        <f t="shared" si="175"/>
        <v>0</v>
      </c>
      <c r="AX254" s="175">
        <f t="shared" si="175"/>
        <v>0</v>
      </c>
      <c r="AY254" s="175">
        <f t="shared" si="175"/>
        <v>0</v>
      </c>
      <c r="AZ254" s="175">
        <f t="shared" si="175"/>
        <v>18900000</v>
      </c>
      <c r="BA254" s="175">
        <f t="shared" si="175"/>
        <v>0</v>
      </c>
      <c r="BB254" s="175">
        <f t="shared" si="175"/>
        <v>0</v>
      </c>
      <c r="BC254" s="169"/>
      <c r="BD254" s="169"/>
      <c r="BE254" s="169"/>
      <c r="BF254" s="169"/>
    </row>
    <row r="255" spans="1:58" ht="78.75" x14ac:dyDescent="0.25">
      <c r="A255" s="172"/>
      <c r="B255" s="200"/>
      <c r="C255" s="201"/>
      <c r="D255" s="202"/>
      <c r="E255" s="354"/>
      <c r="F255" s="355"/>
      <c r="G255" s="356"/>
      <c r="H255" s="213" t="s">
        <v>330</v>
      </c>
      <c r="I255" s="178"/>
      <c r="J255" s="174"/>
      <c r="K255" s="174"/>
      <c r="L255" s="125" t="str">
        <f>IF(I255&lt;&gt;0,((VLOOKUP(I255,'1. Standard_Cost'!$B$4:$D$11,2)+VLOOKUP(I255,'1. Standard_Cost'!$B$4:$D$11,3))*J255*K255),"0")</f>
        <v>0</v>
      </c>
      <c r="M255" s="125">
        <f>L255*'1. Standard_Cost'!$F$4</f>
        <v>0</v>
      </c>
      <c r="N255" s="174"/>
      <c r="O255" s="174"/>
      <c r="P255" s="174"/>
      <c r="Q255" s="174"/>
      <c r="R255" s="127">
        <f>'1. Standard_Cost'!$B$15*N255*P255</f>
        <v>0</v>
      </c>
      <c r="S255" s="127">
        <f>N255*O255*P255*'1. Standard_Cost'!$C$15</f>
        <v>0</v>
      </c>
      <c r="T255" s="127">
        <f>N255*P255*Q255*'1. Standard_Cost'!$D$15</f>
        <v>0</v>
      </c>
      <c r="U255" s="127">
        <f>N255*O255*'1. Standard_Cost'!$E$15</f>
        <v>0</v>
      </c>
      <c r="V255" s="174"/>
      <c r="W255" s="174"/>
      <c r="X255" s="174"/>
      <c r="Y255" s="127">
        <f>+V255*((X255*'1. Standard_Cost'!$B$19)+(W255*X255*'1. Standard_Cost'!$C$19))</f>
        <v>0</v>
      </c>
      <c r="Z255" s="174"/>
      <c r="AA255" s="174"/>
      <c r="AB255" s="127">
        <f>+Z255*'1. Standard_Cost'!$B$23+AA255*'1. Standard_Cost'!$C$23</f>
        <v>0</v>
      </c>
      <c r="AC255" s="176"/>
      <c r="AD255" s="177"/>
      <c r="AE255" s="127">
        <f>SUM(AD255,AC255,AB255,Y255,U255,T255,S255,R255)*'1. Standard_Cost'!$B$31</f>
        <v>0</v>
      </c>
      <c r="AF255" s="127">
        <f>SUM(AE255,AD255,AC255,AB255,Y255,U255,T255,S255,R255)</f>
        <v>0</v>
      </c>
      <c r="AG255" s="174"/>
      <c r="AH255" s="174"/>
      <c r="AI255" s="174"/>
      <c r="AJ255" s="178"/>
      <c r="AK255" s="178"/>
      <c r="AL255" s="178"/>
      <c r="AM255" s="127">
        <f>AG255*'1. Standard_Cost'!$B$27+'Incremental_Cost Year 2'!AH255*'1. Standard_Cost'!$C$27+'Incremental_Cost Year 2'!AI255*'1. Standard_Cost'!$D$27+'Incremental_Cost Year 2'!AJ255+'Incremental_Cost Year 2'!AL255+AK255</f>
        <v>0</v>
      </c>
      <c r="AN255" s="127">
        <f>AM255*'1. Standard_Cost'!$C$31</f>
        <v>0</v>
      </c>
      <c r="AO255" s="178"/>
      <c r="AP255" s="256"/>
      <c r="AQ255" s="171">
        <f>L255+M255</f>
        <v>0</v>
      </c>
      <c r="AR255" s="171">
        <f>AF255</f>
        <v>0</v>
      </c>
      <c r="AS255" s="171">
        <f>AM255+AN255</f>
        <v>0</v>
      </c>
      <c r="AT255" s="171">
        <f>SUM(AQ255,AR255,AS255)</f>
        <v>0</v>
      </c>
      <c r="AU255" s="250"/>
      <c r="AV255" s="250"/>
      <c r="AW255" s="250"/>
      <c r="AX255" s="250"/>
      <c r="AY255" s="250"/>
      <c r="AZ255" s="250"/>
      <c r="BA255" s="250"/>
      <c r="BB255" s="251">
        <f t="shared" ref="BB255:BB257" si="176">SUM(AU255:BA255)-AT255</f>
        <v>0</v>
      </c>
      <c r="BC255" s="169"/>
      <c r="BD255" s="169"/>
      <c r="BE255" s="169"/>
      <c r="BF255" s="169"/>
    </row>
    <row r="256" spans="1:58" ht="78.75" x14ac:dyDescent="0.25">
      <c r="A256" s="172"/>
      <c r="B256" s="200"/>
      <c r="C256" s="201"/>
      <c r="D256" s="202"/>
      <c r="E256" s="357"/>
      <c r="F256" s="358"/>
      <c r="G256" s="359"/>
      <c r="H256" s="199" t="s">
        <v>331</v>
      </c>
      <c r="I256" s="178"/>
      <c r="J256" s="174"/>
      <c r="K256" s="174"/>
      <c r="L256" s="125" t="str">
        <f>IF(I256&lt;&gt;0,((VLOOKUP(I256,'1. Standard_Cost'!$B$4:$D$11,2)+VLOOKUP(I256,'1. Standard_Cost'!$B$4:$D$11,3))*J256*K256),"0")</f>
        <v>0</v>
      </c>
      <c r="M256" s="125">
        <f>L256*'1. Standard_Cost'!$F$4</f>
        <v>0</v>
      </c>
      <c r="N256" s="174"/>
      <c r="O256" s="174"/>
      <c r="P256" s="174"/>
      <c r="Q256" s="174"/>
      <c r="R256" s="127">
        <f>'1. Standard_Cost'!$B$15*N256*P256</f>
        <v>0</v>
      </c>
      <c r="S256" s="127">
        <f>N256*O256*P256*'1. Standard_Cost'!$C$15</f>
        <v>0</v>
      </c>
      <c r="T256" s="127">
        <f>N256*P256*Q256*'1. Standard_Cost'!$D$15</f>
        <v>0</v>
      </c>
      <c r="U256" s="127">
        <f>N256*O256*'1. Standard_Cost'!$E$15</f>
        <v>0</v>
      </c>
      <c r="V256" s="174"/>
      <c r="W256" s="174"/>
      <c r="X256" s="174"/>
      <c r="Y256" s="127">
        <f>+V256*((X256*'1. Standard_Cost'!$B$19)+(W256*X256*'1. Standard_Cost'!$C$19))</f>
        <v>0</v>
      </c>
      <c r="Z256" s="174"/>
      <c r="AA256" s="174"/>
      <c r="AB256" s="127">
        <f>+Z256*'1. Standard_Cost'!$B$23+AA256*'1. Standard_Cost'!$C$23</f>
        <v>0</v>
      </c>
      <c r="AC256" s="176"/>
      <c r="AD256" s="177"/>
      <c r="AE256" s="127">
        <f>SUM(AD256,AC256,AB256,Y256,U256,T256,S256,R256)*'1. Standard_Cost'!$B$31</f>
        <v>0</v>
      </c>
      <c r="AF256" s="127">
        <f>SUM(AE256,AD256,AC256,AB256,Y256,U256,T256,S256,R256)</f>
        <v>0</v>
      </c>
      <c r="AG256" s="174"/>
      <c r="AH256" s="174"/>
      <c r="AI256" s="174"/>
      <c r="AJ256" s="178"/>
      <c r="AK256" s="178"/>
      <c r="AL256" s="178"/>
      <c r="AM256" s="127">
        <f>AG256*'1. Standard_Cost'!$B$27+'Incremental_Cost Year 2'!AH256*'1. Standard_Cost'!$C$27+'Incremental_Cost Year 2'!AI256*'1. Standard_Cost'!$D$27+'Incremental_Cost Year 2'!AJ256+'Incremental_Cost Year 2'!AL256+AK256</f>
        <v>0</v>
      </c>
      <c r="AN256" s="127">
        <f>AM256*'1. Standard_Cost'!$C$31</f>
        <v>0</v>
      </c>
      <c r="AO256" s="178"/>
      <c r="AP256" s="256"/>
      <c r="AQ256" s="171">
        <f>L256+M256</f>
        <v>0</v>
      </c>
      <c r="AR256" s="171">
        <f>AF256</f>
        <v>0</v>
      </c>
      <c r="AS256" s="171">
        <f>AM256+AN256</f>
        <v>0</v>
      </c>
      <c r="AT256" s="171">
        <f>SUM(AQ256,AR256,AS256)</f>
        <v>0</v>
      </c>
      <c r="AU256" s="250"/>
      <c r="AV256" s="250"/>
      <c r="AW256" s="250"/>
      <c r="AX256" s="250"/>
      <c r="AY256" s="250"/>
      <c r="AZ256" s="250"/>
      <c r="BA256" s="250"/>
      <c r="BB256" s="251">
        <f t="shared" si="176"/>
        <v>0</v>
      </c>
      <c r="BC256" s="169"/>
      <c r="BD256" s="169"/>
      <c r="BE256" s="169"/>
      <c r="BF256" s="169"/>
    </row>
    <row r="257" spans="1:58" ht="94.5" x14ac:dyDescent="0.25">
      <c r="A257" s="172"/>
      <c r="B257" s="200"/>
      <c r="C257" s="201"/>
      <c r="D257" s="202"/>
      <c r="E257" s="360"/>
      <c r="F257" s="361"/>
      <c r="G257" s="362"/>
      <c r="H257" s="199" t="s">
        <v>332</v>
      </c>
      <c r="I257" s="178"/>
      <c r="J257" s="174"/>
      <c r="K257" s="174"/>
      <c r="L257" s="125" t="str">
        <f>IF(I257&lt;&gt;0,((VLOOKUP(I257,'1. Standard_Cost'!$B$4:$D$11,2)+VLOOKUP(I257,'1. Standard_Cost'!$B$4:$D$11,3))*J257*K257),"0")</f>
        <v>0</v>
      </c>
      <c r="M257" s="125">
        <f>L257*'1. Standard_Cost'!$F$4</f>
        <v>0</v>
      </c>
      <c r="N257" s="174"/>
      <c r="O257" s="174"/>
      <c r="P257" s="174"/>
      <c r="Q257" s="174"/>
      <c r="R257" s="127">
        <f>'1. Standard_Cost'!$B$15*N257*P257</f>
        <v>0</v>
      </c>
      <c r="S257" s="127">
        <f>N257*O257*P257*'1. Standard_Cost'!$C$15</f>
        <v>0</v>
      </c>
      <c r="T257" s="127">
        <f>N257*P257*Q257*'1. Standard_Cost'!$D$15</f>
        <v>0</v>
      </c>
      <c r="U257" s="127">
        <f>N257*O257*'1. Standard_Cost'!$E$15</f>
        <v>0</v>
      </c>
      <c r="V257" s="174"/>
      <c r="W257" s="174"/>
      <c r="X257" s="174"/>
      <c r="Y257" s="127">
        <f>+V257*((X257*'1. Standard_Cost'!$B$19)+(W257*X257*'1. Standard_Cost'!$C$19))</f>
        <v>0</v>
      </c>
      <c r="Z257" s="174"/>
      <c r="AA257" s="174"/>
      <c r="AB257" s="127">
        <f>+Z257*'1. Standard_Cost'!$B$23+AA257*'1. Standard_Cost'!$C$23</f>
        <v>0</v>
      </c>
      <c r="AC257" s="176"/>
      <c r="AD257" s="177"/>
      <c r="AE257" s="127">
        <f>SUM(AD257,AC257,AB257,Y257,U257,T257,S257,R257)*'1. Standard_Cost'!$B$31</f>
        <v>0</v>
      </c>
      <c r="AF257" s="127">
        <f>SUM(AE257,AD257,AC257,AB257,Y257,U257,T257,S257,R257)</f>
        <v>0</v>
      </c>
      <c r="AG257" s="174"/>
      <c r="AH257" s="174"/>
      <c r="AI257" s="174"/>
      <c r="AJ257" s="178"/>
      <c r="AK257" s="178"/>
      <c r="AL257" s="178"/>
      <c r="AM257" s="127">
        <f>AG257*'1. Standard_Cost'!$B$27+'Incremental_Cost Year 2'!AH257*'1. Standard_Cost'!$C$27+'Incremental_Cost Year 2'!AI257*'1. Standard_Cost'!$D$27+'Incremental_Cost Year 2'!AJ257+'Incremental_Cost Year 2'!AL257+AK257</f>
        <v>0</v>
      </c>
      <c r="AN257" s="127">
        <f>AM257*'1. Standard_Cost'!$C$31</f>
        <v>0</v>
      </c>
      <c r="AO257" s="178"/>
      <c r="AP257" s="256"/>
      <c r="AQ257" s="171">
        <f>L257+M257</f>
        <v>0</v>
      </c>
      <c r="AR257" s="171">
        <f>AF257</f>
        <v>0</v>
      </c>
      <c r="AS257" s="171">
        <f>AM257+AN257</f>
        <v>0</v>
      </c>
      <c r="AT257" s="171">
        <f>SUM(AQ257,AR257,AS257)</f>
        <v>0</v>
      </c>
      <c r="AU257" s="250"/>
      <c r="AV257" s="250"/>
      <c r="AW257" s="250"/>
      <c r="AX257" s="250"/>
      <c r="AY257" s="250"/>
      <c r="AZ257" s="250"/>
      <c r="BA257" s="250"/>
      <c r="BB257" s="251">
        <f t="shared" si="176"/>
        <v>0</v>
      </c>
      <c r="BC257" s="169"/>
      <c r="BD257" s="169"/>
      <c r="BE257" s="169"/>
      <c r="BF257" s="169"/>
    </row>
    <row r="258" spans="1:58" ht="39.75" customHeight="1" x14ac:dyDescent="0.2">
      <c r="A258" s="172"/>
      <c r="B258" s="168"/>
      <c r="C258" s="204"/>
      <c r="D258" s="195" t="s">
        <v>559</v>
      </c>
      <c r="E258" s="205" t="s">
        <v>333</v>
      </c>
      <c r="F258" s="206">
        <v>2025</v>
      </c>
      <c r="G258" s="207">
        <v>2030</v>
      </c>
      <c r="H258" s="180" t="s">
        <v>334</v>
      </c>
      <c r="I258" s="273"/>
      <c r="J258" s="273"/>
      <c r="K258" s="273"/>
      <c r="L258" s="175">
        <f>SUM(L255:L257)</f>
        <v>0</v>
      </c>
      <c r="M258" s="175">
        <f>SUM(M255:M257)</f>
        <v>0</v>
      </c>
      <c r="N258" s="273"/>
      <c r="O258" s="273"/>
      <c r="P258" s="273"/>
      <c r="Q258" s="273"/>
      <c r="R258" s="175">
        <f>SUM(R255:R257)</f>
        <v>0</v>
      </c>
      <c r="S258" s="175">
        <f>SUM(S255:S257)</f>
        <v>0</v>
      </c>
      <c r="T258" s="175">
        <f>SUM(T255:T257)</f>
        <v>0</v>
      </c>
      <c r="U258" s="175">
        <f>SUM(U255:U257)</f>
        <v>0</v>
      </c>
      <c r="V258" s="273"/>
      <c r="W258" s="273"/>
      <c r="X258" s="273"/>
      <c r="Y258" s="175">
        <f>SUM(Y255:Y257)</f>
        <v>0</v>
      </c>
      <c r="Z258" s="273"/>
      <c r="AA258" s="273"/>
      <c r="AB258" s="175">
        <f>SUM(AB255:AB257)</f>
        <v>0</v>
      </c>
      <c r="AC258" s="175">
        <f>SUM(AC255:AC257)</f>
        <v>0</v>
      </c>
      <c r="AD258" s="175">
        <f>SUM(AD255:AD257)</f>
        <v>0</v>
      </c>
      <c r="AE258" s="175">
        <f>SUM(AE255:AE257)</f>
        <v>0</v>
      </c>
      <c r="AF258" s="175">
        <f>SUM(AF255:AF257)</f>
        <v>0</v>
      </c>
      <c r="AG258" s="273"/>
      <c r="AH258" s="273"/>
      <c r="AI258" s="273"/>
      <c r="AJ258" s="175">
        <f>SUM(AJ255:AJ257)</f>
        <v>0</v>
      </c>
      <c r="AK258" s="175">
        <f>SUM(AK255:AK257)</f>
        <v>0</v>
      </c>
      <c r="AL258" s="175">
        <f>SUM(AL255:AL257)</f>
        <v>0</v>
      </c>
      <c r="AM258" s="175">
        <f>SUM(AM255:AM257)</f>
        <v>0</v>
      </c>
      <c r="AN258" s="175">
        <f>SUM(AN255:AN257)</f>
        <v>0</v>
      </c>
      <c r="AO258" s="274"/>
      <c r="AP258" s="254"/>
      <c r="AQ258" s="175">
        <f t="shared" ref="AQ258:BB258" si="177">SUM(AQ255:AQ257)</f>
        <v>0</v>
      </c>
      <c r="AR258" s="175">
        <f t="shared" si="177"/>
        <v>0</v>
      </c>
      <c r="AS258" s="175">
        <f t="shared" si="177"/>
        <v>0</v>
      </c>
      <c r="AT258" s="175">
        <f t="shared" si="177"/>
        <v>0</v>
      </c>
      <c r="AU258" s="175">
        <f t="shared" si="177"/>
        <v>0</v>
      </c>
      <c r="AV258" s="175">
        <f t="shared" si="177"/>
        <v>0</v>
      </c>
      <c r="AW258" s="175">
        <f t="shared" si="177"/>
        <v>0</v>
      </c>
      <c r="AX258" s="175">
        <f t="shared" si="177"/>
        <v>0</v>
      </c>
      <c r="AY258" s="175">
        <f t="shared" si="177"/>
        <v>0</v>
      </c>
      <c r="AZ258" s="175">
        <f t="shared" si="177"/>
        <v>0</v>
      </c>
      <c r="BA258" s="175">
        <f t="shared" si="177"/>
        <v>0</v>
      </c>
      <c r="BB258" s="175">
        <f t="shared" si="177"/>
        <v>0</v>
      </c>
      <c r="BC258" s="169"/>
      <c r="BD258" s="169"/>
      <c r="BE258" s="169"/>
      <c r="BF258" s="169"/>
    </row>
    <row r="259" spans="1:58" ht="15.6" customHeight="1" x14ac:dyDescent="0.2">
      <c r="A259" s="179"/>
      <c r="B259" s="290"/>
      <c r="C259" s="391" t="s">
        <v>335</v>
      </c>
      <c r="D259" s="391"/>
      <c r="E259" s="392"/>
      <c r="F259" s="287"/>
      <c r="G259" s="289"/>
      <c r="H259" s="181" t="s">
        <v>336</v>
      </c>
      <c r="I259" s="271"/>
      <c r="J259" s="271"/>
      <c r="K259" s="271"/>
      <c r="L259" s="261">
        <f>L263+L268</f>
        <v>22260000</v>
      </c>
      <c r="M259" s="261">
        <f>M263+M268</f>
        <v>3717420.0000000005</v>
      </c>
      <c r="N259" s="271"/>
      <c r="O259" s="271"/>
      <c r="P259" s="271"/>
      <c r="Q259" s="271"/>
      <c r="R259" s="261">
        <f>R263+R268</f>
        <v>0</v>
      </c>
      <c r="S259" s="261">
        <f>S263+S268</f>
        <v>0</v>
      </c>
      <c r="T259" s="261">
        <f>T263+T268</f>
        <v>0</v>
      </c>
      <c r="U259" s="261">
        <f>U263+U268</f>
        <v>0</v>
      </c>
      <c r="V259" s="261"/>
      <c r="W259" s="271"/>
      <c r="X259" s="271"/>
      <c r="Y259" s="261">
        <f>Y263+Y268</f>
        <v>0</v>
      </c>
      <c r="Z259" s="261"/>
      <c r="AA259" s="261"/>
      <c r="AB259" s="261">
        <f>AB263+AB268</f>
        <v>0</v>
      </c>
      <c r="AC259" s="261">
        <f>AC263+AC268</f>
        <v>24970000</v>
      </c>
      <c r="AD259" s="261">
        <f>AD263+AD268</f>
        <v>0</v>
      </c>
      <c r="AE259" s="261">
        <f>AE263+AE268</f>
        <v>0</v>
      </c>
      <c r="AF259" s="261">
        <f>AF263+AF268</f>
        <v>24970000</v>
      </c>
      <c r="AG259" s="271"/>
      <c r="AH259" s="271"/>
      <c r="AI259" s="271"/>
      <c r="AJ259" s="261">
        <f>AJ263+AJ268</f>
        <v>0</v>
      </c>
      <c r="AK259" s="261">
        <f>AK263+AK268</f>
        <v>123000000</v>
      </c>
      <c r="AL259" s="261">
        <f>AL263+AL268</f>
        <v>0</v>
      </c>
      <c r="AM259" s="261">
        <f>AM263+AM268</f>
        <v>123000000</v>
      </c>
      <c r="AN259" s="261">
        <f>AN263+AN268</f>
        <v>0</v>
      </c>
      <c r="AO259" s="272"/>
      <c r="AP259" s="260"/>
      <c r="AQ259" s="261">
        <f t="shared" ref="AQ259:BB259" si="178">AQ263+AQ268</f>
        <v>25977420</v>
      </c>
      <c r="AR259" s="261">
        <f t="shared" si="178"/>
        <v>24970000</v>
      </c>
      <c r="AS259" s="261">
        <f t="shared" si="178"/>
        <v>123000000</v>
      </c>
      <c r="AT259" s="261">
        <f t="shared" si="178"/>
        <v>173947420</v>
      </c>
      <c r="AU259" s="261">
        <f t="shared" si="178"/>
        <v>71447420</v>
      </c>
      <c r="AV259" s="261">
        <f t="shared" si="178"/>
        <v>0</v>
      </c>
      <c r="AW259" s="261">
        <f t="shared" si="178"/>
        <v>102500000</v>
      </c>
      <c r="AX259" s="261">
        <f t="shared" si="178"/>
        <v>0</v>
      </c>
      <c r="AY259" s="261">
        <f t="shared" si="178"/>
        <v>0</v>
      </c>
      <c r="AZ259" s="261">
        <f t="shared" si="178"/>
        <v>0</v>
      </c>
      <c r="BA259" s="261">
        <f t="shared" si="178"/>
        <v>0</v>
      </c>
      <c r="BB259" s="261">
        <f t="shared" si="178"/>
        <v>0</v>
      </c>
      <c r="BC259" s="184"/>
      <c r="BD259" s="184"/>
      <c r="BE259" s="184"/>
      <c r="BF259" s="184"/>
    </row>
    <row r="260" spans="1:58" ht="109.5" customHeight="1" x14ac:dyDescent="0.25">
      <c r="A260" s="172"/>
      <c r="B260" s="354"/>
      <c r="C260" s="356"/>
      <c r="D260" s="342"/>
      <c r="E260" s="328"/>
      <c r="F260" s="328"/>
      <c r="G260" s="328"/>
      <c r="H260" s="199" t="s">
        <v>551</v>
      </c>
      <c r="I260" s="178" t="s">
        <v>3</v>
      </c>
      <c r="J260" s="174">
        <v>1</v>
      </c>
      <c r="K260" s="174">
        <v>2</v>
      </c>
      <c r="L260" s="125">
        <f>IF(I260&lt;&gt;0,((VLOOKUP(I260,'1. Standard_Cost'!$B$4:$D$11,2)+VLOOKUP(I260,'1. Standard_Cost'!$B$4:$D$11,3))*J260*K260),"0")</f>
        <v>201600</v>
      </c>
      <c r="M260" s="125">
        <f>L260*'1. Standard_Cost'!$F$4</f>
        <v>33667.200000000004</v>
      </c>
      <c r="N260" s="174"/>
      <c r="O260" s="174"/>
      <c r="P260" s="174"/>
      <c r="Q260" s="174"/>
      <c r="R260" s="127">
        <f>'1. Standard_Cost'!$B$15*N260*P260</f>
        <v>0</v>
      </c>
      <c r="S260" s="127">
        <f>N260*O260*P260*'1. Standard_Cost'!$C$15</f>
        <v>0</v>
      </c>
      <c r="T260" s="127">
        <f>N260*P260*Q260*'1. Standard_Cost'!$D$15</f>
        <v>0</v>
      </c>
      <c r="U260" s="127">
        <f>N260*O260*'1. Standard_Cost'!$E$15</f>
        <v>0</v>
      </c>
      <c r="V260" s="174"/>
      <c r="W260" s="174"/>
      <c r="X260" s="174"/>
      <c r="Y260" s="127">
        <f>+V260*((X260*'1. Standard_Cost'!$B$19)+(W260*X260*'1. Standard_Cost'!$C$19))</f>
        <v>0</v>
      </c>
      <c r="Z260" s="174"/>
      <c r="AA260" s="174"/>
      <c r="AB260" s="127">
        <f>+Z260*'1. Standard_Cost'!$B$23+AA260*'1. Standard_Cost'!$C$23</f>
        <v>0</v>
      </c>
      <c r="AC260" s="176"/>
      <c r="AD260" s="177"/>
      <c r="AE260" s="127">
        <f>SUM(AD260,AC260,AB260,Y260,U260,T260,S260,R260)*'1. Standard_Cost'!$B$31</f>
        <v>0</v>
      </c>
      <c r="AF260" s="127">
        <f>SUM(AE260,AD260,AC260,AB260,Y260,U260,T260,S260,R260)</f>
        <v>0</v>
      </c>
      <c r="AG260" s="174"/>
      <c r="AH260" s="174"/>
      <c r="AI260" s="174"/>
      <c r="AJ260" s="178"/>
      <c r="AK260" s="178">
        <v>123000000</v>
      </c>
      <c r="AL260" s="178"/>
      <c r="AM260" s="127">
        <f>AG260*'1. Standard_Cost'!$B$27+'Incremental_Cost Year 2'!AH260*'1. Standard_Cost'!$C$27+'Incremental_Cost Year 2'!AI260*'1. Standard_Cost'!$D$27+'Incremental_Cost Year 2'!AJ260+'Incremental_Cost Year 2'!AL260+AK260</f>
        <v>123000000</v>
      </c>
      <c r="AN260" s="127"/>
      <c r="AO260" s="178"/>
      <c r="AP260" s="256"/>
      <c r="AQ260" s="171">
        <f>L260+M260</f>
        <v>235267.20000000001</v>
      </c>
      <c r="AR260" s="171">
        <f>AF260</f>
        <v>0</v>
      </c>
      <c r="AS260" s="171">
        <f>AM260+AN260</f>
        <v>123000000</v>
      </c>
      <c r="AT260" s="171">
        <f>SUM(AQ260,AR260,AS260)</f>
        <v>123235267.2</v>
      </c>
      <c r="AU260" s="250">
        <f>235267+20500000</f>
        <v>20735267</v>
      </c>
      <c r="AV260" s="250"/>
      <c r="AW260" s="250">
        <v>102500000</v>
      </c>
      <c r="AX260" s="250"/>
      <c r="AY260" s="250"/>
      <c r="AZ260" s="250"/>
      <c r="BA260" s="250"/>
      <c r="BB260" s="251">
        <f t="shared" ref="BB260:BB262" si="179">SUM(AU260:BA260)-AT260</f>
        <v>-0.20000000298023224</v>
      </c>
      <c r="BC260" s="169"/>
      <c r="BD260" s="169"/>
      <c r="BE260" s="169"/>
      <c r="BF260" s="169"/>
    </row>
    <row r="261" spans="1:58" ht="63" x14ac:dyDescent="0.25">
      <c r="A261" s="172"/>
      <c r="B261" s="357"/>
      <c r="C261" s="359"/>
      <c r="D261" s="343"/>
      <c r="E261" s="328"/>
      <c r="F261" s="328"/>
      <c r="G261" s="328"/>
      <c r="H261" s="199" t="s">
        <v>337</v>
      </c>
      <c r="I261" s="178"/>
      <c r="J261" s="174"/>
      <c r="K261" s="174"/>
      <c r="L261" s="125" t="str">
        <f>IF(I261&lt;&gt;0,((VLOOKUP(I261,'1. Standard_Cost'!$B$4:$D$11,2)+VLOOKUP(I261,'1. Standard_Cost'!$B$4:$D$11,3))*J261*K261),"0")</f>
        <v>0</v>
      </c>
      <c r="M261" s="125">
        <f>L261*'1. Standard_Cost'!$F$4</f>
        <v>0</v>
      </c>
      <c r="N261" s="174"/>
      <c r="O261" s="174"/>
      <c r="P261" s="174"/>
      <c r="Q261" s="174"/>
      <c r="R261" s="127">
        <f>'1. Standard_Cost'!$B$15*N261*P261</f>
        <v>0</v>
      </c>
      <c r="S261" s="127">
        <f>N261*O261*P261*'1. Standard_Cost'!$C$15</f>
        <v>0</v>
      </c>
      <c r="T261" s="127">
        <f>N261*P261*Q261*'1. Standard_Cost'!$D$15</f>
        <v>0</v>
      </c>
      <c r="U261" s="127">
        <f>N261*O261*'1. Standard_Cost'!$E$15</f>
        <v>0</v>
      </c>
      <c r="V261" s="174"/>
      <c r="W261" s="174"/>
      <c r="X261" s="174"/>
      <c r="Y261" s="127">
        <f>+V261*((X261*'1. Standard_Cost'!$B$19)+(W261*X261*'1. Standard_Cost'!$C$19))</f>
        <v>0</v>
      </c>
      <c r="Z261" s="174"/>
      <c r="AA261" s="174"/>
      <c r="AB261" s="127">
        <f>+Z261*'1. Standard_Cost'!$B$23+AA261*'1. Standard_Cost'!$C$23</f>
        <v>0</v>
      </c>
      <c r="AC261" s="176"/>
      <c r="AD261" s="177"/>
      <c r="AE261" s="127">
        <f>SUM(AD261,AC261,AB261,Y261,U261,T261,S261,R261)*'1. Standard_Cost'!$B$31</f>
        <v>0</v>
      </c>
      <c r="AF261" s="127">
        <f>SUM(AE261,AD261,AC261,AB261,Y261,U261,T261,S261,R261)</f>
        <v>0</v>
      </c>
      <c r="AG261" s="174"/>
      <c r="AH261" s="174"/>
      <c r="AI261" s="174"/>
      <c r="AJ261" s="178"/>
      <c r="AK261" s="178"/>
      <c r="AL261" s="178"/>
      <c r="AM261" s="127">
        <f>AG261*'1. Standard_Cost'!$B$27+'Incremental_Cost Year 2'!AH261*'1. Standard_Cost'!$C$27+'Incremental_Cost Year 2'!AI261*'1. Standard_Cost'!$D$27+'Incremental_Cost Year 2'!AJ261+'Incremental_Cost Year 2'!AL261+AK261</f>
        <v>0</v>
      </c>
      <c r="AN261" s="127">
        <f>AM261*'1. Standard_Cost'!$C$31</f>
        <v>0</v>
      </c>
      <c r="AO261" s="178"/>
      <c r="AP261" s="256"/>
      <c r="AQ261" s="171">
        <f>L261+M261</f>
        <v>0</v>
      </c>
      <c r="AR261" s="171">
        <f>AF261</f>
        <v>0</v>
      </c>
      <c r="AS261" s="171">
        <f>AM261+AN261</f>
        <v>0</v>
      </c>
      <c r="AT261" s="171">
        <f>SUM(AQ261,AR261,AS261)</f>
        <v>0</v>
      </c>
      <c r="AU261" s="250"/>
      <c r="AV261" s="250"/>
      <c r="AW261" s="250"/>
      <c r="AX261" s="250"/>
      <c r="AY261" s="250"/>
      <c r="AZ261" s="250"/>
      <c r="BA261" s="250"/>
      <c r="BB261" s="251">
        <f t="shared" si="179"/>
        <v>0</v>
      </c>
      <c r="BC261" s="169"/>
      <c r="BD261" s="169"/>
      <c r="BE261" s="169"/>
      <c r="BF261" s="169"/>
    </row>
    <row r="262" spans="1:58" ht="79.5" customHeight="1" x14ac:dyDescent="0.25">
      <c r="A262" s="172"/>
      <c r="B262" s="357"/>
      <c r="C262" s="359"/>
      <c r="D262" s="343"/>
      <c r="E262" s="328"/>
      <c r="F262" s="328"/>
      <c r="G262" s="328"/>
      <c r="H262" s="199" t="s">
        <v>552</v>
      </c>
      <c r="I262" s="178"/>
      <c r="J262" s="174"/>
      <c r="K262" s="174"/>
      <c r="L262" s="125" t="str">
        <f>IF(I262&lt;&gt;0,((VLOOKUP(I262,'1. Standard_Cost'!$B$4:$D$11,2)+VLOOKUP(I262,'1. Standard_Cost'!$B$4:$D$11,3))*J262*K262),"0")</f>
        <v>0</v>
      </c>
      <c r="M262" s="125">
        <f>L262*'1. Standard_Cost'!$F$4</f>
        <v>0</v>
      </c>
      <c r="N262" s="174"/>
      <c r="O262" s="174"/>
      <c r="P262" s="174"/>
      <c r="Q262" s="174"/>
      <c r="R262" s="127">
        <f>'1. Standard_Cost'!$B$15*N262*P262</f>
        <v>0</v>
      </c>
      <c r="S262" s="127">
        <f>N262*O262*P262*'1. Standard_Cost'!$C$15</f>
        <v>0</v>
      </c>
      <c r="T262" s="127">
        <f>N262*P262*Q262*'1. Standard_Cost'!$D$15</f>
        <v>0</v>
      </c>
      <c r="U262" s="127">
        <f>N262*O262*'1. Standard_Cost'!$E$15</f>
        <v>0</v>
      </c>
      <c r="V262" s="174"/>
      <c r="W262" s="174"/>
      <c r="X262" s="174"/>
      <c r="Y262" s="127">
        <f>+V262*((X262*'1. Standard_Cost'!$B$19)+(W262*X262*'1. Standard_Cost'!$C$19))</f>
        <v>0</v>
      </c>
      <c r="Z262" s="174"/>
      <c r="AA262" s="174"/>
      <c r="AB262" s="127">
        <f>+Z262*'1. Standard_Cost'!$B$23+AA262*'1. Standard_Cost'!$C$23</f>
        <v>0</v>
      </c>
      <c r="AC262" s="176"/>
      <c r="AD262" s="177"/>
      <c r="AE262" s="127">
        <f>SUM(AD262,AC262,AB262,Y262,U262,T262,S262,R262)*'1. Standard_Cost'!$B$31</f>
        <v>0</v>
      </c>
      <c r="AF262" s="127">
        <f>SUM(AE262,AD262,AC262,AB262,Y262,U262,T262,S262,R262)</f>
        <v>0</v>
      </c>
      <c r="AG262" s="174"/>
      <c r="AH262" s="174"/>
      <c r="AI262" s="174"/>
      <c r="AJ262" s="178"/>
      <c r="AK262" s="178"/>
      <c r="AL262" s="178"/>
      <c r="AM262" s="127">
        <f>AG262*'1. Standard_Cost'!$B$27+'Incremental_Cost Year 2'!AH262*'1. Standard_Cost'!$C$27+'Incremental_Cost Year 2'!AI262*'1. Standard_Cost'!$D$27+'Incremental_Cost Year 2'!AJ262+'Incremental_Cost Year 2'!AL262+AK262</f>
        <v>0</v>
      </c>
      <c r="AN262" s="127">
        <f>AM262*'1. Standard_Cost'!$C$31</f>
        <v>0</v>
      </c>
      <c r="AO262" s="178"/>
      <c r="AP262" s="256"/>
      <c r="AQ262" s="171">
        <f>L262+M262</f>
        <v>0</v>
      </c>
      <c r="AR262" s="171">
        <f>AF262</f>
        <v>0</v>
      </c>
      <c r="AS262" s="171">
        <f>AM262+AN262</f>
        <v>0</v>
      </c>
      <c r="AT262" s="171">
        <f>SUM(AQ262,AR262,AS262)</f>
        <v>0</v>
      </c>
      <c r="AU262" s="250"/>
      <c r="AV262" s="250"/>
      <c r="AW262" s="250"/>
      <c r="AX262" s="250"/>
      <c r="AY262" s="250"/>
      <c r="AZ262" s="250"/>
      <c r="BA262" s="250"/>
      <c r="BB262" s="251">
        <f t="shared" si="179"/>
        <v>0</v>
      </c>
      <c r="BC262" s="169"/>
      <c r="BD262" s="169"/>
      <c r="BE262" s="169"/>
      <c r="BF262" s="169"/>
    </row>
    <row r="263" spans="1:58" x14ac:dyDescent="0.25">
      <c r="A263" s="172"/>
      <c r="B263" s="357"/>
      <c r="C263" s="359"/>
      <c r="D263" s="343"/>
      <c r="E263" s="328"/>
      <c r="F263" s="328"/>
      <c r="G263" s="328"/>
      <c r="H263" s="182" t="s">
        <v>338</v>
      </c>
      <c r="I263" s="273"/>
      <c r="J263" s="273"/>
      <c r="K263" s="273"/>
      <c r="L263" s="175">
        <f>SUM(L260:L262)</f>
        <v>201600</v>
      </c>
      <c r="M263" s="175">
        <f>SUM(M260:M262)</f>
        <v>33667.200000000004</v>
      </c>
      <c r="N263" s="273"/>
      <c r="O263" s="273"/>
      <c r="P263" s="273"/>
      <c r="Q263" s="273"/>
      <c r="R263" s="175">
        <f>SUM(R260:R262)</f>
        <v>0</v>
      </c>
      <c r="S263" s="175">
        <f>SUM(S260:S262)</f>
        <v>0</v>
      </c>
      <c r="T263" s="175">
        <f>SUM(T260:T262)</f>
        <v>0</v>
      </c>
      <c r="U263" s="175">
        <f>SUM(U260:U262)</f>
        <v>0</v>
      </c>
      <c r="V263" s="273"/>
      <c r="W263" s="273"/>
      <c r="X263" s="273"/>
      <c r="Y263" s="175">
        <f>SUM(Y260:Y262)</f>
        <v>0</v>
      </c>
      <c r="Z263" s="175"/>
      <c r="AA263" s="273"/>
      <c r="AB263" s="175">
        <f>SUM(AB260:AB262)</f>
        <v>0</v>
      </c>
      <c r="AC263" s="175">
        <f>SUM(AC260:AC262)</f>
        <v>0</v>
      </c>
      <c r="AD263" s="175">
        <f>SUM(AD260:AD262)</f>
        <v>0</v>
      </c>
      <c r="AE263" s="175">
        <f>SUM(AE260:AE262)</f>
        <v>0</v>
      </c>
      <c r="AF263" s="175">
        <f>SUM(AF260:AF262)</f>
        <v>0</v>
      </c>
      <c r="AG263" s="273"/>
      <c r="AH263" s="273"/>
      <c r="AI263" s="273"/>
      <c r="AJ263" s="175">
        <f>SUM(AJ260:AJ262)</f>
        <v>0</v>
      </c>
      <c r="AK263" s="175">
        <f>SUM(AK260:AK262)</f>
        <v>123000000</v>
      </c>
      <c r="AL263" s="175">
        <f>SUM(AL260:AL262)</f>
        <v>0</v>
      </c>
      <c r="AM263" s="175">
        <f>SUM(AM260:AM262)</f>
        <v>123000000</v>
      </c>
      <c r="AN263" s="175">
        <f>SUM(AN260:AN262)</f>
        <v>0</v>
      </c>
      <c r="AO263" s="274"/>
      <c r="AP263" s="254"/>
      <c r="AQ263" s="175">
        <f>SUM(AQ260:AQ262)</f>
        <v>235267.20000000001</v>
      </c>
      <c r="AR263" s="175">
        <f t="shared" ref="AR263:BB263" si="180">SUM(AR260:AR262)</f>
        <v>0</v>
      </c>
      <c r="AS263" s="175">
        <f t="shared" si="180"/>
        <v>123000000</v>
      </c>
      <c r="AT263" s="175">
        <f t="shared" si="180"/>
        <v>123235267.2</v>
      </c>
      <c r="AU263" s="175">
        <f t="shared" si="180"/>
        <v>20735267</v>
      </c>
      <c r="AV263" s="175">
        <f t="shared" si="180"/>
        <v>0</v>
      </c>
      <c r="AW263" s="175">
        <f t="shared" si="180"/>
        <v>102500000</v>
      </c>
      <c r="AX263" s="175">
        <f t="shared" si="180"/>
        <v>0</v>
      </c>
      <c r="AY263" s="175">
        <f t="shared" si="180"/>
        <v>0</v>
      </c>
      <c r="AZ263" s="175">
        <f t="shared" si="180"/>
        <v>0</v>
      </c>
      <c r="BA263" s="175">
        <f t="shared" si="180"/>
        <v>0</v>
      </c>
      <c r="BB263" s="175">
        <f t="shared" si="180"/>
        <v>-0.20000000298023224</v>
      </c>
      <c r="BC263" s="169"/>
      <c r="BD263" s="169"/>
      <c r="BE263" s="169"/>
      <c r="BF263" s="169"/>
    </row>
    <row r="264" spans="1:58" ht="90.75" customHeight="1" x14ac:dyDescent="0.25">
      <c r="A264" s="172"/>
      <c r="B264" s="357"/>
      <c r="C264" s="359"/>
      <c r="D264" s="343"/>
      <c r="E264" s="328"/>
      <c r="F264" s="328"/>
      <c r="G264" s="328"/>
      <c r="H264" s="199" t="s">
        <v>553</v>
      </c>
      <c r="I264" s="178"/>
      <c r="J264" s="174"/>
      <c r="K264" s="174"/>
      <c r="L264" s="125" t="str">
        <f>IF(I264&lt;&gt;0,((VLOOKUP(I264,'1. Standard_Cost'!$B$4:$D$11,2)+VLOOKUP(I264,'1. Standard_Cost'!$B$4:$D$11,3))*J264*K264),"0")</f>
        <v>0</v>
      </c>
      <c r="M264" s="125">
        <f>L264*'1. Standard_Cost'!$F$4</f>
        <v>0</v>
      </c>
      <c r="N264" s="174"/>
      <c r="O264" s="174"/>
      <c r="P264" s="174"/>
      <c r="Q264" s="174"/>
      <c r="R264" s="127">
        <f>'1. Standard_Cost'!$B$15*N264*P264</f>
        <v>0</v>
      </c>
      <c r="S264" s="127">
        <f>N264*O264*P264*'1. Standard_Cost'!$C$15</f>
        <v>0</v>
      </c>
      <c r="T264" s="127">
        <f>N264*P264*Q264*'1. Standard_Cost'!$D$15</f>
        <v>0</v>
      </c>
      <c r="U264" s="127">
        <f>N264*O264*'1. Standard_Cost'!$E$15</f>
        <v>0</v>
      </c>
      <c r="V264" s="174"/>
      <c r="W264" s="174"/>
      <c r="X264" s="174"/>
      <c r="Y264" s="127">
        <f>+V264*((X264*'1. Standard_Cost'!$B$19)+(W264*X264*'1. Standard_Cost'!$C$19))</f>
        <v>0</v>
      </c>
      <c r="Z264" s="174"/>
      <c r="AA264" s="174"/>
      <c r="AB264" s="127">
        <f>+Z264*'1. Standard_Cost'!$B$23+AA264*'1. Standard_Cost'!$C$23</f>
        <v>0</v>
      </c>
      <c r="AC264" s="176"/>
      <c r="AD264" s="177"/>
      <c r="AE264" s="127">
        <f>SUM(AD264,AC264,AB264,Y264,U264,T264,S264,R264)*'1. Standard_Cost'!$B$31</f>
        <v>0</v>
      </c>
      <c r="AF264" s="127">
        <f>SUM(AE264,AD264,AC264,AB264,Y264,U264,T264,S264,R264)</f>
        <v>0</v>
      </c>
      <c r="AG264" s="174"/>
      <c r="AH264" s="174"/>
      <c r="AI264" s="174"/>
      <c r="AJ264" s="178"/>
      <c r="AK264" s="178"/>
      <c r="AL264" s="178"/>
      <c r="AM264" s="127">
        <f>AG264*'1. Standard_Cost'!$B$27+'Incremental_Cost Year 2'!AH264*'1. Standard_Cost'!$C$27+'Incremental_Cost Year 2'!AI264*'1. Standard_Cost'!$D$27+'Incremental_Cost Year 2'!AJ264+'Incremental_Cost Year 2'!AL264+AK264</f>
        <v>0</v>
      </c>
      <c r="AN264" s="127">
        <f>AM264*'1. Standard_Cost'!$C$31</f>
        <v>0</v>
      </c>
      <c r="AO264" s="178"/>
      <c r="AP264" s="256"/>
      <c r="AQ264" s="171">
        <f>L264+M264</f>
        <v>0</v>
      </c>
      <c r="AR264" s="171">
        <f>AF264</f>
        <v>0</v>
      </c>
      <c r="AS264" s="171">
        <f>AM264+AN264</f>
        <v>0</v>
      </c>
      <c r="AT264" s="171">
        <f>SUM(AQ264,AR264,AS264)</f>
        <v>0</v>
      </c>
      <c r="AU264" s="250"/>
      <c r="AV264" s="250"/>
      <c r="AW264" s="250"/>
      <c r="AX264" s="250"/>
      <c r="AY264" s="250"/>
      <c r="AZ264" s="250"/>
      <c r="BA264" s="250"/>
      <c r="BB264" s="251">
        <f t="shared" ref="BB264:BB267" si="181">SUM(AU264:BA264)-AT264</f>
        <v>0</v>
      </c>
      <c r="BC264" s="169"/>
      <c r="BD264" s="169"/>
      <c r="BE264" s="169"/>
      <c r="BF264" s="169"/>
    </row>
    <row r="265" spans="1:58" ht="63" x14ac:dyDescent="0.25">
      <c r="A265" s="172"/>
      <c r="B265" s="357"/>
      <c r="C265" s="359"/>
      <c r="D265" s="343"/>
      <c r="E265" s="328"/>
      <c r="F265" s="328"/>
      <c r="G265" s="328"/>
      <c r="H265" s="199" t="s">
        <v>339</v>
      </c>
      <c r="I265" s="178"/>
      <c r="J265" s="174"/>
      <c r="K265" s="174"/>
      <c r="L265" s="125" t="str">
        <f>IF(I265&lt;&gt;0,((VLOOKUP(I265,'1. Standard_Cost'!$B$4:$D$11,2)+VLOOKUP(I265,'1. Standard_Cost'!$B$4:$D$11,3))*J265*K265),"0")</f>
        <v>0</v>
      </c>
      <c r="M265" s="125">
        <f>L265*'1. Standard_Cost'!$F$4</f>
        <v>0</v>
      </c>
      <c r="N265" s="174"/>
      <c r="O265" s="174"/>
      <c r="P265" s="174"/>
      <c r="Q265" s="174"/>
      <c r="R265" s="127">
        <f>'1. Standard_Cost'!$B$15*N265*P265</f>
        <v>0</v>
      </c>
      <c r="S265" s="127">
        <f>N265*O265*P265*'1. Standard_Cost'!$C$15</f>
        <v>0</v>
      </c>
      <c r="T265" s="127">
        <f>N265*P265*Q265*'1. Standard_Cost'!$D$15</f>
        <v>0</v>
      </c>
      <c r="U265" s="127">
        <f>N265*O265*'1. Standard_Cost'!$E$15</f>
        <v>0</v>
      </c>
      <c r="V265" s="174"/>
      <c r="W265" s="174"/>
      <c r="X265" s="174"/>
      <c r="Y265" s="127">
        <f>+V265*((X265*'1. Standard_Cost'!$B$19)+(W265*X265*'1. Standard_Cost'!$C$19))</f>
        <v>0</v>
      </c>
      <c r="Z265" s="174"/>
      <c r="AA265" s="174"/>
      <c r="AB265" s="127">
        <f>+Z265*'1. Standard_Cost'!$B$23+AA265*'1. Standard_Cost'!$C$23</f>
        <v>0</v>
      </c>
      <c r="AC265" s="176"/>
      <c r="AD265" s="177"/>
      <c r="AE265" s="127">
        <f>SUM(AD265,AC265,AB265,Y265,U265,T265,S265,R265)*'1. Standard_Cost'!$B$31</f>
        <v>0</v>
      </c>
      <c r="AF265" s="127">
        <f>SUM(AE265,AD265,AC265,AB265,Y265,U265,T265,S265,R265)</f>
        <v>0</v>
      </c>
      <c r="AG265" s="174"/>
      <c r="AH265" s="174"/>
      <c r="AI265" s="174"/>
      <c r="AJ265" s="178"/>
      <c r="AK265" s="178"/>
      <c r="AL265" s="178"/>
      <c r="AM265" s="127">
        <f>AG265*'1. Standard_Cost'!$B$27+'Incremental_Cost Year 2'!AH265*'1. Standard_Cost'!$C$27+'Incremental_Cost Year 2'!AI265*'1. Standard_Cost'!$D$27+'Incremental_Cost Year 2'!AJ265+'Incremental_Cost Year 2'!AL265+AK265</f>
        <v>0</v>
      </c>
      <c r="AN265" s="127">
        <f>AM265*'1. Standard_Cost'!$C$31</f>
        <v>0</v>
      </c>
      <c r="AO265" s="178"/>
      <c r="AP265" s="256"/>
      <c r="AQ265" s="171">
        <f>L265+M265</f>
        <v>0</v>
      </c>
      <c r="AR265" s="171">
        <f>AF265</f>
        <v>0</v>
      </c>
      <c r="AS265" s="171">
        <f>AM265+AN265</f>
        <v>0</v>
      </c>
      <c r="AT265" s="171">
        <f>SUM(AQ265,AR265,AS265)</f>
        <v>0</v>
      </c>
      <c r="AU265" s="250"/>
      <c r="AV265" s="250"/>
      <c r="AW265" s="250"/>
      <c r="AX265" s="250"/>
      <c r="AY265" s="250"/>
      <c r="AZ265" s="250"/>
      <c r="BA265" s="250"/>
      <c r="BB265" s="251">
        <f t="shared" si="181"/>
        <v>0</v>
      </c>
      <c r="BC265" s="169"/>
      <c r="BD265" s="169"/>
      <c r="BE265" s="169"/>
      <c r="BF265" s="169"/>
    </row>
    <row r="266" spans="1:58" ht="94.5" x14ac:dyDescent="0.25">
      <c r="A266" s="172"/>
      <c r="B266" s="357"/>
      <c r="C266" s="359"/>
      <c r="D266" s="343"/>
      <c r="E266" s="328"/>
      <c r="F266" s="328"/>
      <c r="G266" s="328"/>
      <c r="H266" s="199" t="s">
        <v>362</v>
      </c>
      <c r="I266" s="178" t="s">
        <v>314</v>
      </c>
      <c r="J266" s="174">
        <v>12</v>
      </c>
      <c r="K266" s="174">
        <v>26</v>
      </c>
      <c r="L266" s="125">
        <f>IF(I266&lt;&gt;0,((VLOOKUP(I266,'1. Standard_Cost'!$B$4:$D$11,2)+VLOOKUP(I266,'1. Standard_Cost'!$B$4:$D$11,3))*J266*K266),"0")</f>
        <v>22058400</v>
      </c>
      <c r="M266" s="125">
        <f>L266*'1. Standard_Cost'!$F$4</f>
        <v>3683752.8000000003</v>
      </c>
      <c r="N266" s="174"/>
      <c r="O266" s="174"/>
      <c r="P266" s="174"/>
      <c r="Q266" s="174"/>
      <c r="R266" s="127">
        <f>'1. Standard_Cost'!$B$15*N266*P266</f>
        <v>0</v>
      </c>
      <c r="S266" s="127">
        <f>N266*O266*P266*'1. Standard_Cost'!$C$15</f>
        <v>0</v>
      </c>
      <c r="T266" s="127">
        <f>N266*P266*Q266*'1. Standard_Cost'!$D$15</f>
        <v>0</v>
      </c>
      <c r="U266" s="127">
        <f>N266*O266*'1. Standard_Cost'!$E$15</f>
        <v>0</v>
      </c>
      <c r="V266" s="174"/>
      <c r="W266" s="174"/>
      <c r="X266" s="174"/>
      <c r="Y266" s="127">
        <f>+V266*((X266*'1. Standard_Cost'!$B$19)+(W266*X266*'1. Standard_Cost'!$C$19))</f>
        <v>0</v>
      </c>
      <c r="Z266" s="174"/>
      <c r="AA266" s="174"/>
      <c r="AB266" s="127">
        <f>+Z266*'1. Standard_Cost'!$B$23+AA266*'1. Standard_Cost'!$C$23</f>
        <v>0</v>
      </c>
      <c r="AC266" s="176">
        <v>24970000</v>
      </c>
      <c r="AD266" s="177"/>
      <c r="AE266" s="127"/>
      <c r="AF266" s="127">
        <f>SUM(AE266,AD266,AC266,AB266,Y266,U266,T266,S266,R266)</f>
        <v>24970000</v>
      </c>
      <c r="AG266" s="174"/>
      <c r="AH266" s="174"/>
      <c r="AI266" s="174"/>
      <c r="AJ266" s="178"/>
      <c r="AK266" s="178"/>
      <c r="AL266" s="178"/>
      <c r="AM266" s="127">
        <f>AG266*'1. Standard_Cost'!$B$27+'Incremental_Cost Year 2'!AH266*'1. Standard_Cost'!$C$27+'Incremental_Cost Year 2'!AI266*'1. Standard_Cost'!$D$27+'Incremental_Cost Year 2'!AJ266+'Incremental_Cost Year 2'!AL266+AK266</f>
        <v>0</v>
      </c>
      <c r="AN266" s="127">
        <f>AM266*'1. Standard_Cost'!$C$31</f>
        <v>0</v>
      </c>
      <c r="AO266" s="178"/>
      <c r="AP266" s="256"/>
      <c r="AQ266" s="171">
        <f>L266+M266</f>
        <v>25742152.800000001</v>
      </c>
      <c r="AR266" s="171">
        <f>AF266</f>
        <v>24970000</v>
      </c>
      <c r="AS266" s="171">
        <f>AM266+AN266</f>
        <v>0</v>
      </c>
      <c r="AT266" s="171">
        <f>SUM(AQ266,AR266,AS266)</f>
        <v>50712152.799999997</v>
      </c>
      <c r="AU266" s="250">
        <v>50712153</v>
      </c>
      <c r="AV266" s="250"/>
      <c r="AW266" s="250"/>
      <c r="AX266" s="250"/>
      <c r="AY266" s="250"/>
      <c r="AZ266" s="250"/>
      <c r="BA266" s="250"/>
      <c r="BB266" s="251">
        <f t="shared" si="181"/>
        <v>0.20000000298023224</v>
      </c>
      <c r="BC266" s="169"/>
      <c r="BD266" s="169"/>
      <c r="BE266" s="169"/>
      <c r="BF266" s="169"/>
    </row>
    <row r="267" spans="1:58" ht="47.25" x14ac:dyDescent="0.25">
      <c r="A267" s="172"/>
      <c r="B267" s="360"/>
      <c r="C267" s="362"/>
      <c r="D267" s="344"/>
      <c r="E267" s="328"/>
      <c r="F267" s="328"/>
      <c r="G267" s="328"/>
      <c r="H267" s="199" t="s">
        <v>554</v>
      </c>
      <c r="I267" s="178"/>
      <c r="J267" s="174"/>
      <c r="K267" s="174"/>
      <c r="L267" s="125" t="str">
        <f>IF(I267&lt;&gt;0,((VLOOKUP(I267,'1. Standard_Cost'!$B$4:$D$11,2)+VLOOKUP(I267,'1. Standard_Cost'!$B$4:$D$11,3))*J267*K267),"0")</f>
        <v>0</v>
      </c>
      <c r="M267" s="125">
        <f>L267*'1. Standard_Cost'!$F$4</f>
        <v>0</v>
      </c>
      <c r="N267" s="174"/>
      <c r="O267" s="174"/>
      <c r="P267" s="174"/>
      <c r="Q267" s="174"/>
      <c r="R267" s="127">
        <f>'1. Standard_Cost'!$B$15*N267*P267</f>
        <v>0</v>
      </c>
      <c r="S267" s="127">
        <f>N267*O267*P267*'1. Standard_Cost'!$C$15</f>
        <v>0</v>
      </c>
      <c r="T267" s="127">
        <f>N267*P267*Q267*'1. Standard_Cost'!$D$15</f>
        <v>0</v>
      </c>
      <c r="U267" s="127">
        <f>N267*O267*'1. Standard_Cost'!$E$15</f>
        <v>0</v>
      </c>
      <c r="V267" s="174"/>
      <c r="W267" s="174"/>
      <c r="X267" s="174"/>
      <c r="Y267" s="127">
        <f>+V267*((X267*'1. Standard_Cost'!$B$19)+(W267*X267*'1. Standard_Cost'!$C$19))</f>
        <v>0</v>
      </c>
      <c r="Z267" s="174"/>
      <c r="AA267" s="174"/>
      <c r="AB267" s="127">
        <f>+Z267*'1. Standard_Cost'!$B$23+AA267*'1. Standard_Cost'!$C$23</f>
        <v>0</v>
      </c>
      <c r="AC267" s="176"/>
      <c r="AD267" s="177"/>
      <c r="AE267" s="127">
        <f>SUM(AD267,AC267,AB267,Y267,U267,T267,S267,R267)*'1. Standard_Cost'!$B$31</f>
        <v>0</v>
      </c>
      <c r="AF267" s="127">
        <f>SUM(AE267,AD267,AC267,AB267,Y267,U267,T267,S267,R267)</f>
        <v>0</v>
      </c>
      <c r="AG267" s="174"/>
      <c r="AH267" s="174"/>
      <c r="AI267" s="174"/>
      <c r="AJ267" s="178"/>
      <c r="AK267" s="178"/>
      <c r="AL267" s="178"/>
      <c r="AM267" s="127">
        <f>AG267*'1. Standard_Cost'!$B$27+'Incremental_Cost Year 2'!AH267*'1. Standard_Cost'!$C$27+'Incremental_Cost Year 2'!AI267*'1. Standard_Cost'!$D$27+'Incremental_Cost Year 2'!AJ267+'Incremental_Cost Year 2'!AL267+AK267</f>
        <v>0</v>
      </c>
      <c r="AN267" s="127">
        <f>AM267*'1. Standard_Cost'!$C$31</f>
        <v>0</v>
      </c>
      <c r="AO267" s="178"/>
      <c r="AP267" s="256"/>
      <c r="AQ267" s="171">
        <f>L267+M267</f>
        <v>0</v>
      </c>
      <c r="AR267" s="171">
        <f>AF267</f>
        <v>0</v>
      </c>
      <c r="AS267" s="171">
        <f>AM267+AN267</f>
        <v>0</v>
      </c>
      <c r="AT267" s="171">
        <f>SUM(AQ267,AR267,AS267)</f>
        <v>0</v>
      </c>
      <c r="AU267" s="250"/>
      <c r="AV267" s="250"/>
      <c r="AW267" s="250"/>
      <c r="AX267" s="250"/>
      <c r="AY267" s="250"/>
      <c r="AZ267" s="250"/>
      <c r="BA267" s="250"/>
      <c r="BB267" s="251">
        <f t="shared" si="181"/>
        <v>0</v>
      </c>
      <c r="BC267" s="169"/>
      <c r="BD267" s="169"/>
      <c r="BE267" s="169"/>
      <c r="BF267" s="169"/>
    </row>
    <row r="268" spans="1:58" ht="38.25" x14ac:dyDescent="0.25">
      <c r="A268" s="172"/>
      <c r="B268" s="168"/>
      <c r="C268" s="204"/>
      <c r="D268" s="344" t="s">
        <v>560</v>
      </c>
      <c r="E268" s="205" t="s">
        <v>340</v>
      </c>
      <c r="F268" s="205">
        <v>2021</v>
      </c>
      <c r="G268" s="205">
        <v>2030</v>
      </c>
      <c r="H268" s="182" t="s">
        <v>341</v>
      </c>
      <c r="I268" s="273"/>
      <c r="J268" s="273"/>
      <c r="K268" s="273"/>
      <c r="L268" s="175">
        <f>SUM(L264:L267)</f>
        <v>22058400</v>
      </c>
      <c r="M268" s="175">
        <f>SUM(M264:M267)</f>
        <v>3683752.8000000003</v>
      </c>
      <c r="N268" s="273"/>
      <c r="O268" s="273"/>
      <c r="P268" s="273"/>
      <c r="Q268" s="273"/>
      <c r="R268" s="175">
        <f>SUM(R264:R267)</f>
        <v>0</v>
      </c>
      <c r="S268" s="175">
        <f>SUM(S264:S267)</f>
        <v>0</v>
      </c>
      <c r="T268" s="175">
        <f>SUM(T264:T267)</f>
        <v>0</v>
      </c>
      <c r="U268" s="175">
        <f>SUM(U264:U267)</f>
        <v>0</v>
      </c>
      <c r="V268" s="273"/>
      <c r="W268" s="273"/>
      <c r="X268" s="273"/>
      <c r="Y268" s="175">
        <f>SUM(Y264:Y267)</f>
        <v>0</v>
      </c>
      <c r="Z268" s="175"/>
      <c r="AA268" s="273"/>
      <c r="AB268" s="175">
        <f>SUM(AB264:AB267)</f>
        <v>0</v>
      </c>
      <c r="AC268" s="175">
        <f>SUM(AC264:AC267)</f>
        <v>24970000</v>
      </c>
      <c r="AD268" s="175">
        <f>SUM(AD264:AD267)</f>
        <v>0</v>
      </c>
      <c r="AE268" s="175">
        <f>SUM(AE264:AE267)</f>
        <v>0</v>
      </c>
      <c r="AF268" s="175">
        <f>SUM(AF264:AF267)</f>
        <v>24970000</v>
      </c>
      <c r="AG268" s="273"/>
      <c r="AH268" s="273"/>
      <c r="AI268" s="273"/>
      <c r="AJ268" s="175">
        <f>SUM(AJ264:AJ267)</f>
        <v>0</v>
      </c>
      <c r="AK268" s="175">
        <f>SUM(AK264:AK267)</f>
        <v>0</v>
      </c>
      <c r="AL268" s="175">
        <f>SUM(AL264:AL267)</f>
        <v>0</v>
      </c>
      <c r="AM268" s="175">
        <f>SUM(AM264:AM267)</f>
        <v>0</v>
      </c>
      <c r="AN268" s="175">
        <f>SUM(AN264:AN267)</f>
        <v>0</v>
      </c>
      <c r="AO268" s="274"/>
      <c r="AP268" s="254"/>
      <c r="AQ268" s="175">
        <f>SUM(AQ264:AQ267)</f>
        <v>25742152.800000001</v>
      </c>
      <c r="AR268" s="175">
        <f t="shared" ref="AR268:BB268" si="182">SUM(AR264:AR267)</f>
        <v>24970000</v>
      </c>
      <c r="AS268" s="175">
        <f t="shared" si="182"/>
        <v>0</v>
      </c>
      <c r="AT268" s="175">
        <f t="shared" si="182"/>
        <v>50712152.799999997</v>
      </c>
      <c r="AU268" s="175">
        <f t="shared" si="182"/>
        <v>50712153</v>
      </c>
      <c r="AV268" s="175">
        <f t="shared" si="182"/>
        <v>0</v>
      </c>
      <c r="AW268" s="175">
        <f t="shared" si="182"/>
        <v>0</v>
      </c>
      <c r="AX268" s="175">
        <f t="shared" si="182"/>
        <v>0</v>
      </c>
      <c r="AY268" s="175">
        <f t="shared" si="182"/>
        <v>0</v>
      </c>
      <c r="AZ268" s="175">
        <f t="shared" si="182"/>
        <v>0</v>
      </c>
      <c r="BA268" s="175">
        <f t="shared" si="182"/>
        <v>0</v>
      </c>
      <c r="BB268" s="175">
        <f t="shared" si="182"/>
        <v>0.20000000298023224</v>
      </c>
      <c r="BC268" s="169"/>
      <c r="BD268" s="169"/>
      <c r="BE268" s="169"/>
      <c r="BF268" s="169"/>
    </row>
    <row r="269" spans="1:58" ht="15.6" customHeight="1" x14ac:dyDescent="0.2">
      <c r="A269" s="179"/>
      <c r="B269" s="290"/>
      <c r="C269" s="391" t="s">
        <v>342</v>
      </c>
      <c r="D269" s="391"/>
      <c r="E269" s="392"/>
      <c r="F269" s="287"/>
      <c r="G269" s="289"/>
      <c r="H269" s="181" t="s">
        <v>343</v>
      </c>
      <c r="I269" s="271"/>
      <c r="J269" s="271"/>
      <c r="K269" s="271"/>
      <c r="L269" s="261">
        <f>L273+L276</f>
        <v>302400</v>
      </c>
      <c r="M269" s="261">
        <f>M273+M276</f>
        <v>50500.800000000003</v>
      </c>
      <c r="N269" s="271"/>
      <c r="O269" s="271"/>
      <c r="P269" s="271"/>
      <c r="Q269" s="271"/>
      <c r="R269" s="261">
        <f>R273+R276</f>
        <v>1200000</v>
      </c>
      <c r="S269" s="261">
        <f>S273+S276</f>
        <v>900000</v>
      </c>
      <c r="T269" s="261">
        <f>T273+T276</f>
        <v>0</v>
      </c>
      <c r="U269" s="261">
        <f>U273+U276</f>
        <v>1200000</v>
      </c>
      <c r="V269" s="271"/>
      <c r="W269" s="271"/>
      <c r="X269" s="271"/>
      <c r="Y269" s="261">
        <f>Y273+Y276</f>
        <v>0</v>
      </c>
      <c r="Z269" s="261"/>
      <c r="AA269" s="261"/>
      <c r="AB269" s="261">
        <f>AB273+AB276</f>
        <v>1007000</v>
      </c>
      <c r="AC269" s="261">
        <f>AC273+AC276</f>
        <v>200000</v>
      </c>
      <c r="AD269" s="261">
        <f>AD273+AD276</f>
        <v>0</v>
      </c>
      <c r="AE269" s="261">
        <f>AE273+AE276</f>
        <v>0</v>
      </c>
      <c r="AF269" s="261">
        <f>AF273+AF276</f>
        <v>4507000</v>
      </c>
      <c r="AG269" s="271"/>
      <c r="AH269" s="271"/>
      <c r="AI269" s="271"/>
      <c r="AJ269" s="261">
        <f>AJ273+AJ276</f>
        <v>0</v>
      </c>
      <c r="AK269" s="261">
        <f>AK273+AK276</f>
        <v>0</v>
      </c>
      <c r="AL269" s="261">
        <f>AL273+AL276</f>
        <v>0</v>
      </c>
      <c r="AM269" s="261">
        <f>AM273+AM276</f>
        <v>0</v>
      </c>
      <c r="AN269" s="261">
        <f>AN273+AN276</f>
        <v>0</v>
      </c>
      <c r="AO269" s="272"/>
      <c r="AP269" s="260"/>
      <c r="AQ269" s="261">
        <f t="shared" ref="AQ269:BB269" si="183">AQ273+AQ276</f>
        <v>352900.8</v>
      </c>
      <c r="AR269" s="261">
        <f t="shared" si="183"/>
        <v>4507000</v>
      </c>
      <c r="AS269" s="261">
        <f t="shared" si="183"/>
        <v>0</v>
      </c>
      <c r="AT269" s="261">
        <f t="shared" si="183"/>
        <v>4859900.8</v>
      </c>
      <c r="AU269" s="261">
        <f t="shared" si="183"/>
        <v>352900.8</v>
      </c>
      <c r="AV269" s="261">
        <f t="shared" si="183"/>
        <v>0</v>
      </c>
      <c r="AW269" s="261">
        <f t="shared" si="183"/>
        <v>0</v>
      </c>
      <c r="AX269" s="261">
        <f t="shared" si="183"/>
        <v>0</v>
      </c>
      <c r="AY269" s="261">
        <f t="shared" si="183"/>
        <v>0</v>
      </c>
      <c r="AZ269" s="261">
        <f t="shared" si="183"/>
        <v>0</v>
      </c>
      <c r="BA269" s="261">
        <f t="shared" si="183"/>
        <v>0</v>
      </c>
      <c r="BB269" s="261">
        <f t="shared" si="183"/>
        <v>-4507000</v>
      </c>
      <c r="BC269" s="184"/>
      <c r="BD269" s="184"/>
      <c r="BE269" s="184"/>
      <c r="BF269" s="184"/>
    </row>
    <row r="270" spans="1:58" ht="78.75" x14ac:dyDescent="0.25">
      <c r="A270" s="172"/>
      <c r="B270" s="200"/>
      <c r="C270" s="201"/>
      <c r="D270" s="202"/>
      <c r="E270" s="354"/>
      <c r="F270" s="355"/>
      <c r="G270" s="356"/>
      <c r="H270" s="199" t="s">
        <v>344</v>
      </c>
      <c r="I270" s="178"/>
      <c r="J270" s="174"/>
      <c r="K270" s="174"/>
      <c r="L270" s="125" t="str">
        <f>IF(I270&lt;&gt;0,((VLOOKUP(I270,'1. Standard_Cost'!$B$4:$D$11,2)+VLOOKUP(I270,'1. Standard_Cost'!$B$4:$D$11,3))*J270*K270),"0")</f>
        <v>0</v>
      </c>
      <c r="M270" s="125">
        <f>L270*'1. Standard_Cost'!$F$4</f>
        <v>0</v>
      </c>
      <c r="N270" s="174"/>
      <c r="O270" s="174"/>
      <c r="P270" s="174"/>
      <c r="Q270" s="174"/>
      <c r="R270" s="127">
        <f>'1. Standard_Cost'!$B$15*N270*P270</f>
        <v>0</v>
      </c>
      <c r="S270" s="127">
        <f>N270*O270*P270*'1. Standard_Cost'!$C$15</f>
        <v>0</v>
      </c>
      <c r="T270" s="127">
        <f>N270*P270*Q270*'1. Standard_Cost'!$D$15</f>
        <v>0</v>
      </c>
      <c r="U270" s="127">
        <f>N270*O270*'1. Standard_Cost'!$E$15</f>
        <v>0</v>
      </c>
      <c r="V270" s="174"/>
      <c r="W270" s="174"/>
      <c r="X270" s="174"/>
      <c r="Y270" s="127">
        <f>+V270*((X270*'1. Standard_Cost'!$B$19)+(W270*X270*'1. Standard_Cost'!$C$19))</f>
        <v>0</v>
      </c>
      <c r="Z270" s="174"/>
      <c r="AA270" s="174"/>
      <c r="AB270" s="127">
        <f>+Z270*'1. Standard_Cost'!$B$23+AA270*'1. Standard_Cost'!$C$23</f>
        <v>0</v>
      </c>
      <c r="AC270" s="176"/>
      <c r="AD270" s="177"/>
      <c r="AE270" s="127">
        <f>SUM(AD270,AC270,AB270,Y270,U270,T270,S270,R270)*'1. Standard_Cost'!$B$31</f>
        <v>0</v>
      </c>
      <c r="AF270" s="127">
        <f>SUM(AE270,AD270,AC270,AB270,Y270,U270,T270,S270,R270)</f>
        <v>0</v>
      </c>
      <c r="AG270" s="174"/>
      <c r="AH270" s="174"/>
      <c r="AI270" s="174"/>
      <c r="AJ270" s="178"/>
      <c r="AK270" s="178"/>
      <c r="AL270" s="178"/>
      <c r="AM270" s="127">
        <f>AG270*'1. Standard_Cost'!$B$27+'Incremental_Cost Year 2'!AH270*'1. Standard_Cost'!$C$27+'Incremental_Cost Year 2'!AI270*'1. Standard_Cost'!$D$27+'Incremental_Cost Year 2'!AJ270+'Incremental_Cost Year 2'!AL270+AK270</f>
        <v>0</v>
      </c>
      <c r="AN270" s="127">
        <f>AM270*'1. Standard_Cost'!$C$31</f>
        <v>0</v>
      </c>
      <c r="AO270" s="178"/>
      <c r="AP270" s="256"/>
      <c r="AQ270" s="171">
        <f>L270+M270</f>
        <v>0</v>
      </c>
      <c r="AR270" s="171">
        <f>AF270</f>
        <v>0</v>
      </c>
      <c r="AS270" s="171">
        <f>AM270+AN270</f>
        <v>0</v>
      </c>
      <c r="AT270" s="171">
        <f>SUM(AQ270,AR270,AS270)</f>
        <v>0</v>
      </c>
      <c r="AU270" s="250">
        <v>0</v>
      </c>
      <c r="AV270" s="250"/>
      <c r="AW270" s="250"/>
      <c r="AX270" s="250"/>
      <c r="AY270" s="250"/>
      <c r="AZ270" s="250"/>
      <c r="BA270" s="250"/>
      <c r="BB270" s="251">
        <f t="shared" ref="BB270:BB272" si="184">SUM(AU270:BA270)-AT270</f>
        <v>0</v>
      </c>
      <c r="BC270" s="169"/>
      <c r="BD270" s="169"/>
      <c r="BE270" s="169"/>
      <c r="BF270" s="169"/>
    </row>
    <row r="271" spans="1:58" ht="63" x14ac:dyDescent="0.25">
      <c r="A271" s="172"/>
      <c r="B271" s="200"/>
      <c r="C271" s="201"/>
      <c r="D271" s="202"/>
      <c r="E271" s="357"/>
      <c r="F271" s="358"/>
      <c r="G271" s="359"/>
      <c r="H271" s="199" t="s">
        <v>345</v>
      </c>
      <c r="I271" s="178"/>
      <c r="J271" s="174"/>
      <c r="K271" s="174"/>
      <c r="L271" s="125" t="str">
        <f>IF(I271&lt;&gt;0,((VLOOKUP(I271,'1. Standard_Cost'!$B$4:$D$11,2)+VLOOKUP(I271,'1. Standard_Cost'!$B$4:$D$11,3))*J271*K271),"0")</f>
        <v>0</v>
      </c>
      <c r="M271" s="125">
        <f>L271*'1. Standard_Cost'!$F$4</f>
        <v>0</v>
      </c>
      <c r="N271" s="174"/>
      <c r="O271" s="174"/>
      <c r="P271" s="174"/>
      <c r="Q271" s="174"/>
      <c r="R271" s="127">
        <f>'1. Standard_Cost'!$B$15*N271*P271</f>
        <v>0</v>
      </c>
      <c r="S271" s="127">
        <f>N271*O271*P271*'1. Standard_Cost'!$C$15</f>
        <v>0</v>
      </c>
      <c r="T271" s="127">
        <f>N271*P271*Q271*'1. Standard_Cost'!$D$15</f>
        <v>0</v>
      </c>
      <c r="U271" s="127">
        <f>N271*O271*'1. Standard_Cost'!$E$15</f>
        <v>0</v>
      </c>
      <c r="V271" s="174"/>
      <c r="W271" s="174"/>
      <c r="X271" s="174"/>
      <c r="Y271" s="127">
        <f>+V271*((X271*'1. Standard_Cost'!$B$19)+(W271*X271*'1. Standard_Cost'!$C$19))</f>
        <v>0</v>
      </c>
      <c r="Z271" s="174"/>
      <c r="AA271" s="174"/>
      <c r="AB271" s="127">
        <f>+Z271*'1. Standard_Cost'!$B$23+AA271*'1. Standard_Cost'!$C$23</f>
        <v>0</v>
      </c>
      <c r="AC271" s="176"/>
      <c r="AD271" s="177"/>
      <c r="AE271" s="127">
        <f>SUM(AD271,AC271,AB271,Y271,U271,T271,S271,R271)*'1. Standard_Cost'!$B$31</f>
        <v>0</v>
      </c>
      <c r="AF271" s="127">
        <f>SUM(AE271,AD271,AC271,AB271,Y271,U271,T271,S271,R271)</f>
        <v>0</v>
      </c>
      <c r="AG271" s="174"/>
      <c r="AH271" s="174"/>
      <c r="AI271" s="174"/>
      <c r="AJ271" s="178"/>
      <c r="AK271" s="178"/>
      <c r="AL271" s="178"/>
      <c r="AM271" s="127">
        <f>AG271*'1. Standard_Cost'!$B$27+'Incremental_Cost Year 2'!AH271*'1. Standard_Cost'!$C$27+'Incremental_Cost Year 2'!AI271*'1. Standard_Cost'!$D$27+'Incremental_Cost Year 2'!AJ271+'Incremental_Cost Year 2'!AL271+AK271</f>
        <v>0</v>
      </c>
      <c r="AN271" s="127">
        <f>AM271*'1. Standard_Cost'!$C$31</f>
        <v>0</v>
      </c>
      <c r="AO271" s="178"/>
      <c r="AP271" s="256"/>
      <c r="AQ271" s="171">
        <f>L271+M271</f>
        <v>0</v>
      </c>
      <c r="AR271" s="171">
        <f>AF271</f>
        <v>0</v>
      </c>
      <c r="AS271" s="171">
        <f>AM271+AN271</f>
        <v>0</v>
      </c>
      <c r="AT271" s="171">
        <f>SUM(AQ271,AR271,AS271)</f>
        <v>0</v>
      </c>
      <c r="AU271" s="250">
        <v>0</v>
      </c>
      <c r="AV271" s="250"/>
      <c r="AW271" s="250"/>
      <c r="AX271" s="250"/>
      <c r="AY271" s="250"/>
      <c r="AZ271" s="250"/>
      <c r="BA271" s="250"/>
      <c r="BB271" s="251">
        <f t="shared" si="184"/>
        <v>0</v>
      </c>
      <c r="BC271" s="169"/>
      <c r="BD271" s="169"/>
      <c r="BE271" s="169"/>
      <c r="BF271" s="169"/>
    </row>
    <row r="272" spans="1:58" ht="63" x14ac:dyDescent="0.25">
      <c r="A272" s="172"/>
      <c r="B272" s="200"/>
      <c r="C272" s="201"/>
      <c r="D272" s="202"/>
      <c r="E272" s="360"/>
      <c r="F272" s="361"/>
      <c r="G272" s="362"/>
      <c r="H272" s="199" t="s">
        <v>346</v>
      </c>
      <c r="I272" s="178"/>
      <c r="J272" s="174"/>
      <c r="K272" s="174"/>
      <c r="L272" s="125" t="str">
        <f>IF(I272&lt;&gt;0,((VLOOKUP(I272,'1. Standard_Cost'!$B$4:$D$11,2)+VLOOKUP(I272,'1. Standard_Cost'!$B$4:$D$11,3))*J272*K272),"0")</f>
        <v>0</v>
      </c>
      <c r="M272" s="125">
        <f>L272*'1. Standard_Cost'!$F$4</f>
        <v>0</v>
      </c>
      <c r="N272" s="174"/>
      <c r="O272" s="174"/>
      <c r="P272" s="174"/>
      <c r="Q272" s="174"/>
      <c r="R272" s="127">
        <f>'1. Standard_Cost'!$B$15*N272*P272</f>
        <v>0</v>
      </c>
      <c r="S272" s="127">
        <f>N272*O272*P272*'1. Standard_Cost'!$C$15</f>
        <v>0</v>
      </c>
      <c r="T272" s="127">
        <f>N272*P272*Q272*'1. Standard_Cost'!$D$15</f>
        <v>0</v>
      </c>
      <c r="U272" s="127">
        <f>N272*O272*'1. Standard_Cost'!$E$15</f>
        <v>0</v>
      </c>
      <c r="V272" s="174"/>
      <c r="W272" s="174"/>
      <c r="X272" s="174"/>
      <c r="Y272" s="127">
        <f>+V272*((X272*'1. Standard_Cost'!$B$19)+(W272*X272*'1. Standard_Cost'!$C$19))</f>
        <v>0</v>
      </c>
      <c r="Z272" s="174"/>
      <c r="AA272" s="174"/>
      <c r="AB272" s="127">
        <f>+Z272*'1. Standard_Cost'!$B$23+AA272*'1. Standard_Cost'!$C$23</f>
        <v>0</v>
      </c>
      <c r="AC272" s="176"/>
      <c r="AD272" s="177"/>
      <c r="AE272" s="127">
        <f>SUM(AD272,AC272,AB272,Y272,U272,T272,S272,R272)*'1. Standard_Cost'!$B$31</f>
        <v>0</v>
      </c>
      <c r="AF272" s="127">
        <f>SUM(AE272,AD272,AC272,AB272,Y272,U272,T272,S272,R272)</f>
        <v>0</v>
      </c>
      <c r="AG272" s="174"/>
      <c r="AH272" s="174"/>
      <c r="AI272" s="174"/>
      <c r="AJ272" s="178"/>
      <c r="AK272" s="178"/>
      <c r="AL272" s="178"/>
      <c r="AM272" s="127">
        <f>AG272*'1. Standard_Cost'!$B$27+'Incremental_Cost Year 2'!AH272*'1. Standard_Cost'!$C$27+'Incremental_Cost Year 2'!AI272*'1. Standard_Cost'!$D$27+'Incremental_Cost Year 2'!AJ272+'Incremental_Cost Year 2'!AL272+AK272</f>
        <v>0</v>
      </c>
      <c r="AN272" s="127">
        <f>AM272*'1. Standard_Cost'!$C$31</f>
        <v>0</v>
      </c>
      <c r="AO272" s="178"/>
      <c r="AP272" s="256"/>
      <c r="AQ272" s="171">
        <f>L272+M272</f>
        <v>0</v>
      </c>
      <c r="AR272" s="171">
        <f>AF272</f>
        <v>0</v>
      </c>
      <c r="AS272" s="171">
        <f>AM272+AN272</f>
        <v>0</v>
      </c>
      <c r="AT272" s="171">
        <f>SUM(AQ272,AR272,AS272)</f>
        <v>0</v>
      </c>
      <c r="AU272" s="250"/>
      <c r="AV272" s="250"/>
      <c r="AW272" s="250"/>
      <c r="AX272" s="250"/>
      <c r="AY272" s="250"/>
      <c r="AZ272" s="250"/>
      <c r="BA272" s="250"/>
      <c r="BB272" s="251">
        <f t="shared" si="184"/>
        <v>0</v>
      </c>
      <c r="BC272" s="169"/>
      <c r="BD272" s="169"/>
      <c r="BE272" s="169"/>
      <c r="BF272" s="169"/>
    </row>
    <row r="273" spans="1:58" ht="63" x14ac:dyDescent="0.2">
      <c r="A273" s="172"/>
      <c r="B273" s="168"/>
      <c r="C273" s="204"/>
      <c r="D273" s="212" t="s">
        <v>559</v>
      </c>
      <c r="E273" s="212" t="s">
        <v>347</v>
      </c>
      <c r="F273" s="206">
        <v>2026</v>
      </c>
      <c r="G273" s="207">
        <v>2028</v>
      </c>
      <c r="H273" s="182" t="s">
        <v>348</v>
      </c>
      <c r="I273" s="273"/>
      <c r="J273" s="273"/>
      <c r="K273" s="273"/>
      <c r="L273" s="175">
        <f>SUM(L270:L272)</f>
        <v>0</v>
      </c>
      <c r="M273" s="175">
        <f>SUM(M270:M272)</f>
        <v>0</v>
      </c>
      <c r="N273" s="273"/>
      <c r="O273" s="273"/>
      <c r="P273" s="273"/>
      <c r="Q273" s="273"/>
      <c r="R273" s="175">
        <f>SUM(R270:R272)</f>
        <v>0</v>
      </c>
      <c r="S273" s="175">
        <f>SUM(S270:S272)</f>
        <v>0</v>
      </c>
      <c r="T273" s="175">
        <f>SUM(T270:T272)</f>
        <v>0</v>
      </c>
      <c r="U273" s="175">
        <f>SUM(U270:U272)</f>
        <v>0</v>
      </c>
      <c r="V273" s="273"/>
      <c r="W273" s="273"/>
      <c r="X273" s="273"/>
      <c r="Y273" s="175">
        <f>SUM(Y270:Y272)</f>
        <v>0</v>
      </c>
      <c r="Z273" s="175"/>
      <c r="AA273" s="273"/>
      <c r="AB273" s="175">
        <f>SUM(AB270:AB272)</f>
        <v>0</v>
      </c>
      <c r="AC273" s="175">
        <f>SUM(AC270:AC272)</f>
        <v>0</v>
      </c>
      <c r="AD273" s="175">
        <f>SUM(AD270:AD272)</f>
        <v>0</v>
      </c>
      <c r="AE273" s="175">
        <f>SUM(AE270:AE272)</f>
        <v>0</v>
      </c>
      <c r="AF273" s="175">
        <f>SUM(AF270:AF272)</f>
        <v>0</v>
      </c>
      <c r="AG273" s="273"/>
      <c r="AH273" s="273"/>
      <c r="AI273" s="273"/>
      <c r="AJ273" s="175">
        <f>SUM(AJ270:AJ272)</f>
        <v>0</v>
      </c>
      <c r="AK273" s="175">
        <f>SUM(AK270:AK272)</f>
        <v>0</v>
      </c>
      <c r="AL273" s="175">
        <f>SUM(AL270:AL272)</f>
        <v>0</v>
      </c>
      <c r="AM273" s="175">
        <f>SUM(AM270:AM272)</f>
        <v>0</v>
      </c>
      <c r="AN273" s="175">
        <f>SUM(AN270:AN272)</f>
        <v>0</v>
      </c>
      <c r="AO273" s="274"/>
      <c r="AP273" s="254"/>
      <c r="AQ273" s="175">
        <f>SUM(AQ270:AQ272)</f>
        <v>0</v>
      </c>
      <c r="AR273" s="175">
        <f t="shared" ref="AR273:BB273" si="185">SUM(AR270:AR272)</f>
        <v>0</v>
      </c>
      <c r="AS273" s="175">
        <f t="shared" si="185"/>
        <v>0</v>
      </c>
      <c r="AT273" s="175">
        <f t="shared" si="185"/>
        <v>0</v>
      </c>
      <c r="AU273" s="175">
        <f t="shared" si="185"/>
        <v>0</v>
      </c>
      <c r="AV273" s="175">
        <f t="shared" si="185"/>
        <v>0</v>
      </c>
      <c r="AW273" s="175">
        <f t="shared" si="185"/>
        <v>0</v>
      </c>
      <c r="AX273" s="175">
        <f t="shared" si="185"/>
        <v>0</v>
      </c>
      <c r="AY273" s="175">
        <f t="shared" si="185"/>
        <v>0</v>
      </c>
      <c r="AZ273" s="175">
        <f t="shared" si="185"/>
        <v>0</v>
      </c>
      <c r="BA273" s="175">
        <f t="shared" si="185"/>
        <v>0</v>
      </c>
      <c r="BB273" s="175">
        <f t="shared" si="185"/>
        <v>0</v>
      </c>
      <c r="BC273" s="169"/>
      <c r="BD273" s="169"/>
      <c r="BE273" s="169"/>
      <c r="BF273" s="169"/>
    </row>
    <row r="274" spans="1:58" ht="78.75" x14ac:dyDescent="0.25">
      <c r="A274" s="172"/>
      <c r="B274" s="200"/>
      <c r="C274" s="201"/>
      <c r="D274" s="202"/>
      <c r="E274" s="354"/>
      <c r="F274" s="355"/>
      <c r="G274" s="356"/>
      <c r="H274" s="199" t="s">
        <v>349</v>
      </c>
      <c r="I274" s="178"/>
      <c r="J274" s="174"/>
      <c r="K274" s="174"/>
      <c r="L274" s="125" t="str">
        <f>IF(I274&lt;&gt;0,((VLOOKUP(I274,'1. Standard_Cost'!$B$4:$D$11,2)+VLOOKUP(I274,'1. Standard_Cost'!$B$4:$D$11,3))*J274*K274),"0")</f>
        <v>0</v>
      </c>
      <c r="M274" s="125">
        <f>L274*'1. Standard_Cost'!$F$4</f>
        <v>0</v>
      </c>
      <c r="N274" s="174"/>
      <c r="O274" s="174"/>
      <c r="P274" s="174"/>
      <c r="Q274" s="174"/>
      <c r="R274" s="127">
        <f>'1. Standard_Cost'!$B$15*N274*P274</f>
        <v>0</v>
      </c>
      <c r="S274" s="127">
        <f>N274*O274*P274*'1. Standard_Cost'!$C$15</f>
        <v>0</v>
      </c>
      <c r="T274" s="127">
        <f>N274*P274*Q274*'1. Standard_Cost'!$D$15</f>
        <v>0</v>
      </c>
      <c r="U274" s="127">
        <f>N274*O274*'1. Standard_Cost'!$E$15</f>
        <v>0</v>
      </c>
      <c r="V274" s="174"/>
      <c r="W274" s="174"/>
      <c r="X274" s="174"/>
      <c r="Y274" s="127">
        <f>+V274*((X274*'1. Standard_Cost'!$B$19)+(W274*X274*'1. Standard_Cost'!$C$19))</f>
        <v>0</v>
      </c>
      <c r="Z274" s="174"/>
      <c r="AA274" s="174">
        <v>20</v>
      </c>
      <c r="AB274" s="127">
        <f>+Z274*'1. Standard_Cost'!$B$23+AA274*'1. Standard_Cost'!$C$23</f>
        <v>380000</v>
      </c>
      <c r="AC274" s="176">
        <v>20000</v>
      </c>
      <c r="AD274" s="177"/>
      <c r="AE274" s="127"/>
      <c r="AF274" s="127">
        <f>SUM(AE274,AD274,AC274,AB274,Y274,U274,T274,S274,R274)</f>
        <v>400000</v>
      </c>
      <c r="AG274" s="174"/>
      <c r="AH274" s="174"/>
      <c r="AI274" s="174"/>
      <c r="AJ274" s="178"/>
      <c r="AK274" s="178"/>
      <c r="AL274" s="178"/>
      <c r="AM274" s="127">
        <f>AG274*'1. Standard_Cost'!$B$27+'Incremental_Cost Year 2'!AH274*'1. Standard_Cost'!$C$27+'Incremental_Cost Year 2'!AI274*'1. Standard_Cost'!$D$27+'Incremental_Cost Year 2'!AJ274+'Incremental_Cost Year 2'!AL274+AK274</f>
        <v>0</v>
      </c>
      <c r="AN274" s="127">
        <f>AM274*'1. Standard_Cost'!$C$31</f>
        <v>0</v>
      </c>
      <c r="AO274" s="178"/>
      <c r="AP274" s="256"/>
      <c r="AQ274" s="171">
        <f>L274+M274</f>
        <v>0</v>
      </c>
      <c r="AR274" s="171">
        <f>AF274</f>
        <v>400000</v>
      </c>
      <c r="AS274" s="171">
        <f>AM274+AN274</f>
        <v>0</v>
      </c>
      <c r="AT274" s="171">
        <f>SUM(AQ274,AR274,AS274)</f>
        <v>400000</v>
      </c>
      <c r="AU274" s="250">
        <v>0</v>
      </c>
      <c r="AV274" s="250"/>
      <c r="AW274" s="250"/>
      <c r="AX274" s="250"/>
      <c r="AY274" s="250"/>
      <c r="AZ274" s="250"/>
      <c r="BA274" s="250"/>
      <c r="BB274" s="251">
        <f t="shared" ref="BB274:BB275" si="186">SUM(AU274:BA274)-AT274</f>
        <v>-400000</v>
      </c>
      <c r="BC274" s="169"/>
      <c r="BD274" s="169"/>
      <c r="BE274" s="169"/>
      <c r="BF274" s="169"/>
    </row>
    <row r="275" spans="1:58" ht="125.25" customHeight="1" x14ac:dyDescent="0.25">
      <c r="A275" s="172"/>
      <c r="B275" s="200"/>
      <c r="C275" s="201"/>
      <c r="D275" s="202"/>
      <c r="E275" s="360"/>
      <c r="F275" s="361"/>
      <c r="G275" s="362"/>
      <c r="H275" s="199" t="s">
        <v>350</v>
      </c>
      <c r="I275" s="178" t="s">
        <v>3</v>
      </c>
      <c r="J275" s="174">
        <v>1</v>
      </c>
      <c r="K275" s="174">
        <v>3</v>
      </c>
      <c r="L275" s="125">
        <f>IF(I275&lt;&gt;0,((VLOOKUP(I275,'1. Standard_Cost'!$B$4:$D$11,2)+VLOOKUP(I275,'1. Standard_Cost'!$B$4:$D$11,3))*J275*K275),"0")</f>
        <v>302400</v>
      </c>
      <c r="M275" s="125">
        <f>L275*'1. Standard_Cost'!$F$4</f>
        <v>50500.800000000003</v>
      </c>
      <c r="N275" s="174">
        <v>30</v>
      </c>
      <c r="O275" s="174">
        <v>1</v>
      </c>
      <c r="P275" s="174">
        <v>20</v>
      </c>
      <c r="Q275" s="174"/>
      <c r="R275" s="127">
        <f>'1. Standard_Cost'!$B$15*N275*P275</f>
        <v>1200000</v>
      </c>
      <c r="S275" s="127">
        <f>N275*O275*P275*'1. Standard_Cost'!$C$15</f>
        <v>900000</v>
      </c>
      <c r="T275" s="127">
        <f>N275*P275*Q275*'1. Standard_Cost'!$D$15</f>
        <v>0</v>
      </c>
      <c r="U275" s="127">
        <f>N275*O275*'1. Standard_Cost'!$E$15</f>
        <v>1200000</v>
      </c>
      <c r="V275" s="174"/>
      <c r="W275" s="174"/>
      <c r="X275" s="174"/>
      <c r="Y275" s="127">
        <f>+V275*((X275*'1. Standard_Cost'!$B$19)+(W275*X275*'1. Standard_Cost'!$C$19))</f>
        <v>0</v>
      </c>
      <c r="Z275" s="174"/>
      <c r="AA275" s="174">
        <v>33</v>
      </c>
      <c r="AB275" s="127">
        <f>+Z275*'1. Standard_Cost'!$B$23+AA275*'1. Standard_Cost'!$C$23</f>
        <v>627000</v>
      </c>
      <c r="AC275" s="176">
        <v>180000</v>
      </c>
      <c r="AD275" s="177"/>
      <c r="AE275" s="127"/>
      <c r="AF275" s="127">
        <f>SUM(AE275,AD275,AC275,AB275,Y275,U275,T275,S275,R275)</f>
        <v>4107000</v>
      </c>
      <c r="AG275" s="174"/>
      <c r="AH275" s="174"/>
      <c r="AI275" s="174"/>
      <c r="AJ275" s="178"/>
      <c r="AK275" s="178"/>
      <c r="AL275" s="178"/>
      <c r="AM275" s="127">
        <f>AG275*'1. Standard_Cost'!$B$27+'Incremental_Cost Year 2'!AH275*'1. Standard_Cost'!$C$27+'Incremental_Cost Year 2'!AI275*'1. Standard_Cost'!$D$27+'Incremental_Cost Year 2'!AJ275+'Incremental_Cost Year 2'!AL275+AK275</f>
        <v>0</v>
      </c>
      <c r="AN275" s="127">
        <f>AM275*'1. Standard_Cost'!$C$31</f>
        <v>0</v>
      </c>
      <c r="AO275" s="178"/>
      <c r="AP275" s="256"/>
      <c r="AQ275" s="171">
        <f>L275+M275</f>
        <v>352900.8</v>
      </c>
      <c r="AR275" s="171">
        <f>AF275</f>
        <v>4107000</v>
      </c>
      <c r="AS275" s="171">
        <f>AM275+AN275</f>
        <v>0</v>
      </c>
      <c r="AT275" s="171">
        <f>SUM(AQ275,AR275,AS275)</f>
        <v>4459900.8</v>
      </c>
      <c r="AU275" s="250">
        <v>352900.8</v>
      </c>
      <c r="AV275" s="250"/>
      <c r="AW275" s="250"/>
      <c r="AX275" s="250"/>
      <c r="AY275" s="250"/>
      <c r="AZ275" s="250"/>
      <c r="BA275" s="250"/>
      <c r="BB275" s="251">
        <f t="shared" si="186"/>
        <v>-4107000</v>
      </c>
      <c r="BC275" s="169"/>
      <c r="BD275" s="169"/>
      <c r="BE275" s="169"/>
      <c r="BF275" s="169"/>
    </row>
    <row r="276" spans="1:58" ht="78.75" x14ac:dyDescent="0.2">
      <c r="A276" s="172"/>
      <c r="B276" s="168"/>
      <c r="C276" s="204"/>
      <c r="D276" s="212" t="s">
        <v>485</v>
      </c>
      <c r="E276" s="212" t="s">
        <v>351</v>
      </c>
      <c r="F276" s="206">
        <v>2022</v>
      </c>
      <c r="G276" s="207">
        <v>2025</v>
      </c>
      <c r="H276" s="182" t="s">
        <v>352</v>
      </c>
      <c r="I276" s="273"/>
      <c r="J276" s="273"/>
      <c r="K276" s="273"/>
      <c r="L276" s="175">
        <f>SUM(L274:L275)</f>
        <v>302400</v>
      </c>
      <c r="M276" s="175">
        <f>SUM(M274:M275)</f>
        <v>50500.800000000003</v>
      </c>
      <c r="N276" s="273"/>
      <c r="O276" s="273"/>
      <c r="P276" s="273"/>
      <c r="Q276" s="273"/>
      <c r="R276" s="175">
        <f>SUM(R274:R275)</f>
        <v>1200000</v>
      </c>
      <c r="S276" s="175">
        <f>SUM(S274:S275)</f>
        <v>900000</v>
      </c>
      <c r="T276" s="175">
        <f>SUM(T274:T275)</f>
        <v>0</v>
      </c>
      <c r="U276" s="175">
        <f>SUM(U274:U275)</f>
        <v>1200000</v>
      </c>
      <c r="V276" s="273"/>
      <c r="W276" s="273"/>
      <c r="X276" s="273"/>
      <c r="Y276" s="175">
        <f>SUM(Y274:Y275)</f>
        <v>0</v>
      </c>
      <c r="Z276" s="175"/>
      <c r="AA276" s="273"/>
      <c r="AB276" s="175">
        <f>SUM(AB274:AB275)</f>
        <v>1007000</v>
      </c>
      <c r="AC276" s="175">
        <f>SUM(AC274:AC275)</f>
        <v>200000</v>
      </c>
      <c r="AD276" s="175">
        <f>SUM(AD274:AD275)</f>
        <v>0</v>
      </c>
      <c r="AE276" s="175">
        <f>SUM(AE274:AE275)</f>
        <v>0</v>
      </c>
      <c r="AF276" s="175">
        <f>SUM(AF274:AF275)</f>
        <v>4507000</v>
      </c>
      <c r="AG276" s="273"/>
      <c r="AH276" s="273"/>
      <c r="AI276" s="273"/>
      <c r="AJ276" s="175">
        <f>SUM(AJ274:AJ275)</f>
        <v>0</v>
      </c>
      <c r="AK276" s="175">
        <f>SUM(AK274:AK275)</f>
        <v>0</v>
      </c>
      <c r="AL276" s="175">
        <f>SUM(AL274:AL275)</f>
        <v>0</v>
      </c>
      <c r="AM276" s="175">
        <f>SUM(AM274:AM275)</f>
        <v>0</v>
      </c>
      <c r="AN276" s="175">
        <f>SUM(AN274:AN275)</f>
        <v>0</v>
      </c>
      <c r="AO276" s="274"/>
      <c r="AP276" s="254"/>
      <c r="AQ276" s="175">
        <f>SUM(AQ274:AQ275)</f>
        <v>352900.8</v>
      </c>
      <c r="AR276" s="175">
        <f t="shared" ref="AR276:BB276" si="187">SUM(AR274:AR275)</f>
        <v>4507000</v>
      </c>
      <c r="AS276" s="175">
        <f t="shared" si="187"/>
        <v>0</v>
      </c>
      <c r="AT276" s="175">
        <f t="shared" si="187"/>
        <v>4859900.8</v>
      </c>
      <c r="AU276" s="175">
        <f t="shared" si="187"/>
        <v>352900.8</v>
      </c>
      <c r="AV276" s="175">
        <f t="shared" si="187"/>
        <v>0</v>
      </c>
      <c r="AW276" s="175">
        <f t="shared" si="187"/>
        <v>0</v>
      </c>
      <c r="AX276" s="175">
        <f t="shared" si="187"/>
        <v>0</v>
      </c>
      <c r="AY276" s="175">
        <f t="shared" si="187"/>
        <v>0</v>
      </c>
      <c r="AZ276" s="175">
        <f t="shared" si="187"/>
        <v>0</v>
      </c>
      <c r="BA276" s="175">
        <f t="shared" si="187"/>
        <v>0</v>
      </c>
      <c r="BB276" s="175">
        <f t="shared" si="187"/>
        <v>-4507000</v>
      </c>
      <c r="BC276" s="169"/>
      <c r="BD276" s="169"/>
      <c r="BE276" s="169"/>
      <c r="BF276" s="169"/>
    </row>
    <row r="277" spans="1:58" ht="15.6" customHeight="1" x14ac:dyDescent="0.2">
      <c r="A277" s="179"/>
      <c r="B277" s="290"/>
      <c r="C277" s="391" t="s">
        <v>353</v>
      </c>
      <c r="D277" s="391"/>
      <c r="E277" s="392"/>
      <c r="F277" s="287"/>
      <c r="G277" s="289"/>
      <c r="H277" s="181" t="s">
        <v>354</v>
      </c>
      <c r="I277" s="271"/>
      <c r="J277" s="271"/>
      <c r="K277" s="271"/>
      <c r="L277" s="261">
        <f>L283</f>
        <v>0</v>
      </c>
      <c r="M277" s="261">
        <f>M283</f>
        <v>0</v>
      </c>
      <c r="N277" s="271"/>
      <c r="O277" s="271"/>
      <c r="P277" s="271"/>
      <c r="Q277" s="271"/>
      <c r="R277" s="261">
        <f>R283</f>
        <v>0</v>
      </c>
      <c r="S277" s="261">
        <f>S283</f>
        <v>0</v>
      </c>
      <c r="T277" s="261">
        <f>T283</f>
        <v>0</v>
      </c>
      <c r="U277" s="261">
        <f>U283</f>
        <v>0</v>
      </c>
      <c r="V277" s="271"/>
      <c r="W277" s="271"/>
      <c r="X277" s="271"/>
      <c r="Y277" s="261">
        <f>Y283</f>
        <v>0</v>
      </c>
      <c r="Z277" s="261"/>
      <c r="AA277" s="261"/>
      <c r="AB277" s="261">
        <f>AB283</f>
        <v>0</v>
      </c>
      <c r="AC277" s="261">
        <f>AC283</f>
        <v>0</v>
      </c>
      <c r="AD277" s="261">
        <f>AD283</f>
        <v>0</v>
      </c>
      <c r="AE277" s="261">
        <f>AE283</f>
        <v>0</v>
      </c>
      <c r="AF277" s="261">
        <f>AF283</f>
        <v>0</v>
      </c>
      <c r="AG277" s="271"/>
      <c r="AH277" s="271"/>
      <c r="AI277" s="271"/>
      <c r="AJ277" s="261">
        <f>AJ283</f>
        <v>0</v>
      </c>
      <c r="AK277" s="261">
        <f>AK283</f>
        <v>0</v>
      </c>
      <c r="AL277" s="261">
        <f>AL283</f>
        <v>0</v>
      </c>
      <c r="AM277" s="261">
        <f>AM283</f>
        <v>0</v>
      </c>
      <c r="AN277" s="261">
        <f>AN283</f>
        <v>0</v>
      </c>
      <c r="AO277" s="272"/>
      <c r="AP277" s="260"/>
      <c r="AQ277" s="261">
        <f t="shared" ref="AQ277:BB277" si="188">AQ283</f>
        <v>0</v>
      </c>
      <c r="AR277" s="261">
        <f t="shared" si="188"/>
        <v>0</v>
      </c>
      <c r="AS277" s="261">
        <f t="shared" si="188"/>
        <v>0</v>
      </c>
      <c r="AT277" s="261">
        <f t="shared" si="188"/>
        <v>0</v>
      </c>
      <c r="AU277" s="261">
        <f t="shared" si="188"/>
        <v>0</v>
      </c>
      <c r="AV277" s="261">
        <f t="shared" si="188"/>
        <v>0</v>
      </c>
      <c r="AW277" s="261">
        <f t="shared" si="188"/>
        <v>0</v>
      </c>
      <c r="AX277" s="261">
        <f t="shared" si="188"/>
        <v>0</v>
      </c>
      <c r="AY277" s="261">
        <f t="shared" si="188"/>
        <v>0</v>
      </c>
      <c r="AZ277" s="261">
        <f t="shared" si="188"/>
        <v>0</v>
      </c>
      <c r="BA277" s="261">
        <f t="shared" si="188"/>
        <v>0</v>
      </c>
      <c r="BB277" s="261">
        <f t="shared" si="188"/>
        <v>0</v>
      </c>
      <c r="BC277" s="184"/>
      <c r="BD277" s="184"/>
      <c r="BE277" s="184"/>
      <c r="BF277" s="184"/>
    </row>
    <row r="278" spans="1:58" ht="47.25" x14ac:dyDescent="0.25">
      <c r="A278" s="172"/>
      <c r="B278" s="200"/>
      <c r="C278" s="201"/>
      <c r="D278" s="202"/>
      <c r="E278" s="354"/>
      <c r="F278" s="355"/>
      <c r="G278" s="356"/>
      <c r="H278" s="213" t="s">
        <v>363</v>
      </c>
      <c r="I278" s="178"/>
      <c r="J278" s="174"/>
      <c r="K278" s="174"/>
      <c r="L278" s="125" t="str">
        <f>IF(I278&lt;&gt;0,((VLOOKUP(I278,'1. Standard_Cost'!$B$4:$D$11,2)+VLOOKUP(I278,'1. Standard_Cost'!$B$4:$D$11,3))*J278*K278),"0")</f>
        <v>0</v>
      </c>
      <c r="M278" s="125">
        <f>L278*'1. Standard_Cost'!$F$4</f>
        <v>0</v>
      </c>
      <c r="N278" s="174"/>
      <c r="O278" s="174"/>
      <c r="P278" s="174"/>
      <c r="Q278" s="174"/>
      <c r="R278" s="127">
        <f>'1. Standard_Cost'!$B$15*N278*P278</f>
        <v>0</v>
      </c>
      <c r="S278" s="127">
        <f>N278*O278*P278*'1. Standard_Cost'!$C$15</f>
        <v>0</v>
      </c>
      <c r="T278" s="127">
        <f>N278*P278*Q278*'1. Standard_Cost'!$D$15</f>
        <v>0</v>
      </c>
      <c r="U278" s="127">
        <f>N278*O278*'1. Standard_Cost'!$E$15</f>
        <v>0</v>
      </c>
      <c r="V278" s="174"/>
      <c r="W278" s="174"/>
      <c r="X278" s="174"/>
      <c r="Y278" s="127">
        <f>+V278*((X278*'1. Standard_Cost'!$B$19)+(W278*X278*'1. Standard_Cost'!$C$19))</f>
        <v>0</v>
      </c>
      <c r="Z278" s="174"/>
      <c r="AA278" s="174"/>
      <c r="AB278" s="127">
        <f>+Z278*'1. Standard_Cost'!$B$23+AA278*'1. Standard_Cost'!$C$23</f>
        <v>0</v>
      </c>
      <c r="AC278" s="176"/>
      <c r="AD278" s="177"/>
      <c r="AE278" s="127">
        <f>SUM(AD278,AC278,AB278,Y278,U278,T278,S278,R278)*'1. Standard_Cost'!$B$31</f>
        <v>0</v>
      </c>
      <c r="AF278" s="127">
        <f>SUM(AE278,AD278,AC278,AB278,Y278,U278,T278,S278,R278)</f>
        <v>0</v>
      </c>
      <c r="AG278" s="174"/>
      <c r="AH278" s="174"/>
      <c r="AI278" s="174"/>
      <c r="AJ278" s="178"/>
      <c r="AK278" s="178"/>
      <c r="AL278" s="178"/>
      <c r="AM278" s="127">
        <f>AG278*'1. Standard_Cost'!$B$27+'Incremental_Cost Year 2'!AH278*'1. Standard_Cost'!$C$27+'Incremental_Cost Year 2'!AI278*'1. Standard_Cost'!$D$27+'Incremental_Cost Year 2'!AJ278+'Incremental_Cost Year 2'!AL278+AK278</f>
        <v>0</v>
      </c>
      <c r="AN278" s="127">
        <f>AM278*'1. Standard_Cost'!$C$31</f>
        <v>0</v>
      </c>
      <c r="AO278" s="178"/>
      <c r="AP278" s="256"/>
      <c r="AQ278" s="171">
        <f>L278+M278</f>
        <v>0</v>
      </c>
      <c r="AR278" s="171">
        <f>AF278</f>
        <v>0</v>
      </c>
      <c r="AS278" s="171">
        <f>AM278+AN278</f>
        <v>0</v>
      </c>
      <c r="AT278" s="171">
        <f>SUM(AQ278,AR278,AS278)</f>
        <v>0</v>
      </c>
      <c r="AU278" s="250">
        <v>0</v>
      </c>
      <c r="AV278" s="250"/>
      <c r="AW278" s="250"/>
      <c r="AX278" s="250"/>
      <c r="AY278" s="250"/>
      <c r="AZ278" s="250"/>
      <c r="BA278" s="250"/>
      <c r="BB278" s="251">
        <f t="shared" ref="BB278:BB282" si="189">SUM(AU278:BA278)-AT278</f>
        <v>0</v>
      </c>
      <c r="BC278" s="169"/>
      <c r="BD278" s="169"/>
      <c r="BE278" s="169"/>
      <c r="BF278" s="169"/>
    </row>
    <row r="279" spans="1:58" ht="47.25" x14ac:dyDescent="0.25">
      <c r="A279" s="172"/>
      <c r="B279" s="200"/>
      <c r="C279" s="201"/>
      <c r="D279" s="202"/>
      <c r="E279" s="357"/>
      <c r="F279" s="358"/>
      <c r="G279" s="359"/>
      <c r="H279" s="213" t="s">
        <v>364</v>
      </c>
      <c r="I279" s="178"/>
      <c r="J279" s="174"/>
      <c r="K279" s="174"/>
      <c r="L279" s="125" t="str">
        <f>IF(I279&lt;&gt;0,((VLOOKUP(I279,'1. Standard_Cost'!$B$4:$D$11,2)+VLOOKUP(I279,'1. Standard_Cost'!$B$4:$D$11,3))*J279*K279),"0")</f>
        <v>0</v>
      </c>
      <c r="M279" s="125">
        <f>L279*'1. Standard_Cost'!$F$4</f>
        <v>0</v>
      </c>
      <c r="N279" s="174"/>
      <c r="O279" s="174"/>
      <c r="P279" s="174"/>
      <c r="Q279" s="174"/>
      <c r="R279" s="127">
        <f>'1. Standard_Cost'!$B$15*N279*P279</f>
        <v>0</v>
      </c>
      <c r="S279" s="127">
        <f>N279*O279*P279*'1. Standard_Cost'!$C$15</f>
        <v>0</v>
      </c>
      <c r="T279" s="127">
        <f>N279*P279*Q279*'1. Standard_Cost'!$D$15</f>
        <v>0</v>
      </c>
      <c r="U279" s="127">
        <f>N279*O279*'1. Standard_Cost'!$E$15</f>
        <v>0</v>
      </c>
      <c r="V279" s="174"/>
      <c r="W279" s="174"/>
      <c r="X279" s="174"/>
      <c r="Y279" s="127">
        <f>+V279*((X279*'1. Standard_Cost'!$B$19)+(W279*X279*'1. Standard_Cost'!$C$19))</f>
        <v>0</v>
      </c>
      <c r="Z279" s="174"/>
      <c r="AA279" s="174"/>
      <c r="AB279" s="127">
        <f>+Z279*'1. Standard_Cost'!$B$23+AA279*'1. Standard_Cost'!$C$23</f>
        <v>0</v>
      </c>
      <c r="AC279" s="176"/>
      <c r="AD279" s="177"/>
      <c r="AE279" s="127">
        <f>SUM(AD279,AC279,AB279,Y279,U279,T279,S279,R279)*'1. Standard_Cost'!$B$31</f>
        <v>0</v>
      </c>
      <c r="AF279" s="127">
        <f>SUM(AE279,AD279,AC279,AB279,Y279,U279,T279,S279,R279)</f>
        <v>0</v>
      </c>
      <c r="AG279" s="174"/>
      <c r="AH279" s="174"/>
      <c r="AI279" s="174"/>
      <c r="AJ279" s="178"/>
      <c r="AK279" s="178"/>
      <c r="AL279" s="178"/>
      <c r="AM279" s="127">
        <f>AG279*'1. Standard_Cost'!$B$27+'Incremental_Cost Year 2'!AH279*'1. Standard_Cost'!$C$27+'Incremental_Cost Year 2'!AI279*'1. Standard_Cost'!$D$27+'Incremental_Cost Year 2'!AJ279+'Incremental_Cost Year 2'!AL279+AK279</f>
        <v>0</v>
      </c>
      <c r="AN279" s="127">
        <f>AM279*'1. Standard_Cost'!$C$31</f>
        <v>0</v>
      </c>
      <c r="AO279" s="178"/>
      <c r="AP279" s="256"/>
      <c r="AQ279" s="171">
        <f>L279+M279</f>
        <v>0</v>
      </c>
      <c r="AR279" s="171">
        <f>AF279</f>
        <v>0</v>
      </c>
      <c r="AS279" s="171">
        <f>AM279+AN279</f>
        <v>0</v>
      </c>
      <c r="AT279" s="171">
        <f>SUM(AQ279,AR279,AS279)</f>
        <v>0</v>
      </c>
      <c r="AU279" s="250">
        <v>0</v>
      </c>
      <c r="AV279" s="250"/>
      <c r="AW279" s="250"/>
      <c r="AX279" s="250"/>
      <c r="AY279" s="250"/>
      <c r="AZ279" s="250"/>
      <c r="BA279" s="250"/>
      <c r="BB279" s="251">
        <f t="shared" si="189"/>
        <v>0</v>
      </c>
      <c r="BC279" s="169"/>
      <c r="BD279" s="169"/>
      <c r="BE279" s="169"/>
      <c r="BF279" s="169"/>
    </row>
    <row r="280" spans="1:58" ht="31.5" x14ac:dyDescent="0.25">
      <c r="A280" s="172"/>
      <c r="B280" s="200"/>
      <c r="C280" s="201"/>
      <c r="D280" s="202"/>
      <c r="E280" s="357"/>
      <c r="F280" s="358"/>
      <c r="G280" s="359"/>
      <c r="H280" s="213" t="s">
        <v>365</v>
      </c>
      <c r="I280" s="178"/>
      <c r="J280" s="174"/>
      <c r="K280" s="174"/>
      <c r="L280" s="125" t="str">
        <f>IF(I280&lt;&gt;0,((VLOOKUP(I280,'1. Standard_Cost'!$B$4:$D$11,2)+VLOOKUP(I280,'1. Standard_Cost'!$B$4:$D$11,3))*J280*K280),"0")</f>
        <v>0</v>
      </c>
      <c r="M280" s="125">
        <f>L280*'1. Standard_Cost'!$F$4</f>
        <v>0</v>
      </c>
      <c r="N280" s="174"/>
      <c r="O280" s="174"/>
      <c r="P280" s="174"/>
      <c r="Q280" s="174"/>
      <c r="R280" s="127">
        <f>'1. Standard_Cost'!$B$15*N280*P280</f>
        <v>0</v>
      </c>
      <c r="S280" s="127">
        <f>N280*O280*P280*'1. Standard_Cost'!$C$15</f>
        <v>0</v>
      </c>
      <c r="T280" s="127">
        <f>N280*P280*Q280*'1. Standard_Cost'!$D$15</f>
        <v>0</v>
      </c>
      <c r="U280" s="127">
        <f>N280*O280*'1. Standard_Cost'!$E$15</f>
        <v>0</v>
      </c>
      <c r="V280" s="174"/>
      <c r="W280" s="174"/>
      <c r="X280" s="174"/>
      <c r="Y280" s="127">
        <f>+V280*((X280*'1. Standard_Cost'!$B$19)+(W280*X280*'1. Standard_Cost'!$C$19))</f>
        <v>0</v>
      </c>
      <c r="Z280" s="174"/>
      <c r="AA280" s="174"/>
      <c r="AB280" s="127">
        <f>+Z280*'1. Standard_Cost'!$B$23+AA280*'1. Standard_Cost'!$C$23</f>
        <v>0</v>
      </c>
      <c r="AC280" s="176"/>
      <c r="AD280" s="177"/>
      <c r="AE280" s="127">
        <f>SUM(AD280,AC280,AB280,Y280,U280,T280,S280,R280)*'1. Standard_Cost'!$B$31</f>
        <v>0</v>
      </c>
      <c r="AF280" s="127">
        <f>SUM(AE280,AD280,AC280,AB280,Y280,U280,T280,S280,R280)</f>
        <v>0</v>
      </c>
      <c r="AG280" s="174"/>
      <c r="AH280" s="174"/>
      <c r="AI280" s="174"/>
      <c r="AJ280" s="178"/>
      <c r="AK280" s="178"/>
      <c r="AL280" s="178"/>
      <c r="AM280" s="127">
        <f>AG280*'1. Standard_Cost'!$B$27+'Incremental_Cost Year 2'!AH280*'1. Standard_Cost'!$C$27+'Incremental_Cost Year 2'!AI280*'1. Standard_Cost'!$D$27+'Incremental_Cost Year 2'!AJ280+'Incremental_Cost Year 2'!AL280+AK280</f>
        <v>0</v>
      </c>
      <c r="AN280" s="127">
        <f>AM280*'1. Standard_Cost'!$C$31</f>
        <v>0</v>
      </c>
      <c r="AO280" s="178"/>
      <c r="AP280" s="256"/>
      <c r="AQ280" s="171">
        <f>L280+M280</f>
        <v>0</v>
      </c>
      <c r="AR280" s="171">
        <f>AF280</f>
        <v>0</v>
      </c>
      <c r="AS280" s="171">
        <f>AM280+AN280</f>
        <v>0</v>
      </c>
      <c r="AT280" s="171">
        <f>SUM(AQ280,AR280,AS280)</f>
        <v>0</v>
      </c>
      <c r="AU280" s="250"/>
      <c r="AV280" s="250"/>
      <c r="AW280" s="250"/>
      <c r="AX280" s="250"/>
      <c r="AY280" s="250"/>
      <c r="AZ280" s="250"/>
      <c r="BA280" s="250"/>
      <c r="BB280" s="251">
        <f t="shared" si="189"/>
        <v>0</v>
      </c>
      <c r="BC280" s="169"/>
      <c r="BD280" s="169"/>
      <c r="BE280" s="169"/>
      <c r="BF280" s="169"/>
    </row>
    <row r="281" spans="1:58" ht="15.75" x14ac:dyDescent="0.25">
      <c r="A281" s="172"/>
      <c r="B281" s="200"/>
      <c r="C281" s="201"/>
      <c r="D281" s="202"/>
      <c r="E281" s="357"/>
      <c r="F281" s="358"/>
      <c r="G281" s="359"/>
      <c r="H281" s="369"/>
      <c r="I281" s="178"/>
      <c r="J281" s="174"/>
      <c r="K281" s="174"/>
      <c r="L281" s="125" t="str">
        <f>IF(I281&lt;&gt;0,((VLOOKUP(I281,'1. Standard_Cost'!$B$4:$D$11,2)+VLOOKUP(I281,'1. Standard_Cost'!$B$4:$D$11,3))*J281*K281),"0")</f>
        <v>0</v>
      </c>
      <c r="M281" s="125">
        <f>L281*'1. Standard_Cost'!$F$4</f>
        <v>0</v>
      </c>
      <c r="N281" s="174"/>
      <c r="O281" s="174"/>
      <c r="P281" s="174"/>
      <c r="Q281" s="174"/>
      <c r="R281" s="127">
        <f>'1. Standard_Cost'!$B$15*N281*P281</f>
        <v>0</v>
      </c>
      <c r="S281" s="127">
        <f>N281*O281*P281*'1. Standard_Cost'!$C$15</f>
        <v>0</v>
      </c>
      <c r="T281" s="127">
        <f>N281*P281*Q281*'1. Standard_Cost'!$D$15</f>
        <v>0</v>
      </c>
      <c r="U281" s="127">
        <f>N281*O281*'1. Standard_Cost'!$E$15</f>
        <v>0</v>
      </c>
      <c r="V281" s="174"/>
      <c r="W281" s="174"/>
      <c r="X281" s="174"/>
      <c r="Y281" s="127">
        <f>+V281*((X281*'1. Standard_Cost'!$B$19)+(W281*X281*'1. Standard_Cost'!$C$19))</f>
        <v>0</v>
      </c>
      <c r="Z281" s="174"/>
      <c r="AA281" s="174"/>
      <c r="AB281" s="127">
        <f>+Z281*'1. Standard_Cost'!$B$23+AA281*'1. Standard_Cost'!$C$23</f>
        <v>0</v>
      </c>
      <c r="AC281" s="176"/>
      <c r="AD281" s="177"/>
      <c r="AE281" s="127">
        <f>SUM(AD281,AC281,AB281,Y281,U281,T281,S281,R281)*'1. Standard_Cost'!$B$31</f>
        <v>0</v>
      </c>
      <c r="AF281" s="127">
        <f>SUM(AE281,AD281,AC281,AB281,Y281,U281,T281,S281,R281)</f>
        <v>0</v>
      </c>
      <c r="AG281" s="174"/>
      <c r="AH281" s="174"/>
      <c r="AI281" s="174"/>
      <c r="AJ281" s="178"/>
      <c r="AK281" s="178"/>
      <c r="AL281" s="178"/>
      <c r="AM281" s="127">
        <f>AG281*'1. Standard_Cost'!$B$27+'Incremental_Cost Year 2'!AH281*'1. Standard_Cost'!$C$27+'Incremental_Cost Year 2'!AI281*'1. Standard_Cost'!$D$27+'Incremental_Cost Year 2'!AJ281+'Incremental_Cost Year 2'!AL281+AK281</f>
        <v>0</v>
      </c>
      <c r="AN281" s="127">
        <f>AM281*'1. Standard_Cost'!$C$31</f>
        <v>0</v>
      </c>
      <c r="AO281" s="178"/>
      <c r="AP281" s="256"/>
      <c r="AQ281" s="171">
        <f>L281+M281</f>
        <v>0</v>
      </c>
      <c r="AR281" s="171">
        <f>AF281</f>
        <v>0</v>
      </c>
      <c r="AS281" s="171">
        <f>AM281+AN281</f>
        <v>0</v>
      </c>
      <c r="AT281" s="171">
        <f>SUM(AQ281,AR281,AS281)</f>
        <v>0</v>
      </c>
      <c r="AU281" s="250"/>
      <c r="AV281" s="250"/>
      <c r="AW281" s="250"/>
      <c r="AX281" s="250"/>
      <c r="AY281" s="250"/>
      <c r="AZ281" s="250"/>
      <c r="BA281" s="250"/>
      <c r="BB281" s="251">
        <f t="shared" si="189"/>
        <v>0</v>
      </c>
      <c r="BC281" s="169"/>
      <c r="BD281" s="169"/>
      <c r="BE281" s="169"/>
      <c r="BF281" s="169"/>
    </row>
    <row r="282" spans="1:58" ht="31.5" x14ac:dyDescent="0.25">
      <c r="A282" s="172"/>
      <c r="B282" s="200"/>
      <c r="C282" s="201"/>
      <c r="D282" s="202"/>
      <c r="E282" s="360"/>
      <c r="F282" s="361"/>
      <c r="G282" s="362"/>
      <c r="H282" s="213" t="s">
        <v>366</v>
      </c>
      <c r="I282" s="178"/>
      <c r="J282" s="174"/>
      <c r="K282" s="174"/>
      <c r="L282" s="125" t="str">
        <f>IF(I282&lt;&gt;0,((VLOOKUP(I282,'1. Standard_Cost'!$B$4:$D$11,2)+VLOOKUP(I282,'1. Standard_Cost'!$B$4:$D$11,3))*J282*K282),"0")</f>
        <v>0</v>
      </c>
      <c r="M282" s="125">
        <f>L282*'1. Standard_Cost'!$F$4</f>
        <v>0</v>
      </c>
      <c r="N282" s="174"/>
      <c r="O282" s="174"/>
      <c r="P282" s="174"/>
      <c r="Q282" s="174"/>
      <c r="R282" s="127">
        <f>'1. Standard_Cost'!$B$15*N282*P282</f>
        <v>0</v>
      </c>
      <c r="S282" s="127">
        <f>N282*O282*P282*'1. Standard_Cost'!$C$15</f>
        <v>0</v>
      </c>
      <c r="T282" s="127">
        <f>N282*P282*Q282*'1. Standard_Cost'!$D$15</f>
        <v>0</v>
      </c>
      <c r="U282" s="127">
        <f>N282*O282*'1. Standard_Cost'!$E$15</f>
        <v>0</v>
      </c>
      <c r="V282" s="174"/>
      <c r="W282" s="174"/>
      <c r="X282" s="174"/>
      <c r="Y282" s="127">
        <f>+V282*((X282*'1. Standard_Cost'!$B$19)+(W282*X282*'1. Standard_Cost'!$C$19))</f>
        <v>0</v>
      </c>
      <c r="Z282" s="174"/>
      <c r="AA282" s="174"/>
      <c r="AB282" s="127">
        <f>+Z282*'1. Standard_Cost'!$B$23+AA282*'1. Standard_Cost'!$C$23</f>
        <v>0</v>
      </c>
      <c r="AC282" s="176"/>
      <c r="AD282" s="177"/>
      <c r="AE282" s="127">
        <f>SUM(AD282,AC282,AB282,Y282,U282,T282,S282,R282)*'1. Standard_Cost'!$B$31</f>
        <v>0</v>
      </c>
      <c r="AF282" s="127">
        <f>SUM(AE282,AD282,AC282,AB282,Y282,U282,T282,S282,R282)</f>
        <v>0</v>
      </c>
      <c r="AG282" s="174"/>
      <c r="AH282" s="174"/>
      <c r="AI282" s="174"/>
      <c r="AJ282" s="178"/>
      <c r="AK282" s="178"/>
      <c r="AL282" s="178"/>
      <c r="AM282" s="127">
        <f>AG282*'1. Standard_Cost'!$B$27+'Incremental_Cost Year 2'!AH282*'1. Standard_Cost'!$C$27+'Incremental_Cost Year 2'!AI282*'1. Standard_Cost'!$D$27+'Incremental_Cost Year 2'!AJ282+'Incremental_Cost Year 2'!AL282+AK282</f>
        <v>0</v>
      </c>
      <c r="AN282" s="127">
        <f>AM282*'1. Standard_Cost'!$C$31</f>
        <v>0</v>
      </c>
      <c r="AO282" s="178"/>
      <c r="AP282" s="256"/>
      <c r="AQ282" s="171">
        <f>L282+M282</f>
        <v>0</v>
      </c>
      <c r="AR282" s="171">
        <f>AF282</f>
        <v>0</v>
      </c>
      <c r="AS282" s="171">
        <f>AM282+AN282</f>
        <v>0</v>
      </c>
      <c r="AT282" s="171">
        <f>SUM(AQ282,AR282,AS282)</f>
        <v>0</v>
      </c>
      <c r="AU282" s="250"/>
      <c r="AV282" s="250"/>
      <c r="AW282" s="250"/>
      <c r="AX282" s="250"/>
      <c r="AY282" s="250"/>
      <c r="AZ282" s="250"/>
      <c r="BA282" s="250"/>
      <c r="BB282" s="251">
        <f t="shared" si="189"/>
        <v>0</v>
      </c>
      <c r="BC282" s="169"/>
      <c r="BD282" s="169"/>
      <c r="BE282" s="169"/>
      <c r="BF282" s="169"/>
    </row>
    <row r="283" spans="1:58" ht="31.5" x14ac:dyDescent="0.2">
      <c r="A283" s="172"/>
      <c r="B283" s="168"/>
      <c r="C283" s="204"/>
      <c r="D283" s="212" t="s">
        <v>559</v>
      </c>
      <c r="E283" s="212" t="s">
        <v>355</v>
      </c>
      <c r="F283" s="212">
        <v>2021</v>
      </c>
      <c r="G283" s="212">
        <v>2030</v>
      </c>
      <c r="H283" s="182" t="s">
        <v>356</v>
      </c>
      <c r="I283" s="273"/>
      <c r="J283" s="273"/>
      <c r="K283" s="273"/>
      <c r="L283" s="175">
        <f>SUM(L278:L282)</f>
        <v>0</v>
      </c>
      <c r="M283" s="175">
        <f>SUM(M278:M282)</f>
        <v>0</v>
      </c>
      <c r="N283" s="273"/>
      <c r="O283" s="273"/>
      <c r="P283" s="273"/>
      <c r="Q283" s="273"/>
      <c r="R283" s="175">
        <f>SUM(R278:R282)</f>
        <v>0</v>
      </c>
      <c r="S283" s="175">
        <f>SUM(S278:S282)</f>
        <v>0</v>
      </c>
      <c r="T283" s="175">
        <f>SUM(T278:T282)</f>
        <v>0</v>
      </c>
      <c r="U283" s="175">
        <f>SUM(U278:U282)</f>
        <v>0</v>
      </c>
      <c r="V283" s="273"/>
      <c r="W283" s="273"/>
      <c r="X283" s="273"/>
      <c r="Y283" s="175">
        <f>SUM(Y278:Y282)</f>
        <v>0</v>
      </c>
      <c r="Z283" s="175"/>
      <c r="AA283" s="273"/>
      <c r="AB283" s="175">
        <f>SUM(AB278:AB282)</f>
        <v>0</v>
      </c>
      <c r="AC283" s="175">
        <f>SUM(AC278:AC282)</f>
        <v>0</v>
      </c>
      <c r="AD283" s="175">
        <f>SUM(AD278:AD282)</f>
        <v>0</v>
      </c>
      <c r="AE283" s="175">
        <f>SUM(AE278:AE282)</f>
        <v>0</v>
      </c>
      <c r="AF283" s="175">
        <f>SUM(AF278:AF282)</f>
        <v>0</v>
      </c>
      <c r="AG283" s="273"/>
      <c r="AH283" s="273"/>
      <c r="AI283" s="273"/>
      <c r="AJ283" s="175">
        <f>SUM(AJ278:AJ282)</f>
        <v>0</v>
      </c>
      <c r="AK283" s="175">
        <f>SUM(AK278:AK282)</f>
        <v>0</v>
      </c>
      <c r="AL283" s="175">
        <f>SUM(AL278:AL282)</f>
        <v>0</v>
      </c>
      <c r="AM283" s="175">
        <f>SUM(AM278:AM282)</f>
        <v>0</v>
      </c>
      <c r="AN283" s="175">
        <f>SUM(AN278:AN282)</f>
        <v>0</v>
      </c>
      <c r="AO283" s="274"/>
      <c r="AP283" s="254"/>
      <c r="AQ283" s="175">
        <f>SUM(AQ278:AQ282)</f>
        <v>0</v>
      </c>
      <c r="AR283" s="175">
        <f t="shared" ref="AR283:BB283" si="190">SUM(AR278:AR282)</f>
        <v>0</v>
      </c>
      <c r="AS283" s="175">
        <f t="shared" si="190"/>
        <v>0</v>
      </c>
      <c r="AT283" s="175">
        <f t="shared" si="190"/>
        <v>0</v>
      </c>
      <c r="AU283" s="175">
        <f t="shared" si="190"/>
        <v>0</v>
      </c>
      <c r="AV283" s="175">
        <f t="shared" si="190"/>
        <v>0</v>
      </c>
      <c r="AW283" s="175">
        <f t="shared" si="190"/>
        <v>0</v>
      </c>
      <c r="AX283" s="175">
        <f t="shared" si="190"/>
        <v>0</v>
      </c>
      <c r="AY283" s="175">
        <f t="shared" si="190"/>
        <v>0</v>
      </c>
      <c r="AZ283" s="175">
        <f t="shared" si="190"/>
        <v>0</v>
      </c>
      <c r="BA283" s="175">
        <f t="shared" si="190"/>
        <v>0</v>
      </c>
      <c r="BB283" s="175">
        <f t="shared" si="190"/>
        <v>0</v>
      </c>
      <c r="BC283" s="169"/>
      <c r="BD283" s="169"/>
      <c r="BE283" s="169"/>
      <c r="BF283" s="169"/>
    </row>
    <row r="284" spans="1:58" ht="15.6" customHeight="1" x14ac:dyDescent="0.2">
      <c r="A284" s="179"/>
      <c r="B284" s="290"/>
      <c r="C284" s="391" t="s">
        <v>357</v>
      </c>
      <c r="D284" s="391"/>
      <c r="E284" s="392"/>
      <c r="F284" s="287"/>
      <c r="G284" s="289"/>
      <c r="H284" s="181" t="s">
        <v>358</v>
      </c>
      <c r="I284" s="271"/>
      <c r="J284" s="271"/>
      <c r="K284" s="271"/>
      <c r="L284" s="261">
        <f>L289</f>
        <v>7521000</v>
      </c>
      <c r="M284" s="261">
        <f>M289</f>
        <v>1256007</v>
      </c>
      <c r="N284" s="271"/>
      <c r="O284" s="271"/>
      <c r="P284" s="271"/>
      <c r="Q284" s="271"/>
      <c r="R284" s="261">
        <f>R289</f>
        <v>120000</v>
      </c>
      <c r="S284" s="261">
        <f>S289</f>
        <v>90000</v>
      </c>
      <c r="T284" s="261">
        <f>T289</f>
        <v>0</v>
      </c>
      <c r="U284" s="261">
        <f>U289</f>
        <v>40000</v>
      </c>
      <c r="V284" s="271"/>
      <c r="W284" s="271"/>
      <c r="X284" s="271"/>
      <c r="Y284" s="261">
        <f>Y289</f>
        <v>0</v>
      </c>
      <c r="Z284" s="261"/>
      <c r="AA284" s="261"/>
      <c r="AB284" s="261">
        <f>AB289</f>
        <v>1690000</v>
      </c>
      <c r="AC284" s="261">
        <f>AC289</f>
        <v>6066180</v>
      </c>
      <c r="AD284" s="261">
        <f>AD289</f>
        <v>0</v>
      </c>
      <c r="AE284" s="261">
        <f>AE289</f>
        <v>354236</v>
      </c>
      <c r="AF284" s="261">
        <f>AF289</f>
        <v>8360416</v>
      </c>
      <c r="AG284" s="271"/>
      <c r="AH284" s="271"/>
      <c r="AI284" s="271"/>
      <c r="AJ284" s="261">
        <f>AJ289</f>
        <v>0</v>
      </c>
      <c r="AK284" s="261">
        <f>AK289</f>
        <v>0</v>
      </c>
      <c r="AL284" s="261">
        <f>AL289</f>
        <v>0</v>
      </c>
      <c r="AM284" s="261">
        <f>AM289</f>
        <v>0</v>
      </c>
      <c r="AN284" s="261">
        <f>AN289</f>
        <v>0</v>
      </c>
      <c r="AO284" s="272"/>
      <c r="AP284" s="260"/>
      <c r="AQ284" s="261">
        <f t="shared" ref="AQ284:BB284" si="191">AQ289</f>
        <v>8777007</v>
      </c>
      <c r="AR284" s="261">
        <f t="shared" si="191"/>
        <v>8360416</v>
      </c>
      <c r="AS284" s="261">
        <f t="shared" si="191"/>
        <v>0</v>
      </c>
      <c r="AT284" s="261">
        <f t="shared" si="191"/>
        <v>17137423</v>
      </c>
      <c r="AU284" s="261">
        <f t="shared" si="191"/>
        <v>9618423</v>
      </c>
      <c r="AV284" s="261">
        <f t="shared" si="191"/>
        <v>0</v>
      </c>
      <c r="AW284" s="261">
        <f t="shared" si="191"/>
        <v>0</v>
      </c>
      <c r="AX284" s="261">
        <f t="shared" si="191"/>
        <v>0</v>
      </c>
      <c r="AY284" s="261">
        <f t="shared" si="191"/>
        <v>0</v>
      </c>
      <c r="AZ284" s="261">
        <f t="shared" si="191"/>
        <v>5495000</v>
      </c>
      <c r="BA284" s="261">
        <f t="shared" si="191"/>
        <v>0</v>
      </c>
      <c r="BB284" s="261">
        <f t="shared" si="191"/>
        <v>-2024000</v>
      </c>
      <c r="BC284" s="184"/>
      <c r="BD284" s="184"/>
      <c r="BE284" s="184"/>
      <c r="BF284" s="184"/>
    </row>
    <row r="285" spans="1:58" ht="178.5" customHeight="1" x14ac:dyDescent="0.25">
      <c r="A285" s="172"/>
      <c r="B285" s="354"/>
      <c r="C285" s="356"/>
      <c r="D285" s="342"/>
      <c r="E285" s="328"/>
      <c r="F285" s="328"/>
      <c r="G285" s="328"/>
      <c r="H285" s="213" t="s">
        <v>550</v>
      </c>
      <c r="I285" s="178" t="s">
        <v>2</v>
      </c>
      <c r="J285" s="174">
        <v>3</v>
      </c>
      <c r="K285" s="174">
        <v>11</v>
      </c>
      <c r="L285" s="125">
        <f>IF(I285&lt;&gt;0,((VLOOKUP(I285,'1. Standard_Cost'!$B$4:$D$11,2)+VLOOKUP(I285,'1. Standard_Cost'!$B$4:$D$11,3))*J285*K285),"0")</f>
        <v>3993000</v>
      </c>
      <c r="M285" s="125">
        <f>L285*'1. Standard_Cost'!$F$4</f>
        <v>666831</v>
      </c>
      <c r="N285" s="174">
        <v>1</v>
      </c>
      <c r="O285" s="174">
        <v>1</v>
      </c>
      <c r="P285" s="174">
        <v>60</v>
      </c>
      <c r="Q285" s="174"/>
      <c r="R285" s="127">
        <f>'1. Standard_Cost'!$B$15*N285*P285</f>
        <v>120000</v>
      </c>
      <c r="S285" s="127">
        <f>N285*O285*P285*'1. Standard_Cost'!$C$15</f>
        <v>90000</v>
      </c>
      <c r="T285" s="127">
        <f>N285*P285*Q285*'1. Standard_Cost'!$D$15</f>
        <v>0</v>
      </c>
      <c r="U285" s="127">
        <f>N285*O285*'1. Standard_Cost'!$E$15</f>
        <v>40000</v>
      </c>
      <c r="V285" s="174"/>
      <c r="W285" s="174"/>
      <c r="X285" s="174"/>
      <c r="Y285" s="127">
        <f>+V285*((X285*'1. Standard_Cost'!$B$19)+(W285*X285*'1. Standard_Cost'!$C$19))</f>
        <v>0</v>
      </c>
      <c r="Z285" s="174"/>
      <c r="AA285" s="174">
        <v>50</v>
      </c>
      <c r="AB285" s="127">
        <f>+Z285*'1. Standard_Cost'!$B$23+AA285*'1. Standard_Cost'!$C$23</f>
        <v>950000</v>
      </c>
      <c r="AC285" s="176">
        <v>571180</v>
      </c>
      <c r="AD285" s="177"/>
      <c r="AE285" s="127">
        <f>SUM(AD285,AC285,AB285,Y285,U285,T285,S285,R285)*'1. Standard_Cost'!$B$31</f>
        <v>354236</v>
      </c>
      <c r="AF285" s="127">
        <f>SUM(AE285,AD285,AC285,AB285,Y285,U285,T285,S285,R285)</f>
        <v>2125416</v>
      </c>
      <c r="AG285" s="174"/>
      <c r="AH285" s="174"/>
      <c r="AI285" s="174"/>
      <c r="AJ285" s="178"/>
      <c r="AK285" s="178"/>
      <c r="AL285" s="178"/>
      <c r="AM285" s="127">
        <f>AG285*'1. Standard_Cost'!$B$27+'Incremental_Cost Year 2'!AH285*'1. Standard_Cost'!$C$27+'Incremental_Cost Year 2'!AI285*'1. Standard_Cost'!$D$27+'Incremental_Cost Year 2'!AJ285+'Incremental_Cost Year 2'!AL285+AK285</f>
        <v>0</v>
      </c>
      <c r="AN285" s="127">
        <f>AM285*'1. Standard_Cost'!$C$31</f>
        <v>0</v>
      </c>
      <c r="AO285" s="178"/>
      <c r="AP285" s="256"/>
      <c r="AQ285" s="171">
        <f>L285+M285</f>
        <v>4659831</v>
      </c>
      <c r="AR285" s="171">
        <f>AF285</f>
        <v>2125416</v>
      </c>
      <c r="AS285" s="171">
        <f>AM285+AN285</f>
        <v>0</v>
      </c>
      <c r="AT285" s="171">
        <f>SUM(AQ285,AR285,AS285)</f>
        <v>6785247</v>
      </c>
      <c r="AU285" s="250">
        <v>5501247</v>
      </c>
      <c r="AV285" s="250"/>
      <c r="AW285" s="250"/>
      <c r="AX285" s="250"/>
      <c r="AY285" s="250"/>
      <c r="AZ285" s="250"/>
      <c r="BA285" s="250"/>
      <c r="BB285" s="251">
        <f t="shared" ref="BB285:BB288" si="192">SUM(AU285:BA285)-AT285</f>
        <v>-1284000</v>
      </c>
      <c r="BC285" s="169"/>
      <c r="BD285" s="169"/>
      <c r="BE285" s="169"/>
      <c r="BF285" s="169"/>
    </row>
    <row r="286" spans="1:58" ht="103.5" customHeight="1" x14ac:dyDescent="0.25">
      <c r="A286" s="172"/>
      <c r="B286" s="357"/>
      <c r="C286" s="359"/>
      <c r="D286" s="343"/>
      <c r="E286" s="328"/>
      <c r="F286" s="328"/>
      <c r="G286" s="328"/>
      <c r="H286" s="213" t="s">
        <v>555</v>
      </c>
      <c r="I286" s="178" t="s">
        <v>3</v>
      </c>
      <c r="J286" s="174">
        <v>5</v>
      </c>
      <c r="K286" s="174">
        <v>7</v>
      </c>
      <c r="L286" s="125">
        <f>IF(I286&lt;&gt;0,((VLOOKUP(I286,'1. Standard_Cost'!$B$4:$D$11,2)+VLOOKUP(I286,'1. Standard_Cost'!$B$4:$D$11,3))*J286*K286),"0")</f>
        <v>3528000</v>
      </c>
      <c r="M286" s="125">
        <f>L286*'1. Standard_Cost'!$F$4</f>
        <v>589176</v>
      </c>
      <c r="N286" s="174"/>
      <c r="O286" s="174"/>
      <c r="P286" s="174"/>
      <c r="Q286" s="174"/>
      <c r="R286" s="127">
        <f>'1. Standard_Cost'!$B$15*N286*P286</f>
        <v>0</v>
      </c>
      <c r="S286" s="127">
        <f>N286*O286*P286*'1. Standard_Cost'!$C$15</f>
        <v>0</v>
      </c>
      <c r="T286" s="127">
        <f>N286*P286*Q286*'1. Standard_Cost'!$D$15</f>
        <v>0</v>
      </c>
      <c r="U286" s="127">
        <f>N286*O286*'1. Standard_Cost'!$E$15</f>
        <v>0</v>
      </c>
      <c r="V286" s="174"/>
      <c r="W286" s="174"/>
      <c r="X286" s="174"/>
      <c r="Y286" s="127">
        <f>+V286*((X286*'1. Standard_Cost'!$B$19)+(W286*X286*'1. Standard_Cost'!$C$19))</f>
        <v>0</v>
      </c>
      <c r="Z286" s="174">
        <v>10</v>
      </c>
      <c r="AA286" s="174"/>
      <c r="AB286" s="127">
        <f>+Z286*'1. Standard_Cost'!$B$23+AA286*'1. Standard_Cost'!$C$23</f>
        <v>740000</v>
      </c>
      <c r="AC286" s="176"/>
      <c r="AD286" s="177"/>
      <c r="AE286" s="127"/>
      <c r="AF286" s="127">
        <f>SUM(AE286,AD286,AC286,AB286,Y286,U286,T286,S286,R286)</f>
        <v>740000</v>
      </c>
      <c r="AG286" s="174"/>
      <c r="AH286" s="174"/>
      <c r="AI286" s="174"/>
      <c r="AJ286" s="178"/>
      <c r="AK286" s="178"/>
      <c r="AL286" s="178"/>
      <c r="AM286" s="127">
        <f>AG286*'1. Standard_Cost'!$B$27+'Incremental_Cost Year 2'!AH286*'1. Standard_Cost'!$C$27+'Incremental_Cost Year 2'!AI286*'1. Standard_Cost'!$D$27+'Incremental_Cost Year 2'!AJ286+'Incremental_Cost Year 2'!AL286+AK286</f>
        <v>0</v>
      </c>
      <c r="AN286" s="127">
        <f>AM286*'1. Standard_Cost'!$C$31</f>
        <v>0</v>
      </c>
      <c r="AO286" s="178"/>
      <c r="AP286" s="256"/>
      <c r="AQ286" s="171">
        <f>L286+M286</f>
        <v>4117176</v>
      </c>
      <c r="AR286" s="171">
        <f>AF286</f>
        <v>740000</v>
      </c>
      <c r="AS286" s="171">
        <f>AM286+AN286</f>
        <v>0</v>
      </c>
      <c r="AT286" s="171">
        <f>SUM(AQ286,AR286,AS286)</f>
        <v>4857176</v>
      </c>
      <c r="AU286" s="250">
        <v>4117176</v>
      </c>
      <c r="AV286" s="250"/>
      <c r="AW286" s="250"/>
      <c r="AX286" s="250"/>
      <c r="AY286" s="250"/>
      <c r="AZ286" s="250"/>
      <c r="BA286" s="250"/>
      <c r="BB286" s="251">
        <f t="shared" si="192"/>
        <v>-740000</v>
      </c>
      <c r="BC286" s="169"/>
      <c r="BD286" s="169"/>
      <c r="BE286" s="169"/>
      <c r="BF286" s="169"/>
    </row>
    <row r="287" spans="1:58" ht="110.25" x14ac:dyDescent="0.25">
      <c r="A287" s="172"/>
      <c r="B287" s="357"/>
      <c r="C287" s="359"/>
      <c r="D287" s="343"/>
      <c r="E287" s="328"/>
      <c r="F287" s="328"/>
      <c r="G287" s="328"/>
      <c r="H287" s="213" t="s">
        <v>367</v>
      </c>
      <c r="I287" s="178"/>
      <c r="J287" s="174"/>
      <c r="K287" s="174"/>
      <c r="L287" s="125" t="str">
        <f>IF(I287&lt;&gt;0,((VLOOKUP(I287,'1. Standard_Cost'!$B$4:$D$11,2)+VLOOKUP(I287,'1. Standard_Cost'!$B$4:$D$11,3))*J287*K287),"0")</f>
        <v>0</v>
      </c>
      <c r="M287" s="125">
        <f>L287*'1. Standard_Cost'!$F$4</f>
        <v>0</v>
      </c>
      <c r="N287" s="174"/>
      <c r="O287" s="174"/>
      <c r="P287" s="174"/>
      <c r="Q287" s="174"/>
      <c r="R287" s="127">
        <f>'1. Standard_Cost'!$B$15*N287*P287</f>
        <v>0</v>
      </c>
      <c r="S287" s="127">
        <f>N287*O287*P287*'1. Standard_Cost'!$C$15</f>
        <v>0</v>
      </c>
      <c r="T287" s="127">
        <f>N287*P287*Q287*'1. Standard_Cost'!$D$15</f>
        <v>0</v>
      </c>
      <c r="U287" s="127">
        <f>N287*O287*'1. Standard_Cost'!$E$15</f>
        <v>0</v>
      </c>
      <c r="V287" s="174"/>
      <c r="W287" s="174"/>
      <c r="X287" s="174"/>
      <c r="Y287" s="127">
        <f>+V287*((X287*'1. Standard_Cost'!$B$19)+(W287*X287*'1. Standard_Cost'!$C$19))</f>
        <v>0</v>
      </c>
      <c r="Z287" s="174"/>
      <c r="AA287" s="174"/>
      <c r="AB287" s="127">
        <f>+Z287*'1. Standard_Cost'!$B$23+AA287*'1. Standard_Cost'!$C$23</f>
        <v>0</v>
      </c>
      <c r="AC287" s="176"/>
      <c r="AD287" s="177"/>
      <c r="AE287" s="127">
        <f>SUM(AD287,AC287,AB287,Y287,U287,T287,S287,R287)*'1. Standard_Cost'!$B$31</f>
        <v>0</v>
      </c>
      <c r="AF287" s="127">
        <f>SUM(AE287,AD287,AC287,AB287,Y287,U287,T287,S287,R287)</f>
        <v>0</v>
      </c>
      <c r="AG287" s="174"/>
      <c r="AH287" s="174"/>
      <c r="AI287" s="174"/>
      <c r="AJ287" s="178"/>
      <c r="AK287" s="178"/>
      <c r="AL287" s="178"/>
      <c r="AM287" s="127">
        <f>AG287*'1. Standard_Cost'!$B$27+'Incremental_Cost Year 2'!AH287*'1. Standard_Cost'!$C$27+'Incremental_Cost Year 2'!AI287*'1. Standard_Cost'!$D$27+'Incremental_Cost Year 2'!AJ287+'Incremental_Cost Year 2'!AL287+AK287</f>
        <v>0</v>
      </c>
      <c r="AN287" s="127">
        <f>AM287*'1. Standard_Cost'!$C$31</f>
        <v>0</v>
      </c>
      <c r="AO287" s="178"/>
      <c r="AP287" s="256"/>
      <c r="AQ287" s="171">
        <f>L287+M287</f>
        <v>0</v>
      </c>
      <c r="AR287" s="171">
        <f>AF287</f>
        <v>0</v>
      </c>
      <c r="AS287" s="171">
        <f>AM287+AN287</f>
        <v>0</v>
      </c>
      <c r="AT287" s="171">
        <f>SUM(AQ287,AR287,AS287)</f>
        <v>0</v>
      </c>
      <c r="AU287" s="250">
        <v>0</v>
      </c>
      <c r="AV287" s="250"/>
      <c r="AW287" s="250"/>
      <c r="AX287" s="250"/>
      <c r="AY287" s="250"/>
      <c r="AZ287" s="250"/>
      <c r="BA287" s="250"/>
      <c r="BB287" s="251">
        <f t="shared" si="192"/>
        <v>0</v>
      </c>
      <c r="BC287" s="169"/>
      <c r="BD287" s="169"/>
      <c r="BE287" s="169"/>
      <c r="BF287" s="169"/>
    </row>
    <row r="288" spans="1:58" ht="156.75" customHeight="1" x14ac:dyDescent="0.25">
      <c r="A288" s="172"/>
      <c r="B288" s="360"/>
      <c r="C288" s="362"/>
      <c r="D288" s="344"/>
      <c r="E288" s="328"/>
      <c r="F288" s="328"/>
      <c r="G288" s="328"/>
      <c r="H288" s="213" t="s">
        <v>368</v>
      </c>
      <c r="I288" s="178"/>
      <c r="J288" s="174"/>
      <c r="K288" s="174"/>
      <c r="L288" s="125" t="str">
        <f>IF(I288&lt;&gt;0,((VLOOKUP(I288,'1. Standard_Cost'!$B$4:$D$11,2)+VLOOKUP(I288,'1. Standard_Cost'!$B$4:$D$11,3))*J288*K288),"0")</f>
        <v>0</v>
      </c>
      <c r="M288" s="125">
        <f>L288*'1. Standard_Cost'!$F$4</f>
        <v>0</v>
      </c>
      <c r="N288" s="174"/>
      <c r="O288" s="174"/>
      <c r="P288" s="174"/>
      <c r="Q288" s="174"/>
      <c r="R288" s="127">
        <f>'1. Standard_Cost'!$B$15*N288*P288</f>
        <v>0</v>
      </c>
      <c r="S288" s="127">
        <f>N288*O288*P288*'1. Standard_Cost'!$C$15</f>
        <v>0</v>
      </c>
      <c r="T288" s="127">
        <f>N288*P288*Q288*'1. Standard_Cost'!$D$15</f>
        <v>0</v>
      </c>
      <c r="U288" s="127">
        <f>N288*O288*'1. Standard_Cost'!$E$15</f>
        <v>0</v>
      </c>
      <c r="V288" s="174"/>
      <c r="W288" s="174"/>
      <c r="X288" s="174"/>
      <c r="Y288" s="127">
        <f>+V288*((X288*'1. Standard_Cost'!$B$19)+(W288*X288*'1. Standard_Cost'!$C$19))</f>
        <v>0</v>
      </c>
      <c r="Z288" s="174"/>
      <c r="AA288" s="174"/>
      <c r="AB288" s="127">
        <f>+Z288*'1. Standard_Cost'!$B$23+AA288*'1. Standard_Cost'!$C$23</f>
        <v>0</v>
      </c>
      <c r="AC288" s="176">
        <v>5495000</v>
      </c>
      <c r="AD288" s="177"/>
      <c r="AE288" s="127"/>
      <c r="AF288" s="127">
        <f>SUM(AE288,AD288,AC288,AB288,Y288,U288,T288,S288,R288)</f>
        <v>5495000</v>
      </c>
      <c r="AG288" s="174"/>
      <c r="AH288" s="174"/>
      <c r="AI288" s="174"/>
      <c r="AJ288" s="178"/>
      <c r="AK288" s="178"/>
      <c r="AL288" s="178"/>
      <c r="AM288" s="127">
        <f>AG288*'1. Standard_Cost'!$B$27+'Incremental_Cost Year 2'!AH288*'1. Standard_Cost'!$C$27+'Incremental_Cost Year 2'!AI288*'1. Standard_Cost'!$D$27+'Incremental_Cost Year 2'!AJ288+'Incremental_Cost Year 2'!AL288+AK288</f>
        <v>0</v>
      </c>
      <c r="AN288" s="127">
        <f>AM288*'1. Standard_Cost'!$C$31</f>
        <v>0</v>
      </c>
      <c r="AO288" s="178"/>
      <c r="AP288" s="256"/>
      <c r="AQ288" s="171">
        <f>L288+M288</f>
        <v>0</v>
      </c>
      <c r="AR288" s="171">
        <f>AF288</f>
        <v>5495000</v>
      </c>
      <c r="AS288" s="171">
        <f>AM288+AN288</f>
        <v>0</v>
      </c>
      <c r="AT288" s="171">
        <f>SUM(AQ288,AR288,AS288)</f>
        <v>5495000</v>
      </c>
      <c r="AU288" s="250"/>
      <c r="AV288" s="250"/>
      <c r="AW288" s="250"/>
      <c r="AX288" s="250"/>
      <c r="AY288" s="250"/>
      <c r="AZ288" s="250">
        <v>5495000</v>
      </c>
      <c r="BA288" s="250"/>
      <c r="BB288" s="251">
        <f t="shared" si="192"/>
        <v>0</v>
      </c>
      <c r="BC288" s="169"/>
      <c r="BD288" s="169"/>
      <c r="BE288" s="169"/>
      <c r="BF288" s="169"/>
    </row>
    <row r="289" spans="1:54" ht="31.5" x14ac:dyDescent="0.25">
      <c r="A289" s="167"/>
      <c r="B289" s="168"/>
      <c r="C289" s="204"/>
      <c r="D289" s="212" t="s">
        <v>388</v>
      </c>
      <c r="E289" s="212" t="s">
        <v>359</v>
      </c>
      <c r="F289" s="212">
        <v>2021</v>
      </c>
      <c r="G289" s="212">
        <v>2023</v>
      </c>
      <c r="H289" s="182" t="s">
        <v>360</v>
      </c>
      <c r="I289" s="273"/>
      <c r="J289" s="273"/>
      <c r="K289" s="273"/>
      <c r="L289" s="175">
        <f>SUM(L285:L288)</f>
        <v>7521000</v>
      </c>
      <c r="M289" s="175">
        <f>SUM(M285:M288)</f>
        <v>1256007</v>
      </c>
      <c r="N289" s="273"/>
      <c r="O289" s="273"/>
      <c r="P289" s="273"/>
      <c r="Q289" s="273"/>
      <c r="R289" s="175">
        <f>SUM(R285:R288)</f>
        <v>120000</v>
      </c>
      <c r="S289" s="175">
        <f>SUM(S285:S288)</f>
        <v>90000</v>
      </c>
      <c r="T289" s="175">
        <f>SUM(T285:T288)</f>
        <v>0</v>
      </c>
      <c r="U289" s="175">
        <f>SUM(U285:U288)</f>
        <v>40000</v>
      </c>
      <c r="V289" s="273"/>
      <c r="W289" s="273"/>
      <c r="X289" s="273"/>
      <c r="Y289" s="175">
        <f>SUM(Y285:Y288)</f>
        <v>0</v>
      </c>
      <c r="Z289" s="175"/>
      <c r="AA289" s="273"/>
      <c r="AB289" s="175">
        <f>SUM(AB285:AB288)</f>
        <v>1690000</v>
      </c>
      <c r="AC289" s="175">
        <f>SUM(AC285:AC288)</f>
        <v>6066180</v>
      </c>
      <c r="AD289" s="175">
        <f>SUM(AD285:AD288)</f>
        <v>0</v>
      </c>
      <c r="AE289" s="175">
        <f>SUM(AE285:AE288)</f>
        <v>354236</v>
      </c>
      <c r="AF289" s="175">
        <f>SUM(AF285:AF288)</f>
        <v>8360416</v>
      </c>
      <c r="AG289" s="273"/>
      <c r="AH289" s="273"/>
      <c r="AI289" s="273"/>
      <c r="AJ289" s="175">
        <f>SUM(AJ285:AJ288)</f>
        <v>0</v>
      </c>
      <c r="AK289" s="175">
        <f>SUM(AK285:AK288)</f>
        <v>0</v>
      </c>
      <c r="AL289" s="175">
        <f>SUM(AL285:AL288)</f>
        <v>0</v>
      </c>
      <c r="AM289" s="175">
        <f>SUM(AM285:AM288)</f>
        <v>0</v>
      </c>
      <c r="AN289" s="175">
        <f>SUM(AN285:AN288)</f>
        <v>0</v>
      </c>
      <c r="AO289" s="274"/>
      <c r="AP289" s="254"/>
      <c r="AQ289" s="175">
        <f>SUM(AQ285:AQ288)</f>
        <v>8777007</v>
      </c>
      <c r="AR289" s="175">
        <f t="shared" ref="AR289:BB289" si="193">SUM(AR285:AR288)</f>
        <v>8360416</v>
      </c>
      <c r="AS289" s="175">
        <f t="shared" si="193"/>
        <v>0</v>
      </c>
      <c r="AT289" s="175">
        <f t="shared" si="193"/>
        <v>17137423</v>
      </c>
      <c r="AU289" s="175">
        <f t="shared" si="193"/>
        <v>9618423</v>
      </c>
      <c r="AV289" s="175">
        <f t="shared" si="193"/>
        <v>0</v>
      </c>
      <c r="AW289" s="175">
        <f t="shared" si="193"/>
        <v>0</v>
      </c>
      <c r="AX289" s="175">
        <f t="shared" si="193"/>
        <v>0</v>
      </c>
      <c r="AY289" s="175">
        <f t="shared" si="193"/>
        <v>0</v>
      </c>
      <c r="AZ289" s="175">
        <f t="shared" si="193"/>
        <v>5495000</v>
      </c>
      <c r="BA289" s="175">
        <f t="shared" si="193"/>
        <v>0</v>
      </c>
      <c r="BB289" s="175">
        <f t="shared" si="193"/>
        <v>-2024000</v>
      </c>
    </row>
    <row r="292" spans="1:54" x14ac:dyDescent="0.25">
      <c r="AQ292" s="239">
        <f>AQ5+AQ78+AQ150+AQ197+AQ244</f>
        <v>15684655332.580715</v>
      </c>
      <c r="AR292" s="239">
        <f t="shared" ref="AR292:BB292" si="194">AR5+AR78+AR150+AR197+AR244</f>
        <v>36677636705.599998</v>
      </c>
      <c r="AS292" s="239">
        <f t="shared" si="194"/>
        <v>3045413350</v>
      </c>
      <c r="AT292" s="239">
        <f t="shared" si="194"/>
        <v>55407705388.180717</v>
      </c>
      <c r="AU292" s="239">
        <f t="shared" si="194"/>
        <v>51848877552.235001</v>
      </c>
      <c r="AV292" s="239">
        <f t="shared" si="194"/>
        <v>115000000</v>
      </c>
      <c r="AW292" s="239">
        <f>AW5+AW78+AW150+AW197+AW244</f>
        <v>1094500000</v>
      </c>
      <c r="AX292" s="239">
        <f t="shared" si="194"/>
        <v>540000</v>
      </c>
      <c r="AY292" s="239">
        <f t="shared" si="194"/>
        <v>6340800</v>
      </c>
      <c r="AZ292" s="239">
        <f t="shared" si="194"/>
        <v>237095000</v>
      </c>
      <c r="BA292" s="239">
        <f t="shared" si="194"/>
        <v>0</v>
      </c>
      <c r="BB292" s="239">
        <f t="shared" si="194"/>
        <v>-2105352035.9457128</v>
      </c>
    </row>
  </sheetData>
  <mergeCells count="38">
    <mergeCell ref="C269:E269"/>
    <mergeCell ref="C277:E277"/>
    <mergeCell ref="C284:E284"/>
    <mergeCell ref="C226:E226"/>
    <mergeCell ref="C232:E232"/>
    <mergeCell ref="C238:E238"/>
    <mergeCell ref="B244:E244"/>
    <mergeCell ref="C245:E245"/>
    <mergeCell ref="B197:E197"/>
    <mergeCell ref="C198:E198"/>
    <mergeCell ref="C213:E213"/>
    <mergeCell ref="C221:E221"/>
    <mergeCell ref="C259:E259"/>
    <mergeCell ref="C140:E140"/>
    <mergeCell ref="B150:E150"/>
    <mergeCell ref="C151:E151"/>
    <mergeCell ref="C163:E163"/>
    <mergeCell ref="C182:E182"/>
    <mergeCell ref="C106:E106"/>
    <mergeCell ref="C111:E111"/>
    <mergeCell ref="C118:E118"/>
    <mergeCell ref="C123:E123"/>
    <mergeCell ref="C134:E134"/>
    <mergeCell ref="C61:E61"/>
    <mergeCell ref="B78:E78"/>
    <mergeCell ref="C79:E79"/>
    <mergeCell ref="C93:E93"/>
    <mergeCell ref="C100:E100"/>
    <mergeCell ref="C6:E6"/>
    <mergeCell ref="C16:E16"/>
    <mergeCell ref="C20:E20"/>
    <mergeCell ref="C40:E40"/>
    <mergeCell ref="C45:E45"/>
    <mergeCell ref="AQ2:BB2"/>
    <mergeCell ref="B1:H1"/>
    <mergeCell ref="B2:E2"/>
    <mergeCell ref="B3:E3"/>
    <mergeCell ref="B5:E5"/>
  </mergeCells>
  <conditionalFormatting sqref="BB203 BB220:BB221 BB235:BB243 BB231:BB233 BB212:BB213 BB225:BB226">
    <cfRule type="cellIs" dxfId="30457" priority="1123" operator="lessThan">
      <formula>0</formula>
    </cfRule>
    <cfRule type="cellIs" dxfId="30456" priority="1124" operator="lessThan">
      <formula>-105575</formula>
    </cfRule>
  </conditionalFormatting>
  <conditionalFormatting sqref="BB220 BB212:BB213 BB235:BB238 BB240:BB243 BB225:BB226 BB231:BB233">
    <cfRule type="cellIs" dxfId="30455" priority="1121" operator="lessThan">
      <formula>0</formula>
    </cfRule>
    <cfRule type="cellIs" dxfId="30454" priority="1122" operator="lessThan">
      <formula>-105575</formula>
    </cfRule>
  </conditionalFormatting>
  <conditionalFormatting sqref="BB220:BB221 BB243 BB226 BB231:BB236 BB238:BB241 BB203 BB213">
    <cfRule type="cellIs" dxfId="30453" priority="1119" operator="lessThan">
      <formula>0</formula>
    </cfRule>
    <cfRule type="cellIs" dxfId="30452" priority="1120" operator="lessThan">
      <formula>-105575</formula>
    </cfRule>
  </conditionalFormatting>
  <conditionalFormatting sqref="BB235:BB243 BB231:BB233 BB220 BB212:BB213 BB225:BB226">
    <cfRule type="cellIs" dxfId="30451" priority="1117" operator="lessThan">
      <formula>0</formula>
    </cfRule>
    <cfRule type="cellIs" dxfId="30450" priority="1118" operator="lessThan">
      <formula>-105575</formula>
    </cfRule>
  </conditionalFormatting>
  <conditionalFormatting sqref="BB220:BB221 BB237:BB243 BB203 BB231:BB235 BB212:BB213 BB225:BB226">
    <cfRule type="cellIs" dxfId="30449" priority="1115" operator="lessThan">
      <formula>0</formula>
    </cfRule>
    <cfRule type="cellIs" dxfId="30448" priority="1116" operator="lessThan">
      <formula>-105575</formula>
    </cfRule>
  </conditionalFormatting>
  <conditionalFormatting sqref="BB220:BB221 BB237:BB240 BB242:BB243 BB225:BB226 BB231:BB235">
    <cfRule type="cellIs" dxfId="30447" priority="1113" operator="lessThan">
      <formula>0</formula>
    </cfRule>
    <cfRule type="cellIs" dxfId="30446" priority="1114" operator="lessThan">
      <formula>-105575</formula>
    </cfRule>
  </conditionalFormatting>
  <conditionalFormatting sqref="BB212 BB231 BB233:BB238 BB240:BB243 BB225">
    <cfRule type="cellIs" dxfId="30445" priority="1111" operator="lessThan">
      <formula>0</formula>
    </cfRule>
    <cfRule type="cellIs" dxfId="30444" priority="1112" operator="lessThan">
      <formula>-105575</formula>
    </cfRule>
  </conditionalFormatting>
  <conditionalFormatting sqref="BB237:BB243 BB231:BB235 BB220:BB221 BB225:BB226">
    <cfRule type="cellIs" dxfId="30443" priority="1109" operator="lessThan">
      <formula>0</formula>
    </cfRule>
    <cfRule type="cellIs" dxfId="30442" priority="1110" operator="lessThan">
      <formula>-105575</formula>
    </cfRule>
  </conditionalFormatting>
  <conditionalFormatting sqref="BB233:BB237 BB231 BB239:BB243">
    <cfRule type="cellIs" dxfId="30441" priority="1107" operator="lessThan">
      <formula>0</formula>
    </cfRule>
    <cfRule type="cellIs" dxfId="30440" priority="1108" operator="lessThan">
      <formula>-105575</formula>
    </cfRule>
  </conditionalFormatting>
  <conditionalFormatting sqref="BB233:BB237 BB231 BB239:BB243">
    <cfRule type="cellIs" dxfId="30439" priority="1105" operator="lessThan">
      <formula>0</formula>
    </cfRule>
    <cfRule type="cellIs" dxfId="30438" priority="1106" operator="lessThan">
      <formula>-105575</formula>
    </cfRule>
  </conditionalFormatting>
  <conditionalFormatting sqref="BB119:BB128 BB101:BB104 BB107:BB110 BB112:BB117 BB80:BB98">
    <cfRule type="cellIs" dxfId="30437" priority="1103" operator="lessThan">
      <formula>0</formula>
    </cfRule>
    <cfRule type="cellIs" dxfId="30436" priority="1104" operator="lessThan">
      <formula>-105575</formula>
    </cfRule>
  </conditionalFormatting>
  <conditionalFormatting sqref="BB130 BB132 BB134">
    <cfRule type="cellIs" dxfId="30435" priority="1101" operator="lessThan">
      <formula>0</formula>
    </cfRule>
    <cfRule type="cellIs" dxfId="30434" priority="1102" operator="lessThan">
      <formula>-105575</formula>
    </cfRule>
  </conditionalFormatting>
  <conditionalFormatting sqref="BB130 BB132 BB134">
    <cfRule type="cellIs" dxfId="30433" priority="1099" operator="lessThan">
      <formula>0</formula>
    </cfRule>
    <cfRule type="cellIs" dxfId="30432" priority="1100" operator="lessThan">
      <formula>-105575</formula>
    </cfRule>
  </conditionalFormatting>
  <conditionalFormatting sqref="BB129 BB131 BB133 BB135">
    <cfRule type="cellIs" dxfId="30431" priority="1097" operator="lessThan">
      <formula>0</formula>
    </cfRule>
    <cfRule type="cellIs" dxfId="30430" priority="1098" operator="lessThan">
      <formula>-105575</formula>
    </cfRule>
  </conditionalFormatting>
  <conditionalFormatting sqref="BB140 BB145 BB142:BB143 BB137:BB138">
    <cfRule type="cellIs" dxfId="30429" priority="1087" operator="lessThan">
      <formula>0</formula>
    </cfRule>
    <cfRule type="cellIs" dxfId="30428" priority="1088" operator="lessThan">
      <formula>-105575</formula>
    </cfRule>
  </conditionalFormatting>
  <conditionalFormatting sqref="BB149">
    <cfRule type="cellIs" dxfId="30427" priority="1083" operator="lessThan">
      <formula>0</formula>
    </cfRule>
    <cfRule type="cellIs" dxfId="30426" priority="1084" operator="lessThan">
      <formula>-105575</formula>
    </cfRule>
  </conditionalFormatting>
  <conditionalFormatting sqref="BB129:BB138 BB140:BB149">
    <cfRule type="cellIs" dxfId="30425" priority="1081" operator="lessThan">
      <formula>0</formula>
    </cfRule>
    <cfRule type="cellIs" dxfId="30424" priority="1082" operator="lessThan">
      <formula>-105575</formula>
    </cfRule>
  </conditionalFormatting>
  <conditionalFormatting sqref="BB86:BB87 BB89:BB91 BB141:BB149 BB124:BB133 BB107:BB110 BB112:BB117 BB119:BB122 BB135:BB138 BB101:BB104 BB80:BB84 BB94:BB98">
    <cfRule type="cellIs" dxfId="30423" priority="1077" operator="lessThan">
      <formula>0</formula>
    </cfRule>
    <cfRule type="cellIs" dxfId="30422" priority="1078" operator="lessThan">
      <formula>-105575</formula>
    </cfRule>
  </conditionalFormatting>
  <conditionalFormatting sqref="BB129 BB131 BB133 BB135">
    <cfRule type="cellIs" dxfId="30421" priority="1095" operator="lessThan">
      <formula>0</formula>
    </cfRule>
    <cfRule type="cellIs" dxfId="30420" priority="1096" operator="lessThan">
      <formula>-105575</formula>
    </cfRule>
  </conditionalFormatting>
  <conditionalFormatting sqref="BB146 BB144 BB141">
    <cfRule type="cellIs" dxfId="30419" priority="1093" operator="lessThan">
      <formula>0</formula>
    </cfRule>
    <cfRule type="cellIs" dxfId="30418" priority="1094" operator="lessThan">
      <formula>-105575</formula>
    </cfRule>
  </conditionalFormatting>
  <conditionalFormatting sqref="BB146 BB144 BB141">
    <cfRule type="cellIs" dxfId="30417" priority="1091" operator="lessThan">
      <formula>0</formula>
    </cfRule>
    <cfRule type="cellIs" dxfId="30416" priority="1092" operator="lessThan">
      <formula>-105575</formula>
    </cfRule>
  </conditionalFormatting>
  <conditionalFormatting sqref="BB140 BB145 BB142:BB143 BB137:BB138">
    <cfRule type="cellIs" dxfId="30415" priority="1089" operator="lessThan">
      <formula>0</formula>
    </cfRule>
    <cfRule type="cellIs" dxfId="30414" priority="1090" operator="lessThan">
      <formula>-105575</formula>
    </cfRule>
  </conditionalFormatting>
  <conditionalFormatting sqref="BB149">
    <cfRule type="cellIs" dxfId="30413" priority="1085" operator="lessThan">
      <formula>0</formula>
    </cfRule>
    <cfRule type="cellIs" dxfId="30412" priority="1086" operator="lessThan">
      <formula>-105575</formula>
    </cfRule>
  </conditionalFormatting>
  <conditionalFormatting sqref="BB86:BB87 BB89:BB91 BB141:BB149 BB124:BB133 BB107:BB110 BB112:BB117 BB119:BB122 BB135:BB138 BB101:BB104 BB80:BB84 BB94:BB98">
    <cfRule type="cellIs" dxfId="30411" priority="1079" operator="lessThan">
      <formula>0</formula>
    </cfRule>
    <cfRule type="cellIs" dxfId="30410" priority="1080" operator="lessThan">
      <formula>-105575</formula>
    </cfRule>
  </conditionalFormatting>
  <conditionalFormatting sqref="BB246:BB249 BB262 BB267 BB279:BB282 BB285:BB288 BB274:BB275 BB306:BB309 BB311:BB325 BB327:BB330 BB332:BB341 BB344:BB347 BB349:BB353 BB355:BB358 BB360:BB384 BB386:BB389 BB392:BB395 BB397:BB411 BB413:BB416 BB418:BB432 BB434:BB437 BB439:BB453 BB455:BB458 BB460:BB469 BB7:BB10 BB12:BB14 BB17:BB18 BB21:BB24 BB26:BB28 BB30:BB36 BB38 BB41:BB43 BB46:BB49 BB51:BB55 BB57:BB59 BB62:BB76 BB251:BB253 BB255:BB257 BB293:BB304 BB264:BB265 BB260 BB290:BB291 BB270:BB272">
    <cfRule type="cellIs" dxfId="30409" priority="1127" operator="lessThan">
      <formula>0</formula>
    </cfRule>
    <cfRule type="cellIs" dxfId="30408" priority="1128" operator="lessThan">
      <formula>-105575</formula>
    </cfRule>
  </conditionalFormatting>
  <conditionalFormatting sqref="BB41">
    <cfRule type="cellIs" dxfId="30407" priority="1125" operator="lessThan">
      <formula>0</formula>
    </cfRule>
    <cfRule type="cellIs" dxfId="30406" priority="1126" operator="lessThan">
      <formula>-105575</formula>
    </cfRule>
  </conditionalFormatting>
  <conditionalFormatting sqref="BB152:BB155">
    <cfRule type="cellIs" dxfId="30405" priority="1075" operator="lessThan">
      <formula>0</formula>
    </cfRule>
    <cfRule type="cellIs" dxfId="30404" priority="1076" operator="lessThan">
      <formula>-105575</formula>
    </cfRule>
  </conditionalFormatting>
  <conditionalFormatting sqref="BB152:BB155">
    <cfRule type="cellIs" dxfId="30403" priority="1071" operator="lessThan">
      <formula>0</formula>
    </cfRule>
    <cfRule type="cellIs" dxfId="30402" priority="1072" operator="lessThan">
      <formula>-105575</formula>
    </cfRule>
  </conditionalFormatting>
  <conditionalFormatting sqref="BB152:BB155">
    <cfRule type="cellIs" dxfId="30401" priority="1073" operator="lessThan">
      <formula>0</formula>
    </cfRule>
    <cfRule type="cellIs" dxfId="30400" priority="1074" operator="lessThan">
      <formula>-105575</formula>
    </cfRule>
  </conditionalFormatting>
  <conditionalFormatting sqref="BB157:BB158">
    <cfRule type="cellIs" dxfId="30399" priority="1069" operator="lessThan">
      <formula>0</formula>
    </cfRule>
    <cfRule type="cellIs" dxfId="30398" priority="1070" operator="lessThan">
      <formula>-105575</formula>
    </cfRule>
  </conditionalFormatting>
  <conditionalFormatting sqref="BB157:BB158">
    <cfRule type="cellIs" dxfId="30397" priority="1065" operator="lessThan">
      <formula>0</formula>
    </cfRule>
    <cfRule type="cellIs" dxfId="30396" priority="1066" operator="lessThan">
      <formula>-105575</formula>
    </cfRule>
  </conditionalFormatting>
  <conditionalFormatting sqref="BB157:BB158">
    <cfRule type="cellIs" dxfId="30395" priority="1067" operator="lessThan">
      <formula>0</formula>
    </cfRule>
    <cfRule type="cellIs" dxfId="30394" priority="1068" operator="lessThan">
      <formula>-105575</formula>
    </cfRule>
  </conditionalFormatting>
  <conditionalFormatting sqref="BB160:BB161">
    <cfRule type="cellIs" dxfId="30393" priority="1063" operator="lessThan">
      <formula>0</formula>
    </cfRule>
    <cfRule type="cellIs" dxfId="30392" priority="1064" operator="lessThan">
      <formula>-105575</formula>
    </cfRule>
  </conditionalFormatting>
  <conditionalFormatting sqref="BB160:BB161">
    <cfRule type="cellIs" dxfId="30391" priority="1059" operator="lessThan">
      <formula>0</formula>
    </cfRule>
    <cfRule type="cellIs" dxfId="30390" priority="1060" operator="lessThan">
      <formula>-105575</formula>
    </cfRule>
  </conditionalFormatting>
  <conditionalFormatting sqref="BB160:BB161">
    <cfRule type="cellIs" dxfId="30389" priority="1061" operator="lessThan">
      <formula>0</formula>
    </cfRule>
    <cfRule type="cellIs" dxfId="30388" priority="1062" operator="lessThan">
      <formula>-105575</formula>
    </cfRule>
  </conditionalFormatting>
  <conditionalFormatting sqref="BB164:BB167">
    <cfRule type="cellIs" dxfId="30387" priority="1057" operator="lessThan">
      <formula>0</formula>
    </cfRule>
    <cfRule type="cellIs" dxfId="30386" priority="1058" operator="lessThan">
      <formula>-105575</formula>
    </cfRule>
  </conditionalFormatting>
  <conditionalFormatting sqref="BB164:BB167">
    <cfRule type="cellIs" dxfId="30385" priority="1053" operator="lessThan">
      <formula>0</formula>
    </cfRule>
    <cfRule type="cellIs" dxfId="30384" priority="1054" operator="lessThan">
      <formula>-105575</formula>
    </cfRule>
  </conditionalFormatting>
  <conditionalFormatting sqref="BB164:BB167">
    <cfRule type="cellIs" dxfId="30383" priority="1055" operator="lessThan">
      <formula>0</formula>
    </cfRule>
    <cfRule type="cellIs" dxfId="30382" priority="1056" operator="lessThan">
      <formula>-105575</formula>
    </cfRule>
  </conditionalFormatting>
  <conditionalFormatting sqref="BB169:BB177">
    <cfRule type="cellIs" dxfId="30381" priority="1051" operator="lessThan">
      <formula>0</formula>
    </cfRule>
    <cfRule type="cellIs" dxfId="30380" priority="1052" operator="lessThan">
      <formula>-105575</formula>
    </cfRule>
  </conditionalFormatting>
  <conditionalFormatting sqref="BB169:BB177">
    <cfRule type="cellIs" dxfId="30379" priority="1047" operator="lessThan">
      <formula>0</formula>
    </cfRule>
    <cfRule type="cellIs" dxfId="30378" priority="1048" operator="lessThan">
      <formula>-105575</formula>
    </cfRule>
  </conditionalFormatting>
  <conditionalFormatting sqref="BB169:BB177">
    <cfRule type="cellIs" dxfId="30377" priority="1049" operator="lessThan">
      <formula>0</formula>
    </cfRule>
    <cfRule type="cellIs" dxfId="30376" priority="1050" operator="lessThan">
      <formula>-105575</formula>
    </cfRule>
  </conditionalFormatting>
  <conditionalFormatting sqref="BB179:BB180">
    <cfRule type="cellIs" dxfId="30375" priority="1045" operator="lessThan">
      <formula>0</formula>
    </cfRule>
    <cfRule type="cellIs" dxfId="30374" priority="1046" operator="lessThan">
      <formula>-105575</formula>
    </cfRule>
  </conditionalFormatting>
  <conditionalFormatting sqref="BB179:BB180">
    <cfRule type="cellIs" dxfId="30373" priority="1041" operator="lessThan">
      <formula>0</formula>
    </cfRule>
    <cfRule type="cellIs" dxfId="30372" priority="1042" operator="lessThan">
      <formula>-105575</formula>
    </cfRule>
  </conditionalFormatting>
  <conditionalFormatting sqref="BB179:BB180">
    <cfRule type="cellIs" dxfId="30371" priority="1043" operator="lessThan">
      <formula>0</formula>
    </cfRule>
    <cfRule type="cellIs" dxfId="30370" priority="1044" operator="lessThan">
      <formula>-105575</formula>
    </cfRule>
  </conditionalFormatting>
  <conditionalFormatting sqref="BB183:BB189">
    <cfRule type="cellIs" dxfId="30369" priority="1039" operator="lessThan">
      <formula>0</formula>
    </cfRule>
    <cfRule type="cellIs" dxfId="30368" priority="1040" operator="lessThan">
      <formula>-105575</formula>
    </cfRule>
  </conditionalFormatting>
  <conditionalFormatting sqref="BB183:BB189">
    <cfRule type="cellIs" dxfId="30367" priority="1035" operator="lessThan">
      <formula>0</formula>
    </cfRule>
    <cfRule type="cellIs" dxfId="30366" priority="1036" operator="lessThan">
      <formula>-105575</formula>
    </cfRule>
  </conditionalFormatting>
  <conditionalFormatting sqref="BB183:BB189">
    <cfRule type="cellIs" dxfId="30365" priority="1037" operator="lessThan">
      <formula>0</formula>
    </cfRule>
    <cfRule type="cellIs" dxfId="30364" priority="1038" operator="lessThan">
      <formula>-105575</formula>
    </cfRule>
  </conditionalFormatting>
  <conditionalFormatting sqref="BB191:BB192">
    <cfRule type="cellIs" dxfId="30363" priority="1033" operator="lessThan">
      <formula>0</formula>
    </cfRule>
    <cfRule type="cellIs" dxfId="30362" priority="1034" operator="lessThan">
      <formula>-105575</formula>
    </cfRule>
  </conditionalFormatting>
  <conditionalFormatting sqref="BB191:BB192">
    <cfRule type="cellIs" dxfId="30361" priority="1029" operator="lessThan">
      <formula>0</formula>
    </cfRule>
    <cfRule type="cellIs" dxfId="30360" priority="1030" operator="lessThan">
      <formula>-105575</formula>
    </cfRule>
  </conditionalFormatting>
  <conditionalFormatting sqref="BB191:BB192">
    <cfRule type="cellIs" dxfId="30359" priority="1031" operator="lessThan">
      <formula>0</formula>
    </cfRule>
    <cfRule type="cellIs" dxfId="30358" priority="1032" operator="lessThan">
      <formula>-105575</formula>
    </cfRule>
  </conditionalFormatting>
  <conditionalFormatting sqref="BB194:BB195">
    <cfRule type="cellIs" dxfId="30357" priority="1027" operator="lessThan">
      <formula>0</formula>
    </cfRule>
    <cfRule type="cellIs" dxfId="30356" priority="1028" operator="lessThan">
      <formula>-105575</formula>
    </cfRule>
  </conditionalFormatting>
  <conditionalFormatting sqref="BB194:BB195">
    <cfRule type="cellIs" dxfId="30355" priority="1023" operator="lessThan">
      <formula>0</formula>
    </cfRule>
    <cfRule type="cellIs" dxfId="30354" priority="1024" operator="lessThan">
      <formula>-105575</formula>
    </cfRule>
  </conditionalFormatting>
  <conditionalFormatting sqref="BB194:BB195">
    <cfRule type="cellIs" dxfId="30353" priority="1025" operator="lessThan">
      <formula>0</formula>
    </cfRule>
    <cfRule type="cellIs" dxfId="30352" priority="1026" operator="lessThan">
      <formula>-105575</formula>
    </cfRule>
  </conditionalFormatting>
  <conditionalFormatting sqref="BB199:BB202">
    <cfRule type="cellIs" dxfId="30351" priority="1021" operator="lessThan">
      <formula>0</formula>
    </cfRule>
    <cfRule type="cellIs" dxfId="30350" priority="1022" operator="lessThan">
      <formula>-105575</formula>
    </cfRule>
  </conditionalFormatting>
  <conditionalFormatting sqref="BB199:BB202">
    <cfRule type="cellIs" dxfId="30349" priority="1017" operator="lessThan">
      <formula>0</formula>
    </cfRule>
    <cfRule type="cellIs" dxfId="30348" priority="1018" operator="lessThan">
      <formula>-105575</formula>
    </cfRule>
  </conditionalFormatting>
  <conditionalFormatting sqref="BB199:BB202">
    <cfRule type="cellIs" dxfId="30347" priority="1019" operator="lessThan">
      <formula>0</formula>
    </cfRule>
    <cfRule type="cellIs" dxfId="30346" priority="1020" operator="lessThan">
      <formula>-105575</formula>
    </cfRule>
  </conditionalFormatting>
  <conditionalFormatting sqref="BB204:BB208">
    <cfRule type="cellIs" dxfId="30345" priority="1015" operator="lessThan">
      <formula>0</formula>
    </cfRule>
    <cfRule type="cellIs" dxfId="30344" priority="1016" operator="lessThan">
      <formula>-105575</formula>
    </cfRule>
  </conditionalFormatting>
  <conditionalFormatting sqref="BB204:BB208">
    <cfRule type="cellIs" dxfId="30343" priority="1011" operator="lessThan">
      <formula>0</formula>
    </cfRule>
    <cfRule type="cellIs" dxfId="30342" priority="1012" operator="lessThan">
      <formula>-105575</formula>
    </cfRule>
  </conditionalFormatting>
  <conditionalFormatting sqref="BB204:BB208">
    <cfRule type="cellIs" dxfId="30341" priority="1013" operator="lessThan">
      <formula>0</formula>
    </cfRule>
    <cfRule type="cellIs" dxfId="30340" priority="1014" operator="lessThan">
      <formula>-105575</formula>
    </cfRule>
  </conditionalFormatting>
  <conditionalFormatting sqref="BB210:BB211">
    <cfRule type="cellIs" dxfId="30339" priority="1009" operator="lessThan">
      <formula>0</formula>
    </cfRule>
    <cfRule type="cellIs" dxfId="30338" priority="1010" operator="lessThan">
      <formula>-105575</formula>
    </cfRule>
  </conditionalFormatting>
  <conditionalFormatting sqref="BB210:BB211">
    <cfRule type="cellIs" dxfId="30337" priority="1005" operator="lessThan">
      <formula>0</formula>
    </cfRule>
    <cfRule type="cellIs" dxfId="30336" priority="1006" operator="lessThan">
      <formula>-105575</formula>
    </cfRule>
  </conditionalFormatting>
  <conditionalFormatting sqref="BB210:BB211">
    <cfRule type="cellIs" dxfId="30335" priority="1007" operator="lessThan">
      <formula>0</formula>
    </cfRule>
    <cfRule type="cellIs" dxfId="30334" priority="1008" operator="lessThan">
      <formula>-105575</formula>
    </cfRule>
  </conditionalFormatting>
  <conditionalFormatting sqref="BB214:BB219">
    <cfRule type="cellIs" dxfId="30333" priority="1003" operator="lessThan">
      <formula>0</formula>
    </cfRule>
    <cfRule type="cellIs" dxfId="30332" priority="1004" operator="lessThan">
      <formula>-105575</formula>
    </cfRule>
  </conditionalFormatting>
  <conditionalFormatting sqref="BB214:BB219">
    <cfRule type="cellIs" dxfId="30331" priority="999" operator="lessThan">
      <formula>0</formula>
    </cfRule>
    <cfRule type="cellIs" dxfId="30330" priority="1000" operator="lessThan">
      <formula>-105575</formula>
    </cfRule>
  </conditionalFormatting>
  <conditionalFormatting sqref="BB214:BB219">
    <cfRule type="cellIs" dxfId="30329" priority="1001" operator="lessThan">
      <formula>0</formula>
    </cfRule>
    <cfRule type="cellIs" dxfId="30328" priority="1002" operator="lessThan">
      <formula>-105575</formula>
    </cfRule>
  </conditionalFormatting>
  <conditionalFormatting sqref="BB222:BB224">
    <cfRule type="cellIs" dxfId="30327" priority="997" operator="lessThan">
      <formula>0</formula>
    </cfRule>
    <cfRule type="cellIs" dxfId="30326" priority="998" operator="lessThan">
      <formula>-105575</formula>
    </cfRule>
  </conditionalFormatting>
  <conditionalFormatting sqref="BB222:BB224">
    <cfRule type="cellIs" dxfId="30325" priority="993" operator="lessThan">
      <formula>0</formula>
    </cfRule>
    <cfRule type="cellIs" dxfId="30324" priority="994" operator="lessThan">
      <formula>-105575</formula>
    </cfRule>
  </conditionalFormatting>
  <conditionalFormatting sqref="BB222:BB224">
    <cfRule type="cellIs" dxfId="30323" priority="995" operator="lessThan">
      <formula>0</formula>
    </cfRule>
    <cfRule type="cellIs" dxfId="30322" priority="996" operator="lessThan">
      <formula>-105575</formula>
    </cfRule>
  </conditionalFormatting>
  <conditionalFormatting sqref="BB227:BB230">
    <cfRule type="cellIs" dxfId="30321" priority="991" operator="lessThan">
      <formula>0</formula>
    </cfRule>
    <cfRule type="cellIs" dxfId="30320" priority="992" operator="lessThan">
      <formula>-105575</formula>
    </cfRule>
  </conditionalFormatting>
  <conditionalFormatting sqref="BB227:BB230">
    <cfRule type="cellIs" dxfId="30319" priority="987" operator="lessThan">
      <formula>0</formula>
    </cfRule>
    <cfRule type="cellIs" dxfId="30318" priority="988" operator="lessThan">
      <formula>-105575</formula>
    </cfRule>
  </conditionalFormatting>
  <conditionalFormatting sqref="BB227:BB230">
    <cfRule type="cellIs" dxfId="30317" priority="989" operator="lessThan">
      <formula>0</formula>
    </cfRule>
    <cfRule type="cellIs" dxfId="30316" priority="990" operator="lessThan">
      <formula>-105575</formula>
    </cfRule>
  </conditionalFormatting>
  <conditionalFormatting sqref="BB203 BB220:BB221 BB235:BB243 BB231:BB233 BB212:BB213 BB225:BB226">
    <cfRule type="cellIs" dxfId="30315" priority="985" operator="lessThan">
      <formula>0</formula>
    </cfRule>
    <cfRule type="cellIs" dxfId="30314" priority="986" operator="lessThan">
      <formula>-105575</formula>
    </cfRule>
  </conditionalFormatting>
  <conditionalFormatting sqref="BB220 BB212:BB213 BB235:BB238 BB240:BB243 BB225:BB226 BB231:BB233">
    <cfRule type="cellIs" dxfId="30313" priority="983" operator="lessThan">
      <formula>0</formula>
    </cfRule>
    <cfRule type="cellIs" dxfId="30312" priority="984" operator="lessThan">
      <formula>-105575</formula>
    </cfRule>
  </conditionalFormatting>
  <conditionalFormatting sqref="BB220:BB221 BB243 BB226 BB231:BB236 BB238:BB241 BB203 BB213">
    <cfRule type="cellIs" dxfId="30311" priority="981" operator="lessThan">
      <formula>0</formula>
    </cfRule>
    <cfRule type="cellIs" dxfId="30310" priority="982" operator="lessThan">
      <formula>-105575</formula>
    </cfRule>
  </conditionalFormatting>
  <conditionalFormatting sqref="BB235:BB243 BB231:BB233 BB220 BB212:BB213 BB225:BB226">
    <cfRule type="cellIs" dxfId="30309" priority="979" operator="lessThan">
      <formula>0</formula>
    </cfRule>
    <cfRule type="cellIs" dxfId="30308" priority="980" operator="lessThan">
      <formula>-105575</formula>
    </cfRule>
  </conditionalFormatting>
  <conditionalFormatting sqref="BB220:BB221 BB237:BB243 BB203 BB231:BB235 BB212:BB213 BB225:BB226">
    <cfRule type="cellIs" dxfId="30307" priority="977" operator="lessThan">
      <formula>0</formula>
    </cfRule>
    <cfRule type="cellIs" dxfId="30306" priority="978" operator="lessThan">
      <formula>-105575</formula>
    </cfRule>
  </conditionalFormatting>
  <conditionalFormatting sqref="BB220:BB221 BB237:BB240 BB242:BB243 BB225:BB226 BB231:BB235">
    <cfRule type="cellIs" dxfId="30305" priority="975" operator="lessThan">
      <formula>0</formula>
    </cfRule>
    <cfRule type="cellIs" dxfId="30304" priority="976" operator="lessThan">
      <formula>-105575</formula>
    </cfRule>
  </conditionalFormatting>
  <conditionalFormatting sqref="BB212 BB231 BB233:BB238 BB240:BB243 BB225">
    <cfRule type="cellIs" dxfId="30303" priority="973" operator="lessThan">
      <formula>0</formula>
    </cfRule>
    <cfRule type="cellIs" dxfId="30302" priority="974" operator="lessThan">
      <formula>-105575</formula>
    </cfRule>
  </conditionalFormatting>
  <conditionalFormatting sqref="BB237:BB243 BB231:BB235 BB220:BB221 BB225:BB226">
    <cfRule type="cellIs" dxfId="30301" priority="971" operator="lessThan">
      <formula>0</formula>
    </cfRule>
    <cfRule type="cellIs" dxfId="30300" priority="972" operator="lessThan">
      <formula>-105575</formula>
    </cfRule>
  </conditionalFormatting>
  <conditionalFormatting sqref="BB233:BB237 BB231 BB239:BB243">
    <cfRule type="cellIs" dxfId="30299" priority="969" operator="lessThan">
      <formula>0</formula>
    </cfRule>
    <cfRule type="cellIs" dxfId="30298" priority="970" operator="lessThan">
      <formula>-105575</formula>
    </cfRule>
  </conditionalFormatting>
  <conditionalFormatting sqref="BB233:BB237 BB231 BB239:BB243">
    <cfRule type="cellIs" dxfId="30297" priority="967" operator="lessThan">
      <formula>0</formula>
    </cfRule>
    <cfRule type="cellIs" dxfId="30296" priority="968" operator="lessThan">
      <formula>-105575</formula>
    </cfRule>
  </conditionalFormatting>
  <conditionalFormatting sqref="BB119:BB128 BB101:BB104 BB107:BB110 BB112:BB117 BB80:BB98">
    <cfRule type="cellIs" dxfId="30295" priority="965" operator="lessThan">
      <formula>0</formula>
    </cfRule>
    <cfRule type="cellIs" dxfId="30294" priority="966" operator="lessThan">
      <formula>-105575</formula>
    </cfRule>
  </conditionalFormatting>
  <conditionalFormatting sqref="BB130 BB132 BB134">
    <cfRule type="cellIs" dxfId="30293" priority="963" operator="lessThan">
      <formula>0</formula>
    </cfRule>
    <cfRule type="cellIs" dxfId="30292" priority="964" operator="lessThan">
      <formula>-105575</formula>
    </cfRule>
  </conditionalFormatting>
  <conditionalFormatting sqref="BB130 BB132 BB134">
    <cfRule type="cellIs" dxfId="30291" priority="961" operator="lessThan">
      <formula>0</formula>
    </cfRule>
    <cfRule type="cellIs" dxfId="30290" priority="962" operator="lessThan">
      <formula>-105575</formula>
    </cfRule>
  </conditionalFormatting>
  <conditionalFormatting sqref="BB129 BB131 BB133 BB135">
    <cfRule type="cellIs" dxfId="30289" priority="959" operator="lessThan">
      <formula>0</formula>
    </cfRule>
    <cfRule type="cellIs" dxfId="30288" priority="960" operator="lessThan">
      <formula>-105575</formula>
    </cfRule>
  </conditionalFormatting>
  <conditionalFormatting sqref="BB140 BB145 BB142:BB143 BB137:BB138">
    <cfRule type="cellIs" dxfId="30287" priority="957" operator="lessThan">
      <formula>0</formula>
    </cfRule>
    <cfRule type="cellIs" dxfId="30286" priority="958" operator="lessThan">
      <formula>-105575</formula>
    </cfRule>
  </conditionalFormatting>
  <conditionalFormatting sqref="BB149">
    <cfRule type="cellIs" dxfId="30285" priority="955" operator="lessThan">
      <formula>0</formula>
    </cfRule>
    <cfRule type="cellIs" dxfId="30284" priority="956" operator="lessThan">
      <formula>-105575</formula>
    </cfRule>
  </conditionalFormatting>
  <conditionalFormatting sqref="BB129:BB138 BB140:BB149">
    <cfRule type="cellIs" dxfId="30283" priority="953" operator="lessThan">
      <formula>0</formula>
    </cfRule>
    <cfRule type="cellIs" dxfId="30282" priority="954" operator="lessThan">
      <formula>-105575</formula>
    </cfRule>
  </conditionalFormatting>
  <conditionalFormatting sqref="BB86:BB87 BB89:BB91 BB141:BB149 BB124:BB133 BB107:BB110 BB112:BB117 BB119:BB122 BB135:BB138 BB101:BB104 BB80:BB84 BB94:BB98">
    <cfRule type="cellIs" dxfId="30281" priority="951" operator="lessThan">
      <formula>0</formula>
    </cfRule>
    <cfRule type="cellIs" dxfId="30280" priority="952" operator="lessThan">
      <formula>-105575</formula>
    </cfRule>
  </conditionalFormatting>
  <conditionalFormatting sqref="BB129 BB131 BB133 BB135">
    <cfRule type="cellIs" dxfId="30279" priority="949" operator="lessThan">
      <formula>0</formula>
    </cfRule>
    <cfRule type="cellIs" dxfId="30278" priority="950" operator="lessThan">
      <formula>-105575</formula>
    </cfRule>
  </conditionalFormatting>
  <conditionalFormatting sqref="BB146 BB144 BB141">
    <cfRule type="cellIs" dxfId="30277" priority="947" operator="lessThan">
      <formula>0</formula>
    </cfRule>
    <cfRule type="cellIs" dxfId="30276" priority="948" operator="lessThan">
      <formula>-105575</formula>
    </cfRule>
  </conditionalFormatting>
  <conditionalFormatting sqref="BB146 BB144 BB141">
    <cfRule type="cellIs" dxfId="30275" priority="945" operator="lessThan">
      <formula>0</formula>
    </cfRule>
    <cfRule type="cellIs" dxfId="30274" priority="946" operator="lessThan">
      <formula>-105575</formula>
    </cfRule>
  </conditionalFormatting>
  <conditionalFormatting sqref="BB140 BB145 BB142:BB143 BB137:BB138">
    <cfRule type="cellIs" dxfId="30273" priority="943" operator="lessThan">
      <formula>0</formula>
    </cfRule>
    <cfRule type="cellIs" dxfId="30272" priority="944" operator="lessThan">
      <formula>-105575</formula>
    </cfRule>
  </conditionalFormatting>
  <conditionalFormatting sqref="BB149">
    <cfRule type="cellIs" dxfId="30271" priority="941" operator="lessThan">
      <formula>0</formula>
    </cfRule>
    <cfRule type="cellIs" dxfId="30270" priority="942" operator="lessThan">
      <formula>-105575</formula>
    </cfRule>
  </conditionalFormatting>
  <conditionalFormatting sqref="BB86:BB87 BB89:BB91 BB141:BB149 BB124:BB133 BB107:BB110 BB112:BB117 BB119:BB122 BB135:BB138 BB101:BB104 BB80:BB84 BB94:BB98">
    <cfRule type="cellIs" dxfId="30269" priority="939" operator="lessThan">
      <formula>0</formula>
    </cfRule>
    <cfRule type="cellIs" dxfId="30268" priority="940" operator="lessThan">
      <formula>-105575</formula>
    </cfRule>
  </conditionalFormatting>
  <conditionalFormatting sqref="BB62:BB76 BB306:BB309 BB311:BB325 BB327:BB330 BB332:BB341 BB344:BB347 BB349:BB353 BB355:BB358 BB360:BB384 BB386:BB389 BB392:BB395 BB397:BB411 BB413:BB416 BB418:BB432 BB434:BB437 BB439:BB453 BB455:BB458 BB460:BB469 BB7:BB10 BB12:BB14 BB17:BB18 BB21:BB24 BB26:BB28 BB30:BB36 BB38 BB41:BB43 BB46:BB49 BB51:BB55 BB57:BB59 BB290:BB291 BB293:BB304">
    <cfRule type="cellIs" dxfId="30267" priority="937" operator="lessThan">
      <formula>0</formula>
    </cfRule>
    <cfRule type="cellIs" dxfId="30266" priority="938" operator="lessThan">
      <formula>-105575</formula>
    </cfRule>
  </conditionalFormatting>
  <conditionalFormatting sqref="BB41">
    <cfRule type="cellIs" dxfId="30265" priority="935" operator="lessThan">
      <formula>0</formula>
    </cfRule>
    <cfRule type="cellIs" dxfId="30264" priority="936" operator="lessThan">
      <formula>-105575</formula>
    </cfRule>
  </conditionalFormatting>
  <conditionalFormatting sqref="BB152:BB155">
    <cfRule type="cellIs" dxfId="30263" priority="933" operator="lessThan">
      <formula>0</formula>
    </cfRule>
    <cfRule type="cellIs" dxfId="30262" priority="934" operator="lessThan">
      <formula>-105575</formula>
    </cfRule>
  </conditionalFormatting>
  <conditionalFormatting sqref="BB152:BB155">
    <cfRule type="cellIs" dxfId="30261" priority="931" operator="lessThan">
      <formula>0</formula>
    </cfRule>
    <cfRule type="cellIs" dxfId="30260" priority="932" operator="lessThan">
      <formula>-105575</formula>
    </cfRule>
  </conditionalFormatting>
  <conditionalFormatting sqref="BB152:BB155">
    <cfRule type="cellIs" dxfId="30259" priority="929" operator="lessThan">
      <formula>0</formula>
    </cfRule>
    <cfRule type="cellIs" dxfId="30258" priority="930" operator="lessThan">
      <formula>-105575</formula>
    </cfRule>
  </conditionalFormatting>
  <conditionalFormatting sqref="BB157:BB158">
    <cfRule type="cellIs" dxfId="30257" priority="927" operator="lessThan">
      <formula>0</formula>
    </cfRule>
    <cfRule type="cellIs" dxfId="30256" priority="928" operator="lessThan">
      <formula>-105575</formula>
    </cfRule>
  </conditionalFormatting>
  <conditionalFormatting sqref="BB157:BB158">
    <cfRule type="cellIs" dxfId="30255" priority="925" operator="lessThan">
      <formula>0</formula>
    </cfRule>
    <cfRule type="cellIs" dxfId="30254" priority="926" operator="lessThan">
      <formula>-105575</formula>
    </cfRule>
  </conditionalFormatting>
  <conditionalFormatting sqref="BB157:BB158">
    <cfRule type="cellIs" dxfId="30253" priority="923" operator="lessThan">
      <formula>0</formula>
    </cfRule>
    <cfRule type="cellIs" dxfId="30252" priority="924" operator="lessThan">
      <formula>-105575</formula>
    </cfRule>
  </conditionalFormatting>
  <conditionalFormatting sqref="BB160:BB161">
    <cfRule type="cellIs" dxfId="30251" priority="921" operator="lessThan">
      <formula>0</formula>
    </cfRule>
    <cfRule type="cellIs" dxfId="30250" priority="922" operator="lessThan">
      <formula>-105575</formula>
    </cfRule>
  </conditionalFormatting>
  <conditionalFormatting sqref="BB160:BB161">
    <cfRule type="cellIs" dxfId="30249" priority="919" operator="lessThan">
      <formula>0</formula>
    </cfRule>
    <cfRule type="cellIs" dxfId="30248" priority="920" operator="lessThan">
      <formula>-105575</formula>
    </cfRule>
  </conditionalFormatting>
  <conditionalFormatting sqref="BB160:BB161">
    <cfRule type="cellIs" dxfId="30247" priority="917" operator="lessThan">
      <formula>0</formula>
    </cfRule>
    <cfRule type="cellIs" dxfId="30246" priority="918" operator="lessThan">
      <formula>-105575</formula>
    </cfRule>
  </conditionalFormatting>
  <conditionalFormatting sqref="BB164:BB167">
    <cfRule type="cellIs" dxfId="30245" priority="915" operator="lessThan">
      <formula>0</formula>
    </cfRule>
    <cfRule type="cellIs" dxfId="30244" priority="916" operator="lessThan">
      <formula>-105575</formula>
    </cfRule>
  </conditionalFormatting>
  <conditionalFormatting sqref="BB164:BB167">
    <cfRule type="cellIs" dxfId="30243" priority="913" operator="lessThan">
      <formula>0</formula>
    </cfRule>
    <cfRule type="cellIs" dxfId="30242" priority="914" operator="lessThan">
      <formula>-105575</formula>
    </cfRule>
  </conditionalFormatting>
  <conditionalFormatting sqref="BB164:BB167">
    <cfRule type="cellIs" dxfId="30241" priority="911" operator="lessThan">
      <formula>0</formula>
    </cfRule>
    <cfRule type="cellIs" dxfId="30240" priority="912" operator="lessThan">
      <formula>-105575</formula>
    </cfRule>
  </conditionalFormatting>
  <conditionalFormatting sqref="BB169:BB177">
    <cfRule type="cellIs" dxfId="30239" priority="909" operator="lessThan">
      <formula>0</formula>
    </cfRule>
    <cfRule type="cellIs" dxfId="30238" priority="910" operator="lessThan">
      <formula>-105575</formula>
    </cfRule>
  </conditionalFormatting>
  <conditionalFormatting sqref="BB169:BB177">
    <cfRule type="cellIs" dxfId="30237" priority="907" operator="lessThan">
      <formula>0</formula>
    </cfRule>
    <cfRule type="cellIs" dxfId="30236" priority="908" operator="lessThan">
      <formula>-105575</formula>
    </cfRule>
  </conditionalFormatting>
  <conditionalFormatting sqref="BB169:BB177">
    <cfRule type="cellIs" dxfId="30235" priority="905" operator="lessThan">
      <formula>0</formula>
    </cfRule>
    <cfRule type="cellIs" dxfId="30234" priority="906" operator="lessThan">
      <formula>-105575</formula>
    </cfRule>
  </conditionalFormatting>
  <conditionalFormatting sqref="BB179:BB180">
    <cfRule type="cellIs" dxfId="30233" priority="903" operator="lessThan">
      <formula>0</formula>
    </cfRule>
    <cfRule type="cellIs" dxfId="30232" priority="904" operator="lessThan">
      <formula>-105575</formula>
    </cfRule>
  </conditionalFormatting>
  <conditionalFormatting sqref="BB179:BB180">
    <cfRule type="cellIs" dxfId="30231" priority="901" operator="lessThan">
      <formula>0</formula>
    </cfRule>
    <cfRule type="cellIs" dxfId="30230" priority="902" operator="lessThan">
      <formula>-105575</formula>
    </cfRule>
  </conditionalFormatting>
  <conditionalFormatting sqref="BB179:BB180">
    <cfRule type="cellIs" dxfId="30229" priority="899" operator="lessThan">
      <formula>0</formula>
    </cfRule>
    <cfRule type="cellIs" dxfId="30228" priority="900" operator="lessThan">
      <formula>-105575</formula>
    </cfRule>
  </conditionalFormatting>
  <conditionalFormatting sqref="BB183:BB189">
    <cfRule type="cellIs" dxfId="30227" priority="897" operator="lessThan">
      <formula>0</formula>
    </cfRule>
    <cfRule type="cellIs" dxfId="30226" priority="898" operator="lessThan">
      <formula>-105575</formula>
    </cfRule>
  </conditionalFormatting>
  <conditionalFormatting sqref="BB183:BB189">
    <cfRule type="cellIs" dxfId="30225" priority="895" operator="lessThan">
      <formula>0</formula>
    </cfRule>
    <cfRule type="cellIs" dxfId="30224" priority="896" operator="lessThan">
      <formula>-105575</formula>
    </cfRule>
  </conditionalFormatting>
  <conditionalFormatting sqref="BB183:BB189">
    <cfRule type="cellIs" dxfId="30223" priority="893" operator="lessThan">
      <formula>0</formula>
    </cfRule>
    <cfRule type="cellIs" dxfId="30222" priority="894" operator="lessThan">
      <formula>-105575</formula>
    </cfRule>
  </conditionalFormatting>
  <conditionalFormatting sqref="BB191:BB192">
    <cfRule type="cellIs" dxfId="30221" priority="891" operator="lessThan">
      <formula>0</formula>
    </cfRule>
    <cfRule type="cellIs" dxfId="30220" priority="892" operator="lessThan">
      <formula>-105575</formula>
    </cfRule>
  </conditionalFormatting>
  <conditionalFormatting sqref="BB191:BB192">
    <cfRule type="cellIs" dxfId="30219" priority="889" operator="lessThan">
      <formula>0</formula>
    </cfRule>
    <cfRule type="cellIs" dxfId="30218" priority="890" operator="lessThan">
      <formula>-105575</formula>
    </cfRule>
  </conditionalFormatting>
  <conditionalFormatting sqref="BB191:BB192">
    <cfRule type="cellIs" dxfId="30217" priority="887" operator="lessThan">
      <formula>0</formula>
    </cfRule>
    <cfRule type="cellIs" dxfId="30216" priority="888" operator="lessThan">
      <formula>-105575</formula>
    </cfRule>
  </conditionalFormatting>
  <conditionalFormatting sqref="BB194:BB195">
    <cfRule type="cellIs" dxfId="30215" priority="885" operator="lessThan">
      <formula>0</formula>
    </cfRule>
    <cfRule type="cellIs" dxfId="30214" priority="886" operator="lessThan">
      <formula>-105575</formula>
    </cfRule>
  </conditionalFormatting>
  <conditionalFormatting sqref="BB194:BB195">
    <cfRule type="cellIs" dxfId="30213" priority="883" operator="lessThan">
      <formula>0</formula>
    </cfRule>
    <cfRule type="cellIs" dxfId="30212" priority="884" operator="lessThan">
      <formula>-105575</formula>
    </cfRule>
  </conditionalFormatting>
  <conditionalFormatting sqref="BB194:BB195">
    <cfRule type="cellIs" dxfId="30211" priority="881" operator="lessThan">
      <formula>0</formula>
    </cfRule>
    <cfRule type="cellIs" dxfId="30210" priority="882" operator="lessThan">
      <formula>-105575</formula>
    </cfRule>
  </conditionalFormatting>
  <conditionalFormatting sqref="BB199:BB202">
    <cfRule type="cellIs" dxfId="30209" priority="879" operator="lessThan">
      <formula>0</formula>
    </cfRule>
    <cfRule type="cellIs" dxfId="30208" priority="880" operator="lessThan">
      <formula>-105575</formula>
    </cfRule>
  </conditionalFormatting>
  <conditionalFormatting sqref="BB199:BB202">
    <cfRule type="cellIs" dxfId="30207" priority="877" operator="lessThan">
      <formula>0</formula>
    </cfRule>
    <cfRule type="cellIs" dxfId="30206" priority="878" operator="lessThan">
      <formula>-105575</formula>
    </cfRule>
  </conditionalFormatting>
  <conditionalFormatting sqref="BB199:BB202">
    <cfRule type="cellIs" dxfId="30205" priority="875" operator="lessThan">
      <formula>0</formula>
    </cfRule>
    <cfRule type="cellIs" dxfId="30204" priority="876" operator="lessThan">
      <formula>-105575</formula>
    </cfRule>
  </conditionalFormatting>
  <conditionalFormatting sqref="BB204:BB208">
    <cfRule type="cellIs" dxfId="30203" priority="873" operator="lessThan">
      <formula>0</formula>
    </cfRule>
    <cfRule type="cellIs" dxfId="30202" priority="874" operator="lessThan">
      <formula>-105575</formula>
    </cfRule>
  </conditionalFormatting>
  <conditionalFormatting sqref="BB204:BB208">
    <cfRule type="cellIs" dxfId="30201" priority="871" operator="lessThan">
      <formula>0</formula>
    </cfRule>
    <cfRule type="cellIs" dxfId="30200" priority="872" operator="lessThan">
      <formula>-105575</formula>
    </cfRule>
  </conditionalFormatting>
  <conditionalFormatting sqref="BB204:BB208">
    <cfRule type="cellIs" dxfId="30199" priority="869" operator="lessThan">
      <formula>0</formula>
    </cfRule>
    <cfRule type="cellIs" dxfId="30198" priority="870" operator="lessThan">
      <formula>-105575</formula>
    </cfRule>
  </conditionalFormatting>
  <conditionalFormatting sqref="BB210:BB211">
    <cfRule type="cellIs" dxfId="30197" priority="867" operator="lessThan">
      <formula>0</formula>
    </cfRule>
    <cfRule type="cellIs" dxfId="30196" priority="868" operator="lessThan">
      <formula>-105575</formula>
    </cfRule>
  </conditionalFormatting>
  <conditionalFormatting sqref="BB210:BB211">
    <cfRule type="cellIs" dxfId="30195" priority="865" operator="lessThan">
      <formula>0</formula>
    </cfRule>
    <cfRule type="cellIs" dxfId="30194" priority="866" operator="lessThan">
      <formula>-105575</formula>
    </cfRule>
  </conditionalFormatting>
  <conditionalFormatting sqref="BB210:BB211">
    <cfRule type="cellIs" dxfId="30193" priority="863" operator="lessThan">
      <formula>0</formula>
    </cfRule>
    <cfRule type="cellIs" dxfId="30192" priority="864" operator="lessThan">
      <formula>-105575</formula>
    </cfRule>
  </conditionalFormatting>
  <conditionalFormatting sqref="BB214:BB219">
    <cfRule type="cellIs" dxfId="30191" priority="861" operator="lessThan">
      <formula>0</formula>
    </cfRule>
    <cfRule type="cellIs" dxfId="30190" priority="862" operator="lessThan">
      <formula>-105575</formula>
    </cfRule>
  </conditionalFormatting>
  <conditionalFormatting sqref="BB214:BB219">
    <cfRule type="cellIs" dxfId="30189" priority="859" operator="lessThan">
      <formula>0</formula>
    </cfRule>
    <cfRule type="cellIs" dxfId="30188" priority="860" operator="lessThan">
      <formula>-105575</formula>
    </cfRule>
  </conditionalFormatting>
  <conditionalFormatting sqref="BB214:BB219">
    <cfRule type="cellIs" dxfId="30187" priority="857" operator="lessThan">
      <formula>0</formula>
    </cfRule>
    <cfRule type="cellIs" dxfId="30186" priority="858" operator="lessThan">
      <formula>-105575</formula>
    </cfRule>
  </conditionalFormatting>
  <conditionalFormatting sqref="BB222:BB224">
    <cfRule type="cellIs" dxfId="30185" priority="855" operator="lessThan">
      <formula>0</formula>
    </cfRule>
    <cfRule type="cellIs" dxfId="30184" priority="856" operator="lessThan">
      <formula>-105575</formula>
    </cfRule>
  </conditionalFormatting>
  <conditionalFormatting sqref="BB222:BB224">
    <cfRule type="cellIs" dxfId="30183" priority="853" operator="lessThan">
      <formula>0</formula>
    </cfRule>
    <cfRule type="cellIs" dxfId="30182" priority="854" operator="lessThan">
      <formula>-105575</formula>
    </cfRule>
  </conditionalFormatting>
  <conditionalFormatting sqref="BB222:BB224">
    <cfRule type="cellIs" dxfId="30181" priority="851" operator="lessThan">
      <formula>0</formula>
    </cfRule>
    <cfRule type="cellIs" dxfId="30180" priority="852" operator="lessThan">
      <formula>-105575</formula>
    </cfRule>
  </conditionalFormatting>
  <conditionalFormatting sqref="BB227:BB230">
    <cfRule type="cellIs" dxfId="30179" priority="849" operator="lessThan">
      <formula>0</formula>
    </cfRule>
    <cfRule type="cellIs" dxfId="30178" priority="850" operator="lessThan">
      <formula>-105575</formula>
    </cfRule>
  </conditionalFormatting>
  <conditionalFormatting sqref="BB227:BB230">
    <cfRule type="cellIs" dxfId="30177" priority="847" operator="lessThan">
      <formula>0</formula>
    </cfRule>
    <cfRule type="cellIs" dxfId="30176" priority="848" operator="lessThan">
      <formula>-105575</formula>
    </cfRule>
  </conditionalFormatting>
  <conditionalFormatting sqref="BB227:BB230">
    <cfRule type="cellIs" dxfId="30175" priority="845" operator="lessThan">
      <formula>0</formula>
    </cfRule>
    <cfRule type="cellIs" dxfId="30174" priority="846" operator="lessThan">
      <formula>-105575</formula>
    </cfRule>
  </conditionalFormatting>
  <conditionalFormatting sqref="BB246:BB249">
    <cfRule type="cellIs" dxfId="30173" priority="843" operator="lessThan">
      <formula>0</formula>
    </cfRule>
    <cfRule type="cellIs" dxfId="30172" priority="844" operator="lessThan">
      <formula>-105575</formula>
    </cfRule>
  </conditionalFormatting>
  <conditionalFormatting sqref="BB246:BB249">
    <cfRule type="cellIs" dxfId="30171" priority="841" operator="lessThan">
      <formula>0</formula>
    </cfRule>
    <cfRule type="cellIs" dxfId="30170" priority="842" operator="lessThan">
      <formula>-105575</formula>
    </cfRule>
  </conditionalFormatting>
  <conditionalFormatting sqref="BB246:BB249">
    <cfRule type="cellIs" dxfId="30169" priority="839" operator="lessThan">
      <formula>0</formula>
    </cfRule>
    <cfRule type="cellIs" dxfId="30168" priority="840" operator="lessThan">
      <formula>-105575</formula>
    </cfRule>
  </conditionalFormatting>
  <conditionalFormatting sqref="BB246:BB249">
    <cfRule type="cellIs" dxfId="30167" priority="837" operator="lessThan">
      <formula>0</formula>
    </cfRule>
    <cfRule type="cellIs" dxfId="30166" priority="838" operator="lessThan">
      <formula>-105575</formula>
    </cfRule>
  </conditionalFormatting>
  <conditionalFormatting sqref="BB246:BB249">
    <cfRule type="cellIs" dxfId="30165" priority="835" operator="lessThan">
      <formula>0</formula>
    </cfRule>
    <cfRule type="cellIs" dxfId="30164" priority="836" operator="lessThan">
      <formula>-105575</formula>
    </cfRule>
  </conditionalFormatting>
  <conditionalFormatting sqref="BB246:BB249">
    <cfRule type="cellIs" dxfId="30163" priority="833" operator="lessThan">
      <formula>0</formula>
    </cfRule>
    <cfRule type="cellIs" dxfId="30162" priority="834" operator="lessThan">
      <formula>-105575</formula>
    </cfRule>
  </conditionalFormatting>
  <conditionalFormatting sqref="BB246:BB249">
    <cfRule type="cellIs" dxfId="30161" priority="831" operator="lessThan">
      <formula>0</formula>
    </cfRule>
    <cfRule type="cellIs" dxfId="30160" priority="832" operator="lessThan">
      <formula>-105575</formula>
    </cfRule>
  </conditionalFormatting>
  <conditionalFormatting sqref="BB246:BB249">
    <cfRule type="cellIs" dxfId="30159" priority="829" operator="lessThan">
      <formula>0</formula>
    </cfRule>
    <cfRule type="cellIs" dxfId="30158" priority="830" operator="lessThan">
      <formula>-105575</formula>
    </cfRule>
  </conditionalFormatting>
  <conditionalFormatting sqref="BB246:BB249">
    <cfRule type="cellIs" dxfId="30157" priority="827" operator="lessThan">
      <formula>0</formula>
    </cfRule>
    <cfRule type="cellIs" dxfId="30156" priority="828" operator="lessThan">
      <formula>-105575</formula>
    </cfRule>
  </conditionalFormatting>
  <conditionalFormatting sqref="BB251:BB253">
    <cfRule type="cellIs" dxfId="30155" priority="825" operator="lessThan">
      <formula>0</formula>
    </cfRule>
    <cfRule type="cellIs" dxfId="30154" priority="826" operator="lessThan">
      <formula>-105575</formula>
    </cfRule>
  </conditionalFormatting>
  <conditionalFormatting sqref="BB251:BB253">
    <cfRule type="cellIs" dxfId="30153" priority="823" operator="lessThan">
      <formula>0</formula>
    </cfRule>
    <cfRule type="cellIs" dxfId="30152" priority="824" operator="lessThan">
      <formula>-105575</formula>
    </cfRule>
  </conditionalFormatting>
  <conditionalFormatting sqref="BB251:BB253">
    <cfRule type="cellIs" dxfId="30151" priority="821" operator="lessThan">
      <formula>0</formula>
    </cfRule>
    <cfRule type="cellIs" dxfId="30150" priority="822" operator="lessThan">
      <formula>-105575</formula>
    </cfRule>
  </conditionalFormatting>
  <conditionalFormatting sqref="BB251:BB253">
    <cfRule type="cellIs" dxfId="30149" priority="819" operator="lessThan">
      <formula>0</formula>
    </cfRule>
    <cfRule type="cellIs" dxfId="30148" priority="820" operator="lessThan">
      <formula>-105575</formula>
    </cfRule>
  </conditionalFormatting>
  <conditionalFormatting sqref="BB251:BB253">
    <cfRule type="cellIs" dxfId="30147" priority="817" operator="lessThan">
      <formula>0</formula>
    </cfRule>
    <cfRule type="cellIs" dxfId="30146" priority="818" operator="lessThan">
      <formula>-105575</formula>
    </cfRule>
  </conditionalFormatting>
  <conditionalFormatting sqref="BB251:BB253">
    <cfRule type="cellIs" dxfId="30145" priority="815" operator="lessThan">
      <formula>0</formula>
    </cfRule>
    <cfRule type="cellIs" dxfId="30144" priority="816" operator="lessThan">
      <formula>-105575</formula>
    </cfRule>
  </conditionalFormatting>
  <conditionalFormatting sqref="BB251:BB253">
    <cfRule type="cellIs" dxfId="30143" priority="813" operator="lessThan">
      <formula>0</formula>
    </cfRule>
    <cfRule type="cellIs" dxfId="30142" priority="814" operator="lessThan">
      <formula>-105575</formula>
    </cfRule>
  </conditionalFormatting>
  <conditionalFormatting sqref="BB251:BB253">
    <cfRule type="cellIs" dxfId="30141" priority="811" operator="lessThan">
      <formula>0</formula>
    </cfRule>
    <cfRule type="cellIs" dxfId="30140" priority="812" operator="lessThan">
      <formula>-105575</formula>
    </cfRule>
  </conditionalFormatting>
  <conditionalFormatting sqref="BB251:BB253">
    <cfRule type="cellIs" dxfId="30139" priority="809" operator="lessThan">
      <formula>0</formula>
    </cfRule>
    <cfRule type="cellIs" dxfId="30138" priority="810" operator="lessThan">
      <formula>-105575</formula>
    </cfRule>
  </conditionalFormatting>
  <conditionalFormatting sqref="BB255:BB257">
    <cfRule type="cellIs" dxfId="30137" priority="807" operator="lessThan">
      <formula>0</formula>
    </cfRule>
    <cfRule type="cellIs" dxfId="30136" priority="808" operator="lessThan">
      <formula>-105575</formula>
    </cfRule>
  </conditionalFormatting>
  <conditionalFormatting sqref="BB255:BB257">
    <cfRule type="cellIs" dxfId="30135" priority="805" operator="lessThan">
      <formula>0</formula>
    </cfRule>
    <cfRule type="cellIs" dxfId="30134" priority="806" operator="lessThan">
      <formula>-105575</formula>
    </cfRule>
  </conditionalFormatting>
  <conditionalFormatting sqref="BB255:BB257">
    <cfRule type="cellIs" dxfId="30133" priority="803" operator="lessThan">
      <formula>0</formula>
    </cfRule>
    <cfRule type="cellIs" dxfId="30132" priority="804" operator="lessThan">
      <formula>-105575</formula>
    </cfRule>
  </conditionalFormatting>
  <conditionalFormatting sqref="BB255:BB257">
    <cfRule type="cellIs" dxfId="30131" priority="801" operator="lessThan">
      <formula>0</formula>
    </cfRule>
    <cfRule type="cellIs" dxfId="30130" priority="802" operator="lessThan">
      <formula>-105575</formula>
    </cfRule>
  </conditionalFormatting>
  <conditionalFormatting sqref="BB255:BB257">
    <cfRule type="cellIs" dxfId="30129" priority="799" operator="lessThan">
      <formula>0</formula>
    </cfRule>
    <cfRule type="cellIs" dxfId="30128" priority="800" operator="lessThan">
      <formula>-105575</formula>
    </cfRule>
  </conditionalFormatting>
  <conditionalFormatting sqref="BB255:BB257">
    <cfRule type="cellIs" dxfId="30127" priority="797" operator="lessThan">
      <formula>0</formula>
    </cfRule>
    <cfRule type="cellIs" dxfId="30126" priority="798" operator="lessThan">
      <formula>-105575</formula>
    </cfRule>
  </conditionalFormatting>
  <conditionalFormatting sqref="BB255:BB257">
    <cfRule type="cellIs" dxfId="30125" priority="795" operator="lessThan">
      <formula>0</formula>
    </cfRule>
    <cfRule type="cellIs" dxfId="30124" priority="796" operator="lessThan">
      <formula>-105575</formula>
    </cfRule>
  </conditionalFormatting>
  <conditionalFormatting sqref="BB255:BB257">
    <cfRule type="cellIs" dxfId="30123" priority="793" operator="lessThan">
      <formula>0</formula>
    </cfRule>
    <cfRule type="cellIs" dxfId="30122" priority="794" operator="lessThan">
      <formula>-105575</formula>
    </cfRule>
  </conditionalFormatting>
  <conditionalFormatting sqref="BB255:BB257">
    <cfRule type="cellIs" dxfId="30121" priority="791" operator="lessThan">
      <formula>0</formula>
    </cfRule>
    <cfRule type="cellIs" dxfId="30120" priority="792" operator="lessThan">
      <formula>-105575</formula>
    </cfRule>
  </conditionalFormatting>
  <conditionalFormatting sqref="BB260:BB262">
    <cfRule type="cellIs" dxfId="30119" priority="789" operator="lessThan">
      <formula>0</formula>
    </cfRule>
    <cfRule type="cellIs" dxfId="30118" priority="790" operator="lessThan">
      <formula>-105575</formula>
    </cfRule>
  </conditionalFormatting>
  <conditionalFormatting sqref="BB260:BB262">
    <cfRule type="cellIs" dxfId="30117" priority="787" operator="lessThan">
      <formula>0</formula>
    </cfRule>
    <cfRule type="cellIs" dxfId="30116" priority="788" operator="lessThan">
      <formula>-105575</formula>
    </cfRule>
  </conditionalFormatting>
  <conditionalFormatting sqref="BB260:BB262">
    <cfRule type="cellIs" dxfId="30115" priority="785" operator="lessThan">
      <formula>0</formula>
    </cfRule>
    <cfRule type="cellIs" dxfId="30114" priority="786" operator="lessThan">
      <formula>-105575</formula>
    </cfRule>
  </conditionalFormatting>
  <conditionalFormatting sqref="BB260:BB262">
    <cfRule type="cellIs" dxfId="30113" priority="783" operator="lessThan">
      <formula>0</formula>
    </cfRule>
    <cfRule type="cellIs" dxfId="30112" priority="784" operator="lessThan">
      <formula>-105575</formula>
    </cfRule>
  </conditionalFormatting>
  <conditionalFormatting sqref="BB260:BB262">
    <cfRule type="cellIs" dxfId="30111" priority="781" operator="lessThan">
      <formula>0</formula>
    </cfRule>
    <cfRule type="cellIs" dxfId="30110" priority="782" operator="lessThan">
      <formula>-105575</formula>
    </cfRule>
  </conditionalFormatting>
  <conditionalFormatting sqref="BB260:BB262">
    <cfRule type="cellIs" dxfId="30109" priority="779" operator="lessThan">
      <formula>0</formula>
    </cfRule>
    <cfRule type="cellIs" dxfId="30108" priority="780" operator="lessThan">
      <formula>-105575</formula>
    </cfRule>
  </conditionalFormatting>
  <conditionalFormatting sqref="BB260:BB262">
    <cfRule type="cellIs" dxfId="30107" priority="777" operator="lessThan">
      <formula>0</formula>
    </cfRule>
    <cfRule type="cellIs" dxfId="30106" priority="778" operator="lessThan">
      <formula>-105575</formula>
    </cfRule>
  </conditionalFormatting>
  <conditionalFormatting sqref="BB260:BB262">
    <cfRule type="cellIs" dxfId="30105" priority="775" operator="lessThan">
      <formula>0</formula>
    </cfRule>
    <cfRule type="cellIs" dxfId="30104" priority="776" operator="lessThan">
      <formula>-105575</formula>
    </cfRule>
  </conditionalFormatting>
  <conditionalFormatting sqref="BB260:BB262">
    <cfRule type="cellIs" dxfId="30103" priority="773" operator="lessThan">
      <formula>0</formula>
    </cfRule>
    <cfRule type="cellIs" dxfId="30102" priority="774" operator="lessThan">
      <formula>-105575</formula>
    </cfRule>
  </conditionalFormatting>
  <conditionalFormatting sqref="BB264:BB267">
    <cfRule type="cellIs" dxfId="30101" priority="771" operator="lessThan">
      <formula>0</formula>
    </cfRule>
    <cfRule type="cellIs" dxfId="30100" priority="772" operator="lessThan">
      <formula>-105575</formula>
    </cfRule>
  </conditionalFormatting>
  <conditionalFormatting sqref="BB264:BB267">
    <cfRule type="cellIs" dxfId="30099" priority="769" operator="lessThan">
      <formula>0</formula>
    </cfRule>
    <cfRule type="cellIs" dxfId="30098" priority="770" operator="lessThan">
      <formula>-105575</formula>
    </cfRule>
  </conditionalFormatting>
  <conditionalFormatting sqref="BB264:BB267">
    <cfRule type="cellIs" dxfId="30097" priority="767" operator="lessThan">
      <formula>0</formula>
    </cfRule>
    <cfRule type="cellIs" dxfId="30096" priority="768" operator="lessThan">
      <formula>-105575</formula>
    </cfRule>
  </conditionalFormatting>
  <conditionalFormatting sqref="BB264:BB267">
    <cfRule type="cellIs" dxfId="30095" priority="765" operator="lessThan">
      <formula>0</formula>
    </cfRule>
    <cfRule type="cellIs" dxfId="30094" priority="766" operator="lessThan">
      <formula>-105575</formula>
    </cfRule>
  </conditionalFormatting>
  <conditionalFormatting sqref="BB264:BB267">
    <cfRule type="cellIs" dxfId="30093" priority="763" operator="lessThan">
      <formula>0</formula>
    </cfRule>
    <cfRule type="cellIs" dxfId="30092" priority="764" operator="lessThan">
      <formula>-105575</formula>
    </cfRule>
  </conditionalFormatting>
  <conditionalFormatting sqref="BB264:BB267">
    <cfRule type="cellIs" dxfId="30091" priority="761" operator="lessThan">
      <formula>0</formula>
    </cfRule>
    <cfRule type="cellIs" dxfId="30090" priority="762" operator="lessThan">
      <formula>-105575</formula>
    </cfRule>
  </conditionalFormatting>
  <conditionalFormatting sqref="BB264:BB267">
    <cfRule type="cellIs" dxfId="30089" priority="759" operator="lessThan">
      <formula>0</formula>
    </cfRule>
    <cfRule type="cellIs" dxfId="30088" priority="760" operator="lessThan">
      <formula>-105575</formula>
    </cfRule>
  </conditionalFormatting>
  <conditionalFormatting sqref="BB264:BB267">
    <cfRule type="cellIs" dxfId="30087" priority="757" operator="lessThan">
      <formula>0</formula>
    </cfRule>
    <cfRule type="cellIs" dxfId="30086" priority="758" operator="lessThan">
      <formula>-105575</formula>
    </cfRule>
  </conditionalFormatting>
  <conditionalFormatting sqref="BB264:BB267">
    <cfRule type="cellIs" dxfId="30085" priority="755" operator="lessThan">
      <formula>0</formula>
    </cfRule>
    <cfRule type="cellIs" dxfId="30084" priority="756" operator="lessThan">
      <formula>-105575</formula>
    </cfRule>
  </conditionalFormatting>
  <conditionalFormatting sqref="BB270:BB272">
    <cfRule type="cellIs" dxfId="30083" priority="753" operator="lessThan">
      <formula>0</formula>
    </cfRule>
    <cfRule type="cellIs" dxfId="30082" priority="754" operator="lessThan">
      <formula>-105575</formula>
    </cfRule>
  </conditionalFormatting>
  <conditionalFormatting sqref="BB270:BB272">
    <cfRule type="cellIs" dxfId="30081" priority="751" operator="lessThan">
      <formula>0</formula>
    </cfRule>
    <cfRule type="cellIs" dxfId="30080" priority="752" operator="lessThan">
      <formula>-105575</formula>
    </cfRule>
  </conditionalFormatting>
  <conditionalFormatting sqref="BB270:BB272">
    <cfRule type="cellIs" dxfId="30079" priority="749" operator="lessThan">
      <formula>0</formula>
    </cfRule>
    <cfRule type="cellIs" dxfId="30078" priority="750" operator="lessThan">
      <formula>-105575</formula>
    </cfRule>
  </conditionalFormatting>
  <conditionalFormatting sqref="BB270:BB272">
    <cfRule type="cellIs" dxfId="30077" priority="747" operator="lessThan">
      <formula>0</formula>
    </cfRule>
    <cfRule type="cellIs" dxfId="30076" priority="748" operator="lessThan">
      <formula>-105575</formula>
    </cfRule>
  </conditionalFormatting>
  <conditionalFormatting sqref="BB270:BB272">
    <cfRule type="cellIs" dxfId="30075" priority="745" operator="lessThan">
      <formula>0</formula>
    </cfRule>
    <cfRule type="cellIs" dxfId="30074" priority="746" operator="lessThan">
      <formula>-105575</formula>
    </cfRule>
  </conditionalFormatting>
  <conditionalFormatting sqref="BB270:BB272">
    <cfRule type="cellIs" dxfId="30073" priority="743" operator="lessThan">
      <formula>0</formula>
    </cfRule>
    <cfRule type="cellIs" dxfId="30072" priority="744" operator="lessThan">
      <formula>-105575</formula>
    </cfRule>
  </conditionalFormatting>
  <conditionalFormatting sqref="BB270:BB272">
    <cfRule type="cellIs" dxfId="30071" priority="741" operator="lessThan">
      <formula>0</formula>
    </cfRule>
    <cfRule type="cellIs" dxfId="30070" priority="742" operator="lessThan">
      <formula>-105575</formula>
    </cfRule>
  </conditionalFormatting>
  <conditionalFormatting sqref="BB270:BB272">
    <cfRule type="cellIs" dxfId="30069" priority="739" operator="lessThan">
      <formula>0</formula>
    </cfRule>
    <cfRule type="cellIs" dxfId="30068" priority="740" operator="lessThan">
      <formula>-105575</formula>
    </cfRule>
  </conditionalFormatting>
  <conditionalFormatting sqref="BB270:BB272">
    <cfRule type="cellIs" dxfId="30067" priority="737" operator="lessThan">
      <formula>0</formula>
    </cfRule>
    <cfRule type="cellIs" dxfId="30066" priority="738" operator="lessThan">
      <formula>-105575</formula>
    </cfRule>
  </conditionalFormatting>
  <conditionalFormatting sqref="BB274:BB275">
    <cfRule type="cellIs" dxfId="30065" priority="735" operator="lessThan">
      <formula>0</formula>
    </cfRule>
    <cfRule type="cellIs" dxfId="30064" priority="736" operator="lessThan">
      <formula>-105575</formula>
    </cfRule>
  </conditionalFormatting>
  <conditionalFormatting sqref="BB274:BB275">
    <cfRule type="cellIs" dxfId="30063" priority="733" operator="lessThan">
      <formula>0</formula>
    </cfRule>
    <cfRule type="cellIs" dxfId="30062" priority="734" operator="lessThan">
      <formula>-105575</formula>
    </cfRule>
  </conditionalFormatting>
  <conditionalFormatting sqref="BB274:BB275">
    <cfRule type="cellIs" dxfId="30061" priority="731" operator="lessThan">
      <formula>0</formula>
    </cfRule>
    <cfRule type="cellIs" dxfId="30060" priority="732" operator="lessThan">
      <formula>-105575</formula>
    </cfRule>
  </conditionalFormatting>
  <conditionalFormatting sqref="BB274:BB275">
    <cfRule type="cellIs" dxfId="30059" priority="729" operator="lessThan">
      <formula>0</formula>
    </cfRule>
    <cfRule type="cellIs" dxfId="30058" priority="730" operator="lessThan">
      <formula>-105575</formula>
    </cfRule>
  </conditionalFormatting>
  <conditionalFormatting sqref="BB274:BB275">
    <cfRule type="cellIs" dxfId="30057" priority="727" operator="lessThan">
      <formula>0</formula>
    </cfRule>
    <cfRule type="cellIs" dxfId="30056" priority="728" operator="lessThan">
      <formula>-105575</formula>
    </cfRule>
  </conditionalFormatting>
  <conditionalFormatting sqref="BB274:BB275">
    <cfRule type="cellIs" dxfId="30055" priority="725" operator="lessThan">
      <formula>0</formula>
    </cfRule>
    <cfRule type="cellIs" dxfId="30054" priority="726" operator="lessThan">
      <formula>-105575</formula>
    </cfRule>
  </conditionalFormatting>
  <conditionalFormatting sqref="BB274:BB275">
    <cfRule type="cellIs" dxfId="30053" priority="723" operator="lessThan">
      <formula>0</formula>
    </cfRule>
    <cfRule type="cellIs" dxfId="30052" priority="724" operator="lessThan">
      <formula>-105575</formula>
    </cfRule>
  </conditionalFormatting>
  <conditionalFormatting sqref="BB274:BB275">
    <cfRule type="cellIs" dxfId="30051" priority="721" operator="lessThan">
      <formula>0</formula>
    </cfRule>
    <cfRule type="cellIs" dxfId="30050" priority="722" operator="lessThan">
      <formula>-105575</formula>
    </cfRule>
  </conditionalFormatting>
  <conditionalFormatting sqref="BB274:BB275">
    <cfRule type="cellIs" dxfId="30049" priority="719" operator="lessThan">
      <formula>0</formula>
    </cfRule>
    <cfRule type="cellIs" dxfId="30048" priority="720" operator="lessThan">
      <formula>-105575</formula>
    </cfRule>
  </conditionalFormatting>
  <conditionalFormatting sqref="BB278:BB282">
    <cfRule type="cellIs" dxfId="30047" priority="717" operator="lessThan">
      <formula>0</formula>
    </cfRule>
    <cfRule type="cellIs" dxfId="30046" priority="718" operator="lessThan">
      <formula>-105575</formula>
    </cfRule>
  </conditionalFormatting>
  <conditionalFormatting sqref="BB278:BB282">
    <cfRule type="cellIs" dxfId="30045" priority="715" operator="lessThan">
      <formula>0</formula>
    </cfRule>
    <cfRule type="cellIs" dxfId="30044" priority="716" operator="lessThan">
      <formula>-105575</formula>
    </cfRule>
  </conditionalFormatting>
  <conditionalFormatting sqref="BB278:BB282">
    <cfRule type="cellIs" dxfId="30043" priority="713" operator="lessThan">
      <formula>0</formula>
    </cfRule>
    <cfRule type="cellIs" dxfId="30042" priority="714" operator="lessThan">
      <formula>-105575</formula>
    </cfRule>
  </conditionalFormatting>
  <conditionalFormatting sqref="BB278:BB282">
    <cfRule type="cellIs" dxfId="30041" priority="711" operator="lessThan">
      <formula>0</formula>
    </cfRule>
    <cfRule type="cellIs" dxfId="30040" priority="712" operator="lessThan">
      <formula>-105575</formula>
    </cfRule>
  </conditionalFormatting>
  <conditionalFormatting sqref="BB278:BB282">
    <cfRule type="cellIs" dxfId="30039" priority="709" operator="lessThan">
      <formula>0</formula>
    </cfRule>
    <cfRule type="cellIs" dxfId="30038" priority="710" operator="lessThan">
      <formula>-105575</formula>
    </cfRule>
  </conditionalFormatting>
  <conditionalFormatting sqref="BB278:BB282">
    <cfRule type="cellIs" dxfId="30037" priority="707" operator="lessThan">
      <formula>0</formula>
    </cfRule>
    <cfRule type="cellIs" dxfId="30036" priority="708" operator="lessThan">
      <formula>-105575</formula>
    </cfRule>
  </conditionalFormatting>
  <conditionalFormatting sqref="BB278:BB282">
    <cfRule type="cellIs" dxfId="30035" priority="705" operator="lessThan">
      <formula>0</formula>
    </cfRule>
    <cfRule type="cellIs" dxfId="30034" priority="706" operator="lessThan">
      <formula>-105575</formula>
    </cfRule>
  </conditionalFormatting>
  <conditionalFormatting sqref="BB278:BB282">
    <cfRule type="cellIs" dxfId="30033" priority="703" operator="lessThan">
      <formula>0</formula>
    </cfRule>
    <cfRule type="cellIs" dxfId="30032" priority="704" operator="lessThan">
      <formula>-105575</formula>
    </cfRule>
  </conditionalFormatting>
  <conditionalFormatting sqref="BB278:BB282">
    <cfRule type="cellIs" dxfId="30031" priority="701" operator="lessThan">
      <formula>0</formula>
    </cfRule>
    <cfRule type="cellIs" dxfId="30030" priority="702" operator="lessThan">
      <formula>-105575</formula>
    </cfRule>
  </conditionalFormatting>
  <conditionalFormatting sqref="BB285:BB288">
    <cfRule type="cellIs" dxfId="30029" priority="699" operator="lessThan">
      <formula>0</formula>
    </cfRule>
    <cfRule type="cellIs" dxfId="30028" priority="700" operator="lessThan">
      <formula>-105575</formula>
    </cfRule>
  </conditionalFormatting>
  <conditionalFormatting sqref="BB285:BB288">
    <cfRule type="cellIs" dxfId="30027" priority="697" operator="lessThan">
      <formula>0</formula>
    </cfRule>
    <cfRule type="cellIs" dxfId="30026" priority="698" operator="lessThan">
      <formula>-105575</formula>
    </cfRule>
  </conditionalFormatting>
  <conditionalFormatting sqref="BB285:BB288">
    <cfRule type="cellIs" dxfId="30025" priority="695" operator="lessThan">
      <formula>0</formula>
    </cfRule>
    <cfRule type="cellIs" dxfId="30024" priority="696" operator="lessThan">
      <formula>-105575</formula>
    </cfRule>
  </conditionalFormatting>
  <conditionalFormatting sqref="BB285:BB288">
    <cfRule type="cellIs" dxfId="30023" priority="693" operator="lessThan">
      <formula>0</formula>
    </cfRule>
    <cfRule type="cellIs" dxfId="30022" priority="694" operator="lessThan">
      <formula>-105575</formula>
    </cfRule>
  </conditionalFormatting>
  <conditionalFormatting sqref="BB285:BB288">
    <cfRule type="cellIs" dxfId="30021" priority="691" operator="lessThan">
      <formula>0</formula>
    </cfRule>
    <cfRule type="cellIs" dxfId="30020" priority="692" operator="lessThan">
      <formula>-105575</formula>
    </cfRule>
  </conditionalFormatting>
  <conditionalFormatting sqref="BB285:BB288">
    <cfRule type="cellIs" dxfId="30019" priority="689" operator="lessThan">
      <formula>0</formula>
    </cfRule>
    <cfRule type="cellIs" dxfId="30018" priority="690" operator="lessThan">
      <formula>-105575</formula>
    </cfRule>
  </conditionalFormatting>
  <conditionalFormatting sqref="BB285:BB288">
    <cfRule type="cellIs" dxfId="30017" priority="687" operator="lessThan">
      <formula>0</formula>
    </cfRule>
    <cfRule type="cellIs" dxfId="30016" priority="688" operator="lessThan">
      <formula>-105575</formula>
    </cfRule>
  </conditionalFormatting>
  <conditionalFormatting sqref="BB285:BB288">
    <cfRule type="cellIs" dxfId="30015" priority="685" operator="lessThan">
      <formula>0</formula>
    </cfRule>
    <cfRule type="cellIs" dxfId="30014" priority="686" operator="lessThan">
      <formula>-105575</formula>
    </cfRule>
  </conditionalFormatting>
  <conditionalFormatting sqref="BB285:BB288">
    <cfRule type="cellIs" dxfId="30013" priority="683" operator="lessThan">
      <formula>0</formula>
    </cfRule>
    <cfRule type="cellIs" dxfId="30012" priority="684" operator="lessThan">
      <formula>-105575</formula>
    </cfRule>
  </conditionalFormatting>
  <conditionalFormatting sqref="BB203 BB220:BB221 BB235:BB243 BB231:BB233 BB212:BB213 BB225:BB226">
    <cfRule type="cellIs" dxfId="30011" priority="681" operator="lessThan">
      <formula>0</formula>
    </cfRule>
    <cfRule type="cellIs" dxfId="30010" priority="682" operator="lessThan">
      <formula>-105575</formula>
    </cfRule>
  </conditionalFormatting>
  <conditionalFormatting sqref="BB220 BB212:BB213 BB235:BB238 BB240:BB243 BB225:BB226 BB231:BB233">
    <cfRule type="cellIs" dxfId="30009" priority="679" operator="lessThan">
      <formula>0</formula>
    </cfRule>
    <cfRule type="cellIs" dxfId="30008" priority="680" operator="lessThan">
      <formula>-105575</formula>
    </cfRule>
  </conditionalFormatting>
  <conditionalFormatting sqref="BB220:BB221 BB243 BB226 BB231:BB236 BB238:BB241 BB203 BB213">
    <cfRule type="cellIs" dxfId="30007" priority="677" operator="lessThan">
      <formula>0</formula>
    </cfRule>
    <cfRule type="cellIs" dxfId="30006" priority="678" operator="lessThan">
      <formula>-105575</formula>
    </cfRule>
  </conditionalFormatting>
  <conditionalFormatting sqref="BB235:BB243 BB231:BB233 BB220 BB212:BB213 BB225:BB226">
    <cfRule type="cellIs" dxfId="30005" priority="675" operator="lessThan">
      <formula>0</formula>
    </cfRule>
    <cfRule type="cellIs" dxfId="30004" priority="676" operator="lessThan">
      <formula>-105575</formula>
    </cfRule>
  </conditionalFormatting>
  <conditionalFormatting sqref="BB220:BB221 BB237:BB243 BB203 BB231:BB235 BB212:BB213 BB225:BB226">
    <cfRule type="cellIs" dxfId="30003" priority="673" operator="lessThan">
      <formula>0</formula>
    </cfRule>
    <cfRule type="cellIs" dxfId="30002" priority="674" operator="lessThan">
      <formula>-105575</formula>
    </cfRule>
  </conditionalFormatting>
  <conditionalFormatting sqref="BB220:BB221 BB237:BB240 BB242:BB243 BB225:BB226 BB231:BB235">
    <cfRule type="cellIs" dxfId="30001" priority="671" operator="lessThan">
      <formula>0</formula>
    </cfRule>
    <cfRule type="cellIs" dxfId="30000" priority="672" operator="lessThan">
      <formula>-105575</formula>
    </cfRule>
  </conditionalFormatting>
  <conditionalFormatting sqref="BB212 BB231 BB233:BB238 BB240:BB243 BB225">
    <cfRule type="cellIs" dxfId="29999" priority="669" operator="lessThan">
      <formula>0</formula>
    </cfRule>
    <cfRule type="cellIs" dxfId="29998" priority="670" operator="lessThan">
      <formula>-105575</formula>
    </cfRule>
  </conditionalFormatting>
  <conditionalFormatting sqref="BB237:BB243 BB231:BB235 BB220:BB221 BB225:BB226">
    <cfRule type="cellIs" dxfId="29997" priority="667" operator="lessThan">
      <formula>0</formula>
    </cfRule>
    <cfRule type="cellIs" dxfId="29996" priority="668" operator="lessThan">
      <formula>-105575</formula>
    </cfRule>
  </conditionalFormatting>
  <conditionalFormatting sqref="BB233:BB237 BB231 BB239:BB243">
    <cfRule type="cellIs" dxfId="29995" priority="665" operator="lessThan">
      <formula>0</formula>
    </cfRule>
    <cfRule type="cellIs" dxfId="29994" priority="666" operator="lessThan">
      <formula>-105575</formula>
    </cfRule>
  </conditionalFormatting>
  <conditionalFormatting sqref="BB233:BB237 BB231 BB239:BB243">
    <cfRule type="cellIs" dxfId="29993" priority="663" operator="lessThan">
      <formula>0</formula>
    </cfRule>
    <cfRule type="cellIs" dxfId="29992" priority="664" operator="lessThan">
      <formula>-105575</formula>
    </cfRule>
  </conditionalFormatting>
  <conditionalFormatting sqref="BB119:BB128 BB101:BB104 BB107:BB110 BB112:BB117 BB80:BB98">
    <cfRule type="cellIs" dxfId="29991" priority="661" operator="lessThan">
      <formula>0</formula>
    </cfRule>
    <cfRule type="cellIs" dxfId="29990" priority="662" operator="lessThan">
      <formula>-105575</formula>
    </cfRule>
  </conditionalFormatting>
  <conditionalFormatting sqref="BB130 BB132 BB134">
    <cfRule type="cellIs" dxfId="29989" priority="659" operator="lessThan">
      <formula>0</formula>
    </cfRule>
    <cfRule type="cellIs" dxfId="29988" priority="660" operator="lessThan">
      <formula>-105575</formula>
    </cfRule>
  </conditionalFormatting>
  <conditionalFormatting sqref="BB130 BB132 BB134">
    <cfRule type="cellIs" dxfId="29987" priority="657" operator="lessThan">
      <formula>0</formula>
    </cfRule>
    <cfRule type="cellIs" dxfId="29986" priority="658" operator="lessThan">
      <formula>-105575</formula>
    </cfRule>
  </conditionalFormatting>
  <conditionalFormatting sqref="BB129 BB131 BB133 BB135">
    <cfRule type="cellIs" dxfId="29985" priority="655" operator="lessThan">
      <formula>0</formula>
    </cfRule>
    <cfRule type="cellIs" dxfId="29984" priority="656" operator="lessThan">
      <formula>-105575</formula>
    </cfRule>
  </conditionalFormatting>
  <conditionalFormatting sqref="BB140 BB145 BB142:BB143 BB137:BB138">
    <cfRule type="cellIs" dxfId="29983" priority="653" operator="lessThan">
      <formula>0</formula>
    </cfRule>
    <cfRule type="cellIs" dxfId="29982" priority="654" operator="lessThan">
      <formula>-105575</formula>
    </cfRule>
  </conditionalFormatting>
  <conditionalFormatting sqref="BB149">
    <cfRule type="cellIs" dxfId="29981" priority="651" operator="lessThan">
      <formula>0</formula>
    </cfRule>
    <cfRule type="cellIs" dxfId="29980" priority="652" operator="lessThan">
      <formula>-105575</formula>
    </cfRule>
  </conditionalFormatting>
  <conditionalFormatting sqref="BB129:BB138 BB140:BB149">
    <cfRule type="cellIs" dxfId="29979" priority="649" operator="lessThan">
      <formula>0</formula>
    </cfRule>
    <cfRule type="cellIs" dxfId="29978" priority="650" operator="lessThan">
      <formula>-105575</formula>
    </cfRule>
  </conditionalFormatting>
  <conditionalFormatting sqref="BB86:BB87 BB89:BB91 BB141:BB149 BB124:BB133 BB107:BB110 BB112:BB117 BB119:BB122 BB135:BB138 BB101:BB104 BB80:BB84 BB94:BB98">
    <cfRule type="cellIs" dxfId="29977" priority="647" operator="lessThan">
      <formula>0</formula>
    </cfRule>
    <cfRule type="cellIs" dxfId="29976" priority="648" operator="lessThan">
      <formula>-105575</formula>
    </cfRule>
  </conditionalFormatting>
  <conditionalFormatting sqref="BB129 BB131 BB133 BB135">
    <cfRule type="cellIs" dxfId="29975" priority="645" operator="lessThan">
      <formula>0</formula>
    </cfRule>
    <cfRule type="cellIs" dxfId="29974" priority="646" operator="lessThan">
      <formula>-105575</formula>
    </cfRule>
  </conditionalFormatting>
  <conditionalFormatting sqref="BB146 BB144 BB141">
    <cfRule type="cellIs" dxfId="29973" priority="643" operator="lessThan">
      <formula>0</formula>
    </cfRule>
    <cfRule type="cellIs" dxfId="29972" priority="644" operator="lessThan">
      <formula>-105575</formula>
    </cfRule>
  </conditionalFormatting>
  <conditionalFormatting sqref="BB146 BB144 BB141">
    <cfRule type="cellIs" dxfId="29971" priority="641" operator="lessThan">
      <formula>0</formula>
    </cfRule>
    <cfRule type="cellIs" dxfId="29970" priority="642" operator="lessThan">
      <formula>-105575</formula>
    </cfRule>
  </conditionalFormatting>
  <conditionalFormatting sqref="BB140 BB145 BB142:BB143 BB137:BB138">
    <cfRule type="cellIs" dxfId="29969" priority="639" operator="lessThan">
      <formula>0</formula>
    </cfRule>
    <cfRule type="cellIs" dxfId="29968" priority="640" operator="lessThan">
      <formula>-105575</formula>
    </cfRule>
  </conditionalFormatting>
  <conditionalFormatting sqref="BB149">
    <cfRule type="cellIs" dxfId="29967" priority="637" operator="lessThan">
      <formula>0</formula>
    </cfRule>
    <cfRule type="cellIs" dxfId="29966" priority="638" operator="lessThan">
      <formula>-105575</formula>
    </cfRule>
  </conditionalFormatting>
  <conditionalFormatting sqref="BB86:BB87 BB89:BB91 BB141:BB149 BB124:BB133 BB107:BB110 BB112:BB117 BB119:BB122 BB135:BB138 BB101:BB104 BB80:BB84 BB94:BB98">
    <cfRule type="cellIs" dxfId="29965" priority="635" operator="lessThan">
      <formula>0</formula>
    </cfRule>
    <cfRule type="cellIs" dxfId="29964" priority="636" operator="lessThan">
      <formula>-105575</formula>
    </cfRule>
  </conditionalFormatting>
  <conditionalFormatting sqref="BB62:BB76 BB306:BB309 BB311:BB325 BB327:BB330 BB332:BB341 BB344:BB347 BB349:BB353 BB355:BB358 BB360:BB384 BB386:BB389 BB392:BB395 BB397:BB411 BB413:BB416 BB418:BB432 BB434:BB437 BB439:BB453 BB455:BB458 BB460:BB469 BB7:BB10 BB12:BB14 BB17:BB18 BB21:BB24 BB26:BB28 BB30:BB36 BB38 BB41:BB43 BB46:BB49 BB51:BB55 BB57:BB59 BB290:BB291 BB293:BB304">
    <cfRule type="cellIs" dxfId="29963" priority="633" operator="lessThan">
      <formula>0</formula>
    </cfRule>
    <cfRule type="cellIs" dxfId="29962" priority="634" operator="lessThan">
      <formula>-105575</formula>
    </cfRule>
  </conditionalFormatting>
  <conditionalFormatting sqref="BB41">
    <cfRule type="cellIs" dxfId="29961" priority="631" operator="lessThan">
      <formula>0</formula>
    </cfRule>
    <cfRule type="cellIs" dxfId="29960" priority="632" operator="lessThan">
      <formula>-105575</formula>
    </cfRule>
  </conditionalFormatting>
  <conditionalFormatting sqref="BB152:BB155">
    <cfRule type="cellIs" dxfId="29959" priority="629" operator="lessThan">
      <formula>0</formula>
    </cfRule>
    <cfRule type="cellIs" dxfId="29958" priority="630" operator="lessThan">
      <formula>-105575</formula>
    </cfRule>
  </conditionalFormatting>
  <conditionalFormatting sqref="BB152:BB155">
    <cfRule type="cellIs" dxfId="29957" priority="627" operator="lessThan">
      <formula>0</formula>
    </cfRule>
    <cfRule type="cellIs" dxfId="29956" priority="628" operator="lessThan">
      <formula>-105575</formula>
    </cfRule>
  </conditionalFormatting>
  <conditionalFormatting sqref="BB152:BB155">
    <cfRule type="cellIs" dxfId="29955" priority="625" operator="lessThan">
      <formula>0</formula>
    </cfRule>
    <cfRule type="cellIs" dxfId="29954" priority="626" operator="lessThan">
      <formula>-105575</formula>
    </cfRule>
  </conditionalFormatting>
  <conditionalFormatting sqref="BB157:BB158">
    <cfRule type="cellIs" dxfId="29953" priority="623" operator="lessThan">
      <formula>0</formula>
    </cfRule>
    <cfRule type="cellIs" dxfId="29952" priority="624" operator="lessThan">
      <formula>-105575</formula>
    </cfRule>
  </conditionalFormatting>
  <conditionalFormatting sqref="BB157:BB158">
    <cfRule type="cellIs" dxfId="29951" priority="621" operator="lessThan">
      <formula>0</formula>
    </cfRule>
    <cfRule type="cellIs" dxfId="29950" priority="622" operator="lessThan">
      <formula>-105575</formula>
    </cfRule>
  </conditionalFormatting>
  <conditionalFormatting sqref="BB157:BB158">
    <cfRule type="cellIs" dxfId="29949" priority="619" operator="lessThan">
      <formula>0</formula>
    </cfRule>
    <cfRule type="cellIs" dxfId="29948" priority="620" operator="lessThan">
      <formula>-105575</formula>
    </cfRule>
  </conditionalFormatting>
  <conditionalFormatting sqref="BB160:BB161">
    <cfRule type="cellIs" dxfId="29947" priority="617" operator="lessThan">
      <formula>0</formula>
    </cfRule>
    <cfRule type="cellIs" dxfId="29946" priority="618" operator="lessThan">
      <formula>-105575</formula>
    </cfRule>
  </conditionalFormatting>
  <conditionalFormatting sqref="BB160:BB161">
    <cfRule type="cellIs" dxfId="29945" priority="615" operator="lessThan">
      <formula>0</formula>
    </cfRule>
    <cfRule type="cellIs" dxfId="29944" priority="616" operator="lessThan">
      <formula>-105575</formula>
    </cfRule>
  </conditionalFormatting>
  <conditionalFormatting sqref="BB160:BB161">
    <cfRule type="cellIs" dxfId="29943" priority="613" operator="lessThan">
      <formula>0</formula>
    </cfRule>
    <cfRule type="cellIs" dxfId="29942" priority="614" operator="lessThan">
      <formula>-105575</formula>
    </cfRule>
  </conditionalFormatting>
  <conditionalFormatting sqref="BB164:BB167">
    <cfRule type="cellIs" dxfId="29941" priority="611" operator="lessThan">
      <formula>0</formula>
    </cfRule>
    <cfRule type="cellIs" dxfId="29940" priority="612" operator="lessThan">
      <formula>-105575</formula>
    </cfRule>
  </conditionalFormatting>
  <conditionalFormatting sqref="BB164:BB167">
    <cfRule type="cellIs" dxfId="29939" priority="609" operator="lessThan">
      <formula>0</formula>
    </cfRule>
    <cfRule type="cellIs" dxfId="29938" priority="610" operator="lessThan">
      <formula>-105575</formula>
    </cfRule>
  </conditionalFormatting>
  <conditionalFormatting sqref="BB164:BB167">
    <cfRule type="cellIs" dxfId="29937" priority="607" operator="lessThan">
      <formula>0</formula>
    </cfRule>
    <cfRule type="cellIs" dxfId="29936" priority="608" operator="lessThan">
      <formula>-105575</formula>
    </cfRule>
  </conditionalFormatting>
  <conditionalFormatting sqref="BB169:BB177">
    <cfRule type="cellIs" dxfId="29935" priority="605" operator="lessThan">
      <formula>0</formula>
    </cfRule>
    <cfRule type="cellIs" dxfId="29934" priority="606" operator="lessThan">
      <formula>-105575</formula>
    </cfRule>
  </conditionalFormatting>
  <conditionalFormatting sqref="BB169:BB177">
    <cfRule type="cellIs" dxfId="29933" priority="603" operator="lessThan">
      <formula>0</formula>
    </cfRule>
    <cfRule type="cellIs" dxfId="29932" priority="604" operator="lessThan">
      <formula>-105575</formula>
    </cfRule>
  </conditionalFormatting>
  <conditionalFormatting sqref="BB169:BB177">
    <cfRule type="cellIs" dxfId="29931" priority="601" operator="lessThan">
      <formula>0</formula>
    </cfRule>
    <cfRule type="cellIs" dxfId="29930" priority="602" operator="lessThan">
      <formula>-105575</formula>
    </cfRule>
  </conditionalFormatting>
  <conditionalFormatting sqref="BB179:BB180">
    <cfRule type="cellIs" dxfId="29929" priority="599" operator="lessThan">
      <formula>0</formula>
    </cfRule>
    <cfRule type="cellIs" dxfId="29928" priority="600" operator="lessThan">
      <formula>-105575</formula>
    </cfRule>
  </conditionalFormatting>
  <conditionalFormatting sqref="BB179:BB180">
    <cfRule type="cellIs" dxfId="29927" priority="597" operator="lessThan">
      <formula>0</formula>
    </cfRule>
    <cfRule type="cellIs" dxfId="29926" priority="598" operator="lessThan">
      <formula>-105575</formula>
    </cfRule>
  </conditionalFormatting>
  <conditionalFormatting sqref="BB179:BB180">
    <cfRule type="cellIs" dxfId="29925" priority="595" operator="lessThan">
      <formula>0</formula>
    </cfRule>
    <cfRule type="cellIs" dxfId="29924" priority="596" operator="lessThan">
      <formula>-105575</formula>
    </cfRule>
  </conditionalFormatting>
  <conditionalFormatting sqref="BB183:BB189">
    <cfRule type="cellIs" dxfId="29923" priority="593" operator="lessThan">
      <formula>0</formula>
    </cfRule>
    <cfRule type="cellIs" dxfId="29922" priority="594" operator="lessThan">
      <formula>-105575</formula>
    </cfRule>
  </conditionalFormatting>
  <conditionalFormatting sqref="BB183:BB189">
    <cfRule type="cellIs" dxfId="29921" priority="591" operator="lessThan">
      <formula>0</formula>
    </cfRule>
    <cfRule type="cellIs" dxfId="29920" priority="592" operator="lessThan">
      <formula>-105575</formula>
    </cfRule>
  </conditionalFormatting>
  <conditionalFormatting sqref="BB183:BB189">
    <cfRule type="cellIs" dxfId="29919" priority="589" operator="lessThan">
      <formula>0</formula>
    </cfRule>
    <cfRule type="cellIs" dxfId="29918" priority="590" operator="lessThan">
      <formula>-105575</formula>
    </cfRule>
  </conditionalFormatting>
  <conditionalFormatting sqref="BB191:BB192">
    <cfRule type="cellIs" dxfId="29917" priority="587" operator="lessThan">
      <formula>0</formula>
    </cfRule>
    <cfRule type="cellIs" dxfId="29916" priority="588" operator="lessThan">
      <formula>-105575</formula>
    </cfRule>
  </conditionalFormatting>
  <conditionalFormatting sqref="BB191:BB192">
    <cfRule type="cellIs" dxfId="29915" priority="585" operator="lessThan">
      <formula>0</formula>
    </cfRule>
    <cfRule type="cellIs" dxfId="29914" priority="586" operator="lessThan">
      <formula>-105575</formula>
    </cfRule>
  </conditionalFormatting>
  <conditionalFormatting sqref="BB191:BB192">
    <cfRule type="cellIs" dxfId="29913" priority="583" operator="lessThan">
      <formula>0</formula>
    </cfRule>
    <cfRule type="cellIs" dxfId="29912" priority="584" operator="lessThan">
      <formula>-105575</formula>
    </cfRule>
  </conditionalFormatting>
  <conditionalFormatting sqref="BB194:BB195">
    <cfRule type="cellIs" dxfId="29911" priority="581" operator="lessThan">
      <formula>0</formula>
    </cfRule>
    <cfRule type="cellIs" dxfId="29910" priority="582" operator="lessThan">
      <formula>-105575</formula>
    </cfRule>
  </conditionalFormatting>
  <conditionalFormatting sqref="BB194:BB195">
    <cfRule type="cellIs" dxfId="29909" priority="579" operator="lessThan">
      <formula>0</formula>
    </cfRule>
    <cfRule type="cellIs" dxfId="29908" priority="580" operator="lessThan">
      <formula>-105575</formula>
    </cfRule>
  </conditionalFormatting>
  <conditionalFormatting sqref="BB194:BB195">
    <cfRule type="cellIs" dxfId="29907" priority="577" operator="lessThan">
      <formula>0</formula>
    </cfRule>
    <cfRule type="cellIs" dxfId="29906" priority="578" operator="lessThan">
      <formula>-105575</formula>
    </cfRule>
  </conditionalFormatting>
  <conditionalFormatting sqref="BB199:BB202">
    <cfRule type="cellIs" dxfId="29905" priority="575" operator="lessThan">
      <formula>0</formula>
    </cfRule>
    <cfRule type="cellIs" dxfId="29904" priority="576" operator="lessThan">
      <formula>-105575</formula>
    </cfRule>
  </conditionalFormatting>
  <conditionalFormatting sqref="BB199:BB202">
    <cfRule type="cellIs" dxfId="29903" priority="573" operator="lessThan">
      <formula>0</formula>
    </cfRule>
    <cfRule type="cellIs" dxfId="29902" priority="574" operator="lessThan">
      <formula>-105575</formula>
    </cfRule>
  </conditionalFormatting>
  <conditionalFormatting sqref="BB199:BB202">
    <cfRule type="cellIs" dxfId="29901" priority="571" operator="lessThan">
      <formula>0</formula>
    </cfRule>
    <cfRule type="cellIs" dxfId="29900" priority="572" operator="lessThan">
      <formula>-105575</formula>
    </cfRule>
  </conditionalFormatting>
  <conditionalFormatting sqref="BB204:BB208">
    <cfRule type="cellIs" dxfId="29899" priority="569" operator="lessThan">
      <formula>0</formula>
    </cfRule>
    <cfRule type="cellIs" dxfId="29898" priority="570" operator="lessThan">
      <formula>-105575</formula>
    </cfRule>
  </conditionalFormatting>
  <conditionalFormatting sqref="BB204:BB208">
    <cfRule type="cellIs" dxfId="29897" priority="567" operator="lessThan">
      <formula>0</formula>
    </cfRule>
    <cfRule type="cellIs" dxfId="29896" priority="568" operator="lessThan">
      <formula>-105575</formula>
    </cfRule>
  </conditionalFormatting>
  <conditionalFormatting sqref="BB204:BB208">
    <cfRule type="cellIs" dxfId="29895" priority="565" operator="lessThan">
      <formula>0</formula>
    </cfRule>
    <cfRule type="cellIs" dxfId="29894" priority="566" operator="lessThan">
      <formula>-105575</formula>
    </cfRule>
  </conditionalFormatting>
  <conditionalFormatting sqref="BB210:BB211">
    <cfRule type="cellIs" dxfId="29893" priority="563" operator="lessThan">
      <formula>0</formula>
    </cfRule>
    <cfRule type="cellIs" dxfId="29892" priority="564" operator="lessThan">
      <formula>-105575</formula>
    </cfRule>
  </conditionalFormatting>
  <conditionalFormatting sqref="BB210:BB211">
    <cfRule type="cellIs" dxfId="29891" priority="561" operator="lessThan">
      <formula>0</formula>
    </cfRule>
    <cfRule type="cellIs" dxfId="29890" priority="562" operator="lessThan">
      <formula>-105575</formula>
    </cfRule>
  </conditionalFormatting>
  <conditionalFormatting sqref="BB210:BB211">
    <cfRule type="cellIs" dxfId="29889" priority="559" operator="lessThan">
      <formula>0</formula>
    </cfRule>
    <cfRule type="cellIs" dxfId="29888" priority="560" operator="lessThan">
      <formula>-105575</formula>
    </cfRule>
  </conditionalFormatting>
  <conditionalFormatting sqref="BB214:BB219">
    <cfRule type="cellIs" dxfId="29887" priority="557" operator="lessThan">
      <formula>0</formula>
    </cfRule>
    <cfRule type="cellIs" dxfId="29886" priority="558" operator="lessThan">
      <formula>-105575</formula>
    </cfRule>
  </conditionalFormatting>
  <conditionalFormatting sqref="BB214:BB219">
    <cfRule type="cellIs" dxfId="29885" priority="555" operator="lessThan">
      <formula>0</formula>
    </cfRule>
    <cfRule type="cellIs" dxfId="29884" priority="556" operator="lessThan">
      <formula>-105575</formula>
    </cfRule>
  </conditionalFormatting>
  <conditionalFormatting sqref="BB214:BB219">
    <cfRule type="cellIs" dxfId="29883" priority="553" operator="lessThan">
      <formula>0</formula>
    </cfRule>
    <cfRule type="cellIs" dxfId="29882" priority="554" operator="lessThan">
      <formula>-105575</formula>
    </cfRule>
  </conditionalFormatting>
  <conditionalFormatting sqref="BB222:BB224">
    <cfRule type="cellIs" dxfId="29881" priority="551" operator="lessThan">
      <formula>0</formula>
    </cfRule>
    <cfRule type="cellIs" dxfId="29880" priority="552" operator="lessThan">
      <formula>-105575</formula>
    </cfRule>
  </conditionalFormatting>
  <conditionalFormatting sqref="BB222:BB224">
    <cfRule type="cellIs" dxfId="29879" priority="549" operator="lessThan">
      <formula>0</formula>
    </cfRule>
    <cfRule type="cellIs" dxfId="29878" priority="550" operator="lessThan">
      <formula>-105575</formula>
    </cfRule>
  </conditionalFormatting>
  <conditionalFormatting sqref="BB222:BB224">
    <cfRule type="cellIs" dxfId="29877" priority="547" operator="lessThan">
      <formula>0</formula>
    </cfRule>
    <cfRule type="cellIs" dxfId="29876" priority="548" operator="lessThan">
      <formula>-105575</formula>
    </cfRule>
  </conditionalFormatting>
  <conditionalFormatting sqref="BB227:BB230">
    <cfRule type="cellIs" dxfId="29875" priority="545" operator="lessThan">
      <formula>0</formula>
    </cfRule>
    <cfRule type="cellIs" dxfId="29874" priority="546" operator="lessThan">
      <formula>-105575</formula>
    </cfRule>
  </conditionalFormatting>
  <conditionalFormatting sqref="BB227:BB230">
    <cfRule type="cellIs" dxfId="29873" priority="543" operator="lessThan">
      <formula>0</formula>
    </cfRule>
    <cfRule type="cellIs" dxfId="29872" priority="544" operator="lessThan">
      <formula>-105575</formula>
    </cfRule>
  </conditionalFormatting>
  <conditionalFormatting sqref="BB227:BB230">
    <cfRule type="cellIs" dxfId="29871" priority="541" operator="lessThan">
      <formula>0</formula>
    </cfRule>
    <cfRule type="cellIs" dxfId="29870" priority="542" operator="lessThan">
      <formula>-105575</formula>
    </cfRule>
  </conditionalFormatting>
  <conditionalFormatting sqref="BB246:BB249">
    <cfRule type="cellIs" dxfId="29869" priority="539" operator="lessThan">
      <formula>0</formula>
    </cfRule>
    <cfRule type="cellIs" dxfId="29868" priority="540" operator="lessThan">
      <formula>-105575</formula>
    </cfRule>
  </conditionalFormatting>
  <conditionalFormatting sqref="BB246:BB249">
    <cfRule type="cellIs" dxfId="29867" priority="537" operator="lessThan">
      <formula>0</formula>
    </cfRule>
    <cfRule type="cellIs" dxfId="29866" priority="538" operator="lessThan">
      <formula>-105575</formula>
    </cfRule>
  </conditionalFormatting>
  <conditionalFormatting sqref="BB246:BB249">
    <cfRule type="cellIs" dxfId="29865" priority="535" operator="lessThan">
      <formula>0</formula>
    </cfRule>
    <cfRule type="cellIs" dxfId="29864" priority="536" operator="lessThan">
      <formula>-105575</formula>
    </cfRule>
  </conditionalFormatting>
  <conditionalFormatting sqref="BB246:BB249">
    <cfRule type="cellIs" dxfId="29863" priority="533" operator="lessThan">
      <formula>0</formula>
    </cfRule>
    <cfRule type="cellIs" dxfId="29862" priority="534" operator="lessThan">
      <formula>-105575</formula>
    </cfRule>
  </conditionalFormatting>
  <conditionalFormatting sqref="BB246:BB249">
    <cfRule type="cellIs" dxfId="29861" priority="531" operator="lessThan">
      <formula>0</formula>
    </cfRule>
    <cfRule type="cellIs" dxfId="29860" priority="532" operator="lessThan">
      <formula>-105575</formula>
    </cfRule>
  </conditionalFormatting>
  <conditionalFormatting sqref="BB246:BB249">
    <cfRule type="cellIs" dxfId="29859" priority="529" operator="lessThan">
      <formula>0</formula>
    </cfRule>
    <cfRule type="cellIs" dxfId="29858" priority="530" operator="lessThan">
      <formula>-105575</formula>
    </cfRule>
  </conditionalFormatting>
  <conditionalFormatting sqref="BB246:BB249">
    <cfRule type="cellIs" dxfId="29857" priority="527" operator="lessThan">
      <formula>0</formula>
    </cfRule>
    <cfRule type="cellIs" dxfId="29856" priority="528" operator="lessThan">
      <formula>-105575</formula>
    </cfRule>
  </conditionalFormatting>
  <conditionalFormatting sqref="BB246:BB249">
    <cfRule type="cellIs" dxfId="29855" priority="525" operator="lessThan">
      <formula>0</formula>
    </cfRule>
    <cfRule type="cellIs" dxfId="29854" priority="526" operator="lessThan">
      <formula>-105575</formula>
    </cfRule>
  </conditionalFormatting>
  <conditionalFormatting sqref="BB246:BB249">
    <cfRule type="cellIs" dxfId="29853" priority="523" operator="lessThan">
      <formula>0</formula>
    </cfRule>
    <cfRule type="cellIs" dxfId="29852" priority="524" operator="lessThan">
      <formula>-105575</formula>
    </cfRule>
  </conditionalFormatting>
  <conditionalFormatting sqref="BB251:BB253">
    <cfRule type="cellIs" dxfId="29851" priority="521" operator="lessThan">
      <formula>0</formula>
    </cfRule>
    <cfRule type="cellIs" dxfId="29850" priority="522" operator="lessThan">
      <formula>-105575</formula>
    </cfRule>
  </conditionalFormatting>
  <conditionalFormatting sqref="BB251:BB253">
    <cfRule type="cellIs" dxfId="29849" priority="519" operator="lessThan">
      <formula>0</formula>
    </cfRule>
    <cfRule type="cellIs" dxfId="29848" priority="520" operator="lessThan">
      <formula>-105575</formula>
    </cfRule>
  </conditionalFormatting>
  <conditionalFormatting sqref="BB251:BB253">
    <cfRule type="cellIs" dxfId="29847" priority="517" operator="lessThan">
      <formula>0</formula>
    </cfRule>
    <cfRule type="cellIs" dxfId="29846" priority="518" operator="lessThan">
      <formula>-105575</formula>
    </cfRule>
  </conditionalFormatting>
  <conditionalFormatting sqref="BB251:BB253">
    <cfRule type="cellIs" dxfId="29845" priority="515" operator="lessThan">
      <formula>0</formula>
    </cfRule>
    <cfRule type="cellIs" dxfId="29844" priority="516" operator="lessThan">
      <formula>-105575</formula>
    </cfRule>
  </conditionalFormatting>
  <conditionalFormatting sqref="BB251:BB253">
    <cfRule type="cellIs" dxfId="29843" priority="513" operator="lessThan">
      <formula>0</formula>
    </cfRule>
    <cfRule type="cellIs" dxfId="29842" priority="514" operator="lessThan">
      <formula>-105575</formula>
    </cfRule>
  </conditionalFormatting>
  <conditionalFormatting sqref="BB251:BB253">
    <cfRule type="cellIs" dxfId="29841" priority="511" operator="lessThan">
      <formula>0</formula>
    </cfRule>
    <cfRule type="cellIs" dxfId="29840" priority="512" operator="lessThan">
      <formula>-105575</formula>
    </cfRule>
  </conditionalFormatting>
  <conditionalFormatting sqref="BB251:BB253">
    <cfRule type="cellIs" dxfId="29839" priority="509" operator="lessThan">
      <formula>0</formula>
    </cfRule>
    <cfRule type="cellIs" dxfId="29838" priority="510" operator="lessThan">
      <formula>-105575</formula>
    </cfRule>
  </conditionalFormatting>
  <conditionalFormatting sqref="BB251:BB253">
    <cfRule type="cellIs" dxfId="29837" priority="507" operator="lessThan">
      <formula>0</formula>
    </cfRule>
    <cfRule type="cellIs" dxfId="29836" priority="508" operator="lessThan">
      <formula>-105575</formula>
    </cfRule>
  </conditionalFormatting>
  <conditionalFormatting sqref="BB251:BB253">
    <cfRule type="cellIs" dxfId="29835" priority="505" operator="lessThan">
      <formula>0</formula>
    </cfRule>
    <cfRule type="cellIs" dxfId="29834" priority="506" operator="lessThan">
      <formula>-105575</formula>
    </cfRule>
  </conditionalFormatting>
  <conditionalFormatting sqref="BB255:BB257">
    <cfRule type="cellIs" dxfId="29833" priority="503" operator="lessThan">
      <formula>0</formula>
    </cfRule>
    <cfRule type="cellIs" dxfId="29832" priority="504" operator="lessThan">
      <formula>-105575</formula>
    </cfRule>
  </conditionalFormatting>
  <conditionalFormatting sqref="BB255:BB257">
    <cfRule type="cellIs" dxfId="29831" priority="501" operator="lessThan">
      <formula>0</formula>
    </cfRule>
    <cfRule type="cellIs" dxfId="29830" priority="502" operator="lessThan">
      <formula>-105575</formula>
    </cfRule>
  </conditionalFormatting>
  <conditionalFormatting sqref="BB255:BB257">
    <cfRule type="cellIs" dxfId="29829" priority="499" operator="lessThan">
      <formula>0</formula>
    </cfRule>
    <cfRule type="cellIs" dxfId="29828" priority="500" operator="lessThan">
      <formula>-105575</formula>
    </cfRule>
  </conditionalFormatting>
  <conditionalFormatting sqref="BB255:BB257">
    <cfRule type="cellIs" dxfId="29827" priority="497" operator="lessThan">
      <formula>0</formula>
    </cfRule>
    <cfRule type="cellIs" dxfId="29826" priority="498" operator="lessThan">
      <formula>-105575</formula>
    </cfRule>
  </conditionalFormatting>
  <conditionalFormatting sqref="BB255:BB257">
    <cfRule type="cellIs" dxfId="29825" priority="495" operator="lessThan">
      <formula>0</formula>
    </cfRule>
    <cfRule type="cellIs" dxfId="29824" priority="496" operator="lessThan">
      <formula>-105575</formula>
    </cfRule>
  </conditionalFormatting>
  <conditionalFormatting sqref="BB255:BB257">
    <cfRule type="cellIs" dxfId="29823" priority="493" operator="lessThan">
      <formula>0</formula>
    </cfRule>
    <cfRule type="cellIs" dxfId="29822" priority="494" operator="lessThan">
      <formula>-105575</formula>
    </cfRule>
  </conditionalFormatting>
  <conditionalFormatting sqref="BB255:BB257">
    <cfRule type="cellIs" dxfId="29821" priority="491" operator="lessThan">
      <formula>0</formula>
    </cfRule>
    <cfRule type="cellIs" dxfId="29820" priority="492" operator="lessThan">
      <formula>-105575</formula>
    </cfRule>
  </conditionalFormatting>
  <conditionalFormatting sqref="BB255:BB257">
    <cfRule type="cellIs" dxfId="29819" priority="489" operator="lessThan">
      <formula>0</formula>
    </cfRule>
    <cfRule type="cellIs" dxfId="29818" priority="490" operator="lessThan">
      <formula>-105575</formula>
    </cfRule>
  </conditionalFormatting>
  <conditionalFormatting sqref="BB255:BB257">
    <cfRule type="cellIs" dxfId="29817" priority="487" operator="lessThan">
      <formula>0</formula>
    </cfRule>
    <cfRule type="cellIs" dxfId="29816" priority="488" operator="lessThan">
      <formula>-105575</formula>
    </cfRule>
  </conditionalFormatting>
  <conditionalFormatting sqref="BB260:BB262">
    <cfRule type="cellIs" dxfId="29815" priority="485" operator="lessThan">
      <formula>0</formula>
    </cfRule>
    <cfRule type="cellIs" dxfId="29814" priority="486" operator="lessThan">
      <formula>-105575</formula>
    </cfRule>
  </conditionalFormatting>
  <conditionalFormatting sqref="BB260:BB262">
    <cfRule type="cellIs" dxfId="29813" priority="483" operator="lessThan">
      <formula>0</formula>
    </cfRule>
    <cfRule type="cellIs" dxfId="29812" priority="484" operator="lessThan">
      <formula>-105575</formula>
    </cfRule>
  </conditionalFormatting>
  <conditionalFormatting sqref="BB260:BB262">
    <cfRule type="cellIs" dxfId="29811" priority="481" operator="lessThan">
      <formula>0</formula>
    </cfRule>
    <cfRule type="cellIs" dxfId="29810" priority="482" operator="lessThan">
      <formula>-105575</formula>
    </cfRule>
  </conditionalFormatting>
  <conditionalFormatting sqref="BB260:BB262">
    <cfRule type="cellIs" dxfId="29809" priority="479" operator="lessThan">
      <formula>0</formula>
    </cfRule>
    <cfRule type="cellIs" dxfId="29808" priority="480" operator="lessThan">
      <formula>-105575</formula>
    </cfRule>
  </conditionalFormatting>
  <conditionalFormatting sqref="BB260:BB262">
    <cfRule type="cellIs" dxfId="29807" priority="477" operator="lessThan">
      <formula>0</formula>
    </cfRule>
    <cfRule type="cellIs" dxfId="29806" priority="478" operator="lessThan">
      <formula>-105575</formula>
    </cfRule>
  </conditionalFormatting>
  <conditionalFormatting sqref="BB260:BB262">
    <cfRule type="cellIs" dxfId="29805" priority="475" operator="lessThan">
      <formula>0</formula>
    </cfRule>
    <cfRule type="cellIs" dxfId="29804" priority="476" operator="lessThan">
      <formula>-105575</formula>
    </cfRule>
  </conditionalFormatting>
  <conditionalFormatting sqref="BB260:BB262">
    <cfRule type="cellIs" dxfId="29803" priority="473" operator="lessThan">
      <formula>0</formula>
    </cfRule>
    <cfRule type="cellIs" dxfId="29802" priority="474" operator="lessThan">
      <formula>-105575</formula>
    </cfRule>
  </conditionalFormatting>
  <conditionalFormatting sqref="BB260:BB262">
    <cfRule type="cellIs" dxfId="29801" priority="471" operator="lessThan">
      <formula>0</formula>
    </cfRule>
    <cfRule type="cellIs" dxfId="29800" priority="472" operator="lessThan">
      <formula>-105575</formula>
    </cfRule>
  </conditionalFormatting>
  <conditionalFormatting sqref="BB260:BB262">
    <cfRule type="cellIs" dxfId="29799" priority="469" operator="lessThan">
      <formula>0</formula>
    </cfRule>
    <cfRule type="cellIs" dxfId="29798" priority="470" operator="lessThan">
      <formula>-105575</formula>
    </cfRule>
  </conditionalFormatting>
  <conditionalFormatting sqref="BB264:BB267">
    <cfRule type="cellIs" dxfId="29797" priority="467" operator="lessThan">
      <formula>0</formula>
    </cfRule>
    <cfRule type="cellIs" dxfId="29796" priority="468" operator="lessThan">
      <formula>-105575</formula>
    </cfRule>
  </conditionalFormatting>
  <conditionalFormatting sqref="BB264:BB267">
    <cfRule type="cellIs" dxfId="29795" priority="465" operator="lessThan">
      <formula>0</formula>
    </cfRule>
    <cfRule type="cellIs" dxfId="29794" priority="466" operator="lessThan">
      <formula>-105575</formula>
    </cfRule>
  </conditionalFormatting>
  <conditionalFormatting sqref="BB264:BB267">
    <cfRule type="cellIs" dxfId="29793" priority="463" operator="lessThan">
      <formula>0</formula>
    </cfRule>
    <cfRule type="cellIs" dxfId="29792" priority="464" operator="lessThan">
      <formula>-105575</formula>
    </cfRule>
  </conditionalFormatting>
  <conditionalFormatting sqref="BB264:BB267">
    <cfRule type="cellIs" dxfId="29791" priority="461" operator="lessThan">
      <formula>0</formula>
    </cfRule>
    <cfRule type="cellIs" dxfId="29790" priority="462" operator="lessThan">
      <formula>-105575</formula>
    </cfRule>
  </conditionalFormatting>
  <conditionalFormatting sqref="BB264:BB267">
    <cfRule type="cellIs" dxfId="29789" priority="459" operator="lessThan">
      <formula>0</formula>
    </cfRule>
    <cfRule type="cellIs" dxfId="29788" priority="460" operator="lessThan">
      <formula>-105575</formula>
    </cfRule>
  </conditionalFormatting>
  <conditionalFormatting sqref="BB264:BB267">
    <cfRule type="cellIs" dxfId="29787" priority="457" operator="lessThan">
      <formula>0</formula>
    </cfRule>
    <cfRule type="cellIs" dxfId="29786" priority="458" operator="lessThan">
      <formula>-105575</formula>
    </cfRule>
  </conditionalFormatting>
  <conditionalFormatting sqref="BB264:BB267">
    <cfRule type="cellIs" dxfId="29785" priority="455" operator="lessThan">
      <formula>0</formula>
    </cfRule>
    <cfRule type="cellIs" dxfId="29784" priority="456" operator="lessThan">
      <formula>-105575</formula>
    </cfRule>
  </conditionalFormatting>
  <conditionalFormatting sqref="BB264:BB267">
    <cfRule type="cellIs" dxfId="29783" priority="453" operator="lessThan">
      <formula>0</formula>
    </cfRule>
    <cfRule type="cellIs" dxfId="29782" priority="454" operator="lessThan">
      <formula>-105575</formula>
    </cfRule>
  </conditionalFormatting>
  <conditionalFormatting sqref="BB264:BB267">
    <cfRule type="cellIs" dxfId="29781" priority="451" operator="lessThan">
      <formula>0</formula>
    </cfRule>
    <cfRule type="cellIs" dxfId="29780" priority="452" operator="lessThan">
      <formula>-105575</formula>
    </cfRule>
  </conditionalFormatting>
  <conditionalFormatting sqref="BB270:BB272">
    <cfRule type="cellIs" dxfId="29779" priority="449" operator="lessThan">
      <formula>0</formula>
    </cfRule>
    <cfRule type="cellIs" dxfId="29778" priority="450" operator="lessThan">
      <formula>-105575</formula>
    </cfRule>
  </conditionalFormatting>
  <conditionalFormatting sqref="BB270:BB272">
    <cfRule type="cellIs" dxfId="29777" priority="447" operator="lessThan">
      <formula>0</formula>
    </cfRule>
    <cfRule type="cellIs" dxfId="29776" priority="448" operator="lessThan">
      <formula>-105575</formula>
    </cfRule>
  </conditionalFormatting>
  <conditionalFormatting sqref="BB270:BB272">
    <cfRule type="cellIs" dxfId="29775" priority="445" operator="lessThan">
      <formula>0</formula>
    </cfRule>
    <cfRule type="cellIs" dxfId="29774" priority="446" operator="lessThan">
      <formula>-105575</formula>
    </cfRule>
  </conditionalFormatting>
  <conditionalFormatting sqref="BB270:BB272">
    <cfRule type="cellIs" dxfId="29773" priority="443" operator="lessThan">
      <formula>0</formula>
    </cfRule>
    <cfRule type="cellIs" dxfId="29772" priority="444" operator="lessThan">
      <formula>-105575</formula>
    </cfRule>
  </conditionalFormatting>
  <conditionalFormatting sqref="BB270:BB272">
    <cfRule type="cellIs" dxfId="29771" priority="441" operator="lessThan">
      <formula>0</formula>
    </cfRule>
    <cfRule type="cellIs" dxfId="29770" priority="442" operator="lessThan">
      <formula>-105575</formula>
    </cfRule>
  </conditionalFormatting>
  <conditionalFormatting sqref="BB270:BB272">
    <cfRule type="cellIs" dxfId="29769" priority="439" operator="lessThan">
      <formula>0</formula>
    </cfRule>
    <cfRule type="cellIs" dxfId="29768" priority="440" operator="lessThan">
      <formula>-105575</formula>
    </cfRule>
  </conditionalFormatting>
  <conditionalFormatting sqref="BB270:BB272">
    <cfRule type="cellIs" dxfId="29767" priority="437" operator="lessThan">
      <formula>0</formula>
    </cfRule>
    <cfRule type="cellIs" dxfId="29766" priority="438" operator="lessThan">
      <formula>-105575</formula>
    </cfRule>
  </conditionalFormatting>
  <conditionalFormatting sqref="BB270:BB272">
    <cfRule type="cellIs" dxfId="29765" priority="435" operator="lessThan">
      <formula>0</formula>
    </cfRule>
    <cfRule type="cellIs" dxfId="29764" priority="436" operator="lessThan">
      <formula>-105575</formula>
    </cfRule>
  </conditionalFormatting>
  <conditionalFormatting sqref="BB270:BB272">
    <cfRule type="cellIs" dxfId="29763" priority="433" operator="lessThan">
      <formula>0</formula>
    </cfRule>
    <cfRule type="cellIs" dxfId="29762" priority="434" operator="lessThan">
      <formula>-105575</formula>
    </cfRule>
  </conditionalFormatting>
  <conditionalFormatting sqref="BB274:BB275">
    <cfRule type="cellIs" dxfId="29761" priority="431" operator="lessThan">
      <formula>0</formula>
    </cfRule>
    <cfRule type="cellIs" dxfId="29760" priority="432" operator="lessThan">
      <formula>-105575</formula>
    </cfRule>
  </conditionalFormatting>
  <conditionalFormatting sqref="BB274:BB275">
    <cfRule type="cellIs" dxfId="29759" priority="429" operator="lessThan">
      <formula>0</formula>
    </cfRule>
    <cfRule type="cellIs" dxfId="29758" priority="430" operator="lessThan">
      <formula>-105575</formula>
    </cfRule>
  </conditionalFormatting>
  <conditionalFormatting sqref="BB274:BB275">
    <cfRule type="cellIs" dxfId="29757" priority="427" operator="lessThan">
      <formula>0</formula>
    </cfRule>
    <cfRule type="cellIs" dxfId="29756" priority="428" operator="lessThan">
      <formula>-105575</formula>
    </cfRule>
  </conditionalFormatting>
  <conditionalFormatting sqref="BB274:BB275">
    <cfRule type="cellIs" dxfId="29755" priority="425" operator="lessThan">
      <formula>0</formula>
    </cfRule>
    <cfRule type="cellIs" dxfId="29754" priority="426" operator="lessThan">
      <formula>-105575</formula>
    </cfRule>
  </conditionalFormatting>
  <conditionalFormatting sqref="BB274:BB275">
    <cfRule type="cellIs" dxfId="29753" priority="423" operator="lessThan">
      <formula>0</formula>
    </cfRule>
    <cfRule type="cellIs" dxfId="29752" priority="424" operator="lessThan">
      <formula>-105575</formula>
    </cfRule>
  </conditionalFormatting>
  <conditionalFormatting sqref="BB274:BB275">
    <cfRule type="cellIs" dxfId="29751" priority="421" operator="lessThan">
      <formula>0</formula>
    </cfRule>
    <cfRule type="cellIs" dxfId="29750" priority="422" operator="lessThan">
      <formula>-105575</formula>
    </cfRule>
  </conditionalFormatting>
  <conditionalFormatting sqref="BB274:BB275">
    <cfRule type="cellIs" dxfId="29749" priority="419" operator="lessThan">
      <formula>0</formula>
    </cfRule>
    <cfRule type="cellIs" dxfId="29748" priority="420" operator="lessThan">
      <formula>-105575</formula>
    </cfRule>
  </conditionalFormatting>
  <conditionalFormatting sqref="BB274:BB275">
    <cfRule type="cellIs" dxfId="29747" priority="417" operator="lessThan">
      <formula>0</formula>
    </cfRule>
    <cfRule type="cellIs" dxfId="29746" priority="418" operator="lessThan">
      <formula>-105575</formula>
    </cfRule>
  </conditionalFormatting>
  <conditionalFormatting sqref="BB274:BB275">
    <cfRule type="cellIs" dxfId="29745" priority="415" operator="lessThan">
      <formula>0</formula>
    </cfRule>
    <cfRule type="cellIs" dxfId="29744" priority="416" operator="lessThan">
      <formula>-105575</formula>
    </cfRule>
  </conditionalFormatting>
  <conditionalFormatting sqref="BB278:BB282">
    <cfRule type="cellIs" dxfId="29743" priority="413" operator="lessThan">
      <formula>0</formula>
    </cfRule>
    <cfRule type="cellIs" dxfId="29742" priority="414" operator="lessThan">
      <formula>-105575</formula>
    </cfRule>
  </conditionalFormatting>
  <conditionalFormatting sqref="BB278:BB282">
    <cfRule type="cellIs" dxfId="29741" priority="411" operator="lessThan">
      <formula>0</formula>
    </cfRule>
    <cfRule type="cellIs" dxfId="29740" priority="412" operator="lessThan">
      <formula>-105575</formula>
    </cfRule>
  </conditionalFormatting>
  <conditionalFormatting sqref="BB278:BB282">
    <cfRule type="cellIs" dxfId="29739" priority="409" operator="lessThan">
      <formula>0</formula>
    </cfRule>
    <cfRule type="cellIs" dxfId="29738" priority="410" operator="lessThan">
      <formula>-105575</formula>
    </cfRule>
  </conditionalFormatting>
  <conditionalFormatting sqref="BB278:BB282">
    <cfRule type="cellIs" dxfId="29737" priority="407" operator="lessThan">
      <formula>0</formula>
    </cfRule>
    <cfRule type="cellIs" dxfId="29736" priority="408" operator="lessThan">
      <formula>-105575</formula>
    </cfRule>
  </conditionalFormatting>
  <conditionalFormatting sqref="BB278:BB282">
    <cfRule type="cellIs" dxfId="29735" priority="405" operator="lessThan">
      <formula>0</formula>
    </cfRule>
    <cfRule type="cellIs" dxfId="29734" priority="406" operator="lessThan">
      <formula>-105575</formula>
    </cfRule>
  </conditionalFormatting>
  <conditionalFormatting sqref="BB278:BB282">
    <cfRule type="cellIs" dxfId="29733" priority="403" operator="lessThan">
      <formula>0</formula>
    </cfRule>
    <cfRule type="cellIs" dxfId="29732" priority="404" operator="lessThan">
      <formula>-105575</formula>
    </cfRule>
  </conditionalFormatting>
  <conditionalFormatting sqref="BB278:BB282">
    <cfRule type="cellIs" dxfId="29731" priority="401" operator="lessThan">
      <formula>0</formula>
    </cfRule>
    <cfRule type="cellIs" dxfId="29730" priority="402" operator="lessThan">
      <formula>-105575</formula>
    </cfRule>
  </conditionalFormatting>
  <conditionalFormatting sqref="BB278:BB282">
    <cfRule type="cellIs" dxfId="29729" priority="399" operator="lessThan">
      <formula>0</formula>
    </cfRule>
    <cfRule type="cellIs" dxfId="29728" priority="400" operator="lessThan">
      <formula>-105575</formula>
    </cfRule>
  </conditionalFormatting>
  <conditionalFormatting sqref="BB278:BB282">
    <cfRule type="cellIs" dxfId="29727" priority="397" operator="lessThan">
      <formula>0</formula>
    </cfRule>
    <cfRule type="cellIs" dxfId="29726" priority="398" operator="lessThan">
      <formula>-105575</formula>
    </cfRule>
  </conditionalFormatting>
  <conditionalFormatting sqref="BB285:BB288">
    <cfRule type="cellIs" dxfId="29725" priority="395" operator="lessThan">
      <formula>0</formula>
    </cfRule>
    <cfRule type="cellIs" dxfId="29724" priority="396" operator="lessThan">
      <formula>-105575</formula>
    </cfRule>
  </conditionalFormatting>
  <conditionalFormatting sqref="BB285:BB288">
    <cfRule type="cellIs" dxfId="29723" priority="393" operator="lessThan">
      <formula>0</formula>
    </cfRule>
    <cfRule type="cellIs" dxfId="29722" priority="394" operator="lessThan">
      <formula>-105575</formula>
    </cfRule>
  </conditionalFormatting>
  <conditionalFormatting sqref="BB285:BB288">
    <cfRule type="cellIs" dxfId="29721" priority="391" operator="lessThan">
      <formula>0</formula>
    </cfRule>
    <cfRule type="cellIs" dxfId="29720" priority="392" operator="lessThan">
      <formula>-105575</formula>
    </cfRule>
  </conditionalFormatting>
  <conditionalFormatting sqref="BB285:BB288">
    <cfRule type="cellIs" dxfId="29719" priority="389" operator="lessThan">
      <formula>0</formula>
    </cfRule>
    <cfRule type="cellIs" dxfId="29718" priority="390" operator="lessThan">
      <formula>-105575</formula>
    </cfRule>
  </conditionalFormatting>
  <conditionalFormatting sqref="BB285:BB288">
    <cfRule type="cellIs" dxfId="29717" priority="387" operator="lessThan">
      <formula>0</formula>
    </cfRule>
    <cfRule type="cellIs" dxfId="29716" priority="388" operator="lessThan">
      <formula>-105575</formula>
    </cfRule>
  </conditionalFormatting>
  <conditionalFormatting sqref="BB285:BB288">
    <cfRule type="cellIs" dxfId="29715" priority="385" operator="lessThan">
      <formula>0</formula>
    </cfRule>
    <cfRule type="cellIs" dxfId="29714" priority="386" operator="lessThan">
      <formula>-105575</formula>
    </cfRule>
  </conditionalFormatting>
  <conditionalFormatting sqref="BB285:BB288">
    <cfRule type="cellIs" dxfId="29713" priority="383" operator="lessThan">
      <formula>0</formula>
    </cfRule>
    <cfRule type="cellIs" dxfId="29712" priority="384" operator="lessThan">
      <formula>-105575</formula>
    </cfRule>
  </conditionalFormatting>
  <conditionalFormatting sqref="BB285:BB288">
    <cfRule type="cellIs" dxfId="29711" priority="381" operator="lessThan">
      <formula>0</formula>
    </cfRule>
    <cfRule type="cellIs" dxfId="29710" priority="382" operator="lessThan">
      <formula>-105575</formula>
    </cfRule>
  </conditionalFormatting>
  <conditionalFormatting sqref="BB285:BB288">
    <cfRule type="cellIs" dxfId="29709" priority="379" operator="lessThan">
      <formula>0</formula>
    </cfRule>
    <cfRule type="cellIs" dxfId="29708" priority="380" operator="lessThan">
      <formula>-105575</formula>
    </cfRule>
  </conditionalFormatting>
  <conditionalFormatting sqref="BB203 BB220:BB221 BB235:BB243 BB231:BB233 BB212:BB213 BB225:BB226">
    <cfRule type="cellIs" dxfId="29707" priority="377" operator="lessThan">
      <formula>0</formula>
    </cfRule>
    <cfRule type="cellIs" dxfId="29706" priority="378" operator="lessThan">
      <formula>-105575</formula>
    </cfRule>
  </conditionalFormatting>
  <conditionalFormatting sqref="BB220 BB212:BB213 BB235:BB238 BB240:BB243 BB225:BB226 BB231:BB233">
    <cfRule type="cellIs" dxfId="29705" priority="375" operator="lessThan">
      <formula>0</formula>
    </cfRule>
    <cfRule type="cellIs" dxfId="29704" priority="376" operator="lessThan">
      <formula>-105575</formula>
    </cfRule>
  </conditionalFormatting>
  <conditionalFormatting sqref="BB220:BB221 BB243 BB226 BB231:BB236 BB238:BB241 BB203 BB213">
    <cfRule type="cellIs" dxfId="29703" priority="373" operator="lessThan">
      <formula>0</formula>
    </cfRule>
    <cfRule type="cellIs" dxfId="29702" priority="374" operator="lessThan">
      <formula>-105575</formula>
    </cfRule>
  </conditionalFormatting>
  <conditionalFormatting sqref="BB235:BB243 BB231:BB233 BB220 BB212:BB213 BB225:BB226">
    <cfRule type="cellIs" dxfId="29701" priority="371" operator="lessThan">
      <formula>0</formula>
    </cfRule>
    <cfRule type="cellIs" dxfId="29700" priority="372" operator="lessThan">
      <formula>-105575</formula>
    </cfRule>
  </conditionalFormatting>
  <conditionalFormatting sqref="BB220:BB221 BB237:BB243 BB203 BB231:BB235 BB212:BB213 BB225:BB226">
    <cfRule type="cellIs" dxfId="29699" priority="369" operator="lessThan">
      <formula>0</formula>
    </cfRule>
    <cfRule type="cellIs" dxfId="29698" priority="370" operator="lessThan">
      <formula>-105575</formula>
    </cfRule>
  </conditionalFormatting>
  <conditionalFormatting sqref="BB220:BB221 BB237:BB240 BB242:BB243 BB225:BB226 BB231:BB235">
    <cfRule type="cellIs" dxfId="29697" priority="367" operator="lessThan">
      <formula>0</formula>
    </cfRule>
    <cfRule type="cellIs" dxfId="29696" priority="368" operator="lessThan">
      <formula>-105575</formula>
    </cfRule>
  </conditionalFormatting>
  <conditionalFormatting sqref="BB212 BB231 BB233:BB238 BB240:BB243 BB225">
    <cfRule type="cellIs" dxfId="29695" priority="365" operator="lessThan">
      <formula>0</formula>
    </cfRule>
    <cfRule type="cellIs" dxfId="29694" priority="366" operator="lessThan">
      <formula>-105575</formula>
    </cfRule>
  </conditionalFormatting>
  <conditionalFormatting sqref="BB237:BB243 BB231:BB235 BB220:BB221 BB225:BB226">
    <cfRule type="cellIs" dxfId="29693" priority="363" operator="lessThan">
      <formula>0</formula>
    </cfRule>
    <cfRule type="cellIs" dxfId="29692" priority="364" operator="lessThan">
      <formula>-105575</formula>
    </cfRule>
  </conditionalFormatting>
  <conditionalFormatting sqref="BB233:BB237 BB231 BB239:BB243">
    <cfRule type="cellIs" dxfId="29691" priority="361" operator="lessThan">
      <formula>0</formula>
    </cfRule>
    <cfRule type="cellIs" dxfId="29690" priority="362" operator="lessThan">
      <formula>-105575</formula>
    </cfRule>
  </conditionalFormatting>
  <conditionalFormatting sqref="BB233:BB237 BB231 BB239:BB243">
    <cfRule type="cellIs" dxfId="29689" priority="359" operator="lessThan">
      <formula>0</formula>
    </cfRule>
    <cfRule type="cellIs" dxfId="29688" priority="360" operator="lessThan">
      <formula>-105575</formula>
    </cfRule>
  </conditionalFormatting>
  <conditionalFormatting sqref="BB119:BB128 BB106:BB117 BB101:BB104 BB80:BB99">
    <cfRule type="cellIs" dxfId="29687" priority="357" operator="lessThan">
      <formula>0</formula>
    </cfRule>
    <cfRule type="cellIs" dxfId="29686" priority="358" operator="lessThan">
      <formula>-105575</formula>
    </cfRule>
  </conditionalFormatting>
  <conditionalFormatting sqref="BB130 BB132 BB134">
    <cfRule type="cellIs" dxfId="29685" priority="355" operator="lessThan">
      <formula>0</formula>
    </cfRule>
    <cfRule type="cellIs" dxfId="29684" priority="356" operator="lessThan">
      <formula>-105575</formula>
    </cfRule>
  </conditionalFormatting>
  <conditionalFormatting sqref="BB130 BB132 BB134">
    <cfRule type="cellIs" dxfId="29683" priority="353" operator="lessThan">
      <formula>0</formula>
    </cfRule>
    <cfRule type="cellIs" dxfId="29682" priority="354" operator="lessThan">
      <formula>-105575</formula>
    </cfRule>
  </conditionalFormatting>
  <conditionalFormatting sqref="BB129 BB131 BB133 BB135">
    <cfRule type="cellIs" dxfId="29681" priority="351" operator="lessThan">
      <formula>0</formula>
    </cfRule>
    <cfRule type="cellIs" dxfId="29680" priority="352" operator="lessThan">
      <formula>-105575</formula>
    </cfRule>
  </conditionalFormatting>
  <conditionalFormatting sqref="BB140 BB145 BB142:BB143 BB137:BB138">
    <cfRule type="cellIs" dxfId="29679" priority="349" operator="lessThan">
      <formula>0</formula>
    </cfRule>
    <cfRule type="cellIs" dxfId="29678" priority="350" operator="lessThan">
      <formula>-105575</formula>
    </cfRule>
  </conditionalFormatting>
  <conditionalFormatting sqref="BB149">
    <cfRule type="cellIs" dxfId="29677" priority="347" operator="lessThan">
      <formula>0</formula>
    </cfRule>
    <cfRule type="cellIs" dxfId="29676" priority="348" operator="lessThan">
      <formula>-105575</formula>
    </cfRule>
  </conditionalFormatting>
  <conditionalFormatting sqref="BB129:BB138 BB140:BB149">
    <cfRule type="cellIs" dxfId="29675" priority="345" operator="lessThan">
      <formula>0</formula>
    </cfRule>
    <cfRule type="cellIs" dxfId="29674" priority="346" operator="lessThan">
      <formula>-105575</formula>
    </cfRule>
  </conditionalFormatting>
  <conditionalFormatting sqref="BB86:BB87 BB89:BB91 BB141:BB149 BB124:BB133 BB107:BB110 BB112:BB117 BB119:BB122 BB135:BB138 BB101:BB104 BB80:BB84 BB94:BB99">
    <cfRule type="cellIs" dxfId="29673" priority="343" operator="lessThan">
      <formula>0</formula>
    </cfRule>
    <cfRule type="cellIs" dxfId="29672" priority="344" operator="lessThan">
      <formula>-105575</formula>
    </cfRule>
  </conditionalFormatting>
  <conditionalFormatting sqref="BB129 BB131 BB133 BB135">
    <cfRule type="cellIs" dxfId="29671" priority="341" operator="lessThan">
      <formula>0</formula>
    </cfRule>
    <cfRule type="cellIs" dxfId="29670" priority="342" operator="lessThan">
      <formula>-105575</formula>
    </cfRule>
  </conditionalFormatting>
  <conditionalFormatting sqref="BB146 BB144 BB141">
    <cfRule type="cellIs" dxfId="29669" priority="339" operator="lessThan">
      <formula>0</formula>
    </cfRule>
    <cfRule type="cellIs" dxfId="29668" priority="340" operator="lessThan">
      <formula>-105575</formula>
    </cfRule>
  </conditionalFormatting>
  <conditionalFormatting sqref="BB146 BB144 BB141">
    <cfRule type="cellIs" dxfId="29667" priority="337" operator="lessThan">
      <formula>0</formula>
    </cfRule>
    <cfRule type="cellIs" dxfId="29666" priority="338" operator="lessThan">
      <formula>-105575</formula>
    </cfRule>
  </conditionalFormatting>
  <conditionalFormatting sqref="BB140 BB145 BB142:BB143 BB137:BB138">
    <cfRule type="cellIs" dxfId="29665" priority="335" operator="lessThan">
      <formula>0</formula>
    </cfRule>
    <cfRule type="cellIs" dxfId="29664" priority="336" operator="lessThan">
      <formula>-105575</formula>
    </cfRule>
  </conditionalFormatting>
  <conditionalFormatting sqref="BB149">
    <cfRule type="cellIs" dxfId="29663" priority="333" operator="lessThan">
      <formula>0</formula>
    </cfRule>
    <cfRule type="cellIs" dxfId="29662" priority="334" operator="lessThan">
      <formula>-105575</formula>
    </cfRule>
  </conditionalFormatting>
  <conditionalFormatting sqref="BB86:BB87 BB89:BB91 BB141:BB149 BB124:BB133 BB107:BB110 BB112:BB117 BB119:BB122 BB135:BB138 BB101:BB104 BB80:BB84 BB94:BB99">
    <cfRule type="cellIs" dxfId="29661" priority="331" operator="lessThan">
      <formula>0</formula>
    </cfRule>
    <cfRule type="cellIs" dxfId="29660" priority="332" operator="lessThan">
      <formula>-105575</formula>
    </cfRule>
  </conditionalFormatting>
  <conditionalFormatting sqref="BB306:BB309 BB311:BB325 BB327:BB330 BB332:BB341 BB344:BB347 BB349:BB353 BB355:BB358 BB360:BB384 BB386:BB389 BB392:BB395 BB397:BB411 BB413:BB416 BB418:BB432 BB434:BB437 BB439:BB453 BB455:BB458 BB460:BB469 BB290:BB291 BB293:BB304 BB7:BB10 BB12:BB14 BB17:BB18 BB21:BB24 BB26:BB28 BB30:BB36 BB38 BB41:BB43 BB46:BB49 BB51:BB55 BB57:BB59 BB62:BB76">
    <cfRule type="cellIs" dxfId="29659" priority="329" operator="lessThan">
      <formula>0</formula>
    </cfRule>
    <cfRule type="cellIs" dxfId="29658" priority="330" operator="lessThan">
      <formula>-105575</formula>
    </cfRule>
  </conditionalFormatting>
  <conditionalFormatting sqref="BB41">
    <cfRule type="cellIs" dxfId="29657" priority="327" operator="lessThan">
      <formula>0</formula>
    </cfRule>
    <cfRule type="cellIs" dxfId="29656" priority="328" operator="lessThan">
      <formula>-105575</formula>
    </cfRule>
  </conditionalFormatting>
  <conditionalFormatting sqref="BB152:BB155">
    <cfRule type="cellIs" dxfId="29655" priority="325" operator="lessThan">
      <formula>0</formula>
    </cfRule>
    <cfRule type="cellIs" dxfId="29654" priority="326" operator="lessThan">
      <formula>-105575</formula>
    </cfRule>
  </conditionalFormatting>
  <conditionalFormatting sqref="BB152:BB155">
    <cfRule type="cellIs" dxfId="29653" priority="323" operator="lessThan">
      <formula>0</formula>
    </cfRule>
    <cfRule type="cellIs" dxfId="29652" priority="324" operator="lessThan">
      <formula>-105575</formula>
    </cfRule>
  </conditionalFormatting>
  <conditionalFormatting sqref="BB152:BB155">
    <cfRule type="cellIs" dxfId="29651" priority="321" operator="lessThan">
      <formula>0</formula>
    </cfRule>
    <cfRule type="cellIs" dxfId="29650" priority="322" operator="lessThan">
      <formula>-105575</formula>
    </cfRule>
  </conditionalFormatting>
  <conditionalFormatting sqref="BB157:BB158">
    <cfRule type="cellIs" dxfId="29649" priority="319" operator="lessThan">
      <formula>0</formula>
    </cfRule>
    <cfRule type="cellIs" dxfId="29648" priority="320" operator="lessThan">
      <formula>-105575</formula>
    </cfRule>
  </conditionalFormatting>
  <conditionalFormatting sqref="BB157:BB158">
    <cfRule type="cellIs" dxfId="29647" priority="317" operator="lessThan">
      <formula>0</formula>
    </cfRule>
    <cfRule type="cellIs" dxfId="29646" priority="318" operator="lessThan">
      <formula>-105575</formula>
    </cfRule>
  </conditionalFormatting>
  <conditionalFormatting sqref="BB157:BB158">
    <cfRule type="cellIs" dxfId="29645" priority="315" operator="lessThan">
      <formula>0</formula>
    </cfRule>
    <cfRule type="cellIs" dxfId="29644" priority="316" operator="lessThan">
      <formula>-105575</formula>
    </cfRule>
  </conditionalFormatting>
  <conditionalFormatting sqref="BB160:BB161">
    <cfRule type="cellIs" dxfId="29643" priority="313" operator="lessThan">
      <formula>0</formula>
    </cfRule>
    <cfRule type="cellIs" dxfId="29642" priority="314" operator="lessThan">
      <formula>-105575</formula>
    </cfRule>
  </conditionalFormatting>
  <conditionalFormatting sqref="BB160:BB161">
    <cfRule type="cellIs" dxfId="29641" priority="311" operator="lessThan">
      <formula>0</formula>
    </cfRule>
    <cfRule type="cellIs" dxfId="29640" priority="312" operator="lessThan">
      <formula>-105575</formula>
    </cfRule>
  </conditionalFormatting>
  <conditionalFormatting sqref="BB160:BB161">
    <cfRule type="cellIs" dxfId="29639" priority="309" operator="lessThan">
      <formula>0</formula>
    </cfRule>
    <cfRule type="cellIs" dxfId="29638" priority="310" operator="lessThan">
      <formula>-105575</formula>
    </cfRule>
  </conditionalFormatting>
  <conditionalFormatting sqref="BB164:BB167">
    <cfRule type="cellIs" dxfId="29637" priority="307" operator="lessThan">
      <formula>0</formula>
    </cfRule>
    <cfRule type="cellIs" dxfId="29636" priority="308" operator="lessThan">
      <formula>-105575</formula>
    </cfRule>
  </conditionalFormatting>
  <conditionalFormatting sqref="BB164:BB167">
    <cfRule type="cellIs" dxfId="29635" priority="305" operator="lessThan">
      <formula>0</formula>
    </cfRule>
    <cfRule type="cellIs" dxfId="29634" priority="306" operator="lessThan">
      <formula>-105575</formula>
    </cfRule>
  </conditionalFormatting>
  <conditionalFormatting sqref="BB164:BB167">
    <cfRule type="cellIs" dxfId="29633" priority="303" operator="lessThan">
      <formula>0</formula>
    </cfRule>
    <cfRule type="cellIs" dxfId="29632" priority="304" operator="lessThan">
      <formula>-105575</formula>
    </cfRule>
  </conditionalFormatting>
  <conditionalFormatting sqref="BB169:BB177">
    <cfRule type="cellIs" dxfId="29631" priority="301" operator="lessThan">
      <formula>0</formula>
    </cfRule>
    <cfRule type="cellIs" dxfId="29630" priority="302" operator="lessThan">
      <formula>-105575</formula>
    </cfRule>
  </conditionalFormatting>
  <conditionalFormatting sqref="BB169:BB177">
    <cfRule type="cellIs" dxfId="29629" priority="299" operator="lessThan">
      <formula>0</formula>
    </cfRule>
    <cfRule type="cellIs" dxfId="29628" priority="300" operator="lessThan">
      <formula>-105575</formula>
    </cfRule>
  </conditionalFormatting>
  <conditionalFormatting sqref="BB169:BB177">
    <cfRule type="cellIs" dxfId="29627" priority="297" operator="lessThan">
      <formula>0</formula>
    </cfRule>
    <cfRule type="cellIs" dxfId="29626" priority="298" operator="lessThan">
      <formula>-105575</formula>
    </cfRule>
  </conditionalFormatting>
  <conditionalFormatting sqref="BB179:BB180">
    <cfRule type="cellIs" dxfId="29625" priority="295" operator="lessThan">
      <formula>0</formula>
    </cfRule>
    <cfRule type="cellIs" dxfId="29624" priority="296" operator="lessThan">
      <formula>-105575</formula>
    </cfRule>
  </conditionalFormatting>
  <conditionalFormatting sqref="BB179:BB180">
    <cfRule type="cellIs" dxfId="29623" priority="293" operator="lessThan">
      <formula>0</formula>
    </cfRule>
    <cfRule type="cellIs" dxfId="29622" priority="294" operator="lessThan">
      <formula>-105575</formula>
    </cfRule>
  </conditionalFormatting>
  <conditionalFormatting sqref="BB179:BB180">
    <cfRule type="cellIs" dxfId="29621" priority="291" operator="lessThan">
      <formula>0</formula>
    </cfRule>
    <cfRule type="cellIs" dxfId="29620" priority="292" operator="lessThan">
      <formula>-105575</formula>
    </cfRule>
  </conditionalFormatting>
  <conditionalFormatting sqref="BB183:BB189">
    <cfRule type="cellIs" dxfId="29619" priority="289" operator="lessThan">
      <formula>0</formula>
    </cfRule>
    <cfRule type="cellIs" dxfId="29618" priority="290" operator="lessThan">
      <formula>-105575</formula>
    </cfRule>
  </conditionalFormatting>
  <conditionalFormatting sqref="BB183:BB189">
    <cfRule type="cellIs" dxfId="29617" priority="287" operator="lessThan">
      <formula>0</formula>
    </cfRule>
    <cfRule type="cellIs" dxfId="29616" priority="288" operator="lessThan">
      <formula>-105575</formula>
    </cfRule>
  </conditionalFormatting>
  <conditionalFormatting sqref="BB183:BB189">
    <cfRule type="cellIs" dxfId="29615" priority="285" operator="lessThan">
      <formula>0</formula>
    </cfRule>
    <cfRule type="cellIs" dxfId="29614" priority="286" operator="lessThan">
      <formula>-105575</formula>
    </cfRule>
  </conditionalFormatting>
  <conditionalFormatting sqref="BB191:BB192">
    <cfRule type="cellIs" dxfId="29613" priority="283" operator="lessThan">
      <formula>0</formula>
    </cfRule>
    <cfRule type="cellIs" dxfId="29612" priority="284" operator="lessThan">
      <formula>-105575</formula>
    </cfRule>
  </conditionalFormatting>
  <conditionalFormatting sqref="BB191:BB192">
    <cfRule type="cellIs" dxfId="29611" priority="281" operator="lessThan">
      <formula>0</formula>
    </cfRule>
    <cfRule type="cellIs" dxfId="29610" priority="282" operator="lessThan">
      <formula>-105575</formula>
    </cfRule>
  </conditionalFormatting>
  <conditionalFormatting sqref="BB191:BB192">
    <cfRule type="cellIs" dxfId="29609" priority="279" operator="lessThan">
      <formula>0</formula>
    </cfRule>
    <cfRule type="cellIs" dxfId="29608" priority="280" operator="lessThan">
      <formula>-105575</formula>
    </cfRule>
  </conditionalFormatting>
  <conditionalFormatting sqref="BB194:BB195">
    <cfRule type="cellIs" dxfId="29607" priority="277" operator="lessThan">
      <formula>0</formula>
    </cfRule>
    <cfRule type="cellIs" dxfId="29606" priority="278" operator="lessThan">
      <formula>-105575</formula>
    </cfRule>
  </conditionalFormatting>
  <conditionalFormatting sqref="BB194:BB195">
    <cfRule type="cellIs" dxfId="29605" priority="275" operator="lessThan">
      <formula>0</formula>
    </cfRule>
    <cfRule type="cellIs" dxfId="29604" priority="276" operator="lessThan">
      <formula>-105575</formula>
    </cfRule>
  </conditionalFormatting>
  <conditionalFormatting sqref="BB194:BB195">
    <cfRule type="cellIs" dxfId="29603" priority="273" operator="lessThan">
      <formula>0</formula>
    </cfRule>
    <cfRule type="cellIs" dxfId="29602" priority="274" operator="lessThan">
      <formula>-105575</formula>
    </cfRule>
  </conditionalFormatting>
  <conditionalFormatting sqref="BB199:BB202">
    <cfRule type="cellIs" dxfId="29601" priority="271" operator="lessThan">
      <formula>0</formula>
    </cfRule>
    <cfRule type="cellIs" dxfId="29600" priority="272" operator="lessThan">
      <formula>-105575</formula>
    </cfRule>
  </conditionalFormatting>
  <conditionalFormatting sqref="BB199:BB202">
    <cfRule type="cellIs" dxfId="29599" priority="269" operator="lessThan">
      <formula>0</formula>
    </cfRule>
    <cfRule type="cellIs" dxfId="29598" priority="270" operator="lessThan">
      <formula>-105575</formula>
    </cfRule>
  </conditionalFormatting>
  <conditionalFormatting sqref="BB199:BB202">
    <cfRule type="cellIs" dxfId="29597" priority="267" operator="lessThan">
      <formula>0</formula>
    </cfRule>
    <cfRule type="cellIs" dxfId="29596" priority="268" operator="lessThan">
      <formula>-105575</formula>
    </cfRule>
  </conditionalFormatting>
  <conditionalFormatting sqref="BB204:BB208">
    <cfRule type="cellIs" dxfId="29595" priority="265" operator="lessThan">
      <formula>0</formula>
    </cfRule>
    <cfRule type="cellIs" dxfId="29594" priority="266" operator="lessThan">
      <formula>-105575</formula>
    </cfRule>
  </conditionalFormatting>
  <conditionalFormatting sqref="BB204:BB208">
    <cfRule type="cellIs" dxfId="29593" priority="263" operator="lessThan">
      <formula>0</formula>
    </cfRule>
    <cfRule type="cellIs" dxfId="29592" priority="264" operator="lessThan">
      <formula>-105575</formula>
    </cfRule>
  </conditionalFormatting>
  <conditionalFormatting sqref="BB204:BB208">
    <cfRule type="cellIs" dxfId="29591" priority="261" operator="lessThan">
      <formula>0</formula>
    </cfRule>
    <cfRule type="cellIs" dxfId="29590" priority="262" operator="lessThan">
      <formula>-105575</formula>
    </cfRule>
  </conditionalFormatting>
  <conditionalFormatting sqref="BB210:BB211">
    <cfRule type="cellIs" dxfId="29589" priority="259" operator="lessThan">
      <formula>0</formula>
    </cfRule>
    <cfRule type="cellIs" dxfId="29588" priority="260" operator="lessThan">
      <formula>-105575</formula>
    </cfRule>
  </conditionalFormatting>
  <conditionalFormatting sqref="BB210:BB211">
    <cfRule type="cellIs" dxfId="29587" priority="257" operator="lessThan">
      <formula>0</formula>
    </cfRule>
    <cfRule type="cellIs" dxfId="29586" priority="258" operator="lessThan">
      <formula>-105575</formula>
    </cfRule>
  </conditionalFormatting>
  <conditionalFormatting sqref="BB210:BB211">
    <cfRule type="cellIs" dxfId="29585" priority="255" operator="lessThan">
      <formula>0</formula>
    </cfRule>
    <cfRule type="cellIs" dxfId="29584" priority="256" operator="lessThan">
      <formula>-105575</formula>
    </cfRule>
  </conditionalFormatting>
  <conditionalFormatting sqref="BB214:BB219">
    <cfRule type="cellIs" dxfId="29583" priority="253" operator="lessThan">
      <formula>0</formula>
    </cfRule>
    <cfRule type="cellIs" dxfId="29582" priority="254" operator="lessThan">
      <formula>-105575</formula>
    </cfRule>
  </conditionalFormatting>
  <conditionalFormatting sqref="BB214:BB219">
    <cfRule type="cellIs" dxfId="29581" priority="251" operator="lessThan">
      <formula>0</formula>
    </cfRule>
    <cfRule type="cellIs" dxfId="29580" priority="252" operator="lessThan">
      <formula>-105575</formula>
    </cfRule>
  </conditionalFormatting>
  <conditionalFormatting sqref="BB214:BB219">
    <cfRule type="cellIs" dxfId="29579" priority="249" operator="lessThan">
      <formula>0</formula>
    </cfRule>
    <cfRule type="cellIs" dxfId="29578" priority="250" operator="lessThan">
      <formula>-105575</formula>
    </cfRule>
  </conditionalFormatting>
  <conditionalFormatting sqref="BB222:BB224">
    <cfRule type="cellIs" dxfId="29577" priority="247" operator="lessThan">
      <formula>0</formula>
    </cfRule>
    <cfRule type="cellIs" dxfId="29576" priority="248" operator="lessThan">
      <formula>-105575</formula>
    </cfRule>
  </conditionalFormatting>
  <conditionalFormatting sqref="BB222:BB224">
    <cfRule type="cellIs" dxfId="29575" priority="245" operator="lessThan">
      <formula>0</formula>
    </cfRule>
    <cfRule type="cellIs" dxfId="29574" priority="246" operator="lessThan">
      <formula>-105575</formula>
    </cfRule>
  </conditionalFormatting>
  <conditionalFormatting sqref="BB222:BB224">
    <cfRule type="cellIs" dxfId="29573" priority="243" operator="lessThan">
      <formula>0</formula>
    </cfRule>
    <cfRule type="cellIs" dxfId="29572" priority="244" operator="lessThan">
      <formula>-105575</formula>
    </cfRule>
  </conditionalFormatting>
  <conditionalFormatting sqref="BB227:BB230">
    <cfRule type="cellIs" dxfId="29571" priority="241" operator="lessThan">
      <formula>0</formula>
    </cfRule>
    <cfRule type="cellIs" dxfId="29570" priority="242" operator="lessThan">
      <formula>-105575</formula>
    </cfRule>
  </conditionalFormatting>
  <conditionalFormatting sqref="BB227:BB230">
    <cfRule type="cellIs" dxfId="29569" priority="239" operator="lessThan">
      <formula>0</formula>
    </cfRule>
    <cfRule type="cellIs" dxfId="29568" priority="240" operator="lessThan">
      <formula>-105575</formula>
    </cfRule>
  </conditionalFormatting>
  <conditionalFormatting sqref="BB227:BB230">
    <cfRule type="cellIs" dxfId="29567" priority="237" operator="lessThan">
      <formula>0</formula>
    </cfRule>
    <cfRule type="cellIs" dxfId="29566" priority="238" operator="lessThan">
      <formula>-105575</formula>
    </cfRule>
  </conditionalFormatting>
  <conditionalFormatting sqref="BB246:BB249">
    <cfRule type="cellIs" dxfId="29565" priority="235" operator="lessThan">
      <formula>0</formula>
    </cfRule>
    <cfRule type="cellIs" dxfId="29564" priority="236" operator="lessThan">
      <formula>-105575</formula>
    </cfRule>
  </conditionalFormatting>
  <conditionalFormatting sqref="BB246:BB249">
    <cfRule type="cellIs" dxfId="29563" priority="233" operator="lessThan">
      <formula>0</formula>
    </cfRule>
    <cfRule type="cellIs" dxfId="29562" priority="234" operator="lessThan">
      <formula>-105575</formula>
    </cfRule>
  </conditionalFormatting>
  <conditionalFormatting sqref="BB246:BB249">
    <cfRule type="cellIs" dxfId="29561" priority="231" operator="lessThan">
      <formula>0</formula>
    </cfRule>
    <cfRule type="cellIs" dxfId="29560" priority="232" operator="lessThan">
      <formula>-105575</formula>
    </cfRule>
  </conditionalFormatting>
  <conditionalFormatting sqref="BB246:BB249">
    <cfRule type="cellIs" dxfId="29559" priority="229" operator="lessThan">
      <formula>0</formula>
    </cfRule>
    <cfRule type="cellIs" dxfId="29558" priority="230" operator="lessThan">
      <formula>-105575</formula>
    </cfRule>
  </conditionalFormatting>
  <conditionalFormatting sqref="BB246:BB249">
    <cfRule type="cellIs" dxfId="29557" priority="227" operator="lessThan">
      <formula>0</formula>
    </cfRule>
    <cfRule type="cellIs" dxfId="29556" priority="228" operator="lessThan">
      <formula>-105575</formula>
    </cfRule>
  </conditionalFormatting>
  <conditionalFormatting sqref="BB246:BB249">
    <cfRule type="cellIs" dxfId="29555" priority="225" operator="lessThan">
      <formula>0</formula>
    </cfRule>
    <cfRule type="cellIs" dxfId="29554" priority="226" operator="lessThan">
      <formula>-105575</formula>
    </cfRule>
  </conditionalFormatting>
  <conditionalFormatting sqref="BB246:BB249">
    <cfRule type="cellIs" dxfId="29553" priority="223" operator="lessThan">
      <formula>0</formula>
    </cfRule>
    <cfRule type="cellIs" dxfId="29552" priority="224" operator="lessThan">
      <formula>-105575</formula>
    </cfRule>
  </conditionalFormatting>
  <conditionalFormatting sqref="BB246:BB249">
    <cfRule type="cellIs" dxfId="29551" priority="221" operator="lessThan">
      <formula>0</formula>
    </cfRule>
    <cfRule type="cellIs" dxfId="29550" priority="222" operator="lessThan">
      <formula>-105575</formula>
    </cfRule>
  </conditionalFormatting>
  <conditionalFormatting sqref="BB246:BB249">
    <cfRule type="cellIs" dxfId="29549" priority="219" operator="lessThan">
      <formula>0</formula>
    </cfRule>
    <cfRule type="cellIs" dxfId="29548" priority="220" operator="lessThan">
      <formula>-105575</formula>
    </cfRule>
  </conditionalFormatting>
  <conditionalFormatting sqref="BB251:BB253">
    <cfRule type="cellIs" dxfId="29547" priority="217" operator="lessThan">
      <formula>0</formula>
    </cfRule>
    <cfRule type="cellIs" dxfId="29546" priority="218" operator="lessThan">
      <formula>-105575</formula>
    </cfRule>
  </conditionalFormatting>
  <conditionalFormatting sqref="BB251:BB253">
    <cfRule type="cellIs" dxfId="29545" priority="215" operator="lessThan">
      <formula>0</formula>
    </cfRule>
    <cfRule type="cellIs" dxfId="29544" priority="216" operator="lessThan">
      <formula>-105575</formula>
    </cfRule>
  </conditionalFormatting>
  <conditionalFormatting sqref="BB251:BB253">
    <cfRule type="cellIs" dxfId="29543" priority="213" operator="lessThan">
      <formula>0</formula>
    </cfRule>
    <cfRule type="cellIs" dxfId="29542" priority="214" operator="lessThan">
      <formula>-105575</formula>
    </cfRule>
  </conditionalFormatting>
  <conditionalFormatting sqref="BB251:BB253">
    <cfRule type="cellIs" dxfId="29541" priority="211" operator="lessThan">
      <formula>0</formula>
    </cfRule>
    <cfRule type="cellIs" dxfId="29540" priority="212" operator="lessThan">
      <formula>-105575</formula>
    </cfRule>
  </conditionalFormatting>
  <conditionalFormatting sqref="BB251:BB253">
    <cfRule type="cellIs" dxfId="29539" priority="209" operator="lessThan">
      <formula>0</formula>
    </cfRule>
    <cfRule type="cellIs" dxfId="29538" priority="210" operator="lessThan">
      <formula>-105575</formula>
    </cfRule>
  </conditionalFormatting>
  <conditionalFormatting sqref="BB251:BB253">
    <cfRule type="cellIs" dxfId="29537" priority="207" operator="lessThan">
      <formula>0</formula>
    </cfRule>
    <cfRule type="cellIs" dxfId="29536" priority="208" operator="lessThan">
      <formula>-105575</formula>
    </cfRule>
  </conditionalFormatting>
  <conditionalFormatting sqref="BB251:BB253">
    <cfRule type="cellIs" dxfId="29535" priority="205" operator="lessThan">
      <formula>0</formula>
    </cfRule>
    <cfRule type="cellIs" dxfId="29534" priority="206" operator="lessThan">
      <formula>-105575</formula>
    </cfRule>
  </conditionalFormatting>
  <conditionalFormatting sqref="BB251:BB253">
    <cfRule type="cellIs" dxfId="29533" priority="203" operator="lessThan">
      <formula>0</formula>
    </cfRule>
    <cfRule type="cellIs" dxfId="29532" priority="204" operator="lessThan">
      <formula>-105575</formula>
    </cfRule>
  </conditionalFormatting>
  <conditionalFormatting sqref="BB251:BB253">
    <cfRule type="cellIs" dxfId="29531" priority="201" operator="lessThan">
      <formula>0</formula>
    </cfRule>
    <cfRule type="cellIs" dxfId="29530" priority="202" operator="lessThan">
      <formula>-105575</formula>
    </cfRule>
  </conditionalFormatting>
  <conditionalFormatting sqref="BB255:BB257">
    <cfRule type="cellIs" dxfId="29529" priority="199" operator="lessThan">
      <formula>0</formula>
    </cfRule>
    <cfRule type="cellIs" dxfId="29528" priority="200" operator="lessThan">
      <formula>-105575</formula>
    </cfRule>
  </conditionalFormatting>
  <conditionalFormatting sqref="BB255:BB257">
    <cfRule type="cellIs" dxfId="29527" priority="197" operator="lessThan">
      <formula>0</formula>
    </cfRule>
    <cfRule type="cellIs" dxfId="29526" priority="198" operator="lessThan">
      <formula>-105575</formula>
    </cfRule>
  </conditionalFormatting>
  <conditionalFormatting sqref="BB255:BB257">
    <cfRule type="cellIs" dxfId="29525" priority="195" operator="lessThan">
      <formula>0</formula>
    </cfRule>
    <cfRule type="cellIs" dxfId="29524" priority="196" operator="lessThan">
      <formula>-105575</formula>
    </cfRule>
  </conditionalFormatting>
  <conditionalFormatting sqref="BB255:BB257">
    <cfRule type="cellIs" dxfId="29523" priority="193" operator="lessThan">
      <formula>0</formula>
    </cfRule>
    <cfRule type="cellIs" dxfId="29522" priority="194" operator="lessThan">
      <formula>-105575</formula>
    </cfRule>
  </conditionalFormatting>
  <conditionalFormatting sqref="BB255:BB257">
    <cfRule type="cellIs" dxfId="29521" priority="191" operator="lessThan">
      <formula>0</formula>
    </cfRule>
    <cfRule type="cellIs" dxfId="29520" priority="192" operator="lessThan">
      <formula>-105575</formula>
    </cfRule>
  </conditionalFormatting>
  <conditionalFormatting sqref="BB255:BB257">
    <cfRule type="cellIs" dxfId="29519" priority="189" operator="lessThan">
      <formula>0</formula>
    </cfRule>
    <cfRule type="cellIs" dxfId="29518" priority="190" operator="lessThan">
      <formula>-105575</formula>
    </cfRule>
  </conditionalFormatting>
  <conditionalFormatting sqref="BB255:BB257">
    <cfRule type="cellIs" dxfId="29517" priority="187" operator="lessThan">
      <formula>0</formula>
    </cfRule>
    <cfRule type="cellIs" dxfId="29516" priority="188" operator="lessThan">
      <formula>-105575</formula>
    </cfRule>
  </conditionalFormatting>
  <conditionalFormatting sqref="BB255:BB257">
    <cfRule type="cellIs" dxfId="29515" priority="185" operator="lessThan">
      <formula>0</formula>
    </cfRule>
    <cfRule type="cellIs" dxfId="29514" priority="186" operator="lessThan">
      <formula>-105575</formula>
    </cfRule>
  </conditionalFormatting>
  <conditionalFormatting sqref="BB255:BB257">
    <cfRule type="cellIs" dxfId="29513" priority="183" operator="lessThan">
      <formula>0</formula>
    </cfRule>
    <cfRule type="cellIs" dxfId="29512" priority="184" operator="lessThan">
      <formula>-105575</formula>
    </cfRule>
  </conditionalFormatting>
  <conditionalFormatting sqref="BB260:BB262">
    <cfRule type="cellIs" dxfId="29511" priority="181" operator="lessThan">
      <formula>0</formula>
    </cfRule>
    <cfRule type="cellIs" dxfId="29510" priority="182" operator="lessThan">
      <formula>-105575</formula>
    </cfRule>
  </conditionalFormatting>
  <conditionalFormatting sqref="BB260:BB262">
    <cfRule type="cellIs" dxfId="29509" priority="179" operator="lessThan">
      <formula>0</formula>
    </cfRule>
    <cfRule type="cellIs" dxfId="29508" priority="180" operator="lessThan">
      <formula>-105575</formula>
    </cfRule>
  </conditionalFormatting>
  <conditionalFormatting sqref="BB260:BB262">
    <cfRule type="cellIs" dxfId="29507" priority="177" operator="lessThan">
      <formula>0</formula>
    </cfRule>
    <cfRule type="cellIs" dxfId="29506" priority="178" operator="lessThan">
      <formula>-105575</formula>
    </cfRule>
  </conditionalFormatting>
  <conditionalFormatting sqref="BB260:BB262">
    <cfRule type="cellIs" dxfId="29505" priority="175" operator="lessThan">
      <formula>0</formula>
    </cfRule>
    <cfRule type="cellIs" dxfId="29504" priority="176" operator="lessThan">
      <formula>-105575</formula>
    </cfRule>
  </conditionalFormatting>
  <conditionalFormatting sqref="BB260:BB262">
    <cfRule type="cellIs" dxfId="29503" priority="173" operator="lessThan">
      <formula>0</formula>
    </cfRule>
    <cfRule type="cellIs" dxfId="29502" priority="174" operator="lessThan">
      <formula>-105575</formula>
    </cfRule>
  </conditionalFormatting>
  <conditionalFormatting sqref="BB260:BB262">
    <cfRule type="cellIs" dxfId="29501" priority="171" operator="lessThan">
      <formula>0</formula>
    </cfRule>
    <cfRule type="cellIs" dxfId="29500" priority="172" operator="lessThan">
      <formula>-105575</formula>
    </cfRule>
  </conditionalFormatting>
  <conditionalFormatting sqref="BB260:BB262">
    <cfRule type="cellIs" dxfId="29499" priority="169" operator="lessThan">
      <formula>0</formula>
    </cfRule>
    <cfRule type="cellIs" dxfId="29498" priority="170" operator="lessThan">
      <formula>-105575</formula>
    </cfRule>
  </conditionalFormatting>
  <conditionalFormatting sqref="BB260:BB262">
    <cfRule type="cellIs" dxfId="29497" priority="167" operator="lessThan">
      <formula>0</formula>
    </cfRule>
    <cfRule type="cellIs" dxfId="29496" priority="168" operator="lessThan">
      <formula>-105575</formula>
    </cfRule>
  </conditionalFormatting>
  <conditionalFormatting sqref="BB260:BB262">
    <cfRule type="cellIs" dxfId="29495" priority="165" operator="lessThan">
      <formula>0</formula>
    </cfRule>
    <cfRule type="cellIs" dxfId="29494" priority="166" operator="lessThan">
      <formula>-105575</formula>
    </cfRule>
  </conditionalFormatting>
  <conditionalFormatting sqref="BB264:BB267">
    <cfRule type="cellIs" dxfId="29493" priority="163" operator="lessThan">
      <formula>0</formula>
    </cfRule>
    <cfRule type="cellIs" dxfId="29492" priority="164" operator="lessThan">
      <formula>-105575</formula>
    </cfRule>
  </conditionalFormatting>
  <conditionalFormatting sqref="BB264:BB267">
    <cfRule type="cellIs" dxfId="29491" priority="161" operator="lessThan">
      <formula>0</formula>
    </cfRule>
    <cfRule type="cellIs" dxfId="29490" priority="162" operator="lessThan">
      <formula>-105575</formula>
    </cfRule>
  </conditionalFormatting>
  <conditionalFormatting sqref="BB264:BB267">
    <cfRule type="cellIs" dxfId="29489" priority="159" operator="lessThan">
      <formula>0</formula>
    </cfRule>
    <cfRule type="cellIs" dxfId="29488" priority="160" operator="lessThan">
      <formula>-105575</formula>
    </cfRule>
  </conditionalFormatting>
  <conditionalFormatting sqref="BB264:BB267">
    <cfRule type="cellIs" dxfId="29487" priority="157" operator="lessThan">
      <formula>0</formula>
    </cfRule>
    <cfRule type="cellIs" dxfId="29486" priority="158" operator="lessThan">
      <formula>-105575</formula>
    </cfRule>
  </conditionalFormatting>
  <conditionalFormatting sqref="BB264:BB267">
    <cfRule type="cellIs" dxfId="29485" priority="155" operator="lessThan">
      <formula>0</formula>
    </cfRule>
    <cfRule type="cellIs" dxfId="29484" priority="156" operator="lessThan">
      <formula>-105575</formula>
    </cfRule>
  </conditionalFormatting>
  <conditionalFormatting sqref="BB264:BB267">
    <cfRule type="cellIs" dxfId="29483" priority="153" operator="lessThan">
      <formula>0</formula>
    </cfRule>
    <cfRule type="cellIs" dxfId="29482" priority="154" operator="lessThan">
      <formula>-105575</formula>
    </cfRule>
  </conditionalFormatting>
  <conditionalFormatting sqref="BB264:BB267">
    <cfRule type="cellIs" dxfId="29481" priority="151" operator="lessThan">
      <formula>0</formula>
    </cfRule>
    <cfRule type="cellIs" dxfId="29480" priority="152" operator="lessThan">
      <formula>-105575</formula>
    </cfRule>
  </conditionalFormatting>
  <conditionalFormatting sqref="BB264:BB267">
    <cfRule type="cellIs" dxfId="29479" priority="149" operator="lessThan">
      <formula>0</formula>
    </cfRule>
    <cfRule type="cellIs" dxfId="29478" priority="150" operator="lessThan">
      <formula>-105575</formula>
    </cfRule>
  </conditionalFormatting>
  <conditionalFormatting sqref="BB264:BB267">
    <cfRule type="cellIs" dxfId="29477" priority="147" operator="lessThan">
      <formula>0</formula>
    </cfRule>
    <cfRule type="cellIs" dxfId="29476" priority="148" operator="lessThan">
      <formula>-105575</formula>
    </cfRule>
  </conditionalFormatting>
  <conditionalFormatting sqref="BB270:BB272">
    <cfRule type="cellIs" dxfId="29475" priority="145" operator="lessThan">
      <formula>0</formula>
    </cfRule>
    <cfRule type="cellIs" dxfId="29474" priority="146" operator="lessThan">
      <formula>-105575</formula>
    </cfRule>
  </conditionalFormatting>
  <conditionalFormatting sqref="BB270:BB272">
    <cfRule type="cellIs" dxfId="29473" priority="143" operator="lessThan">
      <formula>0</formula>
    </cfRule>
    <cfRule type="cellIs" dxfId="29472" priority="144" operator="lessThan">
      <formula>-105575</formula>
    </cfRule>
  </conditionalFormatting>
  <conditionalFormatting sqref="BB270:BB272">
    <cfRule type="cellIs" dxfId="29471" priority="141" operator="lessThan">
      <formula>0</formula>
    </cfRule>
    <cfRule type="cellIs" dxfId="29470" priority="142" operator="lessThan">
      <formula>-105575</formula>
    </cfRule>
  </conditionalFormatting>
  <conditionalFormatting sqref="BB270:BB272">
    <cfRule type="cellIs" dxfId="29469" priority="139" operator="lessThan">
      <formula>0</formula>
    </cfRule>
    <cfRule type="cellIs" dxfId="29468" priority="140" operator="lessThan">
      <formula>-105575</formula>
    </cfRule>
  </conditionalFormatting>
  <conditionalFormatting sqref="BB270:BB272">
    <cfRule type="cellIs" dxfId="29467" priority="137" operator="lessThan">
      <formula>0</formula>
    </cfRule>
    <cfRule type="cellIs" dxfId="29466" priority="138" operator="lessThan">
      <formula>-105575</formula>
    </cfRule>
  </conditionalFormatting>
  <conditionalFormatting sqref="BB270:BB272">
    <cfRule type="cellIs" dxfId="29465" priority="135" operator="lessThan">
      <formula>0</formula>
    </cfRule>
    <cfRule type="cellIs" dxfId="29464" priority="136" operator="lessThan">
      <formula>-105575</formula>
    </cfRule>
  </conditionalFormatting>
  <conditionalFormatting sqref="BB270:BB272">
    <cfRule type="cellIs" dxfId="29463" priority="133" operator="lessThan">
      <formula>0</formula>
    </cfRule>
    <cfRule type="cellIs" dxfId="29462" priority="134" operator="lessThan">
      <formula>-105575</formula>
    </cfRule>
  </conditionalFormatting>
  <conditionalFormatting sqref="BB270:BB272">
    <cfRule type="cellIs" dxfId="29461" priority="131" operator="lessThan">
      <formula>0</formula>
    </cfRule>
    <cfRule type="cellIs" dxfId="29460" priority="132" operator="lessThan">
      <formula>-105575</formula>
    </cfRule>
  </conditionalFormatting>
  <conditionalFormatting sqref="BB270:BB272">
    <cfRule type="cellIs" dxfId="29459" priority="129" operator="lessThan">
      <formula>0</formula>
    </cfRule>
    <cfRule type="cellIs" dxfId="29458" priority="130" operator="lessThan">
      <formula>-105575</formula>
    </cfRule>
  </conditionalFormatting>
  <conditionalFormatting sqref="BB274:BB275">
    <cfRule type="cellIs" dxfId="29457" priority="127" operator="lessThan">
      <formula>0</formula>
    </cfRule>
    <cfRule type="cellIs" dxfId="29456" priority="128" operator="lessThan">
      <formula>-105575</formula>
    </cfRule>
  </conditionalFormatting>
  <conditionalFormatting sqref="BB274:BB275">
    <cfRule type="cellIs" dxfId="29455" priority="125" operator="lessThan">
      <formula>0</formula>
    </cfRule>
    <cfRule type="cellIs" dxfId="29454" priority="126" operator="lessThan">
      <formula>-105575</formula>
    </cfRule>
  </conditionalFormatting>
  <conditionalFormatting sqref="BB274:BB275">
    <cfRule type="cellIs" dxfId="29453" priority="123" operator="lessThan">
      <formula>0</formula>
    </cfRule>
    <cfRule type="cellIs" dxfId="29452" priority="124" operator="lessThan">
      <formula>-105575</formula>
    </cfRule>
  </conditionalFormatting>
  <conditionalFormatting sqref="BB274:BB275">
    <cfRule type="cellIs" dxfId="29451" priority="121" operator="lessThan">
      <formula>0</formula>
    </cfRule>
    <cfRule type="cellIs" dxfId="29450" priority="122" operator="lessThan">
      <formula>-105575</formula>
    </cfRule>
  </conditionalFormatting>
  <conditionalFormatting sqref="BB274:BB275">
    <cfRule type="cellIs" dxfId="29449" priority="119" operator="lessThan">
      <formula>0</formula>
    </cfRule>
    <cfRule type="cellIs" dxfId="29448" priority="120" operator="lessThan">
      <formula>-105575</formula>
    </cfRule>
  </conditionalFormatting>
  <conditionalFormatting sqref="BB274:BB275">
    <cfRule type="cellIs" dxfId="29447" priority="117" operator="lessThan">
      <formula>0</formula>
    </cfRule>
    <cfRule type="cellIs" dxfId="29446" priority="118" operator="lessThan">
      <formula>-105575</formula>
    </cfRule>
  </conditionalFormatting>
  <conditionalFormatting sqref="BB274:BB275">
    <cfRule type="cellIs" dxfId="29445" priority="115" operator="lessThan">
      <formula>0</formula>
    </cfRule>
    <cfRule type="cellIs" dxfId="29444" priority="116" operator="lessThan">
      <formula>-105575</formula>
    </cfRule>
  </conditionalFormatting>
  <conditionalFormatting sqref="BB274:BB275">
    <cfRule type="cellIs" dxfId="29443" priority="113" operator="lessThan">
      <formula>0</formula>
    </cfRule>
    <cfRule type="cellIs" dxfId="29442" priority="114" operator="lessThan">
      <formula>-105575</formula>
    </cfRule>
  </conditionalFormatting>
  <conditionalFormatting sqref="BB274:BB275">
    <cfRule type="cellIs" dxfId="29441" priority="111" operator="lessThan">
      <formula>0</formula>
    </cfRule>
    <cfRule type="cellIs" dxfId="29440" priority="112" operator="lessThan">
      <formula>-105575</formula>
    </cfRule>
  </conditionalFormatting>
  <conditionalFormatting sqref="BB278:BB282">
    <cfRule type="cellIs" dxfId="29439" priority="109" operator="lessThan">
      <formula>0</formula>
    </cfRule>
    <cfRule type="cellIs" dxfId="29438" priority="110" operator="lessThan">
      <formula>-105575</formula>
    </cfRule>
  </conditionalFormatting>
  <conditionalFormatting sqref="BB278:BB282">
    <cfRule type="cellIs" dxfId="29437" priority="107" operator="lessThan">
      <formula>0</formula>
    </cfRule>
    <cfRule type="cellIs" dxfId="29436" priority="108" operator="lessThan">
      <formula>-105575</formula>
    </cfRule>
  </conditionalFormatting>
  <conditionalFormatting sqref="BB278:BB282">
    <cfRule type="cellIs" dxfId="29435" priority="105" operator="lessThan">
      <formula>0</formula>
    </cfRule>
    <cfRule type="cellIs" dxfId="29434" priority="106" operator="lessThan">
      <formula>-105575</formula>
    </cfRule>
  </conditionalFormatting>
  <conditionalFormatting sqref="BB278:BB282">
    <cfRule type="cellIs" dxfId="29433" priority="103" operator="lessThan">
      <formula>0</formula>
    </cfRule>
    <cfRule type="cellIs" dxfId="29432" priority="104" operator="lessThan">
      <formula>-105575</formula>
    </cfRule>
  </conditionalFormatting>
  <conditionalFormatting sqref="BB278:BB282">
    <cfRule type="cellIs" dxfId="29431" priority="101" operator="lessThan">
      <formula>0</formula>
    </cfRule>
    <cfRule type="cellIs" dxfId="29430" priority="102" operator="lessThan">
      <formula>-105575</formula>
    </cfRule>
  </conditionalFormatting>
  <conditionalFormatting sqref="BB278:BB282">
    <cfRule type="cellIs" dxfId="29429" priority="99" operator="lessThan">
      <formula>0</formula>
    </cfRule>
    <cfRule type="cellIs" dxfId="29428" priority="100" operator="lessThan">
      <formula>-105575</formula>
    </cfRule>
  </conditionalFormatting>
  <conditionalFormatting sqref="BB278:BB282">
    <cfRule type="cellIs" dxfId="29427" priority="97" operator="lessThan">
      <formula>0</formula>
    </cfRule>
    <cfRule type="cellIs" dxfId="29426" priority="98" operator="lessThan">
      <formula>-105575</formula>
    </cfRule>
  </conditionalFormatting>
  <conditionalFormatting sqref="BB278:BB282">
    <cfRule type="cellIs" dxfId="29425" priority="95" operator="lessThan">
      <formula>0</formula>
    </cfRule>
    <cfRule type="cellIs" dxfId="29424" priority="96" operator="lessThan">
      <formula>-105575</formula>
    </cfRule>
  </conditionalFormatting>
  <conditionalFormatting sqref="BB278:BB282">
    <cfRule type="cellIs" dxfId="29423" priority="93" operator="lessThan">
      <formula>0</formula>
    </cfRule>
    <cfRule type="cellIs" dxfId="29422" priority="94" operator="lessThan">
      <formula>-105575</formula>
    </cfRule>
  </conditionalFormatting>
  <conditionalFormatting sqref="BB285:BB288">
    <cfRule type="cellIs" dxfId="29421" priority="91" operator="lessThan">
      <formula>0</formula>
    </cfRule>
    <cfRule type="cellIs" dxfId="29420" priority="92" operator="lessThan">
      <formula>-105575</formula>
    </cfRule>
  </conditionalFormatting>
  <conditionalFormatting sqref="BB285:BB288">
    <cfRule type="cellIs" dxfId="29419" priority="89" operator="lessThan">
      <formula>0</formula>
    </cfRule>
    <cfRule type="cellIs" dxfId="29418" priority="90" operator="lessThan">
      <formula>-105575</formula>
    </cfRule>
  </conditionalFormatting>
  <conditionalFormatting sqref="BB285:BB288">
    <cfRule type="cellIs" dxfId="29417" priority="87" operator="lessThan">
      <formula>0</formula>
    </cfRule>
    <cfRule type="cellIs" dxfId="29416" priority="88" operator="lessThan">
      <formula>-105575</formula>
    </cfRule>
  </conditionalFormatting>
  <conditionalFormatting sqref="BB285:BB288">
    <cfRule type="cellIs" dxfId="29415" priority="85" operator="lessThan">
      <formula>0</formula>
    </cfRule>
    <cfRule type="cellIs" dxfId="29414" priority="86" operator="lessThan">
      <formula>-105575</formula>
    </cfRule>
  </conditionalFormatting>
  <conditionalFormatting sqref="BB285:BB288">
    <cfRule type="cellIs" dxfId="29413" priority="83" operator="lessThan">
      <formula>0</formula>
    </cfRule>
    <cfRule type="cellIs" dxfId="29412" priority="84" operator="lessThan">
      <formula>-105575</formula>
    </cfRule>
  </conditionalFormatting>
  <conditionalFormatting sqref="BB285:BB288">
    <cfRule type="cellIs" dxfId="29411" priority="81" operator="lessThan">
      <formula>0</formula>
    </cfRule>
    <cfRule type="cellIs" dxfId="29410" priority="82" operator="lessThan">
      <formula>-105575</formula>
    </cfRule>
  </conditionalFormatting>
  <conditionalFormatting sqref="BB285:BB288">
    <cfRule type="cellIs" dxfId="29409" priority="79" operator="lessThan">
      <formula>0</formula>
    </cfRule>
    <cfRule type="cellIs" dxfId="29408" priority="80" operator="lessThan">
      <formula>-105575</formula>
    </cfRule>
  </conditionalFormatting>
  <conditionalFormatting sqref="BB285:BB288">
    <cfRule type="cellIs" dxfId="29407" priority="77" operator="lessThan">
      <formula>0</formula>
    </cfRule>
    <cfRule type="cellIs" dxfId="29406" priority="78" operator="lessThan">
      <formula>-105575</formula>
    </cfRule>
  </conditionalFormatting>
  <conditionalFormatting sqref="BB285:BB288">
    <cfRule type="cellIs" dxfId="29405" priority="75" operator="lessThan">
      <formula>0</formula>
    </cfRule>
    <cfRule type="cellIs" dxfId="29404" priority="76" operator="lessThan">
      <formula>-105575</formula>
    </cfRule>
  </conditionalFormatting>
  <conditionalFormatting sqref="BB80:BB84">
    <cfRule type="cellIs" dxfId="29403" priority="73" operator="lessThan">
      <formula>0</formula>
    </cfRule>
    <cfRule type="cellIs" dxfId="29402" priority="74" operator="lessThan">
      <formula>-105575</formula>
    </cfRule>
  </conditionalFormatting>
  <conditionalFormatting sqref="BB86:BB87">
    <cfRule type="cellIs" dxfId="29401" priority="71" operator="lessThan">
      <formula>0</formula>
    </cfRule>
    <cfRule type="cellIs" dxfId="29400" priority="72" operator="lessThan">
      <formula>-105575</formula>
    </cfRule>
  </conditionalFormatting>
  <conditionalFormatting sqref="BB89:BB91">
    <cfRule type="cellIs" dxfId="29399" priority="69" operator="lessThan">
      <formula>0</formula>
    </cfRule>
    <cfRule type="cellIs" dxfId="29398" priority="70" operator="lessThan">
      <formula>-105575</formula>
    </cfRule>
  </conditionalFormatting>
  <conditionalFormatting sqref="BB94:BB98">
    <cfRule type="cellIs" dxfId="29397" priority="67" operator="lessThan">
      <formula>0</formula>
    </cfRule>
    <cfRule type="cellIs" dxfId="29396" priority="68" operator="lessThan">
      <formula>-105575</formula>
    </cfRule>
  </conditionalFormatting>
  <conditionalFormatting sqref="BB101:BB104">
    <cfRule type="cellIs" dxfId="29395" priority="65" operator="lessThan">
      <formula>0</formula>
    </cfRule>
    <cfRule type="cellIs" dxfId="29394" priority="66" operator="lessThan">
      <formula>-105575</formula>
    </cfRule>
  </conditionalFormatting>
  <conditionalFormatting sqref="BB107:BB109">
    <cfRule type="cellIs" dxfId="29393" priority="63" operator="lessThan">
      <formula>0</formula>
    </cfRule>
    <cfRule type="cellIs" dxfId="29392" priority="64" operator="lessThan">
      <formula>-105575</formula>
    </cfRule>
  </conditionalFormatting>
  <conditionalFormatting sqref="BB112:BB116">
    <cfRule type="cellIs" dxfId="29391" priority="61" operator="lessThan">
      <formula>0</formula>
    </cfRule>
    <cfRule type="cellIs" dxfId="29390" priority="62" operator="lessThan">
      <formula>-105575</formula>
    </cfRule>
  </conditionalFormatting>
  <conditionalFormatting sqref="BB119:BB121">
    <cfRule type="cellIs" dxfId="29389" priority="59" operator="lessThan">
      <formula>0</formula>
    </cfRule>
    <cfRule type="cellIs" dxfId="29388" priority="60" operator="lessThan">
      <formula>-105575</formula>
    </cfRule>
  </conditionalFormatting>
  <conditionalFormatting sqref="BB124:BB132">
    <cfRule type="cellIs" dxfId="29387" priority="57" operator="lessThan">
      <formula>0</formula>
    </cfRule>
    <cfRule type="cellIs" dxfId="29386" priority="58" operator="lessThan">
      <formula>-105575</formula>
    </cfRule>
  </conditionalFormatting>
  <conditionalFormatting sqref="BB135:BB138">
    <cfRule type="cellIs" dxfId="29385" priority="55" operator="lessThan">
      <formula>0</formula>
    </cfRule>
    <cfRule type="cellIs" dxfId="29384" priority="56" operator="lessThan">
      <formula>-105575</formula>
    </cfRule>
  </conditionalFormatting>
  <conditionalFormatting sqref="BB141:BB148">
    <cfRule type="cellIs" dxfId="29383" priority="53" operator="lessThan">
      <formula>0</formula>
    </cfRule>
    <cfRule type="cellIs" dxfId="29382" priority="54" operator="lessThan">
      <formula>-105575</formula>
    </cfRule>
  </conditionalFormatting>
  <conditionalFormatting sqref="BB152:BB155">
    <cfRule type="cellIs" dxfId="29381" priority="51" operator="lessThan">
      <formula>0</formula>
    </cfRule>
    <cfRule type="cellIs" dxfId="29380" priority="52" operator="lessThan">
      <formula>-105575</formula>
    </cfRule>
  </conditionalFormatting>
  <conditionalFormatting sqref="BB157:BB158">
    <cfRule type="cellIs" dxfId="29379" priority="49" operator="lessThan">
      <formula>0</formula>
    </cfRule>
    <cfRule type="cellIs" dxfId="29378" priority="50" operator="lessThan">
      <formula>-105575</formula>
    </cfRule>
  </conditionalFormatting>
  <conditionalFormatting sqref="BB160:BB161">
    <cfRule type="cellIs" dxfId="29377" priority="47" operator="lessThan">
      <formula>0</formula>
    </cfRule>
    <cfRule type="cellIs" dxfId="29376" priority="48" operator="lessThan">
      <formula>-105575</formula>
    </cfRule>
  </conditionalFormatting>
  <conditionalFormatting sqref="BB164:BB167">
    <cfRule type="cellIs" dxfId="29375" priority="45" operator="lessThan">
      <formula>0</formula>
    </cfRule>
    <cfRule type="cellIs" dxfId="29374" priority="46" operator="lessThan">
      <formula>-105575</formula>
    </cfRule>
  </conditionalFormatting>
  <conditionalFormatting sqref="BB169:BB177">
    <cfRule type="cellIs" dxfId="29373" priority="43" operator="lessThan">
      <formula>0</formula>
    </cfRule>
    <cfRule type="cellIs" dxfId="29372" priority="44" operator="lessThan">
      <formula>-105575</formula>
    </cfRule>
  </conditionalFormatting>
  <conditionalFormatting sqref="BB179:BB180">
    <cfRule type="cellIs" dxfId="29371" priority="41" operator="lessThan">
      <formula>0</formula>
    </cfRule>
    <cfRule type="cellIs" dxfId="29370" priority="42" operator="lessThan">
      <formula>-105575</formula>
    </cfRule>
  </conditionalFormatting>
  <conditionalFormatting sqref="BB183:BB189">
    <cfRule type="cellIs" dxfId="29369" priority="39" operator="lessThan">
      <formula>0</formula>
    </cfRule>
    <cfRule type="cellIs" dxfId="29368" priority="40" operator="lessThan">
      <formula>-105575</formula>
    </cfRule>
  </conditionalFormatting>
  <conditionalFormatting sqref="BB191:BB192">
    <cfRule type="cellIs" dxfId="29367" priority="37" operator="lessThan">
      <formula>0</formula>
    </cfRule>
    <cfRule type="cellIs" dxfId="29366" priority="38" operator="lessThan">
      <formula>-105575</formula>
    </cfRule>
  </conditionalFormatting>
  <conditionalFormatting sqref="BB194:BB195">
    <cfRule type="cellIs" dxfId="29365" priority="35" operator="lessThan">
      <formula>0</formula>
    </cfRule>
    <cfRule type="cellIs" dxfId="29364" priority="36" operator="lessThan">
      <formula>-105575</formula>
    </cfRule>
  </conditionalFormatting>
  <conditionalFormatting sqref="BB199:BB202">
    <cfRule type="cellIs" dxfId="29363" priority="33" operator="lessThan">
      <formula>0</formula>
    </cfRule>
    <cfRule type="cellIs" dxfId="29362" priority="34" operator="lessThan">
      <formula>-105575</formula>
    </cfRule>
  </conditionalFormatting>
  <conditionalFormatting sqref="BB204:BB208">
    <cfRule type="cellIs" dxfId="29361" priority="31" operator="lessThan">
      <formula>0</formula>
    </cfRule>
    <cfRule type="cellIs" dxfId="29360" priority="32" operator="lessThan">
      <formula>-105575</formula>
    </cfRule>
  </conditionalFormatting>
  <conditionalFormatting sqref="BB210:BB211">
    <cfRule type="cellIs" dxfId="29359" priority="29" operator="lessThan">
      <formula>0</formula>
    </cfRule>
    <cfRule type="cellIs" dxfId="29358" priority="30" operator="lessThan">
      <formula>-105575</formula>
    </cfRule>
  </conditionalFormatting>
  <conditionalFormatting sqref="BB214:BB219">
    <cfRule type="cellIs" dxfId="29357" priority="27" operator="lessThan">
      <formula>0</formula>
    </cfRule>
    <cfRule type="cellIs" dxfId="29356" priority="28" operator="lessThan">
      <formula>-105575</formula>
    </cfRule>
  </conditionalFormatting>
  <conditionalFormatting sqref="BB222:BB224">
    <cfRule type="cellIs" dxfId="29355" priority="25" operator="lessThan">
      <formula>0</formula>
    </cfRule>
    <cfRule type="cellIs" dxfId="29354" priority="26" operator="lessThan">
      <formula>-105575</formula>
    </cfRule>
  </conditionalFormatting>
  <conditionalFormatting sqref="BB227:BB230">
    <cfRule type="cellIs" dxfId="29353" priority="23" operator="lessThan">
      <formula>0</formula>
    </cfRule>
    <cfRule type="cellIs" dxfId="29352" priority="24" operator="lessThan">
      <formula>-105575</formula>
    </cfRule>
  </conditionalFormatting>
  <conditionalFormatting sqref="BB233:BB236">
    <cfRule type="cellIs" dxfId="29351" priority="21" operator="lessThan">
      <formula>0</formula>
    </cfRule>
    <cfRule type="cellIs" dxfId="29350" priority="22" operator="lessThan">
      <formula>-105575</formula>
    </cfRule>
  </conditionalFormatting>
  <conditionalFormatting sqref="BB239:BB242">
    <cfRule type="cellIs" dxfId="29349" priority="19" operator="lessThan">
      <formula>0</formula>
    </cfRule>
    <cfRule type="cellIs" dxfId="29348" priority="20" operator="lessThan">
      <formula>-105575</formula>
    </cfRule>
  </conditionalFormatting>
  <conditionalFormatting sqref="BB246:BB249">
    <cfRule type="cellIs" dxfId="29347" priority="17" operator="lessThan">
      <formula>0</formula>
    </cfRule>
    <cfRule type="cellIs" dxfId="29346" priority="18" operator="lessThan">
      <formula>-105575</formula>
    </cfRule>
  </conditionalFormatting>
  <conditionalFormatting sqref="BB251:BB253">
    <cfRule type="cellIs" dxfId="29345" priority="15" operator="lessThan">
      <formula>0</formula>
    </cfRule>
    <cfRule type="cellIs" dxfId="29344" priority="16" operator="lessThan">
      <formula>-105575</formula>
    </cfRule>
  </conditionalFormatting>
  <conditionalFormatting sqref="BB255:BB257">
    <cfRule type="cellIs" dxfId="29343" priority="13" operator="lessThan">
      <formula>0</formula>
    </cfRule>
    <cfRule type="cellIs" dxfId="29342" priority="14" operator="lessThan">
      <formula>-105575</formula>
    </cfRule>
  </conditionalFormatting>
  <conditionalFormatting sqref="BB260:BB262">
    <cfRule type="cellIs" dxfId="29341" priority="11" operator="lessThan">
      <formula>0</formula>
    </cfRule>
    <cfRule type="cellIs" dxfId="29340" priority="12" operator="lessThan">
      <formula>-105575</formula>
    </cfRule>
  </conditionalFormatting>
  <conditionalFormatting sqref="BB264:BB267">
    <cfRule type="cellIs" dxfId="29339" priority="9" operator="lessThan">
      <formula>0</formula>
    </cfRule>
    <cfRule type="cellIs" dxfId="29338" priority="10" operator="lessThan">
      <formula>-105575</formula>
    </cfRule>
  </conditionalFormatting>
  <conditionalFormatting sqref="BB270:BB272">
    <cfRule type="cellIs" dxfId="29337" priority="7" operator="lessThan">
      <formula>0</formula>
    </cfRule>
    <cfRule type="cellIs" dxfId="29336" priority="8" operator="lessThan">
      <formula>-105575</formula>
    </cfRule>
  </conditionalFormatting>
  <conditionalFormatting sqref="BB274:BB275">
    <cfRule type="cellIs" dxfId="29335" priority="5" operator="lessThan">
      <formula>0</formula>
    </cfRule>
    <cfRule type="cellIs" dxfId="29334" priority="6" operator="lessThan">
      <formula>-105575</formula>
    </cfRule>
  </conditionalFormatting>
  <conditionalFormatting sqref="BB278:BB282">
    <cfRule type="cellIs" dxfId="29333" priority="3" operator="lessThan">
      <formula>0</formula>
    </cfRule>
    <cfRule type="cellIs" dxfId="29332" priority="4" operator="lessThan">
      <formula>-105575</formula>
    </cfRule>
  </conditionalFormatting>
  <conditionalFormatting sqref="BB285:BB288">
    <cfRule type="cellIs" dxfId="29331" priority="1" operator="lessThan">
      <formula>0</formula>
    </cfRule>
    <cfRule type="cellIs" dxfId="29330" priority="2" operator="lessThan">
      <formula>-105575</formula>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F292"/>
  <sheetViews>
    <sheetView topLeftCell="AN1" zoomScale="60" zoomScaleNormal="60" workbookViewId="0">
      <selection activeCell="AQ3" sqref="AQ3:BB4"/>
    </sheetView>
  </sheetViews>
  <sheetFormatPr defaultColWidth="8.85546875" defaultRowHeight="15" outlineLevelRow="2" outlineLevelCol="2" x14ac:dyDescent="0.25"/>
  <cols>
    <col min="1" max="1" width="4.140625" style="183" bestFit="1" customWidth="1"/>
    <col min="2" max="2" width="3.28515625" style="183" customWidth="1"/>
    <col min="3" max="3" width="2.42578125" style="101" customWidth="1"/>
    <col min="4" max="4" width="24.7109375" style="101" customWidth="1"/>
    <col min="5" max="5" width="41.42578125" style="102" customWidth="1" outlineLevel="1"/>
    <col min="6" max="6" width="12.140625" style="101" customWidth="1" outlineLevel="1"/>
    <col min="7" max="7" width="12.7109375" style="101" customWidth="1" outlineLevel="1"/>
    <col min="8" max="8" width="97.85546875" style="101" customWidth="1" outlineLevel="2"/>
    <col min="9" max="9" width="16.140625" style="239" customWidth="1" outlineLevel="2"/>
    <col min="10" max="10" width="8.42578125" style="239" bestFit="1" customWidth="1" outlineLevel="2"/>
    <col min="11" max="11" width="12" style="239" bestFit="1" customWidth="1" outlineLevel="2"/>
    <col min="12" max="12" width="21.42578125" style="239" customWidth="1" outlineLevel="1"/>
    <col min="13" max="13" width="19.140625" style="239" customWidth="1" outlineLevel="1"/>
    <col min="14" max="14" width="10.5703125" style="239" customWidth="1" outlineLevel="2"/>
    <col min="15" max="15" width="11" style="239" customWidth="1" outlineLevel="2"/>
    <col min="16" max="16" width="13.28515625" style="239" customWidth="1" outlineLevel="2"/>
    <col min="17" max="17" width="14.140625" style="239" customWidth="1" outlineLevel="2"/>
    <col min="18" max="18" width="14.7109375" style="239" customWidth="1" outlineLevel="2"/>
    <col min="19" max="20" width="12.140625" style="239" customWidth="1" outlineLevel="2"/>
    <col min="21" max="21" width="14.5703125" style="239" customWidth="1" outlineLevel="2"/>
    <col min="22" max="23" width="8.42578125" style="239" bestFit="1" customWidth="1" outlineLevel="2"/>
    <col min="24" max="24" width="7.5703125" style="239" customWidth="1" outlineLevel="2"/>
    <col min="25" max="25" width="12" style="239" bestFit="1" customWidth="1" outlineLevel="1"/>
    <col min="26" max="26" width="8.42578125" style="239" bestFit="1" customWidth="1" outlineLevel="2"/>
    <col min="27" max="27" width="9" style="239" bestFit="1" customWidth="1" outlineLevel="2"/>
    <col min="28" max="28" width="14.42578125" style="239" customWidth="1" outlineLevel="1"/>
    <col min="29" max="29" width="24.140625" style="239" customWidth="1" outlineLevel="1"/>
    <col min="30" max="30" width="12.85546875" style="239" customWidth="1" outlineLevel="2"/>
    <col min="31" max="31" width="22.28515625" style="239" customWidth="1" outlineLevel="2"/>
    <col min="32" max="32" width="20.7109375" style="239" customWidth="1" outlineLevel="1"/>
    <col min="33" max="34" width="9" style="239" bestFit="1" customWidth="1" outlineLevel="2"/>
    <col min="35" max="35" width="7.28515625" style="239" customWidth="1" outlineLevel="2"/>
    <col min="36" max="36" width="18" style="239" customWidth="1" outlineLevel="2"/>
    <col min="37" max="37" width="13.28515625" style="239" customWidth="1" outlineLevel="2"/>
    <col min="38" max="38" width="17.5703125" style="239" customWidth="1" outlineLevel="2"/>
    <col min="39" max="39" width="20.28515625" style="239" customWidth="1" outlineLevel="1"/>
    <col min="40" max="40" width="17" style="239" customWidth="1" outlineLevel="1"/>
    <col min="41" max="41" width="39.85546875" style="239" customWidth="1" outlineLevel="2"/>
    <col min="42" max="42" width="2.7109375" style="239" customWidth="1"/>
    <col min="43" max="43" width="23.140625" style="239" customWidth="1"/>
    <col min="44" max="44" width="26" style="239" customWidth="1"/>
    <col min="45" max="45" width="23.5703125" style="239" customWidth="1"/>
    <col min="46" max="46" width="25.7109375" style="239" customWidth="1"/>
    <col min="47" max="47" width="24" style="235" customWidth="1"/>
    <col min="48" max="48" width="21.42578125" style="235" customWidth="1"/>
    <col min="49" max="49" width="20.42578125" style="235" customWidth="1"/>
    <col min="50" max="51" width="15" style="235" customWidth="1"/>
    <col min="52" max="52" width="21.42578125" style="235" customWidth="1"/>
    <col min="53" max="53" width="15" style="235" customWidth="1"/>
    <col min="54" max="54" width="24.140625" style="235" customWidth="1"/>
    <col min="55" max="58" width="9.140625" style="167" customWidth="1"/>
    <col min="59" max="16384" width="8.85546875" style="169"/>
  </cols>
  <sheetData>
    <row r="1" spans="1:58" s="183" customFormat="1" ht="15.75" customHeight="1" x14ac:dyDescent="0.25">
      <c r="A1" s="115"/>
      <c r="B1" s="395" t="s">
        <v>230</v>
      </c>
      <c r="C1" s="395"/>
      <c r="D1" s="395"/>
      <c r="E1" s="395"/>
      <c r="F1" s="395"/>
      <c r="G1" s="395"/>
      <c r="H1" s="395"/>
      <c r="I1" s="373"/>
      <c r="J1" s="373"/>
      <c r="K1" s="373"/>
      <c r="L1" s="373"/>
      <c r="M1" s="232"/>
      <c r="N1" s="233"/>
      <c r="O1" s="233"/>
      <c r="P1" s="233"/>
      <c r="Q1" s="233"/>
      <c r="R1" s="233"/>
      <c r="S1" s="233"/>
      <c r="T1" s="233"/>
      <c r="U1" s="233"/>
      <c r="V1" s="233"/>
      <c r="W1" s="233"/>
      <c r="X1" s="233"/>
      <c r="Y1" s="233"/>
      <c r="Z1" s="233"/>
      <c r="AA1" s="233"/>
      <c r="AB1" s="233"/>
      <c r="AC1" s="233"/>
      <c r="AD1" s="233"/>
      <c r="AE1" s="233"/>
      <c r="AF1" s="233"/>
      <c r="AG1" s="233"/>
      <c r="AH1" s="233"/>
      <c r="AI1" s="233"/>
      <c r="AJ1" s="233"/>
      <c r="AK1" s="233"/>
      <c r="AL1" s="233"/>
      <c r="AM1" s="233"/>
      <c r="AN1" s="233"/>
      <c r="AO1" s="233"/>
      <c r="AP1" s="234"/>
      <c r="AQ1" s="234"/>
      <c r="AR1" s="234"/>
      <c r="AS1" s="234"/>
      <c r="AT1" s="234"/>
      <c r="AU1" s="235"/>
      <c r="AV1" s="235"/>
      <c r="AW1" s="235"/>
      <c r="AX1" s="235"/>
      <c r="AY1" s="235"/>
      <c r="AZ1" s="235"/>
      <c r="BA1" s="235"/>
      <c r="BB1" s="235"/>
    </row>
    <row r="2" spans="1:58" ht="78.75" customHeight="1" x14ac:dyDescent="0.25">
      <c r="A2" s="115" t="s">
        <v>55</v>
      </c>
      <c r="B2" s="385" t="s">
        <v>120</v>
      </c>
      <c r="C2" s="386"/>
      <c r="D2" s="386"/>
      <c r="E2" s="387"/>
      <c r="F2" s="296" t="s">
        <v>133</v>
      </c>
      <c r="G2" s="296" t="s">
        <v>134</v>
      </c>
      <c r="H2" s="116" t="s">
        <v>54</v>
      </c>
      <c r="I2" s="236" t="s">
        <v>0</v>
      </c>
      <c r="J2" s="236" t="s">
        <v>14</v>
      </c>
      <c r="K2" s="236" t="s">
        <v>15</v>
      </c>
      <c r="L2" s="237" t="s">
        <v>11</v>
      </c>
      <c r="M2" s="237" t="s">
        <v>82</v>
      </c>
      <c r="N2" s="236" t="s">
        <v>16</v>
      </c>
      <c r="O2" s="236" t="s">
        <v>7</v>
      </c>
      <c r="P2" s="236" t="s">
        <v>6</v>
      </c>
      <c r="Q2" s="236" t="s">
        <v>8</v>
      </c>
      <c r="R2" s="237" t="s">
        <v>57</v>
      </c>
      <c r="S2" s="237" t="s">
        <v>65</v>
      </c>
      <c r="T2" s="237" t="s">
        <v>64</v>
      </c>
      <c r="U2" s="237" t="s">
        <v>63</v>
      </c>
      <c r="V2" s="236" t="s">
        <v>17</v>
      </c>
      <c r="W2" s="236" t="s">
        <v>67</v>
      </c>
      <c r="X2" s="236" t="s">
        <v>6</v>
      </c>
      <c r="Y2" s="237" t="s">
        <v>71</v>
      </c>
      <c r="Z2" s="236" t="s">
        <v>10</v>
      </c>
      <c r="AA2" s="236" t="s">
        <v>9</v>
      </c>
      <c r="AB2" s="237" t="s">
        <v>70</v>
      </c>
      <c r="AC2" s="238" t="s">
        <v>18</v>
      </c>
      <c r="AD2" s="237" t="s">
        <v>79</v>
      </c>
      <c r="AE2" s="237" t="s">
        <v>23</v>
      </c>
      <c r="AF2" s="237" t="s">
        <v>80</v>
      </c>
      <c r="AG2" s="236" t="s">
        <v>20</v>
      </c>
      <c r="AH2" s="236" t="s">
        <v>21</v>
      </c>
      <c r="AI2" s="236" t="s">
        <v>22</v>
      </c>
      <c r="AJ2" s="236" t="s">
        <v>99</v>
      </c>
      <c r="AK2" s="236" t="s">
        <v>101</v>
      </c>
      <c r="AL2" s="236" t="s">
        <v>90</v>
      </c>
      <c r="AM2" s="237" t="s">
        <v>92</v>
      </c>
      <c r="AN2" s="237" t="s">
        <v>13</v>
      </c>
      <c r="AO2" s="236"/>
      <c r="AQ2" s="402" t="s">
        <v>535</v>
      </c>
      <c r="AR2" s="403"/>
      <c r="AS2" s="403"/>
      <c r="AT2" s="403"/>
      <c r="AU2" s="403"/>
      <c r="AV2" s="403"/>
      <c r="AW2" s="403"/>
      <c r="AX2" s="403"/>
      <c r="AY2" s="403"/>
      <c r="AZ2" s="403"/>
      <c r="BA2" s="403"/>
      <c r="BB2" s="404"/>
      <c r="BC2" s="169"/>
      <c r="BD2" s="169"/>
      <c r="BE2" s="169"/>
      <c r="BF2" s="169"/>
    </row>
    <row r="3" spans="1:58" s="79" customFormat="1" ht="110.25" customHeight="1" x14ac:dyDescent="0.25">
      <c r="A3" s="118" t="s">
        <v>56</v>
      </c>
      <c r="B3" s="385" t="s">
        <v>121</v>
      </c>
      <c r="C3" s="386"/>
      <c r="D3" s="386"/>
      <c r="E3" s="387"/>
      <c r="F3" s="296" t="s">
        <v>135</v>
      </c>
      <c r="G3" s="296" t="s">
        <v>135</v>
      </c>
      <c r="H3" s="119" t="s">
        <v>45</v>
      </c>
      <c r="I3" s="236" t="s">
        <v>51</v>
      </c>
      <c r="J3" s="236" t="s">
        <v>52</v>
      </c>
      <c r="K3" s="236" t="s">
        <v>53</v>
      </c>
      <c r="L3" s="237" t="s">
        <v>117</v>
      </c>
      <c r="M3" s="237" t="s">
        <v>116</v>
      </c>
      <c r="N3" s="236" t="s">
        <v>73</v>
      </c>
      <c r="O3" s="236" t="s">
        <v>72</v>
      </c>
      <c r="P3" s="236" t="s">
        <v>74</v>
      </c>
      <c r="Q3" s="236" t="s">
        <v>75</v>
      </c>
      <c r="R3" s="237" t="s">
        <v>115</v>
      </c>
      <c r="S3" s="237" t="s">
        <v>114</v>
      </c>
      <c r="T3" s="237" t="s">
        <v>113</v>
      </c>
      <c r="U3" s="237" t="s">
        <v>112</v>
      </c>
      <c r="V3" s="236" t="s">
        <v>76</v>
      </c>
      <c r="W3" s="236" t="s">
        <v>77</v>
      </c>
      <c r="X3" s="236" t="s">
        <v>78</v>
      </c>
      <c r="Y3" s="237" t="s">
        <v>111</v>
      </c>
      <c r="Z3" s="236" t="s">
        <v>68</v>
      </c>
      <c r="AA3" s="236" t="s">
        <v>69</v>
      </c>
      <c r="AB3" s="237" t="s">
        <v>110</v>
      </c>
      <c r="AC3" s="238" t="s">
        <v>109</v>
      </c>
      <c r="AD3" s="237" t="s">
        <v>108</v>
      </c>
      <c r="AE3" s="237" t="s">
        <v>107</v>
      </c>
      <c r="AF3" s="237" t="s">
        <v>106</v>
      </c>
      <c r="AG3" s="236" t="s">
        <v>87</v>
      </c>
      <c r="AH3" s="236" t="s">
        <v>89</v>
      </c>
      <c r="AI3" s="236" t="s">
        <v>88</v>
      </c>
      <c r="AJ3" s="237" t="s">
        <v>100</v>
      </c>
      <c r="AK3" s="237" t="s">
        <v>102</v>
      </c>
      <c r="AL3" s="237" t="s">
        <v>96</v>
      </c>
      <c r="AM3" s="237" t="s">
        <v>104</v>
      </c>
      <c r="AN3" s="237" t="s">
        <v>105</v>
      </c>
      <c r="AO3" s="236"/>
      <c r="AP3" s="240"/>
      <c r="AQ3" s="370" t="s">
        <v>123</v>
      </c>
      <c r="AR3" s="370" t="s">
        <v>24</v>
      </c>
      <c r="AS3" s="370" t="s">
        <v>12</v>
      </c>
      <c r="AT3" s="370" t="s">
        <v>19</v>
      </c>
      <c r="AU3" s="371" t="s">
        <v>124</v>
      </c>
      <c r="AV3" s="371" t="s">
        <v>125</v>
      </c>
      <c r="AW3" s="371" t="s">
        <v>222</v>
      </c>
      <c r="AX3" s="371" t="s">
        <v>136</v>
      </c>
      <c r="AY3" s="371" t="s">
        <v>546</v>
      </c>
      <c r="AZ3" s="371" t="s">
        <v>565</v>
      </c>
      <c r="BA3" s="372" t="s">
        <v>126</v>
      </c>
      <c r="BB3" s="371" t="s">
        <v>25</v>
      </c>
    </row>
    <row r="4" spans="1:58" s="81" customFormat="1" ht="63" x14ac:dyDescent="0.25">
      <c r="A4" s="120"/>
      <c r="B4" s="121"/>
      <c r="C4" s="122"/>
      <c r="D4" s="122"/>
      <c r="E4" s="123"/>
      <c r="F4" s="123" t="s">
        <v>131</v>
      </c>
      <c r="G4" s="123" t="s">
        <v>132</v>
      </c>
      <c r="H4" s="116" t="s">
        <v>119</v>
      </c>
      <c r="I4" s="241" t="s">
        <v>118</v>
      </c>
      <c r="J4" s="241">
        <v>2</v>
      </c>
      <c r="K4" s="241">
        <v>3</v>
      </c>
      <c r="L4" s="241" t="s">
        <v>81</v>
      </c>
      <c r="M4" s="241" t="s">
        <v>83</v>
      </c>
      <c r="N4" s="241">
        <v>6</v>
      </c>
      <c r="O4" s="241">
        <v>7</v>
      </c>
      <c r="P4" s="241">
        <v>8</v>
      </c>
      <c r="Q4" s="241">
        <v>9</v>
      </c>
      <c r="R4" s="241" t="s">
        <v>26</v>
      </c>
      <c r="S4" s="241" t="s">
        <v>27</v>
      </c>
      <c r="T4" s="241" t="s">
        <v>28</v>
      </c>
      <c r="U4" s="241" t="s">
        <v>29</v>
      </c>
      <c r="V4" s="241">
        <v>14</v>
      </c>
      <c r="W4" s="241">
        <v>15</v>
      </c>
      <c r="X4" s="241">
        <v>16</v>
      </c>
      <c r="Y4" s="241" t="s">
        <v>84</v>
      </c>
      <c r="Z4" s="241">
        <v>18</v>
      </c>
      <c r="AA4" s="241">
        <v>19</v>
      </c>
      <c r="AB4" s="241" t="s">
        <v>85</v>
      </c>
      <c r="AC4" s="241">
        <v>21</v>
      </c>
      <c r="AD4" s="241">
        <v>22</v>
      </c>
      <c r="AE4" s="241" t="s">
        <v>94</v>
      </c>
      <c r="AF4" s="241" t="s">
        <v>86</v>
      </c>
      <c r="AG4" s="241">
        <v>25</v>
      </c>
      <c r="AH4" s="241">
        <v>26</v>
      </c>
      <c r="AI4" s="241">
        <v>27</v>
      </c>
      <c r="AJ4" s="241">
        <v>28</v>
      </c>
      <c r="AK4" s="241">
        <v>29</v>
      </c>
      <c r="AL4" s="241">
        <v>30</v>
      </c>
      <c r="AM4" s="241" t="s">
        <v>95</v>
      </c>
      <c r="AN4" s="241" t="s">
        <v>103</v>
      </c>
      <c r="AO4" s="241"/>
      <c r="AP4" s="242"/>
      <c r="AQ4" s="241" t="s">
        <v>127</v>
      </c>
      <c r="AR4" s="241" t="s">
        <v>128</v>
      </c>
      <c r="AS4" s="241" t="s">
        <v>129</v>
      </c>
      <c r="AT4" s="241" t="s">
        <v>130</v>
      </c>
      <c r="AU4" s="377">
        <v>37</v>
      </c>
      <c r="AV4" s="377">
        <v>38</v>
      </c>
      <c r="AW4" s="377">
        <v>39</v>
      </c>
      <c r="AX4" s="377">
        <v>40</v>
      </c>
      <c r="AY4" s="377"/>
      <c r="AZ4" s="377">
        <v>41</v>
      </c>
      <c r="BA4" s="377">
        <v>42</v>
      </c>
      <c r="BB4" s="377" t="s">
        <v>142</v>
      </c>
    </row>
    <row r="5" spans="1:58" s="170" customFormat="1" ht="15.75" customHeight="1" x14ac:dyDescent="0.25">
      <c r="A5" s="120"/>
      <c r="B5" s="388" t="s">
        <v>312</v>
      </c>
      <c r="C5" s="389"/>
      <c r="D5" s="389"/>
      <c r="E5" s="390"/>
      <c r="F5" s="339"/>
      <c r="G5" s="339"/>
      <c r="H5" s="113" t="s">
        <v>58</v>
      </c>
      <c r="I5" s="243"/>
      <c r="J5" s="243"/>
      <c r="K5" s="243"/>
      <c r="L5" s="243">
        <f>SUM(L6+L16+L20+L40+L45+L61)</f>
        <v>1986202675.7142859</v>
      </c>
      <c r="M5" s="243">
        <f>SUM(M6+M16+M20+M40+M45+M61)</f>
        <v>331695846.84428573</v>
      </c>
      <c r="N5" s="243"/>
      <c r="O5" s="243"/>
      <c r="P5" s="243"/>
      <c r="Q5" s="243"/>
      <c r="R5" s="243">
        <f>SUM(R6+R16+R20+R40+R45+R61)</f>
        <v>930000</v>
      </c>
      <c r="S5" s="243">
        <f>SUM(S6+S16+S20+S40+S45+S61)</f>
        <v>907500</v>
      </c>
      <c r="T5" s="243">
        <f>SUM(T6+T16+T20+T40+T45+T61)</f>
        <v>0</v>
      </c>
      <c r="U5" s="243">
        <f>SUM(U6+U16+U20+U40+U45+U61)</f>
        <v>1160000</v>
      </c>
      <c r="V5" s="243"/>
      <c r="W5" s="243"/>
      <c r="X5" s="243"/>
      <c r="Y5" s="243">
        <f>SUM(Y6+Y16+Y20+Y40+Y45+Y61)</f>
        <v>0</v>
      </c>
      <c r="Z5" s="243">
        <f t="shared" ref="Z5:AF5" si="0">SUM(Z6+Z16+Z20+Z40+Z45+Z61)</f>
        <v>0</v>
      </c>
      <c r="AA5" s="243">
        <f t="shared" si="0"/>
        <v>0</v>
      </c>
      <c r="AB5" s="243">
        <f t="shared" si="0"/>
        <v>9043000</v>
      </c>
      <c r="AC5" s="243">
        <f t="shared" si="0"/>
        <v>5650475870</v>
      </c>
      <c r="AD5" s="243">
        <f t="shared" si="0"/>
        <v>0</v>
      </c>
      <c r="AE5" s="243">
        <f t="shared" si="0"/>
        <v>98554200</v>
      </c>
      <c r="AF5" s="243">
        <f t="shared" si="0"/>
        <v>5759560570</v>
      </c>
      <c r="AG5" s="243"/>
      <c r="AH5" s="243"/>
      <c r="AI5" s="243"/>
      <c r="AJ5" s="243">
        <f>SUM(AJ6+AJ16+AJ20+AJ40+AJ45+AJ61)</f>
        <v>50000000</v>
      </c>
      <c r="AK5" s="243">
        <f>SUM(AK6+AK16+AK20+AK40+AK45+AK61)</f>
        <v>0</v>
      </c>
      <c r="AL5" s="243">
        <f>SUM(AL6+AL16+AL20+AL40+AL45+AL61)</f>
        <v>556887406.50406504</v>
      </c>
      <c r="AM5" s="243">
        <f>SUM(AM6+AM16+AM20+AM40+AM45+AM61)</f>
        <v>609997406.50406504</v>
      </c>
      <c r="AN5" s="243">
        <f>SUM(AN6+AN16+AN20+AN40+AN45+AN61)</f>
        <v>89064060.97560975</v>
      </c>
      <c r="AO5" s="243"/>
      <c r="AP5" s="244"/>
      <c r="AQ5" s="245">
        <f>SUM(AQ6+AQ16+AQ20+AQ40+AQ45+AQ61)</f>
        <v>2317898522.5585709</v>
      </c>
      <c r="AR5" s="245">
        <f>SUM(AR6+AR16+AR20+AR40+AR45+AR61)</f>
        <v>5761394170</v>
      </c>
      <c r="AS5" s="245">
        <f>SUM(AS6+AS16+AS20+AS40+AS45+AS61)</f>
        <v>699061467.47967482</v>
      </c>
      <c r="AT5" s="245">
        <f>SUM(AT6+AT16+AT20+AT40+AT45+AT61)</f>
        <v>8778354160.0382462</v>
      </c>
      <c r="AU5" s="245">
        <f t="shared" ref="AU5:BB5" si="1">SUM(AU6+AU16+AU20+AU40+AU45+AU61)</f>
        <v>8002853292.5585709</v>
      </c>
      <c r="AV5" s="245">
        <f t="shared" si="1"/>
        <v>0</v>
      </c>
      <c r="AW5" s="245">
        <f>SUM(AW6+AW16+AW20+AW40+AW45+AW61)</f>
        <v>0</v>
      </c>
      <c r="AX5" s="245">
        <f t="shared" si="1"/>
        <v>0</v>
      </c>
      <c r="AY5" s="245">
        <f t="shared" si="1"/>
        <v>6592800</v>
      </c>
      <c r="AZ5" s="245">
        <f t="shared" si="1"/>
        <v>249600</v>
      </c>
      <c r="BA5" s="245">
        <f t="shared" si="1"/>
        <v>0</v>
      </c>
      <c r="BB5" s="245">
        <f t="shared" si="1"/>
        <v>-768658467.47967482</v>
      </c>
    </row>
    <row r="6" spans="1:58" s="170" customFormat="1" ht="15.75" customHeight="1" x14ac:dyDescent="0.25">
      <c r="A6" s="120"/>
      <c r="B6" s="290"/>
      <c r="C6" s="391" t="s">
        <v>191</v>
      </c>
      <c r="D6" s="391"/>
      <c r="E6" s="392"/>
      <c r="F6" s="289"/>
      <c r="G6" s="288"/>
      <c r="H6" s="114" t="s">
        <v>59</v>
      </c>
      <c r="I6" s="246"/>
      <c r="J6" s="246"/>
      <c r="K6" s="246"/>
      <c r="L6" s="247">
        <f>SUM(L11+L15)</f>
        <v>4511700</v>
      </c>
      <c r="M6" s="247">
        <f>SUM(M11+M15)</f>
        <v>753453.9</v>
      </c>
      <c r="N6" s="247"/>
      <c r="O6" s="247"/>
      <c r="P6" s="247"/>
      <c r="Q6" s="247"/>
      <c r="R6" s="247">
        <f>SUM(R11+R15)</f>
        <v>150000</v>
      </c>
      <c r="S6" s="247">
        <f>SUM(S11+S15)</f>
        <v>112500</v>
      </c>
      <c r="T6" s="247">
        <f>SUM(T11+T15)</f>
        <v>0</v>
      </c>
      <c r="U6" s="247">
        <f>SUM(U11+U15)</f>
        <v>200000</v>
      </c>
      <c r="V6" s="247"/>
      <c r="W6" s="247"/>
      <c r="X6" s="247"/>
      <c r="Y6" s="247">
        <f>SUM(Y11+Y15)</f>
        <v>0</v>
      </c>
      <c r="Z6" s="247">
        <f t="shared" ref="Z6:AF6" si="2">SUM(Z11+Z15)</f>
        <v>0</v>
      </c>
      <c r="AA6" s="247">
        <f t="shared" si="2"/>
        <v>0</v>
      </c>
      <c r="AB6" s="247">
        <f t="shared" si="2"/>
        <v>3894000</v>
      </c>
      <c r="AC6" s="247">
        <f t="shared" si="2"/>
        <v>307500</v>
      </c>
      <c r="AD6" s="247">
        <f t="shared" si="2"/>
        <v>0</v>
      </c>
      <c r="AE6" s="247">
        <f t="shared" si="2"/>
        <v>630800</v>
      </c>
      <c r="AF6" s="247">
        <f t="shared" si="2"/>
        <v>3784800</v>
      </c>
      <c r="AG6" s="247"/>
      <c r="AH6" s="247"/>
      <c r="AI6" s="247"/>
      <c r="AJ6" s="247">
        <f>SUM(AJ11+AJ15)</f>
        <v>0</v>
      </c>
      <c r="AK6" s="247">
        <f>SUM(AK11+AK15)</f>
        <v>0</v>
      </c>
      <c r="AL6" s="247">
        <f>SUM(AL11+AL15)</f>
        <v>0</v>
      </c>
      <c r="AM6" s="247">
        <f>SUM(AM11+AM15)</f>
        <v>0</v>
      </c>
      <c r="AN6" s="247">
        <f>SUM(AN11+AN15)</f>
        <v>0</v>
      </c>
      <c r="AO6" s="247"/>
      <c r="AP6" s="244"/>
      <c r="AQ6" s="248">
        <f>SUM(AQ11+AQ15)</f>
        <v>5265153.9000000004</v>
      </c>
      <c r="AR6" s="248">
        <f>SUM(AR11+AR15)</f>
        <v>5618400</v>
      </c>
      <c r="AS6" s="248">
        <f>SUM(AS11+AS15)</f>
        <v>0</v>
      </c>
      <c r="AT6" s="248">
        <f>SUM(AT11+AT15)</f>
        <v>10883553.9</v>
      </c>
      <c r="AU6" s="248">
        <f t="shared" ref="AU6:BB6" si="3">SUM(AU11+AU15)</f>
        <v>5265153.9000000004</v>
      </c>
      <c r="AV6" s="248">
        <f t="shared" si="3"/>
        <v>0</v>
      </c>
      <c r="AW6" s="248">
        <f>SUM(AW11+AW15)</f>
        <v>0</v>
      </c>
      <c r="AX6" s="248">
        <f t="shared" si="3"/>
        <v>0</v>
      </c>
      <c r="AY6" s="248">
        <f t="shared" si="3"/>
        <v>0</v>
      </c>
      <c r="AZ6" s="248">
        <f t="shared" si="3"/>
        <v>0</v>
      </c>
      <c r="BA6" s="248">
        <f t="shared" si="3"/>
        <v>0</v>
      </c>
      <c r="BB6" s="248">
        <f t="shared" si="3"/>
        <v>-5618400</v>
      </c>
    </row>
    <row r="7" spans="1:58" ht="78.75" outlineLevel="2" x14ac:dyDescent="0.25">
      <c r="A7" s="115"/>
      <c r="B7" s="200"/>
      <c r="C7" s="201"/>
      <c r="D7" s="138"/>
      <c r="E7" s="295"/>
      <c r="F7" s="295"/>
      <c r="G7" s="296"/>
      <c r="H7" s="199" t="s">
        <v>369</v>
      </c>
      <c r="I7" s="130" t="s">
        <v>4</v>
      </c>
      <c r="J7" s="126">
        <v>1</v>
      </c>
      <c r="K7" s="126">
        <v>4</v>
      </c>
      <c r="L7" s="125">
        <f>IF(I7&lt;&gt;0,((VLOOKUP(I7,'1. Standard_Cost'!$B$4:$D$11,2)+VLOOKUP(I7,'1. Standard_Cost'!$B$4:$D$11,3))*J7*K7),"0")</f>
        <v>323000</v>
      </c>
      <c r="M7" s="125">
        <f>L7*'1. Standard_Cost'!$F$4</f>
        <v>53941</v>
      </c>
      <c r="N7" s="126"/>
      <c r="O7" s="126"/>
      <c r="P7" s="126"/>
      <c r="Q7" s="126"/>
      <c r="R7" s="127">
        <f>'1. Standard_Cost'!$B$15*N7*P7</f>
        <v>0</v>
      </c>
      <c r="S7" s="127">
        <f>N7*O7*P7*'1. Standard_Cost'!$C$15</f>
        <v>0</v>
      </c>
      <c r="T7" s="127">
        <f>N7*P7*Q7*'1. Standard_Cost'!$D$15</f>
        <v>0</v>
      </c>
      <c r="U7" s="127">
        <f>N7*O7*'1. Standard_Cost'!$E$15</f>
        <v>0</v>
      </c>
      <c r="V7" s="126"/>
      <c r="W7" s="126"/>
      <c r="X7" s="126"/>
      <c r="Y7" s="127">
        <f>+V7*((X7*'1. Standard_Cost'!$B$19)+(W7*X7*'1. Standard_Cost'!$C$19))</f>
        <v>0</v>
      </c>
      <c r="Z7" s="126"/>
      <c r="AA7" s="126">
        <v>10</v>
      </c>
      <c r="AB7" s="127">
        <f>+Z7*'1. Standard_Cost'!$B$23+AA7*'1. Standard_Cost'!$C$23</f>
        <v>190000</v>
      </c>
      <c r="AC7" s="128">
        <f>30*300</f>
        <v>9000</v>
      </c>
      <c r="AD7" s="129"/>
      <c r="AE7" s="127">
        <f>SUM(AD7,AC7,AB7,Y7,U7,T7,S7,R7)*'1. Standard_Cost'!$B$31</f>
        <v>39800</v>
      </c>
      <c r="AF7" s="127">
        <f>SUM(AE7,AD7,AC7,AB7,Y7,U7,T7,S7,R7)</f>
        <v>238800</v>
      </c>
      <c r="AG7" s="126"/>
      <c r="AH7" s="126"/>
      <c r="AI7" s="126"/>
      <c r="AJ7" s="130"/>
      <c r="AK7" s="130"/>
      <c r="AL7" s="130"/>
      <c r="AM7" s="127">
        <f>AG7*'1. Standard_Cost'!$B$27+'Incremental_Cost Year 3'!AH7*'1. Standard_Cost'!$C$27+'Incremental_Cost Year 3'!AI7*'1. Standard_Cost'!$D$27+'Incremental_Cost Year 3'!AJ7+'Incremental_Cost Year 3'!AL7+AK7</f>
        <v>0</v>
      </c>
      <c r="AN7" s="127">
        <f>AM7*'1. Standard_Cost'!$C$31</f>
        <v>0</v>
      </c>
      <c r="AO7" s="249"/>
      <c r="AQ7" s="171">
        <f>L7+M7</f>
        <v>376941</v>
      </c>
      <c r="AR7" s="171">
        <f>AF7</f>
        <v>238800</v>
      </c>
      <c r="AS7" s="171">
        <f>AM7+AN7</f>
        <v>0</v>
      </c>
      <c r="AT7" s="171">
        <f>SUM(AQ7,AR7,AS7)</f>
        <v>615741</v>
      </c>
      <c r="AU7" s="250">
        <f>AQ7</f>
        <v>376941</v>
      </c>
      <c r="AV7" s="250"/>
      <c r="AW7" s="250"/>
      <c r="AX7" s="250"/>
      <c r="AY7" s="250"/>
      <c r="AZ7" s="250"/>
      <c r="BA7" s="250"/>
      <c r="BB7" s="251">
        <f>SUM(AU7:BA7)-AT7</f>
        <v>-238800</v>
      </c>
      <c r="BC7" s="169"/>
      <c r="BD7" s="169"/>
      <c r="BE7" s="169"/>
      <c r="BF7" s="169"/>
    </row>
    <row r="8" spans="1:58" ht="126" outlineLevel="2" x14ac:dyDescent="0.25">
      <c r="A8" s="115"/>
      <c r="B8" s="200"/>
      <c r="C8" s="201"/>
      <c r="D8" s="135"/>
      <c r="E8" s="219"/>
      <c r="F8" s="219"/>
      <c r="G8" s="313"/>
      <c r="H8" s="199" t="s">
        <v>370</v>
      </c>
      <c r="I8" s="130" t="s">
        <v>4</v>
      </c>
      <c r="J8" s="126">
        <v>2</v>
      </c>
      <c r="K8" s="126">
        <v>5</v>
      </c>
      <c r="L8" s="125">
        <f>IF(I8&lt;&gt;0,((VLOOKUP(I8,'1. Standard_Cost'!$B$4:$D$11,2)+VLOOKUP(I8,'1. Standard_Cost'!$B$4:$D$11,3))*J8*K8),"0")</f>
        <v>807500</v>
      </c>
      <c r="M8" s="125">
        <f>L8*'1. Standard_Cost'!$F$4</f>
        <v>134852.5</v>
      </c>
      <c r="N8" s="126"/>
      <c r="O8" s="126"/>
      <c r="P8" s="126"/>
      <c r="Q8" s="126"/>
      <c r="R8" s="127">
        <f>'1. Standard_Cost'!$B$15*N8*P8</f>
        <v>0</v>
      </c>
      <c r="S8" s="127">
        <f>N8*O8*P8*'1. Standard_Cost'!$C$15</f>
        <v>0</v>
      </c>
      <c r="T8" s="127">
        <f>N8*P8*Q8*'1. Standard_Cost'!$D$15</f>
        <v>0</v>
      </c>
      <c r="U8" s="127">
        <f>N8*O8*'1. Standard_Cost'!$E$15</f>
        <v>0</v>
      </c>
      <c r="V8" s="126"/>
      <c r="W8" s="126"/>
      <c r="X8" s="126"/>
      <c r="Y8" s="127">
        <f>+V8*((X8*'1. Standard_Cost'!$B$19)+(W8*X8*'1. Standard_Cost'!$C$19))</f>
        <v>0</v>
      </c>
      <c r="Z8" s="126"/>
      <c r="AA8" s="126">
        <v>30</v>
      </c>
      <c r="AB8" s="127">
        <f>+Z8*'1. Standard_Cost'!$B$23+AA8*'1. Standard_Cost'!$C$23</f>
        <v>570000</v>
      </c>
      <c r="AC8" s="128">
        <f>4*15*300+15000</f>
        <v>33000</v>
      </c>
      <c r="AD8" s="129"/>
      <c r="AE8" s="127">
        <f>SUM(AD8,AC8,AB8,Y8,U8,T8,S8,R8)*'1. Standard_Cost'!$B$31</f>
        <v>120600</v>
      </c>
      <c r="AF8" s="127">
        <f>SUM(AE8,AD8,AC8,AB8,Y8,U8,T8,S8,R8)</f>
        <v>723600</v>
      </c>
      <c r="AG8" s="126"/>
      <c r="AH8" s="126"/>
      <c r="AI8" s="126"/>
      <c r="AJ8" s="130"/>
      <c r="AK8" s="130"/>
      <c r="AL8" s="130"/>
      <c r="AM8" s="127">
        <f>AG8*'1. Standard_Cost'!$B$27+'Incremental_Cost Year 3'!AH8*'1. Standard_Cost'!$C$27+'Incremental_Cost Year 3'!AI8*'1. Standard_Cost'!$D$27+'Incremental_Cost Year 3'!AJ8+'Incremental_Cost Year 3'!AL8+AK8</f>
        <v>0</v>
      </c>
      <c r="AN8" s="127">
        <f>AM8*'1. Standard_Cost'!$C$31</f>
        <v>0</v>
      </c>
      <c r="AO8" s="130"/>
      <c r="AQ8" s="171">
        <f>L8+M8</f>
        <v>942352.5</v>
      </c>
      <c r="AR8" s="171">
        <f>AF8</f>
        <v>723600</v>
      </c>
      <c r="AS8" s="171">
        <f>AM8+AN8</f>
        <v>0</v>
      </c>
      <c r="AT8" s="171">
        <f>SUM(AQ8,AR8,AS8)</f>
        <v>1665952.5</v>
      </c>
      <c r="AU8" s="250">
        <f>AQ8</f>
        <v>942352.5</v>
      </c>
      <c r="AV8" s="250"/>
      <c r="AW8" s="250"/>
      <c r="AX8" s="250"/>
      <c r="AY8" s="250"/>
      <c r="AZ8" s="250"/>
      <c r="BA8" s="250"/>
      <c r="BB8" s="251">
        <f t="shared" ref="BB8:BB14" si="4">SUM(AU8:BA8)-AT8</f>
        <v>-723600</v>
      </c>
      <c r="BC8" s="169"/>
      <c r="BD8" s="169"/>
      <c r="BE8" s="169"/>
      <c r="BF8" s="169"/>
    </row>
    <row r="9" spans="1:58" ht="141.75" outlineLevel="2" x14ac:dyDescent="0.25">
      <c r="A9" s="115"/>
      <c r="B9" s="200"/>
      <c r="C9" s="201"/>
      <c r="D9" s="135"/>
      <c r="E9" s="219"/>
      <c r="F9" s="219"/>
      <c r="G9" s="313"/>
      <c r="H9" s="199" t="s">
        <v>371</v>
      </c>
      <c r="I9" s="130">
        <v>0</v>
      </c>
      <c r="J9" s="126">
        <v>0</v>
      </c>
      <c r="K9" s="126">
        <v>0</v>
      </c>
      <c r="L9" s="125" t="str">
        <f>IF(I9&lt;&gt;0,((VLOOKUP(I9,'1. Standard_Cost'!$B$4:$D$11,2)+VLOOKUP(I9,'1. Standard_Cost'!$B$4:$D$11,3))*J9*K9),"0")</f>
        <v>0</v>
      </c>
      <c r="M9" s="125">
        <f>L9*'1. Standard_Cost'!$F$4</f>
        <v>0</v>
      </c>
      <c r="N9" s="126"/>
      <c r="O9" s="126"/>
      <c r="P9" s="126"/>
      <c r="Q9" s="126"/>
      <c r="R9" s="127">
        <f>'1. Standard_Cost'!$B$15*N9*P9</f>
        <v>0</v>
      </c>
      <c r="S9" s="127">
        <f>N9*O9*P9*'1. Standard_Cost'!$C$15</f>
        <v>0</v>
      </c>
      <c r="T9" s="127">
        <f>N9*P9*Q9*'1. Standard_Cost'!$D$15</f>
        <v>0</v>
      </c>
      <c r="U9" s="127">
        <f>N9*O9*'1. Standard_Cost'!$E$15</f>
        <v>0</v>
      </c>
      <c r="V9" s="126"/>
      <c r="W9" s="126"/>
      <c r="X9" s="126"/>
      <c r="Y9" s="127">
        <f>+V9*((X9*'1. Standard_Cost'!$B$19)+(W9*X9*'1. Standard_Cost'!$C$19))</f>
        <v>0</v>
      </c>
      <c r="Z9" s="126"/>
      <c r="AA9" s="126">
        <v>0</v>
      </c>
      <c r="AB9" s="127">
        <f>+Z9*'1. Standard_Cost'!$B$23+AA9*'1. Standard_Cost'!$C$23</f>
        <v>0</v>
      </c>
      <c r="AC9" s="128">
        <v>0</v>
      </c>
      <c r="AD9" s="129"/>
      <c r="AE9" s="127">
        <f>SUM(AD9,AC9,AB9,Y9,U9,T9,S9,R9)*'1. Standard_Cost'!$B$31</f>
        <v>0</v>
      </c>
      <c r="AF9" s="127">
        <f>SUM(AE9,AD9,AC9,AB9,Y9,U9,T9,S9,R9)</f>
        <v>0</v>
      </c>
      <c r="AG9" s="126"/>
      <c r="AH9" s="126"/>
      <c r="AI9" s="126"/>
      <c r="AJ9" s="130"/>
      <c r="AK9" s="130"/>
      <c r="AL9" s="130"/>
      <c r="AM9" s="127">
        <f>AG9*'1. Standard_Cost'!$B$27+'Incremental_Cost Year 3'!AH9*'1. Standard_Cost'!$C$27+'Incremental_Cost Year 3'!AI9*'1. Standard_Cost'!$D$27+'Incremental_Cost Year 3'!AJ9+'Incremental_Cost Year 3'!AL9+AK9</f>
        <v>0</v>
      </c>
      <c r="AN9" s="127">
        <f>AM9*'1. Standard_Cost'!$C$31</f>
        <v>0</v>
      </c>
      <c r="AO9" s="130"/>
      <c r="AQ9" s="171">
        <f>L9+M9</f>
        <v>0</v>
      </c>
      <c r="AR9" s="171">
        <f>AF9</f>
        <v>0</v>
      </c>
      <c r="AS9" s="171">
        <f>AM9+AN9</f>
        <v>0</v>
      </c>
      <c r="AT9" s="171">
        <f>SUM(AQ9,AR9,AS9)</f>
        <v>0</v>
      </c>
      <c r="AU9" s="250">
        <f>AQ9</f>
        <v>0</v>
      </c>
      <c r="AV9" s="250"/>
      <c r="AW9" s="250"/>
      <c r="AX9" s="250"/>
      <c r="AY9" s="250"/>
      <c r="AZ9" s="250"/>
      <c r="BA9" s="250"/>
      <c r="BB9" s="251">
        <f t="shared" si="4"/>
        <v>0</v>
      </c>
      <c r="BC9" s="169"/>
      <c r="BD9" s="169"/>
      <c r="BE9" s="169"/>
      <c r="BF9" s="169"/>
    </row>
    <row r="10" spans="1:58" ht="141.75" outlineLevel="2" x14ac:dyDescent="0.25">
      <c r="A10" s="115"/>
      <c r="B10" s="200"/>
      <c r="C10" s="201"/>
      <c r="D10" s="223"/>
      <c r="E10" s="219"/>
      <c r="F10" s="122"/>
      <c r="G10" s="123"/>
      <c r="H10" s="199" t="s">
        <v>372</v>
      </c>
      <c r="I10" s="130" t="s">
        <v>4</v>
      </c>
      <c r="J10" s="126">
        <v>1</v>
      </c>
      <c r="K10" s="126">
        <v>20</v>
      </c>
      <c r="L10" s="125">
        <f>IF(I10&lt;&gt;0,((VLOOKUP(I10,'1. Standard_Cost'!$B$4:$D$11,2)+VLOOKUP(I10,'1. Standard_Cost'!$B$4:$D$11,3))*J10*K10),"0")</f>
        <v>1615000</v>
      </c>
      <c r="M10" s="125">
        <f>L10*'1. Standard_Cost'!$F$4</f>
        <v>269705</v>
      </c>
      <c r="N10" s="126"/>
      <c r="O10" s="126"/>
      <c r="P10" s="126"/>
      <c r="Q10" s="126"/>
      <c r="R10" s="127">
        <f>'1. Standard_Cost'!$B$15*N10*P10</f>
        <v>0</v>
      </c>
      <c r="S10" s="127">
        <f>N10*O10*P10*'1. Standard_Cost'!$C$15</f>
        <v>0</v>
      </c>
      <c r="T10" s="127">
        <f>N10*P10*Q10*'1. Standard_Cost'!$D$15</f>
        <v>0</v>
      </c>
      <c r="U10" s="127">
        <f>N10*O10*'1. Standard_Cost'!$E$15</f>
        <v>0</v>
      </c>
      <c r="V10" s="126"/>
      <c r="W10" s="126"/>
      <c r="X10" s="126"/>
      <c r="Y10" s="127">
        <f>+V10*((X10*'1. Standard_Cost'!$B$19)+(W10*X10*'1. Standard_Cost'!$C$19))</f>
        <v>0</v>
      </c>
      <c r="Z10" s="126">
        <v>5</v>
      </c>
      <c r="AA10" s="126">
        <v>60</v>
      </c>
      <c r="AB10" s="127">
        <f>+Z10*'1. Standard_Cost'!$B$23+AA10*'1. Standard_Cost'!$C$23</f>
        <v>1510000</v>
      </c>
      <c r="AC10" s="128">
        <f>60*300</f>
        <v>18000</v>
      </c>
      <c r="AD10" s="129"/>
      <c r="AE10" s="127">
        <f>SUM(AD10,AC10,AB10,Y10,U10,T10,S10,R10)*'1. Standard_Cost'!$B$31</f>
        <v>305600</v>
      </c>
      <c r="AF10" s="127">
        <f>SUM(AE10,AD10,AC10,AB10,Y10,U10,T10,S10,R10)</f>
        <v>1833600</v>
      </c>
      <c r="AG10" s="126"/>
      <c r="AH10" s="126"/>
      <c r="AI10" s="126"/>
      <c r="AJ10" s="130"/>
      <c r="AK10" s="130"/>
      <c r="AL10" s="130"/>
      <c r="AM10" s="127">
        <f>AG10*'1. Standard_Cost'!$B$27+'Incremental_Cost Year 3'!AH10*'1. Standard_Cost'!$C$27+'Incremental_Cost Year 3'!AI10*'1. Standard_Cost'!$D$27+'Incremental_Cost Year 3'!AJ10+'Incremental_Cost Year 3'!AL10+AK10</f>
        <v>0</v>
      </c>
      <c r="AN10" s="127">
        <f>AM10*'1. Standard_Cost'!$C$31</f>
        <v>0</v>
      </c>
      <c r="AO10" s="130"/>
      <c r="AQ10" s="171">
        <f>L10+M10</f>
        <v>1884705</v>
      </c>
      <c r="AR10" s="171">
        <f>AF10</f>
        <v>1833600</v>
      </c>
      <c r="AS10" s="171">
        <f>AM10+AN10</f>
        <v>0</v>
      </c>
      <c r="AT10" s="171">
        <f>SUM(AQ10,AR10,AS10)</f>
        <v>3718305</v>
      </c>
      <c r="AU10" s="250">
        <f>AQ10</f>
        <v>1884705</v>
      </c>
      <c r="AV10" s="250"/>
      <c r="AW10" s="250"/>
      <c r="AX10" s="250"/>
      <c r="AY10" s="250"/>
      <c r="AZ10" s="250"/>
      <c r="BA10" s="250"/>
      <c r="BB10" s="251">
        <f t="shared" si="4"/>
        <v>-1833600</v>
      </c>
      <c r="BC10" s="169"/>
      <c r="BD10" s="169"/>
      <c r="BE10" s="169"/>
      <c r="BF10" s="169"/>
    </row>
    <row r="11" spans="1:58" ht="78.75" outlineLevel="1" x14ac:dyDescent="0.25">
      <c r="A11" s="115"/>
      <c r="B11" s="142"/>
      <c r="C11" s="297"/>
      <c r="D11" s="116" t="s">
        <v>373</v>
      </c>
      <c r="E11" s="209" t="s">
        <v>374</v>
      </c>
      <c r="F11" s="117">
        <v>2022</v>
      </c>
      <c r="G11" s="117">
        <v>2024</v>
      </c>
      <c r="H11" s="298" t="s">
        <v>46</v>
      </c>
      <c r="I11" s="252"/>
      <c r="J11" s="252"/>
      <c r="K11" s="252"/>
      <c r="L11" s="127">
        <f>SUM(L7:L10)</f>
        <v>2745500</v>
      </c>
      <c r="M11" s="127">
        <f>SUM(M7:M10)</f>
        <v>458498.5</v>
      </c>
      <c r="N11" s="127"/>
      <c r="O11" s="252"/>
      <c r="P11" s="252"/>
      <c r="Q11" s="252"/>
      <c r="R11" s="127">
        <f>SUM(R7:R10)</f>
        <v>0</v>
      </c>
      <c r="S11" s="127">
        <f>SUM(S7:S10)</f>
        <v>0</v>
      </c>
      <c r="T11" s="127">
        <f>SUM(T7:T10)</f>
        <v>0</v>
      </c>
      <c r="U11" s="127">
        <f>SUM(U7:U10)</f>
        <v>0</v>
      </c>
      <c r="V11" s="252"/>
      <c r="W11" s="252"/>
      <c r="X11" s="252"/>
      <c r="Y11" s="127">
        <f>SUM(Y7:Y10)</f>
        <v>0</v>
      </c>
      <c r="Z11" s="252"/>
      <c r="AA11" s="252"/>
      <c r="AB11" s="127">
        <f>SUM(AB7:AB10)</f>
        <v>2270000</v>
      </c>
      <c r="AC11" s="127">
        <f>SUM(AC7:AC9)</f>
        <v>42000</v>
      </c>
      <c r="AD11" s="127">
        <f>SUM(AD7:AD9)</f>
        <v>0</v>
      </c>
      <c r="AE11" s="127">
        <f>SUM(AE7:AE9)</f>
        <v>160400</v>
      </c>
      <c r="AF11" s="127">
        <f>SUM(AF7:AF9)</f>
        <v>962400</v>
      </c>
      <c r="AG11" s="252"/>
      <c r="AH11" s="252"/>
      <c r="AI11" s="252"/>
      <c r="AJ11" s="127">
        <f>SUM(AJ7:AJ9)</f>
        <v>0</v>
      </c>
      <c r="AK11" s="127">
        <f>SUM(AK7:AK9)</f>
        <v>0</v>
      </c>
      <c r="AL11" s="127">
        <f>SUM(AL7:AL9)</f>
        <v>0</v>
      </c>
      <c r="AM11" s="127">
        <f>SUM(AM7:AM9)</f>
        <v>0</v>
      </c>
      <c r="AN11" s="127">
        <f>SUM(AN7:AN9)</f>
        <v>0</v>
      </c>
      <c r="AO11" s="253"/>
      <c r="AP11" s="254"/>
      <c r="AQ11" s="175">
        <f>SUM(AQ7:AQ10)</f>
        <v>3203998.5</v>
      </c>
      <c r="AR11" s="175">
        <f t="shared" ref="AR11:BA11" si="5">SUM(AR7:AR10)</f>
        <v>2796000</v>
      </c>
      <c r="AS11" s="175">
        <f t="shared" si="5"/>
        <v>0</v>
      </c>
      <c r="AT11" s="175">
        <f t="shared" si="5"/>
        <v>5999998.5</v>
      </c>
      <c r="AU11" s="175">
        <f t="shared" si="5"/>
        <v>3203998.5</v>
      </c>
      <c r="AV11" s="175">
        <f t="shared" si="5"/>
        <v>0</v>
      </c>
      <c r="AW11" s="175">
        <f t="shared" si="5"/>
        <v>0</v>
      </c>
      <c r="AX11" s="175">
        <f t="shared" si="5"/>
        <v>0</v>
      </c>
      <c r="AY11" s="175">
        <f t="shared" si="5"/>
        <v>0</v>
      </c>
      <c r="AZ11" s="175">
        <f t="shared" si="5"/>
        <v>0</v>
      </c>
      <c r="BA11" s="175">
        <f t="shared" si="5"/>
        <v>0</v>
      </c>
      <c r="BB11" s="175">
        <f>SUM(BB7:BB10)</f>
        <v>-2796000</v>
      </c>
      <c r="BC11" s="169"/>
      <c r="BD11" s="169"/>
      <c r="BE11" s="169"/>
      <c r="BF11" s="169"/>
    </row>
    <row r="12" spans="1:58" ht="189" outlineLevel="2" x14ac:dyDescent="0.25">
      <c r="A12" s="115"/>
      <c r="B12" s="200"/>
      <c r="C12" s="201"/>
      <c r="D12" s="138"/>
      <c r="E12" s="295"/>
      <c r="F12" s="295"/>
      <c r="G12" s="296"/>
      <c r="H12" s="299" t="s">
        <v>375</v>
      </c>
      <c r="I12" s="130" t="s">
        <v>4</v>
      </c>
      <c r="J12" s="126">
        <v>1</v>
      </c>
      <c r="K12" s="126">
        <v>20</v>
      </c>
      <c r="L12" s="125">
        <f>IF(I12&lt;&gt;0,((VLOOKUP(I12,'1. Standard_Cost'!$B$4:$D$11,2)+VLOOKUP(I12,'1. Standard_Cost'!$B$4:$D$11,3))*J12*K12),"0")</f>
        <v>1615000</v>
      </c>
      <c r="M12" s="125">
        <f>L12*'1. Standard_Cost'!$F$4</f>
        <v>269705</v>
      </c>
      <c r="N12" s="126"/>
      <c r="O12" s="126"/>
      <c r="P12" s="126"/>
      <c r="Q12" s="126"/>
      <c r="R12" s="127">
        <f>'1. Standard_Cost'!$B$15*N12*P12</f>
        <v>0</v>
      </c>
      <c r="S12" s="127">
        <f>N12*O12*P12*'1. Standard_Cost'!$C$15</f>
        <v>0</v>
      </c>
      <c r="T12" s="127">
        <f>N12*P12*Q12*'1. Standard_Cost'!$D$15</f>
        <v>0</v>
      </c>
      <c r="U12" s="127">
        <f>N12*O12*'1. Standard_Cost'!$E$15</f>
        <v>0</v>
      </c>
      <c r="V12" s="126"/>
      <c r="W12" s="126"/>
      <c r="X12" s="126"/>
      <c r="Y12" s="127">
        <f>+V12*((X12*'1. Standard_Cost'!$B$19)+(W12*X12*'1. Standard_Cost'!$C$19))</f>
        <v>0</v>
      </c>
      <c r="Z12" s="126">
        <v>5</v>
      </c>
      <c r="AA12" s="126">
        <v>60</v>
      </c>
      <c r="AB12" s="127">
        <f>+Z12*'1. Standard_Cost'!$B$23+AA12*'1. Standard_Cost'!$C$23</f>
        <v>1510000</v>
      </c>
      <c r="AC12" s="128">
        <f>60*300</f>
        <v>18000</v>
      </c>
      <c r="AD12" s="129"/>
      <c r="AE12" s="127">
        <f>SUM(AD12,AC12,AB12,Y12,U12,T12,S12,R12)*'1. Standard_Cost'!$B$31</f>
        <v>305600</v>
      </c>
      <c r="AF12" s="127">
        <f>SUM(AE12,AD12,AC12,AB12,Y12,U12,T12,S12,R12)</f>
        <v>1833600</v>
      </c>
      <c r="AG12" s="126"/>
      <c r="AH12" s="126"/>
      <c r="AI12" s="126"/>
      <c r="AJ12" s="130"/>
      <c r="AK12" s="130"/>
      <c r="AL12" s="130"/>
      <c r="AM12" s="127">
        <f>AG12*'1. Standard_Cost'!$B$27+'Incremental_Cost Year 3'!AH12*'1. Standard_Cost'!$C$27+'Incremental_Cost Year 3'!AI12*'1. Standard_Cost'!$D$27+'Incremental_Cost Year 3'!AJ12+'Incremental_Cost Year 3'!AL12+AK12</f>
        <v>0</v>
      </c>
      <c r="AN12" s="127">
        <f>AM12*'1. Standard_Cost'!$C$31</f>
        <v>0</v>
      </c>
      <c r="AO12" s="130"/>
      <c r="AQ12" s="171">
        <f>L12+M12</f>
        <v>1884705</v>
      </c>
      <c r="AR12" s="171">
        <f>AF12</f>
        <v>1833600</v>
      </c>
      <c r="AS12" s="171">
        <f>AM12+AN12</f>
        <v>0</v>
      </c>
      <c r="AT12" s="171">
        <f>SUM(AQ12,AR12,AS12)</f>
        <v>3718305</v>
      </c>
      <c r="AU12" s="250">
        <f>AQ12</f>
        <v>1884705</v>
      </c>
      <c r="AV12" s="250"/>
      <c r="AW12" s="250"/>
      <c r="AX12" s="250"/>
      <c r="AY12" s="250"/>
      <c r="AZ12" s="250"/>
      <c r="BA12" s="250"/>
      <c r="BB12" s="251">
        <f t="shared" si="4"/>
        <v>-1833600</v>
      </c>
      <c r="BC12" s="169"/>
      <c r="BD12" s="169"/>
      <c r="BE12" s="169"/>
      <c r="BF12" s="169"/>
    </row>
    <row r="13" spans="1:58" ht="94.5" outlineLevel="2" x14ac:dyDescent="0.25">
      <c r="A13" s="115"/>
      <c r="B13" s="200"/>
      <c r="C13" s="201"/>
      <c r="D13" s="135"/>
      <c r="E13" s="219"/>
      <c r="F13" s="219"/>
      <c r="G13" s="313"/>
      <c r="H13" s="213" t="s">
        <v>376</v>
      </c>
      <c r="I13" s="130">
        <v>0</v>
      </c>
      <c r="J13" s="126">
        <v>0</v>
      </c>
      <c r="K13" s="126">
        <v>0</v>
      </c>
      <c r="L13" s="125" t="str">
        <f>IF(I13&lt;&gt;0,((VLOOKUP(I13,'1. Standard_Cost'!$B$4:$D$11,2)+VLOOKUP(I13,'1. Standard_Cost'!$B$4:$D$11,3))*J13*K13),"0")</f>
        <v>0</v>
      </c>
      <c r="M13" s="125">
        <f>L13*'1. Standard_Cost'!$F$4</f>
        <v>0</v>
      </c>
      <c r="N13" s="126"/>
      <c r="O13" s="126"/>
      <c r="P13" s="126"/>
      <c r="Q13" s="126"/>
      <c r="R13" s="127">
        <f>'1. Standard_Cost'!$B$15*N13*P13</f>
        <v>0</v>
      </c>
      <c r="S13" s="127">
        <f>N13*O13*P13*'1. Standard_Cost'!$C$15</f>
        <v>0</v>
      </c>
      <c r="T13" s="127">
        <f>N13*P13*Q13*'1. Standard_Cost'!$D$15</f>
        <v>0</v>
      </c>
      <c r="U13" s="127">
        <f>N13*O13*'1. Standard_Cost'!$E$15</f>
        <v>0</v>
      </c>
      <c r="V13" s="126"/>
      <c r="W13" s="126"/>
      <c r="X13" s="126"/>
      <c r="Y13" s="127">
        <f>+V13*((X13*'1. Standard_Cost'!$B$19)+(W13*X13*'1. Standard_Cost'!$C$19))</f>
        <v>0</v>
      </c>
      <c r="Z13" s="126">
        <v>0</v>
      </c>
      <c r="AA13" s="126">
        <v>0</v>
      </c>
      <c r="AB13" s="127">
        <f>+Z13*'1. Standard_Cost'!$B$23+AA13*'1. Standard_Cost'!$C$23</f>
        <v>0</v>
      </c>
      <c r="AC13" s="128">
        <v>0</v>
      </c>
      <c r="AD13" s="129"/>
      <c r="AE13" s="127">
        <f>SUM(AD13,AC13,AB13,Y13,U13,T13,S13,R13)*'1. Standard_Cost'!$B$31</f>
        <v>0</v>
      </c>
      <c r="AF13" s="127">
        <f>SUM(AE13,AD13,AC13,AB13,Y13,U13,T13,S13,R13)</f>
        <v>0</v>
      </c>
      <c r="AG13" s="126"/>
      <c r="AH13" s="126"/>
      <c r="AI13" s="126"/>
      <c r="AJ13" s="130"/>
      <c r="AK13" s="130"/>
      <c r="AL13" s="130"/>
      <c r="AM13" s="127">
        <f>AG13*'1. Standard_Cost'!$B$27+'Incremental_Cost Year 3'!AH13*'1. Standard_Cost'!$C$27+'Incremental_Cost Year 3'!AI13*'1. Standard_Cost'!$D$27+'Incremental_Cost Year 3'!AJ13+'Incremental_Cost Year 3'!AL13+AK13</f>
        <v>0</v>
      </c>
      <c r="AN13" s="127">
        <f>AM13*'1. Standard_Cost'!$C$31</f>
        <v>0</v>
      </c>
      <c r="AO13" s="130"/>
      <c r="AQ13" s="171">
        <f>L13+M13</f>
        <v>0</v>
      </c>
      <c r="AR13" s="171">
        <f>AF13</f>
        <v>0</v>
      </c>
      <c r="AS13" s="171">
        <f>AM13+AN13</f>
        <v>0</v>
      </c>
      <c r="AT13" s="171">
        <f>SUM(AQ13,AR13,AS13)</f>
        <v>0</v>
      </c>
      <c r="AU13" s="250">
        <f>AQ13</f>
        <v>0</v>
      </c>
      <c r="AV13" s="250"/>
      <c r="AW13" s="250"/>
      <c r="AX13" s="250"/>
      <c r="AY13" s="250"/>
      <c r="AZ13" s="250"/>
      <c r="BA13" s="250"/>
      <c r="BB13" s="251">
        <f t="shared" si="4"/>
        <v>0</v>
      </c>
      <c r="BC13" s="169"/>
      <c r="BD13" s="169"/>
      <c r="BE13" s="169"/>
      <c r="BF13" s="169"/>
    </row>
    <row r="14" spans="1:58" ht="141.75" outlineLevel="2" x14ac:dyDescent="0.25">
      <c r="A14" s="115"/>
      <c r="B14" s="200"/>
      <c r="C14" s="201"/>
      <c r="D14" s="223"/>
      <c r="E14" s="219"/>
      <c r="F14" s="219"/>
      <c r="G14" s="313"/>
      <c r="H14" s="213" t="s">
        <v>377</v>
      </c>
      <c r="I14" s="130" t="s">
        <v>3</v>
      </c>
      <c r="J14" s="126">
        <v>0.5</v>
      </c>
      <c r="K14" s="126">
        <v>3</v>
      </c>
      <c r="L14" s="125">
        <f>IF(I14&lt;&gt;0,((VLOOKUP(I14,'1. Standard_Cost'!$B$4:$D$11,2)+VLOOKUP(I14,'1. Standard_Cost'!$B$4:$D$11,3))*J14*K14),"0")</f>
        <v>151200</v>
      </c>
      <c r="M14" s="125">
        <f>L14*'1. Standard_Cost'!$F$4</f>
        <v>25250.400000000001</v>
      </c>
      <c r="N14" s="126">
        <v>5</v>
      </c>
      <c r="O14" s="126">
        <v>1</v>
      </c>
      <c r="P14" s="126">
        <v>15</v>
      </c>
      <c r="Q14" s="126"/>
      <c r="R14" s="127">
        <f>'1. Standard_Cost'!$B$15*N14*P14</f>
        <v>150000</v>
      </c>
      <c r="S14" s="127">
        <f>N14*O14*P14*'1. Standard_Cost'!$C$15</f>
        <v>112500</v>
      </c>
      <c r="T14" s="127">
        <f>N14*P14*Q14*'1. Standard_Cost'!$D$15</f>
        <v>0</v>
      </c>
      <c r="U14" s="127">
        <f>N14*O14*'1. Standard_Cost'!$E$15</f>
        <v>200000</v>
      </c>
      <c r="V14" s="126"/>
      <c r="W14" s="126"/>
      <c r="X14" s="126"/>
      <c r="Y14" s="127">
        <f>+V14*((X14*'1. Standard_Cost'!$B$19)+(W14*X14*'1. Standard_Cost'!$C$19))</f>
        <v>0</v>
      </c>
      <c r="Z14" s="126"/>
      <c r="AA14" s="126">
        <v>6</v>
      </c>
      <c r="AB14" s="127">
        <f>+Z14*'1. Standard_Cost'!$B$23+AA14*'1. Standard_Cost'!$C$23</f>
        <v>114000</v>
      </c>
      <c r="AC14" s="128">
        <f>75*3300</f>
        <v>247500</v>
      </c>
      <c r="AD14" s="129"/>
      <c r="AE14" s="127">
        <f>SUM(AD14,AC14,AB14,Y14,U14,T14,S14,R14)*'1. Standard_Cost'!$B$31</f>
        <v>164800</v>
      </c>
      <c r="AF14" s="127">
        <f>SUM(AE14,AD14,AC14,AB14,Y14,U14,T14,S14,R14)</f>
        <v>988800</v>
      </c>
      <c r="AG14" s="126"/>
      <c r="AH14" s="126"/>
      <c r="AI14" s="126"/>
      <c r="AJ14" s="130"/>
      <c r="AK14" s="130"/>
      <c r="AL14" s="130"/>
      <c r="AM14" s="127">
        <f>AG14*'1. Standard_Cost'!$B$27+'Incremental_Cost Year 3'!AH14*'1. Standard_Cost'!$C$27+'Incremental_Cost Year 3'!AI14*'1. Standard_Cost'!$D$27+'Incremental_Cost Year 3'!AJ14+'Incremental_Cost Year 3'!AL14+AK14</f>
        <v>0</v>
      </c>
      <c r="AN14" s="127">
        <f>AM14*'1. Standard_Cost'!$C$31</f>
        <v>0</v>
      </c>
      <c r="AO14" s="130"/>
      <c r="AQ14" s="171">
        <f>L14+M14</f>
        <v>176450.4</v>
      </c>
      <c r="AR14" s="171">
        <f>AF14</f>
        <v>988800</v>
      </c>
      <c r="AS14" s="171">
        <f>AM14+AN14</f>
        <v>0</v>
      </c>
      <c r="AT14" s="171">
        <f>SUM(AQ14,AR14,AS14)</f>
        <v>1165250.3999999999</v>
      </c>
      <c r="AU14" s="250">
        <f>AQ14</f>
        <v>176450.4</v>
      </c>
      <c r="AV14" s="250"/>
      <c r="AW14" s="250"/>
      <c r="AX14" s="250"/>
      <c r="AY14" s="250"/>
      <c r="AZ14" s="250"/>
      <c r="BA14" s="250"/>
      <c r="BB14" s="251">
        <f t="shared" si="4"/>
        <v>-988799.99999999988</v>
      </c>
      <c r="BC14" s="169"/>
      <c r="BD14" s="169"/>
      <c r="BE14" s="169"/>
      <c r="BF14" s="169"/>
    </row>
    <row r="15" spans="1:58" ht="63" outlineLevel="1" x14ac:dyDescent="0.25">
      <c r="A15" s="115"/>
      <c r="B15" s="165"/>
      <c r="C15" s="166"/>
      <c r="D15" s="110" t="s">
        <v>378</v>
      </c>
      <c r="E15" s="116" t="s">
        <v>379</v>
      </c>
      <c r="F15" s="209">
        <v>2021</v>
      </c>
      <c r="G15" s="117">
        <v>2030</v>
      </c>
      <c r="H15" s="110" t="s">
        <v>47</v>
      </c>
      <c r="I15" s="252"/>
      <c r="J15" s="252"/>
      <c r="K15" s="252"/>
      <c r="L15" s="127">
        <f>SUM(L12:L14)</f>
        <v>1766200</v>
      </c>
      <c r="M15" s="127">
        <f>SUM(M12:M14)</f>
        <v>294955.40000000002</v>
      </c>
      <c r="N15" s="252"/>
      <c r="O15" s="252"/>
      <c r="P15" s="252"/>
      <c r="Q15" s="252"/>
      <c r="R15" s="127">
        <f>SUM(R12:R14)</f>
        <v>150000</v>
      </c>
      <c r="S15" s="127">
        <f>SUM(S12:S14)</f>
        <v>112500</v>
      </c>
      <c r="T15" s="127">
        <f>SUM(T12:T14)</f>
        <v>0</v>
      </c>
      <c r="U15" s="127">
        <f>SUM(U12:U14)</f>
        <v>200000</v>
      </c>
      <c r="V15" s="252"/>
      <c r="W15" s="252"/>
      <c r="X15" s="252"/>
      <c r="Y15" s="127">
        <f>SUM(Y12:Y14)</f>
        <v>0</v>
      </c>
      <c r="Z15" s="252"/>
      <c r="AA15" s="252"/>
      <c r="AB15" s="127">
        <f>SUM(AB12:AB14)</f>
        <v>1624000</v>
      </c>
      <c r="AC15" s="127">
        <f>SUM(AC12:AC14)</f>
        <v>265500</v>
      </c>
      <c r="AD15" s="127">
        <f>SUM(AD12:AD14)</f>
        <v>0</v>
      </c>
      <c r="AE15" s="127">
        <f>SUM(AE12:AE14)</f>
        <v>470400</v>
      </c>
      <c r="AF15" s="127">
        <f>SUM(AF12:AF14)</f>
        <v>2822400</v>
      </c>
      <c r="AG15" s="252"/>
      <c r="AH15" s="252"/>
      <c r="AI15" s="252"/>
      <c r="AJ15" s="127">
        <f>SUM(AJ12:AJ12)</f>
        <v>0</v>
      </c>
      <c r="AK15" s="127">
        <f>SUM(AK12:AK14)</f>
        <v>0</v>
      </c>
      <c r="AL15" s="127">
        <f>SUM(AL12:AL14)</f>
        <v>0</v>
      </c>
      <c r="AM15" s="127">
        <f>SUM(AM12:AM14)</f>
        <v>0</v>
      </c>
      <c r="AN15" s="127">
        <f>SUM(AN12:AN14)</f>
        <v>0</v>
      </c>
      <c r="AO15" s="253"/>
      <c r="AP15" s="254"/>
      <c r="AQ15" s="175">
        <f>SUM(AQ12:AQ14)</f>
        <v>2061155.4</v>
      </c>
      <c r="AR15" s="175">
        <f>SUM(AR12:AR14)</f>
        <v>2822400</v>
      </c>
      <c r="AS15" s="175">
        <f>SUM(AS12:AS14)</f>
        <v>0</v>
      </c>
      <c r="AT15" s="175">
        <f>SUM(AT12:AT14)</f>
        <v>4883555.4000000004</v>
      </c>
      <c r="AU15" s="175">
        <f t="shared" ref="AU15:BB15" si="6">SUM(AU12:AU14)</f>
        <v>2061155.4</v>
      </c>
      <c r="AV15" s="175">
        <f t="shared" si="6"/>
        <v>0</v>
      </c>
      <c r="AW15" s="175">
        <f>SUM(AW12:AW14)</f>
        <v>0</v>
      </c>
      <c r="AX15" s="175">
        <f t="shared" si="6"/>
        <v>0</v>
      </c>
      <c r="AY15" s="175">
        <f t="shared" si="6"/>
        <v>0</v>
      </c>
      <c r="AZ15" s="175">
        <f t="shared" si="6"/>
        <v>0</v>
      </c>
      <c r="BA15" s="175">
        <f t="shared" si="6"/>
        <v>0</v>
      </c>
      <c r="BB15" s="175">
        <f t="shared" si="6"/>
        <v>-2822400</v>
      </c>
      <c r="BC15" s="169"/>
      <c r="BD15" s="169"/>
      <c r="BE15" s="169"/>
      <c r="BF15" s="169"/>
    </row>
    <row r="16" spans="1:58" s="170" customFormat="1" ht="15.75" customHeight="1" x14ac:dyDescent="0.25">
      <c r="A16" s="120"/>
      <c r="B16" s="290"/>
      <c r="C16" s="391" t="s">
        <v>192</v>
      </c>
      <c r="D16" s="391"/>
      <c r="E16" s="392"/>
      <c r="F16" s="288"/>
      <c r="G16" s="288"/>
      <c r="H16" s="114" t="s">
        <v>209</v>
      </c>
      <c r="I16" s="246"/>
      <c r="J16" s="246"/>
      <c r="K16" s="246"/>
      <c r="L16" s="247">
        <f>SUM(L19)</f>
        <v>0</v>
      </c>
      <c r="M16" s="247">
        <f>SUM(M19)</f>
        <v>0</v>
      </c>
      <c r="N16" s="247"/>
      <c r="O16" s="247"/>
      <c r="P16" s="247"/>
      <c r="Q16" s="247"/>
      <c r="R16" s="247">
        <f>SUM(R19)</f>
        <v>0</v>
      </c>
      <c r="S16" s="247">
        <f>SUM(S19)</f>
        <v>0</v>
      </c>
      <c r="T16" s="247">
        <f>SUM(T19)</f>
        <v>0</v>
      </c>
      <c r="U16" s="247">
        <f>SUM(U19)</f>
        <v>0</v>
      </c>
      <c r="V16" s="247"/>
      <c r="W16" s="247"/>
      <c r="X16" s="247"/>
      <c r="Y16" s="247">
        <f>SUM(Y19)</f>
        <v>0</v>
      </c>
      <c r="Z16" s="247">
        <f t="shared" ref="Z16:AA16" si="7">SUM(Z19)</f>
        <v>0</v>
      </c>
      <c r="AA16" s="247">
        <f t="shared" si="7"/>
        <v>0</v>
      </c>
      <c r="AB16" s="247">
        <f t="shared" ref="AB16:AF16" si="8">SUM(AB19)</f>
        <v>0</v>
      </c>
      <c r="AC16" s="247">
        <f t="shared" si="8"/>
        <v>0</v>
      </c>
      <c r="AD16" s="247">
        <f t="shared" si="8"/>
        <v>0</v>
      </c>
      <c r="AE16" s="247">
        <f t="shared" si="8"/>
        <v>0</v>
      </c>
      <c r="AF16" s="247">
        <f t="shared" si="8"/>
        <v>0</v>
      </c>
      <c r="AG16" s="247"/>
      <c r="AH16" s="247"/>
      <c r="AI16" s="247"/>
      <c r="AJ16" s="247">
        <f>SUM(AJ19)</f>
        <v>0</v>
      </c>
      <c r="AK16" s="247">
        <f>SUM(AK19)</f>
        <v>0</v>
      </c>
      <c r="AL16" s="247">
        <f>SUM(AL19)</f>
        <v>0</v>
      </c>
      <c r="AM16" s="247">
        <f>SUM(AM19)</f>
        <v>0</v>
      </c>
      <c r="AN16" s="247">
        <f>SUM(AN19)</f>
        <v>0</v>
      </c>
      <c r="AO16" s="247"/>
      <c r="AP16" s="244"/>
      <c r="AQ16" s="248">
        <f>SUM(AQ19)</f>
        <v>0</v>
      </c>
      <c r="AR16" s="248">
        <f>SUM(AR19)</f>
        <v>0</v>
      </c>
      <c r="AS16" s="248">
        <f>SUM(AS19)</f>
        <v>0</v>
      </c>
      <c r="AT16" s="248">
        <f>SUM(AT19)</f>
        <v>0</v>
      </c>
      <c r="AU16" s="248">
        <f t="shared" ref="AU16:BB16" si="9">SUM(AU19)</f>
        <v>0</v>
      </c>
      <c r="AV16" s="248">
        <f t="shared" si="9"/>
        <v>0</v>
      </c>
      <c r="AW16" s="248">
        <f>SUM(AW19)</f>
        <v>0</v>
      </c>
      <c r="AX16" s="248">
        <f t="shared" si="9"/>
        <v>0</v>
      </c>
      <c r="AY16" s="248">
        <f t="shared" si="9"/>
        <v>0</v>
      </c>
      <c r="AZ16" s="248">
        <f t="shared" si="9"/>
        <v>0</v>
      </c>
      <c r="BA16" s="248">
        <f t="shared" si="9"/>
        <v>0</v>
      </c>
      <c r="BB16" s="248">
        <f t="shared" si="9"/>
        <v>0</v>
      </c>
    </row>
    <row r="17" spans="1:58" ht="110.25" outlineLevel="2" x14ac:dyDescent="0.25">
      <c r="A17" s="115"/>
      <c r="B17" s="200"/>
      <c r="C17" s="201"/>
      <c r="D17" s="220"/>
      <c r="E17" s="294"/>
      <c r="F17" s="295"/>
      <c r="G17" s="296"/>
      <c r="H17" s="199" t="s">
        <v>380</v>
      </c>
      <c r="I17" s="130"/>
      <c r="J17" s="126"/>
      <c r="K17" s="126"/>
      <c r="L17" s="125" t="str">
        <f>IF(I17&lt;&gt;0,((VLOOKUP(I17,'1. Standard_Cost'!$B$4:$D$11,2)+VLOOKUP(I17,'1. Standard_Cost'!$B$4:$D$11,3))*J17*K17),"0")</f>
        <v>0</v>
      </c>
      <c r="M17" s="125">
        <f>L17*'1. Standard_Cost'!$F$4</f>
        <v>0</v>
      </c>
      <c r="N17" s="126"/>
      <c r="O17" s="126"/>
      <c r="P17" s="126"/>
      <c r="Q17" s="126"/>
      <c r="R17" s="127">
        <f>'1. Standard_Cost'!$B$15*N17*P17</f>
        <v>0</v>
      </c>
      <c r="S17" s="127">
        <f>N17*O17*P17*'1. Standard_Cost'!$C$15</f>
        <v>0</v>
      </c>
      <c r="T17" s="127">
        <f>N17*P17*Q17*'1. Standard_Cost'!$D$15</f>
        <v>0</v>
      </c>
      <c r="U17" s="127">
        <f>N17*O17*'1. Standard_Cost'!$E$15</f>
        <v>0</v>
      </c>
      <c r="V17" s="126"/>
      <c r="W17" s="126"/>
      <c r="X17" s="126"/>
      <c r="Y17" s="127">
        <f>+V17*((X17*'1. Standard_Cost'!$B$19)+(W17*X17*'1. Standard_Cost'!$C$19))</f>
        <v>0</v>
      </c>
      <c r="Z17" s="126"/>
      <c r="AA17" s="126"/>
      <c r="AB17" s="127">
        <f>+Z17*'1. Standard_Cost'!$B$23+AA17*'1. Standard_Cost'!$C$23</f>
        <v>0</v>
      </c>
      <c r="AC17" s="128"/>
      <c r="AD17" s="129"/>
      <c r="AE17" s="127">
        <f>SUM(AD17,AC17,AB17,Y17,U17,T17,S17,R17)*'1. Standard_Cost'!$B$31</f>
        <v>0</v>
      </c>
      <c r="AF17" s="127">
        <f>SUM(AE17,AD17,AC17,AB17,Y17,U17,T17,S17,R17)</f>
        <v>0</v>
      </c>
      <c r="AG17" s="126"/>
      <c r="AH17" s="126"/>
      <c r="AI17" s="126"/>
      <c r="AJ17" s="130"/>
      <c r="AK17" s="130"/>
      <c r="AL17" s="130"/>
      <c r="AM17" s="127">
        <f>AG17*'1. Standard_Cost'!$B$27+'Incremental_Cost Year 3'!AH17*'1. Standard_Cost'!$C$27+'Incremental_Cost Year 3'!AI17*'1. Standard_Cost'!$D$27+'Incremental_Cost Year 3'!AJ17+'Incremental_Cost Year 3'!AL17+AK17</f>
        <v>0</v>
      </c>
      <c r="AN17" s="127">
        <f>AM17*'1. Standard_Cost'!$C$31</f>
        <v>0</v>
      </c>
      <c r="AO17" s="249"/>
      <c r="AQ17" s="171">
        <f>L17+M17</f>
        <v>0</v>
      </c>
      <c r="AR17" s="171">
        <f>AF17</f>
        <v>0</v>
      </c>
      <c r="AS17" s="171">
        <f>AM17+AN17</f>
        <v>0</v>
      </c>
      <c r="AT17" s="171">
        <f>SUM(AQ17,AR17,AS17)</f>
        <v>0</v>
      </c>
      <c r="AU17" s="250"/>
      <c r="AV17" s="250"/>
      <c r="AW17" s="250"/>
      <c r="AX17" s="250"/>
      <c r="AY17" s="250"/>
      <c r="AZ17" s="250"/>
      <c r="BA17" s="250"/>
      <c r="BB17" s="251">
        <f t="shared" ref="BB17:BB18" si="10">SUM(AU17:BA17)-AT17</f>
        <v>0</v>
      </c>
      <c r="BC17" s="169"/>
      <c r="BD17" s="169"/>
      <c r="BE17" s="169"/>
      <c r="BF17" s="169"/>
    </row>
    <row r="18" spans="1:58" ht="109.15" customHeight="1" outlineLevel="2" x14ac:dyDescent="0.25">
      <c r="A18" s="115"/>
      <c r="B18" s="200"/>
      <c r="C18" s="201"/>
      <c r="D18" s="221"/>
      <c r="E18" s="121"/>
      <c r="F18" s="122"/>
      <c r="G18" s="123"/>
      <c r="H18" s="199" t="s">
        <v>381</v>
      </c>
      <c r="I18" s="130"/>
      <c r="J18" s="126"/>
      <c r="K18" s="126"/>
      <c r="L18" s="125" t="str">
        <f>IF(I18&lt;&gt;0,((VLOOKUP(I18,'1. Standard_Cost'!$B$4:$D$11,2)+VLOOKUP(I18,'1. Standard_Cost'!$B$4:$D$11,3))*J18*K18),"0")</f>
        <v>0</v>
      </c>
      <c r="M18" s="125">
        <f>L18*'1. Standard_Cost'!$F$4</f>
        <v>0</v>
      </c>
      <c r="N18" s="126"/>
      <c r="O18" s="126"/>
      <c r="P18" s="126"/>
      <c r="Q18" s="126"/>
      <c r="R18" s="127">
        <f>'1. Standard_Cost'!$B$15*N18*P18</f>
        <v>0</v>
      </c>
      <c r="S18" s="127">
        <f>N18*O18*P18*'1. Standard_Cost'!$C$15</f>
        <v>0</v>
      </c>
      <c r="T18" s="127">
        <f>N18*P18*Q18*'1. Standard_Cost'!$D$15</f>
        <v>0</v>
      </c>
      <c r="U18" s="127">
        <f>N18*O18*'1. Standard_Cost'!$E$15</f>
        <v>0</v>
      </c>
      <c r="V18" s="126"/>
      <c r="W18" s="126"/>
      <c r="X18" s="126"/>
      <c r="Y18" s="127">
        <f>+V18*((X18*'1. Standard_Cost'!$B$19)+(W18*X18*'1. Standard_Cost'!$C$19))</f>
        <v>0</v>
      </c>
      <c r="Z18" s="126"/>
      <c r="AA18" s="126"/>
      <c r="AB18" s="127">
        <f>+Z18*'1. Standard_Cost'!$B$23+AA18*'1. Standard_Cost'!$C$23</f>
        <v>0</v>
      </c>
      <c r="AC18" s="128"/>
      <c r="AD18" s="129"/>
      <c r="AE18" s="127">
        <f>SUM(AD18,AC18,AB18,Y18,U18,T18,S18,R18)*'1. Standard_Cost'!$B$31</f>
        <v>0</v>
      </c>
      <c r="AF18" s="127">
        <f>SUM(AE18,AD18,AC18,AB18,Y18,U18,T18,S18,R18)</f>
        <v>0</v>
      </c>
      <c r="AG18" s="126"/>
      <c r="AH18" s="126"/>
      <c r="AI18" s="126"/>
      <c r="AJ18" s="130"/>
      <c r="AK18" s="130"/>
      <c r="AL18" s="130"/>
      <c r="AM18" s="127">
        <f>AG18*'1. Standard_Cost'!$B$27+'Incremental_Cost Year 3'!AH18*'1. Standard_Cost'!$C$27+'Incremental_Cost Year 3'!AI18*'1. Standard_Cost'!$D$27+'Incremental_Cost Year 3'!AJ18+'Incremental_Cost Year 3'!AL18+AK18</f>
        <v>0</v>
      </c>
      <c r="AN18" s="127">
        <f>AM18*'1. Standard_Cost'!$C$31</f>
        <v>0</v>
      </c>
      <c r="AO18" s="130"/>
      <c r="AQ18" s="171">
        <f>L18+M18</f>
        <v>0</v>
      </c>
      <c r="AR18" s="171">
        <f>AF18</f>
        <v>0</v>
      </c>
      <c r="AS18" s="171">
        <f>AM18+AN18</f>
        <v>0</v>
      </c>
      <c r="AT18" s="171">
        <f>SUM(AQ18,AR18,AS18)</f>
        <v>0</v>
      </c>
      <c r="AU18" s="250"/>
      <c r="AV18" s="250"/>
      <c r="AW18" s="250"/>
      <c r="AX18" s="250"/>
      <c r="AY18" s="250"/>
      <c r="AZ18" s="250"/>
      <c r="BA18" s="250"/>
      <c r="BB18" s="251">
        <f t="shared" si="10"/>
        <v>0</v>
      </c>
      <c r="BC18" s="169"/>
      <c r="BD18" s="169"/>
      <c r="BE18" s="169"/>
      <c r="BF18" s="169"/>
    </row>
    <row r="19" spans="1:58" ht="63" outlineLevel="1" x14ac:dyDescent="0.25">
      <c r="A19" s="115"/>
      <c r="B19" s="200"/>
      <c r="C19" s="201"/>
      <c r="D19" s="107" t="s">
        <v>240</v>
      </c>
      <c r="E19" s="139" t="s">
        <v>193</v>
      </c>
      <c r="F19" s="136">
        <v>2024</v>
      </c>
      <c r="G19" s="117">
        <v>2027</v>
      </c>
      <c r="H19" s="134" t="s">
        <v>194</v>
      </c>
      <c r="I19" s="252"/>
      <c r="J19" s="252"/>
      <c r="K19" s="252"/>
      <c r="L19" s="127">
        <f>SUM(L17:L18)</f>
        <v>0</v>
      </c>
      <c r="M19" s="127">
        <f>SUM(M17:M18)</f>
        <v>0</v>
      </c>
      <c r="N19" s="127"/>
      <c r="O19" s="252"/>
      <c r="P19" s="252"/>
      <c r="Q19" s="252"/>
      <c r="R19" s="127">
        <f>SUM(R17:R18)</f>
        <v>0</v>
      </c>
      <c r="S19" s="127">
        <f>SUM(S17:S18)</f>
        <v>0</v>
      </c>
      <c r="T19" s="127">
        <f>SUM(T17:T18)</f>
        <v>0</v>
      </c>
      <c r="U19" s="127">
        <f>SUM(U17:U18)</f>
        <v>0</v>
      </c>
      <c r="V19" s="252"/>
      <c r="W19" s="252"/>
      <c r="X19" s="252"/>
      <c r="Y19" s="127">
        <f>SUM(Y17:Y18)</f>
        <v>0</v>
      </c>
      <c r="Z19" s="252"/>
      <c r="AA19" s="252"/>
      <c r="AB19" s="127">
        <f>SUM(AB17:AB18)</f>
        <v>0</v>
      </c>
      <c r="AC19" s="127">
        <f>SUM(AC17:AC18)</f>
        <v>0</v>
      </c>
      <c r="AD19" s="127">
        <f>SUM(AD17:AD18)</f>
        <v>0</v>
      </c>
      <c r="AE19" s="127">
        <f>SUM(AE17:AE18)</f>
        <v>0</v>
      </c>
      <c r="AF19" s="127">
        <f>SUM(AF17:AF18)</f>
        <v>0</v>
      </c>
      <c r="AG19" s="252"/>
      <c r="AH19" s="252"/>
      <c r="AI19" s="252"/>
      <c r="AJ19" s="127">
        <f>SUM(AJ17:AJ18)</f>
        <v>0</v>
      </c>
      <c r="AK19" s="127">
        <f>SUM(AK17:AK18)</f>
        <v>0</v>
      </c>
      <c r="AL19" s="127">
        <f>SUM(AL17:AL18)</f>
        <v>0</v>
      </c>
      <c r="AM19" s="127">
        <f>SUM(AM17:AM18)</f>
        <v>0</v>
      </c>
      <c r="AN19" s="127">
        <f>SUM(AN17:AN18)</f>
        <v>0</v>
      </c>
      <c r="AO19" s="253"/>
      <c r="AP19" s="254"/>
      <c r="AQ19" s="175">
        <f>SUM(AQ17:AQ18)</f>
        <v>0</v>
      </c>
      <c r="AR19" s="175">
        <f>SUM(AR17:AR18)</f>
        <v>0</v>
      </c>
      <c r="AS19" s="175">
        <f>SUM(AS17:AS18)</f>
        <v>0</v>
      </c>
      <c r="AT19" s="175">
        <f>SUM(AT17:AT18)</f>
        <v>0</v>
      </c>
      <c r="AU19" s="175">
        <f t="shared" ref="AU19:BB19" si="11">SUM(AU17:AU18)</f>
        <v>0</v>
      </c>
      <c r="AV19" s="175">
        <f t="shared" si="11"/>
        <v>0</v>
      </c>
      <c r="AW19" s="175">
        <f>SUM(AW17:AW18)</f>
        <v>0</v>
      </c>
      <c r="AX19" s="175">
        <f t="shared" si="11"/>
        <v>0</v>
      </c>
      <c r="AY19" s="175">
        <f t="shared" si="11"/>
        <v>0</v>
      </c>
      <c r="AZ19" s="175">
        <f t="shared" si="11"/>
        <v>0</v>
      </c>
      <c r="BA19" s="175">
        <f t="shared" si="11"/>
        <v>0</v>
      </c>
      <c r="BB19" s="175">
        <f t="shared" si="11"/>
        <v>0</v>
      </c>
      <c r="BC19" s="169"/>
      <c r="BD19" s="169"/>
      <c r="BE19" s="169"/>
      <c r="BF19" s="169"/>
    </row>
    <row r="20" spans="1:58" s="170" customFormat="1" ht="15.75" customHeight="1" x14ac:dyDescent="0.25">
      <c r="A20" s="120"/>
      <c r="B20" s="290"/>
      <c r="C20" s="391" t="s">
        <v>195</v>
      </c>
      <c r="D20" s="391"/>
      <c r="E20" s="392"/>
      <c r="F20" s="288"/>
      <c r="G20" s="288"/>
      <c r="H20" s="114" t="s">
        <v>208</v>
      </c>
      <c r="I20" s="246"/>
      <c r="J20" s="246"/>
      <c r="K20" s="246"/>
      <c r="L20" s="247">
        <f>SUM(L25+L29+L37+L39)</f>
        <v>279312600</v>
      </c>
      <c r="M20" s="247">
        <f>SUM(M25+M29+M37+M39)</f>
        <v>46645204.200000003</v>
      </c>
      <c r="N20" s="247"/>
      <c r="O20" s="247"/>
      <c r="P20" s="247"/>
      <c r="Q20" s="247"/>
      <c r="R20" s="247">
        <f>SUM(R25+R29+R37+R39)</f>
        <v>0</v>
      </c>
      <c r="S20" s="247">
        <f>SUM(S25+S29+S37+S39)</f>
        <v>0</v>
      </c>
      <c r="T20" s="247">
        <f>SUM(T25+T29+T37+T39)</f>
        <v>0</v>
      </c>
      <c r="U20" s="247">
        <f>SUM(U25+U29+U37+U39)</f>
        <v>0</v>
      </c>
      <c r="V20" s="247"/>
      <c r="W20" s="247"/>
      <c r="X20" s="247"/>
      <c r="Y20" s="247">
        <f>SUM(Y25+Y29+Y37+Y39)</f>
        <v>0</v>
      </c>
      <c r="Z20" s="247">
        <f t="shared" ref="Z20:AA20" si="12">SUM(Z25+Z29+Z37+Z39)</f>
        <v>0</v>
      </c>
      <c r="AA20" s="247">
        <f t="shared" si="12"/>
        <v>0</v>
      </c>
      <c r="AB20" s="247">
        <f t="shared" ref="AB20:AF20" si="13">SUM(AB25+AB29+AB37+AB39)</f>
        <v>0</v>
      </c>
      <c r="AC20" s="247">
        <f t="shared" si="13"/>
        <v>5146385370</v>
      </c>
      <c r="AD20" s="247">
        <f t="shared" si="13"/>
        <v>0</v>
      </c>
      <c r="AE20" s="247">
        <f t="shared" si="13"/>
        <v>570000</v>
      </c>
      <c r="AF20" s="247">
        <f t="shared" si="13"/>
        <v>5146955370</v>
      </c>
      <c r="AG20" s="247"/>
      <c r="AH20" s="247"/>
      <c r="AI20" s="247"/>
      <c r="AJ20" s="247">
        <f>SUM(AJ25+AJ29+AJ37+AJ39)</f>
        <v>0</v>
      </c>
      <c r="AK20" s="247">
        <f>SUM(AK25+AK29+AK37+AK39)</f>
        <v>0</v>
      </c>
      <c r="AL20" s="247">
        <f>SUM(AL25+AL29+AL37+AL39)</f>
        <v>0</v>
      </c>
      <c r="AM20" s="247">
        <f>SUM(AM25+AM29+AM37+AM39)</f>
        <v>0</v>
      </c>
      <c r="AN20" s="247">
        <f>SUM(AN25+AN29+AN37+AN39)</f>
        <v>0</v>
      </c>
      <c r="AO20" s="247"/>
      <c r="AP20" s="244"/>
      <c r="AQ20" s="248">
        <f>SUM(AQ25+AQ29+AQ37+AQ39)</f>
        <v>325957804.19999999</v>
      </c>
      <c r="AR20" s="248">
        <f>SUM(AR25+AR29+AR37+AR39)</f>
        <v>5146955370</v>
      </c>
      <c r="AS20" s="248">
        <f>SUM(AS25+AS29+AS37+AS39)</f>
        <v>0</v>
      </c>
      <c r="AT20" s="248">
        <f>SUM(AT25+AT29+AT37+AT39)</f>
        <v>5472913174.1999998</v>
      </c>
      <c r="AU20" s="248">
        <f t="shared" ref="AU20:BB20" si="14">SUM(AU25+AU29+AU37+AU39)</f>
        <v>5472913174.1999998</v>
      </c>
      <c r="AV20" s="248">
        <f t="shared" si="14"/>
        <v>0</v>
      </c>
      <c r="AW20" s="248">
        <f>SUM(AW25+AW29+AW37+AW39)</f>
        <v>0</v>
      </c>
      <c r="AX20" s="248">
        <f t="shared" si="14"/>
        <v>0</v>
      </c>
      <c r="AY20" s="248">
        <f t="shared" si="14"/>
        <v>0</v>
      </c>
      <c r="AZ20" s="248">
        <f t="shared" si="14"/>
        <v>0</v>
      </c>
      <c r="BA20" s="248">
        <f t="shared" si="14"/>
        <v>0</v>
      </c>
      <c r="BB20" s="248">
        <f t="shared" si="14"/>
        <v>0</v>
      </c>
    </row>
    <row r="21" spans="1:58" ht="189" outlineLevel="2" x14ac:dyDescent="0.25">
      <c r="A21" s="115"/>
      <c r="B21" s="200"/>
      <c r="C21" s="201"/>
      <c r="D21" s="135"/>
      <c r="E21" s="219"/>
      <c r="F21" s="219"/>
      <c r="G21" s="313"/>
      <c r="H21" s="199" t="s">
        <v>382</v>
      </c>
      <c r="I21" s="130"/>
      <c r="J21" s="126"/>
      <c r="K21" s="126"/>
      <c r="L21" s="125" t="str">
        <f>IF(I21&lt;&gt;0,((VLOOKUP(I21,'1. Standard_Cost'!$B$4:$D$11,2)+VLOOKUP(I21,'1. Standard_Cost'!$B$4:$D$11,3))*J21*K21),"0")</f>
        <v>0</v>
      </c>
      <c r="M21" s="125">
        <f>L21*'1. Standard_Cost'!$F$4</f>
        <v>0</v>
      </c>
      <c r="N21" s="126"/>
      <c r="O21" s="126"/>
      <c r="P21" s="126"/>
      <c r="Q21" s="126"/>
      <c r="R21" s="127">
        <f>'1. Standard_Cost'!$B$15*N21*P21</f>
        <v>0</v>
      </c>
      <c r="S21" s="127">
        <f>N21*O21*P21*'1. Standard_Cost'!$C$15</f>
        <v>0</v>
      </c>
      <c r="T21" s="127">
        <f>N21*P21*Q21*'1. Standard_Cost'!$D$15</f>
        <v>0</v>
      </c>
      <c r="U21" s="127">
        <f>N21*O21*'1. Standard_Cost'!$E$15</f>
        <v>0</v>
      </c>
      <c r="V21" s="126"/>
      <c r="W21" s="126"/>
      <c r="X21" s="126"/>
      <c r="Y21" s="127">
        <f>+V21*((X21*'1. Standard_Cost'!$B$19)+(W21*X21*'1. Standard_Cost'!$C$19))</f>
        <v>0</v>
      </c>
      <c r="Z21" s="126"/>
      <c r="AA21" s="126"/>
      <c r="AB21" s="127">
        <f>+Z21*'1. Standard_Cost'!$B$23+AA21*'1. Standard_Cost'!$C$23</f>
        <v>0</v>
      </c>
      <c r="AC21" s="128">
        <v>234944495</v>
      </c>
      <c r="AD21" s="129"/>
      <c r="AE21" s="127">
        <v>0</v>
      </c>
      <c r="AF21" s="127">
        <f>SUM(AE21,AD21,AC21,AB21,Y21,U21,T21,S21,R21)</f>
        <v>234944495</v>
      </c>
      <c r="AG21" s="126"/>
      <c r="AH21" s="126"/>
      <c r="AI21" s="126"/>
      <c r="AJ21" s="130"/>
      <c r="AK21" s="130"/>
      <c r="AL21" s="130"/>
      <c r="AM21" s="127">
        <f>AG21*'1. Standard_Cost'!$B$27+'Incremental_Cost Year 3'!AH21*'1. Standard_Cost'!$C$27+'Incremental_Cost Year 3'!AI21*'1. Standard_Cost'!$D$27+'Incremental_Cost Year 3'!AJ21+'Incremental_Cost Year 3'!AL21+AK21</f>
        <v>0</v>
      </c>
      <c r="AN21" s="127">
        <f>AM21*'1. Standard_Cost'!$C$31</f>
        <v>0</v>
      </c>
      <c r="AO21" s="249"/>
      <c r="AQ21" s="171">
        <f>L21+M21</f>
        <v>0</v>
      </c>
      <c r="AR21" s="171">
        <f>AF21</f>
        <v>234944495</v>
      </c>
      <c r="AS21" s="171">
        <f>AM21+AN21</f>
        <v>0</v>
      </c>
      <c r="AT21" s="171">
        <f>SUM(AQ21,AR21,AS21)</f>
        <v>234944495</v>
      </c>
      <c r="AU21" s="250">
        <f>AT21</f>
        <v>234944495</v>
      </c>
      <c r="AV21" s="250"/>
      <c r="AW21" s="250"/>
      <c r="AX21" s="250"/>
      <c r="AY21" s="250"/>
      <c r="AZ21" s="250"/>
      <c r="BA21" s="250"/>
      <c r="BB21" s="251">
        <f t="shared" ref="BB21:BB24" si="15">SUM(AU21:BA21)-AT21</f>
        <v>0</v>
      </c>
      <c r="BC21" s="169"/>
      <c r="BD21" s="169"/>
      <c r="BE21" s="169"/>
      <c r="BF21" s="169"/>
    </row>
    <row r="22" spans="1:58" ht="47.25" outlineLevel="2" x14ac:dyDescent="0.25">
      <c r="A22" s="115"/>
      <c r="B22" s="200"/>
      <c r="C22" s="201"/>
      <c r="D22" s="135"/>
      <c r="E22" s="219"/>
      <c r="F22" s="219"/>
      <c r="G22" s="313"/>
      <c r="H22" s="199" t="s">
        <v>225</v>
      </c>
      <c r="I22" s="130" t="s">
        <v>3</v>
      </c>
      <c r="J22" s="126">
        <v>12</v>
      </c>
      <c r="K22" s="126">
        <v>10</v>
      </c>
      <c r="L22" s="125">
        <f>IF(I22&lt;&gt;0,((VLOOKUP(I22,'1. Standard_Cost'!$B$4:$D$11,2)+VLOOKUP(I22,'1. Standard_Cost'!$B$4:$D$11,3))*J22*K22),"0")</f>
        <v>12096000</v>
      </c>
      <c r="M22" s="125">
        <f>L22*'1. Standard_Cost'!$F$4</f>
        <v>2020032</v>
      </c>
      <c r="N22" s="126"/>
      <c r="O22" s="126"/>
      <c r="P22" s="126"/>
      <c r="Q22" s="126"/>
      <c r="R22" s="127">
        <f>'1. Standard_Cost'!$B$15*N22*P22</f>
        <v>0</v>
      </c>
      <c r="S22" s="127">
        <f>N22*O22*P22*'1. Standard_Cost'!$C$15</f>
        <v>0</v>
      </c>
      <c r="T22" s="127">
        <f>N22*P22*Q22*'1. Standard_Cost'!$D$15</f>
        <v>0</v>
      </c>
      <c r="U22" s="127">
        <f>N22*O22*'1. Standard_Cost'!$E$15</f>
        <v>0</v>
      </c>
      <c r="V22" s="126"/>
      <c r="W22" s="126"/>
      <c r="X22" s="126"/>
      <c r="Y22" s="127">
        <f>+V22*((X22*'1. Standard_Cost'!$B$19)+(W22*X22*'1. Standard_Cost'!$C$19))</f>
        <v>0</v>
      </c>
      <c r="Z22" s="126"/>
      <c r="AA22" s="126"/>
      <c r="AB22" s="127">
        <f>+Z22*'1. Standard_Cost'!$B$23+AA22*'1. Standard_Cost'!$C$23</f>
        <v>0</v>
      </c>
      <c r="AC22" s="128">
        <v>50000</v>
      </c>
      <c r="AD22" s="129"/>
      <c r="AE22" s="127">
        <f>SUM(AD22,AC22,AB22,Y22,U22,T22,S22,R22)*'1. Standard_Cost'!$B$31</f>
        <v>10000</v>
      </c>
      <c r="AF22" s="127">
        <f>SUM(AE22,AD22,AC22,AB22,Y22,U22,T22,S22,R22)</f>
        <v>60000</v>
      </c>
      <c r="AG22" s="126"/>
      <c r="AH22" s="126"/>
      <c r="AI22" s="126"/>
      <c r="AJ22" s="130"/>
      <c r="AK22" s="130"/>
      <c r="AL22" s="130"/>
      <c r="AM22" s="127">
        <f>AG22*'1. Standard_Cost'!$B$27+'Incremental_Cost Year 3'!AH22*'1. Standard_Cost'!$C$27+'Incremental_Cost Year 3'!AI22*'1. Standard_Cost'!$D$27+'Incremental_Cost Year 3'!AJ22+'Incremental_Cost Year 3'!AL22+AK22</f>
        <v>0</v>
      </c>
      <c r="AN22" s="127">
        <f>AM22*'1. Standard_Cost'!$C$31</f>
        <v>0</v>
      </c>
      <c r="AO22" s="249"/>
      <c r="AQ22" s="171">
        <f>L22+M22</f>
        <v>14116032</v>
      </c>
      <c r="AR22" s="171">
        <f>AF22</f>
        <v>60000</v>
      </c>
      <c r="AS22" s="171">
        <f>AM22+AN22</f>
        <v>0</v>
      </c>
      <c r="AT22" s="171">
        <f>SUM(AQ22,AR22,AS22)</f>
        <v>14176032</v>
      </c>
      <c r="AU22" s="250">
        <f>AT22</f>
        <v>14176032</v>
      </c>
      <c r="AV22" s="250"/>
      <c r="AW22" s="250"/>
      <c r="AX22" s="250"/>
      <c r="AY22" s="250"/>
      <c r="AZ22" s="250"/>
      <c r="BA22" s="250"/>
      <c r="BB22" s="251">
        <f t="shared" si="15"/>
        <v>0</v>
      </c>
      <c r="BC22" s="169"/>
      <c r="BD22" s="169"/>
      <c r="BE22" s="169"/>
      <c r="BF22" s="169"/>
    </row>
    <row r="23" spans="1:58" ht="47.25" outlineLevel="2" x14ac:dyDescent="0.25">
      <c r="A23" s="115"/>
      <c r="B23" s="200"/>
      <c r="C23" s="201"/>
      <c r="D23" s="135"/>
      <c r="E23" s="219"/>
      <c r="F23" s="219"/>
      <c r="G23" s="313"/>
      <c r="H23" s="199" t="s">
        <v>383</v>
      </c>
      <c r="I23" s="130" t="s">
        <v>5</v>
      </c>
      <c r="J23" s="126">
        <v>12</v>
      </c>
      <c r="K23" s="126">
        <v>36</v>
      </c>
      <c r="L23" s="125">
        <f>IF(I23&lt;&gt;0,((VLOOKUP(I23,'1. Standard_Cost'!$B$4:$D$11,2)+VLOOKUP(I23,'1. Standard_Cost'!$B$4:$D$11,3))*J23*K23),"0")</f>
        <v>30542400</v>
      </c>
      <c r="M23" s="125">
        <f>L23*'1. Standard_Cost'!$F$4</f>
        <v>5100580.8000000007</v>
      </c>
      <c r="N23" s="126"/>
      <c r="O23" s="126"/>
      <c r="P23" s="126"/>
      <c r="Q23" s="126"/>
      <c r="R23" s="127">
        <f>'1. Standard_Cost'!$B$15*N23*P23</f>
        <v>0</v>
      </c>
      <c r="S23" s="127">
        <f>N23*O23*P23*'1. Standard_Cost'!$C$15</f>
        <v>0</v>
      </c>
      <c r="T23" s="127">
        <f>N23*P23*Q23*'1. Standard_Cost'!$D$15</f>
        <v>0</v>
      </c>
      <c r="U23" s="127">
        <f>N23*O23*'1. Standard_Cost'!$E$15</f>
        <v>0</v>
      </c>
      <c r="V23" s="126"/>
      <c r="W23" s="126"/>
      <c r="X23" s="126"/>
      <c r="Y23" s="127">
        <f>+V23*((X23*'1. Standard_Cost'!$B$19)+(W23*X23*'1. Standard_Cost'!$C$19))</f>
        <v>0</v>
      </c>
      <c r="Z23" s="126"/>
      <c r="AA23" s="126"/>
      <c r="AB23" s="127">
        <f>+Z23*'1. Standard_Cost'!$B$23+AA23*'1. Standard_Cost'!$C$23</f>
        <v>0</v>
      </c>
      <c r="AC23" s="128">
        <f>50000*36</f>
        <v>1800000</v>
      </c>
      <c r="AD23" s="129"/>
      <c r="AE23" s="127">
        <f>SUM(AD23,AC23,AB23,Y23,U23,T23,S23,R23)*'1. Standard_Cost'!$B$31</f>
        <v>360000</v>
      </c>
      <c r="AF23" s="127">
        <f>SUM(AE23,AD23,AC23,AB23,Y23,U23,T23,S23,R23)</f>
        <v>2160000</v>
      </c>
      <c r="AG23" s="126"/>
      <c r="AH23" s="126"/>
      <c r="AI23" s="126"/>
      <c r="AJ23" s="130"/>
      <c r="AK23" s="130"/>
      <c r="AL23" s="130"/>
      <c r="AM23" s="127">
        <f>AG23*'1. Standard_Cost'!$B$27+'Incremental_Cost Year 3'!AH23*'1. Standard_Cost'!$C$27+'Incremental_Cost Year 3'!AI23*'1. Standard_Cost'!$D$27+'Incremental_Cost Year 3'!AJ23+'Incremental_Cost Year 3'!AL23+AK23</f>
        <v>0</v>
      </c>
      <c r="AN23" s="127">
        <f>AM23*'1. Standard_Cost'!$C$31</f>
        <v>0</v>
      </c>
      <c r="AO23" s="249"/>
      <c r="AQ23" s="171">
        <f>L23+M23</f>
        <v>35642980.799999997</v>
      </c>
      <c r="AR23" s="171">
        <f>AF23</f>
        <v>2160000</v>
      </c>
      <c r="AS23" s="171">
        <f>AM23+AN23</f>
        <v>0</v>
      </c>
      <c r="AT23" s="171">
        <f>SUM(AQ23,AR23,AS23)</f>
        <v>37802980.799999997</v>
      </c>
      <c r="AU23" s="250">
        <f>AT23</f>
        <v>37802980.799999997</v>
      </c>
      <c r="AV23" s="250"/>
      <c r="AW23" s="250"/>
      <c r="AX23" s="250"/>
      <c r="AY23" s="250"/>
      <c r="AZ23" s="250"/>
      <c r="BA23" s="250"/>
      <c r="BB23" s="251">
        <f t="shared" si="15"/>
        <v>0</v>
      </c>
      <c r="BC23" s="169"/>
      <c r="BD23" s="169"/>
      <c r="BE23" s="169"/>
      <c r="BF23" s="169"/>
    </row>
    <row r="24" spans="1:58" ht="15.75" outlineLevel="2" x14ac:dyDescent="0.25">
      <c r="A24" s="115"/>
      <c r="B24" s="200"/>
      <c r="C24" s="201"/>
      <c r="D24" s="211"/>
      <c r="E24" s="124"/>
      <c r="F24" s="140"/>
      <c r="G24" s="351"/>
      <c r="H24" s="199"/>
      <c r="I24" s="130"/>
      <c r="J24" s="126"/>
      <c r="K24" s="126"/>
      <c r="L24" s="125" t="str">
        <f>IF(I24&lt;&gt;0,((VLOOKUP(I24,'1. Standard_Cost'!$B$4:$D$11,2)+VLOOKUP(I24,'1. Standard_Cost'!$B$4:$D$11,3))*J24*K24),"0")</f>
        <v>0</v>
      </c>
      <c r="M24" s="125">
        <f>L24*'1. Standard_Cost'!$F$4</f>
        <v>0</v>
      </c>
      <c r="N24" s="126"/>
      <c r="O24" s="126"/>
      <c r="P24" s="126"/>
      <c r="Q24" s="126"/>
      <c r="R24" s="127">
        <f>'1. Standard_Cost'!$B$15*N24*P24</f>
        <v>0</v>
      </c>
      <c r="S24" s="127">
        <f>N24*O24*P24*'1. Standard_Cost'!$C$15</f>
        <v>0</v>
      </c>
      <c r="T24" s="127">
        <f>N24*P24*Q24*'1. Standard_Cost'!$D$15</f>
        <v>0</v>
      </c>
      <c r="U24" s="127">
        <f>N24*O24*'1. Standard_Cost'!$E$15</f>
        <v>0</v>
      </c>
      <c r="V24" s="126"/>
      <c r="W24" s="126"/>
      <c r="X24" s="126"/>
      <c r="Y24" s="127">
        <f>+V24*((X24*'1. Standard_Cost'!$B$19)+(W24*X24*'1. Standard_Cost'!$C$19))</f>
        <v>0</v>
      </c>
      <c r="Z24" s="126"/>
      <c r="AA24" s="126"/>
      <c r="AB24" s="127">
        <f>+Z24*'1. Standard_Cost'!$B$23+AA24*'1. Standard_Cost'!$C$23</f>
        <v>0</v>
      </c>
      <c r="AC24" s="128"/>
      <c r="AD24" s="129"/>
      <c r="AE24" s="127">
        <f>SUM(AD24,AC24,AB24,Y24,U24,T24,S24,R24)*'1. Standard_Cost'!$B$31</f>
        <v>0</v>
      </c>
      <c r="AF24" s="127">
        <f>SUM(AE24,AD24,AC24,AB24,Y24,U24,T24,S24,R24)</f>
        <v>0</v>
      </c>
      <c r="AG24" s="126"/>
      <c r="AH24" s="126"/>
      <c r="AI24" s="126"/>
      <c r="AJ24" s="130"/>
      <c r="AK24" s="130"/>
      <c r="AL24" s="130"/>
      <c r="AM24" s="127">
        <f>AG24*'1. Standard_Cost'!$B$27+'Incremental_Cost Year 3'!AH24*'1. Standard_Cost'!$C$27+'Incremental_Cost Year 3'!AI24*'1. Standard_Cost'!$D$27+'Incremental_Cost Year 3'!AJ24+'Incremental_Cost Year 3'!AL24+AK24</f>
        <v>0</v>
      </c>
      <c r="AN24" s="127">
        <f>AM24*'1. Standard_Cost'!$C$31</f>
        <v>0</v>
      </c>
      <c r="AO24" s="130"/>
      <c r="AQ24" s="171">
        <f>L24+M24</f>
        <v>0</v>
      </c>
      <c r="AR24" s="171">
        <f>AF24</f>
        <v>0</v>
      </c>
      <c r="AS24" s="171">
        <f>AM24+AN24</f>
        <v>0</v>
      </c>
      <c r="AT24" s="171">
        <f>SUM(AQ24,AR24,AS24)</f>
        <v>0</v>
      </c>
      <c r="AU24" s="250">
        <f>AT24</f>
        <v>0</v>
      </c>
      <c r="AV24" s="250"/>
      <c r="AW24" s="250"/>
      <c r="AX24" s="250"/>
      <c r="AY24" s="250"/>
      <c r="AZ24" s="250"/>
      <c r="BA24" s="250"/>
      <c r="BB24" s="251">
        <f t="shared" si="15"/>
        <v>0</v>
      </c>
      <c r="BC24" s="169"/>
      <c r="BD24" s="169"/>
      <c r="BE24" s="169"/>
      <c r="BF24" s="169"/>
    </row>
    <row r="25" spans="1:58" ht="63" outlineLevel="1" x14ac:dyDescent="0.25">
      <c r="A25" s="115"/>
      <c r="B25" s="165"/>
      <c r="C25" s="166"/>
      <c r="D25" s="150" t="s">
        <v>384</v>
      </c>
      <c r="E25" s="139" t="s">
        <v>196</v>
      </c>
      <c r="F25" s="222">
        <v>2021</v>
      </c>
      <c r="G25" s="117">
        <v>2030</v>
      </c>
      <c r="H25" s="134" t="s">
        <v>197</v>
      </c>
      <c r="I25" s="252"/>
      <c r="J25" s="252"/>
      <c r="K25" s="252"/>
      <c r="L25" s="127">
        <f>SUM(L21:L24)</f>
        <v>42638400</v>
      </c>
      <c r="M25" s="127">
        <f>SUM(M21:M24)</f>
        <v>7120612.8000000007</v>
      </c>
      <c r="N25" s="127"/>
      <c r="O25" s="252"/>
      <c r="P25" s="252"/>
      <c r="Q25" s="252"/>
      <c r="R25" s="127">
        <f>SUM(R21:R24)</f>
        <v>0</v>
      </c>
      <c r="S25" s="127">
        <f>SUM(S21:S24)</f>
        <v>0</v>
      </c>
      <c r="T25" s="127">
        <f>SUM(T21:T24)</f>
        <v>0</v>
      </c>
      <c r="U25" s="127">
        <f>SUM(U21:U24)</f>
        <v>0</v>
      </c>
      <c r="V25" s="252"/>
      <c r="W25" s="252"/>
      <c r="X25" s="252"/>
      <c r="Y25" s="127">
        <f>SUM(Y21:Y24)</f>
        <v>0</v>
      </c>
      <c r="Z25" s="252"/>
      <c r="AA25" s="252"/>
      <c r="AB25" s="127">
        <f>SUM(AB21:AB24)</f>
        <v>0</v>
      </c>
      <c r="AC25" s="127">
        <f>SUM(AC21:AC24)</f>
        <v>236794495</v>
      </c>
      <c r="AD25" s="127">
        <f>SUM(AD21:AD24)</f>
        <v>0</v>
      </c>
      <c r="AE25" s="127">
        <f>SUM(AE21:AE24)</f>
        <v>370000</v>
      </c>
      <c r="AF25" s="127">
        <f>SUM(AF21:AF24)</f>
        <v>237164495</v>
      </c>
      <c r="AG25" s="252"/>
      <c r="AH25" s="252"/>
      <c r="AI25" s="252"/>
      <c r="AJ25" s="127">
        <f>SUM(AJ21:AJ24)</f>
        <v>0</v>
      </c>
      <c r="AK25" s="127">
        <f>SUM(AK21:AK24)</f>
        <v>0</v>
      </c>
      <c r="AL25" s="127">
        <f>SUM(AL21:AL24)</f>
        <v>0</v>
      </c>
      <c r="AM25" s="127">
        <f>SUM(AM21:AM24)</f>
        <v>0</v>
      </c>
      <c r="AN25" s="127">
        <f>SUM(AN21:AN24)</f>
        <v>0</v>
      </c>
      <c r="AO25" s="253"/>
      <c r="AP25" s="254"/>
      <c r="AQ25" s="175">
        <f>SUM(AQ21:AQ24)</f>
        <v>49759012.799999997</v>
      </c>
      <c r="AR25" s="175">
        <f>SUM(AR21:AR24)</f>
        <v>237164495</v>
      </c>
      <c r="AS25" s="175">
        <f>SUM(AS21:AS24)</f>
        <v>0</v>
      </c>
      <c r="AT25" s="175">
        <f>SUM(AT21:AT24)</f>
        <v>286923507.80000001</v>
      </c>
      <c r="AU25" s="175">
        <f t="shared" ref="AU25:BB25" si="16">SUM(AU21:AU24)</f>
        <v>286923507.80000001</v>
      </c>
      <c r="AV25" s="175">
        <f t="shared" si="16"/>
        <v>0</v>
      </c>
      <c r="AW25" s="175">
        <f>SUM(AW21:AW24)</f>
        <v>0</v>
      </c>
      <c r="AX25" s="175">
        <f t="shared" si="16"/>
        <v>0</v>
      </c>
      <c r="AY25" s="175">
        <f t="shared" si="16"/>
        <v>0</v>
      </c>
      <c r="AZ25" s="175">
        <f t="shared" si="16"/>
        <v>0</v>
      </c>
      <c r="BA25" s="175">
        <f t="shared" si="16"/>
        <v>0</v>
      </c>
      <c r="BB25" s="175">
        <f t="shared" si="16"/>
        <v>0</v>
      </c>
      <c r="BC25" s="169"/>
      <c r="BD25" s="169"/>
      <c r="BE25" s="169"/>
      <c r="BF25" s="169"/>
    </row>
    <row r="26" spans="1:58" ht="157.5" outlineLevel="2" x14ac:dyDescent="0.25">
      <c r="A26" s="115"/>
      <c r="B26" s="200"/>
      <c r="C26" s="201"/>
      <c r="D26" s="138"/>
      <c r="E26" s="219"/>
      <c r="F26" s="219"/>
      <c r="G26" s="313"/>
      <c r="H26" s="199" t="s">
        <v>385</v>
      </c>
      <c r="I26" s="130"/>
      <c r="J26" s="126"/>
      <c r="K26" s="126"/>
      <c r="L26" s="125" t="str">
        <f>IF(I26&lt;&gt;0,((VLOOKUP(I26,'1. Standard_Cost'!$B$4:$D$11,2)+VLOOKUP(I26,'1. Standard_Cost'!$B$4:$D$11,3))*J26*K26),"0")</f>
        <v>0</v>
      </c>
      <c r="M26" s="125">
        <f>L26*'1. Standard_Cost'!$F$4</f>
        <v>0</v>
      </c>
      <c r="N26" s="126"/>
      <c r="O26" s="126"/>
      <c r="P26" s="126"/>
      <c r="Q26" s="126"/>
      <c r="R26" s="127">
        <f>'1. Standard_Cost'!$B$15*N26*P26</f>
        <v>0</v>
      </c>
      <c r="S26" s="127">
        <f>N26*O26*P26*'1. Standard_Cost'!$C$15</f>
        <v>0</v>
      </c>
      <c r="T26" s="127">
        <f>N26*P26*Q26*'1. Standard_Cost'!$D$15</f>
        <v>0</v>
      </c>
      <c r="U26" s="127">
        <f>N26*O26*'1. Standard_Cost'!$E$15</f>
        <v>0</v>
      </c>
      <c r="V26" s="126"/>
      <c r="W26" s="126"/>
      <c r="X26" s="126"/>
      <c r="Y26" s="127">
        <f>+V26*((X26*'1. Standard_Cost'!$B$19)+(W26*X26*'1. Standard_Cost'!$C$19))</f>
        <v>0</v>
      </c>
      <c r="Z26" s="126"/>
      <c r="AA26" s="126"/>
      <c r="AB26" s="127">
        <f>+Z26*'1. Standard_Cost'!$B$23+AA26*'1. Standard_Cost'!$C$23</f>
        <v>0</v>
      </c>
      <c r="AC26" s="128">
        <v>233590875</v>
      </c>
      <c r="AD26" s="129"/>
      <c r="AE26" s="127">
        <v>0</v>
      </c>
      <c r="AF26" s="127">
        <f>SUM(AE26,AD26,AC26,AB26,Y26,U26,T26,S26,R26)</f>
        <v>233590875</v>
      </c>
      <c r="AG26" s="126"/>
      <c r="AH26" s="126"/>
      <c r="AI26" s="126"/>
      <c r="AJ26" s="130"/>
      <c r="AK26" s="130"/>
      <c r="AL26" s="130"/>
      <c r="AM26" s="127">
        <f>AG26*'1. Standard_Cost'!$B$27+'Incremental_Cost Year 3'!AH26*'1. Standard_Cost'!$C$27+'Incremental_Cost Year 3'!AI26*'1. Standard_Cost'!$D$27+'Incremental_Cost Year 3'!AJ26+'Incremental_Cost Year 3'!AL26+AK26</f>
        <v>0</v>
      </c>
      <c r="AN26" s="127">
        <f>AM26*'1. Standard_Cost'!$C$31</f>
        <v>0</v>
      </c>
      <c r="AO26" s="249"/>
      <c r="AQ26" s="171">
        <f>L26+M26</f>
        <v>0</v>
      </c>
      <c r="AR26" s="171">
        <f>AF26</f>
        <v>233590875</v>
      </c>
      <c r="AS26" s="171">
        <f>AM26+AN26</f>
        <v>0</v>
      </c>
      <c r="AT26" s="171">
        <f>SUM(AQ26,AR26,AS26)</f>
        <v>233590875</v>
      </c>
      <c r="AU26" s="250">
        <f>AT26</f>
        <v>233590875</v>
      </c>
      <c r="AV26" s="250"/>
      <c r="AW26" s="250"/>
      <c r="AX26" s="250"/>
      <c r="AY26" s="250"/>
      <c r="AZ26" s="250"/>
      <c r="BA26" s="250"/>
      <c r="BB26" s="251">
        <f t="shared" ref="BB26:BB28" si="17">SUM(AU26:BA26)-AT26</f>
        <v>0</v>
      </c>
      <c r="BC26" s="169"/>
      <c r="BD26" s="169"/>
      <c r="BE26" s="169"/>
      <c r="BF26" s="169"/>
    </row>
    <row r="27" spans="1:58" ht="141.75" outlineLevel="2" x14ac:dyDescent="0.25">
      <c r="A27" s="115"/>
      <c r="B27" s="200"/>
      <c r="C27" s="201"/>
      <c r="D27" s="135"/>
      <c r="E27" s="219"/>
      <c r="F27" s="219"/>
      <c r="G27" s="313"/>
      <c r="H27" s="199" t="s">
        <v>386</v>
      </c>
      <c r="I27" s="130"/>
      <c r="J27" s="126"/>
      <c r="K27" s="126"/>
      <c r="L27" s="125" t="str">
        <f>IF(I27&lt;&gt;0,((VLOOKUP(I27,'1. Standard_Cost'!$B$4:$D$11,2)+VLOOKUP(I27,'1. Standard_Cost'!$B$4:$D$11,3))*J27*K27),"0")</f>
        <v>0</v>
      </c>
      <c r="M27" s="125">
        <f>L27*'1. Standard_Cost'!$F$4</f>
        <v>0</v>
      </c>
      <c r="N27" s="126"/>
      <c r="O27" s="126"/>
      <c r="P27" s="126"/>
      <c r="Q27" s="126"/>
      <c r="R27" s="127">
        <f>'1. Standard_Cost'!$B$15*N27*P27</f>
        <v>0</v>
      </c>
      <c r="S27" s="127">
        <f>N27*O27*P27*'1. Standard_Cost'!$C$15</f>
        <v>0</v>
      </c>
      <c r="T27" s="127">
        <f>N27*P27*Q27*'1. Standard_Cost'!$D$15</f>
        <v>0</v>
      </c>
      <c r="U27" s="127">
        <f>N27*O27*'1. Standard_Cost'!$E$15</f>
        <v>0</v>
      </c>
      <c r="V27" s="126"/>
      <c r="W27" s="126"/>
      <c r="X27" s="126"/>
      <c r="Y27" s="127">
        <f>+V27*((X27*'1. Standard_Cost'!$B$19)+(W27*X27*'1. Standard_Cost'!$C$19))</f>
        <v>0</v>
      </c>
      <c r="Z27" s="126"/>
      <c r="AA27" s="126"/>
      <c r="AB27" s="127">
        <f>+Z27*'1. Standard_Cost'!$B$23+AA27*'1. Standard_Cost'!$C$23</f>
        <v>0</v>
      </c>
      <c r="AC27" s="128"/>
      <c r="AD27" s="129"/>
      <c r="AE27" s="127">
        <f>SUM(AD27,AC27,AB27,Y27,U27,T27,S27,R27)*'1. Standard_Cost'!$B$31</f>
        <v>0</v>
      </c>
      <c r="AF27" s="127">
        <f>SUM(AE27,AD27,AC27,AB27,Y27,U27,T27,S27,R27)</f>
        <v>0</v>
      </c>
      <c r="AG27" s="126"/>
      <c r="AH27" s="126"/>
      <c r="AI27" s="126"/>
      <c r="AJ27" s="130"/>
      <c r="AK27" s="130"/>
      <c r="AL27" s="130"/>
      <c r="AM27" s="127">
        <f>AG27*'1. Standard_Cost'!$B$27+'Incremental_Cost Year 3'!AH27*'1. Standard_Cost'!$C$27+'Incremental_Cost Year 3'!AI27*'1. Standard_Cost'!$D$27+'Incremental_Cost Year 3'!AJ27+'Incremental_Cost Year 3'!AL27+AK27</f>
        <v>0</v>
      </c>
      <c r="AN27" s="127">
        <f>AM27*'1. Standard_Cost'!$C$31</f>
        <v>0</v>
      </c>
      <c r="AO27" s="130"/>
      <c r="AQ27" s="171">
        <f>L27+M27</f>
        <v>0</v>
      </c>
      <c r="AR27" s="171">
        <f>AF27</f>
        <v>0</v>
      </c>
      <c r="AS27" s="171">
        <f>AM27+AN27</f>
        <v>0</v>
      </c>
      <c r="AT27" s="171">
        <f>SUM(AQ27,AR27,AS27)</f>
        <v>0</v>
      </c>
      <c r="AU27" s="250"/>
      <c r="AV27" s="250"/>
      <c r="AW27" s="250"/>
      <c r="AX27" s="250"/>
      <c r="AY27" s="250"/>
      <c r="AZ27" s="250"/>
      <c r="BA27" s="250"/>
      <c r="BB27" s="251">
        <f t="shared" si="17"/>
        <v>0</v>
      </c>
      <c r="BC27" s="169"/>
      <c r="BD27" s="169"/>
      <c r="BE27" s="169"/>
      <c r="BF27" s="169"/>
    </row>
    <row r="28" spans="1:58" ht="189" outlineLevel="2" x14ac:dyDescent="0.25">
      <c r="A28" s="115"/>
      <c r="B28" s="200"/>
      <c r="C28" s="201"/>
      <c r="D28" s="223"/>
      <c r="E28" s="219"/>
      <c r="F28" s="219"/>
      <c r="G28" s="313"/>
      <c r="H28" s="103" t="s">
        <v>387</v>
      </c>
      <c r="I28" s="130"/>
      <c r="J28" s="126"/>
      <c r="K28" s="126"/>
      <c r="L28" s="125" t="str">
        <f>IF(I28&lt;&gt;0,((VLOOKUP(I28,'1. Standard_Cost'!$B$4:$D$11,2)+VLOOKUP(I28,'1. Standard_Cost'!$B$4:$D$11,3))*J28*K28),"0")</f>
        <v>0</v>
      </c>
      <c r="M28" s="125">
        <f>L28*'1. Standard_Cost'!$F$4</f>
        <v>0</v>
      </c>
      <c r="N28" s="126"/>
      <c r="O28" s="126"/>
      <c r="P28" s="126"/>
      <c r="Q28" s="126"/>
      <c r="R28" s="127">
        <f>'1. Standard_Cost'!$B$15*N28*P28</f>
        <v>0</v>
      </c>
      <c r="S28" s="127">
        <f>N28*O28*P28*'1. Standard_Cost'!$C$15</f>
        <v>0</v>
      </c>
      <c r="T28" s="127">
        <f>N28*P28*Q28*'1. Standard_Cost'!$D$15</f>
        <v>0</v>
      </c>
      <c r="U28" s="127">
        <f>N28*O28*'1. Standard_Cost'!$E$15</f>
        <v>0</v>
      </c>
      <c r="V28" s="126"/>
      <c r="W28" s="126"/>
      <c r="X28" s="126"/>
      <c r="Y28" s="127">
        <f>+V28*((X28*'1. Standard_Cost'!$B$19)+(W28*X28*'1. Standard_Cost'!$C$19))</f>
        <v>0</v>
      </c>
      <c r="Z28" s="126"/>
      <c r="AA28" s="126"/>
      <c r="AB28" s="127">
        <f>+Z28*'1. Standard_Cost'!$B$23+AA28*'1. Standard_Cost'!$C$23</f>
        <v>0</v>
      </c>
      <c r="AC28" s="128">
        <v>220000000</v>
      </c>
      <c r="AD28" s="129"/>
      <c r="AE28" s="127">
        <v>0</v>
      </c>
      <c r="AF28" s="127">
        <f>SUM(AE28,AD28,AC28,AB28,Y28,U28,T28,S28,R28)</f>
        <v>220000000</v>
      </c>
      <c r="AG28" s="126"/>
      <c r="AH28" s="126"/>
      <c r="AI28" s="126"/>
      <c r="AJ28" s="130"/>
      <c r="AK28" s="130"/>
      <c r="AL28" s="130"/>
      <c r="AM28" s="127">
        <f>AG28*'1. Standard_Cost'!$B$27+'Incremental_Cost Year 3'!AH28*'1. Standard_Cost'!$C$27+'Incremental_Cost Year 3'!AI28*'1. Standard_Cost'!$D$27+'Incremental_Cost Year 3'!AJ28+'Incremental_Cost Year 3'!AL28+AK28</f>
        <v>0</v>
      </c>
      <c r="AN28" s="127">
        <f>AM28*'1. Standard_Cost'!$C$31</f>
        <v>0</v>
      </c>
      <c r="AO28" s="130"/>
      <c r="AQ28" s="171">
        <f>L28+M28</f>
        <v>0</v>
      </c>
      <c r="AR28" s="171">
        <f>AF28</f>
        <v>220000000</v>
      </c>
      <c r="AS28" s="171">
        <f>AM28+AN28</f>
        <v>0</v>
      </c>
      <c r="AT28" s="171">
        <f>SUM(AQ28,AR28,AS28)</f>
        <v>220000000</v>
      </c>
      <c r="AU28" s="250">
        <f>AT28</f>
        <v>220000000</v>
      </c>
      <c r="AV28" s="250"/>
      <c r="AW28" s="250"/>
      <c r="AX28" s="250"/>
      <c r="AY28" s="250"/>
      <c r="AZ28" s="250"/>
      <c r="BA28" s="250"/>
      <c r="BB28" s="251">
        <f t="shared" si="17"/>
        <v>0</v>
      </c>
      <c r="BC28" s="169"/>
      <c r="BD28" s="169"/>
      <c r="BE28" s="169"/>
      <c r="BF28" s="169"/>
    </row>
    <row r="29" spans="1:58" ht="63" outlineLevel="1" x14ac:dyDescent="0.25">
      <c r="A29" s="115"/>
      <c r="B29" s="165"/>
      <c r="C29" s="301"/>
      <c r="D29" s="150" t="s">
        <v>388</v>
      </c>
      <c r="E29" s="139" t="s">
        <v>198</v>
      </c>
      <c r="F29" s="300">
        <v>2021</v>
      </c>
      <c r="G29" s="209">
        <v>2030</v>
      </c>
      <c r="H29" s="134" t="s">
        <v>199</v>
      </c>
      <c r="I29" s="252"/>
      <c r="J29" s="252"/>
      <c r="K29" s="252"/>
      <c r="L29" s="127">
        <f>SUM(L26:L28)</f>
        <v>0</v>
      </c>
      <c r="M29" s="127">
        <f>SUM(M26:M28)</f>
        <v>0</v>
      </c>
      <c r="N29" s="127"/>
      <c r="O29" s="252"/>
      <c r="P29" s="252"/>
      <c r="Q29" s="252"/>
      <c r="R29" s="127">
        <f>SUM(R26:R28)</f>
        <v>0</v>
      </c>
      <c r="S29" s="127">
        <f>SUM(S26:S28)</f>
        <v>0</v>
      </c>
      <c r="T29" s="127">
        <f>SUM(T26:T28)</f>
        <v>0</v>
      </c>
      <c r="U29" s="127">
        <f>SUM(U26:U28)</f>
        <v>0</v>
      </c>
      <c r="V29" s="252"/>
      <c r="W29" s="252"/>
      <c r="X29" s="252"/>
      <c r="Y29" s="127">
        <f>SUM(Y26:Y28)</f>
        <v>0</v>
      </c>
      <c r="Z29" s="252"/>
      <c r="AA29" s="252"/>
      <c r="AB29" s="127">
        <f>SUM(AB26:AB28)</f>
        <v>0</v>
      </c>
      <c r="AC29" s="127">
        <f>SUM(AC26:AC28)</f>
        <v>453590875</v>
      </c>
      <c r="AD29" s="127">
        <f>SUM(AD26:AD28)</f>
        <v>0</v>
      </c>
      <c r="AE29" s="127">
        <f>SUM(AE26:AE28)</f>
        <v>0</v>
      </c>
      <c r="AF29" s="127">
        <f>SUM(AF26:AF28)</f>
        <v>453590875</v>
      </c>
      <c r="AG29" s="252"/>
      <c r="AH29" s="252"/>
      <c r="AI29" s="252"/>
      <c r="AJ29" s="127">
        <f>SUM(AJ26:AJ28)</f>
        <v>0</v>
      </c>
      <c r="AK29" s="127">
        <f>SUM(AK26:AK28)</f>
        <v>0</v>
      </c>
      <c r="AL29" s="127">
        <f>SUM(AL26:AL28)</f>
        <v>0</v>
      </c>
      <c r="AM29" s="127">
        <f>SUM(AM26:AM28)</f>
        <v>0</v>
      </c>
      <c r="AN29" s="127">
        <f>SUM(AN26:AN28)</f>
        <v>0</v>
      </c>
      <c r="AO29" s="253"/>
      <c r="AP29" s="254"/>
      <c r="AQ29" s="175">
        <f>SUM(AQ26:AQ28)</f>
        <v>0</v>
      </c>
      <c r="AR29" s="175">
        <f>SUM(AR26:AR28)</f>
        <v>453590875</v>
      </c>
      <c r="AS29" s="175">
        <f>SUM(AS26:AS28)</f>
        <v>0</v>
      </c>
      <c r="AT29" s="175">
        <f>SUM(AT26:AT28)</f>
        <v>453590875</v>
      </c>
      <c r="AU29" s="175">
        <f t="shared" ref="AU29:BB29" si="18">SUM(AU26:AU28)</f>
        <v>453590875</v>
      </c>
      <c r="AV29" s="175">
        <f t="shared" si="18"/>
        <v>0</v>
      </c>
      <c r="AW29" s="175">
        <f t="shared" si="18"/>
        <v>0</v>
      </c>
      <c r="AX29" s="175">
        <f t="shared" si="18"/>
        <v>0</v>
      </c>
      <c r="AY29" s="175">
        <f t="shared" si="18"/>
        <v>0</v>
      </c>
      <c r="AZ29" s="175">
        <f t="shared" si="18"/>
        <v>0</v>
      </c>
      <c r="BA29" s="175">
        <f t="shared" si="18"/>
        <v>0</v>
      </c>
      <c r="BB29" s="175">
        <f t="shared" si="18"/>
        <v>0</v>
      </c>
      <c r="BC29" s="169"/>
      <c r="BD29" s="169"/>
      <c r="BE29" s="169"/>
      <c r="BF29" s="169"/>
    </row>
    <row r="30" spans="1:58" ht="78.75" outlineLevel="2" x14ac:dyDescent="0.25">
      <c r="A30" s="115"/>
      <c r="B30" s="200"/>
      <c r="C30" s="201"/>
      <c r="D30" s="138"/>
      <c r="E30" s="295"/>
      <c r="F30" s="295"/>
      <c r="G30" s="296"/>
      <c r="H30" s="299" t="s">
        <v>305</v>
      </c>
      <c r="I30" s="130" t="s">
        <v>3</v>
      </c>
      <c r="J30" s="126">
        <v>12</v>
      </c>
      <c r="K30" s="126">
        <v>4</v>
      </c>
      <c r="L30" s="125">
        <f>IF(I30&lt;&gt;0,((VLOOKUP(I30,'1. Standard_Cost'!$B$4:$D$11,2)+VLOOKUP(I30,'1. Standard_Cost'!$B$4:$D$11,3))*J30*K30),"0")</f>
        <v>4838400</v>
      </c>
      <c r="M30" s="125">
        <f>L30*'1. Standard_Cost'!$F$4</f>
        <v>808012.80000000005</v>
      </c>
      <c r="N30" s="126"/>
      <c r="O30" s="126"/>
      <c r="P30" s="126"/>
      <c r="Q30" s="126"/>
      <c r="R30" s="127">
        <f>'1. Standard_Cost'!$B$15*N30*P30</f>
        <v>0</v>
      </c>
      <c r="S30" s="127">
        <f>N30*O30*P30*'1. Standard_Cost'!$C$15</f>
        <v>0</v>
      </c>
      <c r="T30" s="127">
        <f>N30*P30*Q30*'1. Standard_Cost'!$D$15</f>
        <v>0</v>
      </c>
      <c r="U30" s="127">
        <f>N30*O30*'1. Standard_Cost'!$E$15</f>
        <v>0</v>
      </c>
      <c r="V30" s="126"/>
      <c r="W30" s="126"/>
      <c r="X30" s="126"/>
      <c r="Y30" s="127">
        <f>+V30*((X30*'1. Standard_Cost'!$B$19)+(W30*X30*'1. Standard_Cost'!$C$19))</f>
        <v>0</v>
      </c>
      <c r="Z30" s="126"/>
      <c r="AA30" s="126"/>
      <c r="AB30" s="127">
        <f>+Z30*'1. Standard_Cost'!$B$23+AA30*'1. Standard_Cost'!$C$23</f>
        <v>0</v>
      </c>
      <c r="AC30" s="128"/>
      <c r="AD30" s="129"/>
      <c r="AE30" s="127">
        <f>SUM(AD30,AC30,AB30,Y30,U30,T30,S30,R30)*'1. Standard_Cost'!$B$31</f>
        <v>0</v>
      </c>
      <c r="AF30" s="127">
        <f t="shared" ref="AF30:AF36" si="19">SUM(AE30,AD30,AC30,AB30,Y30,U30,T30,S30,R30)</f>
        <v>0</v>
      </c>
      <c r="AG30" s="126"/>
      <c r="AH30" s="126"/>
      <c r="AI30" s="126"/>
      <c r="AJ30" s="130"/>
      <c r="AK30" s="130"/>
      <c r="AL30" s="130"/>
      <c r="AM30" s="127">
        <f>AG30*'1. Standard_Cost'!$B$27+'Incremental_Cost Year 3'!AH30*'1. Standard_Cost'!$C$27+'Incremental_Cost Year 3'!AI30*'1. Standard_Cost'!$D$27+'Incremental_Cost Year 3'!AJ30+'Incremental_Cost Year 3'!AL30+AK30</f>
        <v>0</v>
      </c>
      <c r="AN30" s="127">
        <f>AM30*'1. Standard_Cost'!$C$31</f>
        <v>0</v>
      </c>
      <c r="AO30" s="249"/>
      <c r="AQ30" s="171">
        <f t="shared" ref="AQ30:AQ36" si="20">L30+M30</f>
        <v>5646412.7999999998</v>
      </c>
      <c r="AR30" s="171">
        <f t="shared" ref="AR30:AR36" si="21">AF30</f>
        <v>0</v>
      </c>
      <c r="AS30" s="171">
        <f t="shared" ref="AS30:AS36" si="22">AM30+AN30</f>
        <v>0</v>
      </c>
      <c r="AT30" s="171">
        <f t="shared" ref="AT30:AT36" si="23">SUM(AQ30,AR30,AS30)</f>
        <v>5646412.7999999998</v>
      </c>
      <c r="AU30" s="250">
        <f>AT30</f>
        <v>5646412.7999999998</v>
      </c>
      <c r="AV30" s="250"/>
      <c r="AW30" s="250"/>
      <c r="AX30" s="250"/>
      <c r="AY30" s="250"/>
      <c r="AZ30" s="250"/>
      <c r="BA30" s="250"/>
      <c r="BB30" s="251">
        <f t="shared" ref="BB30" si="24">SUM(AU30:BA30)-AT30</f>
        <v>0</v>
      </c>
      <c r="BC30" s="169"/>
      <c r="BD30" s="169"/>
      <c r="BE30" s="169"/>
      <c r="BF30" s="169"/>
    </row>
    <row r="31" spans="1:58" ht="78.75" outlineLevel="2" x14ac:dyDescent="0.25">
      <c r="A31" s="115"/>
      <c r="B31" s="200"/>
      <c r="C31" s="201"/>
      <c r="D31" s="135"/>
      <c r="E31" s="219"/>
      <c r="F31" s="219"/>
      <c r="G31" s="313"/>
      <c r="H31" s="213" t="s">
        <v>226</v>
      </c>
      <c r="I31" s="130" t="s">
        <v>5</v>
      </c>
      <c r="J31" s="126">
        <v>6</v>
      </c>
      <c r="K31" s="126">
        <v>420</v>
      </c>
      <c r="L31" s="125">
        <f>IF(I31&lt;&gt;0,((VLOOKUP(I31,'1. Standard_Cost'!$B$4:$D$11,2)+VLOOKUP(I31,'1. Standard_Cost'!$B$4:$D$11,3))*J31*K31),"0")</f>
        <v>178164000</v>
      </c>
      <c r="M31" s="125">
        <f>L31*'1. Standard_Cost'!$F$4</f>
        <v>29753388</v>
      </c>
      <c r="N31" s="126"/>
      <c r="O31" s="126"/>
      <c r="P31" s="126"/>
      <c r="Q31" s="126"/>
      <c r="R31" s="127">
        <f>'1. Standard_Cost'!$B$15*N31*P31</f>
        <v>0</v>
      </c>
      <c r="S31" s="127">
        <f>N31*O31*P31*'1. Standard_Cost'!$C$15</f>
        <v>0</v>
      </c>
      <c r="T31" s="127">
        <f>N31*P31*Q31*'1. Standard_Cost'!$D$15</f>
        <v>0</v>
      </c>
      <c r="U31" s="127">
        <f>N31*O31*'1. Standard_Cost'!$E$15</f>
        <v>0</v>
      </c>
      <c r="V31" s="126"/>
      <c r="W31" s="126"/>
      <c r="X31" s="126"/>
      <c r="Y31" s="127">
        <f>+V31*((X31*'1. Standard_Cost'!$B$19)+(W31*X31*'1. Standard_Cost'!$C$19))</f>
        <v>0</v>
      </c>
      <c r="Z31" s="126"/>
      <c r="AA31" s="126"/>
      <c r="AB31" s="127">
        <f>+Z31*'1. Standard_Cost'!$B$23+AA31*'1. Standard_Cost'!$C$23</f>
        <v>0</v>
      </c>
      <c r="AC31" s="128"/>
      <c r="AD31" s="129"/>
      <c r="AE31" s="127">
        <f>SUM(AD31,AC31,AB31,Y31,U31,T31,S31,R31)*'1. Standard_Cost'!$B$31</f>
        <v>0</v>
      </c>
      <c r="AF31" s="127">
        <f t="shared" si="19"/>
        <v>0</v>
      </c>
      <c r="AG31" s="126"/>
      <c r="AH31" s="126"/>
      <c r="AI31" s="126"/>
      <c r="AJ31" s="130"/>
      <c r="AK31" s="130"/>
      <c r="AL31" s="130"/>
      <c r="AM31" s="127">
        <f>AG31*'1. Standard_Cost'!$B$27+'Incremental_Cost Year 3'!AH31*'1. Standard_Cost'!$C$27+'Incremental_Cost Year 3'!AI31*'1. Standard_Cost'!$D$27+'Incremental_Cost Year 3'!AJ31+'Incremental_Cost Year 3'!AL31+AK31</f>
        <v>0</v>
      </c>
      <c r="AN31" s="127">
        <f>AM31*'1. Standard_Cost'!$C$31</f>
        <v>0</v>
      </c>
      <c r="AO31" s="249"/>
      <c r="AQ31" s="171">
        <f t="shared" si="20"/>
        <v>207917388</v>
      </c>
      <c r="AR31" s="171">
        <f t="shared" si="21"/>
        <v>0</v>
      </c>
      <c r="AS31" s="171">
        <f t="shared" si="22"/>
        <v>0</v>
      </c>
      <c r="AT31" s="171">
        <f t="shared" si="23"/>
        <v>207917388</v>
      </c>
      <c r="AU31" s="250">
        <f>AT31</f>
        <v>207917388</v>
      </c>
      <c r="AV31" s="250"/>
      <c r="AW31" s="250"/>
      <c r="AX31" s="250"/>
      <c r="AY31" s="250"/>
      <c r="AZ31" s="250"/>
      <c r="BA31" s="250"/>
      <c r="BB31" s="251">
        <f t="shared" ref="BB31:BB36" si="25">SUM(AU31:BA31)-AT31</f>
        <v>0</v>
      </c>
      <c r="BC31" s="169"/>
      <c r="BD31" s="169"/>
      <c r="BE31" s="169"/>
      <c r="BF31" s="169"/>
    </row>
    <row r="32" spans="1:58" ht="78.75" outlineLevel="2" x14ac:dyDescent="0.25">
      <c r="A32" s="115"/>
      <c r="B32" s="200"/>
      <c r="C32" s="201"/>
      <c r="D32" s="135"/>
      <c r="E32" s="219"/>
      <c r="F32" s="219"/>
      <c r="G32" s="313"/>
      <c r="H32" s="213" t="s">
        <v>306</v>
      </c>
      <c r="I32" s="130" t="s">
        <v>4</v>
      </c>
      <c r="J32" s="126">
        <v>6</v>
      </c>
      <c r="K32" s="126">
        <v>36</v>
      </c>
      <c r="L32" s="125">
        <f>IF(I32&lt;&gt;0,((VLOOKUP(I32,'1. Standard_Cost'!$B$4:$D$11,2)+VLOOKUP(I32,'1. Standard_Cost'!$B$4:$D$11,3))*J32*K32),"0")</f>
        <v>17442000</v>
      </c>
      <c r="M32" s="125">
        <f>L32*'1. Standard_Cost'!$F$4</f>
        <v>2912814</v>
      </c>
      <c r="N32" s="126"/>
      <c r="O32" s="126"/>
      <c r="P32" s="126"/>
      <c r="Q32" s="126"/>
      <c r="R32" s="127">
        <f>'1. Standard_Cost'!$B$15*N32*P32</f>
        <v>0</v>
      </c>
      <c r="S32" s="127">
        <f>N32*O32*P32*'1. Standard_Cost'!$C$15</f>
        <v>0</v>
      </c>
      <c r="T32" s="127">
        <f>N32*P32*Q32*'1. Standard_Cost'!$D$15</f>
        <v>0</v>
      </c>
      <c r="U32" s="127">
        <f>N32*O32*'1. Standard_Cost'!$E$15</f>
        <v>0</v>
      </c>
      <c r="V32" s="126"/>
      <c r="W32" s="126"/>
      <c r="X32" s="126"/>
      <c r="Y32" s="127">
        <f>+V32*((X32*'1. Standard_Cost'!$B$19)+(W32*X32*'1. Standard_Cost'!$C$19))</f>
        <v>0</v>
      </c>
      <c r="Z32" s="126"/>
      <c r="AA32" s="126"/>
      <c r="AB32" s="127">
        <f>+Z32*'1. Standard_Cost'!$B$23+AA32*'1. Standard_Cost'!$C$23</f>
        <v>0</v>
      </c>
      <c r="AC32" s="128"/>
      <c r="AD32" s="129"/>
      <c r="AE32" s="127">
        <f>SUM(AD32,AC32,AB32,Y32,U32,T32,S32,R32)*'1. Standard_Cost'!$B$31</f>
        <v>0</v>
      </c>
      <c r="AF32" s="127">
        <f t="shared" si="19"/>
        <v>0</v>
      </c>
      <c r="AG32" s="126"/>
      <c r="AH32" s="126"/>
      <c r="AI32" s="126"/>
      <c r="AJ32" s="130"/>
      <c r="AK32" s="130"/>
      <c r="AL32" s="130"/>
      <c r="AM32" s="127">
        <f>AG32*'1. Standard_Cost'!$B$27+'Incremental_Cost Year 3'!AH32*'1. Standard_Cost'!$C$27+'Incremental_Cost Year 3'!AI32*'1. Standard_Cost'!$D$27+'Incremental_Cost Year 3'!AJ32+'Incremental_Cost Year 3'!AL32+AK32</f>
        <v>0</v>
      </c>
      <c r="AN32" s="127">
        <f>AM32*'1. Standard_Cost'!$C$31</f>
        <v>0</v>
      </c>
      <c r="AO32" s="249"/>
      <c r="AQ32" s="171">
        <f t="shared" si="20"/>
        <v>20354814</v>
      </c>
      <c r="AR32" s="171">
        <f t="shared" si="21"/>
        <v>0</v>
      </c>
      <c r="AS32" s="171">
        <f t="shared" si="22"/>
        <v>0</v>
      </c>
      <c r="AT32" s="171">
        <f t="shared" si="23"/>
        <v>20354814</v>
      </c>
      <c r="AU32" s="250">
        <f>AT32</f>
        <v>20354814</v>
      </c>
      <c r="AV32" s="250"/>
      <c r="AW32" s="250"/>
      <c r="AX32" s="250"/>
      <c r="AY32" s="250"/>
      <c r="AZ32" s="250"/>
      <c r="BA32" s="250"/>
      <c r="BB32" s="251">
        <f t="shared" si="25"/>
        <v>0</v>
      </c>
      <c r="BC32" s="169"/>
      <c r="BD32" s="169"/>
      <c r="BE32" s="169"/>
      <c r="BF32" s="169"/>
    </row>
    <row r="33" spans="1:58" ht="63" outlineLevel="2" x14ac:dyDescent="0.25">
      <c r="A33" s="115"/>
      <c r="B33" s="200"/>
      <c r="C33" s="201"/>
      <c r="D33" s="135"/>
      <c r="E33" s="219"/>
      <c r="F33" s="219"/>
      <c r="G33" s="313"/>
      <c r="H33" s="213" t="s">
        <v>389</v>
      </c>
      <c r="I33" s="130"/>
      <c r="J33" s="126"/>
      <c r="K33" s="126"/>
      <c r="L33" s="125" t="str">
        <f>IF(I33&lt;&gt;0,((VLOOKUP(I33,'1. Standard_Cost'!$B$4:$D$11,2)+VLOOKUP(I33,'1. Standard_Cost'!$B$4:$D$11,3))*J33*K33),"0")</f>
        <v>0</v>
      </c>
      <c r="M33" s="125">
        <f>L33*'1. Standard_Cost'!$F$4</f>
        <v>0</v>
      </c>
      <c r="N33" s="126"/>
      <c r="O33" s="126"/>
      <c r="P33" s="126"/>
      <c r="Q33" s="126"/>
      <c r="R33" s="127">
        <f>'1. Standard_Cost'!$B$15*N33*P33</f>
        <v>0</v>
      </c>
      <c r="S33" s="127">
        <f>N33*O33*P33*'1. Standard_Cost'!$C$15</f>
        <v>0</v>
      </c>
      <c r="T33" s="127">
        <f>N33*P33*Q33*'1. Standard_Cost'!$D$15</f>
        <v>0</v>
      </c>
      <c r="U33" s="127">
        <f>N33*O33*'1. Standard_Cost'!$E$15</f>
        <v>0</v>
      </c>
      <c r="V33" s="126"/>
      <c r="W33" s="126"/>
      <c r="X33" s="126"/>
      <c r="Y33" s="127">
        <f>+V33*((X33*'1. Standard_Cost'!$B$19)+(W33*X33*'1. Standard_Cost'!$C$19))</f>
        <v>0</v>
      </c>
      <c r="Z33" s="126"/>
      <c r="AA33" s="126"/>
      <c r="AB33" s="127">
        <f>+Z33*'1. Standard_Cost'!$B$23+AA33*'1. Standard_Cost'!$C$23</f>
        <v>0</v>
      </c>
      <c r="AC33" s="128"/>
      <c r="AD33" s="129"/>
      <c r="AE33" s="127">
        <f>SUM(AD33,AC33,AB33,Y33,U33,T33,S33,R33)*'1. Standard_Cost'!$B$31</f>
        <v>0</v>
      </c>
      <c r="AF33" s="127">
        <f t="shared" si="19"/>
        <v>0</v>
      </c>
      <c r="AG33" s="126"/>
      <c r="AH33" s="126"/>
      <c r="AI33" s="126"/>
      <c r="AJ33" s="130"/>
      <c r="AK33" s="130"/>
      <c r="AL33" s="130"/>
      <c r="AM33" s="127">
        <f>AG33*'1. Standard_Cost'!$B$27+'Incremental_Cost Year 3'!AH33*'1. Standard_Cost'!$C$27+'Incremental_Cost Year 3'!AI33*'1. Standard_Cost'!$D$27+'Incremental_Cost Year 3'!AJ33+'Incremental_Cost Year 3'!AL33+AK33</f>
        <v>0</v>
      </c>
      <c r="AN33" s="127">
        <f>AM33*'1. Standard_Cost'!$C$31</f>
        <v>0</v>
      </c>
      <c r="AO33" s="130"/>
      <c r="AQ33" s="171">
        <f t="shared" si="20"/>
        <v>0</v>
      </c>
      <c r="AR33" s="171">
        <f t="shared" si="21"/>
        <v>0</v>
      </c>
      <c r="AS33" s="171">
        <f t="shared" si="22"/>
        <v>0</v>
      </c>
      <c r="AT33" s="171">
        <f t="shared" si="23"/>
        <v>0</v>
      </c>
      <c r="AU33" s="250"/>
      <c r="AV33" s="250"/>
      <c r="AW33" s="250"/>
      <c r="AX33" s="250"/>
      <c r="AY33" s="250"/>
      <c r="AZ33" s="250"/>
      <c r="BA33" s="250"/>
      <c r="BB33" s="251">
        <f t="shared" si="25"/>
        <v>0</v>
      </c>
      <c r="BC33" s="169"/>
      <c r="BD33" s="169"/>
      <c r="BE33" s="169"/>
      <c r="BF33" s="169"/>
    </row>
    <row r="34" spans="1:58" ht="110.25" outlineLevel="2" x14ac:dyDescent="0.25">
      <c r="A34" s="115"/>
      <c r="B34" s="200"/>
      <c r="C34" s="201"/>
      <c r="D34" s="135"/>
      <c r="E34" s="219"/>
      <c r="F34" s="219"/>
      <c r="G34" s="313"/>
      <c r="H34" s="213" t="s">
        <v>390</v>
      </c>
      <c r="I34" s="130" t="s">
        <v>3</v>
      </c>
      <c r="J34" s="126">
        <v>12</v>
      </c>
      <c r="K34" s="126">
        <v>3</v>
      </c>
      <c r="L34" s="125">
        <f>IF(I34&lt;&gt;0,((VLOOKUP(I34,'1. Standard_Cost'!$B$4:$D$11,2)+VLOOKUP(I34,'1. Standard_Cost'!$B$4:$D$11,3))*J34*K34),"0")</f>
        <v>3628800</v>
      </c>
      <c r="M34" s="125">
        <f>L34*'1. Standard_Cost'!$F$4</f>
        <v>606009.59999999998</v>
      </c>
      <c r="N34" s="126"/>
      <c r="O34" s="126"/>
      <c r="P34" s="126"/>
      <c r="Q34" s="126"/>
      <c r="R34" s="127">
        <f>'1. Standard_Cost'!$B$15*N34*P34</f>
        <v>0</v>
      </c>
      <c r="S34" s="127">
        <f>N34*O34*P34*'1. Standard_Cost'!$C$15</f>
        <v>0</v>
      </c>
      <c r="T34" s="127">
        <f>N34*P34*Q34*'1. Standard_Cost'!$D$15</f>
        <v>0</v>
      </c>
      <c r="U34" s="127">
        <f>N34*O34*'1. Standard_Cost'!$E$15</f>
        <v>0</v>
      </c>
      <c r="V34" s="126"/>
      <c r="W34" s="126"/>
      <c r="X34" s="126"/>
      <c r="Y34" s="127">
        <f>+V34*((X34*'1. Standard_Cost'!$B$19)+(W34*X34*'1. Standard_Cost'!$C$19))</f>
        <v>0</v>
      </c>
      <c r="Z34" s="126"/>
      <c r="AA34" s="126"/>
      <c r="AB34" s="127">
        <f>+Z34*'1. Standard_Cost'!$B$23+AA34*'1. Standard_Cost'!$C$23</f>
        <v>0</v>
      </c>
      <c r="AC34" s="128">
        <v>1000000</v>
      </c>
      <c r="AD34" s="129"/>
      <c r="AE34" s="127">
        <f>SUM(AD34,AC34,AB34,Y34,U34,T34,S34,R34)*'1. Standard_Cost'!$B$31</f>
        <v>200000</v>
      </c>
      <c r="AF34" s="127">
        <f t="shared" si="19"/>
        <v>1200000</v>
      </c>
      <c r="AG34" s="126"/>
      <c r="AH34" s="126"/>
      <c r="AI34" s="126"/>
      <c r="AJ34" s="130"/>
      <c r="AK34" s="130"/>
      <c r="AL34" s="130"/>
      <c r="AM34" s="127">
        <f>AG34*'1. Standard_Cost'!$B$27+'Incremental_Cost Year 3'!AH34*'1. Standard_Cost'!$C$27+'Incremental_Cost Year 3'!AI34*'1. Standard_Cost'!$D$27+'Incremental_Cost Year 3'!AJ34+'Incremental_Cost Year 3'!AL34+AK34</f>
        <v>0</v>
      </c>
      <c r="AN34" s="127">
        <f>AM34*'1. Standard_Cost'!$C$31</f>
        <v>0</v>
      </c>
      <c r="AO34" s="130"/>
      <c r="AQ34" s="171">
        <f t="shared" si="20"/>
        <v>4234809.5999999996</v>
      </c>
      <c r="AR34" s="171">
        <f t="shared" si="21"/>
        <v>1200000</v>
      </c>
      <c r="AS34" s="171">
        <f t="shared" si="22"/>
        <v>0</v>
      </c>
      <c r="AT34" s="171">
        <f t="shared" si="23"/>
        <v>5434809.5999999996</v>
      </c>
      <c r="AU34" s="250">
        <f>AT34</f>
        <v>5434809.5999999996</v>
      </c>
      <c r="AV34" s="250"/>
      <c r="AW34" s="250"/>
      <c r="AX34" s="250"/>
      <c r="AY34" s="250"/>
      <c r="AZ34" s="250"/>
      <c r="BA34" s="250"/>
      <c r="BB34" s="251">
        <f t="shared" si="25"/>
        <v>0</v>
      </c>
      <c r="BC34" s="169"/>
      <c r="BD34" s="169"/>
      <c r="BE34" s="169"/>
      <c r="BF34" s="169"/>
    </row>
    <row r="35" spans="1:58" ht="78.75" outlineLevel="2" x14ac:dyDescent="0.25">
      <c r="A35" s="115"/>
      <c r="B35" s="200"/>
      <c r="C35" s="201"/>
      <c r="D35" s="135"/>
      <c r="E35" s="219"/>
      <c r="F35" s="219"/>
      <c r="G35" s="313"/>
      <c r="H35" s="213" t="s">
        <v>391</v>
      </c>
      <c r="I35" s="130" t="s">
        <v>5</v>
      </c>
      <c r="J35" s="126">
        <v>1</v>
      </c>
      <c r="K35" s="126">
        <v>420</v>
      </c>
      <c r="L35" s="125">
        <f>IF(I35&lt;&gt;0,((VLOOKUP(I35,'1. Standard_Cost'!$B$4:$D$11,2)+VLOOKUP(I35,'1. Standard_Cost'!$B$4:$D$11,3))*J35*K35),"0")</f>
        <v>29694000</v>
      </c>
      <c r="M35" s="125">
        <f>L35*'1. Standard_Cost'!$F$4</f>
        <v>4958898</v>
      </c>
      <c r="N35" s="126"/>
      <c r="O35" s="126"/>
      <c r="P35" s="126"/>
      <c r="Q35" s="126"/>
      <c r="R35" s="127">
        <f>'1. Standard_Cost'!$B$15*N35*P35</f>
        <v>0</v>
      </c>
      <c r="S35" s="127">
        <f>N35*O35*P35*'1. Standard_Cost'!$C$15</f>
        <v>0</v>
      </c>
      <c r="T35" s="127">
        <f>N35*P35*Q35*'1. Standard_Cost'!$D$15</f>
        <v>0</v>
      </c>
      <c r="U35" s="127">
        <f>N35*O35*'1. Standard_Cost'!$E$15</f>
        <v>0</v>
      </c>
      <c r="V35" s="126"/>
      <c r="W35" s="126"/>
      <c r="X35" s="126"/>
      <c r="Y35" s="127">
        <f>+V35*((X35*'1. Standard_Cost'!$B$19)+(W35*X35*'1. Standard_Cost'!$C$19))</f>
        <v>0</v>
      </c>
      <c r="Z35" s="126"/>
      <c r="AA35" s="126"/>
      <c r="AB35" s="127">
        <f>+Z35*'1. Standard_Cost'!$B$23+AA35*'1. Standard_Cost'!$C$23</f>
        <v>0</v>
      </c>
      <c r="AC35" s="128"/>
      <c r="AD35" s="129"/>
      <c r="AE35" s="127">
        <f>SUM(AD35,AC35,AB35,Y35,U35,T35,S35,R35)*'1. Standard_Cost'!$B$31</f>
        <v>0</v>
      </c>
      <c r="AF35" s="127">
        <f t="shared" si="19"/>
        <v>0</v>
      </c>
      <c r="AG35" s="126"/>
      <c r="AH35" s="126"/>
      <c r="AI35" s="126"/>
      <c r="AJ35" s="130"/>
      <c r="AK35" s="130"/>
      <c r="AL35" s="130"/>
      <c r="AM35" s="127">
        <f>AG35*'1. Standard_Cost'!$B$27+'Incremental_Cost Year 3'!AH35*'1. Standard_Cost'!$C$27+'Incremental_Cost Year 3'!AI35*'1. Standard_Cost'!$D$27+'Incremental_Cost Year 3'!AJ35+'Incremental_Cost Year 3'!AL35+AK35</f>
        <v>0</v>
      </c>
      <c r="AN35" s="127">
        <f>AM35*'1. Standard_Cost'!$C$31</f>
        <v>0</v>
      </c>
      <c r="AO35" s="130"/>
      <c r="AQ35" s="171">
        <f t="shared" si="20"/>
        <v>34652898</v>
      </c>
      <c r="AR35" s="171">
        <f t="shared" si="21"/>
        <v>0</v>
      </c>
      <c r="AS35" s="171">
        <f t="shared" si="22"/>
        <v>0</v>
      </c>
      <c r="AT35" s="171">
        <f t="shared" si="23"/>
        <v>34652898</v>
      </c>
      <c r="AU35" s="250">
        <f>AT35</f>
        <v>34652898</v>
      </c>
      <c r="AV35" s="250"/>
      <c r="AW35" s="250"/>
      <c r="AX35" s="250"/>
      <c r="AY35" s="250"/>
      <c r="AZ35" s="250"/>
      <c r="BA35" s="250"/>
      <c r="BB35" s="251">
        <f t="shared" si="25"/>
        <v>0</v>
      </c>
      <c r="BC35" s="169"/>
      <c r="BD35" s="169"/>
      <c r="BE35" s="169"/>
      <c r="BF35" s="169"/>
    </row>
    <row r="36" spans="1:58" ht="78.75" outlineLevel="2" x14ac:dyDescent="0.25">
      <c r="A36" s="115"/>
      <c r="B36" s="200"/>
      <c r="C36" s="201"/>
      <c r="D36" s="223"/>
      <c r="E36" s="122"/>
      <c r="F36" s="122"/>
      <c r="G36" s="123"/>
      <c r="H36" s="213" t="s">
        <v>392</v>
      </c>
      <c r="I36" s="130" t="s">
        <v>4</v>
      </c>
      <c r="J36" s="126">
        <v>1</v>
      </c>
      <c r="K36" s="126">
        <v>36</v>
      </c>
      <c r="L36" s="125">
        <f>IF(I36&lt;&gt;0,((VLOOKUP(I36,'1. Standard_Cost'!$B$4:$D$11,2)+VLOOKUP(I36,'1. Standard_Cost'!$B$4:$D$11,3))*J36*K36),"0")</f>
        <v>2907000</v>
      </c>
      <c r="M36" s="125">
        <f>L36*'1. Standard_Cost'!$F$4</f>
        <v>485469</v>
      </c>
      <c r="N36" s="126"/>
      <c r="O36" s="126"/>
      <c r="P36" s="126"/>
      <c r="Q36" s="126"/>
      <c r="R36" s="127">
        <f>'1. Standard_Cost'!$B$15*N36*P36</f>
        <v>0</v>
      </c>
      <c r="S36" s="127">
        <f>N36*O36*P36*'1. Standard_Cost'!$C$15</f>
        <v>0</v>
      </c>
      <c r="T36" s="127">
        <f>N36*P36*Q36*'1. Standard_Cost'!$D$15</f>
        <v>0</v>
      </c>
      <c r="U36" s="127">
        <f>N36*O36*'1. Standard_Cost'!$E$15</f>
        <v>0</v>
      </c>
      <c r="V36" s="126"/>
      <c r="W36" s="126"/>
      <c r="X36" s="126"/>
      <c r="Y36" s="127">
        <f>+V36*((X36*'1. Standard_Cost'!$B$19)+(W36*X36*'1. Standard_Cost'!$C$19))</f>
        <v>0</v>
      </c>
      <c r="Z36" s="126"/>
      <c r="AA36" s="126"/>
      <c r="AB36" s="127">
        <f>+Z36*'1. Standard_Cost'!$B$23+AA36*'1. Standard_Cost'!$C$23</f>
        <v>0</v>
      </c>
      <c r="AC36" s="128"/>
      <c r="AD36" s="129"/>
      <c r="AE36" s="127">
        <f>SUM(AD36,AC36,AB36,Y36,U36,T36,S36,R36)*'1. Standard_Cost'!$B$31</f>
        <v>0</v>
      </c>
      <c r="AF36" s="127">
        <f t="shared" si="19"/>
        <v>0</v>
      </c>
      <c r="AG36" s="126"/>
      <c r="AH36" s="126"/>
      <c r="AI36" s="126"/>
      <c r="AJ36" s="130"/>
      <c r="AK36" s="130"/>
      <c r="AL36" s="130"/>
      <c r="AM36" s="127">
        <f>AG36*'1. Standard_Cost'!$B$27+'Incremental_Cost Year 3'!AH36*'1. Standard_Cost'!$C$27+'Incremental_Cost Year 3'!AI36*'1. Standard_Cost'!$D$27+'Incremental_Cost Year 3'!AJ36+'Incremental_Cost Year 3'!AL36+AK36</f>
        <v>0</v>
      </c>
      <c r="AN36" s="127">
        <f>AM36*'1. Standard_Cost'!$C$31</f>
        <v>0</v>
      </c>
      <c r="AO36" s="130"/>
      <c r="AQ36" s="171">
        <f t="shared" si="20"/>
        <v>3392469</v>
      </c>
      <c r="AR36" s="171">
        <f t="shared" si="21"/>
        <v>0</v>
      </c>
      <c r="AS36" s="171">
        <f t="shared" si="22"/>
        <v>0</v>
      </c>
      <c r="AT36" s="171">
        <f t="shared" si="23"/>
        <v>3392469</v>
      </c>
      <c r="AU36" s="250">
        <f>AT36</f>
        <v>3392469</v>
      </c>
      <c r="AV36" s="250"/>
      <c r="AW36" s="250"/>
      <c r="AX36" s="250"/>
      <c r="AY36" s="250"/>
      <c r="AZ36" s="250"/>
      <c r="BA36" s="250"/>
      <c r="BB36" s="251">
        <f t="shared" si="25"/>
        <v>0</v>
      </c>
      <c r="BC36" s="169"/>
      <c r="BD36" s="169"/>
      <c r="BE36" s="169"/>
      <c r="BF36" s="169"/>
    </row>
    <row r="37" spans="1:58" ht="63" outlineLevel="1" x14ac:dyDescent="0.25">
      <c r="A37" s="115"/>
      <c r="B37" s="165"/>
      <c r="C37" s="166"/>
      <c r="D37" s="150" t="s">
        <v>384</v>
      </c>
      <c r="E37" s="139" t="s">
        <v>200</v>
      </c>
      <c r="F37" s="222">
        <v>2021</v>
      </c>
      <c r="G37" s="117">
        <v>2030</v>
      </c>
      <c r="H37" s="134" t="s">
        <v>201</v>
      </c>
      <c r="I37" s="252"/>
      <c r="J37" s="252"/>
      <c r="K37" s="252"/>
      <c r="L37" s="127">
        <f>SUM(L30:L36)</f>
        <v>236674200</v>
      </c>
      <c r="M37" s="127">
        <f>SUM(M30:M36)</f>
        <v>39524591.399999999</v>
      </c>
      <c r="N37" s="127"/>
      <c r="O37" s="252"/>
      <c r="P37" s="252"/>
      <c r="Q37" s="252"/>
      <c r="R37" s="127">
        <f>SUM(R30:R36)</f>
        <v>0</v>
      </c>
      <c r="S37" s="127">
        <f>SUM(S30:S36)</f>
        <v>0</v>
      </c>
      <c r="T37" s="127">
        <f>SUM(T30:T36)</f>
        <v>0</v>
      </c>
      <c r="U37" s="127">
        <f>SUM(U30:U36)</f>
        <v>0</v>
      </c>
      <c r="V37" s="252"/>
      <c r="W37" s="252"/>
      <c r="X37" s="252"/>
      <c r="Y37" s="127">
        <f>SUM(Y30:Y36)</f>
        <v>0</v>
      </c>
      <c r="Z37" s="252"/>
      <c r="AA37" s="252"/>
      <c r="AB37" s="127">
        <f>SUM(AB30:AB36)</f>
        <v>0</v>
      </c>
      <c r="AC37" s="127">
        <f>SUM(AC30:AC36)</f>
        <v>1000000</v>
      </c>
      <c r="AD37" s="127">
        <f>SUM(AD30:AD36)</f>
        <v>0</v>
      </c>
      <c r="AE37" s="127">
        <f>SUM(AE30:AE36)</f>
        <v>200000</v>
      </c>
      <c r="AF37" s="127">
        <f>SUM(AF30:AF36)</f>
        <v>1200000</v>
      </c>
      <c r="AG37" s="252"/>
      <c r="AH37" s="252"/>
      <c r="AI37" s="252"/>
      <c r="AJ37" s="127">
        <f>SUM(AJ30:AJ36)</f>
        <v>0</v>
      </c>
      <c r="AK37" s="127">
        <f>SUM(AK30:AK36)</f>
        <v>0</v>
      </c>
      <c r="AL37" s="127">
        <f>SUM(AL30:AL36)</f>
        <v>0</v>
      </c>
      <c r="AM37" s="127">
        <f>SUM(AM30:AM36)</f>
        <v>0</v>
      </c>
      <c r="AN37" s="127">
        <f>SUM(AN30:AN36)</f>
        <v>0</v>
      </c>
      <c r="AO37" s="253"/>
      <c r="AP37" s="254"/>
      <c r="AQ37" s="175">
        <f>SUM(AQ30:AQ36)</f>
        <v>276198791.39999998</v>
      </c>
      <c r="AR37" s="175">
        <f>SUM(AR30:AR36)</f>
        <v>1200000</v>
      </c>
      <c r="AS37" s="175">
        <f>SUM(AS30:AS36)</f>
        <v>0</v>
      </c>
      <c r="AT37" s="175">
        <f>SUM(AT30:AT36)</f>
        <v>277398791.39999998</v>
      </c>
      <c r="AU37" s="175">
        <f t="shared" ref="AU37:BB37" si="26">SUM(AU30:AU36)</f>
        <v>277398791.39999998</v>
      </c>
      <c r="AV37" s="175">
        <f t="shared" si="26"/>
        <v>0</v>
      </c>
      <c r="AW37" s="175">
        <f t="shared" si="26"/>
        <v>0</v>
      </c>
      <c r="AX37" s="175">
        <f t="shared" si="26"/>
        <v>0</v>
      </c>
      <c r="AY37" s="175">
        <f t="shared" si="26"/>
        <v>0</v>
      </c>
      <c r="AZ37" s="175">
        <f t="shared" si="26"/>
        <v>0</v>
      </c>
      <c r="BA37" s="175">
        <f t="shared" si="26"/>
        <v>0</v>
      </c>
      <c r="BB37" s="175">
        <f t="shared" si="26"/>
        <v>0</v>
      </c>
      <c r="BC37" s="169"/>
      <c r="BD37" s="169"/>
      <c r="BE37" s="169"/>
      <c r="BF37" s="169"/>
    </row>
    <row r="38" spans="1:58" ht="63" outlineLevel="2" x14ac:dyDescent="0.25">
      <c r="A38" s="115"/>
      <c r="B38" s="200"/>
      <c r="C38" s="201"/>
      <c r="D38" s="224"/>
      <c r="E38" s="135" t="s">
        <v>393</v>
      </c>
      <c r="F38" s="302">
        <v>2021</v>
      </c>
      <c r="G38" s="302">
        <v>2023</v>
      </c>
      <c r="H38" s="199" t="s">
        <v>394</v>
      </c>
      <c r="I38" s="130"/>
      <c r="J38" s="126"/>
      <c r="K38" s="126"/>
      <c r="L38" s="125" t="str">
        <f>IF(I38&lt;&gt;0,((VLOOKUP(I38,'1. Standard_Cost'!$B$4:$D$11,2)+VLOOKUP(I38,'1. Standard_Cost'!$B$4:$D$11,3))*J38*K38),"0")</f>
        <v>0</v>
      </c>
      <c r="M38" s="125">
        <f>L38*'1. Standard_Cost'!$F$4</f>
        <v>0</v>
      </c>
      <c r="N38" s="126"/>
      <c r="O38" s="126"/>
      <c r="P38" s="126"/>
      <c r="Q38" s="126"/>
      <c r="R38" s="127">
        <f>'1. Standard_Cost'!$B$15*N38*P38</f>
        <v>0</v>
      </c>
      <c r="S38" s="127">
        <f>N38*O38*P38*'1. Standard_Cost'!$C$15</f>
        <v>0</v>
      </c>
      <c r="T38" s="127">
        <f>N38*P38*Q38*'1. Standard_Cost'!$D$15</f>
        <v>0</v>
      </c>
      <c r="U38" s="127">
        <f>N38*O38*'1. Standard_Cost'!$E$15</f>
        <v>0</v>
      </c>
      <c r="V38" s="126"/>
      <c r="W38" s="126"/>
      <c r="X38" s="126"/>
      <c r="Y38" s="127">
        <f>+V38*((X38*'1. Standard_Cost'!$B$19)+(W38*X38*'1. Standard_Cost'!$C$19))</f>
        <v>0</v>
      </c>
      <c r="Z38" s="126"/>
      <c r="AA38" s="126"/>
      <c r="AB38" s="127">
        <f>+Z38*'1. Standard_Cost'!$B$23+AA38*'1. Standard_Cost'!$C$23</f>
        <v>0</v>
      </c>
      <c r="AC38" s="128">
        <v>4455000000</v>
      </c>
      <c r="AD38" s="129"/>
      <c r="AE38" s="127"/>
      <c r="AF38" s="127">
        <f>SUM(AE38,AD38,AC38,AB38,Y38,U38,T38,S38,R38)</f>
        <v>4455000000</v>
      </c>
      <c r="AG38" s="126"/>
      <c r="AH38" s="126"/>
      <c r="AI38" s="126"/>
      <c r="AJ38" s="130"/>
      <c r="AK38" s="130"/>
      <c r="AL38" s="130"/>
      <c r="AM38" s="127">
        <f>AG38*'1. Standard_Cost'!$B$27+'Incremental_Cost Year 3'!AH38*'1. Standard_Cost'!$C$27+'Incremental_Cost Year 3'!AI38*'1. Standard_Cost'!$D$27+'Incremental_Cost Year 3'!AJ38+'Incremental_Cost Year 3'!AL38+AK38</f>
        <v>0</v>
      </c>
      <c r="AN38" s="127">
        <f>AM38*'1. Standard_Cost'!$C$31</f>
        <v>0</v>
      </c>
      <c r="AO38" s="249"/>
      <c r="AQ38" s="171">
        <f>L38+M38</f>
        <v>0</v>
      </c>
      <c r="AR38" s="171">
        <f>AF38</f>
        <v>4455000000</v>
      </c>
      <c r="AS38" s="171">
        <f>AM38+AN38</f>
        <v>0</v>
      </c>
      <c r="AT38" s="171">
        <f>SUM(AQ38,AR38,AS38)</f>
        <v>4455000000</v>
      </c>
      <c r="AU38" s="250">
        <f>AT38</f>
        <v>4455000000</v>
      </c>
      <c r="AV38" s="250"/>
      <c r="AW38" s="250"/>
      <c r="AX38" s="250"/>
      <c r="AY38" s="250"/>
      <c r="AZ38" s="250"/>
      <c r="BA38" s="250"/>
      <c r="BB38" s="251">
        <f t="shared" ref="BB38" si="27">SUM(AU38:BA38)-AT38</f>
        <v>0</v>
      </c>
      <c r="BC38" s="169"/>
      <c r="BD38" s="169"/>
      <c r="BE38" s="169"/>
      <c r="BF38" s="169"/>
    </row>
    <row r="39" spans="1:58" ht="31.5" outlineLevel="1" x14ac:dyDescent="0.25">
      <c r="A39" s="115"/>
      <c r="B39" s="303"/>
      <c r="C39" s="304"/>
      <c r="D39" s="107" t="s">
        <v>388</v>
      </c>
      <c r="E39" s="139" t="s">
        <v>202</v>
      </c>
      <c r="F39" s="122">
        <v>2021</v>
      </c>
      <c r="G39" s="223">
        <v>2030</v>
      </c>
      <c r="H39" s="134" t="s">
        <v>203</v>
      </c>
      <c r="I39" s="252"/>
      <c r="J39" s="252"/>
      <c r="K39" s="252"/>
      <c r="L39" s="127">
        <f>SUM(L38:L38)</f>
        <v>0</v>
      </c>
      <c r="M39" s="127">
        <f>SUM(M38:M38)</f>
        <v>0</v>
      </c>
      <c r="N39" s="127"/>
      <c r="O39" s="252"/>
      <c r="P39" s="252"/>
      <c r="Q39" s="252"/>
      <c r="R39" s="127">
        <f>SUM(R38:R38)</f>
        <v>0</v>
      </c>
      <c r="S39" s="127">
        <f>SUM(S38:S38)</f>
        <v>0</v>
      </c>
      <c r="T39" s="127">
        <f>SUM(T38:T38)</f>
        <v>0</v>
      </c>
      <c r="U39" s="127">
        <f>SUM(U38:U38)</f>
        <v>0</v>
      </c>
      <c r="V39" s="252"/>
      <c r="W39" s="252"/>
      <c r="X39" s="252"/>
      <c r="Y39" s="127">
        <f>SUM(Y38:Y38)</f>
        <v>0</v>
      </c>
      <c r="Z39" s="252"/>
      <c r="AA39" s="252"/>
      <c r="AB39" s="127">
        <f>SUM(AB38:AB38)</f>
        <v>0</v>
      </c>
      <c r="AC39" s="127">
        <f>SUM(AC38:AC38)</f>
        <v>4455000000</v>
      </c>
      <c r="AD39" s="127">
        <f>SUM(AD38:AD38)</f>
        <v>0</v>
      </c>
      <c r="AE39" s="127">
        <f>SUM(AE38:AE38)</f>
        <v>0</v>
      </c>
      <c r="AF39" s="127">
        <f>SUM(AF38:AF38)</f>
        <v>4455000000</v>
      </c>
      <c r="AG39" s="252"/>
      <c r="AH39" s="252"/>
      <c r="AI39" s="252"/>
      <c r="AJ39" s="127">
        <f>SUM(AJ38:AJ38)</f>
        <v>0</v>
      </c>
      <c r="AK39" s="127">
        <f>SUM(AK38:AK38)</f>
        <v>0</v>
      </c>
      <c r="AL39" s="127">
        <f>SUM(AL38:AL38)</f>
        <v>0</v>
      </c>
      <c r="AM39" s="127">
        <f>SUM(AM38:AM38)</f>
        <v>0</v>
      </c>
      <c r="AN39" s="127">
        <f>SUM(AN38:AN38)</f>
        <v>0</v>
      </c>
      <c r="AO39" s="253"/>
      <c r="AP39" s="254"/>
      <c r="AQ39" s="175">
        <f>SUM(AQ38:AQ38)</f>
        <v>0</v>
      </c>
      <c r="AR39" s="175">
        <f>SUM(AR38:AR38)</f>
        <v>4455000000</v>
      </c>
      <c r="AS39" s="175">
        <f>SUM(AS38:AS38)</f>
        <v>0</v>
      </c>
      <c r="AT39" s="175">
        <f>SUM(AT38:AT38)</f>
        <v>4455000000</v>
      </c>
      <c r="AU39" s="175">
        <f t="shared" ref="AU39:BB39" si="28">SUM(AU38:AU38)</f>
        <v>4455000000</v>
      </c>
      <c r="AV39" s="175">
        <f t="shared" si="28"/>
        <v>0</v>
      </c>
      <c r="AW39" s="175">
        <f t="shared" si="28"/>
        <v>0</v>
      </c>
      <c r="AX39" s="175">
        <f t="shared" si="28"/>
        <v>0</v>
      </c>
      <c r="AY39" s="175">
        <f t="shared" si="28"/>
        <v>0</v>
      </c>
      <c r="AZ39" s="175">
        <f t="shared" si="28"/>
        <v>0</v>
      </c>
      <c r="BA39" s="175">
        <f t="shared" si="28"/>
        <v>0</v>
      </c>
      <c r="BB39" s="175">
        <f t="shared" si="28"/>
        <v>0</v>
      </c>
      <c r="BC39" s="169"/>
      <c r="BD39" s="169"/>
      <c r="BE39" s="169"/>
      <c r="BF39" s="169"/>
    </row>
    <row r="40" spans="1:58" s="170" customFormat="1" ht="15.75" customHeight="1" x14ac:dyDescent="0.25">
      <c r="A40" s="120"/>
      <c r="B40" s="290"/>
      <c r="C40" s="391" t="s">
        <v>204</v>
      </c>
      <c r="D40" s="391"/>
      <c r="E40" s="392"/>
      <c r="F40" s="289"/>
      <c r="G40" s="288"/>
      <c r="H40" s="114" t="s">
        <v>207</v>
      </c>
      <c r="I40" s="246"/>
      <c r="J40" s="246"/>
      <c r="K40" s="246"/>
      <c r="L40" s="247">
        <f>SUM(L44)</f>
        <v>201875</v>
      </c>
      <c r="M40" s="247">
        <f>SUM(M44)</f>
        <v>33713.125</v>
      </c>
      <c r="N40" s="247"/>
      <c r="O40" s="247"/>
      <c r="P40" s="247"/>
      <c r="Q40" s="247"/>
      <c r="R40" s="247">
        <f>SUM(R44)</f>
        <v>500000</v>
      </c>
      <c r="S40" s="247">
        <f>SUM(S44)</f>
        <v>375000</v>
      </c>
      <c r="T40" s="247">
        <f>SUM(T44)</f>
        <v>0</v>
      </c>
      <c r="U40" s="247">
        <f>SUM(U44)</f>
        <v>400000</v>
      </c>
      <c r="V40" s="247"/>
      <c r="W40" s="247"/>
      <c r="X40" s="247"/>
      <c r="Y40" s="247">
        <f>SUM(Y44)</f>
        <v>0</v>
      </c>
      <c r="Z40" s="247">
        <f t="shared" ref="Z40:AA40" si="29">SUM(Z44)</f>
        <v>0</v>
      </c>
      <c r="AA40" s="247">
        <f t="shared" si="29"/>
        <v>0</v>
      </c>
      <c r="AB40" s="247">
        <f t="shared" ref="AB40:AF40" si="30">SUM(AB44)</f>
        <v>228000</v>
      </c>
      <c r="AC40" s="247">
        <f t="shared" si="30"/>
        <v>3325000</v>
      </c>
      <c r="AD40" s="247">
        <f t="shared" si="30"/>
        <v>0</v>
      </c>
      <c r="AE40" s="247">
        <f t="shared" si="30"/>
        <v>465600</v>
      </c>
      <c r="AF40" s="247">
        <f t="shared" si="30"/>
        <v>5293600</v>
      </c>
      <c r="AG40" s="247"/>
      <c r="AH40" s="247"/>
      <c r="AI40" s="247"/>
      <c r="AJ40" s="247">
        <f>SUM(AJ44)</f>
        <v>0</v>
      </c>
      <c r="AK40" s="247">
        <f>SUM(AK44)</f>
        <v>0</v>
      </c>
      <c r="AL40" s="247">
        <f>SUM(AL44)</f>
        <v>0</v>
      </c>
      <c r="AM40" s="247">
        <f>SUM(AM44)</f>
        <v>0</v>
      </c>
      <c r="AN40" s="247">
        <f>SUM(AN44)</f>
        <v>0</v>
      </c>
      <c r="AO40" s="247"/>
      <c r="AP40" s="244"/>
      <c r="AQ40" s="248">
        <f>SUM(AQ44)</f>
        <v>235588.125</v>
      </c>
      <c r="AR40" s="248">
        <f>SUM(AR44)</f>
        <v>5293600</v>
      </c>
      <c r="AS40" s="248">
        <f>SUM(AS44)</f>
        <v>0</v>
      </c>
      <c r="AT40" s="248">
        <f>SUM(AT44)</f>
        <v>5529188.125</v>
      </c>
      <c r="AU40" s="248">
        <f t="shared" ref="AU40:BB40" si="31">SUM(AU44)</f>
        <v>235588.125</v>
      </c>
      <c r="AV40" s="248">
        <f t="shared" si="31"/>
        <v>0</v>
      </c>
      <c r="AW40" s="248">
        <f t="shared" si="31"/>
        <v>0</v>
      </c>
      <c r="AX40" s="248">
        <f t="shared" si="31"/>
        <v>0</v>
      </c>
      <c r="AY40" s="248">
        <f t="shared" si="31"/>
        <v>0</v>
      </c>
      <c r="AZ40" s="248">
        <f t="shared" si="31"/>
        <v>0</v>
      </c>
      <c r="BA40" s="248">
        <f t="shared" si="31"/>
        <v>0</v>
      </c>
      <c r="BB40" s="248">
        <f t="shared" si="31"/>
        <v>-5293600</v>
      </c>
    </row>
    <row r="41" spans="1:58" ht="78.75" outlineLevel="2" x14ac:dyDescent="0.25">
      <c r="A41" s="115"/>
      <c r="B41" s="200"/>
      <c r="C41" s="201"/>
      <c r="D41" s="138"/>
      <c r="E41" s="295"/>
      <c r="F41" s="295"/>
      <c r="G41" s="296"/>
      <c r="H41" s="213" t="s">
        <v>395</v>
      </c>
      <c r="I41" s="130"/>
      <c r="J41" s="126"/>
      <c r="K41" s="126"/>
      <c r="L41" s="125" t="str">
        <f>IF(I41&lt;&gt;0,((VLOOKUP(I41,'1. Standard_Cost'!$B$4:$D$11,2)+VLOOKUP(I41,'1. Standard_Cost'!$B$4:$D$11,3))*J41*K41),"0")</f>
        <v>0</v>
      </c>
      <c r="M41" s="125">
        <f>L41*'1. Standard_Cost'!$F$4</f>
        <v>0</v>
      </c>
      <c r="N41" s="126"/>
      <c r="O41" s="126"/>
      <c r="P41" s="126"/>
      <c r="Q41" s="126"/>
      <c r="R41" s="127">
        <f>'1. Standard_Cost'!$B$15*N41*P41</f>
        <v>0</v>
      </c>
      <c r="S41" s="127">
        <f>N41*O41*P41*'1. Standard_Cost'!$C$15</f>
        <v>0</v>
      </c>
      <c r="T41" s="127">
        <f>N41*P41*Q41*'1. Standard_Cost'!$D$15</f>
        <v>0</v>
      </c>
      <c r="U41" s="127">
        <f>N41*O41*'1. Standard_Cost'!$E$15</f>
        <v>0</v>
      </c>
      <c r="V41" s="126"/>
      <c r="W41" s="126"/>
      <c r="X41" s="126"/>
      <c r="Y41" s="127">
        <f>+V41*((X41*'1. Standard_Cost'!$B$19)+(W41*X41*'1. Standard_Cost'!$C$19))</f>
        <v>0</v>
      </c>
      <c r="Z41" s="126"/>
      <c r="AA41" s="126"/>
      <c r="AB41" s="127">
        <f>+Z41*'1. Standard_Cost'!$B$23+AA41*'1. Standard_Cost'!$C$23</f>
        <v>0</v>
      </c>
      <c r="AC41" s="128">
        <v>0</v>
      </c>
      <c r="AD41" s="129"/>
      <c r="AE41" s="127"/>
      <c r="AF41" s="127">
        <f>SUM(AE41,AD41,AC41,AB41,Y41,U41,T41,S41,R41)</f>
        <v>0</v>
      </c>
      <c r="AG41" s="126"/>
      <c r="AH41" s="126"/>
      <c r="AI41" s="126"/>
      <c r="AJ41" s="130"/>
      <c r="AK41" s="130"/>
      <c r="AL41" s="130"/>
      <c r="AM41" s="127">
        <f>AG41*'1. Standard_Cost'!$B$27+'Incremental_Cost Year 3'!AH41*'1. Standard_Cost'!$C$27+'Incremental_Cost Year 3'!AI41*'1. Standard_Cost'!$D$27+'Incremental_Cost Year 3'!AJ41+'Incremental_Cost Year 3'!AL41+AK41</f>
        <v>0</v>
      </c>
      <c r="AN41" s="127">
        <f>AM41*'1. Standard_Cost'!$C$31</f>
        <v>0</v>
      </c>
      <c r="AO41" s="249"/>
      <c r="AQ41" s="171">
        <f>L41+M41</f>
        <v>0</v>
      </c>
      <c r="AR41" s="171">
        <f>AF41</f>
        <v>0</v>
      </c>
      <c r="AS41" s="171">
        <f>AM41+AN41</f>
        <v>0</v>
      </c>
      <c r="AT41" s="171">
        <f>SUM(AQ41,AR41,AS41)</f>
        <v>0</v>
      </c>
      <c r="AU41" s="250">
        <f>AQ41</f>
        <v>0</v>
      </c>
      <c r="AV41" s="250"/>
      <c r="AW41" s="250"/>
      <c r="AX41" s="250">
        <v>0</v>
      </c>
      <c r="AY41" s="250"/>
      <c r="AZ41" s="250">
        <f>AT41</f>
        <v>0</v>
      </c>
      <c r="BA41" s="250"/>
      <c r="BB41" s="251">
        <f t="shared" ref="BB41:BB43" si="32">SUM(AU41:BA41)-AT41</f>
        <v>0</v>
      </c>
      <c r="BC41" s="169"/>
      <c r="BD41" s="169"/>
      <c r="BE41" s="169"/>
      <c r="BF41" s="169"/>
    </row>
    <row r="42" spans="1:58" ht="157.5" outlineLevel="2" x14ac:dyDescent="0.25">
      <c r="A42" s="115"/>
      <c r="B42" s="200"/>
      <c r="C42" s="201"/>
      <c r="D42" s="135"/>
      <c r="E42" s="219"/>
      <c r="F42" s="219"/>
      <c r="G42" s="313"/>
      <c r="H42" s="213" t="s">
        <v>538</v>
      </c>
      <c r="I42" s="130" t="s">
        <v>4</v>
      </c>
      <c r="J42" s="126">
        <v>0.5</v>
      </c>
      <c r="K42" s="126">
        <v>5</v>
      </c>
      <c r="L42" s="125">
        <f>IF(I42&lt;&gt;0,((VLOOKUP(I42,'1. Standard_Cost'!$B$4:$D$11,2)+VLOOKUP(I42,'1. Standard_Cost'!$B$4:$D$11,3))*J42*K42),"0")</f>
        <v>201875</v>
      </c>
      <c r="M42" s="125">
        <f>L42*'1. Standard_Cost'!$F$4</f>
        <v>33713.125</v>
      </c>
      <c r="N42" s="126">
        <v>10</v>
      </c>
      <c r="O42" s="126">
        <v>1</v>
      </c>
      <c r="P42" s="126">
        <v>25</v>
      </c>
      <c r="Q42" s="126"/>
      <c r="R42" s="127">
        <f>'1. Standard_Cost'!$B$15*N42*P42</f>
        <v>500000</v>
      </c>
      <c r="S42" s="127">
        <f>N42*O42*P42*'1. Standard_Cost'!$C$15</f>
        <v>375000</v>
      </c>
      <c r="T42" s="127">
        <f>N42*P42*Q42*'1. Standard_Cost'!$D$15</f>
        <v>0</v>
      </c>
      <c r="U42" s="127">
        <f>N42*O42*'1. Standard_Cost'!$E$15</f>
        <v>400000</v>
      </c>
      <c r="V42" s="126"/>
      <c r="W42" s="126"/>
      <c r="X42" s="126"/>
      <c r="Y42" s="127">
        <f>+V42*((X42*'1. Standard_Cost'!$B$19)+(W42*X42*'1. Standard_Cost'!$C$19))</f>
        <v>0</v>
      </c>
      <c r="Z42" s="126"/>
      <c r="AA42" s="126">
        <v>12</v>
      </c>
      <c r="AB42" s="127">
        <f>+Z42*'1. Standard_Cost'!$B$23+AA42*'1. Standard_Cost'!$C$23</f>
        <v>228000</v>
      </c>
      <c r="AC42" s="128">
        <f>250*300+250*3000</f>
        <v>825000</v>
      </c>
      <c r="AD42" s="129"/>
      <c r="AE42" s="127">
        <f>SUM(AD42,AC42,AB42,Y42,U42,T42,S42,R42)*'1. Standard_Cost'!$B$31</f>
        <v>465600</v>
      </c>
      <c r="AF42" s="127">
        <f>SUM(AE42,AD42,AC42,AB42,Y42,U42,T42,S42,R42)</f>
        <v>2793600</v>
      </c>
      <c r="AG42" s="126"/>
      <c r="AH42" s="126"/>
      <c r="AI42" s="126"/>
      <c r="AJ42" s="130"/>
      <c r="AK42" s="130"/>
      <c r="AL42" s="130"/>
      <c r="AM42" s="127">
        <f>AG42*'1. Standard_Cost'!$B$27+'Incremental_Cost Year 3'!AH42*'1. Standard_Cost'!$C$27+'Incremental_Cost Year 3'!AI42*'1. Standard_Cost'!$D$27+'Incremental_Cost Year 3'!AJ42+'Incremental_Cost Year 3'!AL42+AK42</f>
        <v>0</v>
      </c>
      <c r="AN42" s="127">
        <f>AM42*'1. Standard_Cost'!$C$31</f>
        <v>0</v>
      </c>
      <c r="AO42" s="130"/>
      <c r="AQ42" s="171">
        <f>L42+M42</f>
        <v>235588.125</v>
      </c>
      <c r="AR42" s="171">
        <f>AF42</f>
        <v>2793600</v>
      </c>
      <c r="AS42" s="171">
        <f>AM42+AN42</f>
        <v>0</v>
      </c>
      <c r="AT42" s="171">
        <f>SUM(AQ42,AR42,AS42)</f>
        <v>3029188.125</v>
      </c>
      <c r="AU42" s="250">
        <f>AQ42</f>
        <v>235588.125</v>
      </c>
      <c r="AV42" s="250"/>
      <c r="AW42" s="250"/>
      <c r="AX42" s="250"/>
      <c r="AY42" s="250"/>
      <c r="AZ42" s="250"/>
      <c r="BA42" s="250"/>
      <c r="BB42" s="251">
        <f t="shared" si="32"/>
        <v>-2793600</v>
      </c>
      <c r="BC42" s="169"/>
      <c r="BD42" s="169"/>
      <c r="BE42" s="169"/>
      <c r="BF42" s="169"/>
    </row>
    <row r="43" spans="1:58" ht="47.25" outlineLevel="2" x14ac:dyDescent="0.25">
      <c r="A43" s="115"/>
      <c r="B43" s="200"/>
      <c r="C43" s="201"/>
      <c r="D43" s="223"/>
      <c r="E43" s="219"/>
      <c r="F43" s="219"/>
      <c r="G43" s="313"/>
      <c r="H43" s="199" t="s">
        <v>223</v>
      </c>
      <c r="I43" s="130"/>
      <c r="J43" s="126"/>
      <c r="K43" s="126"/>
      <c r="L43" s="125" t="str">
        <f>IF(I43&lt;&gt;0,((VLOOKUP(I43,'1. Standard_Cost'!$B$4:$D$11,2)+VLOOKUP(I43,'1. Standard_Cost'!$B$4:$D$11,3))*J43*K43),"0")</f>
        <v>0</v>
      </c>
      <c r="M43" s="125">
        <f>L43*'1. Standard_Cost'!$F$4</f>
        <v>0</v>
      </c>
      <c r="N43" s="126"/>
      <c r="O43" s="126"/>
      <c r="P43" s="126"/>
      <c r="Q43" s="126"/>
      <c r="R43" s="127">
        <f>'1. Standard_Cost'!$B$15*N43*P43</f>
        <v>0</v>
      </c>
      <c r="S43" s="127">
        <f>N43*O43*P43*'1. Standard_Cost'!$C$15</f>
        <v>0</v>
      </c>
      <c r="T43" s="127">
        <f>N43*P43*Q43*'1. Standard_Cost'!$D$15</f>
        <v>0</v>
      </c>
      <c r="U43" s="127">
        <f>N43*O43*'1. Standard_Cost'!$E$15</f>
        <v>0</v>
      </c>
      <c r="V43" s="126"/>
      <c r="W43" s="126"/>
      <c r="X43" s="126"/>
      <c r="Y43" s="127">
        <f>+V43*((X43*'1. Standard_Cost'!$B$19)+(W43*X43*'1. Standard_Cost'!$C$19))</f>
        <v>0</v>
      </c>
      <c r="Z43" s="126"/>
      <c r="AA43" s="126"/>
      <c r="AB43" s="127">
        <f>+Z43*'1. Standard_Cost'!$B$23+AA43*'1. Standard_Cost'!$C$23</f>
        <v>0</v>
      </c>
      <c r="AC43" s="128">
        <v>2500000</v>
      </c>
      <c r="AD43" s="129"/>
      <c r="AE43" s="127">
        <v>0</v>
      </c>
      <c r="AF43" s="127">
        <f>SUM(AE43,AD43,AC43,AB43,Y43,U43,T43,S43,R43)</f>
        <v>2500000</v>
      </c>
      <c r="AG43" s="126"/>
      <c r="AH43" s="126"/>
      <c r="AI43" s="126"/>
      <c r="AJ43" s="130"/>
      <c r="AK43" s="130"/>
      <c r="AL43" s="130"/>
      <c r="AM43" s="127">
        <f>AG43*'1. Standard_Cost'!$B$27+'Incremental_Cost Year 3'!AH43*'1. Standard_Cost'!$C$27+'Incremental_Cost Year 3'!AI43*'1. Standard_Cost'!$D$27+'Incremental_Cost Year 3'!AJ43+'Incremental_Cost Year 3'!AL43+AK43</f>
        <v>0</v>
      </c>
      <c r="AN43" s="127">
        <f>AM43*'1. Standard_Cost'!$C$31</f>
        <v>0</v>
      </c>
      <c r="AO43" s="130"/>
      <c r="AQ43" s="171">
        <f>L43+M43</f>
        <v>0</v>
      </c>
      <c r="AR43" s="171">
        <f>AF43</f>
        <v>2500000</v>
      </c>
      <c r="AS43" s="171">
        <f>AM43+AN43</f>
        <v>0</v>
      </c>
      <c r="AT43" s="171">
        <f>SUM(AQ43,AR43,AS43)</f>
        <v>2500000</v>
      </c>
      <c r="AU43" s="250"/>
      <c r="AV43" s="250"/>
      <c r="AW43" s="250"/>
      <c r="AX43" s="250"/>
      <c r="AY43" s="250"/>
      <c r="AZ43" s="250"/>
      <c r="BA43" s="250"/>
      <c r="BB43" s="251">
        <f t="shared" si="32"/>
        <v>-2500000</v>
      </c>
      <c r="BC43" s="169"/>
      <c r="BD43" s="169"/>
      <c r="BE43" s="169"/>
      <c r="BF43" s="169"/>
    </row>
    <row r="44" spans="1:58" ht="63" outlineLevel="1" x14ac:dyDescent="0.25">
      <c r="A44" s="115"/>
      <c r="B44" s="165"/>
      <c r="C44" s="166"/>
      <c r="D44" s="150" t="s">
        <v>396</v>
      </c>
      <c r="E44" s="139" t="s">
        <v>205</v>
      </c>
      <c r="F44" s="222">
        <v>2022</v>
      </c>
      <c r="G44" s="117">
        <v>2030</v>
      </c>
      <c r="H44" s="134" t="s">
        <v>206</v>
      </c>
      <c r="I44" s="252"/>
      <c r="J44" s="252"/>
      <c r="K44" s="252"/>
      <c r="L44" s="127">
        <f>SUM(L41:L43)</f>
        <v>201875</v>
      </c>
      <c r="M44" s="127">
        <f>SUM(M41:M43)</f>
        <v>33713.125</v>
      </c>
      <c r="N44" s="127"/>
      <c r="O44" s="252"/>
      <c r="P44" s="252"/>
      <c r="Q44" s="252"/>
      <c r="R44" s="127">
        <f>SUM(R41:R43)</f>
        <v>500000</v>
      </c>
      <c r="S44" s="127">
        <f>SUM(S41:S43)</f>
        <v>375000</v>
      </c>
      <c r="T44" s="127">
        <f>SUM(T41:T43)</f>
        <v>0</v>
      </c>
      <c r="U44" s="127">
        <f>SUM(U41:U43)</f>
        <v>400000</v>
      </c>
      <c r="V44" s="252"/>
      <c r="W44" s="252"/>
      <c r="X44" s="252"/>
      <c r="Y44" s="127">
        <f>SUM(Y41:Y43)</f>
        <v>0</v>
      </c>
      <c r="Z44" s="252"/>
      <c r="AA44" s="252"/>
      <c r="AB44" s="127">
        <f>SUM(AB41:AB43)</f>
        <v>228000</v>
      </c>
      <c r="AC44" s="127">
        <f>SUM(AC41:AC43)</f>
        <v>3325000</v>
      </c>
      <c r="AD44" s="127">
        <f>SUM(AD41:AD43)</f>
        <v>0</v>
      </c>
      <c r="AE44" s="127">
        <f>SUM(AE41:AE43)</f>
        <v>465600</v>
      </c>
      <c r="AF44" s="127">
        <f>SUM(AF41:AF43)</f>
        <v>5293600</v>
      </c>
      <c r="AG44" s="252"/>
      <c r="AH44" s="252"/>
      <c r="AI44" s="252"/>
      <c r="AJ44" s="127">
        <f>SUM(AJ41:AJ43)</f>
        <v>0</v>
      </c>
      <c r="AK44" s="127">
        <f>SUM(AK41:AK43)</f>
        <v>0</v>
      </c>
      <c r="AL44" s="127">
        <f>SUM(AL41:AL43)</f>
        <v>0</v>
      </c>
      <c r="AM44" s="127">
        <f>SUM(AM41:AM43)</f>
        <v>0</v>
      </c>
      <c r="AN44" s="127">
        <f>SUM(AN41:AN43)</f>
        <v>0</v>
      </c>
      <c r="AO44" s="253"/>
      <c r="AP44" s="254"/>
      <c r="AQ44" s="175">
        <f>SUM(AQ41:AQ43)</f>
        <v>235588.125</v>
      </c>
      <c r="AR44" s="175">
        <f>SUM(AR41:AR43)</f>
        <v>5293600</v>
      </c>
      <c r="AS44" s="175">
        <f>SUM(AS41:AS43)</f>
        <v>0</v>
      </c>
      <c r="AT44" s="175">
        <f>SUM(AT41:AT43)</f>
        <v>5529188.125</v>
      </c>
      <c r="AU44" s="175">
        <f t="shared" ref="AU44:BB44" si="33">SUM(AU41:AU43)</f>
        <v>235588.125</v>
      </c>
      <c r="AV44" s="175">
        <f t="shared" si="33"/>
        <v>0</v>
      </c>
      <c r="AW44" s="175">
        <f t="shared" si="33"/>
        <v>0</v>
      </c>
      <c r="AX44" s="175">
        <f t="shared" si="33"/>
        <v>0</v>
      </c>
      <c r="AY44" s="175">
        <f t="shared" si="33"/>
        <v>0</v>
      </c>
      <c r="AZ44" s="175">
        <f t="shared" si="33"/>
        <v>0</v>
      </c>
      <c r="BA44" s="175">
        <f t="shared" si="33"/>
        <v>0</v>
      </c>
      <c r="BB44" s="175">
        <f t="shared" si="33"/>
        <v>-5293600</v>
      </c>
      <c r="BC44" s="169"/>
      <c r="BD44" s="169"/>
      <c r="BE44" s="169"/>
      <c r="BF44" s="169"/>
    </row>
    <row r="45" spans="1:58" s="170" customFormat="1" ht="15.75" customHeight="1" x14ac:dyDescent="0.25">
      <c r="A45" s="120"/>
      <c r="B45" s="290"/>
      <c r="C45" s="391" t="s">
        <v>210</v>
      </c>
      <c r="D45" s="391"/>
      <c r="E45" s="392"/>
      <c r="F45" s="289"/>
      <c r="G45" s="288"/>
      <c r="H45" s="114" t="s">
        <v>213</v>
      </c>
      <c r="I45" s="246"/>
      <c r="J45" s="246"/>
      <c r="K45" s="246"/>
      <c r="L45" s="247">
        <f>SUM(L50+L56+L60)</f>
        <v>1076454818.5714285</v>
      </c>
      <c r="M45" s="247">
        <f>SUM(M50+M56+M60)</f>
        <v>179767954.70142856</v>
      </c>
      <c r="N45" s="247"/>
      <c r="O45" s="247"/>
      <c r="P45" s="247"/>
      <c r="Q45" s="247"/>
      <c r="R45" s="247">
        <f>SUM(R50+R56+R60)</f>
        <v>0</v>
      </c>
      <c r="S45" s="247">
        <f>SUM(S50+S56+S60)</f>
        <v>0</v>
      </c>
      <c r="T45" s="247">
        <f>SUM(T50+T56+T60)</f>
        <v>0</v>
      </c>
      <c r="U45" s="247">
        <f>SUM(U50+U56+U60)</f>
        <v>0</v>
      </c>
      <c r="V45" s="247"/>
      <c r="W45" s="247"/>
      <c r="X45" s="247"/>
      <c r="Y45" s="247">
        <f>SUM(Y50+Y56+Y60)</f>
        <v>0</v>
      </c>
      <c r="Z45" s="247">
        <f t="shared" ref="Z45:AA45" si="34">SUM(Z50+Z56+Z60)</f>
        <v>0</v>
      </c>
      <c r="AA45" s="247">
        <f t="shared" si="34"/>
        <v>0</v>
      </c>
      <c r="AB45" s="247">
        <f t="shared" ref="AB45:AF45" si="35">SUM(AB50+AB56+AB60)</f>
        <v>1520000</v>
      </c>
      <c r="AC45" s="247">
        <f t="shared" si="35"/>
        <v>10080000</v>
      </c>
      <c r="AD45" s="247">
        <f t="shared" si="35"/>
        <v>0</v>
      </c>
      <c r="AE45" s="247">
        <f t="shared" si="35"/>
        <v>2320000</v>
      </c>
      <c r="AF45" s="247">
        <f t="shared" si="35"/>
        <v>13920000</v>
      </c>
      <c r="AG45" s="247"/>
      <c r="AH45" s="247"/>
      <c r="AI45" s="247"/>
      <c r="AJ45" s="247">
        <f>SUM(AJ50+AJ56+AJ60)</f>
        <v>0</v>
      </c>
      <c r="AK45" s="247">
        <f>SUM(AK50+AK56+AK60)</f>
        <v>0</v>
      </c>
      <c r="AL45" s="247">
        <f>SUM(AL50+AL56+AL60)</f>
        <v>0</v>
      </c>
      <c r="AM45" s="247">
        <f>SUM(AM50+AM56+AM60)</f>
        <v>0</v>
      </c>
      <c r="AN45" s="247">
        <f>SUM(AN50+AN56+AN60)</f>
        <v>0</v>
      </c>
      <c r="AO45" s="247"/>
      <c r="AP45" s="244"/>
      <c r="AQ45" s="248">
        <f>SUM(AQ50+AQ56+AQ60)</f>
        <v>1256222773.272857</v>
      </c>
      <c r="AR45" s="248">
        <f>SUM(AR50+AR56+AR60)</f>
        <v>13920000</v>
      </c>
      <c r="AS45" s="248">
        <f>SUM(AS50+AS56+AS60)</f>
        <v>0</v>
      </c>
      <c r="AT45" s="248">
        <f>SUM(AT50+AT56+AT60)</f>
        <v>1270142773.272857</v>
      </c>
      <c r="AU45" s="248">
        <f t="shared" ref="AU45:BB45" si="36">SUM(AU50+AU56+AU60)</f>
        <v>1268282773.272857</v>
      </c>
      <c r="AV45" s="248">
        <f t="shared" si="36"/>
        <v>0</v>
      </c>
      <c r="AW45" s="248">
        <f t="shared" si="36"/>
        <v>0</v>
      </c>
      <c r="AX45" s="248">
        <f t="shared" si="36"/>
        <v>0</v>
      </c>
      <c r="AY45" s="248">
        <f t="shared" si="36"/>
        <v>1393200</v>
      </c>
      <c r="AZ45" s="248">
        <f t="shared" si="36"/>
        <v>0</v>
      </c>
      <c r="BA45" s="248">
        <f t="shared" si="36"/>
        <v>0</v>
      </c>
      <c r="BB45" s="248">
        <f t="shared" si="36"/>
        <v>-466800</v>
      </c>
    </row>
    <row r="46" spans="1:58" ht="78.75" outlineLevel="2" x14ac:dyDescent="0.25">
      <c r="A46" s="115"/>
      <c r="B46" s="200"/>
      <c r="C46" s="201"/>
      <c r="D46" s="138"/>
      <c r="E46" s="295"/>
      <c r="F46" s="295"/>
      <c r="G46" s="296"/>
      <c r="H46" s="199" t="s">
        <v>397</v>
      </c>
      <c r="I46" s="130" t="s">
        <v>4</v>
      </c>
      <c r="J46" s="126">
        <v>1</v>
      </c>
      <c r="K46" s="126">
        <v>4</v>
      </c>
      <c r="L46" s="125">
        <f>IF(I46&lt;&gt;0,((VLOOKUP(I46,'1. Standard_Cost'!$B$4:$D$11,2)+VLOOKUP(I46,'1. Standard_Cost'!$B$4:$D$11,3))*J46*K46),"0")</f>
        <v>323000</v>
      </c>
      <c r="M46" s="125">
        <f>L46*'1. Standard_Cost'!$F$4</f>
        <v>53941</v>
      </c>
      <c r="N46" s="126"/>
      <c r="O46" s="126"/>
      <c r="P46" s="126"/>
      <c r="Q46" s="126"/>
      <c r="R46" s="127">
        <f>'1. Standard_Cost'!$B$15*N46*P46</f>
        <v>0</v>
      </c>
      <c r="S46" s="127">
        <f>N46*O46*P46*'1. Standard_Cost'!$C$15</f>
        <v>0</v>
      </c>
      <c r="T46" s="127">
        <f>N46*P46*Q46*'1. Standard_Cost'!$D$15</f>
        <v>0</v>
      </c>
      <c r="U46" s="127">
        <f>N46*O46*'1. Standard_Cost'!$E$15</f>
        <v>0</v>
      </c>
      <c r="V46" s="126"/>
      <c r="W46" s="126"/>
      <c r="X46" s="126"/>
      <c r="Y46" s="127">
        <f>+V46*((X46*'1. Standard_Cost'!$B$19)+(W46*X46*'1. Standard_Cost'!$C$19))</f>
        <v>0</v>
      </c>
      <c r="Z46" s="126"/>
      <c r="AA46" s="126">
        <v>20</v>
      </c>
      <c r="AB46" s="127">
        <f>+Z46*'1. Standard_Cost'!$B$23+AA46*'1. Standard_Cost'!$C$23</f>
        <v>380000</v>
      </c>
      <c r="AC46" s="128">
        <f>30*300</f>
        <v>9000</v>
      </c>
      <c r="AD46" s="129"/>
      <c r="AE46" s="127">
        <f>SUM(AD46,AC46,AB46,Y46,U46,T46,S46,R46)*'1. Standard_Cost'!$B$31</f>
        <v>77800</v>
      </c>
      <c r="AF46" s="127">
        <f>SUM(AE46,AD46,AC46,AB46,Y46,U46,T46,S46,R46)</f>
        <v>466800</v>
      </c>
      <c r="AG46" s="126"/>
      <c r="AH46" s="126"/>
      <c r="AI46" s="126"/>
      <c r="AJ46" s="130"/>
      <c r="AK46" s="130"/>
      <c r="AL46" s="130"/>
      <c r="AM46" s="127">
        <f>AG46*'1. Standard_Cost'!$B$27+'Incremental_Cost Year 3'!AH46*'1. Standard_Cost'!$C$27+'Incremental_Cost Year 3'!AI46*'1. Standard_Cost'!$D$27+'Incremental_Cost Year 3'!AJ46+'Incremental_Cost Year 3'!AL46+AK46</f>
        <v>0</v>
      </c>
      <c r="AN46" s="127">
        <f>AM46*'1. Standard_Cost'!$C$31</f>
        <v>0</v>
      </c>
      <c r="AO46" s="249"/>
      <c r="AQ46" s="171">
        <f>L46+M46</f>
        <v>376941</v>
      </c>
      <c r="AR46" s="171">
        <f>AF46</f>
        <v>466800</v>
      </c>
      <c r="AS46" s="171">
        <f>AM46+AN46</f>
        <v>0</v>
      </c>
      <c r="AT46" s="171">
        <f>SUM(AQ46,AR46,AS46)</f>
        <v>843741</v>
      </c>
      <c r="AU46" s="250">
        <f>AQ46</f>
        <v>376941</v>
      </c>
      <c r="AV46" s="250"/>
      <c r="AW46" s="250"/>
      <c r="AX46" s="250"/>
      <c r="AY46" s="250"/>
      <c r="AZ46" s="250"/>
      <c r="BA46" s="250"/>
      <c r="BB46" s="251">
        <f t="shared" ref="BB46:BB49" si="37">SUM(AU46:BA46)-AT46</f>
        <v>-466800</v>
      </c>
      <c r="BC46" s="169"/>
      <c r="BD46" s="169"/>
      <c r="BE46" s="169"/>
      <c r="BF46" s="169"/>
    </row>
    <row r="47" spans="1:58" ht="47.25" outlineLevel="2" x14ac:dyDescent="0.25">
      <c r="A47" s="115"/>
      <c r="B47" s="200"/>
      <c r="C47" s="201"/>
      <c r="D47" s="135"/>
      <c r="E47" s="219"/>
      <c r="F47" s="219"/>
      <c r="G47" s="313"/>
      <c r="H47" s="199" t="s">
        <v>307</v>
      </c>
      <c r="I47" s="130"/>
      <c r="J47" s="126"/>
      <c r="K47" s="126"/>
      <c r="L47" s="125" t="str">
        <f>IF(I47&lt;&gt;0,((VLOOKUP(I47,'1. Standard_Cost'!$B$4:$D$11,2)+VLOOKUP(I47,'1. Standard_Cost'!$B$4:$D$11,3))*J47*K47),"0")</f>
        <v>0</v>
      </c>
      <c r="M47" s="125">
        <f>L47*'1. Standard_Cost'!$F$4</f>
        <v>0</v>
      </c>
      <c r="N47" s="126"/>
      <c r="O47" s="126"/>
      <c r="P47" s="126"/>
      <c r="Q47" s="126"/>
      <c r="R47" s="127">
        <f>'1. Standard_Cost'!$B$15*N47*P47</f>
        <v>0</v>
      </c>
      <c r="S47" s="127">
        <f>N47*O47*P47*'1. Standard_Cost'!$C$15</f>
        <v>0</v>
      </c>
      <c r="T47" s="127">
        <f>N47*P47*Q47*'1. Standard_Cost'!$D$15</f>
        <v>0</v>
      </c>
      <c r="U47" s="127">
        <f>N47*O47*'1. Standard_Cost'!$E$15</f>
        <v>0</v>
      </c>
      <c r="V47" s="126"/>
      <c r="W47" s="126"/>
      <c r="X47" s="126"/>
      <c r="Y47" s="127">
        <f>+V47*((X47*'1. Standard_Cost'!$B$19)+(W47*X47*'1. Standard_Cost'!$C$19))</f>
        <v>0</v>
      </c>
      <c r="Z47" s="126"/>
      <c r="AA47" s="126"/>
      <c r="AB47" s="127">
        <f>+Z47*'1. Standard_Cost'!$B$23+AA47*'1. Standard_Cost'!$C$23</f>
        <v>0</v>
      </c>
      <c r="AC47" s="128"/>
      <c r="AD47" s="129"/>
      <c r="AE47" s="127">
        <f>SUM(AD47,AC47,AB47,Y47,U47,T47,S47,R47)*'1. Standard_Cost'!$B$31</f>
        <v>0</v>
      </c>
      <c r="AF47" s="127">
        <f>SUM(AE47,AD47,AC47,AB47,Y47,U47,T47,S47,R47)</f>
        <v>0</v>
      </c>
      <c r="AG47" s="126"/>
      <c r="AH47" s="126"/>
      <c r="AI47" s="126"/>
      <c r="AJ47" s="130"/>
      <c r="AK47" s="130"/>
      <c r="AL47" s="130"/>
      <c r="AM47" s="127">
        <f>AG47*'1. Standard_Cost'!$B$27+'Incremental_Cost Year 3'!AH47*'1. Standard_Cost'!$C$27+'Incremental_Cost Year 3'!AI47*'1. Standard_Cost'!$D$27+'Incremental_Cost Year 3'!AJ47+'Incremental_Cost Year 3'!AL47+AK47</f>
        <v>0</v>
      </c>
      <c r="AN47" s="127">
        <f>AM47*'1. Standard_Cost'!$C$31</f>
        <v>0</v>
      </c>
      <c r="AO47" s="130"/>
      <c r="AQ47" s="171">
        <f>L47+M47</f>
        <v>0</v>
      </c>
      <c r="AR47" s="171">
        <f>AF47</f>
        <v>0</v>
      </c>
      <c r="AS47" s="171">
        <f>AM47+AN47</f>
        <v>0</v>
      </c>
      <c r="AT47" s="171">
        <f>SUM(AQ47,AR47,AS47)</f>
        <v>0</v>
      </c>
      <c r="AU47" s="250"/>
      <c r="AV47" s="250"/>
      <c r="AW47" s="250"/>
      <c r="AX47" s="250"/>
      <c r="AY47" s="250"/>
      <c r="AZ47" s="250"/>
      <c r="BA47" s="250"/>
      <c r="BB47" s="251">
        <f t="shared" si="37"/>
        <v>0</v>
      </c>
      <c r="BC47" s="169"/>
      <c r="BD47" s="169"/>
      <c r="BE47" s="169"/>
      <c r="BF47" s="169"/>
    </row>
    <row r="48" spans="1:58" ht="63" outlineLevel="2" x14ac:dyDescent="0.25">
      <c r="A48" s="115"/>
      <c r="B48" s="200"/>
      <c r="C48" s="201"/>
      <c r="D48" s="135"/>
      <c r="E48" s="219"/>
      <c r="F48" s="219"/>
      <c r="G48" s="313"/>
      <c r="H48" s="199" t="s">
        <v>308</v>
      </c>
      <c r="I48" s="130"/>
      <c r="J48" s="126"/>
      <c r="K48" s="126"/>
      <c r="L48" s="125" t="str">
        <f>IF(I48&lt;&gt;0,((VLOOKUP(I48,'1. Standard_Cost'!$B$4:$D$11,2)+VLOOKUP(I48,'1. Standard_Cost'!$B$4:$D$11,3))*J48*K48),"0")</f>
        <v>0</v>
      </c>
      <c r="M48" s="125">
        <f>L48*'1. Standard_Cost'!$F$4</f>
        <v>0</v>
      </c>
      <c r="N48" s="126"/>
      <c r="O48" s="126"/>
      <c r="P48" s="126"/>
      <c r="Q48" s="126"/>
      <c r="R48" s="127">
        <f>'1. Standard_Cost'!$B$15*N48*P48</f>
        <v>0</v>
      </c>
      <c r="S48" s="127">
        <f>N48*O48*P48*'1. Standard_Cost'!$C$15</f>
        <v>0</v>
      </c>
      <c r="T48" s="127">
        <f>N48*P48*Q48*'1. Standard_Cost'!$D$15</f>
        <v>0</v>
      </c>
      <c r="U48" s="127">
        <f>N48*O48*'1. Standard_Cost'!$E$15</f>
        <v>0</v>
      </c>
      <c r="V48" s="126"/>
      <c r="W48" s="126"/>
      <c r="X48" s="126"/>
      <c r="Y48" s="127">
        <f>+V48*((X48*'1. Standard_Cost'!$B$19)+(W48*X48*'1. Standard_Cost'!$C$19))</f>
        <v>0</v>
      </c>
      <c r="Z48" s="126"/>
      <c r="AA48" s="126"/>
      <c r="AB48" s="127">
        <f>+Z48*'1. Standard_Cost'!$B$23+AA48*'1. Standard_Cost'!$C$23</f>
        <v>0</v>
      </c>
      <c r="AC48" s="128"/>
      <c r="AD48" s="129"/>
      <c r="AE48" s="127">
        <f>SUM(AD48,AC48,AB48,Y48,U48,T48,S48,R48)*'1. Standard_Cost'!$B$31</f>
        <v>0</v>
      </c>
      <c r="AF48" s="127">
        <f>SUM(AE48,AD48,AC48,AB48,Y48,U48,T48,S48,R48)</f>
        <v>0</v>
      </c>
      <c r="AG48" s="126"/>
      <c r="AH48" s="126"/>
      <c r="AI48" s="126"/>
      <c r="AJ48" s="130"/>
      <c r="AK48" s="130"/>
      <c r="AL48" s="130"/>
      <c r="AM48" s="127">
        <f>AG48*'1. Standard_Cost'!$B$27+'Incremental_Cost Year 3'!AH48*'1. Standard_Cost'!$C$27+'Incremental_Cost Year 3'!AI48*'1. Standard_Cost'!$D$27+'Incremental_Cost Year 3'!AJ48+'Incremental_Cost Year 3'!AL48+AK48</f>
        <v>0</v>
      </c>
      <c r="AN48" s="127">
        <f>AM48*'1. Standard_Cost'!$C$31</f>
        <v>0</v>
      </c>
      <c r="AO48" s="249"/>
      <c r="AQ48" s="171">
        <f>L48+M48</f>
        <v>0</v>
      </c>
      <c r="AR48" s="171">
        <f>AF48</f>
        <v>0</v>
      </c>
      <c r="AS48" s="171">
        <f>AM48+AN48</f>
        <v>0</v>
      </c>
      <c r="AT48" s="171">
        <f>SUM(AQ48,AR48,AS48)</f>
        <v>0</v>
      </c>
      <c r="AU48" s="250"/>
      <c r="AV48" s="250"/>
      <c r="AW48" s="250"/>
      <c r="AX48" s="250"/>
      <c r="AY48" s="250"/>
      <c r="AZ48" s="250"/>
      <c r="BA48" s="250"/>
      <c r="BB48" s="251">
        <f t="shared" si="37"/>
        <v>0</v>
      </c>
      <c r="BC48" s="169"/>
      <c r="BD48" s="169"/>
      <c r="BE48" s="169"/>
      <c r="BF48" s="169"/>
    </row>
    <row r="49" spans="1:58" ht="94.5" outlineLevel="2" x14ac:dyDescent="0.25">
      <c r="A49" s="115"/>
      <c r="B49" s="200"/>
      <c r="C49" s="201"/>
      <c r="D49" s="223"/>
      <c r="E49" s="219"/>
      <c r="F49" s="219"/>
      <c r="G49" s="313"/>
      <c r="H49" s="199" t="s">
        <v>398</v>
      </c>
      <c r="I49" s="130"/>
      <c r="J49" s="126"/>
      <c r="K49" s="126"/>
      <c r="L49" s="125" t="str">
        <f>IF(I49&lt;&gt;0,((VLOOKUP(I49,'1. Standard_Cost'!$B$4:$D$11,2)+VLOOKUP(I49,'1. Standard_Cost'!$B$4:$D$11,3))*J49*K49),"0")</f>
        <v>0</v>
      </c>
      <c r="M49" s="125">
        <f>L49*'1. Standard_Cost'!$F$4</f>
        <v>0</v>
      </c>
      <c r="N49" s="126"/>
      <c r="O49" s="126"/>
      <c r="P49" s="126"/>
      <c r="Q49" s="126"/>
      <c r="R49" s="127">
        <f>'1. Standard_Cost'!$B$15*N49*P49</f>
        <v>0</v>
      </c>
      <c r="S49" s="127">
        <f>N49*O49*P49*'1. Standard_Cost'!$C$15</f>
        <v>0</v>
      </c>
      <c r="T49" s="127">
        <f>N49*P49*Q49*'1. Standard_Cost'!$D$15</f>
        <v>0</v>
      </c>
      <c r="U49" s="127">
        <f>N49*O49*'1. Standard_Cost'!$E$15</f>
        <v>0</v>
      </c>
      <c r="V49" s="126"/>
      <c r="W49" s="126"/>
      <c r="X49" s="126"/>
      <c r="Y49" s="127">
        <f>+V49*((X49*'1. Standard_Cost'!$B$19)+(W49*X49*'1. Standard_Cost'!$C$19))</f>
        <v>0</v>
      </c>
      <c r="Z49" s="126"/>
      <c r="AA49" s="126"/>
      <c r="AB49" s="127">
        <f>+Z49*'1. Standard_Cost'!$B$23+AA49*'1. Standard_Cost'!$C$23</f>
        <v>0</v>
      </c>
      <c r="AC49" s="128">
        <v>0</v>
      </c>
      <c r="AD49" s="129"/>
      <c r="AE49" s="127">
        <f>SUM(AD49,AC49,AB49,Y49,U49,T49,S49,R49)*'1. Standard_Cost'!$B$31</f>
        <v>0</v>
      </c>
      <c r="AF49" s="127">
        <f>SUM(AE49,AD49,AC49,AB49,Y49,U49,T49,S49,R49)</f>
        <v>0</v>
      </c>
      <c r="AG49" s="126"/>
      <c r="AH49" s="126"/>
      <c r="AI49" s="126"/>
      <c r="AJ49" s="130"/>
      <c r="AK49" s="130"/>
      <c r="AL49" s="130"/>
      <c r="AM49" s="127">
        <f>AG49*'1. Standard_Cost'!$B$27+'Incremental_Cost Year 3'!AH49*'1. Standard_Cost'!$C$27+'Incremental_Cost Year 3'!AI49*'1. Standard_Cost'!$D$27+'Incremental_Cost Year 3'!AJ49+'Incremental_Cost Year 3'!AL49+AK49</f>
        <v>0</v>
      </c>
      <c r="AN49" s="127">
        <f>AM49*'1. Standard_Cost'!$C$31</f>
        <v>0</v>
      </c>
      <c r="AO49" s="130"/>
      <c r="AQ49" s="171">
        <f>L49+M49</f>
        <v>0</v>
      </c>
      <c r="AR49" s="171">
        <f>AF49</f>
        <v>0</v>
      </c>
      <c r="AS49" s="171">
        <f>AM49+AN49</f>
        <v>0</v>
      </c>
      <c r="AT49" s="171">
        <f>SUM(AQ49,AR49,AS49)</f>
        <v>0</v>
      </c>
      <c r="AU49" s="250"/>
      <c r="AV49" s="250"/>
      <c r="AW49" s="250"/>
      <c r="AX49" s="250"/>
      <c r="AY49" s="250"/>
      <c r="AZ49" s="250"/>
      <c r="BA49" s="250"/>
      <c r="BB49" s="251">
        <f t="shared" si="37"/>
        <v>0</v>
      </c>
      <c r="BC49" s="169"/>
      <c r="BD49" s="169"/>
      <c r="BE49" s="169"/>
      <c r="BF49" s="169"/>
    </row>
    <row r="50" spans="1:58" ht="47.25" outlineLevel="1" x14ac:dyDescent="0.25">
      <c r="A50" s="115"/>
      <c r="B50" s="165"/>
      <c r="C50" s="166"/>
      <c r="D50" s="107" t="s">
        <v>388</v>
      </c>
      <c r="E50" s="139" t="s">
        <v>211</v>
      </c>
      <c r="F50" s="222">
        <v>2021</v>
      </c>
      <c r="G50" s="117">
        <v>2023</v>
      </c>
      <c r="H50" s="134" t="s">
        <v>212</v>
      </c>
      <c r="I50" s="252"/>
      <c r="J50" s="252"/>
      <c r="K50" s="252"/>
      <c r="L50" s="127">
        <f>SUM(L46:L49)</f>
        <v>323000</v>
      </c>
      <c r="M50" s="127">
        <f>SUM(M46:M49)</f>
        <v>53941</v>
      </c>
      <c r="N50" s="127"/>
      <c r="O50" s="252"/>
      <c r="P50" s="252"/>
      <c r="Q50" s="252"/>
      <c r="R50" s="127">
        <f>SUM(R46:R49)</f>
        <v>0</v>
      </c>
      <c r="S50" s="127">
        <f>SUM(S46:S49)</f>
        <v>0</v>
      </c>
      <c r="T50" s="127">
        <f>SUM(T46:T49)</f>
        <v>0</v>
      </c>
      <c r="U50" s="127">
        <f>SUM(U46:U49)</f>
        <v>0</v>
      </c>
      <c r="V50" s="252"/>
      <c r="W50" s="252"/>
      <c r="X50" s="252"/>
      <c r="Y50" s="127">
        <f>SUM(Y46:Y49)</f>
        <v>0</v>
      </c>
      <c r="Z50" s="252"/>
      <c r="AA50" s="252"/>
      <c r="AB50" s="127">
        <f>SUM(AB46:AB49)</f>
        <v>380000</v>
      </c>
      <c r="AC50" s="127">
        <f>SUM(AC46:AC49)</f>
        <v>9000</v>
      </c>
      <c r="AD50" s="127">
        <f>SUM(AD46:AD49)</f>
        <v>0</v>
      </c>
      <c r="AE50" s="127">
        <f>SUM(AE46:AE49)</f>
        <v>77800</v>
      </c>
      <c r="AF50" s="127">
        <f>SUM(AF46:AF49)</f>
        <v>466800</v>
      </c>
      <c r="AG50" s="252"/>
      <c r="AH50" s="252"/>
      <c r="AI50" s="252"/>
      <c r="AJ50" s="127">
        <f>SUM(AJ46:AJ49)</f>
        <v>0</v>
      </c>
      <c r="AK50" s="127">
        <f>SUM(AK46:AK49)</f>
        <v>0</v>
      </c>
      <c r="AL50" s="127">
        <f>SUM(AL46:AL49)</f>
        <v>0</v>
      </c>
      <c r="AM50" s="127">
        <f>SUM(AM46:AM49)</f>
        <v>0</v>
      </c>
      <c r="AN50" s="127">
        <f>SUM(AN46:AN49)</f>
        <v>0</v>
      </c>
      <c r="AO50" s="253"/>
      <c r="AP50" s="254"/>
      <c r="AQ50" s="175">
        <f>SUM(AQ46:AQ49)</f>
        <v>376941</v>
      </c>
      <c r="AR50" s="175">
        <f>SUM(AR46:AR49)</f>
        <v>466800</v>
      </c>
      <c r="AS50" s="175">
        <f>SUM(AS46:AS49)</f>
        <v>0</v>
      </c>
      <c r="AT50" s="175">
        <f>SUM(AT46:AT49)</f>
        <v>843741</v>
      </c>
      <c r="AU50" s="175">
        <f t="shared" ref="AU50:BB50" si="38">SUM(AU46:AU49)</f>
        <v>376941</v>
      </c>
      <c r="AV50" s="175">
        <f t="shared" si="38"/>
        <v>0</v>
      </c>
      <c r="AW50" s="175">
        <f t="shared" si="38"/>
        <v>0</v>
      </c>
      <c r="AX50" s="175">
        <f t="shared" si="38"/>
        <v>0</v>
      </c>
      <c r="AY50" s="175">
        <f t="shared" si="38"/>
        <v>0</v>
      </c>
      <c r="AZ50" s="175">
        <f t="shared" si="38"/>
        <v>0</v>
      </c>
      <c r="BA50" s="175">
        <f t="shared" si="38"/>
        <v>0</v>
      </c>
      <c r="BB50" s="175">
        <f t="shared" si="38"/>
        <v>-466800</v>
      </c>
      <c r="BC50" s="169"/>
      <c r="BD50" s="169"/>
      <c r="BE50" s="169"/>
      <c r="BF50" s="169"/>
    </row>
    <row r="51" spans="1:58" ht="94.5" outlineLevel="2" x14ac:dyDescent="0.25">
      <c r="A51" s="115"/>
      <c r="B51" s="200"/>
      <c r="C51" s="201"/>
      <c r="D51" s="138"/>
      <c r="E51" s="295"/>
      <c r="F51" s="295"/>
      <c r="G51" s="296"/>
      <c r="H51" s="199" t="s">
        <v>399</v>
      </c>
      <c r="I51" s="130" t="s">
        <v>4</v>
      </c>
      <c r="J51" s="126">
        <v>1</v>
      </c>
      <c r="K51" s="126">
        <v>3</v>
      </c>
      <c r="L51" s="125">
        <f>IF(I51&lt;&gt;0,((VLOOKUP(I51,'1. Standard_Cost'!$B$4:$D$11,2)+VLOOKUP(I51,'1. Standard_Cost'!$B$4:$D$11,3))*J51*K51),"0")</f>
        <v>242250</v>
      </c>
      <c r="M51" s="125">
        <f>L51*'1. Standard_Cost'!$F$4</f>
        <v>40455.75</v>
      </c>
      <c r="N51" s="126"/>
      <c r="O51" s="126"/>
      <c r="P51" s="126"/>
      <c r="Q51" s="126"/>
      <c r="R51" s="127">
        <f>'1. Standard_Cost'!$B$15*N51*P51</f>
        <v>0</v>
      </c>
      <c r="S51" s="127">
        <f>N51*O51*P51*'1. Standard_Cost'!$C$15</f>
        <v>0</v>
      </c>
      <c r="T51" s="127">
        <f>N51*P51*Q51*'1. Standard_Cost'!$D$15</f>
        <v>0</v>
      </c>
      <c r="U51" s="127">
        <f>N51*O51*'1. Standard_Cost'!$E$15</f>
        <v>0</v>
      </c>
      <c r="V51" s="126"/>
      <c r="W51" s="126"/>
      <c r="X51" s="126"/>
      <c r="Y51" s="127">
        <f>+V51*((X51*'1. Standard_Cost'!$B$19)+(W51*X51*'1. Standard_Cost'!$C$19))</f>
        <v>0</v>
      </c>
      <c r="Z51" s="126"/>
      <c r="AA51" s="126">
        <v>60</v>
      </c>
      <c r="AB51" s="127">
        <f>+Z51*'1. Standard_Cost'!$B$23+AA51*'1. Standard_Cost'!$C$23</f>
        <v>1140000</v>
      </c>
      <c r="AC51" s="128">
        <f>2*10*300+15000</f>
        <v>21000</v>
      </c>
      <c r="AD51" s="129"/>
      <c r="AE51" s="127">
        <f>SUM(AD51,AC51,AB51,Y51,U51,T51,S51,R51)*'1. Standard_Cost'!$B$31</f>
        <v>232200</v>
      </c>
      <c r="AF51" s="127">
        <f>SUM(AE51,AD51,AC51,AB51,Y51,U51,T51,S51,R51)</f>
        <v>1393200</v>
      </c>
      <c r="AG51" s="126"/>
      <c r="AH51" s="126"/>
      <c r="AI51" s="126"/>
      <c r="AJ51" s="130"/>
      <c r="AK51" s="130"/>
      <c r="AL51" s="130"/>
      <c r="AM51" s="127">
        <f>AG51*'1. Standard_Cost'!$B$27+'Incremental_Cost Year 3'!AH51*'1. Standard_Cost'!$C$27+'Incremental_Cost Year 3'!AI51*'1. Standard_Cost'!$D$27+'Incremental_Cost Year 3'!AJ51+'Incremental_Cost Year 3'!AL51+AK51</f>
        <v>0</v>
      </c>
      <c r="AN51" s="127">
        <f>AM51*'1. Standard_Cost'!$C$31</f>
        <v>0</v>
      </c>
      <c r="AO51" s="249"/>
      <c r="AQ51" s="171">
        <f>L51+M51</f>
        <v>282705.75</v>
      </c>
      <c r="AR51" s="171">
        <f>AF51</f>
        <v>1393200</v>
      </c>
      <c r="AS51" s="171">
        <f>AM51+AN51</f>
        <v>0</v>
      </c>
      <c r="AT51" s="171">
        <f>SUM(AQ51,AR51,AS51)</f>
        <v>1675905.75</v>
      </c>
      <c r="AU51" s="250">
        <f>AQ51</f>
        <v>282705.75</v>
      </c>
      <c r="AV51" s="250"/>
      <c r="AW51" s="250"/>
      <c r="AX51" s="250"/>
      <c r="AY51" s="250">
        <f>AR51</f>
        <v>1393200</v>
      </c>
      <c r="AZ51" s="250"/>
      <c r="BA51" s="250"/>
      <c r="BB51" s="251">
        <f t="shared" ref="BB51:BB55" si="39">SUM(AU51:BA51)-AT51</f>
        <v>0</v>
      </c>
      <c r="BC51" s="169"/>
      <c r="BD51" s="169"/>
      <c r="BE51" s="169"/>
      <c r="BF51" s="169"/>
    </row>
    <row r="52" spans="1:58" ht="63" outlineLevel="2" x14ac:dyDescent="0.25">
      <c r="A52" s="115"/>
      <c r="B52" s="200"/>
      <c r="C52" s="201"/>
      <c r="D52" s="135"/>
      <c r="E52" s="219"/>
      <c r="F52" s="219"/>
      <c r="G52" s="313"/>
      <c r="H52" s="213" t="s">
        <v>400</v>
      </c>
      <c r="I52" s="130" t="s">
        <v>1</v>
      </c>
      <c r="J52" s="126">
        <v>12</v>
      </c>
      <c r="K52" s="126">
        <f>416*3</f>
        <v>1248</v>
      </c>
      <c r="L52" s="125">
        <f>IF(I52&lt;&gt;0,((VLOOKUP(I52,'1. Standard_Cost'!$B$4:$D$11,2)+VLOOKUP(I52,'1. Standard_Cost'!$B$4:$D$11,3))*J52*K52),"0")</f>
        <v>1075169828.5714285</v>
      </c>
      <c r="M52" s="125">
        <f>L52*'1. Standard_Cost'!$F$4</f>
        <v>179553361.37142858</v>
      </c>
      <c r="N52" s="126"/>
      <c r="O52" s="126"/>
      <c r="P52" s="126"/>
      <c r="Q52" s="126"/>
      <c r="R52" s="127">
        <f>'1. Standard_Cost'!$B$15*N52*P52</f>
        <v>0</v>
      </c>
      <c r="S52" s="127">
        <f>N52*O52*P52*'1. Standard_Cost'!$C$15</f>
        <v>0</v>
      </c>
      <c r="T52" s="127">
        <f>N52*P52*Q52*'1. Standard_Cost'!$D$15</f>
        <v>0</v>
      </c>
      <c r="U52" s="127">
        <f>N52*O52*'1. Standard_Cost'!$E$15</f>
        <v>0</v>
      </c>
      <c r="V52" s="126"/>
      <c r="W52" s="126"/>
      <c r="X52" s="126"/>
      <c r="Y52" s="127">
        <f>+V52*((X52*'1. Standard_Cost'!$B$19)+(W52*X52*'1. Standard_Cost'!$C$19))</f>
        <v>0</v>
      </c>
      <c r="Z52" s="126"/>
      <c r="AA52" s="126"/>
      <c r="AB52" s="127">
        <f>+Z52*'1. Standard_Cost'!$B$23+AA52*'1. Standard_Cost'!$C$23</f>
        <v>0</v>
      </c>
      <c r="AC52" s="128">
        <f>100000/12*3*402</f>
        <v>10050000</v>
      </c>
      <c r="AD52" s="129"/>
      <c r="AE52" s="127">
        <f>SUM(AD52,AC52,AB52,Y52,U52,T52,S52,R52)*'1. Standard_Cost'!$B$31</f>
        <v>2010000</v>
      </c>
      <c r="AF52" s="127">
        <f>SUM(AE52,AD52,AC52,AB52,Y52,U52,T52,S52,R52)</f>
        <v>12060000</v>
      </c>
      <c r="AG52" s="126"/>
      <c r="AH52" s="126"/>
      <c r="AI52" s="126"/>
      <c r="AJ52" s="130"/>
      <c r="AK52" s="130"/>
      <c r="AL52" s="130"/>
      <c r="AM52" s="127">
        <f>AG52*'1. Standard_Cost'!$B$27+'Incremental_Cost Year 3'!AH52*'1. Standard_Cost'!$C$27+'Incremental_Cost Year 3'!AI52*'1. Standard_Cost'!$D$27+'Incremental_Cost Year 3'!AJ52+'Incremental_Cost Year 3'!AL52+AK52</f>
        <v>0</v>
      </c>
      <c r="AN52" s="127">
        <f>AM52*'1. Standard_Cost'!$C$31</f>
        <v>0</v>
      </c>
      <c r="AO52" s="130"/>
      <c r="AQ52" s="171">
        <f>L52+M52</f>
        <v>1254723189.942857</v>
      </c>
      <c r="AR52" s="171">
        <f>AF52</f>
        <v>12060000</v>
      </c>
      <c r="AS52" s="171">
        <f>AM52+AN52</f>
        <v>0</v>
      </c>
      <c r="AT52" s="171">
        <f>SUM(AQ52,AR52,AS52)</f>
        <v>1266783189.942857</v>
      </c>
      <c r="AU52" s="250">
        <f>AT52</f>
        <v>1266783189.942857</v>
      </c>
      <c r="AV52" s="250"/>
      <c r="AW52" s="250"/>
      <c r="AX52" s="250"/>
      <c r="AY52" s="250"/>
      <c r="AZ52" s="250"/>
      <c r="BA52" s="250"/>
      <c r="BB52" s="251">
        <f t="shared" si="39"/>
        <v>0</v>
      </c>
      <c r="BC52" s="169"/>
      <c r="BD52" s="169"/>
      <c r="BE52" s="169"/>
      <c r="BF52" s="169"/>
    </row>
    <row r="53" spans="1:58" ht="94.5" outlineLevel="2" x14ac:dyDescent="0.25">
      <c r="A53" s="115"/>
      <c r="B53" s="200"/>
      <c r="C53" s="201"/>
      <c r="D53" s="135"/>
      <c r="E53" s="219"/>
      <c r="F53" s="219"/>
      <c r="G53" s="313"/>
      <c r="H53" s="199" t="s">
        <v>227</v>
      </c>
      <c r="I53" s="130" t="s">
        <v>3</v>
      </c>
      <c r="J53" s="126">
        <v>6</v>
      </c>
      <c r="K53" s="126">
        <v>1</v>
      </c>
      <c r="L53" s="125">
        <f>IF(I53&lt;&gt;0,((VLOOKUP(I53,'1. Standard_Cost'!$B$4:$D$11,2)+VLOOKUP(I53,'1. Standard_Cost'!$B$4:$D$11,3))*J53*K53),"0")</f>
        <v>604800</v>
      </c>
      <c r="M53" s="125">
        <f>L53*'1. Standard_Cost'!$F$4</f>
        <v>101001.60000000001</v>
      </c>
      <c r="N53" s="126"/>
      <c r="O53" s="126"/>
      <c r="P53" s="126"/>
      <c r="Q53" s="126"/>
      <c r="R53" s="127">
        <f>'1. Standard_Cost'!$B$15*N53*P53</f>
        <v>0</v>
      </c>
      <c r="S53" s="127">
        <f>N53*O53*P53*'1. Standard_Cost'!$C$15</f>
        <v>0</v>
      </c>
      <c r="T53" s="127">
        <f>N53*P53*Q53*'1. Standard_Cost'!$D$15</f>
        <v>0</v>
      </c>
      <c r="U53" s="127">
        <f>N53*O53*'1. Standard_Cost'!$E$15</f>
        <v>0</v>
      </c>
      <c r="V53" s="126"/>
      <c r="W53" s="126"/>
      <c r="X53" s="126"/>
      <c r="Y53" s="127">
        <f>+V53*((X53*'1. Standard_Cost'!$B$19)+(W53*X53*'1. Standard_Cost'!$C$19))</f>
        <v>0</v>
      </c>
      <c r="Z53" s="126"/>
      <c r="AA53" s="126"/>
      <c r="AB53" s="127">
        <f>+Z53*'1. Standard_Cost'!$B$23+AA53*'1. Standard_Cost'!$C$23</f>
        <v>0</v>
      </c>
      <c r="AC53" s="128"/>
      <c r="AD53" s="129"/>
      <c r="AE53" s="127">
        <f>SUM(AD53,AC53,AB53,Y53,U53,T53,S53,R53)*'1. Standard_Cost'!$B$31</f>
        <v>0</v>
      </c>
      <c r="AF53" s="127">
        <f>SUM(AE53,AD53,AC53,AB53,Y53,U53,T53,S53,R53)</f>
        <v>0</v>
      </c>
      <c r="AG53" s="126"/>
      <c r="AH53" s="126"/>
      <c r="AI53" s="126"/>
      <c r="AJ53" s="130"/>
      <c r="AK53" s="130"/>
      <c r="AL53" s="130"/>
      <c r="AM53" s="127">
        <f>AG53*'1. Standard_Cost'!$B$27+'Incremental_Cost Year 3'!AH53*'1. Standard_Cost'!$C$27+'Incremental_Cost Year 3'!AI53*'1. Standard_Cost'!$D$27+'Incremental_Cost Year 3'!AJ53+'Incremental_Cost Year 3'!AL53+AK53</f>
        <v>0</v>
      </c>
      <c r="AN53" s="127">
        <f>AM53*'1. Standard_Cost'!$C$31</f>
        <v>0</v>
      </c>
      <c r="AO53" s="130"/>
      <c r="AQ53" s="171">
        <f>L53+M53</f>
        <v>705801.6</v>
      </c>
      <c r="AR53" s="171">
        <f>AF53</f>
        <v>0</v>
      </c>
      <c r="AS53" s="171">
        <f>AM53+AN53</f>
        <v>0</v>
      </c>
      <c r="AT53" s="171">
        <f>SUM(AQ53,AR53,AS53)</f>
        <v>705801.6</v>
      </c>
      <c r="AU53" s="250">
        <f>AQ53</f>
        <v>705801.6</v>
      </c>
      <c r="AV53" s="250"/>
      <c r="AW53" s="250"/>
      <c r="AX53" s="250"/>
      <c r="AY53" s="250"/>
      <c r="AZ53" s="250"/>
      <c r="BA53" s="250"/>
      <c r="BB53" s="251">
        <f t="shared" si="39"/>
        <v>0</v>
      </c>
      <c r="BC53" s="169"/>
      <c r="BD53" s="169"/>
      <c r="BE53" s="169"/>
      <c r="BF53" s="169"/>
    </row>
    <row r="54" spans="1:58" ht="78.75" outlineLevel="2" x14ac:dyDescent="0.25">
      <c r="A54" s="115"/>
      <c r="B54" s="200"/>
      <c r="C54" s="201"/>
      <c r="D54" s="135"/>
      <c r="E54" s="219"/>
      <c r="F54" s="219"/>
      <c r="G54" s="313"/>
      <c r="H54" s="199" t="s">
        <v>228</v>
      </c>
      <c r="I54" s="130" t="s">
        <v>5</v>
      </c>
      <c r="J54" s="126">
        <v>0.2</v>
      </c>
      <c r="K54" s="126">
        <v>1</v>
      </c>
      <c r="L54" s="125">
        <f>IF(I54&lt;&gt;0,((VLOOKUP(I54,'1. Standard_Cost'!$B$4:$D$11,2)+VLOOKUP(I54,'1. Standard_Cost'!$B$4:$D$11,3))*J54*K54),"0")</f>
        <v>14140</v>
      </c>
      <c r="M54" s="125">
        <f>L54*'1. Standard_Cost'!$F$4</f>
        <v>2361.38</v>
      </c>
      <c r="N54" s="126"/>
      <c r="O54" s="126"/>
      <c r="P54" s="126"/>
      <c r="Q54" s="126"/>
      <c r="R54" s="127">
        <f>'1. Standard_Cost'!$B$15*N54*P54</f>
        <v>0</v>
      </c>
      <c r="S54" s="127">
        <f>N54*O54*P54*'1. Standard_Cost'!$C$15</f>
        <v>0</v>
      </c>
      <c r="T54" s="127">
        <f>N54*P54*Q54*'1. Standard_Cost'!$D$15</f>
        <v>0</v>
      </c>
      <c r="U54" s="127">
        <f>N54*O54*'1. Standard_Cost'!$E$15</f>
        <v>0</v>
      </c>
      <c r="V54" s="126"/>
      <c r="W54" s="126"/>
      <c r="X54" s="126"/>
      <c r="Y54" s="127">
        <f>+V54*((X54*'1. Standard_Cost'!$B$19)+(W54*X54*'1. Standard_Cost'!$C$19))</f>
        <v>0</v>
      </c>
      <c r="Z54" s="126"/>
      <c r="AA54" s="126"/>
      <c r="AB54" s="127">
        <f>+Z54*'1. Standard_Cost'!$B$23+AA54*'1. Standard_Cost'!$C$23</f>
        <v>0</v>
      </c>
      <c r="AC54" s="128"/>
      <c r="AD54" s="129"/>
      <c r="AE54" s="127">
        <f>SUM(AD54,AC54,AB54,Y54,U54,T54,S54,R54)*'1. Standard_Cost'!$B$31</f>
        <v>0</v>
      </c>
      <c r="AF54" s="127">
        <f>SUM(AE54,AD54,AC54,AB54,Y54,U54,T54,S54,R54)</f>
        <v>0</v>
      </c>
      <c r="AG54" s="126"/>
      <c r="AH54" s="126"/>
      <c r="AI54" s="126"/>
      <c r="AJ54" s="130"/>
      <c r="AK54" s="130"/>
      <c r="AL54" s="130"/>
      <c r="AM54" s="127">
        <f>AG54*'1. Standard_Cost'!$B$27+'Incremental_Cost Year 3'!AH54*'1. Standard_Cost'!$C$27+'Incremental_Cost Year 3'!AI54*'1. Standard_Cost'!$D$27+'Incremental_Cost Year 3'!AJ54+'Incremental_Cost Year 3'!AL54+AK54</f>
        <v>0</v>
      </c>
      <c r="AN54" s="127">
        <f>AM54*'1. Standard_Cost'!$C$31</f>
        <v>0</v>
      </c>
      <c r="AO54" s="130"/>
      <c r="AQ54" s="171">
        <f>L54+M54</f>
        <v>16501.38</v>
      </c>
      <c r="AR54" s="171">
        <f>AF54</f>
        <v>0</v>
      </c>
      <c r="AS54" s="171">
        <f>AM54+AN54</f>
        <v>0</v>
      </c>
      <c r="AT54" s="171">
        <f>SUM(AQ54,AR54,AS54)</f>
        <v>16501.38</v>
      </c>
      <c r="AU54" s="250">
        <f>AQ54</f>
        <v>16501.38</v>
      </c>
      <c r="AV54" s="250"/>
      <c r="AW54" s="250"/>
      <c r="AX54" s="250"/>
      <c r="AY54" s="250"/>
      <c r="AZ54" s="250"/>
      <c r="BA54" s="250"/>
      <c r="BB54" s="251">
        <f t="shared" si="39"/>
        <v>0</v>
      </c>
      <c r="BC54" s="169"/>
      <c r="BD54" s="169"/>
      <c r="BE54" s="169"/>
      <c r="BF54" s="169"/>
    </row>
    <row r="55" spans="1:58" ht="63" outlineLevel="2" x14ac:dyDescent="0.25">
      <c r="A55" s="115"/>
      <c r="B55" s="200"/>
      <c r="C55" s="201"/>
      <c r="D55" s="223"/>
      <c r="E55" s="219"/>
      <c r="F55" s="219"/>
      <c r="G55" s="313"/>
      <c r="H55" s="199" t="s">
        <v>229</v>
      </c>
      <c r="I55" s="130" t="s">
        <v>3</v>
      </c>
      <c r="J55" s="126">
        <v>1</v>
      </c>
      <c r="K55" s="126">
        <v>1</v>
      </c>
      <c r="L55" s="125">
        <f>IF(I55&lt;&gt;0,((VLOOKUP(I55,'1. Standard_Cost'!$B$4:$D$11,2)+VLOOKUP(I55,'1. Standard_Cost'!$B$4:$D$11,3))*J55*K55),"0")</f>
        <v>100800</v>
      </c>
      <c r="M55" s="125">
        <f>L55*'1. Standard_Cost'!$F$4</f>
        <v>16833.600000000002</v>
      </c>
      <c r="N55" s="126"/>
      <c r="O55" s="126"/>
      <c r="P55" s="126"/>
      <c r="Q55" s="126"/>
      <c r="R55" s="127">
        <f>'1. Standard_Cost'!$B$15*N55*P55</f>
        <v>0</v>
      </c>
      <c r="S55" s="127">
        <f>N55*O55*P55*'1. Standard_Cost'!$C$15</f>
        <v>0</v>
      </c>
      <c r="T55" s="127">
        <f>N55*P55*Q55*'1. Standard_Cost'!$D$15</f>
        <v>0</v>
      </c>
      <c r="U55" s="127">
        <f>N55*O55*'1. Standard_Cost'!$E$15</f>
        <v>0</v>
      </c>
      <c r="V55" s="126"/>
      <c r="W55" s="126"/>
      <c r="X55" s="126"/>
      <c r="Y55" s="127">
        <f>+V55*((X55*'1. Standard_Cost'!$B$19)+(W55*X55*'1. Standard_Cost'!$C$19))</f>
        <v>0</v>
      </c>
      <c r="Z55" s="126"/>
      <c r="AA55" s="126"/>
      <c r="AB55" s="127">
        <f>+Z55*'1. Standard_Cost'!$B$23+AA55*'1. Standard_Cost'!$C$23</f>
        <v>0</v>
      </c>
      <c r="AC55" s="128"/>
      <c r="AD55" s="129"/>
      <c r="AE55" s="127">
        <f>SUM(AD55,AC55,AB55,Y55,U55,T55,S55,R55)*'1. Standard_Cost'!$B$31</f>
        <v>0</v>
      </c>
      <c r="AF55" s="127">
        <f>SUM(AE55,AD55,AC55,AB55,Y55,U55,T55,S55,R55)</f>
        <v>0</v>
      </c>
      <c r="AG55" s="126"/>
      <c r="AH55" s="126"/>
      <c r="AI55" s="126"/>
      <c r="AJ55" s="130"/>
      <c r="AK55" s="130"/>
      <c r="AL55" s="130"/>
      <c r="AM55" s="127">
        <f>AG55*'1. Standard_Cost'!$B$27+'Incremental_Cost Year 3'!AH55*'1. Standard_Cost'!$C$27+'Incremental_Cost Year 3'!AI55*'1. Standard_Cost'!$D$27+'Incremental_Cost Year 3'!AJ55+'Incremental_Cost Year 3'!AL55+AK55</f>
        <v>0</v>
      </c>
      <c r="AN55" s="127">
        <f>AM55*'1. Standard_Cost'!$C$31</f>
        <v>0</v>
      </c>
      <c r="AO55" s="130"/>
      <c r="AQ55" s="171">
        <f>L55+M55</f>
        <v>117633.60000000001</v>
      </c>
      <c r="AR55" s="171">
        <f>AF55</f>
        <v>0</v>
      </c>
      <c r="AS55" s="171">
        <f>AM55+AN55</f>
        <v>0</v>
      </c>
      <c r="AT55" s="171">
        <f>SUM(AQ55,AR55,AS55)</f>
        <v>117633.60000000001</v>
      </c>
      <c r="AU55" s="250">
        <f>AQ55</f>
        <v>117633.60000000001</v>
      </c>
      <c r="AV55" s="250"/>
      <c r="AW55" s="250"/>
      <c r="AX55" s="250"/>
      <c r="AY55" s="250"/>
      <c r="AZ55" s="250"/>
      <c r="BA55" s="250"/>
      <c r="BB55" s="251">
        <f t="shared" si="39"/>
        <v>0</v>
      </c>
      <c r="BC55" s="169"/>
      <c r="BD55" s="169"/>
      <c r="BE55" s="169"/>
      <c r="BF55" s="169"/>
    </row>
    <row r="56" spans="1:58" ht="94.5" outlineLevel="1" x14ac:dyDescent="0.25">
      <c r="A56" s="115"/>
      <c r="B56" s="165"/>
      <c r="C56" s="166"/>
      <c r="D56" s="107" t="s">
        <v>401</v>
      </c>
      <c r="E56" s="139" t="s">
        <v>214</v>
      </c>
      <c r="F56" s="222">
        <v>2021</v>
      </c>
      <c r="G56" s="117">
        <v>2030</v>
      </c>
      <c r="H56" s="134" t="s">
        <v>215</v>
      </c>
      <c r="I56" s="252"/>
      <c r="J56" s="252"/>
      <c r="K56" s="252"/>
      <c r="L56" s="127">
        <f>SUM(L51:L55)</f>
        <v>1076131818.5714285</v>
      </c>
      <c r="M56" s="127">
        <f>SUM(M51:M55)</f>
        <v>179714013.70142856</v>
      </c>
      <c r="N56" s="127"/>
      <c r="O56" s="252"/>
      <c r="P56" s="252"/>
      <c r="Q56" s="252"/>
      <c r="R56" s="127">
        <f>SUM(R51:R55)</f>
        <v>0</v>
      </c>
      <c r="S56" s="127">
        <f>SUM(S51:S55)</f>
        <v>0</v>
      </c>
      <c r="T56" s="127">
        <f>SUM(T51:T55)</f>
        <v>0</v>
      </c>
      <c r="U56" s="127">
        <f>SUM(U51:U55)</f>
        <v>0</v>
      </c>
      <c r="V56" s="252"/>
      <c r="W56" s="252"/>
      <c r="X56" s="252"/>
      <c r="Y56" s="127">
        <f>SUM(Y51:Y55)</f>
        <v>0</v>
      </c>
      <c r="Z56" s="252"/>
      <c r="AA56" s="252"/>
      <c r="AB56" s="127">
        <f>SUM(AB51:AB55)</f>
        <v>1140000</v>
      </c>
      <c r="AC56" s="127">
        <f>SUM(AC51:AC55)</f>
        <v>10071000</v>
      </c>
      <c r="AD56" s="127">
        <f>SUM(AD51:AD55)</f>
        <v>0</v>
      </c>
      <c r="AE56" s="127">
        <f>SUM(AE51:AE55)</f>
        <v>2242200</v>
      </c>
      <c r="AF56" s="127">
        <f>SUM(AF51:AF55)</f>
        <v>13453200</v>
      </c>
      <c r="AG56" s="252"/>
      <c r="AH56" s="252"/>
      <c r="AI56" s="252"/>
      <c r="AJ56" s="127">
        <f>SUM(AJ51:AJ55)</f>
        <v>0</v>
      </c>
      <c r="AK56" s="127">
        <f>SUM(AK51:AK55)</f>
        <v>0</v>
      </c>
      <c r="AL56" s="127">
        <f>SUM(AL51:AL55)</f>
        <v>0</v>
      </c>
      <c r="AM56" s="127">
        <f>SUM(AM51:AM55)</f>
        <v>0</v>
      </c>
      <c r="AN56" s="127">
        <f>SUM(AN51:AN55)</f>
        <v>0</v>
      </c>
      <c r="AO56" s="253"/>
      <c r="AP56" s="254"/>
      <c r="AQ56" s="175">
        <f>SUM(AQ51:AQ55)</f>
        <v>1255845832.272857</v>
      </c>
      <c r="AR56" s="175">
        <f>SUM(AR51:AR55)</f>
        <v>13453200</v>
      </c>
      <c r="AS56" s="175">
        <f>SUM(AS51:AS55)</f>
        <v>0</v>
      </c>
      <c r="AT56" s="175">
        <f>SUM(AT51:AT55)</f>
        <v>1269299032.272857</v>
      </c>
      <c r="AU56" s="175">
        <f t="shared" ref="AU56:BB56" si="40">SUM(AU51:AU55)</f>
        <v>1267905832.272857</v>
      </c>
      <c r="AV56" s="175">
        <f t="shared" si="40"/>
        <v>0</v>
      </c>
      <c r="AW56" s="175">
        <f t="shared" si="40"/>
        <v>0</v>
      </c>
      <c r="AX56" s="175">
        <f t="shared" si="40"/>
        <v>0</v>
      </c>
      <c r="AY56" s="175">
        <f t="shared" si="40"/>
        <v>1393200</v>
      </c>
      <c r="AZ56" s="175">
        <f t="shared" si="40"/>
        <v>0</v>
      </c>
      <c r="BA56" s="175">
        <f t="shared" si="40"/>
        <v>0</v>
      </c>
      <c r="BB56" s="175">
        <f t="shared" si="40"/>
        <v>0</v>
      </c>
      <c r="BC56" s="169"/>
      <c r="BD56" s="169"/>
      <c r="BE56" s="169"/>
      <c r="BF56" s="169"/>
    </row>
    <row r="57" spans="1:58" ht="110.25" outlineLevel="2" x14ac:dyDescent="0.25">
      <c r="A57" s="115"/>
      <c r="B57" s="200"/>
      <c r="C57" s="201"/>
      <c r="D57" s="138"/>
      <c r="E57" s="219"/>
      <c r="F57" s="219"/>
      <c r="G57" s="313"/>
      <c r="H57" s="199" t="s">
        <v>402</v>
      </c>
      <c r="I57" s="130"/>
      <c r="J57" s="126"/>
      <c r="K57" s="126"/>
      <c r="L57" s="125" t="str">
        <f>IF(I57&lt;&gt;0,((VLOOKUP(I57,'1. Standard_Cost'!$B$4:$D$11,2)+VLOOKUP(I57,'1. Standard_Cost'!$B$4:$D$11,3))*J57*K57),"0")</f>
        <v>0</v>
      </c>
      <c r="M57" s="125">
        <f>L57*'1. Standard_Cost'!$F$4</f>
        <v>0</v>
      </c>
      <c r="N57" s="126"/>
      <c r="O57" s="126"/>
      <c r="P57" s="126"/>
      <c r="Q57" s="126"/>
      <c r="R57" s="127">
        <f>'1. Standard_Cost'!$B$15*N57*P57</f>
        <v>0</v>
      </c>
      <c r="S57" s="127">
        <f>N57*O57*P57*'1. Standard_Cost'!$C$15</f>
        <v>0</v>
      </c>
      <c r="T57" s="127">
        <f>N57*P57*Q57*'1. Standard_Cost'!$D$15</f>
        <v>0</v>
      </c>
      <c r="U57" s="127">
        <f>N57*O57*'1. Standard_Cost'!$E$15</f>
        <v>0</v>
      </c>
      <c r="V57" s="126"/>
      <c r="W57" s="126"/>
      <c r="X57" s="126"/>
      <c r="Y57" s="127">
        <f>+V57*((X57*'1. Standard_Cost'!$B$19)+(W57*X57*'1. Standard_Cost'!$C$19))</f>
        <v>0</v>
      </c>
      <c r="Z57" s="126"/>
      <c r="AA57" s="126"/>
      <c r="AB57" s="127">
        <f>+Z57*'1. Standard_Cost'!$B$23+AA57*'1. Standard_Cost'!$C$23</f>
        <v>0</v>
      </c>
      <c r="AC57" s="128"/>
      <c r="AD57" s="129"/>
      <c r="AE57" s="127">
        <f>SUM(AD57,AC57,AB57,Y57,U57,T57,S57,R57)*'1. Standard_Cost'!$B$31</f>
        <v>0</v>
      </c>
      <c r="AF57" s="127">
        <f>SUM(AE57,AD57,AC57,AB57,Y57,U57,T57,S57,R57)</f>
        <v>0</v>
      </c>
      <c r="AG57" s="126"/>
      <c r="AH57" s="126"/>
      <c r="AI57" s="126"/>
      <c r="AJ57" s="130"/>
      <c r="AK57" s="130"/>
      <c r="AL57" s="130"/>
      <c r="AM57" s="127">
        <f>AG57*'1. Standard_Cost'!$B$27+'Incremental_Cost Year 3'!AH57*'1. Standard_Cost'!$C$27+'Incremental_Cost Year 3'!AI57*'1. Standard_Cost'!$D$27+'Incremental_Cost Year 3'!AJ57+'Incremental_Cost Year 3'!AL57+AK57</f>
        <v>0</v>
      </c>
      <c r="AN57" s="127">
        <f>AM57*'1. Standard_Cost'!$C$31</f>
        <v>0</v>
      </c>
      <c r="AO57" s="249"/>
      <c r="AQ57" s="171">
        <f>L57+M57</f>
        <v>0</v>
      </c>
      <c r="AR57" s="171">
        <f>AF57</f>
        <v>0</v>
      </c>
      <c r="AS57" s="171">
        <f>AM57+AN57</f>
        <v>0</v>
      </c>
      <c r="AT57" s="171">
        <f>SUM(AQ57,AR57,AS57)</f>
        <v>0</v>
      </c>
      <c r="AU57" s="250"/>
      <c r="AV57" s="250"/>
      <c r="AW57" s="250"/>
      <c r="AX57" s="250"/>
      <c r="AY57" s="250"/>
      <c r="AZ57" s="250"/>
      <c r="BA57" s="250"/>
      <c r="BB57" s="251">
        <f t="shared" ref="BB57:BB59" si="41">SUM(AU57:BA57)-AT57</f>
        <v>0</v>
      </c>
      <c r="BC57" s="169"/>
      <c r="BD57" s="169"/>
      <c r="BE57" s="169"/>
      <c r="BF57" s="169"/>
    </row>
    <row r="58" spans="1:58" ht="63" outlineLevel="2" x14ac:dyDescent="0.25">
      <c r="A58" s="115"/>
      <c r="B58" s="200"/>
      <c r="C58" s="201"/>
      <c r="D58" s="135"/>
      <c r="E58" s="219"/>
      <c r="F58" s="219"/>
      <c r="G58" s="313"/>
      <c r="H58" s="199" t="s">
        <v>403</v>
      </c>
      <c r="I58" s="130"/>
      <c r="J58" s="126"/>
      <c r="K58" s="126"/>
      <c r="L58" s="125" t="str">
        <f>IF(I58&lt;&gt;0,((VLOOKUP(I58,'1. Standard_Cost'!$B$4:$D$11,2)+VLOOKUP(I58,'1. Standard_Cost'!$B$4:$D$11,3))*J58*K58),"0")</f>
        <v>0</v>
      </c>
      <c r="M58" s="125">
        <f>L58*'1. Standard_Cost'!$F$4</f>
        <v>0</v>
      </c>
      <c r="N58" s="126"/>
      <c r="O58" s="126"/>
      <c r="P58" s="126"/>
      <c r="Q58" s="126"/>
      <c r="R58" s="127">
        <f>'1. Standard_Cost'!$B$15*N58*P58</f>
        <v>0</v>
      </c>
      <c r="S58" s="127">
        <f>N58*O58*P58*'1. Standard_Cost'!$C$15</f>
        <v>0</v>
      </c>
      <c r="T58" s="127">
        <f>N58*P58*Q58*'1. Standard_Cost'!$D$15</f>
        <v>0</v>
      </c>
      <c r="U58" s="127">
        <f>N58*O58*'1. Standard_Cost'!$E$15</f>
        <v>0</v>
      </c>
      <c r="V58" s="126"/>
      <c r="W58" s="126"/>
      <c r="X58" s="126"/>
      <c r="Y58" s="127">
        <f>+V58*((X58*'1. Standard_Cost'!$B$19)+(W58*X58*'1. Standard_Cost'!$C$19))</f>
        <v>0</v>
      </c>
      <c r="Z58" s="126"/>
      <c r="AA58" s="126"/>
      <c r="AB58" s="127">
        <f>+Z58*'1. Standard_Cost'!$B$23+AA58*'1. Standard_Cost'!$C$23</f>
        <v>0</v>
      </c>
      <c r="AC58" s="128"/>
      <c r="AD58" s="129"/>
      <c r="AE58" s="127">
        <f>SUM(AD58,AC58,AB58,Y58,U58,T58,S58,R58)*'1. Standard_Cost'!$B$31</f>
        <v>0</v>
      </c>
      <c r="AF58" s="127">
        <f>SUM(AE58,AD58,AC58,AB58,Y58,U58,T58,S58,R58)</f>
        <v>0</v>
      </c>
      <c r="AG58" s="126"/>
      <c r="AH58" s="126"/>
      <c r="AI58" s="126"/>
      <c r="AJ58" s="130"/>
      <c r="AK58" s="130"/>
      <c r="AL58" s="130"/>
      <c r="AM58" s="127">
        <f>AG58*'1. Standard_Cost'!$B$27+'Incremental_Cost Year 3'!AH58*'1. Standard_Cost'!$C$27+'Incremental_Cost Year 3'!AI58*'1. Standard_Cost'!$D$27+'Incremental_Cost Year 3'!AJ58+'Incremental_Cost Year 3'!AL58+AK58</f>
        <v>0</v>
      </c>
      <c r="AN58" s="127">
        <f>AM58*'1. Standard_Cost'!$C$31</f>
        <v>0</v>
      </c>
      <c r="AO58" s="130"/>
      <c r="AQ58" s="171">
        <f>L58+M58</f>
        <v>0</v>
      </c>
      <c r="AR58" s="171">
        <f>AF58</f>
        <v>0</v>
      </c>
      <c r="AS58" s="171">
        <f>AM58+AN58</f>
        <v>0</v>
      </c>
      <c r="AT58" s="171">
        <f>SUM(AQ58,AR58,AS58)</f>
        <v>0</v>
      </c>
      <c r="AU58" s="250"/>
      <c r="AV58" s="250"/>
      <c r="AW58" s="250"/>
      <c r="AX58" s="250"/>
      <c r="AY58" s="250"/>
      <c r="AZ58" s="250"/>
      <c r="BA58" s="250"/>
      <c r="BB58" s="251">
        <f t="shared" si="41"/>
        <v>0</v>
      </c>
      <c r="BC58" s="169"/>
      <c r="BD58" s="169"/>
      <c r="BE58" s="169"/>
      <c r="BF58" s="169"/>
    </row>
    <row r="59" spans="1:58" ht="78.75" outlineLevel="2" x14ac:dyDescent="0.25">
      <c r="A59" s="115"/>
      <c r="B59" s="147"/>
      <c r="C59" s="314"/>
      <c r="D59" s="223"/>
      <c r="E59" s="122"/>
      <c r="F59" s="122"/>
      <c r="G59" s="123"/>
      <c r="H59" s="199" t="s">
        <v>309</v>
      </c>
      <c r="I59" s="130"/>
      <c r="J59" s="126"/>
      <c r="K59" s="126"/>
      <c r="L59" s="125" t="str">
        <f>IF(I59&lt;&gt;0,((VLOOKUP(I59,'1. Standard_Cost'!$B$4:$D$11,2)+VLOOKUP(I59,'1. Standard_Cost'!$B$4:$D$11,3))*J59*K59),"0")</f>
        <v>0</v>
      </c>
      <c r="M59" s="125">
        <f>L59*'1. Standard_Cost'!$F$4</f>
        <v>0</v>
      </c>
      <c r="N59" s="126"/>
      <c r="O59" s="126"/>
      <c r="P59" s="126"/>
      <c r="Q59" s="126"/>
      <c r="R59" s="127">
        <f>'1. Standard_Cost'!$B$15*N59*P59</f>
        <v>0</v>
      </c>
      <c r="S59" s="127">
        <f>N59*O59*P59*'1. Standard_Cost'!$C$15</f>
        <v>0</v>
      </c>
      <c r="T59" s="127">
        <f>N59*P59*Q59*'1. Standard_Cost'!$D$15</f>
        <v>0</v>
      </c>
      <c r="U59" s="127">
        <f>N59*O59*'1. Standard_Cost'!$E$15</f>
        <v>0</v>
      </c>
      <c r="V59" s="126"/>
      <c r="W59" s="126"/>
      <c r="X59" s="126"/>
      <c r="Y59" s="127">
        <f>+V59*((X59*'1. Standard_Cost'!$B$19)+(W59*X59*'1. Standard_Cost'!$C$19))</f>
        <v>0</v>
      </c>
      <c r="Z59" s="126"/>
      <c r="AA59" s="126"/>
      <c r="AB59" s="127">
        <f>+Z59*'1. Standard_Cost'!$B$23+AA59*'1. Standard_Cost'!$C$23</f>
        <v>0</v>
      </c>
      <c r="AC59" s="128"/>
      <c r="AD59" s="129"/>
      <c r="AE59" s="127">
        <f>SUM(AD59,AC59,AB59,Y59,U59,T59,S59,R59)*'1. Standard_Cost'!$B$31</f>
        <v>0</v>
      </c>
      <c r="AF59" s="127">
        <f>SUM(AE59,AD59,AC59,AB59,Y59,U59,T59,S59,R59)</f>
        <v>0</v>
      </c>
      <c r="AG59" s="126"/>
      <c r="AH59" s="126"/>
      <c r="AI59" s="126"/>
      <c r="AJ59" s="130"/>
      <c r="AK59" s="130"/>
      <c r="AL59" s="130"/>
      <c r="AM59" s="127">
        <f>AG59*'1. Standard_Cost'!$B$27+'Incremental_Cost Year 3'!AH59*'1. Standard_Cost'!$C$27+'Incremental_Cost Year 3'!AI59*'1. Standard_Cost'!$D$27+'Incremental_Cost Year 3'!AJ59+'Incremental_Cost Year 3'!AL59+AK59</f>
        <v>0</v>
      </c>
      <c r="AN59" s="127">
        <f>AM59*'1. Standard_Cost'!$C$31</f>
        <v>0</v>
      </c>
      <c r="AO59" s="130"/>
      <c r="AQ59" s="171">
        <f>L59+M59</f>
        <v>0</v>
      </c>
      <c r="AR59" s="171">
        <f>AF59</f>
        <v>0</v>
      </c>
      <c r="AS59" s="171">
        <f>AM59+AN59</f>
        <v>0</v>
      </c>
      <c r="AT59" s="171">
        <f>SUM(AQ59,AR59,AS59)</f>
        <v>0</v>
      </c>
      <c r="AU59" s="250"/>
      <c r="AV59" s="250"/>
      <c r="AW59" s="250"/>
      <c r="AX59" s="250"/>
      <c r="AY59" s="250"/>
      <c r="AZ59" s="250"/>
      <c r="BA59" s="250"/>
      <c r="BB59" s="251">
        <f t="shared" si="41"/>
        <v>0</v>
      </c>
      <c r="BC59" s="169"/>
      <c r="BD59" s="169"/>
      <c r="BE59" s="169"/>
      <c r="BF59" s="169"/>
    </row>
    <row r="60" spans="1:58" ht="31.5" outlineLevel="1" x14ac:dyDescent="0.25">
      <c r="A60" s="115"/>
      <c r="B60" s="200"/>
      <c r="C60" s="201"/>
      <c r="D60" s="132" t="s">
        <v>388</v>
      </c>
      <c r="E60" s="133" t="s">
        <v>216</v>
      </c>
      <c r="F60" s="122">
        <v>2021</v>
      </c>
      <c r="G60" s="223">
        <v>2030</v>
      </c>
      <c r="H60" s="134" t="s">
        <v>217</v>
      </c>
      <c r="I60" s="252"/>
      <c r="J60" s="252"/>
      <c r="K60" s="252"/>
      <c r="L60" s="127">
        <f>SUM(L57:L59)</f>
        <v>0</v>
      </c>
      <c r="M60" s="127">
        <f>SUM(M57:M59)</f>
        <v>0</v>
      </c>
      <c r="N60" s="127"/>
      <c r="O60" s="252"/>
      <c r="P60" s="252"/>
      <c r="Q60" s="252"/>
      <c r="R60" s="127">
        <f>SUM(R57:R59)</f>
        <v>0</v>
      </c>
      <c r="S60" s="127">
        <f>SUM(S57:S59)</f>
        <v>0</v>
      </c>
      <c r="T60" s="127">
        <f>SUM(T57:T59)</f>
        <v>0</v>
      </c>
      <c r="U60" s="127">
        <f>SUM(U57:U59)</f>
        <v>0</v>
      </c>
      <c r="V60" s="252"/>
      <c r="W60" s="252"/>
      <c r="X60" s="252"/>
      <c r="Y60" s="127">
        <f>SUM(Y57:Y59)</f>
        <v>0</v>
      </c>
      <c r="Z60" s="252"/>
      <c r="AA60" s="252"/>
      <c r="AB60" s="127">
        <f>SUM(AB57:AB59)</f>
        <v>0</v>
      </c>
      <c r="AC60" s="127">
        <f>SUM(AC57:AC59)</f>
        <v>0</v>
      </c>
      <c r="AD60" s="127">
        <f>SUM(AD57:AD59)</f>
        <v>0</v>
      </c>
      <c r="AE60" s="127">
        <f>SUM(AE57:AE59)</f>
        <v>0</v>
      </c>
      <c r="AF60" s="127">
        <f>SUM(AF57:AF59)</f>
        <v>0</v>
      </c>
      <c r="AG60" s="252"/>
      <c r="AH60" s="252"/>
      <c r="AI60" s="252"/>
      <c r="AJ60" s="127">
        <f>SUM(AJ57:AJ59)</f>
        <v>0</v>
      </c>
      <c r="AK60" s="127">
        <f>SUM(AK57:AK59)</f>
        <v>0</v>
      </c>
      <c r="AL60" s="127">
        <f>SUM(AL57:AL59)</f>
        <v>0</v>
      </c>
      <c r="AM60" s="127">
        <f>SUM(AM57:AM59)</f>
        <v>0</v>
      </c>
      <c r="AN60" s="127">
        <f>SUM(AN57:AN59)</f>
        <v>0</v>
      </c>
      <c r="AO60" s="253"/>
      <c r="AP60" s="254"/>
      <c r="AQ60" s="175">
        <f>SUM(AQ57:AQ59)</f>
        <v>0</v>
      </c>
      <c r="AR60" s="175">
        <f>SUM(AR57:AR59)</f>
        <v>0</v>
      </c>
      <c r="AS60" s="175">
        <f>SUM(AS57:AS59)</f>
        <v>0</v>
      </c>
      <c r="AT60" s="175">
        <f>SUM(AT57:AT59)</f>
        <v>0</v>
      </c>
      <c r="AU60" s="175">
        <f t="shared" ref="AU60:BB60" si="42">SUM(AU57:AU59)</f>
        <v>0</v>
      </c>
      <c r="AV60" s="175">
        <f t="shared" si="42"/>
        <v>0</v>
      </c>
      <c r="AW60" s="175">
        <f t="shared" si="42"/>
        <v>0</v>
      </c>
      <c r="AX60" s="175">
        <f t="shared" si="42"/>
        <v>0</v>
      </c>
      <c r="AY60" s="175">
        <f t="shared" si="42"/>
        <v>0</v>
      </c>
      <c r="AZ60" s="175">
        <f t="shared" si="42"/>
        <v>0</v>
      </c>
      <c r="BA60" s="175">
        <f t="shared" si="42"/>
        <v>0</v>
      </c>
      <c r="BB60" s="175">
        <f t="shared" si="42"/>
        <v>0</v>
      </c>
      <c r="BC60" s="169"/>
      <c r="BD60" s="169"/>
      <c r="BE60" s="169"/>
      <c r="BF60" s="169"/>
    </row>
    <row r="61" spans="1:58" s="170" customFormat="1" ht="15.75" customHeight="1" x14ac:dyDescent="0.25">
      <c r="A61" s="120"/>
      <c r="B61" s="290"/>
      <c r="C61" s="391" t="s">
        <v>218</v>
      </c>
      <c r="D61" s="391"/>
      <c r="E61" s="392"/>
      <c r="F61" s="289"/>
      <c r="G61" s="288"/>
      <c r="H61" s="114" t="s">
        <v>219</v>
      </c>
      <c r="I61" s="246"/>
      <c r="J61" s="246"/>
      <c r="K61" s="246"/>
      <c r="L61" s="247">
        <f>SUM(L77)</f>
        <v>625721682.14285719</v>
      </c>
      <c r="M61" s="247">
        <f>SUM(M77)</f>
        <v>104495520.91785714</v>
      </c>
      <c r="N61" s="247"/>
      <c r="O61" s="247"/>
      <c r="P61" s="247"/>
      <c r="Q61" s="247"/>
      <c r="R61" s="247">
        <f>SUM(R77)</f>
        <v>280000</v>
      </c>
      <c r="S61" s="247">
        <f>SUM(S77)</f>
        <v>420000</v>
      </c>
      <c r="T61" s="247">
        <f>SUM(T77)</f>
        <v>0</v>
      </c>
      <c r="U61" s="247">
        <f>SUM(U77)</f>
        <v>560000</v>
      </c>
      <c r="V61" s="247"/>
      <c r="W61" s="247"/>
      <c r="X61" s="247"/>
      <c r="Y61" s="247">
        <f>SUM(Y77)</f>
        <v>0</v>
      </c>
      <c r="Z61" s="247">
        <f t="shared" ref="Z61:AA61" si="43">SUM(Z77)</f>
        <v>0</v>
      </c>
      <c r="AA61" s="247">
        <f t="shared" si="43"/>
        <v>0</v>
      </c>
      <c r="AB61" s="247">
        <f t="shared" ref="AB61:AF61" si="44">SUM(AB77)</f>
        <v>3401000</v>
      </c>
      <c r="AC61" s="247">
        <f t="shared" si="44"/>
        <v>490378000</v>
      </c>
      <c r="AD61" s="247">
        <f t="shared" si="44"/>
        <v>0</v>
      </c>
      <c r="AE61" s="247">
        <f t="shared" si="44"/>
        <v>94567800</v>
      </c>
      <c r="AF61" s="247">
        <f t="shared" si="44"/>
        <v>589606800</v>
      </c>
      <c r="AG61" s="247"/>
      <c r="AH61" s="247"/>
      <c r="AI61" s="247"/>
      <c r="AJ61" s="247">
        <f>SUM(AJ77)</f>
        <v>50000000</v>
      </c>
      <c r="AK61" s="247">
        <f>SUM(AK77)</f>
        <v>0</v>
      </c>
      <c r="AL61" s="247">
        <f>SUM(AL77)</f>
        <v>556887406.50406504</v>
      </c>
      <c r="AM61" s="247">
        <f>SUM(AM77)</f>
        <v>609997406.50406504</v>
      </c>
      <c r="AN61" s="247">
        <f>SUM(AN77)</f>
        <v>89064060.97560975</v>
      </c>
      <c r="AO61" s="247"/>
      <c r="AP61" s="244"/>
      <c r="AQ61" s="248">
        <f>SUM(AQ77)</f>
        <v>730217203.06071424</v>
      </c>
      <c r="AR61" s="248">
        <f>SUM(AR77)</f>
        <v>589606800</v>
      </c>
      <c r="AS61" s="248">
        <f>SUM(AS77)</f>
        <v>699061467.47967482</v>
      </c>
      <c r="AT61" s="248">
        <f>SUM(AT77)</f>
        <v>2018885470.5403891</v>
      </c>
      <c r="AU61" s="248">
        <f t="shared" ref="AU61:BB61" si="45">SUM(AU77)</f>
        <v>1256156603.0607142</v>
      </c>
      <c r="AV61" s="248">
        <f t="shared" si="45"/>
        <v>0</v>
      </c>
      <c r="AW61" s="248">
        <f t="shared" si="45"/>
        <v>0</v>
      </c>
      <c r="AX61" s="248">
        <f t="shared" si="45"/>
        <v>0</v>
      </c>
      <c r="AY61" s="248">
        <f t="shared" si="45"/>
        <v>5199600</v>
      </c>
      <c r="AZ61" s="248">
        <f t="shared" si="45"/>
        <v>249600</v>
      </c>
      <c r="BA61" s="248">
        <f t="shared" si="45"/>
        <v>0</v>
      </c>
      <c r="BB61" s="248">
        <f t="shared" si="45"/>
        <v>-757279667.47967482</v>
      </c>
    </row>
    <row r="62" spans="1:58" ht="126" outlineLevel="2" x14ac:dyDescent="0.25">
      <c r="A62" s="115"/>
      <c r="B62" s="200"/>
      <c r="C62" s="201"/>
      <c r="D62" s="350"/>
      <c r="E62" s="315"/>
      <c r="F62" s="316"/>
      <c r="G62" s="317"/>
      <c r="H62" s="199" t="s">
        <v>404</v>
      </c>
      <c r="I62" s="130" t="s">
        <v>3</v>
      </c>
      <c r="J62" s="126">
        <v>1</v>
      </c>
      <c r="K62" s="126">
        <v>5</v>
      </c>
      <c r="L62" s="125">
        <f>IF(I62&lt;&gt;0,((VLOOKUP(I62,'1. Standard_Cost'!$B$4:$D$11,2)+VLOOKUP(I62,'1. Standard_Cost'!$B$4:$D$11,3))*J62*K62),"0")</f>
        <v>504000</v>
      </c>
      <c r="M62" s="125">
        <f>L62*'1. Standard_Cost'!$F$4</f>
        <v>84168</v>
      </c>
      <c r="N62" s="126"/>
      <c r="O62" s="126"/>
      <c r="P62" s="126"/>
      <c r="Q62" s="126"/>
      <c r="R62" s="127">
        <f>'1. Standard_Cost'!$B$15*N62*P62</f>
        <v>0</v>
      </c>
      <c r="S62" s="127">
        <f>N62*O62*P62*'1. Standard_Cost'!$C$15</f>
        <v>0</v>
      </c>
      <c r="T62" s="127">
        <f>N62*P62*Q62*'1. Standard_Cost'!$D$15</f>
        <v>0</v>
      </c>
      <c r="U62" s="127">
        <f>N62*O62*'1. Standard_Cost'!$E$15</f>
        <v>0</v>
      </c>
      <c r="V62" s="126"/>
      <c r="W62" s="126"/>
      <c r="X62" s="126"/>
      <c r="Y62" s="127">
        <f>+V62*((X62*'1. Standard_Cost'!$B$19)+(W62*X62*'1. Standard_Cost'!$C$19))</f>
        <v>0</v>
      </c>
      <c r="Z62" s="126"/>
      <c r="AA62" s="126">
        <v>40</v>
      </c>
      <c r="AB62" s="127">
        <f>+Z62*'1. Standard_Cost'!$B$23+AA62*'1. Standard_Cost'!$C$23</f>
        <v>760000</v>
      </c>
      <c r="AC62" s="128">
        <f>30*300+500*500</f>
        <v>259000</v>
      </c>
      <c r="AD62" s="129"/>
      <c r="AE62" s="127">
        <f>SUM(AD62,AC62,AB62,Y62,U62,T62,S62,R62)*'1. Standard_Cost'!$B$31</f>
        <v>203800</v>
      </c>
      <c r="AF62" s="127">
        <f t="shared" ref="AF62:AF67" si="46">SUM(AE62,AD62,AC62,AB62,Y62,U62,T62,S62,R62)</f>
        <v>1222800</v>
      </c>
      <c r="AG62" s="126"/>
      <c r="AH62" s="126"/>
      <c r="AI62" s="126"/>
      <c r="AJ62" s="130"/>
      <c r="AK62" s="130"/>
      <c r="AL62" s="130"/>
      <c r="AM62" s="127">
        <f>AG62*'1. Standard_Cost'!$B$27+'Incremental_Cost Year 3'!AH62*'1. Standard_Cost'!$C$27+'Incremental_Cost Year 3'!AI62*'1. Standard_Cost'!$D$27+'Incremental_Cost Year 3'!AJ62+'Incremental_Cost Year 3'!AL62+AK62</f>
        <v>0</v>
      </c>
      <c r="AN62" s="127">
        <f>AM62*'1. Standard_Cost'!$C$31</f>
        <v>0</v>
      </c>
      <c r="AO62" s="249"/>
      <c r="AQ62" s="171">
        <f t="shared" ref="AQ62:AQ76" si="47">L62+M62</f>
        <v>588168</v>
      </c>
      <c r="AR62" s="171">
        <f t="shared" ref="AR62:AR76" si="48">AF62</f>
        <v>1222800</v>
      </c>
      <c r="AS62" s="171">
        <f t="shared" ref="AS62:AS76" si="49">AM62+AN62</f>
        <v>0</v>
      </c>
      <c r="AT62" s="171">
        <f t="shared" ref="AT62:AT76" si="50">SUM(AQ62,AR62,AS62)</f>
        <v>1810968</v>
      </c>
      <c r="AU62" s="250">
        <f>AQ62</f>
        <v>588168</v>
      </c>
      <c r="AV62" s="250"/>
      <c r="AW62" s="250"/>
      <c r="AX62" s="250"/>
      <c r="AY62" s="250">
        <f>AR62</f>
        <v>1222800</v>
      </c>
      <c r="AZ62" s="250"/>
      <c r="BA62" s="250"/>
      <c r="BB62" s="251">
        <f t="shared" ref="BB62" si="51">SUM(AU62:BA62)-AT62</f>
        <v>0</v>
      </c>
      <c r="BC62" s="169"/>
      <c r="BD62" s="169"/>
      <c r="BE62" s="169"/>
      <c r="BF62" s="169"/>
    </row>
    <row r="63" spans="1:58" ht="141.75" outlineLevel="2" x14ac:dyDescent="0.25">
      <c r="A63" s="115"/>
      <c r="B63" s="200"/>
      <c r="C63" s="201"/>
      <c r="D63" s="141"/>
      <c r="E63" s="318"/>
      <c r="F63" s="219"/>
      <c r="G63" s="313"/>
      <c r="H63" s="199" t="s">
        <v>405</v>
      </c>
      <c r="I63" s="130"/>
      <c r="J63" s="126"/>
      <c r="K63" s="126"/>
      <c r="L63" s="125" t="str">
        <f>IF(I63&lt;&gt;0,((VLOOKUP(I63,'1. Standard_Cost'!$B$4:$D$11,2)+VLOOKUP(I63,'1. Standard_Cost'!$B$4:$D$11,3))*J63*K63),"0")</f>
        <v>0</v>
      </c>
      <c r="M63" s="125">
        <f>L63*'1. Standard_Cost'!$F$4</f>
        <v>0</v>
      </c>
      <c r="N63" s="126"/>
      <c r="O63" s="126"/>
      <c r="P63" s="126"/>
      <c r="Q63" s="126"/>
      <c r="R63" s="127">
        <f>'1. Standard_Cost'!$B$15*N63*P63</f>
        <v>0</v>
      </c>
      <c r="S63" s="127">
        <f>N63*O63*P63*'1. Standard_Cost'!$C$15</f>
        <v>0</v>
      </c>
      <c r="T63" s="127">
        <f>N63*P63*Q63*'1. Standard_Cost'!$D$15</f>
        <v>0</v>
      </c>
      <c r="U63" s="127">
        <f>N63*O63*'1. Standard_Cost'!$E$15</f>
        <v>0</v>
      </c>
      <c r="V63" s="126"/>
      <c r="W63" s="126"/>
      <c r="X63" s="126"/>
      <c r="Y63" s="127">
        <f>+V63*((X63*'1. Standard_Cost'!$B$19)+(W63*X63*'1. Standard_Cost'!$C$19))</f>
        <v>0</v>
      </c>
      <c r="Z63" s="126"/>
      <c r="AA63" s="126"/>
      <c r="AB63" s="127">
        <f>+Z63*'1. Standard_Cost'!$B$23+AA63*'1. Standard_Cost'!$C$23</f>
        <v>0</v>
      </c>
      <c r="AC63" s="128"/>
      <c r="AD63" s="129"/>
      <c r="AE63" s="127">
        <f>SUM(AD63,AC63,AB63,Y63,U63,T63,S63,R63)*'1. Standard_Cost'!$B$31</f>
        <v>0</v>
      </c>
      <c r="AF63" s="127">
        <f t="shared" si="46"/>
        <v>0</v>
      </c>
      <c r="AG63" s="126"/>
      <c r="AH63" s="126"/>
      <c r="AI63" s="126"/>
      <c r="AJ63" s="130"/>
      <c r="AK63" s="130"/>
      <c r="AL63" s="130"/>
      <c r="AM63" s="127">
        <f>AG63*'1. Standard_Cost'!$B$27+'Incremental_Cost Year 3'!AH63*'1. Standard_Cost'!$C$27+'Incremental_Cost Year 3'!AI63*'1. Standard_Cost'!$D$27+'Incremental_Cost Year 3'!AJ63+'Incremental_Cost Year 3'!AL63+AK63</f>
        <v>0</v>
      </c>
      <c r="AN63" s="127">
        <f>AM63*'1. Standard_Cost'!$C$31</f>
        <v>0</v>
      </c>
      <c r="AO63" s="249"/>
      <c r="AQ63" s="171">
        <f t="shared" si="47"/>
        <v>0</v>
      </c>
      <c r="AR63" s="171">
        <f t="shared" si="48"/>
        <v>0</v>
      </c>
      <c r="AS63" s="171">
        <f t="shared" si="49"/>
        <v>0</v>
      </c>
      <c r="AT63" s="171">
        <f t="shared" si="50"/>
        <v>0</v>
      </c>
      <c r="AU63" s="250"/>
      <c r="AV63" s="250"/>
      <c r="AW63" s="250"/>
      <c r="AX63" s="250"/>
      <c r="AY63" s="250"/>
      <c r="AZ63" s="250"/>
      <c r="BA63" s="250"/>
      <c r="BB63" s="251">
        <f t="shared" ref="BB63:BB76" si="52">SUM(AU63:BA63)-AT63</f>
        <v>0</v>
      </c>
      <c r="BC63" s="169"/>
      <c r="BD63" s="169"/>
      <c r="BE63" s="169"/>
      <c r="BF63" s="169"/>
    </row>
    <row r="64" spans="1:58" ht="63" outlineLevel="2" x14ac:dyDescent="0.25">
      <c r="A64" s="115"/>
      <c r="B64" s="200"/>
      <c r="C64" s="201"/>
      <c r="D64" s="131"/>
      <c r="E64" s="319"/>
      <c r="F64" s="219"/>
      <c r="G64" s="313"/>
      <c r="H64" s="199" t="s">
        <v>406</v>
      </c>
      <c r="I64" s="130" t="s">
        <v>1</v>
      </c>
      <c r="J64" s="126">
        <v>12</v>
      </c>
      <c r="K64" s="126">
        <v>130</v>
      </c>
      <c r="L64" s="125">
        <f>IF(I64&lt;&gt;0,((VLOOKUP(I64,'1. Standard_Cost'!$B$4:$D$11,2)+VLOOKUP(I64,'1. Standard_Cost'!$B$4:$D$11,3))*J64*K64),"0")</f>
        <v>111996857.14285713</v>
      </c>
      <c r="M64" s="125">
        <f>L64*'1. Standard_Cost'!$F$4</f>
        <v>18703475.142857142</v>
      </c>
      <c r="N64" s="126"/>
      <c r="O64" s="126"/>
      <c r="P64" s="126"/>
      <c r="Q64" s="126"/>
      <c r="R64" s="127">
        <f>'1. Standard_Cost'!$B$15*N64*P64</f>
        <v>0</v>
      </c>
      <c r="S64" s="127">
        <f>N64*O64*P64*'1. Standard_Cost'!$C$15</f>
        <v>0</v>
      </c>
      <c r="T64" s="127">
        <f>N64*P64*Q64*'1. Standard_Cost'!$D$15</f>
        <v>0</v>
      </c>
      <c r="U64" s="127">
        <f>N64*O64*'1. Standard_Cost'!$E$15</f>
        <v>0</v>
      </c>
      <c r="V64" s="126"/>
      <c r="W64" s="126"/>
      <c r="X64" s="126"/>
      <c r="Y64" s="127">
        <f>+V64*((X64*'1. Standard_Cost'!$B$19)+(W64*X64*'1. Standard_Cost'!$C$19))</f>
        <v>0</v>
      </c>
      <c r="Z64" s="126"/>
      <c r="AA64" s="126"/>
      <c r="AB64" s="127">
        <f>+Z64*'1. Standard_Cost'!$B$23+AA64*'1. Standard_Cost'!$C$23</f>
        <v>0</v>
      </c>
      <c r="AC64" s="128">
        <f>10*500000</f>
        <v>5000000</v>
      </c>
      <c r="AD64" s="129"/>
      <c r="AE64" s="127">
        <v>0</v>
      </c>
      <c r="AF64" s="127">
        <f t="shared" si="46"/>
        <v>5000000</v>
      </c>
      <c r="AG64" s="126"/>
      <c r="AH64" s="126"/>
      <c r="AI64" s="126"/>
      <c r="AJ64" s="130"/>
      <c r="AK64" s="130"/>
      <c r="AL64" s="130"/>
      <c r="AM64" s="127">
        <f>AG64*'1. Standard_Cost'!$B$27+'Incremental_Cost Year 3'!AH64*'1. Standard_Cost'!$C$27+'Incremental_Cost Year 3'!AI64*'1. Standard_Cost'!$D$27+'Incremental_Cost Year 3'!AJ64+'Incremental_Cost Year 3'!AL64+AK64</f>
        <v>0</v>
      </c>
      <c r="AN64" s="127">
        <f>AM64*'1. Standard_Cost'!$C$31</f>
        <v>0</v>
      </c>
      <c r="AO64" s="130"/>
      <c r="AQ64" s="171">
        <f t="shared" si="47"/>
        <v>130700332.28571427</v>
      </c>
      <c r="AR64" s="171">
        <f t="shared" si="48"/>
        <v>5000000</v>
      </c>
      <c r="AS64" s="171">
        <f t="shared" si="49"/>
        <v>0</v>
      </c>
      <c r="AT64" s="171">
        <f t="shared" si="50"/>
        <v>135700332.28571427</v>
      </c>
      <c r="AU64" s="250">
        <f>AT64</f>
        <v>135700332.28571427</v>
      </c>
      <c r="AV64" s="250"/>
      <c r="AW64" s="250"/>
      <c r="AX64" s="250"/>
      <c r="AY64" s="250"/>
      <c r="AZ64" s="250"/>
      <c r="BA64" s="250"/>
      <c r="BB64" s="251">
        <f t="shared" si="52"/>
        <v>0</v>
      </c>
      <c r="BC64" s="169"/>
      <c r="BD64" s="169"/>
      <c r="BE64" s="169"/>
      <c r="BF64" s="169"/>
    </row>
    <row r="65" spans="1:58" ht="31.5" outlineLevel="2" x14ac:dyDescent="0.25">
      <c r="A65" s="115"/>
      <c r="B65" s="200"/>
      <c r="C65" s="201"/>
      <c r="D65" s="131"/>
      <c r="E65" s="318"/>
      <c r="F65" s="219"/>
      <c r="G65" s="313"/>
      <c r="H65" s="199" t="s">
        <v>407</v>
      </c>
      <c r="I65" s="130" t="s">
        <v>1</v>
      </c>
      <c r="J65" s="126">
        <v>12</v>
      </c>
      <c r="K65" s="126">
        <v>93</v>
      </c>
      <c r="L65" s="125">
        <f>IF(I65&lt;&gt;0,((VLOOKUP(I65,'1. Standard_Cost'!$B$4:$D$11,2)+VLOOKUP(I65,'1. Standard_Cost'!$B$4:$D$11,3))*J65*K65),"0")</f>
        <v>80120828.571428567</v>
      </c>
      <c r="M65" s="125">
        <f>L65*'1. Standard_Cost'!$F$4</f>
        <v>13380178.371428572</v>
      </c>
      <c r="N65" s="126"/>
      <c r="O65" s="126"/>
      <c r="P65" s="126"/>
      <c r="Q65" s="126"/>
      <c r="R65" s="127">
        <f>'1. Standard_Cost'!$B$15*N65*P65</f>
        <v>0</v>
      </c>
      <c r="S65" s="127">
        <f>N65*O65*P65*'1. Standard_Cost'!$C$15</f>
        <v>0</v>
      </c>
      <c r="T65" s="127">
        <f>N65*P65*Q65*'1. Standard_Cost'!$D$15</f>
        <v>0</v>
      </c>
      <c r="U65" s="127">
        <f>N65*O65*'1. Standard_Cost'!$E$15</f>
        <v>0</v>
      </c>
      <c r="V65" s="126"/>
      <c r="W65" s="126"/>
      <c r="X65" s="126"/>
      <c r="Y65" s="127">
        <f>+V65*((X65*'1. Standard_Cost'!$B$19)+(W65*X65*'1. Standard_Cost'!$C$19))</f>
        <v>0</v>
      </c>
      <c r="Z65" s="126"/>
      <c r="AA65" s="126"/>
      <c r="AB65" s="127">
        <f>+Z65*'1. Standard_Cost'!$B$23+AA65*'1. Standard_Cost'!$C$23</f>
        <v>0</v>
      </c>
      <c r="AC65" s="128">
        <f>300000*14</f>
        <v>4200000</v>
      </c>
      <c r="AD65" s="129"/>
      <c r="AE65" s="127">
        <v>0</v>
      </c>
      <c r="AF65" s="127">
        <f t="shared" si="46"/>
        <v>4200000</v>
      </c>
      <c r="AG65" s="126"/>
      <c r="AH65" s="126"/>
      <c r="AI65" s="126"/>
      <c r="AJ65" s="130"/>
      <c r="AK65" s="130"/>
      <c r="AL65" s="130"/>
      <c r="AM65" s="127">
        <f>AG65*'1. Standard_Cost'!$B$27+'Incremental_Cost Year 3'!AH65*'1. Standard_Cost'!$C$27+'Incremental_Cost Year 3'!AI65*'1. Standard_Cost'!$D$27+'Incremental_Cost Year 3'!AJ65+'Incremental_Cost Year 3'!AL65+AK65</f>
        <v>0</v>
      </c>
      <c r="AN65" s="127">
        <f>AM65*'1. Standard_Cost'!$C$31</f>
        <v>0</v>
      </c>
      <c r="AO65" s="130"/>
      <c r="AQ65" s="171">
        <f t="shared" si="47"/>
        <v>93501006.942857146</v>
      </c>
      <c r="AR65" s="171">
        <f t="shared" si="48"/>
        <v>4200000</v>
      </c>
      <c r="AS65" s="171">
        <f t="shared" si="49"/>
        <v>0</v>
      </c>
      <c r="AT65" s="171">
        <f t="shared" si="50"/>
        <v>97701006.942857146</v>
      </c>
      <c r="AU65" s="250">
        <f>AT65</f>
        <v>97701006.942857146</v>
      </c>
      <c r="AV65" s="250"/>
      <c r="AW65" s="250"/>
      <c r="AX65" s="250"/>
      <c r="AY65" s="250"/>
      <c r="AZ65" s="250"/>
      <c r="BA65" s="250"/>
      <c r="BB65" s="251">
        <f t="shared" si="52"/>
        <v>0</v>
      </c>
      <c r="BC65" s="169"/>
      <c r="BD65" s="169"/>
      <c r="BE65" s="169"/>
      <c r="BF65" s="169"/>
    </row>
    <row r="66" spans="1:58" ht="94.5" outlineLevel="2" x14ac:dyDescent="0.25">
      <c r="A66" s="115"/>
      <c r="B66" s="200"/>
      <c r="C66" s="201"/>
      <c r="D66" s="131"/>
      <c r="E66" s="318"/>
      <c r="F66" s="219"/>
      <c r="G66" s="313"/>
      <c r="H66" s="199" t="s">
        <v>548</v>
      </c>
      <c r="I66" s="130" t="s">
        <v>1</v>
      </c>
      <c r="J66" s="126">
        <v>12</v>
      </c>
      <c r="K66" s="126">
        <f>14*2</f>
        <v>28</v>
      </c>
      <c r="L66" s="125">
        <f>IF(I66&lt;&gt;0,((VLOOKUP(I66,'1. Standard_Cost'!$B$4:$D$11,2)+VLOOKUP(I66,'1. Standard_Cost'!$B$4:$D$11,3))*J66*K66),"0")</f>
        <v>24122400</v>
      </c>
      <c r="M66" s="125">
        <f>L66*'1. Standard_Cost'!$F$4</f>
        <v>4028440.8000000003</v>
      </c>
      <c r="N66" s="126"/>
      <c r="O66" s="126"/>
      <c r="P66" s="126"/>
      <c r="Q66" s="126"/>
      <c r="R66" s="127">
        <f>'1. Standard_Cost'!$B$15*N66*P66</f>
        <v>0</v>
      </c>
      <c r="S66" s="127">
        <f>N66*O66*P66*'1. Standard_Cost'!$C$15</f>
        <v>0</v>
      </c>
      <c r="T66" s="127">
        <f>N66*P66*Q66*'1. Standard_Cost'!$D$15</f>
        <v>0</v>
      </c>
      <c r="U66" s="127">
        <f>N66*O66*'1. Standard_Cost'!$E$15</f>
        <v>0</v>
      </c>
      <c r="V66" s="126"/>
      <c r="W66" s="126"/>
      <c r="X66" s="126"/>
      <c r="Y66" s="127">
        <f>+V66*((X66*'1. Standard_Cost'!$B$19)+(W66*X66*'1. Standard_Cost'!$C$19))</f>
        <v>0</v>
      </c>
      <c r="Z66" s="126"/>
      <c r="AA66" s="126"/>
      <c r="AB66" s="127">
        <f>+Z66*'1. Standard_Cost'!$B$23+AA66*'1. Standard_Cost'!$C$23</f>
        <v>0</v>
      </c>
      <c r="AC66" s="128">
        <f>30000000*2</f>
        <v>60000000</v>
      </c>
      <c r="AD66" s="129"/>
      <c r="AE66" s="127">
        <f>SUM(AD66,AC66,AB66,Y66,U66,T66,S66,R66)*'1. Standard_Cost'!$B$31</f>
        <v>12000000</v>
      </c>
      <c r="AF66" s="127">
        <f t="shared" si="46"/>
        <v>72000000</v>
      </c>
      <c r="AG66" s="126">
        <v>14</v>
      </c>
      <c r="AH66" s="126">
        <v>14</v>
      </c>
      <c r="AI66" s="126">
        <v>1</v>
      </c>
      <c r="AJ66" s="130">
        <f>25000000*2</f>
        <v>50000000</v>
      </c>
      <c r="AK66" s="130"/>
      <c r="AL66" s="130"/>
      <c r="AM66" s="127">
        <f>AG66*'1. Standard_Cost'!$B$27+'Incremental_Cost Year 3'!AH66*'1. Standard_Cost'!$C$27+'Incremental_Cost Year 3'!AI66*'1. Standard_Cost'!$D$27+'Incremental_Cost Year 3'!AJ66+'Incremental_Cost Year 3'!AL66+AK66</f>
        <v>53110000</v>
      </c>
      <c r="AN66" s="127">
        <f>AM66*'1. Standard_Cost'!$C$31</f>
        <v>7966500</v>
      </c>
      <c r="AO66" s="130"/>
      <c r="AQ66" s="171">
        <f t="shared" si="47"/>
        <v>28150840.800000001</v>
      </c>
      <c r="AR66" s="171">
        <f t="shared" si="48"/>
        <v>72000000</v>
      </c>
      <c r="AS66" s="171">
        <f t="shared" si="49"/>
        <v>61076500</v>
      </c>
      <c r="AT66" s="171">
        <f t="shared" si="50"/>
        <v>161227340.80000001</v>
      </c>
      <c r="AU66" s="250">
        <f>AQ66</f>
        <v>28150840.800000001</v>
      </c>
      <c r="AV66" s="250"/>
      <c r="AW66" s="250"/>
      <c r="AX66" s="250"/>
      <c r="AY66" s="250"/>
      <c r="AZ66" s="250"/>
      <c r="BA66" s="250"/>
      <c r="BB66" s="251">
        <f t="shared" si="52"/>
        <v>-133076500.00000001</v>
      </c>
      <c r="BC66" s="169"/>
      <c r="BD66" s="169"/>
      <c r="BE66" s="169"/>
      <c r="BF66" s="169"/>
    </row>
    <row r="67" spans="1:58" ht="31.5" outlineLevel="2" x14ac:dyDescent="0.25">
      <c r="A67" s="115"/>
      <c r="B67" s="200"/>
      <c r="C67" s="201"/>
      <c r="D67" s="131"/>
      <c r="E67" s="318"/>
      <c r="F67" s="219"/>
      <c r="G67" s="313"/>
      <c r="H67" s="199" t="s">
        <v>408</v>
      </c>
      <c r="I67" s="130" t="s">
        <v>1</v>
      </c>
      <c r="J67" s="126">
        <v>12</v>
      </c>
      <c r="K67" s="126">
        <v>400</v>
      </c>
      <c r="L67" s="125">
        <f>IF(I67&lt;&gt;0,((VLOOKUP(I67,'1. Standard_Cost'!$B$4:$D$11,2)+VLOOKUP(I67,'1. Standard_Cost'!$B$4:$D$11,3))*J67*K67),"0")</f>
        <v>344605714.28571427</v>
      </c>
      <c r="M67" s="125">
        <f>L67*'1. Standard_Cost'!$F$4</f>
        <v>57549154.285714284</v>
      </c>
      <c r="N67" s="126"/>
      <c r="O67" s="126"/>
      <c r="P67" s="126"/>
      <c r="Q67" s="126"/>
      <c r="R67" s="127">
        <f>'1. Standard_Cost'!$B$15*N67*P67</f>
        <v>0</v>
      </c>
      <c r="S67" s="127">
        <f>N67*O67*P67*'1. Standard_Cost'!$C$15</f>
        <v>0</v>
      </c>
      <c r="T67" s="127">
        <f>N67*P67*Q67*'1. Standard_Cost'!$D$15</f>
        <v>0</v>
      </c>
      <c r="U67" s="127">
        <f>N67*O67*'1. Standard_Cost'!$E$15</f>
        <v>0</v>
      </c>
      <c r="V67" s="126"/>
      <c r="W67" s="126"/>
      <c r="X67" s="126"/>
      <c r="Y67" s="127">
        <f>+V67*((X67*'1. Standard_Cost'!$B$19)+(W67*X67*'1. Standard_Cost'!$C$19))</f>
        <v>0</v>
      </c>
      <c r="Z67" s="126"/>
      <c r="AA67" s="126"/>
      <c r="AB67" s="127">
        <f>+Z67*'1. Standard_Cost'!$B$23+AA67*'1. Standard_Cost'!$C$23</f>
        <v>0</v>
      </c>
      <c r="AC67" s="128">
        <v>406252000</v>
      </c>
      <c r="AD67" s="129"/>
      <c r="AE67" s="127">
        <f>SUM(AD67,AC67,AB67,Y67,U67,T67,S67,R67)*'1. Standard_Cost'!$B$31</f>
        <v>81250400</v>
      </c>
      <c r="AF67" s="127">
        <f t="shared" si="46"/>
        <v>487502400</v>
      </c>
      <c r="AG67" s="126"/>
      <c r="AH67" s="126"/>
      <c r="AI67" s="126"/>
      <c r="AJ67" s="130"/>
      <c r="AK67" s="130"/>
      <c r="AL67" s="130"/>
      <c r="AM67" s="127">
        <f>AG67*'1. Standard_Cost'!$B$27+'Incremental_Cost Year 3'!AH67*'1. Standard_Cost'!$C$27+'Incremental_Cost Year 3'!AI67*'1. Standard_Cost'!$D$27+'Incremental_Cost Year 3'!AJ67+'Incremental_Cost Year 3'!AL67+AK67</f>
        <v>0</v>
      </c>
      <c r="AN67" s="127">
        <f>AM67*'1. Standard_Cost'!$C$31</f>
        <v>0</v>
      </c>
      <c r="AO67" s="130"/>
      <c r="AQ67" s="171">
        <f t="shared" si="47"/>
        <v>402154868.57142854</v>
      </c>
      <c r="AR67" s="171">
        <f t="shared" si="48"/>
        <v>487502400</v>
      </c>
      <c r="AS67" s="171">
        <f t="shared" si="49"/>
        <v>0</v>
      </c>
      <c r="AT67" s="171">
        <f t="shared" si="50"/>
        <v>889657268.57142854</v>
      </c>
      <c r="AU67" s="250">
        <f>AT67</f>
        <v>889657268.57142854</v>
      </c>
      <c r="AV67" s="250"/>
      <c r="AW67" s="250"/>
      <c r="AX67" s="250"/>
      <c r="AY67" s="250"/>
      <c r="AZ67" s="250"/>
      <c r="BA67" s="250"/>
      <c r="BB67" s="251">
        <f t="shared" si="52"/>
        <v>0</v>
      </c>
      <c r="BC67" s="169"/>
      <c r="BD67" s="169"/>
      <c r="BE67" s="169"/>
      <c r="BF67" s="169"/>
    </row>
    <row r="68" spans="1:58" ht="94.5" outlineLevel="2" x14ac:dyDescent="0.25">
      <c r="A68" s="115"/>
      <c r="B68" s="200"/>
      <c r="C68" s="201"/>
      <c r="D68" s="131"/>
      <c r="E68" s="318"/>
      <c r="F68" s="219"/>
      <c r="G68" s="313"/>
      <c r="H68" s="199" t="s">
        <v>409</v>
      </c>
      <c r="I68" s="130" t="s">
        <v>1</v>
      </c>
      <c r="J68" s="126">
        <v>2</v>
      </c>
      <c r="K68" s="126">
        <v>3</v>
      </c>
      <c r="L68" s="125">
        <f>IF(I68&lt;&gt;0,((VLOOKUP(I68,'1. Standard_Cost'!$B$4:$D$11,2)+VLOOKUP(I68,'1. Standard_Cost'!$B$4:$D$11,3))*J68*K68),"0")</f>
        <v>430757.14285714284</v>
      </c>
      <c r="M68" s="125">
        <f>L68*'1. Standard_Cost'!$F$4</f>
        <v>71936.442857142858</v>
      </c>
      <c r="N68" s="126"/>
      <c r="O68" s="126"/>
      <c r="P68" s="126"/>
      <c r="Q68" s="126"/>
      <c r="R68" s="127">
        <f>'1. Standard_Cost'!$B$15*N68*P68</f>
        <v>0</v>
      </c>
      <c r="S68" s="127">
        <f>N68*O68*P68*'1. Standard_Cost'!$C$15</f>
        <v>0</v>
      </c>
      <c r="T68" s="127">
        <f>N68*P68*Q68*'1. Standard_Cost'!$D$15</f>
        <v>0</v>
      </c>
      <c r="U68" s="127">
        <f>N68*O68*'1. Standard_Cost'!$E$15</f>
        <v>0</v>
      </c>
      <c r="V68" s="126"/>
      <c r="W68" s="126"/>
      <c r="X68" s="126"/>
      <c r="Y68" s="127">
        <f>+V68*((X68*'1. Standard_Cost'!$B$19)+(W68*X68*'1. Standard_Cost'!$C$19))</f>
        <v>0</v>
      </c>
      <c r="Z68" s="126"/>
      <c r="AA68" s="126">
        <v>10</v>
      </c>
      <c r="AB68" s="127">
        <f>+Z68*'1. Standard_Cost'!$B$23+AA68*'1. Standard_Cost'!$C$23</f>
        <v>190000</v>
      </c>
      <c r="AC68" s="128">
        <f>60*300</f>
        <v>18000</v>
      </c>
      <c r="AD68" s="129"/>
      <c r="AE68" s="127">
        <f>SUM(AD68,AC68,AB68,Y68,U68,T68,S68,R68)*'1. Standard_Cost'!$B$31</f>
        <v>41600</v>
      </c>
      <c r="AF68" s="127">
        <f>SUM(AE68,AD68,AC68,AB68,Y68,U68,T68,S68,R68)</f>
        <v>249600</v>
      </c>
      <c r="AG68" s="126"/>
      <c r="AH68" s="126"/>
      <c r="AI68" s="126"/>
      <c r="AJ68" s="130"/>
      <c r="AK68" s="130"/>
      <c r="AL68" s="130"/>
      <c r="AM68" s="127">
        <f>AG68*'1. Standard_Cost'!$B$27+'Incremental_Cost Year 3'!AH68*'1. Standard_Cost'!$C$27+'Incremental_Cost Year 3'!AI68*'1. Standard_Cost'!$D$27+'Incremental_Cost Year 3'!AJ68+'Incremental_Cost Year 3'!AL68+AK68</f>
        <v>0</v>
      </c>
      <c r="AN68" s="127">
        <f>AM68*'1. Standard_Cost'!$C$31</f>
        <v>0</v>
      </c>
      <c r="AO68" s="130"/>
      <c r="AQ68" s="171">
        <f t="shared" si="47"/>
        <v>502693.58571428573</v>
      </c>
      <c r="AR68" s="171">
        <f t="shared" si="48"/>
        <v>249600</v>
      </c>
      <c r="AS68" s="171">
        <f t="shared" si="49"/>
        <v>0</v>
      </c>
      <c r="AT68" s="171">
        <f t="shared" si="50"/>
        <v>752293.58571428573</v>
      </c>
      <c r="AU68" s="250">
        <v>502693.58571428573</v>
      </c>
      <c r="AV68" s="250"/>
      <c r="AW68" s="250"/>
      <c r="AX68" s="250"/>
      <c r="AY68" s="250"/>
      <c r="AZ68" s="250">
        <v>249600</v>
      </c>
      <c r="BA68" s="250"/>
      <c r="BB68" s="251">
        <f t="shared" si="52"/>
        <v>0</v>
      </c>
      <c r="BC68" s="169"/>
      <c r="BD68" s="169"/>
      <c r="BE68" s="169"/>
      <c r="BF68" s="169"/>
    </row>
    <row r="69" spans="1:58" ht="47.25" outlineLevel="2" x14ac:dyDescent="0.25">
      <c r="A69" s="115"/>
      <c r="B69" s="200"/>
      <c r="C69" s="201"/>
      <c r="D69" s="131"/>
      <c r="E69" s="318"/>
      <c r="F69" s="219"/>
      <c r="G69" s="313"/>
      <c r="H69" s="199" t="s">
        <v>224</v>
      </c>
      <c r="I69" s="130"/>
      <c r="J69" s="126"/>
      <c r="K69" s="126"/>
      <c r="L69" s="125" t="str">
        <f>IF(I69&lt;&gt;0,((VLOOKUP(I69,'1. Standard_Cost'!$B$4:$D$11,2)+VLOOKUP(I69,'1. Standard_Cost'!$B$4:$D$11,3))*J69*K69),"0")</f>
        <v>0</v>
      </c>
      <c r="M69" s="125">
        <f>L69*'1. Standard_Cost'!$F$4</f>
        <v>0</v>
      </c>
      <c r="N69" s="126"/>
      <c r="O69" s="126"/>
      <c r="P69" s="126"/>
      <c r="Q69" s="126"/>
      <c r="R69" s="127">
        <f>'1. Standard_Cost'!$B$15*N69*P69</f>
        <v>0</v>
      </c>
      <c r="S69" s="127">
        <f>N69*O69*P69*'1. Standard_Cost'!$C$15</f>
        <v>0</v>
      </c>
      <c r="T69" s="127">
        <f>N69*P69*Q69*'1. Standard_Cost'!$D$15</f>
        <v>0</v>
      </c>
      <c r="U69" s="127">
        <f>N69*O69*'1. Standard_Cost'!$E$15</f>
        <v>0</v>
      </c>
      <c r="V69" s="126"/>
      <c r="W69" s="126"/>
      <c r="X69" s="126"/>
      <c r="Y69" s="127">
        <f>+V69*((X69*'1. Standard_Cost'!$B$19)+(W69*X69*'1. Standard_Cost'!$C$19))</f>
        <v>0</v>
      </c>
      <c r="Z69" s="126"/>
      <c r="AA69" s="126"/>
      <c r="AB69" s="127">
        <f>+Z69*'1. Standard_Cost'!$B$23+AA69*'1. Standard_Cost'!$C$23</f>
        <v>0</v>
      </c>
      <c r="AC69" s="128"/>
      <c r="AD69" s="129"/>
      <c r="AE69" s="127"/>
      <c r="AF69" s="127"/>
      <c r="AG69" s="126"/>
      <c r="AH69" s="126"/>
      <c r="AI69" s="126"/>
      <c r="AJ69" s="130"/>
      <c r="AK69" s="130"/>
      <c r="AL69" s="130">
        <f>66500000000/123</f>
        <v>540650406.50406504</v>
      </c>
      <c r="AM69" s="127">
        <f>AG69*'1. Standard_Cost'!$B$27+'Incremental_Cost Year 3'!AH69*'1. Standard_Cost'!$C$27+'Incremental_Cost Year 3'!AI69*'1. Standard_Cost'!$D$27+'Incremental_Cost Year 3'!AJ69+'Incremental_Cost Year 3'!AL69+AK69</f>
        <v>540650406.50406504</v>
      </c>
      <c r="AN69" s="127">
        <f>AM69*'1. Standard_Cost'!$C$31</f>
        <v>81097560.97560975</v>
      </c>
      <c r="AO69" s="130"/>
      <c r="AQ69" s="171">
        <f t="shared" si="47"/>
        <v>0</v>
      </c>
      <c r="AR69" s="171">
        <f t="shared" si="48"/>
        <v>0</v>
      </c>
      <c r="AS69" s="171">
        <f t="shared" si="49"/>
        <v>621747967.47967482</v>
      </c>
      <c r="AT69" s="171">
        <f t="shared" si="50"/>
        <v>621747967.47967482</v>
      </c>
      <c r="AU69" s="250"/>
      <c r="AV69" s="250"/>
      <c r="AW69" s="250"/>
      <c r="AX69" s="250"/>
      <c r="AY69" s="250"/>
      <c r="AZ69" s="250"/>
      <c r="BA69" s="250"/>
      <c r="BB69" s="251">
        <f t="shared" si="52"/>
        <v>-621747967.47967482</v>
      </c>
      <c r="BC69" s="169"/>
      <c r="BD69" s="169"/>
      <c r="BE69" s="169"/>
      <c r="BF69" s="169"/>
    </row>
    <row r="70" spans="1:58" ht="189" outlineLevel="2" x14ac:dyDescent="0.25">
      <c r="A70" s="115"/>
      <c r="B70" s="200"/>
      <c r="C70" s="201"/>
      <c r="D70" s="131"/>
      <c r="E70" s="318"/>
      <c r="F70" s="219"/>
      <c r="G70" s="313"/>
      <c r="H70" s="111" t="s">
        <v>410</v>
      </c>
      <c r="I70" s="130" t="s">
        <v>4</v>
      </c>
      <c r="J70" s="126">
        <v>0.5</v>
      </c>
      <c r="K70" s="126">
        <v>20</v>
      </c>
      <c r="L70" s="125">
        <f>IF(I70&lt;&gt;0,((VLOOKUP(I70,'1. Standard_Cost'!$B$4:$D$11,2)+VLOOKUP(I70,'1. Standard_Cost'!$B$4:$D$11,3))*J70*K70),"0")</f>
        <v>807500</v>
      </c>
      <c r="M70" s="125">
        <f>L70*'1. Standard_Cost'!$F$4</f>
        <v>134852.5</v>
      </c>
      <c r="N70" s="126"/>
      <c r="O70" s="126"/>
      <c r="P70" s="126"/>
      <c r="Q70" s="126"/>
      <c r="R70" s="127">
        <f>'1. Standard_Cost'!$B$15*N70*P70</f>
        <v>0</v>
      </c>
      <c r="S70" s="127">
        <f>N70*O70*P70*'1. Standard_Cost'!$C$15</f>
        <v>0</v>
      </c>
      <c r="T70" s="127">
        <f>N70*P70*Q70*'1. Standard_Cost'!$D$15</f>
        <v>0</v>
      </c>
      <c r="U70" s="127">
        <f>N70*O70*'1. Standard_Cost'!$E$15</f>
        <v>0</v>
      </c>
      <c r="V70" s="126"/>
      <c r="W70" s="126"/>
      <c r="X70" s="126"/>
      <c r="Y70" s="127">
        <f>+V70*((X70*'1. Standard_Cost'!$B$19)+(W70*X70*'1. Standard_Cost'!$C$19))</f>
        <v>0</v>
      </c>
      <c r="Z70" s="126"/>
      <c r="AA70" s="126">
        <v>60</v>
      </c>
      <c r="AB70" s="127">
        <f>+Z70*'1. Standard_Cost'!$B$23+AA70*'1. Standard_Cost'!$C$23</f>
        <v>1140000</v>
      </c>
      <c r="AC70" s="128">
        <f>10*3*300+300*700</f>
        <v>219000</v>
      </c>
      <c r="AD70" s="129"/>
      <c r="AE70" s="127">
        <f>SUM(AD70,AC70,AB70,Y70,U70,T70,S70,R70)*'1. Standard_Cost'!$B$31</f>
        <v>271800</v>
      </c>
      <c r="AF70" s="127">
        <f t="shared" ref="AF70:AF76" si="53">SUM(AE70,AD70,AC70,AB70,Y70,U70,T70,S70,R70)</f>
        <v>1630800</v>
      </c>
      <c r="AG70" s="126"/>
      <c r="AH70" s="126"/>
      <c r="AI70" s="126"/>
      <c r="AJ70" s="130"/>
      <c r="AK70" s="130"/>
      <c r="AL70" s="130"/>
      <c r="AM70" s="127">
        <f>AG70*'1. Standard_Cost'!$B$27+'Incremental_Cost Year 3'!AH70*'1. Standard_Cost'!$C$27+'Incremental_Cost Year 3'!AI70*'1. Standard_Cost'!$D$27+'Incremental_Cost Year 3'!AJ70+'Incremental_Cost Year 3'!AL70+AK70</f>
        <v>0</v>
      </c>
      <c r="AN70" s="127">
        <f>AM70*'1. Standard_Cost'!$C$31</f>
        <v>0</v>
      </c>
      <c r="AO70" s="130"/>
      <c r="AQ70" s="171">
        <f t="shared" si="47"/>
        <v>942352.5</v>
      </c>
      <c r="AR70" s="171">
        <f t="shared" si="48"/>
        <v>1630800</v>
      </c>
      <c r="AS70" s="171">
        <f t="shared" si="49"/>
        <v>0</v>
      </c>
      <c r="AT70" s="171">
        <f t="shared" si="50"/>
        <v>2573152.5</v>
      </c>
      <c r="AU70" s="250">
        <f>AQ70</f>
        <v>942352.5</v>
      </c>
      <c r="AV70" s="250"/>
      <c r="AW70" s="250"/>
      <c r="AX70" s="250"/>
      <c r="AY70" s="250">
        <f>AR70</f>
        <v>1630800</v>
      </c>
      <c r="AZ70" s="250"/>
      <c r="BA70" s="250"/>
      <c r="BB70" s="251">
        <f t="shared" si="52"/>
        <v>0</v>
      </c>
      <c r="BC70" s="169"/>
      <c r="BD70" s="169"/>
      <c r="BE70" s="169"/>
      <c r="BF70" s="169"/>
    </row>
    <row r="71" spans="1:58" ht="157.5" outlineLevel="2" x14ac:dyDescent="0.25">
      <c r="A71" s="115"/>
      <c r="B71" s="200"/>
      <c r="C71" s="201"/>
      <c r="D71" s="131"/>
      <c r="E71" s="318"/>
      <c r="F71" s="219"/>
      <c r="G71" s="313"/>
      <c r="H71" s="111" t="s">
        <v>411</v>
      </c>
      <c r="I71" s="130" t="s">
        <v>4</v>
      </c>
      <c r="J71" s="126">
        <v>2</v>
      </c>
      <c r="K71" s="126">
        <v>10</v>
      </c>
      <c r="L71" s="125">
        <f>IF(I71&lt;&gt;0,((VLOOKUP(I71,'1. Standard_Cost'!$B$4:$D$11,2)+VLOOKUP(I71,'1. Standard_Cost'!$B$4:$D$11,3))*J71*K71),"0")</f>
        <v>1615000</v>
      </c>
      <c r="M71" s="125">
        <f>L71*'1. Standard_Cost'!$F$4</f>
        <v>269705</v>
      </c>
      <c r="N71" s="126"/>
      <c r="O71" s="126"/>
      <c r="P71" s="126"/>
      <c r="Q71" s="126"/>
      <c r="R71" s="127">
        <f>'1. Standard_Cost'!$B$15*N71*P71</f>
        <v>0</v>
      </c>
      <c r="S71" s="127">
        <f>N71*O71*P71*'1. Standard_Cost'!$C$15</f>
        <v>0</v>
      </c>
      <c r="T71" s="127">
        <f>N71*P71*Q71*'1. Standard_Cost'!$D$15</f>
        <v>0</v>
      </c>
      <c r="U71" s="127">
        <f>N71*O71*'1. Standard_Cost'!$E$15</f>
        <v>0</v>
      </c>
      <c r="V71" s="126"/>
      <c r="W71" s="126"/>
      <c r="X71" s="126"/>
      <c r="Y71" s="127">
        <f>+V71*((X71*'1. Standard_Cost'!$B$19)+(W71*X71*'1. Standard_Cost'!$C$19))</f>
        <v>0</v>
      </c>
      <c r="Z71" s="126"/>
      <c r="AA71" s="126">
        <v>60</v>
      </c>
      <c r="AB71" s="127">
        <f>+Z71*'1. Standard_Cost'!$B$23+AA71*'1. Standard_Cost'!$C$23</f>
        <v>1140000</v>
      </c>
      <c r="AC71" s="128">
        <f>20*300</f>
        <v>6000</v>
      </c>
      <c r="AD71" s="129"/>
      <c r="AE71" s="127">
        <f>SUM(AD71,AC71,AB71,Y71,U71,T71,S71,R71)*'1. Standard_Cost'!$B$31</f>
        <v>229200</v>
      </c>
      <c r="AF71" s="127">
        <f t="shared" si="53"/>
        <v>1375200</v>
      </c>
      <c r="AG71" s="126"/>
      <c r="AH71" s="126"/>
      <c r="AI71" s="126"/>
      <c r="AJ71" s="130"/>
      <c r="AK71" s="130"/>
      <c r="AL71" s="130"/>
      <c r="AM71" s="127">
        <f>AG71*'1. Standard_Cost'!$B$27+'Incremental_Cost Year 3'!AH71*'1. Standard_Cost'!$C$27+'Incremental_Cost Year 3'!AI71*'1. Standard_Cost'!$D$27+'Incremental_Cost Year 3'!AJ71+'Incremental_Cost Year 3'!AL71+AK71</f>
        <v>0</v>
      </c>
      <c r="AN71" s="127">
        <f>AM71*'1. Standard_Cost'!$C$31</f>
        <v>0</v>
      </c>
      <c r="AO71" s="130"/>
      <c r="AQ71" s="171">
        <f t="shared" si="47"/>
        <v>1884705</v>
      </c>
      <c r="AR71" s="171">
        <f t="shared" si="48"/>
        <v>1375200</v>
      </c>
      <c r="AS71" s="171">
        <f t="shared" si="49"/>
        <v>0</v>
      </c>
      <c r="AT71" s="171">
        <f t="shared" si="50"/>
        <v>3259905</v>
      </c>
      <c r="AU71" s="250">
        <f>AQ71</f>
        <v>1884705</v>
      </c>
      <c r="AV71" s="250"/>
      <c r="AW71" s="250"/>
      <c r="AX71" s="250"/>
      <c r="AY71" s="250"/>
      <c r="AZ71" s="250"/>
      <c r="BA71" s="250"/>
      <c r="BB71" s="251">
        <f t="shared" si="52"/>
        <v>-1375200</v>
      </c>
      <c r="BC71" s="169"/>
      <c r="BD71" s="169"/>
      <c r="BE71" s="169"/>
      <c r="BF71" s="169"/>
    </row>
    <row r="72" spans="1:58" ht="173.25" outlineLevel="2" x14ac:dyDescent="0.25">
      <c r="A72" s="115"/>
      <c r="B72" s="200"/>
      <c r="C72" s="201"/>
      <c r="D72" s="131"/>
      <c r="E72" s="318"/>
      <c r="F72" s="219"/>
      <c r="G72" s="313"/>
      <c r="H72" s="199" t="s">
        <v>412</v>
      </c>
      <c r="I72" s="130" t="s">
        <v>4</v>
      </c>
      <c r="J72" s="126">
        <v>0.5</v>
      </c>
      <c r="K72" s="126">
        <v>5</v>
      </c>
      <c r="L72" s="125">
        <f>IF(I72&lt;&gt;0,((VLOOKUP(I72,'1. Standard_Cost'!$B$4:$D$11,2)+VLOOKUP(I72,'1. Standard_Cost'!$B$4:$D$11,3))*J72*K72),"0")</f>
        <v>201875</v>
      </c>
      <c r="M72" s="125">
        <f>L72*'1. Standard_Cost'!$F$4</f>
        <v>33713.125</v>
      </c>
      <c r="N72" s="126">
        <v>5</v>
      </c>
      <c r="O72" s="126">
        <v>2</v>
      </c>
      <c r="P72" s="126">
        <v>20</v>
      </c>
      <c r="Q72" s="126"/>
      <c r="R72" s="127">
        <f>'1. Standard_Cost'!$B$15*N72*P72</f>
        <v>200000</v>
      </c>
      <c r="S72" s="127">
        <f>N72*O72*P72*'1. Standard_Cost'!$C$15</f>
        <v>300000</v>
      </c>
      <c r="T72" s="127">
        <f>N72*P72*Q72*'1. Standard_Cost'!$D$15</f>
        <v>0</v>
      </c>
      <c r="U72" s="127">
        <f>N72*O72*'1. Standard_Cost'!$E$15</f>
        <v>400000</v>
      </c>
      <c r="V72" s="126"/>
      <c r="W72" s="126"/>
      <c r="X72" s="126"/>
      <c r="Y72" s="127">
        <f>+V72*((X72*'1. Standard_Cost'!$B$19)+(W72*X72*'1. Standard_Cost'!$C$19))</f>
        <v>0</v>
      </c>
      <c r="Z72" s="126"/>
      <c r="AA72" s="126">
        <v>6</v>
      </c>
      <c r="AB72" s="127">
        <f>+Z72*'1. Standard_Cost'!$B$23+AA72*'1. Standard_Cost'!$C$23</f>
        <v>114000</v>
      </c>
      <c r="AC72" s="128">
        <f>100*300*2+100*3000*2</f>
        <v>660000</v>
      </c>
      <c r="AD72" s="129"/>
      <c r="AE72" s="127">
        <f>SUM(AD72,AC72,AB72,Y72,U72,T72,S72,R72)*'1. Standard_Cost'!$B$31</f>
        <v>334800</v>
      </c>
      <c r="AF72" s="127">
        <f t="shared" si="53"/>
        <v>2008800</v>
      </c>
      <c r="AG72" s="126"/>
      <c r="AH72" s="126"/>
      <c r="AI72" s="126"/>
      <c r="AJ72" s="130"/>
      <c r="AK72" s="130"/>
      <c r="AL72" s="130"/>
      <c r="AM72" s="127">
        <f>AG72*'1. Standard_Cost'!$B$27+'Incremental_Cost Year 3'!AH72*'1. Standard_Cost'!$C$27+'Incremental_Cost Year 3'!AI72*'1. Standard_Cost'!$D$27+'Incremental_Cost Year 3'!AJ72+'Incremental_Cost Year 3'!AL72+AK72</f>
        <v>0</v>
      </c>
      <c r="AN72" s="127">
        <f>AM72*'1. Standard_Cost'!$C$31</f>
        <v>0</v>
      </c>
      <c r="AO72" s="249"/>
      <c r="AQ72" s="171">
        <f t="shared" si="47"/>
        <v>235588.125</v>
      </c>
      <c r="AR72" s="171">
        <f t="shared" si="48"/>
        <v>2008800</v>
      </c>
      <c r="AS72" s="171">
        <f t="shared" si="49"/>
        <v>0</v>
      </c>
      <c r="AT72" s="171">
        <f t="shared" si="50"/>
        <v>2244388.125</v>
      </c>
      <c r="AU72" s="250">
        <f>AQ72</f>
        <v>235588.125</v>
      </c>
      <c r="AV72" s="250"/>
      <c r="AW72" s="250"/>
      <c r="AX72" s="250"/>
      <c r="AY72" s="250">
        <f>928800</f>
        <v>928800</v>
      </c>
      <c r="AZ72" s="250"/>
      <c r="BA72" s="250"/>
      <c r="BB72" s="251">
        <f t="shared" si="52"/>
        <v>-1080000</v>
      </c>
      <c r="BC72" s="169"/>
      <c r="BD72" s="169"/>
      <c r="BE72" s="169"/>
      <c r="BF72" s="169"/>
    </row>
    <row r="73" spans="1:58" ht="157.5" outlineLevel="2" x14ac:dyDescent="0.25">
      <c r="A73" s="115"/>
      <c r="B73" s="200"/>
      <c r="C73" s="201"/>
      <c r="D73" s="131"/>
      <c r="E73" s="318"/>
      <c r="F73" s="219"/>
      <c r="G73" s="313"/>
      <c r="H73" s="199" t="s">
        <v>413</v>
      </c>
      <c r="I73" s="130" t="s">
        <v>4</v>
      </c>
      <c r="J73" s="126">
        <v>0.2</v>
      </c>
      <c r="K73" s="126">
        <v>5</v>
      </c>
      <c r="L73" s="125">
        <f>IF(I73&lt;&gt;0,((VLOOKUP(I73,'1. Standard_Cost'!$B$4:$D$11,2)+VLOOKUP(I73,'1. Standard_Cost'!$B$4:$D$11,3))*J73*K73),"0")</f>
        <v>80750</v>
      </c>
      <c r="M73" s="125">
        <f>L73*'1. Standard_Cost'!$F$4</f>
        <v>13485.25</v>
      </c>
      <c r="N73" s="126">
        <v>2</v>
      </c>
      <c r="O73" s="126">
        <v>2</v>
      </c>
      <c r="P73" s="126">
        <v>20</v>
      </c>
      <c r="Q73" s="126"/>
      <c r="R73" s="127">
        <f>'1. Standard_Cost'!$B$15*N73*P73</f>
        <v>80000</v>
      </c>
      <c r="S73" s="127">
        <f>N73*O73*P73*'1. Standard_Cost'!$C$15</f>
        <v>120000</v>
      </c>
      <c r="T73" s="127">
        <f>N73*P73*Q73*'1. Standard_Cost'!$D$15</f>
        <v>0</v>
      </c>
      <c r="U73" s="127">
        <f>N73*O73*'1. Standard_Cost'!$E$15</f>
        <v>160000</v>
      </c>
      <c r="V73" s="126"/>
      <c r="W73" s="126"/>
      <c r="X73" s="126"/>
      <c r="Y73" s="127">
        <f>+V73*((X73*'1. Standard_Cost'!$B$19)+(W73*X73*'1. Standard_Cost'!$C$19))</f>
        <v>0</v>
      </c>
      <c r="Z73" s="126"/>
      <c r="AA73" s="126">
        <v>3</v>
      </c>
      <c r="AB73" s="127">
        <f>+Z73*'1. Standard_Cost'!$B$23+AA73*'1. Standard_Cost'!$C$23</f>
        <v>57000</v>
      </c>
      <c r="AC73" s="128">
        <f>40*3300*2</f>
        <v>264000</v>
      </c>
      <c r="AD73" s="129"/>
      <c r="AE73" s="127">
        <f>SUM(AD73,AC73,AB73,Y73,U73,T73,S73,R73)*'1. Standard_Cost'!$B$31</f>
        <v>136200</v>
      </c>
      <c r="AF73" s="127">
        <f t="shared" si="53"/>
        <v>817200</v>
      </c>
      <c r="AG73" s="126"/>
      <c r="AH73" s="126"/>
      <c r="AI73" s="126"/>
      <c r="AJ73" s="130"/>
      <c r="AK73" s="130"/>
      <c r="AL73" s="130"/>
      <c r="AM73" s="127">
        <f>AG73*'1. Standard_Cost'!$B$27+'Incremental_Cost Year 3'!AH73*'1. Standard_Cost'!$C$27+'Incremental_Cost Year 3'!AI73*'1. Standard_Cost'!$D$27+'Incremental_Cost Year 3'!AJ73+'Incremental_Cost Year 3'!AL73+AK73</f>
        <v>0</v>
      </c>
      <c r="AN73" s="127">
        <f>AM73*'1. Standard_Cost'!$C$31</f>
        <v>0</v>
      </c>
      <c r="AO73" s="249"/>
      <c r="AQ73" s="171">
        <f t="shared" si="47"/>
        <v>94235.25</v>
      </c>
      <c r="AR73" s="171">
        <f t="shared" si="48"/>
        <v>817200</v>
      </c>
      <c r="AS73" s="171">
        <f t="shared" si="49"/>
        <v>0</v>
      </c>
      <c r="AT73" s="171">
        <f t="shared" si="50"/>
        <v>911435.25</v>
      </c>
      <c r="AU73" s="250">
        <f>AQ73</f>
        <v>94235.25</v>
      </c>
      <c r="AV73" s="250"/>
      <c r="AW73" s="250"/>
      <c r="AX73" s="250"/>
      <c r="AY73" s="250">
        <f>AR73</f>
        <v>817200</v>
      </c>
      <c r="AZ73" s="250"/>
      <c r="BA73" s="250"/>
      <c r="BB73" s="251">
        <f t="shared" si="52"/>
        <v>0</v>
      </c>
      <c r="BC73" s="169"/>
      <c r="BD73" s="169"/>
      <c r="BE73" s="169"/>
      <c r="BF73" s="169"/>
    </row>
    <row r="74" spans="1:58" ht="47.25" outlineLevel="2" x14ac:dyDescent="0.25">
      <c r="A74" s="115"/>
      <c r="B74" s="200"/>
      <c r="C74" s="201"/>
      <c r="D74" s="131"/>
      <c r="E74" s="318"/>
      <c r="F74" s="219"/>
      <c r="G74" s="313"/>
      <c r="H74" s="199" t="s">
        <v>310</v>
      </c>
      <c r="I74" s="130"/>
      <c r="J74" s="126"/>
      <c r="K74" s="126"/>
      <c r="L74" s="125" t="str">
        <f>IF(I74&lt;&gt;0,((VLOOKUP(I74,'1. Standard_Cost'!$B$4:$D$11,2)+VLOOKUP(I74,'1. Standard_Cost'!$B$4:$D$11,3))*J74*K74),"0")</f>
        <v>0</v>
      </c>
      <c r="M74" s="125">
        <f>L74*'1. Standard_Cost'!$F$4</f>
        <v>0</v>
      </c>
      <c r="N74" s="126"/>
      <c r="O74" s="126"/>
      <c r="P74" s="126"/>
      <c r="Q74" s="126"/>
      <c r="R74" s="127">
        <f>'1. Standard_Cost'!$B$15*N74*P74</f>
        <v>0</v>
      </c>
      <c r="S74" s="127">
        <f>N74*O74*P74*'1. Standard_Cost'!$C$15</f>
        <v>0</v>
      </c>
      <c r="T74" s="127">
        <f>N74*P74*Q74*'1. Standard_Cost'!$D$15</f>
        <v>0</v>
      </c>
      <c r="U74" s="127">
        <f>N74*O74*'1. Standard_Cost'!$E$15</f>
        <v>0</v>
      </c>
      <c r="V74" s="126"/>
      <c r="W74" s="126"/>
      <c r="X74" s="126"/>
      <c r="Y74" s="127">
        <f>+V74*((X74*'1. Standard_Cost'!$B$19)+(W74*X74*'1. Standard_Cost'!$C$19))</f>
        <v>0</v>
      </c>
      <c r="Z74" s="126"/>
      <c r="AA74" s="126"/>
      <c r="AB74" s="127">
        <f>+Z74*'1. Standard_Cost'!$B$23+AA74*'1. Standard_Cost'!$C$23</f>
        <v>0</v>
      </c>
      <c r="AC74" s="128"/>
      <c r="AD74" s="129"/>
      <c r="AE74" s="127">
        <f>SUM(AD74,AC74,AB74,Y74,U74,T74,S74,R74)*'1. Standard_Cost'!$B$31</f>
        <v>0</v>
      </c>
      <c r="AF74" s="127">
        <f t="shared" si="53"/>
        <v>0</v>
      </c>
      <c r="AG74" s="126"/>
      <c r="AH74" s="126"/>
      <c r="AI74" s="126"/>
      <c r="AJ74" s="130"/>
      <c r="AK74" s="130"/>
      <c r="AL74" s="130"/>
      <c r="AM74" s="127">
        <f>AG74*'1. Standard_Cost'!$B$27+'Incremental_Cost Year 3'!AH74*'1. Standard_Cost'!$C$27+'Incremental_Cost Year 3'!AI74*'1. Standard_Cost'!$D$27+'Incremental_Cost Year 3'!AJ74+'Incremental_Cost Year 3'!AL74+AK74</f>
        <v>0</v>
      </c>
      <c r="AN74" s="127">
        <f>AM74*'1. Standard_Cost'!$C$31</f>
        <v>0</v>
      </c>
      <c r="AO74" s="130"/>
      <c r="AQ74" s="171">
        <f t="shared" si="47"/>
        <v>0</v>
      </c>
      <c r="AR74" s="171">
        <f t="shared" si="48"/>
        <v>0</v>
      </c>
      <c r="AS74" s="171">
        <f t="shared" si="49"/>
        <v>0</v>
      </c>
      <c r="AT74" s="171">
        <f t="shared" si="50"/>
        <v>0</v>
      </c>
      <c r="AU74" s="250"/>
      <c r="AV74" s="250"/>
      <c r="AW74" s="250"/>
      <c r="AX74" s="250"/>
      <c r="AY74" s="250"/>
      <c r="AZ74" s="250"/>
      <c r="BA74" s="250"/>
      <c r="BB74" s="251">
        <f t="shared" si="52"/>
        <v>0</v>
      </c>
      <c r="BC74" s="169"/>
      <c r="BD74" s="169"/>
      <c r="BE74" s="169"/>
      <c r="BF74" s="169"/>
    </row>
    <row r="75" spans="1:58" ht="126" outlineLevel="2" x14ac:dyDescent="0.25">
      <c r="A75" s="115"/>
      <c r="B75" s="200"/>
      <c r="C75" s="201"/>
      <c r="D75" s="131"/>
      <c r="E75" s="219"/>
      <c r="F75" s="219"/>
      <c r="G75" s="313"/>
      <c r="H75" s="112" t="s">
        <v>414</v>
      </c>
      <c r="I75" s="130" t="s">
        <v>5</v>
      </c>
      <c r="J75" s="126">
        <v>12</v>
      </c>
      <c r="K75" s="126">
        <v>72</v>
      </c>
      <c r="L75" s="125">
        <f>IF(I75&lt;&gt;0,((VLOOKUP(I75,'1. Standard_Cost'!$B$4:$D$11,2)+VLOOKUP(I75,'1. Standard_Cost'!$B$4:$D$11,3))*J75*K75),"0")</f>
        <v>61084800</v>
      </c>
      <c r="M75" s="125">
        <f>L75*'1. Standard_Cost'!$F$4</f>
        <v>10201161.600000001</v>
      </c>
      <c r="N75" s="126"/>
      <c r="O75" s="126"/>
      <c r="P75" s="126"/>
      <c r="Q75" s="126"/>
      <c r="R75" s="127">
        <f>'1. Standard_Cost'!$B$15*N75*P75</f>
        <v>0</v>
      </c>
      <c r="S75" s="127">
        <f>N75*O75*P75*'1. Standard_Cost'!$C$15</f>
        <v>0</v>
      </c>
      <c r="T75" s="127">
        <f>N75*P75*Q75*'1. Standard_Cost'!$D$15</f>
        <v>0</v>
      </c>
      <c r="U75" s="127">
        <f>N75*O75*'1. Standard_Cost'!$E$15</f>
        <v>0</v>
      </c>
      <c r="V75" s="126"/>
      <c r="W75" s="126"/>
      <c r="X75" s="126"/>
      <c r="Y75" s="127">
        <f>+V75*((X75*'1. Standard_Cost'!$B$19)+(W75*X75*'1. Standard_Cost'!$C$19))</f>
        <v>0</v>
      </c>
      <c r="Z75" s="126"/>
      <c r="AA75" s="126"/>
      <c r="AB75" s="127">
        <f>+Z75*'1. Standard_Cost'!$B$23+AA75*'1. Standard_Cost'!$C$23</f>
        <v>0</v>
      </c>
      <c r="AC75" s="128">
        <v>13000000</v>
      </c>
      <c r="AD75" s="129"/>
      <c r="AE75" s="127"/>
      <c r="AF75" s="127">
        <f t="shared" si="53"/>
        <v>13000000</v>
      </c>
      <c r="AG75" s="126"/>
      <c r="AH75" s="126"/>
      <c r="AI75" s="126"/>
      <c r="AJ75" s="130"/>
      <c r="AK75" s="130"/>
      <c r="AL75" s="130">
        <v>16237000</v>
      </c>
      <c r="AM75" s="127">
        <f>AG75*'1. Standard_Cost'!$B$27+'Incremental_Cost Year 3'!AH75*'1. Standard_Cost'!$C$27+'Incremental_Cost Year 3'!AI75*'1. Standard_Cost'!$D$27+'Incremental_Cost Year 3'!AJ75+'Incremental_Cost Year 3'!AL75+AK75</f>
        <v>16237000</v>
      </c>
      <c r="AN75" s="127"/>
      <c r="AO75" s="130"/>
      <c r="AQ75" s="171">
        <f t="shared" si="47"/>
        <v>71285961.599999994</v>
      </c>
      <c r="AR75" s="171">
        <f t="shared" si="48"/>
        <v>13000000</v>
      </c>
      <c r="AS75" s="171">
        <f t="shared" si="49"/>
        <v>16237000</v>
      </c>
      <c r="AT75" s="171">
        <f t="shared" si="50"/>
        <v>100522961.59999999</v>
      </c>
      <c r="AU75" s="250">
        <f>AT75</f>
        <v>100522961.59999999</v>
      </c>
      <c r="AV75" s="250"/>
      <c r="AW75" s="250"/>
      <c r="AX75" s="250"/>
      <c r="AY75" s="250"/>
      <c r="AZ75" s="250"/>
      <c r="BA75" s="250"/>
      <c r="BB75" s="251">
        <f t="shared" si="52"/>
        <v>0</v>
      </c>
      <c r="BC75" s="169"/>
      <c r="BD75" s="169"/>
      <c r="BE75" s="169"/>
      <c r="BF75" s="169"/>
    </row>
    <row r="76" spans="1:58" ht="78.75" outlineLevel="2" x14ac:dyDescent="0.25">
      <c r="A76" s="115"/>
      <c r="B76" s="200"/>
      <c r="C76" s="201"/>
      <c r="D76" s="305"/>
      <c r="E76" s="320"/>
      <c r="F76" s="122"/>
      <c r="G76" s="123"/>
      <c r="H76" s="199" t="s">
        <v>415</v>
      </c>
      <c r="I76" s="130" t="s">
        <v>3</v>
      </c>
      <c r="J76" s="126">
        <v>0.5</v>
      </c>
      <c r="K76" s="126">
        <v>3</v>
      </c>
      <c r="L76" s="125">
        <f>IF(I76&lt;&gt;0,((VLOOKUP(I76,'1. Standard_Cost'!$B$4:$D$11,2)+VLOOKUP(I76,'1. Standard_Cost'!$B$4:$D$11,3))*J76*K76),"0")</f>
        <v>151200</v>
      </c>
      <c r="M76" s="125">
        <f>L76*'1. Standard_Cost'!$F$4</f>
        <v>25250.400000000001</v>
      </c>
      <c r="N76" s="126"/>
      <c r="O76" s="126"/>
      <c r="P76" s="126"/>
      <c r="Q76" s="126"/>
      <c r="R76" s="127">
        <f>'1. Standard_Cost'!$B$15*N76*P76</f>
        <v>0</v>
      </c>
      <c r="S76" s="127">
        <f>N76*O76*P76*'1. Standard_Cost'!$C$15</f>
        <v>0</v>
      </c>
      <c r="T76" s="127">
        <f>N76*P76*Q76*'1. Standard_Cost'!$D$15</f>
        <v>0</v>
      </c>
      <c r="U76" s="127">
        <f>N76*O76*'1. Standard_Cost'!$E$15</f>
        <v>0</v>
      </c>
      <c r="V76" s="126"/>
      <c r="W76" s="126"/>
      <c r="X76" s="126"/>
      <c r="Y76" s="127">
        <f>+V76*((X76*'1. Standard_Cost'!$B$19)+(W76*X76*'1. Standard_Cost'!$C$19))</f>
        <v>0</v>
      </c>
      <c r="Z76" s="126"/>
      <c r="AA76" s="126"/>
      <c r="AB76" s="127">
        <f>+Z76*'1. Standard_Cost'!$B$23+AA76*'1. Standard_Cost'!$C$23</f>
        <v>0</v>
      </c>
      <c r="AC76" s="128">
        <v>500000</v>
      </c>
      <c r="AD76" s="129"/>
      <c r="AE76" s="127">
        <f>SUM(AD76,AC76,AB76,Y76,U76,T76,S76,R76)*'1. Standard_Cost'!$B$31</f>
        <v>100000</v>
      </c>
      <c r="AF76" s="127">
        <f t="shared" si="53"/>
        <v>600000</v>
      </c>
      <c r="AG76" s="126"/>
      <c r="AH76" s="126"/>
      <c r="AI76" s="126"/>
      <c r="AJ76" s="130"/>
      <c r="AK76" s="130"/>
      <c r="AL76" s="130"/>
      <c r="AM76" s="127">
        <f>AG76*'1. Standard_Cost'!$B$27+'Incremental_Cost Year 3'!AH76*'1. Standard_Cost'!$C$27+'Incremental_Cost Year 3'!AI76*'1. Standard_Cost'!$D$27+'Incremental_Cost Year 3'!AJ76+'Incremental_Cost Year 3'!AL76+AK76</f>
        <v>0</v>
      </c>
      <c r="AN76" s="127">
        <f>AM76*'1. Standard_Cost'!$C$31</f>
        <v>0</v>
      </c>
      <c r="AO76" s="130"/>
      <c r="AQ76" s="171">
        <f t="shared" si="47"/>
        <v>176450.4</v>
      </c>
      <c r="AR76" s="171">
        <f t="shared" si="48"/>
        <v>600000</v>
      </c>
      <c r="AS76" s="171">
        <f t="shared" si="49"/>
        <v>0</v>
      </c>
      <c r="AT76" s="171">
        <f t="shared" si="50"/>
        <v>776450.4</v>
      </c>
      <c r="AU76" s="250">
        <f>AQ76</f>
        <v>176450.4</v>
      </c>
      <c r="AV76" s="250"/>
      <c r="AW76" s="250"/>
      <c r="AX76" s="250"/>
      <c r="AY76" s="250">
        <v>600000</v>
      </c>
      <c r="AZ76" s="250"/>
      <c r="BA76" s="250"/>
      <c r="BB76" s="251">
        <f t="shared" si="52"/>
        <v>0</v>
      </c>
      <c r="BC76" s="169"/>
      <c r="BD76" s="169"/>
      <c r="BE76" s="169"/>
      <c r="BF76" s="169"/>
    </row>
    <row r="77" spans="1:58" ht="141.75" outlineLevel="1" x14ac:dyDescent="0.25">
      <c r="A77" s="115"/>
      <c r="B77" s="165"/>
      <c r="C77" s="166"/>
      <c r="D77" s="107" t="s">
        <v>416</v>
      </c>
      <c r="E77" s="139" t="s">
        <v>221</v>
      </c>
      <c r="F77" s="222">
        <v>2021</v>
      </c>
      <c r="G77" s="117">
        <v>2030</v>
      </c>
      <c r="H77" s="134" t="s">
        <v>220</v>
      </c>
      <c r="I77" s="252"/>
      <c r="J77" s="252"/>
      <c r="K77" s="252"/>
      <c r="L77" s="127">
        <f>SUM(L62:L76)</f>
        <v>625721682.14285719</v>
      </c>
      <c r="M77" s="127">
        <f>SUM(M62:M76)</f>
        <v>104495520.91785714</v>
      </c>
      <c r="N77" s="127"/>
      <c r="O77" s="252"/>
      <c r="P77" s="252"/>
      <c r="Q77" s="252"/>
      <c r="R77" s="127">
        <f>SUM(R62:R76)</f>
        <v>280000</v>
      </c>
      <c r="S77" s="127">
        <f>SUM(S62:S76)</f>
        <v>420000</v>
      </c>
      <c r="T77" s="127">
        <f>SUM(T62:T76)</f>
        <v>0</v>
      </c>
      <c r="U77" s="127">
        <f>SUM(U62:U76)</f>
        <v>560000</v>
      </c>
      <c r="V77" s="252"/>
      <c r="W77" s="252"/>
      <c r="X77" s="252"/>
      <c r="Y77" s="127">
        <f>SUM(Y62:Y76)</f>
        <v>0</v>
      </c>
      <c r="Z77" s="252"/>
      <c r="AA77" s="252"/>
      <c r="AB77" s="127">
        <f>SUM(AB62:AB76)</f>
        <v>3401000</v>
      </c>
      <c r="AC77" s="127">
        <f>SUM(AC62:AC76)</f>
        <v>490378000</v>
      </c>
      <c r="AD77" s="127">
        <f>SUM(AD62:AD76)</f>
        <v>0</v>
      </c>
      <c r="AE77" s="127">
        <f>SUM(AE62:AE76)</f>
        <v>94567800</v>
      </c>
      <c r="AF77" s="127">
        <f>SUM(AF62:AF76)</f>
        <v>589606800</v>
      </c>
      <c r="AG77" s="252"/>
      <c r="AH77" s="252"/>
      <c r="AI77" s="252"/>
      <c r="AJ77" s="127">
        <f>SUM(AJ62:AJ76)</f>
        <v>50000000</v>
      </c>
      <c r="AK77" s="127">
        <f>SUM(AK62:AK76)</f>
        <v>0</v>
      </c>
      <c r="AL77" s="127">
        <f>SUM(AL62:AL76)</f>
        <v>556887406.50406504</v>
      </c>
      <c r="AM77" s="127">
        <f>SUM(AM62:AM76)</f>
        <v>609997406.50406504</v>
      </c>
      <c r="AN77" s="127">
        <f>SUM(AN62:AN76)</f>
        <v>89064060.97560975</v>
      </c>
      <c r="AO77" s="253"/>
      <c r="AP77" s="254"/>
      <c r="AQ77" s="175">
        <f>SUM(AQ62:AQ76)</f>
        <v>730217203.06071424</v>
      </c>
      <c r="AR77" s="175">
        <f>SUM(AR62:AR76)</f>
        <v>589606800</v>
      </c>
      <c r="AS77" s="175">
        <f>SUM(AS62:AS76)</f>
        <v>699061467.47967482</v>
      </c>
      <c r="AT77" s="175">
        <f>SUM(AT62:AT76)</f>
        <v>2018885470.5403891</v>
      </c>
      <c r="AU77" s="175">
        <f t="shared" ref="AU77:BB77" si="54">SUM(AU62:AU76)</f>
        <v>1256156603.0607142</v>
      </c>
      <c r="AV77" s="175">
        <f t="shared" si="54"/>
        <v>0</v>
      </c>
      <c r="AW77" s="175">
        <f t="shared" si="54"/>
        <v>0</v>
      </c>
      <c r="AX77" s="175">
        <f t="shared" si="54"/>
        <v>0</v>
      </c>
      <c r="AY77" s="175">
        <f t="shared" si="54"/>
        <v>5199600</v>
      </c>
      <c r="AZ77" s="175">
        <f t="shared" si="54"/>
        <v>249600</v>
      </c>
      <c r="BA77" s="175">
        <f t="shared" si="54"/>
        <v>0</v>
      </c>
      <c r="BB77" s="175">
        <f t="shared" si="54"/>
        <v>-757279667.47967482</v>
      </c>
      <c r="BC77" s="169"/>
      <c r="BD77" s="169"/>
      <c r="BE77" s="169"/>
      <c r="BF77" s="169"/>
    </row>
    <row r="78" spans="1:58" s="170" customFormat="1" ht="15.75" customHeight="1" x14ac:dyDescent="0.25">
      <c r="A78" s="120"/>
      <c r="B78" s="396" t="s">
        <v>298</v>
      </c>
      <c r="C78" s="389"/>
      <c r="D78" s="389"/>
      <c r="E78" s="390"/>
      <c r="F78" s="339"/>
      <c r="G78" s="339"/>
      <c r="H78" s="113" t="s">
        <v>60</v>
      </c>
      <c r="I78" s="243"/>
      <c r="J78" s="243"/>
      <c r="K78" s="243"/>
      <c r="L78" s="243">
        <f>SUM(L79,L93,L100,L106,L111,L118,L123,L134,L140)</f>
        <v>38327007.142857149</v>
      </c>
      <c r="M78" s="243">
        <f>SUM(M79,M93,M100,M106,M111,M118,M123,M134,M140)</f>
        <v>6400610.1928571425</v>
      </c>
      <c r="N78" s="243"/>
      <c r="O78" s="243"/>
      <c r="P78" s="243"/>
      <c r="Q78" s="243"/>
      <c r="R78" s="243">
        <f>SUM(R79,R93,R100,R106,R111,R118,R123,R134,R140)</f>
        <v>0</v>
      </c>
      <c r="S78" s="243">
        <f>SUM(S79,S93,S100,S106,S111,S118,S123,S134,S140)</f>
        <v>0</v>
      </c>
      <c r="T78" s="243">
        <f>SUM(T79,T93,T100,T106,T111,T118,T123,T134,T140)</f>
        <v>0</v>
      </c>
      <c r="U78" s="243">
        <f>SUM(U79,U93,U100,U106,U111,U118,U123,U134,U140)</f>
        <v>0</v>
      </c>
      <c r="V78" s="243"/>
      <c r="W78" s="243"/>
      <c r="X78" s="243"/>
      <c r="Y78" s="243">
        <f>SUM(Y79,Y93,Y100,Y106,Y111,Y118,Y123,Y134,Y140)</f>
        <v>255000</v>
      </c>
      <c r="Z78" s="243"/>
      <c r="AA78" s="243"/>
      <c r="AB78" s="243">
        <f>SUM(AB79,AB93,AB100,AB106,AB111,AB118,AB123,AB134,AB140)</f>
        <v>4180000</v>
      </c>
      <c r="AC78" s="243">
        <f>SUM(AC79,AC93,AC100,AC106,AC111,AC118,AC123,AC134,AC140)</f>
        <v>14519941728</v>
      </c>
      <c r="AD78" s="243">
        <f>SUM(AD79,AD93,AD100,AD106,AD111,AD118,AD123,AD134,AD140)</f>
        <v>0</v>
      </c>
      <c r="AE78" s="243">
        <f>SUM(AE79,AE93,AE100,AE106,AE111,AE118,AE123,AE134,AE140)</f>
        <v>4006345.6</v>
      </c>
      <c r="AF78" s="243">
        <f>SUM(AF79,AF93,AF100,AF106,AF111,AF118,AF123,AF134,AF140)</f>
        <v>14528383073.6</v>
      </c>
      <c r="AG78" s="243"/>
      <c r="AH78" s="243"/>
      <c r="AI78" s="243"/>
      <c r="AJ78" s="243">
        <f>SUM(AJ79,AJ93,AJ100,AJ106,AJ111,AJ118,AJ123,AJ134,AJ140)</f>
        <v>0</v>
      </c>
      <c r="AK78" s="243">
        <f>SUM(AK79,AK93,AK100,AK106,AK111,AK118,AK123,AK134,AK140)</f>
        <v>0</v>
      </c>
      <c r="AL78" s="243">
        <f>SUM(AL79,AL93,AL100,AL106,AL111,AL118,AL123,AL134,AL140)</f>
        <v>0</v>
      </c>
      <c r="AM78" s="243">
        <f>SUM(AM79,AM93,AM100,AM106,AM111,AM118,AM123,AM134,AM140)</f>
        <v>0</v>
      </c>
      <c r="AN78" s="243">
        <f>SUM(AN79,AN93,AN100,AN106,AN111,AN118,AN123,AN134,AN140)</f>
        <v>0</v>
      </c>
      <c r="AO78" s="243"/>
      <c r="AP78" s="244"/>
      <c r="AQ78" s="245">
        <f>SUM(AQ79,AQ93,AQ100,AQ106,AQ111,AQ118,AQ123,AQ134,AQ140)</f>
        <v>44727617.335714288</v>
      </c>
      <c r="AR78" s="245">
        <f>SUM(AR79,AR93,AR100,AR106,AR111,AR118,AR123,AR134,AR140)</f>
        <v>14528383073.6</v>
      </c>
      <c r="AS78" s="245">
        <f>SUM(AS79,AS93,AS100,AS106,AS111,AS118,AS123,AS134,AS140)</f>
        <v>0</v>
      </c>
      <c r="AT78" s="245">
        <f>SUM(AT79,AT93,AT100,AT106,AT111,AT118,AT123,AT134,AT140)</f>
        <v>14573110690.935715</v>
      </c>
      <c r="AU78" s="245">
        <f t="shared" ref="AU78:BB78" si="55">SUM(AU79,AU93,AU100,AU106,AU111,AU118,AU123,AU134,AU140)</f>
        <v>14567809690</v>
      </c>
      <c r="AV78" s="245">
        <f t="shared" si="55"/>
        <v>0</v>
      </c>
      <c r="AW78" s="245">
        <f t="shared" si="55"/>
        <v>0</v>
      </c>
      <c r="AX78" s="245">
        <f t="shared" si="55"/>
        <v>0</v>
      </c>
      <c r="AY78" s="245">
        <f t="shared" si="55"/>
        <v>0</v>
      </c>
      <c r="AZ78" s="245">
        <f t="shared" si="55"/>
        <v>0</v>
      </c>
      <c r="BA78" s="245">
        <f t="shared" si="55"/>
        <v>0</v>
      </c>
      <c r="BB78" s="245">
        <f t="shared" si="55"/>
        <v>-5301000.9357142858</v>
      </c>
    </row>
    <row r="79" spans="1:58" s="170" customFormat="1" ht="15.75" customHeight="1" x14ac:dyDescent="0.25">
      <c r="A79" s="120"/>
      <c r="B79" s="290"/>
      <c r="C79" s="391" t="s">
        <v>313</v>
      </c>
      <c r="D79" s="391"/>
      <c r="E79" s="392"/>
      <c r="F79" s="293"/>
      <c r="G79" s="293"/>
      <c r="H79" s="114" t="s">
        <v>163</v>
      </c>
      <c r="I79" s="246"/>
      <c r="J79" s="246"/>
      <c r="K79" s="246"/>
      <c r="L79" s="247">
        <f>SUM(L85,L88,L92)</f>
        <v>7384200</v>
      </c>
      <c r="M79" s="247">
        <f>SUM(M85,M88,M92)</f>
        <v>1233161.3999999999</v>
      </c>
      <c r="N79" s="247"/>
      <c r="O79" s="247"/>
      <c r="P79" s="247"/>
      <c r="Q79" s="247"/>
      <c r="R79" s="247">
        <f>SUM(R85,R88,R92)</f>
        <v>0</v>
      </c>
      <c r="S79" s="247">
        <f>SUM(S85,S88,S92)</f>
        <v>0</v>
      </c>
      <c r="T79" s="247">
        <f>SUM(T85,T88,T92)</f>
        <v>0</v>
      </c>
      <c r="U79" s="247">
        <f>SUM(U85,U88,U92)</f>
        <v>0</v>
      </c>
      <c r="V79" s="247"/>
      <c r="W79" s="247"/>
      <c r="X79" s="247"/>
      <c r="Y79" s="247">
        <f>SUM(Y85,Y88,Y92)</f>
        <v>255000</v>
      </c>
      <c r="Z79" s="247"/>
      <c r="AA79" s="247"/>
      <c r="AB79" s="247">
        <f>SUM(AB85,AB88,AB92)</f>
        <v>1330000</v>
      </c>
      <c r="AC79" s="247">
        <f>SUM(AC85,AC88,AC92)</f>
        <v>3485081961</v>
      </c>
      <c r="AD79" s="247">
        <f>SUM(AD85,AD88,AD92)</f>
        <v>0</v>
      </c>
      <c r="AE79" s="247">
        <f>SUM(AE85,AE88,AE92)</f>
        <v>464392.2</v>
      </c>
      <c r="AF79" s="247">
        <f>SUM(AF85,AF88,AF92)</f>
        <v>3487131353.1999998</v>
      </c>
      <c r="AG79" s="247"/>
      <c r="AH79" s="247"/>
      <c r="AI79" s="247"/>
      <c r="AJ79" s="247">
        <f>SUM(AJ85,AJ88,AJ92)</f>
        <v>0</v>
      </c>
      <c r="AK79" s="247">
        <f>SUM(AK85,AK88,AK92)</f>
        <v>0</v>
      </c>
      <c r="AL79" s="247">
        <f>SUM(AL85,AL88,AL92)</f>
        <v>0</v>
      </c>
      <c r="AM79" s="247">
        <f>SUM(AM85,AM88,AM92)</f>
        <v>0</v>
      </c>
      <c r="AN79" s="247">
        <f>SUM(AN85,AN88,AN92)</f>
        <v>0</v>
      </c>
      <c r="AO79" s="247"/>
      <c r="AP79" s="255"/>
      <c r="AQ79" s="248">
        <f>SUM(AQ85,AQ88,AQ92)</f>
        <v>8617361.4000000004</v>
      </c>
      <c r="AR79" s="248">
        <f>SUM(AR85,AR88,AR92)</f>
        <v>3487131353.1999998</v>
      </c>
      <c r="AS79" s="248">
        <f>SUM(AS85,AS88,AS92)</f>
        <v>0</v>
      </c>
      <c r="AT79" s="248">
        <f>SUM(AT85,AT88,AT92)</f>
        <v>3495748714.5999999</v>
      </c>
      <c r="AU79" s="248">
        <f t="shared" ref="AU79:BB79" si="56">SUM(AU85,AU88,AU92)</f>
        <v>3494152714</v>
      </c>
      <c r="AV79" s="248">
        <f t="shared" si="56"/>
        <v>0</v>
      </c>
      <c r="AW79" s="248">
        <f t="shared" si="56"/>
        <v>0</v>
      </c>
      <c r="AX79" s="248">
        <f t="shared" si="56"/>
        <v>0</v>
      </c>
      <c r="AY79" s="248">
        <f t="shared" si="56"/>
        <v>0</v>
      </c>
      <c r="AZ79" s="248">
        <f t="shared" si="56"/>
        <v>0</v>
      </c>
      <c r="BA79" s="248">
        <f t="shared" si="56"/>
        <v>0</v>
      </c>
      <c r="BB79" s="248">
        <f t="shared" si="56"/>
        <v>-1596000.6</v>
      </c>
    </row>
    <row r="80" spans="1:58" ht="31.5" outlineLevel="2" x14ac:dyDescent="0.25">
      <c r="A80" s="115"/>
      <c r="B80" s="200"/>
      <c r="C80" s="201"/>
      <c r="D80" s="202"/>
      <c r="E80" s="226"/>
      <c r="F80" s="306"/>
      <c r="G80" s="307"/>
      <c r="H80" s="164" t="s">
        <v>417</v>
      </c>
      <c r="I80" s="130"/>
      <c r="J80" s="126"/>
      <c r="K80" s="126"/>
      <c r="L80" s="125" t="str">
        <f>IF(I80&lt;&gt;0,((VLOOKUP(I80,'1. Standard_Cost'!$B$4:$D$11,2)+VLOOKUP(I80,'1. Standard_Cost'!$B$4:$D$11,3))*J80*K80),"0")</f>
        <v>0</v>
      </c>
      <c r="M80" s="125">
        <f>L80*'1. Standard_Cost'!$F$4</f>
        <v>0</v>
      </c>
      <c r="N80" s="126"/>
      <c r="O80" s="126"/>
      <c r="P80" s="126"/>
      <c r="Q80" s="126"/>
      <c r="R80" s="127">
        <f>'1. Standard_Cost'!$B$15*N80*P80</f>
        <v>0</v>
      </c>
      <c r="S80" s="127">
        <f>N80*O80*P80*'1. Standard_Cost'!$C$15</f>
        <v>0</v>
      </c>
      <c r="T80" s="127">
        <f>N80*P80*Q80*'1. Standard_Cost'!$D$15</f>
        <v>0</v>
      </c>
      <c r="U80" s="127">
        <f>N80*O80*'1. Standard_Cost'!$E$15</f>
        <v>0</v>
      </c>
      <c r="V80" s="126"/>
      <c r="W80" s="126"/>
      <c r="X80" s="126"/>
      <c r="Y80" s="127">
        <f>+V80*((X80*'1. Standard_Cost'!$B$19)+(W80*X80*'1. Standard_Cost'!$C$19))</f>
        <v>0</v>
      </c>
      <c r="Z80" s="126"/>
      <c r="AA80" s="126"/>
      <c r="AB80" s="127">
        <f>+Z80*'1. Standard_Cost'!$B$23+AA80*'1. Standard_Cost'!$C$23</f>
        <v>0</v>
      </c>
      <c r="AC80" s="128">
        <v>876090000</v>
      </c>
      <c r="AD80" s="129"/>
      <c r="AE80" s="127">
        <f>0</f>
        <v>0</v>
      </c>
      <c r="AF80" s="127">
        <f>SUM(AE80,AD80,AC80,AB80,Y80,U80,T80,S80,R80)</f>
        <v>876090000</v>
      </c>
      <c r="AG80" s="126"/>
      <c r="AH80" s="126"/>
      <c r="AI80" s="126"/>
      <c r="AJ80" s="130"/>
      <c r="AK80" s="130"/>
      <c r="AL80" s="130"/>
      <c r="AM80" s="127">
        <f>AG80*'1. Standard_Cost'!$B$27+'Incremental_Cost Year 3'!AH80*'1. Standard_Cost'!$C$27+'Incremental_Cost Year 3'!AI80*'1. Standard_Cost'!$D$27+'Incremental_Cost Year 3'!AJ80+'Incremental_Cost Year 3'!AL80+AK80</f>
        <v>0</v>
      </c>
      <c r="AN80" s="127">
        <f>AM80*'1. Standard_Cost'!$C$31</f>
        <v>0</v>
      </c>
      <c r="AO80" s="130"/>
      <c r="AP80" s="256"/>
      <c r="AQ80" s="171">
        <f>L80+M80</f>
        <v>0</v>
      </c>
      <c r="AR80" s="171">
        <f>AF80</f>
        <v>876090000</v>
      </c>
      <c r="AS80" s="171">
        <f>AM80+AN80</f>
        <v>0</v>
      </c>
      <c r="AT80" s="171">
        <f>SUM(AQ80,AR80,AS80)</f>
        <v>876090000</v>
      </c>
      <c r="AU80" s="250">
        <v>876090000</v>
      </c>
      <c r="AV80" s="250"/>
      <c r="AW80" s="250"/>
      <c r="AX80" s="250"/>
      <c r="AY80" s="250"/>
      <c r="AZ80" s="250"/>
      <c r="BA80" s="250"/>
      <c r="BB80" s="251">
        <f t="shared" ref="BB80:BB84" si="57">SUM(AU80:BA80)-AT80</f>
        <v>0</v>
      </c>
      <c r="BC80" s="169"/>
      <c r="BD80" s="169"/>
      <c r="BE80" s="169"/>
      <c r="BF80" s="169"/>
    </row>
    <row r="81" spans="1:58" ht="31.5" outlineLevel="2" x14ac:dyDescent="0.25">
      <c r="A81" s="115"/>
      <c r="B81" s="200"/>
      <c r="C81" s="201"/>
      <c r="D81" s="202"/>
      <c r="E81" s="202"/>
      <c r="F81" s="308"/>
      <c r="G81" s="309"/>
      <c r="H81" s="164" t="s">
        <v>418</v>
      </c>
      <c r="I81" s="130"/>
      <c r="J81" s="126"/>
      <c r="K81" s="126"/>
      <c r="L81" s="125" t="str">
        <f>IF(I81&lt;&gt;0,((VLOOKUP(I81,'1. Standard_Cost'!$B$4:$D$11,2)+VLOOKUP(I81,'1. Standard_Cost'!$B$4:$D$11,3))*J81*K81),"0")</f>
        <v>0</v>
      </c>
      <c r="M81" s="125">
        <f>L81*'1. Standard_Cost'!$F$4</f>
        <v>0</v>
      </c>
      <c r="N81" s="126"/>
      <c r="O81" s="126"/>
      <c r="P81" s="126"/>
      <c r="Q81" s="126"/>
      <c r="R81" s="127">
        <f>'1. Standard_Cost'!$B$15*N81*P81</f>
        <v>0</v>
      </c>
      <c r="S81" s="127">
        <f>N81*O81*P81*'1. Standard_Cost'!$C$15</f>
        <v>0</v>
      </c>
      <c r="T81" s="127">
        <f>N81*P81*Q81*'1. Standard_Cost'!$D$15</f>
        <v>0</v>
      </c>
      <c r="U81" s="127">
        <f>N81*O81*'1. Standard_Cost'!$E$15</f>
        <v>0</v>
      </c>
      <c r="V81" s="126"/>
      <c r="W81" s="126"/>
      <c r="X81" s="126"/>
      <c r="Y81" s="127">
        <f>+V81*((X81*'1. Standard_Cost'!$B$19)+(W81*X81*'1. Standard_Cost'!$C$19))</f>
        <v>0</v>
      </c>
      <c r="Z81" s="126"/>
      <c r="AA81" s="126"/>
      <c r="AB81" s="127">
        <f>+Z81*'1. Standard_Cost'!$B$23+AA81*'1. Standard_Cost'!$C$23</f>
        <v>0</v>
      </c>
      <c r="AC81" s="128">
        <v>48400000</v>
      </c>
      <c r="AD81" s="129"/>
      <c r="AE81" s="127">
        <f>0</f>
        <v>0</v>
      </c>
      <c r="AF81" s="127">
        <f>SUM(AE81,AD81,AC81,AB81,Y81,U81,T81,S81,R81)</f>
        <v>48400000</v>
      </c>
      <c r="AG81" s="126"/>
      <c r="AH81" s="126"/>
      <c r="AI81" s="126"/>
      <c r="AJ81" s="130"/>
      <c r="AK81" s="130"/>
      <c r="AL81" s="130"/>
      <c r="AM81" s="127">
        <f>AG81*'1. Standard_Cost'!$B$27+'Incremental_Cost Year 3'!AH81*'1. Standard_Cost'!$C$27+'Incremental_Cost Year 3'!AI81*'1. Standard_Cost'!$D$27+'Incremental_Cost Year 3'!AJ81+'Incremental_Cost Year 3'!AL81+AK81</f>
        <v>0</v>
      </c>
      <c r="AN81" s="127">
        <f>AM81*'1. Standard_Cost'!$C$31</f>
        <v>0</v>
      </c>
      <c r="AO81" s="130"/>
      <c r="AP81" s="256"/>
      <c r="AQ81" s="171">
        <f>L81+M81</f>
        <v>0</v>
      </c>
      <c r="AR81" s="171">
        <f>AF81</f>
        <v>48400000</v>
      </c>
      <c r="AS81" s="171">
        <f>AM81+AN81</f>
        <v>0</v>
      </c>
      <c r="AT81" s="171">
        <f>SUM(AQ81,AR81,AS81)</f>
        <v>48400000</v>
      </c>
      <c r="AU81" s="250">
        <v>48400000</v>
      </c>
      <c r="AV81" s="250"/>
      <c r="AW81" s="250"/>
      <c r="AX81" s="250"/>
      <c r="AY81" s="250"/>
      <c r="AZ81" s="250"/>
      <c r="BA81" s="250"/>
      <c r="BB81" s="251">
        <f t="shared" si="57"/>
        <v>0</v>
      </c>
      <c r="BC81" s="169"/>
      <c r="BD81" s="169"/>
      <c r="BE81" s="169"/>
      <c r="BF81" s="169"/>
    </row>
    <row r="82" spans="1:58" ht="31.5" outlineLevel="2" x14ac:dyDescent="0.25">
      <c r="A82" s="115"/>
      <c r="B82" s="200"/>
      <c r="C82" s="201"/>
      <c r="D82" s="202"/>
      <c r="E82" s="202"/>
      <c r="F82" s="308"/>
      <c r="G82" s="309"/>
      <c r="H82" s="164" t="s">
        <v>419</v>
      </c>
      <c r="I82" s="130"/>
      <c r="J82" s="126"/>
      <c r="K82" s="126"/>
      <c r="L82" s="125" t="str">
        <f>IF(I82&lt;&gt;0,((VLOOKUP(I82,'1. Standard_Cost'!$B$4:$D$11,2)+VLOOKUP(I82,'1. Standard_Cost'!$B$4:$D$11,3))*J82*K82),"0")</f>
        <v>0</v>
      </c>
      <c r="M82" s="125">
        <f>L82*'1. Standard_Cost'!$F$4</f>
        <v>0</v>
      </c>
      <c r="N82" s="126"/>
      <c r="O82" s="126"/>
      <c r="P82" s="126"/>
      <c r="Q82" s="126"/>
      <c r="R82" s="127">
        <f>'1. Standard_Cost'!$B$15*N82*P82</f>
        <v>0</v>
      </c>
      <c r="S82" s="127">
        <f>N82*O82*P82*'1. Standard_Cost'!$C$15</f>
        <v>0</v>
      </c>
      <c r="T82" s="127">
        <f>N82*P82*Q82*'1. Standard_Cost'!$D$15</f>
        <v>0</v>
      </c>
      <c r="U82" s="127">
        <f>N82*O82*'1. Standard_Cost'!$E$15</f>
        <v>0</v>
      </c>
      <c r="V82" s="126"/>
      <c r="W82" s="126"/>
      <c r="X82" s="126"/>
      <c r="Y82" s="127">
        <f>+V82*((X82*'1. Standard_Cost'!$B$19)+(W82*X82*'1. Standard_Cost'!$C$19))</f>
        <v>0</v>
      </c>
      <c r="Z82" s="126"/>
      <c r="AA82" s="126"/>
      <c r="AB82" s="127">
        <f>+Z82*'1. Standard_Cost'!$B$23+AA82*'1. Standard_Cost'!$C$23</f>
        <v>0</v>
      </c>
      <c r="AC82" s="128">
        <v>12625000</v>
      </c>
      <c r="AD82" s="129"/>
      <c r="AE82" s="127">
        <f>0</f>
        <v>0</v>
      </c>
      <c r="AF82" s="127">
        <f>SUM(AE82,AD82,AC82,AB82,Y82,U82,T82,S82,R82)</f>
        <v>12625000</v>
      </c>
      <c r="AG82" s="126"/>
      <c r="AH82" s="126"/>
      <c r="AI82" s="126"/>
      <c r="AJ82" s="130"/>
      <c r="AK82" s="130"/>
      <c r="AL82" s="130"/>
      <c r="AM82" s="127">
        <f>AG82*'1. Standard_Cost'!$B$27+'Incremental_Cost Year 3'!AH82*'1. Standard_Cost'!$C$27+'Incremental_Cost Year 3'!AI82*'1. Standard_Cost'!$D$27+'Incremental_Cost Year 3'!AJ82+'Incremental_Cost Year 3'!AL82+AK82</f>
        <v>0</v>
      </c>
      <c r="AN82" s="127">
        <f>AM82*'1. Standard_Cost'!$C$31</f>
        <v>0</v>
      </c>
      <c r="AO82" s="130"/>
      <c r="AP82" s="256"/>
      <c r="AQ82" s="171">
        <f>L82+M82</f>
        <v>0</v>
      </c>
      <c r="AR82" s="171">
        <f>AF82</f>
        <v>12625000</v>
      </c>
      <c r="AS82" s="171">
        <f>AM82+AN82</f>
        <v>0</v>
      </c>
      <c r="AT82" s="171">
        <f>SUM(AQ82,AR82,AS82)</f>
        <v>12625000</v>
      </c>
      <c r="AU82" s="250">
        <v>12625000</v>
      </c>
      <c r="AV82" s="250"/>
      <c r="AW82" s="250"/>
      <c r="AX82" s="250"/>
      <c r="AY82" s="250"/>
      <c r="AZ82" s="250"/>
      <c r="BA82" s="250"/>
      <c r="BB82" s="251">
        <f t="shared" si="57"/>
        <v>0</v>
      </c>
      <c r="BC82" s="169"/>
      <c r="BD82" s="169"/>
      <c r="BE82" s="169"/>
      <c r="BF82" s="169"/>
    </row>
    <row r="83" spans="1:58" ht="78.75" outlineLevel="2" x14ac:dyDescent="0.25">
      <c r="A83" s="115"/>
      <c r="B83" s="200"/>
      <c r="C83" s="201"/>
      <c r="D83" s="137"/>
      <c r="E83" s="105"/>
      <c r="F83" s="308"/>
      <c r="G83" s="309"/>
      <c r="H83" s="199" t="s">
        <v>539</v>
      </c>
      <c r="I83" s="130" t="s">
        <v>5</v>
      </c>
      <c r="J83" s="126">
        <v>2</v>
      </c>
      <c r="K83" s="126">
        <v>15</v>
      </c>
      <c r="L83" s="125">
        <f>IF(I83&lt;&gt;0,((VLOOKUP(I83,'1. Standard_Cost'!$B$4:$D$11,2)+VLOOKUP(I83,'1. Standard_Cost'!$B$4:$D$11,3))*J83*K83),"0")</f>
        <v>2121000</v>
      </c>
      <c r="M83" s="125">
        <f>L83*'1. Standard_Cost'!$F$4</f>
        <v>354207</v>
      </c>
      <c r="N83" s="126"/>
      <c r="O83" s="126"/>
      <c r="P83" s="126"/>
      <c r="Q83" s="126"/>
      <c r="R83" s="127">
        <f>'1. Standard_Cost'!$B$15*N83*P83</f>
        <v>0</v>
      </c>
      <c r="S83" s="127">
        <f>N83*O83*P83*'1. Standard_Cost'!$C$15</f>
        <v>0</v>
      </c>
      <c r="T83" s="127">
        <f>N83*P83*Q83*'1. Standard_Cost'!$D$15</f>
        <v>0</v>
      </c>
      <c r="U83" s="127">
        <f>N83*O83*'1. Standard_Cost'!$E$15</f>
        <v>0</v>
      </c>
      <c r="V83" s="126"/>
      <c r="W83" s="126"/>
      <c r="X83" s="126"/>
      <c r="Y83" s="127">
        <f>+V83*((X83*'1. Standard_Cost'!$B$19)+(W83*X83*'1. Standard_Cost'!$C$19))</f>
        <v>0</v>
      </c>
      <c r="Z83" s="126"/>
      <c r="AA83" s="126">
        <v>45</v>
      </c>
      <c r="AB83" s="127">
        <f>+Z83*'1. Standard_Cost'!$B$23+AA83*'1. Standard_Cost'!$C$23</f>
        <v>855000</v>
      </c>
      <c r="AC83" s="128">
        <v>1547230000</v>
      </c>
      <c r="AD83" s="129"/>
      <c r="AE83" s="127">
        <v>171000</v>
      </c>
      <c r="AF83" s="127">
        <f>SUM(AE83,AD83,AC83,AB83,Y83,U83,T83,S83,R83)</f>
        <v>1548256000</v>
      </c>
      <c r="AG83" s="126"/>
      <c r="AH83" s="126"/>
      <c r="AI83" s="126"/>
      <c r="AJ83" s="130"/>
      <c r="AK83" s="130"/>
      <c r="AL83" s="130"/>
      <c r="AM83" s="127">
        <f>AG83*'1. Standard_Cost'!$B$27+'Incremental_Cost Year 3'!AH83*'1. Standard_Cost'!$C$27+'Incremental_Cost Year 3'!AI83*'1. Standard_Cost'!$D$27+'Incremental_Cost Year 3'!AJ83+'Incremental_Cost Year 3'!AL83+AK83</f>
        <v>0</v>
      </c>
      <c r="AN83" s="127">
        <f>AM83*'1. Standard_Cost'!$C$31</f>
        <v>0</v>
      </c>
      <c r="AO83" s="130"/>
      <c r="AP83" s="256"/>
      <c r="AQ83" s="171">
        <f>L83+M83</f>
        <v>2475207</v>
      </c>
      <c r="AR83" s="171">
        <f>AF83</f>
        <v>1548256000</v>
      </c>
      <c r="AS83" s="171">
        <f>AM83+AN83</f>
        <v>0</v>
      </c>
      <c r="AT83" s="171">
        <f>SUM(AQ83,AR83,AS83)</f>
        <v>1550731207</v>
      </c>
      <c r="AU83" s="250">
        <v>1549705207</v>
      </c>
      <c r="AV83" s="250"/>
      <c r="AW83" s="250"/>
      <c r="AX83" s="250"/>
      <c r="AY83" s="250"/>
      <c r="AZ83" s="250"/>
      <c r="BA83" s="250"/>
      <c r="BB83" s="251">
        <f t="shared" si="57"/>
        <v>-1026000</v>
      </c>
      <c r="BC83" s="169"/>
      <c r="BD83" s="169"/>
      <c r="BE83" s="169"/>
      <c r="BF83" s="169"/>
    </row>
    <row r="84" spans="1:58" ht="31.5" outlineLevel="2" x14ac:dyDescent="0.25">
      <c r="A84" s="115"/>
      <c r="B84" s="200"/>
      <c r="C84" s="201"/>
      <c r="D84" s="137"/>
      <c r="E84" s="202"/>
      <c r="F84" s="308"/>
      <c r="G84" s="309"/>
      <c r="H84" s="164" t="s">
        <v>420</v>
      </c>
      <c r="I84" s="130"/>
      <c r="J84" s="126"/>
      <c r="K84" s="126"/>
      <c r="L84" s="125" t="str">
        <f>IF(I84&lt;&gt;0,((VLOOKUP(I84,'1. Standard_Cost'!$B$4:$D$11,2)+VLOOKUP(I84,'1. Standard_Cost'!$B$4:$D$11,3))*J84*K84),"0")</f>
        <v>0</v>
      </c>
      <c r="M84" s="125">
        <f>L84*'1. Standard_Cost'!$F$4</f>
        <v>0</v>
      </c>
      <c r="N84" s="126"/>
      <c r="O84" s="126"/>
      <c r="P84" s="126"/>
      <c r="Q84" s="126"/>
      <c r="R84" s="127">
        <f>'1. Standard_Cost'!$B$15*N84*P84</f>
        <v>0</v>
      </c>
      <c r="S84" s="127">
        <f>N84*O84*P84*'1. Standard_Cost'!$C$15</f>
        <v>0</v>
      </c>
      <c r="T84" s="127">
        <f>N84*P84*Q84*'1. Standard_Cost'!$D$15</f>
        <v>0</v>
      </c>
      <c r="U84" s="127">
        <f>N84*O84*'1. Standard_Cost'!$E$15</f>
        <v>0</v>
      </c>
      <c r="V84" s="126"/>
      <c r="W84" s="126"/>
      <c r="X84" s="126"/>
      <c r="Y84" s="127">
        <f>+V84*((X84*'1. Standard_Cost'!$B$19)+(W84*X84*'1. Standard_Cost'!$C$19))</f>
        <v>0</v>
      </c>
      <c r="Z84" s="126"/>
      <c r="AA84" s="126"/>
      <c r="AB84" s="127">
        <f>+Z84*'1. Standard_Cost'!$B$23+AA84*'1. Standard_Cost'!$C$23</f>
        <v>0</v>
      </c>
      <c r="AC84" s="128">
        <v>1000000000</v>
      </c>
      <c r="AD84" s="129"/>
      <c r="AE84" s="127">
        <f>0</f>
        <v>0</v>
      </c>
      <c r="AF84" s="127">
        <f>SUM(AE84,AD84,AC84,AB84,Y84,U84,T84,S84,R84)</f>
        <v>1000000000</v>
      </c>
      <c r="AG84" s="126"/>
      <c r="AH84" s="126"/>
      <c r="AI84" s="126"/>
      <c r="AJ84" s="130"/>
      <c r="AK84" s="130"/>
      <c r="AL84" s="130"/>
      <c r="AM84" s="127">
        <f>AG84*'1. Standard_Cost'!$B$27+'Incremental_Cost Year 3'!AH84*'1. Standard_Cost'!$C$27+'Incremental_Cost Year 3'!AI84*'1. Standard_Cost'!$D$27+'Incremental_Cost Year 3'!AJ84+'Incremental_Cost Year 3'!AL84+AK84</f>
        <v>0</v>
      </c>
      <c r="AN84" s="127">
        <f>AM84*'1. Standard_Cost'!$C$31</f>
        <v>0</v>
      </c>
      <c r="AO84" s="130"/>
      <c r="AP84" s="256"/>
      <c r="AQ84" s="171">
        <f>L84+M84</f>
        <v>0</v>
      </c>
      <c r="AR84" s="171">
        <f>AF84</f>
        <v>1000000000</v>
      </c>
      <c r="AS84" s="171">
        <f>AM84+AN84</f>
        <v>0</v>
      </c>
      <c r="AT84" s="171">
        <f>SUM(AQ84,AR84,AS84)</f>
        <v>1000000000</v>
      </c>
      <c r="AU84" s="250">
        <v>1000000000</v>
      </c>
      <c r="AV84" s="250"/>
      <c r="AW84" s="250"/>
      <c r="AX84" s="250"/>
      <c r="AY84" s="250"/>
      <c r="AZ84" s="250"/>
      <c r="BA84" s="250"/>
      <c r="BB84" s="251">
        <f t="shared" si="57"/>
        <v>0</v>
      </c>
      <c r="BC84" s="169"/>
      <c r="BD84" s="169"/>
      <c r="BE84" s="169"/>
      <c r="BF84" s="169"/>
    </row>
    <row r="85" spans="1:58" ht="110.25" outlineLevel="1" x14ac:dyDescent="0.25">
      <c r="A85" s="115"/>
      <c r="B85" s="165"/>
      <c r="C85" s="166"/>
      <c r="D85" s="139" t="s">
        <v>421</v>
      </c>
      <c r="E85" s="212" t="s">
        <v>273</v>
      </c>
      <c r="F85" s="136">
        <v>2021</v>
      </c>
      <c r="G85" s="117">
        <v>2030</v>
      </c>
      <c r="H85" s="110" t="s">
        <v>175</v>
      </c>
      <c r="I85" s="252"/>
      <c r="J85" s="252"/>
      <c r="K85" s="252"/>
      <c r="L85" s="127">
        <f>SUM(L80:L84)</f>
        <v>2121000</v>
      </c>
      <c r="M85" s="127">
        <f>SUM(M80:M84)</f>
        <v>354207</v>
      </c>
      <c r="N85" s="252"/>
      <c r="O85" s="252"/>
      <c r="P85" s="252"/>
      <c r="Q85" s="252"/>
      <c r="R85" s="127">
        <f>SUM(R80:R84)</f>
        <v>0</v>
      </c>
      <c r="S85" s="127">
        <f>SUM(S80:S84)</f>
        <v>0</v>
      </c>
      <c r="T85" s="127">
        <f>SUM(T80:T84)</f>
        <v>0</v>
      </c>
      <c r="U85" s="127">
        <f>SUM(U80:U84)</f>
        <v>0</v>
      </c>
      <c r="V85" s="252"/>
      <c r="W85" s="252"/>
      <c r="X85" s="252"/>
      <c r="Y85" s="127">
        <f>SUM(Y80:Y84)</f>
        <v>0</v>
      </c>
      <c r="Z85" s="252"/>
      <c r="AA85" s="252"/>
      <c r="AB85" s="127">
        <f>SUM(AB80:AB84)</f>
        <v>855000</v>
      </c>
      <c r="AC85" s="127">
        <f>SUM(AC80:AC84)</f>
        <v>3484345000</v>
      </c>
      <c r="AD85" s="127">
        <f>SUM(AD80:AD84)</f>
        <v>0</v>
      </c>
      <c r="AE85" s="127">
        <f>SUM(AE80:AE84)</f>
        <v>171000</v>
      </c>
      <c r="AF85" s="127">
        <f>SUM(AF80:AF84)</f>
        <v>3485371000</v>
      </c>
      <c r="AG85" s="252"/>
      <c r="AH85" s="252"/>
      <c r="AI85" s="252"/>
      <c r="AJ85" s="127">
        <f>SUM(AJ80:AJ84)</f>
        <v>0</v>
      </c>
      <c r="AK85" s="127">
        <f>SUM(AK80:AK84)</f>
        <v>0</v>
      </c>
      <c r="AL85" s="127">
        <f>SUM(AL80:AL84)</f>
        <v>0</v>
      </c>
      <c r="AM85" s="127">
        <f>SUM(AM80:AM84)</f>
        <v>0</v>
      </c>
      <c r="AN85" s="127">
        <f>SUM(AN80:AN84)</f>
        <v>0</v>
      </c>
      <c r="AO85" s="253"/>
      <c r="AP85" s="254"/>
      <c r="AQ85" s="175">
        <f>SUM(AQ80:AQ84)</f>
        <v>2475207</v>
      </c>
      <c r="AR85" s="175">
        <f>SUM(AR80:AR84)</f>
        <v>3485371000</v>
      </c>
      <c r="AS85" s="175">
        <f>SUM(AS80:AS84)</f>
        <v>0</v>
      </c>
      <c r="AT85" s="175">
        <f>SUM(AT80:AT84)</f>
        <v>3487846207</v>
      </c>
      <c r="AU85" s="175">
        <f t="shared" ref="AU85:BB85" si="58">SUM(AU80:AU84)</f>
        <v>3486820207</v>
      </c>
      <c r="AV85" s="175">
        <f t="shared" si="58"/>
        <v>0</v>
      </c>
      <c r="AW85" s="175">
        <f t="shared" si="58"/>
        <v>0</v>
      </c>
      <c r="AX85" s="175">
        <f t="shared" si="58"/>
        <v>0</v>
      </c>
      <c r="AY85" s="175">
        <f t="shared" si="58"/>
        <v>0</v>
      </c>
      <c r="AZ85" s="175">
        <f t="shared" si="58"/>
        <v>0</v>
      </c>
      <c r="BA85" s="175">
        <f t="shared" si="58"/>
        <v>0</v>
      </c>
      <c r="BB85" s="175">
        <f t="shared" si="58"/>
        <v>-1026000</v>
      </c>
      <c r="BC85" s="169"/>
      <c r="BD85" s="169"/>
      <c r="BE85" s="169"/>
      <c r="BF85" s="169"/>
    </row>
    <row r="86" spans="1:58" ht="94.5" outlineLevel="2" x14ac:dyDescent="0.25">
      <c r="A86" s="115"/>
      <c r="B86" s="200"/>
      <c r="C86" s="201"/>
      <c r="D86" s="346"/>
      <c r="E86" s="321"/>
      <c r="F86" s="295"/>
      <c r="G86" s="296"/>
      <c r="H86" s="164" t="s">
        <v>422</v>
      </c>
      <c r="I86" s="130"/>
      <c r="J86" s="126"/>
      <c r="K86" s="126"/>
      <c r="L86" s="125" t="str">
        <f>IF(I86&lt;&gt;0,((VLOOKUP(I86,'1. Standard_Cost'!$B$4:$D$11,2)+VLOOKUP(I86,'1. Standard_Cost'!$B$4:$D$11,3))*J86*K86),"0")</f>
        <v>0</v>
      </c>
      <c r="M86" s="125">
        <f>L86*'1. Standard_Cost'!$F$4</f>
        <v>0</v>
      </c>
      <c r="N86" s="126"/>
      <c r="O86" s="126"/>
      <c r="P86" s="126"/>
      <c r="Q86" s="126"/>
      <c r="R86" s="127">
        <f>'1. Standard_Cost'!$B$15*N86*P86</f>
        <v>0</v>
      </c>
      <c r="S86" s="127">
        <f>N86*O86*P86*'1. Standard_Cost'!$C$15</f>
        <v>0</v>
      </c>
      <c r="T86" s="127">
        <f>N86*P86*Q86*'1. Standard_Cost'!$D$15</f>
        <v>0</v>
      </c>
      <c r="U86" s="127">
        <f>N86*O86*'1. Standard_Cost'!$E$15</f>
        <v>0</v>
      </c>
      <c r="V86" s="126"/>
      <c r="W86" s="126"/>
      <c r="X86" s="126"/>
      <c r="Y86" s="127">
        <f>+V86*((X86*'1. Standard_Cost'!$B$19)+(W86*X86*'1. Standard_Cost'!$C$19))</f>
        <v>0</v>
      </c>
      <c r="Z86" s="126"/>
      <c r="AA86" s="126"/>
      <c r="AB86" s="127">
        <f>+Z86*'1. Standard_Cost'!$B$23+AA86*'1. Standard_Cost'!$C$23</f>
        <v>0</v>
      </c>
      <c r="AC86" s="128"/>
      <c r="AD86" s="129"/>
      <c r="AE86" s="127">
        <f>SUM(AD86,AC86,AB86,Y86,U86,T86,S86,R86)*'1. Standard_Cost'!$B$31</f>
        <v>0</v>
      </c>
      <c r="AF86" s="127">
        <f>SUM(AE86,AD86,AC86,AB86,Y86,U86,T86,S86,R86)</f>
        <v>0</v>
      </c>
      <c r="AG86" s="126"/>
      <c r="AH86" s="126"/>
      <c r="AI86" s="126"/>
      <c r="AJ86" s="130"/>
      <c r="AK86" s="130"/>
      <c r="AL86" s="130"/>
      <c r="AM86" s="127">
        <f>AG86*'1. Standard_Cost'!$B$27+'Incremental_Cost Year 3'!AH86*'1. Standard_Cost'!$C$27+'Incremental_Cost Year 3'!AI86*'1. Standard_Cost'!$D$27+'Incremental_Cost Year 3'!AJ86+'Incremental_Cost Year 3'!AL86+AK86</f>
        <v>0</v>
      </c>
      <c r="AN86" s="127">
        <f>AM86*'1. Standard_Cost'!$C$31</f>
        <v>0</v>
      </c>
      <c r="AO86" s="130"/>
      <c r="AQ86" s="171">
        <f>L86+M86</f>
        <v>0</v>
      </c>
      <c r="AR86" s="171">
        <f>AF86</f>
        <v>0</v>
      </c>
      <c r="AS86" s="171">
        <f>AM86+AN86</f>
        <v>0</v>
      </c>
      <c r="AT86" s="171">
        <f>SUM(AQ86,AR86,AS86)</f>
        <v>0</v>
      </c>
      <c r="AU86" s="250"/>
      <c r="AV86" s="250"/>
      <c r="AW86" s="250"/>
      <c r="AX86" s="250"/>
      <c r="AY86" s="250"/>
      <c r="AZ86" s="250"/>
      <c r="BA86" s="250"/>
      <c r="BB86" s="251">
        <f t="shared" ref="BB86:BB87" si="59">SUM(AU86:BA86)-AT86</f>
        <v>0</v>
      </c>
      <c r="BC86" s="169"/>
      <c r="BD86" s="169"/>
      <c r="BE86" s="169"/>
      <c r="BF86" s="169"/>
    </row>
    <row r="87" spans="1:58" ht="189" outlineLevel="2" x14ac:dyDescent="0.25">
      <c r="A87" s="115"/>
      <c r="B87" s="200"/>
      <c r="C87" s="201"/>
      <c r="D87" s="133"/>
      <c r="E87" s="322"/>
      <c r="F87" s="122"/>
      <c r="G87" s="123"/>
      <c r="H87" s="199" t="s">
        <v>423</v>
      </c>
      <c r="I87" s="130"/>
      <c r="J87" s="126"/>
      <c r="K87" s="126"/>
      <c r="L87" s="125" t="str">
        <f>IF(I87&lt;&gt;0,((VLOOKUP(I87,'1. Standard_Cost'!$B$4:$D$11,2)+VLOOKUP(I87,'1. Standard_Cost'!$B$4:$D$11,3))*J87*K87),"0")</f>
        <v>0</v>
      </c>
      <c r="M87" s="125">
        <f>L87*'1. Standard_Cost'!$F$4</f>
        <v>0</v>
      </c>
      <c r="N87" s="126"/>
      <c r="O87" s="126"/>
      <c r="P87" s="126"/>
      <c r="Q87" s="126"/>
      <c r="R87" s="127">
        <f>'1. Standard_Cost'!$B$15*N87*P87</f>
        <v>0</v>
      </c>
      <c r="S87" s="127">
        <f>N87*O87*P87*'1. Standard_Cost'!$C$15</f>
        <v>0</v>
      </c>
      <c r="T87" s="127">
        <f>N87*P87*Q87*'1. Standard_Cost'!$D$15</f>
        <v>0</v>
      </c>
      <c r="U87" s="127">
        <f>N87*O87*'1. Standard_Cost'!$E$15</f>
        <v>0</v>
      </c>
      <c r="V87" s="126"/>
      <c r="W87" s="126"/>
      <c r="X87" s="126"/>
      <c r="Y87" s="127">
        <f>+V87*((X87*'1. Standard_Cost'!$B$19)+(W87*X87*'1. Standard_Cost'!$C$19))</f>
        <v>0</v>
      </c>
      <c r="Z87" s="126"/>
      <c r="AA87" s="126"/>
      <c r="AB87" s="127">
        <f>+Z87*'1. Standard_Cost'!$B$23+AA87*'1. Standard_Cost'!$C$23</f>
        <v>0</v>
      </c>
      <c r="AC87" s="128"/>
      <c r="AD87" s="129"/>
      <c r="AE87" s="127">
        <f>SUM(AD87,AC87,AB87,Y87,U87,T87,S87,R87)*'1. Standard_Cost'!$B$31</f>
        <v>0</v>
      </c>
      <c r="AF87" s="127">
        <f>SUM(AE87,AD87,AC87,AB87,Y87,U87,T87,S87,R87)</f>
        <v>0</v>
      </c>
      <c r="AG87" s="126"/>
      <c r="AH87" s="126"/>
      <c r="AI87" s="126"/>
      <c r="AJ87" s="130"/>
      <c r="AK87" s="130"/>
      <c r="AL87" s="130"/>
      <c r="AM87" s="127">
        <f>AG87*'1. Standard_Cost'!$B$27+'Incremental_Cost Year 3'!AH87*'1. Standard_Cost'!$C$27+'Incremental_Cost Year 3'!AI87*'1. Standard_Cost'!$D$27+'Incremental_Cost Year 3'!AJ87+'Incremental_Cost Year 3'!AL87+AK87</f>
        <v>0</v>
      </c>
      <c r="AN87" s="127">
        <f>AM87*'1. Standard_Cost'!$C$31</f>
        <v>0</v>
      </c>
      <c r="AO87" s="130"/>
      <c r="AQ87" s="171">
        <f>L87+M87</f>
        <v>0</v>
      </c>
      <c r="AR87" s="171">
        <f>AF87</f>
        <v>0</v>
      </c>
      <c r="AS87" s="171">
        <f>AM87+AN87</f>
        <v>0</v>
      </c>
      <c r="AT87" s="171">
        <f>SUM(AQ87,AR87,AS87)</f>
        <v>0</v>
      </c>
      <c r="AU87" s="250"/>
      <c r="AV87" s="250"/>
      <c r="AW87" s="250"/>
      <c r="AX87" s="250"/>
      <c r="AY87" s="250"/>
      <c r="AZ87" s="250"/>
      <c r="BA87" s="250"/>
      <c r="BB87" s="251">
        <f t="shared" si="59"/>
        <v>0</v>
      </c>
      <c r="BC87" s="169"/>
      <c r="BD87" s="169"/>
      <c r="BE87" s="169"/>
      <c r="BF87" s="169"/>
    </row>
    <row r="88" spans="1:58" ht="63" outlineLevel="1" x14ac:dyDescent="0.25">
      <c r="A88" s="115"/>
      <c r="B88" s="165"/>
      <c r="C88" s="166"/>
      <c r="D88" s="212" t="s">
        <v>240</v>
      </c>
      <c r="E88" s="212" t="s">
        <v>269</v>
      </c>
      <c r="F88" s="117">
        <v>2024</v>
      </c>
      <c r="G88" s="117">
        <v>2030</v>
      </c>
      <c r="H88" s="110" t="s">
        <v>270</v>
      </c>
      <c r="I88" s="252"/>
      <c r="J88" s="252"/>
      <c r="K88" s="252"/>
      <c r="L88" s="127">
        <f>SUM(L86:L87)</f>
        <v>0</v>
      </c>
      <c r="M88" s="127">
        <f>SUM(M86:M87)</f>
        <v>0</v>
      </c>
      <c r="N88" s="252"/>
      <c r="O88" s="252"/>
      <c r="P88" s="252"/>
      <c r="Q88" s="252"/>
      <c r="R88" s="127">
        <f>SUM(R86:R87)</f>
        <v>0</v>
      </c>
      <c r="S88" s="127">
        <f>SUM(S86:S87)</f>
        <v>0</v>
      </c>
      <c r="T88" s="127">
        <f>SUM(T86:T87)</f>
        <v>0</v>
      </c>
      <c r="U88" s="127">
        <f>SUM(U86:U87)</f>
        <v>0</v>
      </c>
      <c r="V88" s="252"/>
      <c r="W88" s="252"/>
      <c r="X88" s="252"/>
      <c r="Y88" s="127">
        <f>SUM(Y86:Y87)</f>
        <v>0</v>
      </c>
      <c r="Z88" s="252"/>
      <c r="AA88" s="252"/>
      <c r="AB88" s="127">
        <f>SUM(AB86:AB87)</f>
        <v>0</v>
      </c>
      <c r="AC88" s="127">
        <f>SUM(AC86:AC87)</f>
        <v>0</v>
      </c>
      <c r="AD88" s="127">
        <f>SUM(AD86:AD87)</f>
        <v>0</v>
      </c>
      <c r="AE88" s="127">
        <f>SUM(AE86:AE87)</f>
        <v>0</v>
      </c>
      <c r="AF88" s="127">
        <f>SUM(AF86:AF87)</f>
        <v>0</v>
      </c>
      <c r="AG88" s="252"/>
      <c r="AH88" s="252"/>
      <c r="AI88" s="252"/>
      <c r="AJ88" s="127">
        <f>SUM(AJ86:AJ87)</f>
        <v>0</v>
      </c>
      <c r="AK88" s="127">
        <f>SUM(AK86:AK87)</f>
        <v>0</v>
      </c>
      <c r="AL88" s="127">
        <f>SUM(AL86:AL87)</f>
        <v>0</v>
      </c>
      <c r="AM88" s="127">
        <f>SUM(AM86:AM87)</f>
        <v>0</v>
      </c>
      <c r="AN88" s="127">
        <f>SUM(AN86:AN87)</f>
        <v>0</v>
      </c>
      <c r="AO88" s="253"/>
      <c r="AP88" s="254"/>
      <c r="AQ88" s="175">
        <f>SUM(AQ86:AQ87)</f>
        <v>0</v>
      </c>
      <c r="AR88" s="175">
        <f>SUM(AR86:AR87)</f>
        <v>0</v>
      </c>
      <c r="AS88" s="175">
        <f>SUM(AS86:AS87)</f>
        <v>0</v>
      </c>
      <c r="AT88" s="175">
        <f>SUM(AT86:AT87)</f>
        <v>0</v>
      </c>
      <c r="AU88" s="175">
        <f t="shared" ref="AU88:BB88" si="60">SUM(AU86:AU87)</f>
        <v>0</v>
      </c>
      <c r="AV88" s="175">
        <f t="shared" si="60"/>
        <v>0</v>
      </c>
      <c r="AW88" s="175">
        <f t="shared" si="60"/>
        <v>0</v>
      </c>
      <c r="AX88" s="175">
        <f t="shared" si="60"/>
        <v>0</v>
      </c>
      <c r="AY88" s="175">
        <f t="shared" si="60"/>
        <v>0</v>
      </c>
      <c r="AZ88" s="175">
        <f t="shared" si="60"/>
        <v>0</v>
      </c>
      <c r="BA88" s="175">
        <f t="shared" si="60"/>
        <v>0</v>
      </c>
      <c r="BB88" s="175">
        <f t="shared" si="60"/>
        <v>0</v>
      </c>
      <c r="BC88" s="169"/>
      <c r="BD88" s="169"/>
      <c r="BE88" s="169"/>
      <c r="BF88" s="169"/>
    </row>
    <row r="89" spans="1:58" ht="63" outlineLevel="2" x14ac:dyDescent="0.25">
      <c r="A89" s="115"/>
      <c r="B89" s="200"/>
      <c r="C89" s="201"/>
      <c r="D89" s="346"/>
      <c r="E89" s="321"/>
      <c r="F89" s="306"/>
      <c r="G89" s="307"/>
      <c r="H89" s="199" t="s">
        <v>424</v>
      </c>
      <c r="I89" s="130" t="s">
        <v>2</v>
      </c>
      <c r="J89" s="126">
        <v>12</v>
      </c>
      <c r="K89" s="126">
        <v>2</v>
      </c>
      <c r="L89" s="125">
        <f>IF(I89&lt;&gt;0,((VLOOKUP(I89,'1. Standard_Cost'!$B$4:$D$11,2)+VLOOKUP(I89,'1. Standard_Cost'!$B$4:$D$11,3))*J89*K89),"0")</f>
        <v>2904000</v>
      </c>
      <c r="M89" s="125">
        <f>L89*'1. Standard_Cost'!$F$4</f>
        <v>484968</v>
      </c>
      <c r="N89" s="126"/>
      <c r="O89" s="126"/>
      <c r="P89" s="126"/>
      <c r="Q89" s="126"/>
      <c r="R89" s="127">
        <f>'1. Standard_Cost'!$B$15*N89*P89</f>
        <v>0</v>
      </c>
      <c r="S89" s="127">
        <f>N89*O89*P89*'1. Standard_Cost'!$C$15</f>
        <v>0</v>
      </c>
      <c r="T89" s="127">
        <f>N89*P89*Q89*'1. Standard_Cost'!$D$15</f>
        <v>0</v>
      </c>
      <c r="U89" s="127">
        <f>N89*O89*'1. Standard_Cost'!$E$15</f>
        <v>0</v>
      </c>
      <c r="V89" s="126"/>
      <c r="W89" s="126"/>
      <c r="X89" s="126"/>
      <c r="Y89" s="127">
        <f>+V89*((X89*'1. Standard_Cost'!$B$19)+(W89*X89*'1. Standard_Cost'!$C$19))</f>
        <v>0</v>
      </c>
      <c r="Z89" s="126"/>
      <c r="AA89" s="126"/>
      <c r="AB89" s="127">
        <f>+Z89*'1. Standard_Cost'!$B$23+AA89*'1. Standard_Cost'!$C$23</f>
        <v>0</v>
      </c>
      <c r="AC89" s="128">
        <v>406676</v>
      </c>
      <c r="AD89" s="129"/>
      <c r="AE89" s="127">
        <f>SUM(AD89,AC89,AB89,Y89,U89,T89,S89,R89)*'1. Standard_Cost'!$B$31</f>
        <v>81335.200000000012</v>
      </c>
      <c r="AF89" s="127">
        <f>SUM(AE89,AD89,AC89,AB89,Y89,U89,T89,S89,R89)</f>
        <v>488011.2</v>
      </c>
      <c r="AG89" s="126"/>
      <c r="AH89" s="126"/>
      <c r="AI89" s="126"/>
      <c r="AJ89" s="130"/>
      <c r="AK89" s="130"/>
      <c r="AL89" s="130"/>
      <c r="AM89" s="127">
        <f>AG89*'1. Standard_Cost'!$B$27+'Incremental_Cost Year 3'!AH89*'1. Standard_Cost'!$C$27+'Incremental_Cost Year 3'!AI89*'1. Standard_Cost'!$D$27+'Incremental_Cost Year 3'!AJ89+'Incremental_Cost Year 3'!AL89+AK89</f>
        <v>0</v>
      </c>
      <c r="AN89" s="127">
        <f>AM89*'1. Standard_Cost'!$C$31</f>
        <v>0</v>
      </c>
      <c r="AO89" s="130"/>
      <c r="AQ89" s="171">
        <f>L89+M89</f>
        <v>3388968</v>
      </c>
      <c r="AR89" s="171">
        <f>AF89</f>
        <v>488011.2</v>
      </c>
      <c r="AS89" s="171">
        <f>AM89+AN89</f>
        <v>0</v>
      </c>
      <c r="AT89" s="171">
        <f>SUM(AQ89,AR89,AS89)</f>
        <v>3876979.2</v>
      </c>
      <c r="AU89" s="250">
        <v>3876979</v>
      </c>
      <c r="AV89" s="250"/>
      <c r="AW89" s="250"/>
      <c r="AX89" s="250"/>
      <c r="AY89" s="250"/>
      <c r="AZ89" s="250"/>
      <c r="BA89" s="250"/>
      <c r="BB89" s="251">
        <f t="shared" ref="BB89:BB91" si="61">SUM(AU89:BA89)-AT89</f>
        <v>-0.20000000018626451</v>
      </c>
      <c r="BC89" s="169"/>
      <c r="BD89" s="169"/>
      <c r="BE89" s="169"/>
      <c r="BF89" s="169"/>
    </row>
    <row r="90" spans="1:58" ht="94.5" outlineLevel="2" x14ac:dyDescent="0.25">
      <c r="A90" s="115"/>
      <c r="B90" s="200"/>
      <c r="C90" s="201"/>
      <c r="D90" s="203"/>
      <c r="E90" s="323"/>
      <c r="F90" s="308"/>
      <c r="G90" s="309"/>
      <c r="H90" s="199" t="s">
        <v>425</v>
      </c>
      <c r="I90" s="130" t="s">
        <v>2</v>
      </c>
      <c r="J90" s="126">
        <v>12</v>
      </c>
      <c r="K90" s="126">
        <v>1</v>
      </c>
      <c r="L90" s="125">
        <f>IF(I90&lt;&gt;0,((VLOOKUP(I90,'1. Standard_Cost'!$B$4:$D$11,2)+VLOOKUP(I90,'1. Standard_Cost'!$B$4:$D$11,3))*J90*K90),"0")</f>
        <v>1452000</v>
      </c>
      <c r="M90" s="125">
        <f>L90*'1. Standard_Cost'!$F$4</f>
        <v>242484</v>
      </c>
      <c r="N90" s="126"/>
      <c r="O90" s="126"/>
      <c r="P90" s="126"/>
      <c r="Q90" s="126"/>
      <c r="R90" s="127">
        <f>'1. Standard_Cost'!$B$15*N90*P90</f>
        <v>0</v>
      </c>
      <c r="S90" s="127">
        <f>N90*O90*P90*'1. Standard_Cost'!$C$15</f>
        <v>0</v>
      </c>
      <c r="T90" s="127">
        <f>N90*P90*Q90*'1. Standard_Cost'!$D$15</f>
        <v>0</v>
      </c>
      <c r="U90" s="127">
        <f>N90*O90*'1. Standard_Cost'!$E$15</f>
        <v>0</v>
      </c>
      <c r="V90" s="126"/>
      <c r="W90" s="126"/>
      <c r="X90" s="126"/>
      <c r="Y90" s="127">
        <f>+V90*((X90*'1. Standard_Cost'!$B$19)+(W90*X90*'1. Standard_Cost'!$C$19))</f>
        <v>0</v>
      </c>
      <c r="Z90" s="126"/>
      <c r="AA90" s="126">
        <v>25</v>
      </c>
      <c r="AB90" s="127">
        <f>+Z90*'1. Standard_Cost'!$B$23+AA90*'1. Standard_Cost'!$C$23</f>
        <v>475000</v>
      </c>
      <c r="AC90" s="128">
        <v>203240</v>
      </c>
      <c r="AD90" s="129"/>
      <c r="AE90" s="127">
        <f>SUM(AD90,AC90,AB90,Y90,U90,T90,S90,R90)*'1. Standard_Cost'!$B$31</f>
        <v>135648</v>
      </c>
      <c r="AF90" s="127">
        <f>SUM(AE90,AD90,AC90,AB90,Y90,U90,T90,S90,R90)</f>
        <v>813888</v>
      </c>
      <c r="AG90" s="126"/>
      <c r="AH90" s="126"/>
      <c r="AI90" s="126"/>
      <c r="AJ90" s="130"/>
      <c r="AK90" s="130"/>
      <c r="AL90" s="130"/>
      <c r="AM90" s="127">
        <f>AG90*'1. Standard_Cost'!$B$27+'Incremental_Cost Year 3'!AH90*'1. Standard_Cost'!$C$27+'Incremental_Cost Year 3'!AI90*'1. Standard_Cost'!$D$27+'Incremental_Cost Year 3'!AJ90+'Incremental_Cost Year 3'!AL90+AK90</f>
        <v>0</v>
      </c>
      <c r="AN90" s="127">
        <f>AM90*'1. Standard_Cost'!$C$31</f>
        <v>0</v>
      </c>
      <c r="AO90" s="130"/>
      <c r="AQ90" s="171">
        <f>L90+M90</f>
        <v>1694484</v>
      </c>
      <c r="AR90" s="171">
        <f>AF90</f>
        <v>813888</v>
      </c>
      <c r="AS90" s="171">
        <f>AM90+AN90</f>
        <v>0</v>
      </c>
      <c r="AT90" s="171">
        <f>SUM(AQ90,AR90,AS90)</f>
        <v>2508372</v>
      </c>
      <c r="AU90" s="250">
        <v>1938372</v>
      </c>
      <c r="AV90" s="250"/>
      <c r="AW90" s="250"/>
      <c r="AX90" s="250"/>
      <c r="AY90" s="250"/>
      <c r="AZ90" s="250"/>
      <c r="BA90" s="250"/>
      <c r="BB90" s="251">
        <f t="shared" si="61"/>
        <v>-570000</v>
      </c>
      <c r="BC90" s="169"/>
      <c r="BD90" s="169"/>
      <c r="BE90" s="169"/>
      <c r="BF90" s="169"/>
    </row>
    <row r="91" spans="1:58" ht="78.75" outlineLevel="2" x14ac:dyDescent="0.25">
      <c r="A91" s="115"/>
      <c r="B91" s="200"/>
      <c r="C91" s="201"/>
      <c r="D91" s="133"/>
      <c r="E91" s="322"/>
      <c r="F91" s="324"/>
      <c r="G91" s="325"/>
      <c r="H91" s="109" t="s">
        <v>426</v>
      </c>
      <c r="I91" s="130" t="s">
        <v>3</v>
      </c>
      <c r="J91" s="126">
        <v>3</v>
      </c>
      <c r="K91" s="126">
        <v>3</v>
      </c>
      <c r="L91" s="125">
        <f>IF(I91&lt;&gt;0,((VLOOKUP(I91,'1. Standard_Cost'!$B$4:$D$11,2)+VLOOKUP(I91,'1. Standard_Cost'!$B$4:$D$11,3))*J91*K91),"0")</f>
        <v>907200</v>
      </c>
      <c r="M91" s="125">
        <f>L91*'1. Standard_Cost'!$F$4</f>
        <v>151502.39999999999</v>
      </c>
      <c r="N91" s="126"/>
      <c r="O91" s="126"/>
      <c r="P91" s="126"/>
      <c r="Q91" s="126"/>
      <c r="R91" s="127">
        <f>'1. Standard_Cost'!$B$15*N91*P91</f>
        <v>0</v>
      </c>
      <c r="S91" s="127">
        <f>N91*O91*P91*'1. Standard_Cost'!$C$15</f>
        <v>0</v>
      </c>
      <c r="T91" s="127">
        <f>N91*P91*Q91*'1. Standard_Cost'!$D$15</f>
        <v>0</v>
      </c>
      <c r="U91" s="127">
        <f>N91*O91*'1. Standard_Cost'!$E$15</f>
        <v>0</v>
      </c>
      <c r="V91" s="126">
        <v>1</v>
      </c>
      <c r="W91" s="126">
        <v>5</v>
      </c>
      <c r="X91" s="126">
        <v>3</v>
      </c>
      <c r="Y91" s="127">
        <f>+V91*((X91*'1. Standard_Cost'!$B$19)+(W91*X91*'1. Standard_Cost'!$C$19))</f>
        <v>255000</v>
      </c>
      <c r="Z91" s="126"/>
      <c r="AA91" s="126"/>
      <c r="AB91" s="127">
        <f>+Z91*'1. Standard_Cost'!$B$23+AA91*'1. Standard_Cost'!$C$23</f>
        <v>0</v>
      </c>
      <c r="AC91" s="128">
        <v>127045</v>
      </c>
      <c r="AD91" s="129"/>
      <c r="AE91" s="127">
        <f>SUM(AD91,AC91,AB91,Y91,U91,T91,S91,R91)*'1. Standard_Cost'!$B$31</f>
        <v>76409</v>
      </c>
      <c r="AF91" s="127">
        <f>SUM(AE91,AD91,AC91,AB91,Y91,U91,T91,S91,R91)</f>
        <v>458454</v>
      </c>
      <c r="AG91" s="126"/>
      <c r="AH91" s="126"/>
      <c r="AI91" s="126"/>
      <c r="AJ91" s="130"/>
      <c r="AK91" s="130"/>
      <c r="AL91" s="130"/>
      <c r="AM91" s="127">
        <f>AG91*'1. Standard_Cost'!$B$27+'Incremental_Cost Year 3'!AH91*'1. Standard_Cost'!$C$27+'Incremental_Cost Year 3'!AI91*'1. Standard_Cost'!$D$27+'Incremental_Cost Year 3'!AJ91+'Incremental_Cost Year 3'!AL91+AK91</f>
        <v>0</v>
      </c>
      <c r="AN91" s="127">
        <f>AM91*'1. Standard_Cost'!$C$31</f>
        <v>0</v>
      </c>
      <c r="AO91" s="130"/>
      <c r="AQ91" s="171">
        <f>L91+M91</f>
        <v>1058702.3999999999</v>
      </c>
      <c r="AR91" s="171">
        <f>AF91</f>
        <v>458454</v>
      </c>
      <c r="AS91" s="171">
        <f>AM91+AN91</f>
        <v>0</v>
      </c>
      <c r="AT91" s="171">
        <f>SUM(AQ91,AR91,AS91)</f>
        <v>1517156.4</v>
      </c>
      <c r="AU91" s="250">
        <v>1517156</v>
      </c>
      <c r="AV91" s="250"/>
      <c r="AW91" s="250"/>
      <c r="AX91" s="250"/>
      <c r="AY91" s="250"/>
      <c r="AZ91" s="250"/>
      <c r="BA91" s="250"/>
      <c r="BB91" s="251">
        <f t="shared" si="61"/>
        <v>-0.39999999990686774</v>
      </c>
      <c r="BC91" s="169"/>
      <c r="BD91" s="169"/>
      <c r="BE91" s="169"/>
      <c r="BF91" s="169"/>
    </row>
    <row r="92" spans="1:58" ht="78.75" outlineLevel="1" x14ac:dyDescent="0.25">
      <c r="A92" s="115"/>
      <c r="B92" s="165"/>
      <c r="C92" s="166"/>
      <c r="D92" s="150" t="s">
        <v>240</v>
      </c>
      <c r="E92" s="212" t="s">
        <v>271</v>
      </c>
      <c r="F92" s="104">
        <v>2021</v>
      </c>
      <c r="G92" s="104">
        <v>2030</v>
      </c>
      <c r="H92" s="110" t="s">
        <v>272</v>
      </c>
      <c r="I92" s="252"/>
      <c r="J92" s="252"/>
      <c r="K92" s="252"/>
      <c r="L92" s="127">
        <f>SUM(L89:L91)</f>
        <v>5263200</v>
      </c>
      <c r="M92" s="127">
        <f>SUM(M89:M91)</f>
        <v>878954.4</v>
      </c>
      <c r="N92" s="252"/>
      <c r="O92" s="252"/>
      <c r="P92" s="252"/>
      <c r="Q92" s="252"/>
      <c r="R92" s="127">
        <f>SUM(R89:R91)</f>
        <v>0</v>
      </c>
      <c r="S92" s="127">
        <f>SUM(S89:S91)</f>
        <v>0</v>
      </c>
      <c r="T92" s="127">
        <f>SUM(T89:T91)</f>
        <v>0</v>
      </c>
      <c r="U92" s="127">
        <f>SUM(U89:U91)</f>
        <v>0</v>
      </c>
      <c r="V92" s="252"/>
      <c r="W92" s="252"/>
      <c r="X92" s="252"/>
      <c r="Y92" s="127">
        <f>SUM(Y89:Y91)</f>
        <v>255000</v>
      </c>
      <c r="Z92" s="252"/>
      <c r="AA92" s="252"/>
      <c r="AB92" s="127">
        <f>SUM(AB89:AB91)</f>
        <v>475000</v>
      </c>
      <c r="AC92" s="127">
        <f>SUM(AC89:AC91)</f>
        <v>736961</v>
      </c>
      <c r="AD92" s="127">
        <f>SUM(AD89:AD91)</f>
        <v>0</v>
      </c>
      <c r="AE92" s="127">
        <f>SUM(AE89:AE91)</f>
        <v>293392.2</v>
      </c>
      <c r="AF92" s="127">
        <f>SUM(AF89:AF91)</f>
        <v>1760353.2</v>
      </c>
      <c r="AG92" s="252"/>
      <c r="AH92" s="252"/>
      <c r="AI92" s="252"/>
      <c r="AJ92" s="127">
        <f>SUM(AJ89:AJ91)</f>
        <v>0</v>
      </c>
      <c r="AK92" s="127">
        <f>SUM(AK89:AK91)</f>
        <v>0</v>
      </c>
      <c r="AL92" s="127">
        <f>SUM(AL89:AL91)</f>
        <v>0</v>
      </c>
      <c r="AM92" s="127">
        <f>SUM(AM89:AM91)</f>
        <v>0</v>
      </c>
      <c r="AN92" s="127">
        <f>SUM(AN89:AN91)</f>
        <v>0</v>
      </c>
      <c r="AO92" s="253"/>
      <c r="AP92" s="254"/>
      <c r="AQ92" s="175">
        <f>SUM(AQ89:AQ91)</f>
        <v>6142154.4000000004</v>
      </c>
      <c r="AR92" s="175">
        <f>SUM(AR89:AR91)</f>
        <v>1760353.2</v>
      </c>
      <c r="AS92" s="175">
        <f>SUM(AS89:AS91)</f>
        <v>0</v>
      </c>
      <c r="AT92" s="175">
        <f>SUM(AT89:AT91)</f>
        <v>7902507.5999999996</v>
      </c>
      <c r="AU92" s="175">
        <f t="shared" ref="AU92:BB92" si="62">SUM(AU89:AU91)</f>
        <v>7332507</v>
      </c>
      <c r="AV92" s="175">
        <f t="shared" si="62"/>
        <v>0</v>
      </c>
      <c r="AW92" s="175">
        <f t="shared" si="62"/>
        <v>0</v>
      </c>
      <c r="AX92" s="175">
        <f t="shared" si="62"/>
        <v>0</v>
      </c>
      <c r="AY92" s="175">
        <f t="shared" si="62"/>
        <v>0</v>
      </c>
      <c r="AZ92" s="175">
        <f t="shared" si="62"/>
        <v>0</v>
      </c>
      <c r="BA92" s="175">
        <f t="shared" si="62"/>
        <v>0</v>
      </c>
      <c r="BB92" s="175">
        <f t="shared" si="62"/>
        <v>-570000.60000000009</v>
      </c>
      <c r="BC92" s="169"/>
      <c r="BD92" s="169"/>
      <c r="BE92" s="169"/>
      <c r="BF92" s="169"/>
    </row>
    <row r="93" spans="1:58" s="184" customFormat="1" ht="15.75" customHeight="1" x14ac:dyDescent="0.25">
      <c r="A93" s="143"/>
      <c r="B93" s="290"/>
      <c r="C93" s="391" t="s">
        <v>537</v>
      </c>
      <c r="D93" s="391"/>
      <c r="E93" s="392"/>
      <c r="F93" s="291"/>
      <c r="G93" s="291"/>
      <c r="H93" s="144" t="s">
        <v>165</v>
      </c>
      <c r="I93" s="257"/>
      <c r="J93" s="257"/>
      <c r="K93" s="257"/>
      <c r="L93" s="258">
        <f>SUM(L99)</f>
        <v>106050</v>
      </c>
      <c r="M93" s="258">
        <f>SUM(M99)</f>
        <v>17710.350000000002</v>
      </c>
      <c r="N93" s="257"/>
      <c r="O93" s="257"/>
      <c r="P93" s="257"/>
      <c r="Q93" s="257"/>
      <c r="R93" s="258">
        <f>SUM(R99)</f>
        <v>0</v>
      </c>
      <c r="S93" s="258">
        <f>SUM(S99)</f>
        <v>0</v>
      </c>
      <c r="T93" s="258">
        <f>SUM(T99)</f>
        <v>0</v>
      </c>
      <c r="U93" s="258">
        <f>SUM(U99)</f>
        <v>0</v>
      </c>
      <c r="V93" s="257"/>
      <c r="W93" s="257"/>
      <c r="X93" s="257"/>
      <c r="Y93" s="258">
        <f>SUM(Y99)</f>
        <v>0</v>
      </c>
      <c r="Z93" s="257"/>
      <c r="AA93" s="257"/>
      <c r="AB93" s="258">
        <f>SUM(AB99)</f>
        <v>950000</v>
      </c>
      <c r="AC93" s="258">
        <f>SUM(AC99)</f>
        <v>39000</v>
      </c>
      <c r="AD93" s="258">
        <f>SUM(AD99)</f>
        <v>0</v>
      </c>
      <c r="AE93" s="258">
        <f>SUM(AE99)</f>
        <v>197800</v>
      </c>
      <c r="AF93" s="258">
        <f>SUM(AF99)</f>
        <v>1186800</v>
      </c>
      <c r="AG93" s="257"/>
      <c r="AH93" s="257"/>
      <c r="AI93" s="257"/>
      <c r="AJ93" s="258">
        <f>SUM(AJ99)</f>
        <v>0</v>
      </c>
      <c r="AK93" s="258">
        <f>SUM(AK99)</f>
        <v>0</v>
      </c>
      <c r="AL93" s="258">
        <f>SUM(AL99)</f>
        <v>0</v>
      </c>
      <c r="AM93" s="258">
        <f>SUM(AM99)</f>
        <v>0</v>
      </c>
      <c r="AN93" s="258">
        <f>SUM(AN99)</f>
        <v>0</v>
      </c>
      <c r="AO93" s="259"/>
      <c r="AP93" s="260"/>
      <c r="AQ93" s="261">
        <f>SUM(AQ99)</f>
        <v>123760.34999999999</v>
      </c>
      <c r="AR93" s="261">
        <f>SUM(AR99)</f>
        <v>1186800</v>
      </c>
      <c r="AS93" s="261">
        <f>SUM(AS99)</f>
        <v>0</v>
      </c>
      <c r="AT93" s="261">
        <f>SUM(AT99)</f>
        <v>1310560.3499999999</v>
      </c>
      <c r="AU93" s="261">
        <f t="shared" ref="AU93:BA93" si="63">SUM(AU99)</f>
        <v>170560</v>
      </c>
      <c r="AV93" s="261">
        <f t="shared" si="63"/>
        <v>0</v>
      </c>
      <c r="AW93" s="261">
        <f t="shared" si="63"/>
        <v>0</v>
      </c>
      <c r="AX93" s="261">
        <f t="shared" si="63"/>
        <v>0</v>
      </c>
      <c r="AY93" s="261">
        <f t="shared" si="63"/>
        <v>0</v>
      </c>
      <c r="AZ93" s="261">
        <f t="shared" si="63"/>
        <v>0</v>
      </c>
      <c r="BA93" s="261">
        <f t="shared" si="63"/>
        <v>0</v>
      </c>
      <c r="BB93" s="261">
        <f>SUM(BB99)</f>
        <v>-1140000.3499999999</v>
      </c>
    </row>
    <row r="94" spans="1:58" ht="94.5" outlineLevel="2" x14ac:dyDescent="0.25">
      <c r="A94" s="115"/>
      <c r="B94" s="200"/>
      <c r="C94" s="201"/>
      <c r="D94" s="346"/>
      <c r="E94" s="321"/>
      <c r="F94" s="306"/>
      <c r="G94" s="307"/>
      <c r="H94" s="109" t="s">
        <v>427</v>
      </c>
      <c r="I94" s="130" t="s">
        <v>5</v>
      </c>
      <c r="J94" s="126">
        <v>1</v>
      </c>
      <c r="K94" s="126">
        <v>1</v>
      </c>
      <c r="L94" s="125">
        <f>IF(I94&lt;&gt;0,((VLOOKUP(I94,'1. Standard_Cost'!$B$4:$D$11,2)+VLOOKUP(I94,'1. Standard_Cost'!$B$4:$D$11,3))*J94*K94),"0")</f>
        <v>70700</v>
      </c>
      <c r="M94" s="125">
        <f>L94*'1. Standard_Cost'!$F$4</f>
        <v>11806.900000000001</v>
      </c>
      <c r="N94" s="126"/>
      <c r="O94" s="126"/>
      <c r="P94" s="126"/>
      <c r="Q94" s="126"/>
      <c r="R94" s="127">
        <f>'1. Standard_Cost'!$B$15*N94*P94</f>
        <v>0</v>
      </c>
      <c r="S94" s="127">
        <f>N94*O94*P94*'1. Standard_Cost'!$C$15</f>
        <v>0</v>
      </c>
      <c r="T94" s="127">
        <f>N94*P94*Q94*'1. Standard_Cost'!$D$15</f>
        <v>0</v>
      </c>
      <c r="U94" s="127">
        <f>N94*O94*'1. Standard_Cost'!$E$15</f>
        <v>0</v>
      </c>
      <c r="V94" s="126"/>
      <c r="W94" s="126"/>
      <c r="X94" s="126"/>
      <c r="Y94" s="127">
        <f>+V94*((X94*'1. Standard_Cost'!$B$19)+(W94*X94*'1. Standard_Cost'!$C$19))</f>
        <v>0</v>
      </c>
      <c r="Z94" s="126"/>
      <c r="AA94" s="126">
        <v>50</v>
      </c>
      <c r="AB94" s="127">
        <f>+Z94*'1. Standard_Cost'!$B$23+AA94*'1. Standard_Cost'!$C$23</f>
        <v>950000</v>
      </c>
      <c r="AC94" s="128">
        <v>9000</v>
      </c>
      <c r="AD94" s="129"/>
      <c r="AE94" s="127">
        <f>SUM(AD94,AC94,AB94,Y94,U94,T94,S94,R94)*'1. Standard_Cost'!$B$31</f>
        <v>191800</v>
      </c>
      <c r="AF94" s="127">
        <f>SUM(AE94,AD94,AC94,AB94,Y94,U94,T94,S94,R94)</f>
        <v>1150800</v>
      </c>
      <c r="AG94" s="126"/>
      <c r="AH94" s="126"/>
      <c r="AI94" s="126"/>
      <c r="AJ94" s="130"/>
      <c r="AK94" s="130"/>
      <c r="AL94" s="130"/>
      <c r="AM94" s="127">
        <f>AG94*'1. Standard_Cost'!$B$27+'Incremental_Cost Year 3'!AH94*'1. Standard_Cost'!$C$27+'Incremental_Cost Year 3'!AI94*'1. Standard_Cost'!$D$27+'Incremental_Cost Year 3'!AJ94+'Incremental_Cost Year 3'!AL94+AK94</f>
        <v>0</v>
      </c>
      <c r="AN94" s="127">
        <f>AM94*'1. Standard_Cost'!$C$31</f>
        <v>0</v>
      </c>
      <c r="AO94" s="130"/>
      <c r="AQ94" s="171">
        <f>L94+M94</f>
        <v>82506.899999999994</v>
      </c>
      <c r="AR94" s="171">
        <f>AF94</f>
        <v>1150800</v>
      </c>
      <c r="AS94" s="171">
        <f>AM94+AN94</f>
        <v>0</v>
      </c>
      <c r="AT94" s="171">
        <f>SUM(AQ94,AR94,AS94)</f>
        <v>1233306.8999999999</v>
      </c>
      <c r="AU94" s="250">
        <v>93307</v>
      </c>
      <c r="AV94" s="250"/>
      <c r="AW94" s="250"/>
      <c r="AX94" s="250"/>
      <c r="AY94" s="250"/>
      <c r="AZ94" s="250"/>
      <c r="BA94" s="250"/>
      <c r="BB94" s="251">
        <f t="shared" ref="BB94:BB98" si="64">SUM(AU94:BA94)-AT94</f>
        <v>-1139999.8999999999</v>
      </c>
      <c r="BC94" s="169"/>
      <c r="BD94" s="169"/>
      <c r="BE94" s="169"/>
      <c r="BF94" s="169"/>
    </row>
    <row r="95" spans="1:58" ht="63" outlineLevel="2" x14ac:dyDescent="0.25">
      <c r="A95" s="115"/>
      <c r="B95" s="200"/>
      <c r="C95" s="201"/>
      <c r="D95" s="203"/>
      <c r="E95" s="323"/>
      <c r="F95" s="308"/>
      <c r="G95" s="309"/>
      <c r="H95" s="109" t="s">
        <v>428</v>
      </c>
      <c r="I95" s="130"/>
      <c r="J95" s="126"/>
      <c r="K95" s="126"/>
      <c r="L95" s="125" t="str">
        <f>IF(I95&lt;&gt;0,((VLOOKUP(I95,'1. Standard_Cost'!$B$4:$D$11,2)+VLOOKUP(I95,'1. Standard_Cost'!$B$4:$D$11,3))*J95*K95),"0")</f>
        <v>0</v>
      </c>
      <c r="M95" s="125">
        <f>L95*'1. Standard_Cost'!$F$4</f>
        <v>0</v>
      </c>
      <c r="N95" s="126"/>
      <c r="O95" s="126"/>
      <c r="P95" s="126"/>
      <c r="Q95" s="126"/>
      <c r="R95" s="127">
        <f>'1. Standard_Cost'!$B$15*N95*P95</f>
        <v>0</v>
      </c>
      <c r="S95" s="127">
        <f>N95*O95*P95*'1. Standard_Cost'!$C$15</f>
        <v>0</v>
      </c>
      <c r="T95" s="127">
        <f>N95*P95*Q95*'1. Standard_Cost'!$D$15</f>
        <v>0</v>
      </c>
      <c r="U95" s="127">
        <f>N95*O95*'1. Standard_Cost'!$E$15</f>
        <v>0</v>
      </c>
      <c r="V95" s="126"/>
      <c r="W95" s="126"/>
      <c r="X95" s="126"/>
      <c r="Y95" s="127">
        <f>+V95*((X95*'1. Standard_Cost'!$B$19)+(W95*X95*'1. Standard_Cost'!$C$19))</f>
        <v>0</v>
      </c>
      <c r="Z95" s="126"/>
      <c r="AA95" s="126"/>
      <c r="AB95" s="127">
        <f>+Z95*'1. Standard_Cost'!$B$23+AA95*'1. Standard_Cost'!$C$23</f>
        <v>0</v>
      </c>
      <c r="AC95" s="128"/>
      <c r="AD95" s="129"/>
      <c r="AE95" s="127">
        <f>SUM(AD95,AC95,AB95,Y95,U95,T95,S95,R95)*'1. Standard_Cost'!$B$31</f>
        <v>0</v>
      </c>
      <c r="AF95" s="127">
        <f>SUM(AE95,AD95,AC95,AB95,Y95,U95,T95,S95,R95)</f>
        <v>0</v>
      </c>
      <c r="AG95" s="126"/>
      <c r="AH95" s="126"/>
      <c r="AI95" s="126"/>
      <c r="AJ95" s="130"/>
      <c r="AK95" s="130"/>
      <c r="AL95" s="130"/>
      <c r="AM95" s="127">
        <f>AG95*'1. Standard_Cost'!$B$27+'Incremental_Cost Year 3'!AH95*'1. Standard_Cost'!$C$27+'Incremental_Cost Year 3'!AI95*'1. Standard_Cost'!$D$27+'Incremental_Cost Year 3'!AJ95+'Incremental_Cost Year 3'!AL95+AK95</f>
        <v>0</v>
      </c>
      <c r="AN95" s="127">
        <f>AM95*'1. Standard_Cost'!$C$31</f>
        <v>0</v>
      </c>
      <c r="AO95" s="130"/>
      <c r="AQ95" s="171">
        <f>L95+M95</f>
        <v>0</v>
      </c>
      <c r="AR95" s="171">
        <f>AF95</f>
        <v>0</v>
      </c>
      <c r="AS95" s="171">
        <f>AM95+AN95</f>
        <v>0</v>
      </c>
      <c r="AT95" s="171">
        <f>SUM(AQ95,AR95,AS95)</f>
        <v>0</v>
      </c>
      <c r="AU95" s="250"/>
      <c r="AV95" s="250"/>
      <c r="AW95" s="250"/>
      <c r="AX95" s="250"/>
      <c r="AY95" s="250"/>
      <c r="AZ95" s="250"/>
      <c r="BA95" s="250"/>
      <c r="BB95" s="251">
        <f t="shared" si="64"/>
        <v>0</v>
      </c>
      <c r="BC95" s="169"/>
      <c r="BD95" s="169"/>
      <c r="BE95" s="169"/>
      <c r="BF95" s="169"/>
    </row>
    <row r="96" spans="1:58" ht="78.75" outlineLevel="2" x14ac:dyDescent="0.25">
      <c r="A96" s="115"/>
      <c r="B96" s="200"/>
      <c r="C96" s="201"/>
      <c r="D96" s="203"/>
      <c r="E96" s="323"/>
      <c r="F96" s="326"/>
      <c r="G96" s="327"/>
      <c r="H96" s="109" t="s">
        <v>429</v>
      </c>
      <c r="I96" s="130"/>
      <c r="J96" s="126"/>
      <c r="K96" s="126"/>
      <c r="L96" s="125" t="str">
        <f>IF(I96&lt;&gt;0,((VLOOKUP(I96,'1. Standard_Cost'!$B$4:$D$11,2)+VLOOKUP(I96,'1. Standard_Cost'!$B$4:$D$11,3))*J96*K96),"0")</f>
        <v>0</v>
      </c>
      <c r="M96" s="125">
        <f>L96*'1. Standard_Cost'!$F$4</f>
        <v>0</v>
      </c>
      <c r="N96" s="126"/>
      <c r="O96" s="126"/>
      <c r="P96" s="126"/>
      <c r="Q96" s="126"/>
      <c r="R96" s="127">
        <f>'1. Standard_Cost'!$B$15*N96*P96</f>
        <v>0</v>
      </c>
      <c r="S96" s="127">
        <f>N96*O96*P96*'1. Standard_Cost'!$C$15</f>
        <v>0</v>
      </c>
      <c r="T96" s="127">
        <f>N96*P96*Q96*'1. Standard_Cost'!$D$15</f>
        <v>0</v>
      </c>
      <c r="U96" s="127">
        <f>N96*O96*'1. Standard_Cost'!$E$15</f>
        <v>0</v>
      </c>
      <c r="V96" s="126"/>
      <c r="W96" s="126"/>
      <c r="X96" s="126"/>
      <c r="Y96" s="127">
        <f>+V96*((X96*'1. Standard_Cost'!$B$19)+(W96*X96*'1. Standard_Cost'!$C$19))</f>
        <v>0</v>
      </c>
      <c r="Z96" s="126"/>
      <c r="AA96" s="126"/>
      <c r="AB96" s="127">
        <f>+Z96*'1. Standard_Cost'!$B$23+AA96*'1. Standard_Cost'!$C$23</f>
        <v>0</v>
      </c>
      <c r="AC96" s="128"/>
      <c r="AD96" s="129"/>
      <c r="AE96" s="127">
        <f>SUM(AD96,AC96,AB96,Y96,U96,T96,S96,R96)*'1. Standard_Cost'!$B$31</f>
        <v>0</v>
      </c>
      <c r="AF96" s="127">
        <f>SUM(AE96,AD96,AC96,AB96,Y96,U96,T96,S96,R96)</f>
        <v>0</v>
      </c>
      <c r="AG96" s="126"/>
      <c r="AH96" s="126"/>
      <c r="AI96" s="126"/>
      <c r="AJ96" s="130"/>
      <c r="AK96" s="130"/>
      <c r="AL96" s="130"/>
      <c r="AM96" s="127">
        <f>AG96*'1. Standard_Cost'!$B$27+'Incremental_Cost Year 3'!AH96*'1. Standard_Cost'!$C$27+'Incremental_Cost Year 3'!AI96*'1. Standard_Cost'!$D$27+'Incremental_Cost Year 3'!AJ96+'Incremental_Cost Year 3'!AL96+AK96</f>
        <v>0</v>
      </c>
      <c r="AN96" s="127">
        <f>AM96*'1. Standard_Cost'!$C$31</f>
        <v>0</v>
      </c>
      <c r="AO96" s="130"/>
      <c r="AQ96" s="171">
        <f>L96+M96</f>
        <v>0</v>
      </c>
      <c r="AR96" s="171">
        <f>AF96</f>
        <v>0</v>
      </c>
      <c r="AS96" s="171">
        <f>AM96+AN96</f>
        <v>0</v>
      </c>
      <c r="AT96" s="171">
        <f>SUM(AQ96,AR96,AS96)</f>
        <v>0</v>
      </c>
      <c r="AU96" s="250"/>
      <c r="AV96" s="250"/>
      <c r="AW96" s="250"/>
      <c r="AX96" s="250"/>
      <c r="AY96" s="250"/>
      <c r="AZ96" s="250"/>
      <c r="BA96" s="250"/>
      <c r="BB96" s="251">
        <f t="shared" si="64"/>
        <v>0</v>
      </c>
      <c r="BC96" s="169"/>
      <c r="BD96" s="169"/>
      <c r="BE96" s="169"/>
      <c r="BF96" s="169"/>
    </row>
    <row r="97" spans="1:58" ht="126" outlineLevel="2" x14ac:dyDescent="0.25">
      <c r="A97" s="115"/>
      <c r="B97" s="200"/>
      <c r="C97" s="201"/>
      <c r="D97" s="203"/>
      <c r="E97" s="323"/>
      <c r="F97" s="308"/>
      <c r="G97" s="309"/>
      <c r="H97" s="225" t="s">
        <v>430</v>
      </c>
      <c r="I97" s="130"/>
      <c r="J97" s="126"/>
      <c r="K97" s="126"/>
      <c r="L97" s="125" t="str">
        <f>IF(I97&lt;&gt;0,((VLOOKUP(I97,'1. Standard_Cost'!$B$4:$D$11,2)+VLOOKUP(I97,'1. Standard_Cost'!$B$4:$D$11,3))*J97*K97),"0")</f>
        <v>0</v>
      </c>
      <c r="M97" s="125">
        <f>L97*'1. Standard_Cost'!$F$4</f>
        <v>0</v>
      </c>
      <c r="N97" s="126"/>
      <c r="O97" s="126"/>
      <c r="P97" s="126"/>
      <c r="Q97" s="126"/>
      <c r="R97" s="127">
        <f>'1. Standard_Cost'!$B$15*N97*P97</f>
        <v>0</v>
      </c>
      <c r="S97" s="127">
        <f>N97*O97*P97*'1. Standard_Cost'!$C$15</f>
        <v>0</v>
      </c>
      <c r="T97" s="127">
        <f>N97*P97*Q97*'1. Standard_Cost'!$D$15</f>
        <v>0</v>
      </c>
      <c r="U97" s="127">
        <f>N97*O97*'1. Standard_Cost'!$E$15</f>
        <v>0</v>
      </c>
      <c r="V97" s="126"/>
      <c r="W97" s="126"/>
      <c r="X97" s="126"/>
      <c r="Y97" s="127">
        <f>+V97*((X97*'1. Standard_Cost'!$B$19)+(W97*X97*'1. Standard_Cost'!$C$19))</f>
        <v>0</v>
      </c>
      <c r="Z97" s="126"/>
      <c r="AA97" s="126"/>
      <c r="AB97" s="127">
        <f>+Z97*'1. Standard_Cost'!$B$23+AA97*'1. Standard_Cost'!$C$23</f>
        <v>0</v>
      </c>
      <c r="AC97" s="128"/>
      <c r="AD97" s="129"/>
      <c r="AE97" s="127">
        <f>SUM(AD97,AC97,AB97,Y97,U97,T97,S97,R97)*'1. Standard_Cost'!$B$31</f>
        <v>0</v>
      </c>
      <c r="AF97" s="127">
        <f>SUM(AE97,AD97,AC97,AB97,Y97,U97,T97,S97,R97)</f>
        <v>0</v>
      </c>
      <c r="AG97" s="126"/>
      <c r="AH97" s="126"/>
      <c r="AI97" s="126"/>
      <c r="AJ97" s="130"/>
      <c r="AK97" s="130"/>
      <c r="AL97" s="130"/>
      <c r="AM97" s="127">
        <f>AG97*'1. Standard_Cost'!$B$27+'Incremental_Cost Year 3'!AH97*'1. Standard_Cost'!$C$27+'Incremental_Cost Year 3'!AI97*'1. Standard_Cost'!$D$27+'Incremental_Cost Year 3'!AJ97+'Incremental_Cost Year 3'!AL97+AK97</f>
        <v>0</v>
      </c>
      <c r="AN97" s="127">
        <f>AM97*'1. Standard_Cost'!$C$31</f>
        <v>0</v>
      </c>
      <c r="AO97" s="130"/>
      <c r="AQ97" s="171">
        <f>L97+M97</f>
        <v>0</v>
      </c>
      <c r="AR97" s="171">
        <f>AF97</f>
        <v>0</v>
      </c>
      <c r="AS97" s="171">
        <f>AM97+AN97</f>
        <v>0</v>
      </c>
      <c r="AT97" s="171">
        <f>SUM(AQ97,AR97,AS97)</f>
        <v>0</v>
      </c>
      <c r="AU97" s="250"/>
      <c r="AV97" s="250"/>
      <c r="AW97" s="250"/>
      <c r="AX97" s="250"/>
      <c r="AY97" s="250"/>
      <c r="AZ97" s="250"/>
      <c r="BA97" s="250"/>
      <c r="BB97" s="251">
        <f t="shared" si="64"/>
        <v>0</v>
      </c>
      <c r="BC97" s="169"/>
      <c r="BD97" s="169"/>
      <c r="BE97" s="169"/>
      <c r="BF97" s="169"/>
    </row>
    <row r="98" spans="1:58" ht="78.75" outlineLevel="2" x14ac:dyDescent="0.25">
      <c r="A98" s="115"/>
      <c r="B98" s="200"/>
      <c r="C98" s="201"/>
      <c r="D98" s="133"/>
      <c r="E98" s="323"/>
      <c r="F98" s="308"/>
      <c r="G98" s="309"/>
      <c r="H98" s="109" t="s">
        <v>431</v>
      </c>
      <c r="I98" s="130" t="s">
        <v>5</v>
      </c>
      <c r="J98" s="126">
        <v>0.5</v>
      </c>
      <c r="K98" s="126">
        <v>1</v>
      </c>
      <c r="L98" s="125">
        <f>IF(I98&lt;&gt;0,((VLOOKUP(I98,'1. Standard_Cost'!$B$4:$D$11,2)+VLOOKUP(I98,'1. Standard_Cost'!$B$4:$D$11,3))*J98*K98),"0")</f>
        <v>35350</v>
      </c>
      <c r="M98" s="125">
        <f>L98*'1. Standard_Cost'!$F$4</f>
        <v>5903.4500000000007</v>
      </c>
      <c r="N98" s="126"/>
      <c r="O98" s="126"/>
      <c r="P98" s="126"/>
      <c r="Q98" s="126"/>
      <c r="R98" s="127">
        <f>'1. Standard_Cost'!$B$15*N98*P98</f>
        <v>0</v>
      </c>
      <c r="S98" s="127">
        <f>N98*O98*P98*'1. Standard_Cost'!$C$15</f>
        <v>0</v>
      </c>
      <c r="T98" s="127">
        <f>N98*P98*Q98*'1. Standard_Cost'!$D$15</f>
        <v>0</v>
      </c>
      <c r="U98" s="127">
        <f>N98*O98*'1. Standard_Cost'!$E$15</f>
        <v>0</v>
      </c>
      <c r="V98" s="126"/>
      <c r="W98" s="126"/>
      <c r="X98" s="126"/>
      <c r="Y98" s="127">
        <f>+V98*((X98*'1. Standard_Cost'!$B$19)+(W98*X98*'1. Standard_Cost'!$C$19))</f>
        <v>0</v>
      </c>
      <c r="Z98" s="126"/>
      <c r="AA98" s="145"/>
      <c r="AB98" s="127">
        <f>+Z98*'1. Standard_Cost'!$B$23+AA98*'1. Standard_Cost'!$C$23</f>
        <v>0</v>
      </c>
      <c r="AC98" s="128">
        <v>30000</v>
      </c>
      <c r="AD98" s="129"/>
      <c r="AE98" s="127">
        <f>SUM(AD98,AC98,AB98,Y98,U98,T98,S98,R98)*'1. Standard_Cost'!$B$31</f>
        <v>6000</v>
      </c>
      <c r="AF98" s="127">
        <f>SUM(AE98,AD98,AC98,AB98,Y98,U98,T98,S98,R98)</f>
        <v>36000</v>
      </c>
      <c r="AG98" s="126"/>
      <c r="AH98" s="126"/>
      <c r="AI98" s="126"/>
      <c r="AJ98" s="130"/>
      <c r="AK98" s="130"/>
      <c r="AL98" s="130"/>
      <c r="AM98" s="127">
        <f>AG98*'1. Standard_Cost'!$B$27+'Incremental_Cost Year 3'!AH98*'1. Standard_Cost'!$C$27+'Incremental_Cost Year 3'!AI98*'1. Standard_Cost'!$D$27+'Incremental_Cost Year 3'!AJ98+'Incremental_Cost Year 3'!AL98+AK98</f>
        <v>0</v>
      </c>
      <c r="AN98" s="127">
        <f>AM98*'1. Standard_Cost'!$C$31</f>
        <v>0</v>
      </c>
      <c r="AO98" s="262"/>
      <c r="AQ98" s="171">
        <f>L98+M98</f>
        <v>41253.449999999997</v>
      </c>
      <c r="AR98" s="171">
        <f>AF98</f>
        <v>36000</v>
      </c>
      <c r="AS98" s="171">
        <f>AM98+AN98</f>
        <v>0</v>
      </c>
      <c r="AT98" s="171">
        <f>SUM(AQ98,AR98,AS98)</f>
        <v>77253.45</v>
      </c>
      <c r="AU98" s="250">
        <v>77253</v>
      </c>
      <c r="AV98" s="250"/>
      <c r="AW98" s="250"/>
      <c r="AX98" s="250"/>
      <c r="AY98" s="250"/>
      <c r="AZ98" s="250"/>
      <c r="BA98" s="250"/>
      <c r="BB98" s="251">
        <f t="shared" si="64"/>
        <v>-0.44999999999708962</v>
      </c>
      <c r="BC98" s="169"/>
      <c r="BD98" s="169"/>
      <c r="BE98" s="169"/>
      <c r="BF98" s="169"/>
    </row>
    <row r="99" spans="1:58" ht="94.5" outlineLevel="1" x14ac:dyDescent="0.25">
      <c r="A99" s="115"/>
      <c r="B99" s="165"/>
      <c r="C99" s="166"/>
      <c r="D99" s="212" t="s">
        <v>432</v>
      </c>
      <c r="E99" s="212" t="s">
        <v>274</v>
      </c>
      <c r="F99" s="136">
        <v>2022</v>
      </c>
      <c r="G99" s="117">
        <v>2030</v>
      </c>
      <c r="H99" s="110" t="s">
        <v>164</v>
      </c>
      <c r="I99" s="252"/>
      <c r="J99" s="252"/>
      <c r="K99" s="252"/>
      <c r="L99" s="127">
        <f>SUM(L94:L98)</f>
        <v>106050</v>
      </c>
      <c r="M99" s="127">
        <f>SUM(M94:M98)</f>
        <v>17710.350000000002</v>
      </c>
      <c r="N99" s="252"/>
      <c r="O99" s="252"/>
      <c r="P99" s="252"/>
      <c r="Q99" s="252"/>
      <c r="R99" s="127">
        <f>SUM(R94:R98)</f>
        <v>0</v>
      </c>
      <c r="S99" s="127">
        <f>SUM(S94:S98)</f>
        <v>0</v>
      </c>
      <c r="T99" s="127">
        <f>SUM(T94:T98)</f>
        <v>0</v>
      </c>
      <c r="U99" s="127">
        <f>SUM(U94:U98)</f>
        <v>0</v>
      </c>
      <c r="V99" s="252"/>
      <c r="W99" s="252"/>
      <c r="X99" s="252"/>
      <c r="Y99" s="127">
        <f>SUM(Y94:Y98)</f>
        <v>0</v>
      </c>
      <c r="Z99" s="127"/>
      <c r="AA99" s="252"/>
      <c r="AB99" s="127">
        <f>SUM(AB94:AB98)</f>
        <v>950000</v>
      </c>
      <c r="AC99" s="127">
        <f>SUM(AC94:AC98)</f>
        <v>39000</v>
      </c>
      <c r="AD99" s="127">
        <f>SUM(AD94:AD98)</f>
        <v>0</v>
      </c>
      <c r="AE99" s="127">
        <f>SUM(AE94:AE98)</f>
        <v>197800</v>
      </c>
      <c r="AF99" s="127">
        <f>SUM(AF94:AF98)</f>
        <v>1186800</v>
      </c>
      <c r="AG99" s="252"/>
      <c r="AH99" s="252"/>
      <c r="AI99" s="252"/>
      <c r="AJ99" s="127">
        <f>SUM(AJ94:AJ98)</f>
        <v>0</v>
      </c>
      <c r="AK99" s="127">
        <f>SUM(AK94:AK98)</f>
        <v>0</v>
      </c>
      <c r="AL99" s="127">
        <f>SUM(AL94:AL98)</f>
        <v>0</v>
      </c>
      <c r="AM99" s="127">
        <f>SUM(AM94:AM98)</f>
        <v>0</v>
      </c>
      <c r="AN99" s="127">
        <f>SUM(AN94:AN98)</f>
        <v>0</v>
      </c>
      <c r="AO99" s="253"/>
      <c r="AP99" s="254"/>
      <c r="AQ99" s="175">
        <f>SUM(AQ94:AQ98)</f>
        <v>123760.34999999999</v>
      </c>
      <c r="AR99" s="175">
        <f t="shared" ref="AR99:BA99" si="65">SUM(AR94:AR98)</f>
        <v>1186800</v>
      </c>
      <c r="AS99" s="175">
        <f t="shared" si="65"/>
        <v>0</v>
      </c>
      <c r="AT99" s="175">
        <f t="shared" si="65"/>
        <v>1310560.3499999999</v>
      </c>
      <c r="AU99" s="175">
        <f t="shared" si="65"/>
        <v>170560</v>
      </c>
      <c r="AV99" s="175">
        <f t="shared" si="65"/>
        <v>0</v>
      </c>
      <c r="AW99" s="175">
        <f t="shared" si="65"/>
        <v>0</v>
      </c>
      <c r="AX99" s="175">
        <f t="shared" si="65"/>
        <v>0</v>
      </c>
      <c r="AY99" s="175">
        <f t="shared" si="65"/>
        <v>0</v>
      </c>
      <c r="AZ99" s="175">
        <f t="shared" si="65"/>
        <v>0</v>
      </c>
      <c r="BA99" s="175">
        <f t="shared" si="65"/>
        <v>0</v>
      </c>
      <c r="BB99" s="251">
        <f t="shared" ref="BB99" si="66">SUM(AU99:BA99)-AT99</f>
        <v>-1140000.3499999999</v>
      </c>
      <c r="BC99" s="169"/>
      <c r="BD99" s="169"/>
      <c r="BE99" s="169"/>
      <c r="BF99" s="169"/>
    </row>
    <row r="100" spans="1:58" s="184" customFormat="1" ht="15.75" customHeight="1" x14ac:dyDescent="0.25">
      <c r="A100" s="143"/>
      <c r="B100" s="290"/>
      <c r="C100" s="391" t="s">
        <v>176</v>
      </c>
      <c r="D100" s="391"/>
      <c r="E100" s="392"/>
      <c r="F100" s="291"/>
      <c r="G100" s="291"/>
      <c r="H100" s="144" t="s">
        <v>178</v>
      </c>
      <c r="I100" s="257"/>
      <c r="J100" s="257"/>
      <c r="K100" s="257"/>
      <c r="L100" s="258">
        <f>SUM(L105)</f>
        <v>2520000</v>
      </c>
      <c r="M100" s="258">
        <f>SUM(M105)</f>
        <v>420840</v>
      </c>
      <c r="N100" s="257"/>
      <c r="O100" s="257"/>
      <c r="P100" s="257"/>
      <c r="Q100" s="257"/>
      <c r="R100" s="258">
        <f>SUM(R105)</f>
        <v>0</v>
      </c>
      <c r="S100" s="258">
        <f>SUM(S105)</f>
        <v>0</v>
      </c>
      <c r="T100" s="258">
        <f>SUM(T105)</f>
        <v>0</v>
      </c>
      <c r="U100" s="258">
        <f>SUM(U105)</f>
        <v>0</v>
      </c>
      <c r="V100" s="257"/>
      <c r="W100" s="257"/>
      <c r="X100" s="257"/>
      <c r="Y100" s="258">
        <f>SUM(Y105)</f>
        <v>0</v>
      </c>
      <c r="Z100" s="257"/>
      <c r="AA100" s="257"/>
      <c r="AB100" s="258">
        <f>SUM(AB105)</f>
        <v>0</v>
      </c>
      <c r="AC100" s="258">
        <f>SUM(AC105)</f>
        <v>359425</v>
      </c>
      <c r="AD100" s="258">
        <f>SUM(AD105)</f>
        <v>0</v>
      </c>
      <c r="AE100" s="258">
        <f>SUM(AE105)</f>
        <v>71885</v>
      </c>
      <c r="AF100" s="258">
        <f>SUM(AF105)</f>
        <v>431310</v>
      </c>
      <c r="AG100" s="257"/>
      <c r="AH100" s="257"/>
      <c r="AI100" s="257"/>
      <c r="AJ100" s="258">
        <f>SUM(AJ105)</f>
        <v>0</v>
      </c>
      <c r="AK100" s="258">
        <f>SUM(AK105)</f>
        <v>0</v>
      </c>
      <c r="AL100" s="258">
        <f>SUM(AL105)</f>
        <v>0</v>
      </c>
      <c r="AM100" s="258">
        <f>SUM(AM105)</f>
        <v>0</v>
      </c>
      <c r="AN100" s="258">
        <f>SUM(AN105)</f>
        <v>0</v>
      </c>
      <c r="AO100" s="259"/>
      <c r="AP100" s="260"/>
      <c r="AQ100" s="261">
        <f>SUM(AQ105)</f>
        <v>2940840</v>
      </c>
      <c r="AR100" s="261">
        <f>SUM(AR105)</f>
        <v>431310</v>
      </c>
      <c r="AS100" s="261">
        <f>SUM(AS105)</f>
        <v>0</v>
      </c>
      <c r="AT100" s="261">
        <f>SUM(AT105)</f>
        <v>3372150</v>
      </c>
      <c r="AU100" s="261">
        <f t="shared" ref="AU100:BA100" si="67">SUM(AU105)</f>
        <v>3372149</v>
      </c>
      <c r="AV100" s="261">
        <f t="shared" si="67"/>
        <v>0</v>
      </c>
      <c r="AW100" s="261">
        <f t="shared" si="67"/>
        <v>0</v>
      </c>
      <c r="AX100" s="261">
        <f t="shared" si="67"/>
        <v>0</v>
      </c>
      <c r="AY100" s="261">
        <f t="shared" si="67"/>
        <v>0</v>
      </c>
      <c r="AZ100" s="261">
        <f t="shared" si="67"/>
        <v>0</v>
      </c>
      <c r="BA100" s="261">
        <f t="shared" si="67"/>
        <v>0</v>
      </c>
      <c r="BB100" s="261">
        <f>SUM(BB105)</f>
        <v>-0.99999999982537702</v>
      </c>
    </row>
    <row r="101" spans="1:58" ht="47.25" outlineLevel="2" x14ac:dyDescent="0.25">
      <c r="A101" s="115"/>
      <c r="B101" s="303"/>
      <c r="C101" s="329"/>
      <c r="D101" s="342"/>
      <c r="E101" s="328"/>
      <c r="F101" s="328"/>
      <c r="G101" s="328"/>
      <c r="H101" s="199" t="s">
        <v>433</v>
      </c>
      <c r="I101" s="130" t="s">
        <v>3</v>
      </c>
      <c r="J101" s="126">
        <v>2</v>
      </c>
      <c r="K101" s="126">
        <v>7</v>
      </c>
      <c r="L101" s="125">
        <f>IF(I101&lt;&gt;0,((VLOOKUP(I101,'1. Standard_Cost'!$B$4:$D$11,2)+VLOOKUP(I101,'1. Standard_Cost'!$B$4:$D$11,3))*J101*K101),"0")</f>
        <v>1411200</v>
      </c>
      <c r="M101" s="125">
        <f>L101*'1. Standard_Cost'!$F$4</f>
        <v>235670.40000000002</v>
      </c>
      <c r="N101" s="126"/>
      <c r="O101" s="126"/>
      <c r="P101" s="126"/>
      <c r="Q101" s="126"/>
      <c r="R101" s="127">
        <f>'1. Standard_Cost'!$B$15*N101*P101</f>
        <v>0</v>
      </c>
      <c r="S101" s="127">
        <f>N101*O101*P101*'1. Standard_Cost'!$C$15</f>
        <v>0</v>
      </c>
      <c r="T101" s="127">
        <f>N101*P101*Q101*'1. Standard_Cost'!$D$15</f>
        <v>0</v>
      </c>
      <c r="U101" s="127">
        <f>N101*O101*'1. Standard_Cost'!$E$15</f>
        <v>0</v>
      </c>
      <c r="V101" s="126"/>
      <c r="W101" s="126"/>
      <c r="X101" s="126"/>
      <c r="Y101" s="127">
        <f>+V101*((X101*'1. Standard_Cost'!$B$19)+(W101*X101*'1. Standard_Cost'!$C$19))</f>
        <v>0</v>
      </c>
      <c r="Z101" s="126"/>
      <c r="AA101" s="126"/>
      <c r="AB101" s="127">
        <f>+Z101*'1. Standard_Cost'!$B$23+AA101*'1. Standard_Cost'!$C$23</f>
        <v>0</v>
      </c>
      <c r="AC101" s="128">
        <v>211125</v>
      </c>
      <c r="AD101" s="129"/>
      <c r="AE101" s="127">
        <f>SUM(AD101,AC101,AB101,Y101,U101,T101,S101,R101)*'1. Standard_Cost'!$B$31</f>
        <v>42225</v>
      </c>
      <c r="AF101" s="127">
        <f>SUM(AE101,AD101,AC101,AB101,Y101,U101,T101,S101,R101)</f>
        <v>253350</v>
      </c>
      <c r="AG101" s="126"/>
      <c r="AH101" s="126"/>
      <c r="AI101" s="126"/>
      <c r="AJ101" s="130"/>
      <c r="AK101" s="130"/>
      <c r="AL101" s="130"/>
      <c r="AM101" s="127">
        <f>AG101*'1. Standard_Cost'!$B$27+'Incremental_Cost Year 3'!AH101*'1. Standard_Cost'!$C$27+'Incremental_Cost Year 3'!AI101*'1. Standard_Cost'!$D$27+'Incremental_Cost Year 3'!AJ101+'Incremental_Cost Year 3'!AL101+AK101</f>
        <v>0</v>
      </c>
      <c r="AN101" s="127">
        <f>AM101*'1. Standard_Cost'!$C$31</f>
        <v>0</v>
      </c>
      <c r="AO101" s="130"/>
      <c r="AQ101" s="171">
        <f>L101+M101</f>
        <v>1646870.4</v>
      </c>
      <c r="AR101" s="171">
        <f>AF101</f>
        <v>253350</v>
      </c>
      <c r="AS101" s="171">
        <f>AM101+AN101</f>
        <v>0</v>
      </c>
      <c r="AT101" s="171">
        <f>SUM(AQ101,AR101,AS101)</f>
        <v>1900220.4</v>
      </c>
      <c r="AU101" s="250">
        <v>1900220</v>
      </c>
      <c r="AV101" s="250"/>
      <c r="AW101" s="250"/>
      <c r="AX101" s="250"/>
      <c r="AY101" s="250"/>
      <c r="AZ101" s="250"/>
      <c r="BA101" s="250"/>
      <c r="BB101" s="251">
        <f t="shared" ref="BB101:BB104" si="68">SUM(AU101:BA101)-AT101</f>
        <v>-0.39999999990686774</v>
      </c>
      <c r="BC101" s="169"/>
      <c r="BD101" s="169"/>
      <c r="BE101" s="169"/>
      <c r="BF101" s="169"/>
    </row>
    <row r="102" spans="1:58" ht="47.25" outlineLevel="2" x14ac:dyDescent="0.25">
      <c r="A102" s="115"/>
      <c r="B102" s="200"/>
      <c r="C102" s="330"/>
      <c r="D102" s="343"/>
      <c r="E102" s="328"/>
      <c r="F102" s="328"/>
      <c r="G102" s="328"/>
      <c r="H102" s="199" t="s">
        <v>434</v>
      </c>
      <c r="I102" s="130" t="s">
        <v>3</v>
      </c>
      <c r="J102" s="126">
        <v>1</v>
      </c>
      <c r="K102" s="126">
        <v>2</v>
      </c>
      <c r="L102" s="125">
        <f>IF(I102&lt;&gt;0,((VLOOKUP(I102,'1. Standard_Cost'!$B$4:$D$11,2)+VLOOKUP(I102,'1. Standard_Cost'!$B$4:$D$11,3))*J102*K102),"0")</f>
        <v>201600</v>
      </c>
      <c r="M102" s="125">
        <f>L102*'1. Standard_Cost'!$F$4</f>
        <v>33667.200000000004</v>
      </c>
      <c r="N102" s="126"/>
      <c r="O102" s="126"/>
      <c r="P102" s="126"/>
      <c r="Q102" s="126"/>
      <c r="R102" s="127">
        <f>'1. Standard_Cost'!$B$15*N102*P102</f>
        <v>0</v>
      </c>
      <c r="S102" s="127">
        <f>N102*O102*P102*'1. Standard_Cost'!$C$15</f>
        <v>0</v>
      </c>
      <c r="T102" s="127">
        <f>N102*P102*Q102*'1. Standard_Cost'!$D$15</f>
        <v>0</v>
      </c>
      <c r="U102" s="127">
        <f>N102*O102*'1. Standard_Cost'!$E$15</f>
        <v>0</v>
      </c>
      <c r="V102" s="126"/>
      <c r="W102" s="126"/>
      <c r="X102" s="126"/>
      <c r="Y102" s="127">
        <f>+V102*((X102*'1. Standard_Cost'!$B$19)+(W102*X102*'1. Standard_Cost'!$C$19))</f>
        <v>0</v>
      </c>
      <c r="Z102" s="126"/>
      <c r="AA102" s="126"/>
      <c r="AB102" s="127">
        <f>+Z102*'1. Standard_Cost'!$B$23+AA102*'1. Standard_Cost'!$C$23</f>
        <v>0</v>
      </c>
      <c r="AC102" s="128">
        <v>28300</v>
      </c>
      <c r="AD102" s="129"/>
      <c r="AE102" s="127">
        <f>SUM(AD102,AC102,AB102,Y102,U102,T102,S102,R102)*'1. Standard_Cost'!$B$31</f>
        <v>5660</v>
      </c>
      <c r="AF102" s="127">
        <f>SUM(AE102,AD102,AC102,AB102,Y102,U102,T102,S102,R102)</f>
        <v>33960</v>
      </c>
      <c r="AG102" s="126"/>
      <c r="AH102" s="126"/>
      <c r="AI102" s="126"/>
      <c r="AJ102" s="130"/>
      <c r="AK102" s="130"/>
      <c r="AL102" s="130"/>
      <c r="AM102" s="127">
        <f>AG102*'1. Standard_Cost'!$B$27+'Incremental_Cost Year 3'!AH102*'1. Standard_Cost'!$C$27+'Incremental_Cost Year 3'!AI102*'1. Standard_Cost'!$D$27+'Incremental_Cost Year 3'!AJ102+'Incremental_Cost Year 3'!AL102+AK102</f>
        <v>0</v>
      </c>
      <c r="AN102" s="127">
        <f>AM102*'1. Standard_Cost'!$C$31</f>
        <v>0</v>
      </c>
      <c r="AO102" s="130"/>
      <c r="AQ102" s="171">
        <f>L102+M102</f>
        <v>235267.20000000001</v>
      </c>
      <c r="AR102" s="171">
        <f>AF102</f>
        <v>33960</v>
      </c>
      <c r="AS102" s="171">
        <f>AM102+AN102</f>
        <v>0</v>
      </c>
      <c r="AT102" s="171">
        <f>SUM(AQ102,AR102,AS102)</f>
        <v>269227.2</v>
      </c>
      <c r="AU102" s="250">
        <v>269227</v>
      </c>
      <c r="AV102" s="250"/>
      <c r="AW102" s="250"/>
      <c r="AX102" s="250"/>
      <c r="AY102" s="250"/>
      <c r="AZ102" s="250"/>
      <c r="BA102" s="250"/>
      <c r="BB102" s="251">
        <f t="shared" si="68"/>
        <v>-0.20000000001164153</v>
      </c>
      <c r="BC102" s="169"/>
      <c r="BD102" s="169"/>
      <c r="BE102" s="169"/>
      <c r="BF102" s="169"/>
    </row>
    <row r="103" spans="1:58" ht="31.5" outlineLevel="2" x14ac:dyDescent="0.25">
      <c r="A103" s="115"/>
      <c r="B103" s="200"/>
      <c r="C103" s="330"/>
      <c r="D103" s="343"/>
      <c r="E103" s="328"/>
      <c r="F103" s="328"/>
      <c r="G103" s="328"/>
      <c r="H103" s="103" t="s">
        <v>435</v>
      </c>
      <c r="I103" s="130"/>
      <c r="J103" s="126"/>
      <c r="K103" s="126"/>
      <c r="L103" s="125" t="str">
        <f>IF(I103&lt;&gt;0,((VLOOKUP(I103,'1. Standard_Cost'!$B$4:$D$11,2)+VLOOKUP(I103,'1. Standard_Cost'!$B$4:$D$11,3))*J103*K103),"0")</f>
        <v>0</v>
      </c>
      <c r="M103" s="125">
        <f>L103*'1. Standard_Cost'!$F$4</f>
        <v>0</v>
      </c>
      <c r="N103" s="126"/>
      <c r="O103" s="126"/>
      <c r="P103" s="126"/>
      <c r="Q103" s="126"/>
      <c r="R103" s="127">
        <f>'1. Standard_Cost'!$B$15*N103*P103</f>
        <v>0</v>
      </c>
      <c r="S103" s="127">
        <f>N103*O103*P103*'1. Standard_Cost'!$C$15</f>
        <v>0</v>
      </c>
      <c r="T103" s="127">
        <f>N103*P103*Q103*'1. Standard_Cost'!$D$15</f>
        <v>0</v>
      </c>
      <c r="U103" s="127">
        <f>N103*O103*'1. Standard_Cost'!$E$15</f>
        <v>0</v>
      </c>
      <c r="V103" s="126"/>
      <c r="W103" s="126"/>
      <c r="X103" s="126"/>
      <c r="Y103" s="127">
        <f>+V103*((X103*'1. Standard_Cost'!$B$19)+(W103*X103*'1. Standard_Cost'!$C$19))</f>
        <v>0</v>
      </c>
      <c r="Z103" s="126"/>
      <c r="AA103" s="126"/>
      <c r="AB103" s="127">
        <f>+Z103*'1. Standard_Cost'!$B$23+AA103*'1. Standard_Cost'!$C$23</f>
        <v>0</v>
      </c>
      <c r="AC103" s="128"/>
      <c r="AD103" s="129"/>
      <c r="AE103" s="127">
        <f>SUM(AD103,AC103,AB103,Y103,U103,T103,S103,R103)*'1. Standard_Cost'!$B$31</f>
        <v>0</v>
      </c>
      <c r="AF103" s="127">
        <f>SUM(AE103,AD103,AC103,AB103,Y103,U103,T103,S103,R103)</f>
        <v>0</v>
      </c>
      <c r="AG103" s="126"/>
      <c r="AH103" s="126"/>
      <c r="AI103" s="126"/>
      <c r="AJ103" s="130"/>
      <c r="AK103" s="130"/>
      <c r="AL103" s="130"/>
      <c r="AM103" s="127">
        <f>AG103*'1. Standard_Cost'!$B$27+'Incremental_Cost Year 3'!AH103*'1. Standard_Cost'!$C$27+'Incremental_Cost Year 3'!AI103*'1. Standard_Cost'!$D$27+'Incremental_Cost Year 3'!AJ103+'Incremental_Cost Year 3'!AL103+AK103</f>
        <v>0</v>
      </c>
      <c r="AN103" s="127">
        <f>AM103*'1. Standard_Cost'!$C$31</f>
        <v>0</v>
      </c>
      <c r="AO103" s="130"/>
      <c r="AQ103" s="171">
        <f>L103+M103</f>
        <v>0</v>
      </c>
      <c r="AR103" s="171">
        <f>AF103</f>
        <v>0</v>
      </c>
      <c r="AS103" s="171">
        <f>AM103+AN103</f>
        <v>0</v>
      </c>
      <c r="AT103" s="171">
        <f>SUM(AQ103,AR103,AS103)</f>
        <v>0</v>
      </c>
      <c r="AU103" s="250"/>
      <c r="AV103" s="250"/>
      <c r="AW103" s="250"/>
      <c r="AX103" s="250"/>
      <c r="AY103" s="250"/>
      <c r="AZ103" s="250"/>
      <c r="BA103" s="250"/>
      <c r="BB103" s="251">
        <f t="shared" si="68"/>
        <v>0</v>
      </c>
      <c r="BC103" s="169"/>
      <c r="BD103" s="169"/>
      <c r="BE103" s="169"/>
      <c r="BF103" s="169"/>
    </row>
    <row r="104" spans="1:58" ht="63" outlineLevel="2" x14ac:dyDescent="0.25">
      <c r="A104" s="115"/>
      <c r="B104" s="310"/>
      <c r="C104" s="331"/>
      <c r="D104" s="344"/>
      <c r="E104" s="328"/>
      <c r="F104" s="328"/>
      <c r="G104" s="328"/>
      <c r="H104" s="103" t="s">
        <v>436</v>
      </c>
      <c r="I104" s="130" t="s">
        <v>3</v>
      </c>
      <c r="J104" s="126">
        <v>3</v>
      </c>
      <c r="K104" s="126">
        <v>3</v>
      </c>
      <c r="L104" s="125">
        <f>IF(I104&lt;&gt;0,((VLOOKUP(I104,'1. Standard_Cost'!$B$4:$D$11,2)+VLOOKUP(I104,'1. Standard_Cost'!$B$4:$D$11,3))*J104*K104),"0")</f>
        <v>907200</v>
      </c>
      <c r="M104" s="125">
        <f>L104*'1. Standard_Cost'!$F$4</f>
        <v>151502.39999999999</v>
      </c>
      <c r="N104" s="126"/>
      <c r="O104" s="126"/>
      <c r="P104" s="126"/>
      <c r="Q104" s="126"/>
      <c r="R104" s="127">
        <f>'1. Standard_Cost'!$B$15*N104*P104</f>
        <v>0</v>
      </c>
      <c r="S104" s="127">
        <f>N104*O104*P104*'1. Standard_Cost'!$C$15</f>
        <v>0</v>
      </c>
      <c r="T104" s="127">
        <f>N104*P104*Q104*'1. Standard_Cost'!$D$15</f>
        <v>0</v>
      </c>
      <c r="U104" s="127">
        <f>N104*O104*'1. Standard_Cost'!$E$15</f>
        <v>0</v>
      </c>
      <c r="V104" s="126"/>
      <c r="W104" s="126"/>
      <c r="X104" s="126"/>
      <c r="Y104" s="127">
        <f>+V104*((X104*'1. Standard_Cost'!$B$19)+(W104*X104*'1. Standard_Cost'!$C$19))</f>
        <v>0</v>
      </c>
      <c r="Z104" s="126"/>
      <c r="AA104" s="145"/>
      <c r="AB104" s="127">
        <f>+Z104*'1. Standard_Cost'!$B$23+AA104*'1. Standard_Cost'!$C$23</f>
        <v>0</v>
      </c>
      <c r="AC104" s="128">
        <v>120000</v>
      </c>
      <c r="AD104" s="129"/>
      <c r="AE104" s="127">
        <f>SUM(AD104,AC104,AB104,Y104,U104,T104,S104,R104)*'1. Standard_Cost'!$B$31</f>
        <v>24000</v>
      </c>
      <c r="AF104" s="127">
        <f>SUM(AE104,AD104,AC104,AB104,Y104,U104,T104,S104,R104)</f>
        <v>144000</v>
      </c>
      <c r="AG104" s="126"/>
      <c r="AH104" s="126"/>
      <c r="AI104" s="126"/>
      <c r="AJ104" s="130"/>
      <c r="AK104" s="130"/>
      <c r="AL104" s="130"/>
      <c r="AM104" s="127">
        <f>AG104*'1. Standard_Cost'!$B$27+'Incremental_Cost Year 3'!AH104*'1. Standard_Cost'!$C$27+'Incremental_Cost Year 3'!AI104*'1. Standard_Cost'!$D$27+'Incremental_Cost Year 3'!AJ104+'Incremental_Cost Year 3'!AL104+AK104</f>
        <v>0</v>
      </c>
      <c r="AN104" s="127">
        <f>AM104*'1. Standard_Cost'!$C$31</f>
        <v>0</v>
      </c>
      <c r="AO104" s="262"/>
      <c r="AQ104" s="171">
        <f>L104+M104</f>
        <v>1058702.3999999999</v>
      </c>
      <c r="AR104" s="171">
        <f>AF104</f>
        <v>144000</v>
      </c>
      <c r="AS104" s="171">
        <f>AM104+AN104</f>
        <v>0</v>
      </c>
      <c r="AT104" s="171">
        <f>SUM(AQ104,AR104,AS104)</f>
        <v>1202702.3999999999</v>
      </c>
      <c r="AU104" s="250">
        <v>1202702</v>
      </c>
      <c r="AV104" s="250"/>
      <c r="AW104" s="250"/>
      <c r="AX104" s="250"/>
      <c r="AY104" s="250"/>
      <c r="AZ104" s="250"/>
      <c r="BA104" s="250"/>
      <c r="BB104" s="251">
        <f t="shared" si="68"/>
        <v>-0.39999999990686774</v>
      </c>
      <c r="BC104" s="169"/>
      <c r="BD104" s="169"/>
      <c r="BE104" s="169"/>
      <c r="BF104" s="169"/>
    </row>
    <row r="105" spans="1:58" ht="47.25" outlineLevel="1" x14ac:dyDescent="0.25">
      <c r="A105" s="115"/>
      <c r="B105" s="165"/>
      <c r="C105" s="166"/>
      <c r="D105" s="229" t="s">
        <v>432</v>
      </c>
      <c r="E105" s="212" t="s">
        <v>275</v>
      </c>
      <c r="F105" s="136">
        <v>2023</v>
      </c>
      <c r="G105" s="117">
        <v>2030</v>
      </c>
      <c r="H105" s="110" t="s">
        <v>177</v>
      </c>
      <c r="I105" s="252"/>
      <c r="J105" s="252"/>
      <c r="K105" s="252"/>
      <c r="L105" s="127">
        <f>SUM(L101:L104)</f>
        <v>2520000</v>
      </c>
      <c r="M105" s="127">
        <f>SUM(M101:M104)</f>
        <v>420840</v>
      </c>
      <c r="N105" s="127"/>
      <c r="O105" s="252"/>
      <c r="P105" s="252"/>
      <c r="Q105" s="252"/>
      <c r="R105" s="127">
        <f>SUM(R101:R104)</f>
        <v>0</v>
      </c>
      <c r="S105" s="127">
        <f>SUM(S101:S104)</f>
        <v>0</v>
      </c>
      <c r="T105" s="127">
        <f>SUM(T101:T104)</f>
        <v>0</v>
      </c>
      <c r="U105" s="127">
        <f>SUM(U101:U104)</f>
        <v>0</v>
      </c>
      <c r="V105" s="252"/>
      <c r="W105" s="252"/>
      <c r="X105" s="252"/>
      <c r="Y105" s="127">
        <f>SUM(Y101:Y104)</f>
        <v>0</v>
      </c>
      <c r="Z105" s="252"/>
      <c r="AA105" s="252"/>
      <c r="AB105" s="127">
        <f>SUM(AB101:AB104)</f>
        <v>0</v>
      </c>
      <c r="AC105" s="127">
        <f>SUM(AC101:AC104)</f>
        <v>359425</v>
      </c>
      <c r="AD105" s="127">
        <f>SUM(AD101:AD104)</f>
        <v>0</v>
      </c>
      <c r="AE105" s="127">
        <f>SUM(AE101:AE104)</f>
        <v>71885</v>
      </c>
      <c r="AF105" s="127">
        <f>SUM(AF101:AF104)</f>
        <v>431310</v>
      </c>
      <c r="AG105" s="252"/>
      <c r="AH105" s="252"/>
      <c r="AI105" s="252"/>
      <c r="AJ105" s="127">
        <f>SUM(AJ101:AJ104)</f>
        <v>0</v>
      </c>
      <c r="AK105" s="127">
        <f>SUM(AK101:AK104)</f>
        <v>0</v>
      </c>
      <c r="AL105" s="127">
        <f>SUM(AL101:AL104)</f>
        <v>0</v>
      </c>
      <c r="AM105" s="127">
        <f>SUM(AM101:AM104)</f>
        <v>0</v>
      </c>
      <c r="AN105" s="127">
        <f>SUM(AN101:AN104)</f>
        <v>0</v>
      </c>
      <c r="AO105" s="253"/>
      <c r="AP105" s="254"/>
      <c r="AQ105" s="175">
        <f>SUM(AQ101:AQ104)</f>
        <v>2940840</v>
      </c>
      <c r="AR105" s="175">
        <f>SUM(AR101:AR104)</f>
        <v>431310</v>
      </c>
      <c r="AS105" s="175">
        <f>SUM(AS101:AS104)</f>
        <v>0</v>
      </c>
      <c r="AT105" s="175">
        <f>SUM(AT101:AT104)</f>
        <v>3372150</v>
      </c>
      <c r="AU105" s="175">
        <f t="shared" ref="AU105:BB105" si="69">SUM(AU101:AU104)</f>
        <v>3372149</v>
      </c>
      <c r="AV105" s="175">
        <f t="shared" si="69"/>
        <v>0</v>
      </c>
      <c r="AW105" s="175">
        <f t="shared" si="69"/>
        <v>0</v>
      </c>
      <c r="AX105" s="175">
        <f t="shared" si="69"/>
        <v>0</v>
      </c>
      <c r="AY105" s="175">
        <f t="shared" si="69"/>
        <v>0</v>
      </c>
      <c r="AZ105" s="175">
        <f t="shared" si="69"/>
        <v>0</v>
      </c>
      <c r="BA105" s="175">
        <f t="shared" si="69"/>
        <v>0</v>
      </c>
      <c r="BB105" s="175">
        <f t="shared" si="69"/>
        <v>-0.99999999982537702</v>
      </c>
      <c r="BC105" s="169"/>
      <c r="BD105" s="169"/>
      <c r="BE105" s="169"/>
      <c r="BF105" s="169"/>
    </row>
    <row r="106" spans="1:58" s="184" customFormat="1" ht="15.75" customHeight="1" x14ac:dyDescent="0.25">
      <c r="A106" s="143"/>
      <c r="B106" s="290"/>
      <c r="C106" s="391" t="s">
        <v>276</v>
      </c>
      <c r="D106" s="391"/>
      <c r="E106" s="392"/>
      <c r="F106" s="291"/>
      <c r="G106" s="291"/>
      <c r="H106" s="144" t="s">
        <v>258</v>
      </c>
      <c r="I106" s="257"/>
      <c r="J106" s="257"/>
      <c r="K106" s="257"/>
      <c r="L106" s="258">
        <f>SUM(L110)</f>
        <v>0</v>
      </c>
      <c r="M106" s="258">
        <f>SUM(M110)</f>
        <v>0</v>
      </c>
      <c r="N106" s="257"/>
      <c r="O106" s="257"/>
      <c r="P106" s="257"/>
      <c r="Q106" s="257"/>
      <c r="R106" s="258">
        <f>SUM(R110)</f>
        <v>0</v>
      </c>
      <c r="S106" s="258">
        <f>SUM(S110)</f>
        <v>0</v>
      </c>
      <c r="T106" s="258">
        <f>SUM(T110)</f>
        <v>0</v>
      </c>
      <c r="U106" s="258">
        <f>SUM(U110)</f>
        <v>0</v>
      </c>
      <c r="V106" s="257"/>
      <c r="W106" s="257"/>
      <c r="X106" s="257"/>
      <c r="Y106" s="258">
        <f>SUM(Y110)</f>
        <v>0</v>
      </c>
      <c r="Z106" s="258"/>
      <c r="AA106" s="258"/>
      <c r="AB106" s="258">
        <f>SUM(AB110)</f>
        <v>0</v>
      </c>
      <c r="AC106" s="258">
        <f>SUM(AC110)</f>
        <v>0</v>
      </c>
      <c r="AD106" s="258">
        <f>SUM(AD110)</f>
        <v>0</v>
      </c>
      <c r="AE106" s="258">
        <f>SUM(AE110)</f>
        <v>0</v>
      </c>
      <c r="AF106" s="258">
        <f>SUM(AF110)</f>
        <v>0</v>
      </c>
      <c r="AG106" s="257"/>
      <c r="AH106" s="257"/>
      <c r="AI106" s="257"/>
      <c r="AJ106" s="258">
        <f>SUM(AJ110)</f>
        <v>0</v>
      </c>
      <c r="AK106" s="258">
        <f>SUM(AK110)</f>
        <v>0</v>
      </c>
      <c r="AL106" s="258">
        <f>SUM(AL110)</f>
        <v>0</v>
      </c>
      <c r="AM106" s="258">
        <f>SUM(AM110)</f>
        <v>0</v>
      </c>
      <c r="AN106" s="258">
        <f>SUM(AN110)</f>
        <v>0</v>
      </c>
      <c r="AO106" s="259"/>
      <c r="AP106" s="260"/>
      <c r="AQ106" s="261">
        <f>SUM(AQ110)</f>
        <v>0</v>
      </c>
      <c r="AR106" s="261">
        <f>SUM(AR110)</f>
        <v>0</v>
      </c>
      <c r="AS106" s="261">
        <f>SUM(AS110)</f>
        <v>0</v>
      </c>
      <c r="AT106" s="261">
        <f>SUM(AT110)</f>
        <v>0</v>
      </c>
      <c r="AU106" s="261">
        <f t="shared" ref="AU106:BA106" si="70">SUM(AU110)</f>
        <v>0</v>
      </c>
      <c r="AV106" s="261">
        <f t="shared" si="70"/>
        <v>0</v>
      </c>
      <c r="AW106" s="261">
        <f t="shared" si="70"/>
        <v>0</v>
      </c>
      <c r="AX106" s="261">
        <f t="shared" si="70"/>
        <v>0</v>
      </c>
      <c r="AY106" s="261">
        <f t="shared" si="70"/>
        <v>0</v>
      </c>
      <c r="AZ106" s="261">
        <f t="shared" si="70"/>
        <v>0</v>
      </c>
      <c r="BA106" s="261">
        <f t="shared" si="70"/>
        <v>0</v>
      </c>
      <c r="BB106" s="261">
        <f>SUM(BB110)</f>
        <v>0</v>
      </c>
    </row>
    <row r="107" spans="1:58" ht="63" outlineLevel="2" x14ac:dyDescent="0.25">
      <c r="A107" s="115"/>
      <c r="B107" s="200"/>
      <c r="C107" s="201"/>
      <c r="D107" s="202"/>
      <c r="E107" s="226"/>
      <c r="F107" s="306"/>
      <c r="G107" s="307"/>
      <c r="H107" s="199" t="s">
        <v>437</v>
      </c>
      <c r="I107" s="130"/>
      <c r="J107" s="126"/>
      <c r="K107" s="126"/>
      <c r="L107" s="125" t="str">
        <f>IF(I107&lt;&gt;0,((VLOOKUP(I107,'1. Standard_Cost'!$B$4:$D$11,2)+VLOOKUP(I107,'1. Standard_Cost'!$B$4:$D$11,3))*J107*K107),"0")</f>
        <v>0</v>
      </c>
      <c r="M107" s="125">
        <f>L107*'1. Standard_Cost'!$F$4</f>
        <v>0</v>
      </c>
      <c r="N107" s="126"/>
      <c r="O107" s="126"/>
      <c r="P107" s="126"/>
      <c r="Q107" s="126"/>
      <c r="R107" s="127">
        <f>'1. Standard_Cost'!$B$15*N107*P107</f>
        <v>0</v>
      </c>
      <c r="S107" s="127">
        <f>N107*O107*P107*'1. Standard_Cost'!$C$15</f>
        <v>0</v>
      </c>
      <c r="T107" s="127">
        <f>N107*P107*Q107*'1. Standard_Cost'!$D$15</f>
        <v>0</v>
      </c>
      <c r="U107" s="127">
        <f>N107*O107*'1. Standard_Cost'!$E$15</f>
        <v>0</v>
      </c>
      <c r="V107" s="126"/>
      <c r="W107" s="126"/>
      <c r="X107" s="126"/>
      <c r="Y107" s="127">
        <f>+V107*((X107*'1. Standard_Cost'!$B$19)+(W107*X107*'1. Standard_Cost'!$C$19))</f>
        <v>0</v>
      </c>
      <c r="Z107" s="126"/>
      <c r="AA107" s="126"/>
      <c r="AB107" s="127">
        <f>+Z107*'1. Standard_Cost'!$B$23+AA107*'1. Standard_Cost'!$C$23</f>
        <v>0</v>
      </c>
      <c r="AC107" s="128"/>
      <c r="AD107" s="129"/>
      <c r="AE107" s="127">
        <f>SUM(AD107,AC107,AB107,Y107,U107,T107,S107,R107)*'1. Standard_Cost'!$B$31</f>
        <v>0</v>
      </c>
      <c r="AF107" s="127">
        <f>SUM(AE107,AD107,AC107,AB107,Y107,U107,T107,S107,R107)</f>
        <v>0</v>
      </c>
      <c r="AG107" s="126"/>
      <c r="AH107" s="126"/>
      <c r="AI107" s="126"/>
      <c r="AJ107" s="130"/>
      <c r="AK107" s="130"/>
      <c r="AL107" s="130"/>
      <c r="AM107" s="127">
        <f>AG107*'1. Standard_Cost'!$B$27+'Incremental_Cost Year 3'!AH107*'1. Standard_Cost'!$C$27+'Incremental_Cost Year 3'!AI107*'1. Standard_Cost'!$D$27+'Incremental_Cost Year 3'!AJ107+'Incremental_Cost Year 3'!AL107+AK107</f>
        <v>0</v>
      </c>
      <c r="AN107" s="127">
        <f>AM107*'1. Standard_Cost'!$C$31</f>
        <v>0</v>
      </c>
      <c r="AO107" s="130"/>
      <c r="AQ107" s="171">
        <f>L107+M107</f>
        <v>0</v>
      </c>
      <c r="AR107" s="171">
        <f>AF107</f>
        <v>0</v>
      </c>
      <c r="AS107" s="171">
        <f>AM107+AN107</f>
        <v>0</v>
      </c>
      <c r="AT107" s="171">
        <f>SUM(AQ107,AR107,AS107)</f>
        <v>0</v>
      </c>
      <c r="AU107" s="250"/>
      <c r="AV107" s="250"/>
      <c r="AW107" s="250"/>
      <c r="AX107" s="250"/>
      <c r="AY107" s="250"/>
      <c r="AZ107" s="250"/>
      <c r="BA107" s="250"/>
      <c r="BB107" s="251">
        <f t="shared" ref="BB107:BB109" si="71">SUM(AU107:BA107)-AT107</f>
        <v>0</v>
      </c>
      <c r="BC107" s="169"/>
      <c r="BD107" s="169"/>
      <c r="BE107" s="169"/>
      <c r="BF107" s="169"/>
    </row>
    <row r="108" spans="1:58" ht="78.75" outlineLevel="2" x14ac:dyDescent="0.25">
      <c r="A108" s="115"/>
      <c r="B108" s="200"/>
      <c r="C108" s="201"/>
      <c r="D108" s="202"/>
      <c r="E108" s="202"/>
      <c r="F108" s="308"/>
      <c r="G108" s="309"/>
      <c r="H108" s="199" t="s">
        <v>438</v>
      </c>
      <c r="I108" s="130"/>
      <c r="J108" s="126"/>
      <c r="K108" s="126"/>
      <c r="L108" s="125" t="str">
        <f>IF(I108&lt;&gt;0,((VLOOKUP(I108,'1. Standard_Cost'!$B$4:$D$11,2)+VLOOKUP(I108,'1. Standard_Cost'!$B$4:$D$11,3))*J108*K108),"0")</f>
        <v>0</v>
      </c>
      <c r="M108" s="125">
        <f>L108*'1. Standard_Cost'!$F$4</f>
        <v>0</v>
      </c>
      <c r="N108" s="126"/>
      <c r="O108" s="126"/>
      <c r="P108" s="126"/>
      <c r="Q108" s="126"/>
      <c r="R108" s="127">
        <f>'1. Standard_Cost'!$B$15*N108*P108</f>
        <v>0</v>
      </c>
      <c r="S108" s="127">
        <f>N108*O108*P108*'1. Standard_Cost'!$C$15</f>
        <v>0</v>
      </c>
      <c r="T108" s="127">
        <f>N108*P108*Q108*'1. Standard_Cost'!$D$15</f>
        <v>0</v>
      </c>
      <c r="U108" s="127">
        <f>N108*O108*'1. Standard_Cost'!$E$15</f>
        <v>0</v>
      </c>
      <c r="V108" s="126"/>
      <c r="W108" s="126"/>
      <c r="X108" s="126"/>
      <c r="Y108" s="127">
        <f>+V108*((X108*'1. Standard_Cost'!$B$19)+(W108*X108*'1. Standard_Cost'!$C$19))</f>
        <v>0</v>
      </c>
      <c r="Z108" s="126"/>
      <c r="AA108" s="126"/>
      <c r="AB108" s="127">
        <f>+Z108*'1. Standard_Cost'!$B$23+AA108*'1. Standard_Cost'!$C$23</f>
        <v>0</v>
      </c>
      <c r="AC108" s="128"/>
      <c r="AD108" s="129"/>
      <c r="AE108" s="127">
        <f>SUM(AD108,AC108,AB108,Y108,U108,T108,S108,R108)*'1. Standard_Cost'!$B$31</f>
        <v>0</v>
      </c>
      <c r="AF108" s="127">
        <f>SUM(AE108,AD108,AC108,AB108,Y108,U108,T108,S108,R108)</f>
        <v>0</v>
      </c>
      <c r="AG108" s="126"/>
      <c r="AH108" s="126"/>
      <c r="AI108" s="126"/>
      <c r="AJ108" s="130"/>
      <c r="AK108" s="130"/>
      <c r="AL108" s="130"/>
      <c r="AM108" s="127">
        <f>AG108*'1. Standard_Cost'!$B$27+'Incremental_Cost Year 3'!AH108*'1. Standard_Cost'!$C$27+'Incremental_Cost Year 3'!AI108*'1. Standard_Cost'!$D$27+'Incremental_Cost Year 3'!AJ108+'Incremental_Cost Year 3'!AL108+AK108</f>
        <v>0</v>
      </c>
      <c r="AN108" s="127">
        <f>AM108*'1. Standard_Cost'!$C$31</f>
        <v>0</v>
      </c>
      <c r="AO108" s="130"/>
      <c r="AQ108" s="171">
        <f>L108+M108</f>
        <v>0</v>
      </c>
      <c r="AR108" s="171">
        <f>AF108</f>
        <v>0</v>
      </c>
      <c r="AS108" s="171">
        <f>AM108+AN108</f>
        <v>0</v>
      </c>
      <c r="AT108" s="171">
        <f>SUM(AQ108,AR108,AS108)</f>
        <v>0</v>
      </c>
      <c r="AU108" s="250"/>
      <c r="AV108" s="250"/>
      <c r="AW108" s="250"/>
      <c r="AX108" s="250"/>
      <c r="AY108" s="250"/>
      <c r="AZ108" s="250"/>
      <c r="BA108" s="250"/>
      <c r="BB108" s="251">
        <f t="shared" si="71"/>
        <v>0</v>
      </c>
      <c r="BC108" s="169"/>
      <c r="BD108" s="169"/>
      <c r="BE108" s="169"/>
      <c r="BF108" s="169"/>
    </row>
    <row r="109" spans="1:58" ht="78.75" outlineLevel="2" x14ac:dyDescent="0.25">
      <c r="A109" s="115"/>
      <c r="B109" s="200"/>
      <c r="C109" s="201"/>
      <c r="D109" s="202"/>
      <c r="E109" s="310"/>
      <c r="F109" s="311"/>
      <c r="G109" s="312"/>
      <c r="H109" s="199" t="s">
        <v>439</v>
      </c>
      <c r="I109" s="130"/>
      <c r="J109" s="126"/>
      <c r="K109" s="126"/>
      <c r="L109" s="125" t="str">
        <f>IF(I109&lt;&gt;0,((VLOOKUP(I109,'1. Standard_Cost'!$B$4:$D$11,2)+VLOOKUP(I109,'1. Standard_Cost'!$B$4:$D$11,3))*J109*K109),"0")</f>
        <v>0</v>
      </c>
      <c r="M109" s="125">
        <f>L109*'1. Standard_Cost'!$F$4</f>
        <v>0</v>
      </c>
      <c r="N109" s="126"/>
      <c r="O109" s="126"/>
      <c r="P109" s="126"/>
      <c r="Q109" s="126"/>
      <c r="R109" s="127">
        <f>'1. Standard_Cost'!$B$15*N109*P109</f>
        <v>0</v>
      </c>
      <c r="S109" s="127">
        <f>N109*O109*P109*'1. Standard_Cost'!$C$15</f>
        <v>0</v>
      </c>
      <c r="T109" s="127">
        <f>N109*P109*Q109*'1. Standard_Cost'!$D$15</f>
        <v>0</v>
      </c>
      <c r="U109" s="127">
        <f>N109*O109*'1. Standard_Cost'!$E$15</f>
        <v>0</v>
      </c>
      <c r="V109" s="126"/>
      <c r="W109" s="126"/>
      <c r="X109" s="126"/>
      <c r="Y109" s="127">
        <f>+V109*((X109*'1. Standard_Cost'!$B$19)+(W109*X109*'1. Standard_Cost'!$C$19))</f>
        <v>0</v>
      </c>
      <c r="Z109" s="126"/>
      <c r="AA109" s="126"/>
      <c r="AB109" s="127">
        <f>+Z109*'1. Standard_Cost'!$B$23+AA109*'1. Standard_Cost'!$C$23</f>
        <v>0</v>
      </c>
      <c r="AC109" s="128"/>
      <c r="AD109" s="129"/>
      <c r="AE109" s="127">
        <f>SUM(AD109,AC109,AB109,Y109,U109,T109,S109,R109)*'1. Standard_Cost'!$B$31</f>
        <v>0</v>
      </c>
      <c r="AF109" s="127">
        <f>SUM(AE109,AD109,AC109,AB109,Y109,U109,T109,S109,R109)</f>
        <v>0</v>
      </c>
      <c r="AG109" s="126"/>
      <c r="AH109" s="126"/>
      <c r="AI109" s="126"/>
      <c r="AJ109" s="130"/>
      <c r="AK109" s="130"/>
      <c r="AL109" s="130"/>
      <c r="AM109" s="127">
        <f>AG109*'1. Standard_Cost'!$B$27+'Incremental_Cost Year 3'!AH109*'1. Standard_Cost'!$C$27+'Incremental_Cost Year 3'!AI109*'1. Standard_Cost'!$D$27+'Incremental_Cost Year 3'!AJ109+'Incremental_Cost Year 3'!AL109+AK109</f>
        <v>0</v>
      </c>
      <c r="AN109" s="127">
        <f>AM109*'1. Standard_Cost'!$C$31</f>
        <v>0</v>
      </c>
      <c r="AO109" s="130"/>
      <c r="AQ109" s="171">
        <f>L109+M109</f>
        <v>0</v>
      </c>
      <c r="AR109" s="171">
        <f>AF109</f>
        <v>0</v>
      </c>
      <c r="AS109" s="171">
        <f>AM109+AN109</f>
        <v>0</v>
      </c>
      <c r="AT109" s="171">
        <f>SUM(AQ109,AR109,AS109)</f>
        <v>0</v>
      </c>
      <c r="AU109" s="250"/>
      <c r="AV109" s="250"/>
      <c r="AW109" s="250"/>
      <c r="AX109" s="250"/>
      <c r="AY109" s="250"/>
      <c r="AZ109" s="250"/>
      <c r="BA109" s="250"/>
      <c r="BB109" s="251">
        <f t="shared" si="71"/>
        <v>0</v>
      </c>
      <c r="BC109" s="169"/>
      <c r="BD109" s="169"/>
      <c r="BE109" s="169"/>
      <c r="BF109" s="169"/>
    </row>
    <row r="110" spans="1:58" ht="47.25" outlineLevel="1" x14ac:dyDescent="0.25">
      <c r="A110" s="115"/>
      <c r="B110" s="200"/>
      <c r="C110" s="201"/>
      <c r="D110" s="227" t="s">
        <v>432</v>
      </c>
      <c r="E110" s="226" t="s">
        <v>275</v>
      </c>
      <c r="F110" s="136">
        <v>2025</v>
      </c>
      <c r="G110" s="117">
        <v>2030</v>
      </c>
      <c r="H110" s="110" t="s">
        <v>277</v>
      </c>
      <c r="I110" s="252"/>
      <c r="J110" s="252"/>
      <c r="K110" s="252"/>
      <c r="L110" s="127">
        <f>SUM(L107:L109)</f>
        <v>0</v>
      </c>
      <c r="M110" s="127">
        <f>SUM(M107:M109)</f>
        <v>0</v>
      </c>
      <c r="N110" s="127"/>
      <c r="O110" s="252"/>
      <c r="P110" s="252"/>
      <c r="Q110" s="252"/>
      <c r="R110" s="127">
        <f>SUM(R107:R109)</f>
        <v>0</v>
      </c>
      <c r="S110" s="127">
        <f>SUM(S107:S109)</f>
        <v>0</v>
      </c>
      <c r="T110" s="127">
        <f>SUM(T107:T109)</f>
        <v>0</v>
      </c>
      <c r="U110" s="127">
        <f>SUM(U107:U109)</f>
        <v>0</v>
      </c>
      <c r="V110" s="252"/>
      <c r="W110" s="252"/>
      <c r="X110" s="252"/>
      <c r="Y110" s="127">
        <f>SUM(Y107:Y109)</f>
        <v>0</v>
      </c>
      <c r="Z110" s="252"/>
      <c r="AA110" s="252"/>
      <c r="AB110" s="127">
        <f>SUM(AB107:AB109)</f>
        <v>0</v>
      </c>
      <c r="AC110" s="127">
        <f>SUM(AC107:AC109)</f>
        <v>0</v>
      </c>
      <c r="AD110" s="127">
        <f>SUM(AD107:AD109)</f>
        <v>0</v>
      </c>
      <c r="AE110" s="127">
        <f>SUM(AE107:AE109)</f>
        <v>0</v>
      </c>
      <c r="AF110" s="127">
        <f>SUM(AF107:AF109)</f>
        <v>0</v>
      </c>
      <c r="AG110" s="252"/>
      <c r="AH110" s="252"/>
      <c r="AI110" s="252"/>
      <c r="AJ110" s="127">
        <f>SUM(AJ107:AJ109)</f>
        <v>0</v>
      </c>
      <c r="AK110" s="127">
        <f>SUM(AK107:AK109)</f>
        <v>0</v>
      </c>
      <c r="AL110" s="127">
        <f>SUM(AL107:AL109)</f>
        <v>0</v>
      </c>
      <c r="AM110" s="127">
        <f>SUM(AM107:AM109)</f>
        <v>0</v>
      </c>
      <c r="AN110" s="127">
        <f>SUM(AN107:AN109)</f>
        <v>0</v>
      </c>
      <c r="AO110" s="253"/>
      <c r="AP110" s="254"/>
      <c r="AQ110" s="175">
        <f>SUM(AQ107:AQ109)</f>
        <v>0</v>
      </c>
      <c r="AR110" s="175">
        <f>SUM(AR107:AR109)</f>
        <v>0</v>
      </c>
      <c r="AS110" s="175">
        <f>SUM(AS107:AS109)</f>
        <v>0</v>
      </c>
      <c r="AT110" s="175">
        <f>SUM(AT107:AT109)</f>
        <v>0</v>
      </c>
      <c r="AU110" s="175">
        <f t="shared" ref="AU110:BB110" si="72">SUM(AU107:AU109)</f>
        <v>0</v>
      </c>
      <c r="AV110" s="175">
        <f t="shared" si="72"/>
        <v>0</v>
      </c>
      <c r="AW110" s="175">
        <f t="shared" si="72"/>
        <v>0</v>
      </c>
      <c r="AX110" s="175">
        <f t="shared" si="72"/>
        <v>0</v>
      </c>
      <c r="AY110" s="175">
        <f t="shared" si="72"/>
        <v>0</v>
      </c>
      <c r="AZ110" s="175">
        <f t="shared" si="72"/>
        <v>0</v>
      </c>
      <c r="BA110" s="175">
        <f t="shared" si="72"/>
        <v>0</v>
      </c>
      <c r="BB110" s="175">
        <f t="shared" si="72"/>
        <v>0</v>
      </c>
      <c r="BC110" s="169"/>
      <c r="BD110" s="169"/>
      <c r="BE110" s="169"/>
      <c r="BF110" s="169"/>
    </row>
    <row r="111" spans="1:58" s="184" customFormat="1" ht="15.75" customHeight="1" x14ac:dyDescent="0.25">
      <c r="A111" s="143"/>
      <c r="B111" s="290"/>
      <c r="C111" s="391" t="s">
        <v>278</v>
      </c>
      <c r="D111" s="391"/>
      <c r="E111" s="392"/>
      <c r="F111" s="291"/>
      <c r="G111" s="291"/>
      <c r="H111" s="144" t="s">
        <v>262</v>
      </c>
      <c r="I111" s="257"/>
      <c r="J111" s="257"/>
      <c r="K111" s="257"/>
      <c r="L111" s="258">
        <f>SUM(L117)</f>
        <v>2562100</v>
      </c>
      <c r="M111" s="258">
        <f>SUM(M117)</f>
        <v>427870.7</v>
      </c>
      <c r="N111" s="257"/>
      <c r="O111" s="257"/>
      <c r="P111" s="257"/>
      <c r="Q111" s="257"/>
      <c r="R111" s="258">
        <f>SUM(R117)</f>
        <v>0</v>
      </c>
      <c r="S111" s="258">
        <f>SUM(S117)</f>
        <v>0</v>
      </c>
      <c r="T111" s="258">
        <f>SUM(T117)</f>
        <v>0</v>
      </c>
      <c r="U111" s="258">
        <f>SUM(U117)</f>
        <v>0</v>
      </c>
      <c r="V111" s="257"/>
      <c r="W111" s="257"/>
      <c r="X111" s="257"/>
      <c r="Y111" s="258">
        <f>SUM(Y117)</f>
        <v>0</v>
      </c>
      <c r="Z111" s="258"/>
      <c r="AA111" s="258"/>
      <c r="AB111" s="258">
        <f>SUM(AB117)</f>
        <v>475000</v>
      </c>
      <c r="AC111" s="258">
        <f>SUM(AC117)</f>
        <v>358920</v>
      </c>
      <c r="AD111" s="258">
        <f>SUM(AD117)</f>
        <v>0</v>
      </c>
      <c r="AE111" s="258">
        <f>SUM(AE117)</f>
        <v>166784</v>
      </c>
      <c r="AF111" s="258">
        <f>SUM(AF117)</f>
        <v>1000704</v>
      </c>
      <c r="AG111" s="257"/>
      <c r="AH111" s="257"/>
      <c r="AI111" s="257"/>
      <c r="AJ111" s="258">
        <f>SUM(AJ117)</f>
        <v>0</v>
      </c>
      <c r="AK111" s="258">
        <f>SUM(AK117)</f>
        <v>0</v>
      </c>
      <c r="AL111" s="258">
        <f>SUM(AL117)</f>
        <v>0</v>
      </c>
      <c r="AM111" s="258">
        <f>SUM(AM117)</f>
        <v>0</v>
      </c>
      <c r="AN111" s="258">
        <f>SUM(AN117)</f>
        <v>0</v>
      </c>
      <c r="AO111" s="259"/>
      <c r="AP111" s="260"/>
      <c r="AQ111" s="261">
        <f>SUM(AQ117)</f>
        <v>2989970.7</v>
      </c>
      <c r="AR111" s="261">
        <f>SUM(AR117)</f>
        <v>1000704</v>
      </c>
      <c r="AS111" s="261">
        <f>SUM(AS117)</f>
        <v>0</v>
      </c>
      <c r="AT111" s="261">
        <f>SUM(AT117)</f>
        <v>3990674.7</v>
      </c>
      <c r="AU111" s="261">
        <f t="shared" ref="AU111:BA111" si="73">SUM(AU117)</f>
        <v>3420675</v>
      </c>
      <c r="AV111" s="261">
        <f t="shared" si="73"/>
        <v>0</v>
      </c>
      <c r="AW111" s="261">
        <f t="shared" si="73"/>
        <v>0</v>
      </c>
      <c r="AX111" s="261">
        <f t="shared" si="73"/>
        <v>0</v>
      </c>
      <c r="AY111" s="261">
        <f t="shared" si="73"/>
        <v>0</v>
      </c>
      <c r="AZ111" s="261">
        <f t="shared" si="73"/>
        <v>0</v>
      </c>
      <c r="BA111" s="261">
        <f t="shared" si="73"/>
        <v>0</v>
      </c>
      <c r="BB111" s="261">
        <f>SUM(BB117)</f>
        <v>-569999.69999999995</v>
      </c>
    </row>
    <row r="112" spans="1:58" ht="78.75" outlineLevel="2" x14ac:dyDescent="0.25">
      <c r="A112" s="115"/>
      <c r="B112" s="200"/>
      <c r="C112" s="201"/>
      <c r="D112" s="210"/>
      <c r="E112" s="321"/>
      <c r="F112" s="306"/>
      <c r="G112" s="307"/>
      <c r="H112" s="199" t="s">
        <v>440</v>
      </c>
      <c r="I112" s="130" t="s">
        <v>2</v>
      </c>
      <c r="J112" s="126">
        <v>1</v>
      </c>
      <c r="K112" s="126">
        <v>6</v>
      </c>
      <c r="L112" s="125">
        <f>IF(I112&lt;&gt;0,((VLOOKUP(I112,'1. Standard_Cost'!$B$4:$D$11,2)+VLOOKUP(I112,'1. Standard_Cost'!$B$4:$D$11,3))*J112*K112),"0")</f>
        <v>726000</v>
      </c>
      <c r="M112" s="125">
        <f>L112*'1. Standard_Cost'!$F$4</f>
        <v>121242</v>
      </c>
      <c r="N112" s="126"/>
      <c r="O112" s="126"/>
      <c r="P112" s="126"/>
      <c r="Q112" s="126"/>
      <c r="R112" s="127">
        <f>'1. Standard_Cost'!$B$15*N112*P112</f>
        <v>0</v>
      </c>
      <c r="S112" s="127">
        <f>N112*O112*P112*'1. Standard_Cost'!$C$15</f>
        <v>0</v>
      </c>
      <c r="T112" s="127">
        <f>N112*P112*Q112*'1. Standard_Cost'!$D$15</f>
        <v>0</v>
      </c>
      <c r="U112" s="127">
        <f>N112*O112*'1. Standard_Cost'!$E$15</f>
        <v>0</v>
      </c>
      <c r="V112" s="126"/>
      <c r="W112" s="126"/>
      <c r="X112" s="126"/>
      <c r="Y112" s="127">
        <f>+V112*((X112*'1. Standard_Cost'!$B$19)+(W112*X112*'1. Standard_Cost'!$C$19))</f>
        <v>0</v>
      </c>
      <c r="Z112" s="126"/>
      <c r="AA112" s="126"/>
      <c r="AB112" s="127">
        <f>+Z112*'1. Standard_Cost'!$B$23+AA112*'1. Standard_Cost'!$C$23</f>
        <v>0</v>
      </c>
      <c r="AC112" s="128">
        <v>101700</v>
      </c>
      <c r="AD112" s="129"/>
      <c r="AE112" s="127">
        <f>SUM(AD112,AC112,AB112,Y112,U112,T112,S112,R112)*'1. Standard_Cost'!$B$31</f>
        <v>20340</v>
      </c>
      <c r="AF112" s="127">
        <f>SUM(AE112,AD112,AC112,AB112,Y112,U112,T112,S112,R112)</f>
        <v>122040</v>
      </c>
      <c r="AG112" s="126"/>
      <c r="AH112" s="126"/>
      <c r="AI112" s="126"/>
      <c r="AJ112" s="130"/>
      <c r="AK112" s="130"/>
      <c r="AL112" s="130"/>
      <c r="AM112" s="127">
        <f>AG112*'1. Standard_Cost'!$B$27+'Incremental_Cost Year 3'!AH112*'1. Standard_Cost'!$C$27+'Incremental_Cost Year 3'!AI112*'1. Standard_Cost'!$D$27+'Incremental_Cost Year 3'!AJ112+'Incremental_Cost Year 3'!AL112+AK112</f>
        <v>0</v>
      </c>
      <c r="AN112" s="127">
        <f>AM112*'1. Standard_Cost'!$C$31</f>
        <v>0</v>
      </c>
      <c r="AO112" s="130"/>
      <c r="AQ112" s="171">
        <f>L112+M112</f>
        <v>847242</v>
      </c>
      <c r="AR112" s="171">
        <f>AF112</f>
        <v>122040</v>
      </c>
      <c r="AS112" s="171">
        <f>AM112+AN112</f>
        <v>0</v>
      </c>
      <c r="AT112" s="171">
        <f>SUM(AQ112,AR112,AS112)</f>
        <v>969282</v>
      </c>
      <c r="AU112" s="250">
        <v>969282</v>
      </c>
      <c r="AV112" s="250"/>
      <c r="AW112" s="250"/>
      <c r="AX112" s="250"/>
      <c r="AY112" s="250"/>
      <c r="AZ112" s="250"/>
      <c r="BA112" s="250"/>
      <c r="BB112" s="251">
        <f t="shared" ref="BB112:BB116" si="74">SUM(AU112:BA112)-AT112</f>
        <v>0</v>
      </c>
      <c r="BC112" s="169"/>
      <c r="BD112" s="169"/>
      <c r="BE112" s="169"/>
      <c r="BF112" s="169"/>
    </row>
    <row r="113" spans="1:58" ht="63" outlineLevel="2" x14ac:dyDescent="0.25">
      <c r="A113" s="115"/>
      <c r="B113" s="200"/>
      <c r="C113" s="201"/>
      <c r="D113" s="208"/>
      <c r="E113" s="323"/>
      <c r="F113" s="308"/>
      <c r="G113" s="309"/>
      <c r="H113" s="199" t="s">
        <v>441</v>
      </c>
      <c r="I113" s="130" t="s">
        <v>3</v>
      </c>
      <c r="J113" s="126">
        <v>1</v>
      </c>
      <c r="K113" s="126">
        <v>7</v>
      </c>
      <c r="L113" s="125">
        <f>IF(I113&lt;&gt;0,((VLOOKUP(I113,'1. Standard_Cost'!$B$4:$D$11,2)+VLOOKUP(I113,'1. Standard_Cost'!$B$4:$D$11,3))*J113*K113),"0")</f>
        <v>705600</v>
      </c>
      <c r="M113" s="125">
        <f>L113*'1. Standard_Cost'!$F$4</f>
        <v>117835.20000000001</v>
      </c>
      <c r="N113" s="126"/>
      <c r="O113" s="126"/>
      <c r="P113" s="126"/>
      <c r="Q113" s="126"/>
      <c r="R113" s="127">
        <f>'1. Standard_Cost'!$B$15*N113*P113</f>
        <v>0</v>
      </c>
      <c r="S113" s="127">
        <f>N113*O113*P113*'1. Standard_Cost'!$C$15</f>
        <v>0</v>
      </c>
      <c r="T113" s="127">
        <f>N113*P113*Q113*'1. Standard_Cost'!$D$15</f>
        <v>0</v>
      </c>
      <c r="U113" s="127">
        <f>N113*O113*'1. Standard_Cost'!$E$15</f>
        <v>0</v>
      </c>
      <c r="V113" s="126"/>
      <c r="W113" s="126"/>
      <c r="X113" s="126"/>
      <c r="Y113" s="127">
        <f>+V113*((X113*'1. Standard_Cost'!$B$19)+(W113*X113*'1. Standard_Cost'!$C$19))</f>
        <v>0</v>
      </c>
      <c r="Z113" s="126"/>
      <c r="AA113" s="126"/>
      <c r="AB113" s="127">
        <f>+Z113*'1. Standard_Cost'!$B$23+AA113*'1. Standard_Cost'!$C$23</f>
        <v>0</v>
      </c>
      <c r="AC113" s="128">
        <v>98900</v>
      </c>
      <c r="AD113" s="129"/>
      <c r="AE113" s="127">
        <f>SUM(AD113,AC113,AB113,Y113,U113,T113,S113,R113)*'1. Standard_Cost'!$B$31</f>
        <v>19780</v>
      </c>
      <c r="AF113" s="127">
        <f>SUM(AE113,AD113,AC113,AB113,Y113,U113,T113,S113,R113)</f>
        <v>118680</v>
      </c>
      <c r="AG113" s="126"/>
      <c r="AH113" s="126"/>
      <c r="AI113" s="126"/>
      <c r="AJ113" s="130"/>
      <c r="AK113" s="130"/>
      <c r="AL113" s="130"/>
      <c r="AM113" s="127">
        <f>AG113*'1. Standard_Cost'!$B$27+'Incremental_Cost Year 3'!AH113*'1. Standard_Cost'!$C$27+'Incremental_Cost Year 3'!AI113*'1. Standard_Cost'!$D$27+'Incremental_Cost Year 3'!AJ113+'Incremental_Cost Year 3'!AL113+AK113</f>
        <v>0</v>
      </c>
      <c r="AN113" s="127">
        <f>AM113*'1. Standard_Cost'!$C$31</f>
        <v>0</v>
      </c>
      <c r="AO113" s="130"/>
      <c r="AQ113" s="171">
        <f>L113+M113</f>
        <v>823435.2</v>
      </c>
      <c r="AR113" s="171">
        <f>AF113</f>
        <v>118680</v>
      </c>
      <c r="AS113" s="171">
        <f>AM113+AN113</f>
        <v>0</v>
      </c>
      <c r="AT113" s="171">
        <f>SUM(AQ113,AR113,AS113)</f>
        <v>942115.2</v>
      </c>
      <c r="AU113" s="250">
        <v>942115</v>
      </c>
      <c r="AV113" s="250"/>
      <c r="AW113" s="250"/>
      <c r="AX113" s="250"/>
      <c r="AY113" s="250"/>
      <c r="AZ113" s="250"/>
      <c r="BA113" s="250"/>
      <c r="BB113" s="251">
        <f t="shared" si="74"/>
        <v>-0.19999999995343387</v>
      </c>
      <c r="BC113" s="169"/>
      <c r="BD113" s="169"/>
      <c r="BE113" s="169"/>
      <c r="BF113" s="169"/>
    </row>
    <row r="114" spans="1:58" ht="78.75" outlineLevel="2" x14ac:dyDescent="0.25">
      <c r="A114" s="115"/>
      <c r="B114" s="200"/>
      <c r="C114" s="201"/>
      <c r="D114" s="203"/>
      <c r="E114" s="323"/>
      <c r="F114" s="308"/>
      <c r="G114" s="309"/>
      <c r="H114" s="199" t="s">
        <v>547</v>
      </c>
      <c r="I114" s="130" t="s">
        <v>4</v>
      </c>
      <c r="J114" s="126">
        <v>2</v>
      </c>
      <c r="K114" s="126">
        <v>7</v>
      </c>
      <c r="L114" s="125">
        <f>IF(I114&lt;&gt;0,((VLOOKUP(I114,'1. Standard_Cost'!$B$4:$D$11,2)+VLOOKUP(I114,'1. Standard_Cost'!$B$4:$D$11,3))*J114*K114),"0")</f>
        <v>1130500</v>
      </c>
      <c r="M114" s="125">
        <f>L114*'1. Standard_Cost'!$F$4</f>
        <v>188793.5</v>
      </c>
      <c r="N114" s="126"/>
      <c r="O114" s="126"/>
      <c r="P114" s="126"/>
      <c r="Q114" s="126"/>
      <c r="R114" s="127">
        <f>'1. Standard_Cost'!$B$15*N114*P114</f>
        <v>0</v>
      </c>
      <c r="S114" s="127">
        <f>N114*O114*P114*'1. Standard_Cost'!$C$15</f>
        <v>0</v>
      </c>
      <c r="T114" s="127">
        <f>N114*P114*Q114*'1. Standard_Cost'!$D$15</f>
        <v>0</v>
      </c>
      <c r="U114" s="127">
        <f>N114*O114*'1. Standard_Cost'!$E$15</f>
        <v>0</v>
      </c>
      <c r="V114" s="126"/>
      <c r="W114" s="126"/>
      <c r="X114" s="126"/>
      <c r="Y114" s="127">
        <f>+V114*((X114*'1. Standard_Cost'!$B$19)+(W114*X114*'1. Standard_Cost'!$C$19))</f>
        <v>0</v>
      </c>
      <c r="Z114" s="126"/>
      <c r="AA114" s="126">
        <v>25</v>
      </c>
      <c r="AB114" s="127">
        <f>+Z114*'1. Standard_Cost'!$B$23+AA114*'1. Standard_Cost'!$C$23</f>
        <v>475000</v>
      </c>
      <c r="AC114" s="128">
        <v>158320</v>
      </c>
      <c r="AD114" s="129"/>
      <c r="AE114" s="127">
        <f>SUM(AD114,AC114,AB114,Y114,U114,T114,S114,R114)*'1. Standard_Cost'!$B$31</f>
        <v>126664</v>
      </c>
      <c r="AF114" s="127">
        <f>SUM(AE114,AD114,AC114,AB114,Y114,U114,T114,S114,R114)</f>
        <v>759984</v>
      </c>
      <c r="AG114" s="126"/>
      <c r="AH114" s="126"/>
      <c r="AI114" s="126"/>
      <c r="AJ114" s="130"/>
      <c r="AK114" s="130"/>
      <c r="AL114" s="130"/>
      <c r="AM114" s="127">
        <f>AG114*'1. Standard_Cost'!$B$27+'Incremental_Cost Year 3'!AH114*'1. Standard_Cost'!$C$27+'Incremental_Cost Year 3'!AI114*'1. Standard_Cost'!$D$27+'Incremental_Cost Year 3'!AJ114+'Incremental_Cost Year 3'!AL114+AK114</f>
        <v>0</v>
      </c>
      <c r="AN114" s="127">
        <f>AM114*'1. Standard_Cost'!$C$31</f>
        <v>0</v>
      </c>
      <c r="AO114" s="130"/>
      <c r="AQ114" s="171">
        <f>L114+M114</f>
        <v>1319293.5</v>
      </c>
      <c r="AR114" s="171">
        <f>AF114</f>
        <v>759984</v>
      </c>
      <c r="AS114" s="171">
        <f>AM114+AN114</f>
        <v>0</v>
      </c>
      <c r="AT114" s="171">
        <f>SUM(AQ114,AR114,AS114)</f>
        <v>2079277.5</v>
      </c>
      <c r="AU114" s="250">
        <v>1509278</v>
      </c>
      <c r="AV114" s="250"/>
      <c r="AW114" s="250"/>
      <c r="AX114" s="250"/>
      <c r="AY114" s="250"/>
      <c r="AZ114" s="250"/>
      <c r="BA114" s="250"/>
      <c r="BB114" s="251">
        <f t="shared" si="74"/>
        <v>-569999.5</v>
      </c>
      <c r="BC114" s="169"/>
      <c r="BD114" s="169"/>
      <c r="BE114" s="169"/>
      <c r="BF114" s="169"/>
    </row>
    <row r="115" spans="1:58" ht="31.5" outlineLevel="2" x14ac:dyDescent="0.25">
      <c r="A115" s="115"/>
      <c r="B115" s="200"/>
      <c r="C115" s="201"/>
      <c r="D115" s="203"/>
      <c r="E115" s="323"/>
      <c r="F115" s="308"/>
      <c r="G115" s="309"/>
      <c r="H115" s="199" t="s">
        <v>279</v>
      </c>
      <c r="I115" s="130"/>
      <c r="J115" s="126"/>
      <c r="K115" s="126"/>
      <c r="L115" s="125" t="str">
        <f>IF(I115&lt;&gt;0,((VLOOKUP(I115,'1. Standard_Cost'!$B$4:$D$11,2)+VLOOKUP(I115,'1. Standard_Cost'!$B$4:$D$11,3))*J115*K115),"0")</f>
        <v>0</v>
      </c>
      <c r="M115" s="125">
        <f>L115*'1. Standard_Cost'!$F$4</f>
        <v>0</v>
      </c>
      <c r="N115" s="126"/>
      <c r="O115" s="126"/>
      <c r="P115" s="126"/>
      <c r="Q115" s="126"/>
      <c r="R115" s="127">
        <f>'1. Standard_Cost'!$B$15*N115*P115</f>
        <v>0</v>
      </c>
      <c r="S115" s="127">
        <f>N115*O115*P115*'1. Standard_Cost'!$C$15</f>
        <v>0</v>
      </c>
      <c r="T115" s="127">
        <f>N115*P115*Q115*'1. Standard_Cost'!$D$15</f>
        <v>0</v>
      </c>
      <c r="U115" s="127">
        <f>N115*O115*'1. Standard_Cost'!$E$15</f>
        <v>0</v>
      </c>
      <c r="V115" s="126"/>
      <c r="W115" s="126"/>
      <c r="X115" s="126"/>
      <c r="Y115" s="127">
        <f>+V115*((X115*'1. Standard_Cost'!$B$19)+(W115*X115*'1. Standard_Cost'!$C$19))</f>
        <v>0</v>
      </c>
      <c r="Z115" s="126"/>
      <c r="AA115" s="126"/>
      <c r="AB115" s="127">
        <f>+Z115*'1. Standard_Cost'!$B$23+AA115*'1. Standard_Cost'!$C$23</f>
        <v>0</v>
      </c>
      <c r="AC115" s="128"/>
      <c r="AD115" s="129"/>
      <c r="AE115" s="127">
        <f>SUM(AD115,AC115,AB115,Y115,U115,T115,S115,R115)*'1. Standard_Cost'!$B$31</f>
        <v>0</v>
      </c>
      <c r="AF115" s="127">
        <f>SUM(AE115,AD115,AC115,AB115,Y115,U115,T115,S115,R115)</f>
        <v>0</v>
      </c>
      <c r="AG115" s="126"/>
      <c r="AH115" s="126"/>
      <c r="AI115" s="126"/>
      <c r="AJ115" s="130"/>
      <c r="AK115" s="130"/>
      <c r="AL115" s="130"/>
      <c r="AM115" s="127">
        <f>AG115*'1. Standard_Cost'!$B$27+'Incremental_Cost Year 3'!AH115*'1. Standard_Cost'!$C$27+'Incremental_Cost Year 3'!AI115*'1. Standard_Cost'!$D$27+'Incremental_Cost Year 3'!AJ115+'Incremental_Cost Year 3'!AL115+AK115</f>
        <v>0</v>
      </c>
      <c r="AN115" s="127">
        <f>AM115*'1. Standard_Cost'!$C$31</f>
        <v>0</v>
      </c>
      <c r="AO115" s="130"/>
      <c r="AQ115" s="171">
        <f>L115+M115</f>
        <v>0</v>
      </c>
      <c r="AR115" s="171">
        <f>AF115</f>
        <v>0</v>
      </c>
      <c r="AS115" s="171">
        <f>AM115+AN115</f>
        <v>0</v>
      </c>
      <c r="AT115" s="171">
        <f>SUM(AQ115,AR115,AS115)</f>
        <v>0</v>
      </c>
      <c r="AU115" s="250"/>
      <c r="AV115" s="250"/>
      <c r="AW115" s="250"/>
      <c r="AX115" s="250"/>
      <c r="AY115" s="250"/>
      <c r="AZ115" s="250"/>
      <c r="BA115" s="250"/>
      <c r="BB115" s="251">
        <f t="shared" si="74"/>
        <v>0</v>
      </c>
      <c r="BC115" s="169"/>
      <c r="BD115" s="169"/>
      <c r="BE115" s="169"/>
      <c r="BF115" s="169"/>
    </row>
    <row r="116" spans="1:58" ht="47.25" outlineLevel="2" x14ac:dyDescent="0.25">
      <c r="A116" s="115"/>
      <c r="B116" s="200"/>
      <c r="C116" s="201"/>
      <c r="D116" s="211"/>
      <c r="E116" s="322"/>
      <c r="F116" s="311"/>
      <c r="G116" s="312"/>
      <c r="H116" s="199" t="s">
        <v>442</v>
      </c>
      <c r="I116" s="130"/>
      <c r="J116" s="126"/>
      <c r="K116" s="126"/>
      <c r="L116" s="125" t="str">
        <f>IF(I116&lt;&gt;0,((VLOOKUP(I116,'1. Standard_Cost'!$B$4:$D$11,2)+VLOOKUP(I116,'1. Standard_Cost'!$B$4:$D$11,3))*J116*K116),"0")</f>
        <v>0</v>
      </c>
      <c r="M116" s="125">
        <f>L116*'1. Standard_Cost'!$F$4</f>
        <v>0</v>
      </c>
      <c r="N116" s="126"/>
      <c r="O116" s="126"/>
      <c r="P116" s="126"/>
      <c r="Q116" s="126"/>
      <c r="R116" s="127">
        <f>'1. Standard_Cost'!$B$15*N116*P116</f>
        <v>0</v>
      </c>
      <c r="S116" s="127">
        <f>N116*O116*P116*'1. Standard_Cost'!$C$15</f>
        <v>0</v>
      </c>
      <c r="T116" s="127">
        <f>N116*P116*Q116*'1. Standard_Cost'!$D$15</f>
        <v>0</v>
      </c>
      <c r="U116" s="127">
        <f>N116*O116*'1. Standard_Cost'!$E$15</f>
        <v>0</v>
      </c>
      <c r="V116" s="126"/>
      <c r="W116" s="126"/>
      <c r="X116" s="126"/>
      <c r="Y116" s="127">
        <f>+V116*((X116*'1. Standard_Cost'!$B$19)+(W116*X116*'1. Standard_Cost'!$C$19))</f>
        <v>0</v>
      </c>
      <c r="Z116" s="126"/>
      <c r="AA116" s="126"/>
      <c r="AB116" s="127">
        <f>+Z116*'1. Standard_Cost'!$B$23+AA116*'1. Standard_Cost'!$C$23</f>
        <v>0</v>
      </c>
      <c r="AC116" s="128"/>
      <c r="AD116" s="129"/>
      <c r="AE116" s="127">
        <f>SUM(AD116,AC116,AB116,Y116,U116,T116,S116,R116)*'1. Standard_Cost'!$B$31</f>
        <v>0</v>
      </c>
      <c r="AF116" s="127">
        <f>SUM(AE116,AD116,AC116,AB116,Y116,U116,T116,S116,R116)</f>
        <v>0</v>
      </c>
      <c r="AG116" s="126"/>
      <c r="AH116" s="126"/>
      <c r="AI116" s="126"/>
      <c r="AJ116" s="130"/>
      <c r="AK116" s="130"/>
      <c r="AL116" s="130"/>
      <c r="AM116" s="127">
        <f>AG116*'1. Standard_Cost'!$B$27+'Incremental_Cost Year 3'!AH116*'1. Standard_Cost'!$C$27+'Incremental_Cost Year 3'!AI116*'1. Standard_Cost'!$D$27+'Incremental_Cost Year 3'!AJ116+'Incremental_Cost Year 3'!AL116+AK116</f>
        <v>0</v>
      </c>
      <c r="AN116" s="127">
        <f>AM116*'1. Standard_Cost'!$C$31</f>
        <v>0</v>
      </c>
      <c r="AO116" s="130"/>
      <c r="AQ116" s="171">
        <f>L116+M116</f>
        <v>0</v>
      </c>
      <c r="AR116" s="171">
        <f>AF116</f>
        <v>0</v>
      </c>
      <c r="AS116" s="171">
        <f>AM116+AN116</f>
        <v>0</v>
      </c>
      <c r="AT116" s="171">
        <f>SUM(AQ116,AR116,AS116)</f>
        <v>0</v>
      </c>
      <c r="AU116" s="250"/>
      <c r="AV116" s="250"/>
      <c r="AW116" s="250"/>
      <c r="AX116" s="250"/>
      <c r="AY116" s="250"/>
      <c r="AZ116" s="250"/>
      <c r="BA116" s="250"/>
      <c r="BB116" s="251">
        <f t="shared" si="74"/>
        <v>0</v>
      </c>
      <c r="BC116" s="169"/>
      <c r="BD116" s="169"/>
      <c r="BE116" s="169"/>
      <c r="BF116" s="169"/>
    </row>
    <row r="117" spans="1:58" ht="47.25" outlineLevel="1" x14ac:dyDescent="0.25">
      <c r="A117" s="115"/>
      <c r="B117" s="165"/>
      <c r="C117" s="166"/>
      <c r="D117" s="229" t="s">
        <v>432</v>
      </c>
      <c r="E117" s="212" t="s">
        <v>280</v>
      </c>
      <c r="F117" s="136">
        <v>2021</v>
      </c>
      <c r="G117" s="117">
        <v>2030</v>
      </c>
      <c r="H117" s="110" t="s">
        <v>281</v>
      </c>
      <c r="I117" s="252"/>
      <c r="J117" s="252"/>
      <c r="K117" s="252"/>
      <c r="L117" s="127">
        <f>SUM(L112:L116)</f>
        <v>2562100</v>
      </c>
      <c r="M117" s="127">
        <f>SUM(M112:M116)</f>
        <v>427870.7</v>
      </c>
      <c r="N117" s="127"/>
      <c r="O117" s="252"/>
      <c r="P117" s="252"/>
      <c r="Q117" s="252"/>
      <c r="R117" s="127">
        <f>SUM(R112:R116)</f>
        <v>0</v>
      </c>
      <c r="S117" s="127">
        <f>SUM(S112:S116)</f>
        <v>0</v>
      </c>
      <c r="T117" s="127">
        <f>SUM(T112:T116)</f>
        <v>0</v>
      </c>
      <c r="U117" s="127">
        <f>SUM(U112:U116)</f>
        <v>0</v>
      </c>
      <c r="V117" s="252"/>
      <c r="W117" s="252"/>
      <c r="X117" s="252"/>
      <c r="Y117" s="127">
        <f>SUM(Y112:Y116)</f>
        <v>0</v>
      </c>
      <c r="Z117" s="252"/>
      <c r="AA117" s="252"/>
      <c r="AB117" s="127">
        <f>SUM(AB112:AB116)</f>
        <v>475000</v>
      </c>
      <c r="AC117" s="127">
        <f>SUM(AC112:AC116)</f>
        <v>358920</v>
      </c>
      <c r="AD117" s="127">
        <f>SUM(AD112:AD116)</f>
        <v>0</v>
      </c>
      <c r="AE117" s="127">
        <f>SUM(AE112:AE116)</f>
        <v>166784</v>
      </c>
      <c r="AF117" s="127">
        <f>SUM(AF112:AF116)</f>
        <v>1000704</v>
      </c>
      <c r="AG117" s="252"/>
      <c r="AH117" s="252"/>
      <c r="AI117" s="252"/>
      <c r="AJ117" s="127">
        <f>SUM(AJ112:AJ116)</f>
        <v>0</v>
      </c>
      <c r="AK117" s="127">
        <f>SUM(AK112:AK116)</f>
        <v>0</v>
      </c>
      <c r="AL117" s="127">
        <f>SUM(AL112:AL116)</f>
        <v>0</v>
      </c>
      <c r="AM117" s="127">
        <f>SUM(AM112:AM116)</f>
        <v>0</v>
      </c>
      <c r="AN117" s="127">
        <f>SUM(AN112:AN116)</f>
        <v>0</v>
      </c>
      <c r="AO117" s="253"/>
      <c r="AP117" s="254"/>
      <c r="AQ117" s="175">
        <f>SUM(AQ112:AQ116)</f>
        <v>2989970.7</v>
      </c>
      <c r="AR117" s="175">
        <f>SUM(AR112:AR116)</f>
        <v>1000704</v>
      </c>
      <c r="AS117" s="175">
        <f>SUM(AS112:AS116)</f>
        <v>0</v>
      </c>
      <c r="AT117" s="175">
        <f>SUM(AT112:AT116)</f>
        <v>3990674.7</v>
      </c>
      <c r="AU117" s="175">
        <f t="shared" ref="AU117:BB117" si="75">SUM(AU112:AU116)</f>
        <v>3420675</v>
      </c>
      <c r="AV117" s="175">
        <f t="shared" si="75"/>
        <v>0</v>
      </c>
      <c r="AW117" s="175">
        <f t="shared" si="75"/>
        <v>0</v>
      </c>
      <c r="AX117" s="175">
        <f t="shared" si="75"/>
        <v>0</v>
      </c>
      <c r="AY117" s="175">
        <f t="shared" si="75"/>
        <v>0</v>
      </c>
      <c r="AZ117" s="175">
        <f t="shared" si="75"/>
        <v>0</v>
      </c>
      <c r="BA117" s="175">
        <f t="shared" si="75"/>
        <v>0</v>
      </c>
      <c r="BB117" s="175">
        <f t="shared" si="75"/>
        <v>-569999.69999999995</v>
      </c>
      <c r="BC117" s="169"/>
      <c r="BD117" s="169"/>
      <c r="BE117" s="169"/>
      <c r="BF117" s="169"/>
    </row>
    <row r="118" spans="1:58" s="184" customFormat="1" ht="15.75" customHeight="1" x14ac:dyDescent="0.25">
      <c r="A118" s="143"/>
      <c r="B118" s="290"/>
      <c r="C118" s="391" t="s">
        <v>282</v>
      </c>
      <c r="D118" s="391"/>
      <c r="E118" s="392"/>
      <c r="F118" s="291"/>
      <c r="G118" s="291"/>
      <c r="H118" s="144" t="s">
        <v>266</v>
      </c>
      <c r="I118" s="257"/>
      <c r="J118" s="257"/>
      <c r="K118" s="257"/>
      <c r="L118" s="258">
        <f>SUM(L122)</f>
        <v>2520000</v>
      </c>
      <c r="M118" s="258">
        <f>SUM(M122)</f>
        <v>420840</v>
      </c>
      <c r="N118" s="257"/>
      <c r="O118" s="257"/>
      <c r="P118" s="257"/>
      <c r="Q118" s="257"/>
      <c r="R118" s="258">
        <f>SUM(R122)</f>
        <v>0</v>
      </c>
      <c r="S118" s="258">
        <f>SUM(S122)</f>
        <v>0</v>
      </c>
      <c r="T118" s="258">
        <f>SUM(T122)</f>
        <v>0</v>
      </c>
      <c r="U118" s="258">
        <f>SUM(U122)</f>
        <v>0</v>
      </c>
      <c r="V118" s="257"/>
      <c r="W118" s="257"/>
      <c r="X118" s="257"/>
      <c r="Y118" s="258">
        <f>SUM(Y122)</f>
        <v>0</v>
      </c>
      <c r="Z118" s="258"/>
      <c r="AA118" s="258"/>
      <c r="AB118" s="258">
        <f>SUM(AB122)</f>
        <v>1425000</v>
      </c>
      <c r="AC118" s="258">
        <f>SUM(AC122)</f>
        <v>735210</v>
      </c>
      <c r="AD118" s="258">
        <f>SUM(AD122)</f>
        <v>0</v>
      </c>
      <c r="AE118" s="258">
        <f>SUM(AE122)</f>
        <v>432042</v>
      </c>
      <c r="AF118" s="258">
        <f>SUM(AF122)</f>
        <v>2592252</v>
      </c>
      <c r="AG118" s="257"/>
      <c r="AH118" s="257"/>
      <c r="AI118" s="257"/>
      <c r="AJ118" s="258">
        <f>SUM(AJ122)</f>
        <v>0</v>
      </c>
      <c r="AK118" s="258">
        <f>SUM(AK122)</f>
        <v>0</v>
      </c>
      <c r="AL118" s="258">
        <f>SUM(AL122)</f>
        <v>0</v>
      </c>
      <c r="AM118" s="258">
        <f>SUM(AM122)</f>
        <v>0</v>
      </c>
      <c r="AN118" s="258">
        <f>SUM(AN122)</f>
        <v>0</v>
      </c>
      <c r="AO118" s="259"/>
      <c r="AP118" s="260"/>
      <c r="AQ118" s="261">
        <f>SUM(AQ122)</f>
        <v>2940840</v>
      </c>
      <c r="AR118" s="261">
        <f>SUM(AR122)</f>
        <v>2592252</v>
      </c>
      <c r="AS118" s="261">
        <f>SUM(AS122)</f>
        <v>0</v>
      </c>
      <c r="AT118" s="261">
        <f>SUM(AT122)</f>
        <v>5533092</v>
      </c>
      <c r="AU118" s="261">
        <f t="shared" ref="AU118:BA118" si="76">SUM(AU122)</f>
        <v>3538092</v>
      </c>
      <c r="AV118" s="261">
        <f t="shared" si="76"/>
        <v>0</v>
      </c>
      <c r="AW118" s="261">
        <f t="shared" si="76"/>
        <v>0</v>
      </c>
      <c r="AX118" s="261">
        <f t="shared" si="76"/>
        <v>0</v>
      </c>
      <c r="AY118" s="261">
        <f t="shared" si="76"/>
        <v>0</v>
      </c>
      <c r="AZ118" s="261">
        <f t="shared" si="76"/>
        <v>0</v>
      </c>
      <c r="BA118" s="261">
        <f t="shared" si="76"/>
        <v>0</v>
      </c>
      <c r="BB118" s="261">
        <f>SUM(BB122)</f>
        <v>-1995000</v>
      </c>
    </row>
    <row r="119" spans="1:58" ht="94.5" outlineLevel="2" x14ac:dyDescent="0.25">
      <c r="A119" s="115"/>
      <c r="B119" s="200"/>
      <c r="C119" s="201"/>
      <c r="D119" s="348"/>
      <c r="E119" s="321"/>
      <c r="F119" s="306"/>
      <c r="G119" s="307"/>
      <c r="H119" s="199" t="s">
        <v>443</v>
      </c>
      <c r="I119" s="130"/>
      <c r="J119" s="126"/>
      <c r="K119" s="126"/>
      <c r="L119" s="125" t="str">
        <f>IF(I119&lt;&gt;0,((VLOOKUP(I119,'1. Standard_Cost'!$B$4:$D$11,2)+VLOOKUP(I119,'1. Standard_Cost'!$B$4:$D$11,3))*J119*K119),"0")</f>
        <v>0</v>
      </c>
      <c r="M119" s="125">
        <f>L119*'1. Standard_Cost'!$F$4</f>
        <v>0</v>
      </c>
      <c r="N119" s="126"/>
      <c r="O119" s="126"/>
      <c r="P119" s="126"/>
      <c r="Q119" s="126"/>
      <c r="R119" s="127">
        <f>'1. Standard_Cost'!$B$15*N119*P119</f>
        <v>0</v>
      </c>
      <c r="S119" s="127">
        <f>N119*O119*P119*'1. Standard_Cost'!$C$15</f>
        <v>0</v>
      </c>
      <c r="T119" s="127">
        <f>N119*P119*Q119*'1. Standard_Cost'!$D$15</f>
        <v>0</v>
      </c>
      <c r="U119" s="127">
        <f>N119*O119*'1. Standard_Cost'!$E$15</f>
        <v>0</v>
      </c>
      <c r="V119" s="126"/>
      <c r="W119" s="126"/>
      <c r="X119" s="126"/>
      <c r="Y119" s="127">
        <f>+V119*((X119*'1. Standard_Cost'!$B$19)+(W119*X119*'1. Standard_Cost'!$C$19))</f>
        <v>0</v>
      </c>
      <c r="Z119" s="126"/>
      <c r="AA119" s="126"/>
      <c r="AB119" s="127">
        <f>+Z119*'1. Standard_Cost'!$B$23+AA119*'1. Standard_Cost'!$C$23</f>
        <v>0</v>
      </c>
      <c r="AC119" s="128"/>
      <c r="AD119" s="129"/>
      <c r="AE119" s="127">
        <f>SUM(AD119,AC119,AB119,Y119,U119,T119,S119,R119)*'1. Standard_Cost'!$B$31</f>
        <v>0</v>
      </c>
      <c r="AF119" s="127">
        <f>SUM(AE119,AD119,AC119,AB119,Y119,U119,T119,S119,R119)</f>
        <v>0</v>
      </c>
      <c r="AG119" s="126"/>
      <c r="AH119" s="126"/>
      <c r="AI119" s="126"/>
      <c r="AJ119" s="130"/>
      <c r="AK119" s="130"/>
      <c r="AL119" s="130"/>
      <c r="AM119" s="127">
        <f>AG119*'1. Standard_Cost'!$B$27+'Incremental_Cost Year 3'!AH119*'1. Standard_Cost'!$C$27+'Incremental_Cost Year 3'!AI119*'1. Standard_Cost'!$D$27+'Incremental_Cost Year 3'!AJ119+'Incremental_Cost Year 3'!AL119+AK119</f>
        <v>0</v>
      </c>
      <c r="AN119" s="127">
        <f>AM119*'1. Standard_Cost'!$C$31</f>
        <v>0</v>
      </c>
      <c r="AO119" s="130"/>
      <c r="AQ119" s="171">
        <f>L119+M119</f>
        <v>0</v>
      </c>
      <c r="AR119" s="171">
        <f>AF119</f>
        <v>0</v>
      </c>
      <c r="AS119" s="171">
        <f>AM119+AN119</f>
        <v>0</v>
      </c>
      <c r="AT119" s="171">
        <f>SUM(AQ119,AR119,AS119)</f>
        <v>0</v>
      </c>
      <c r="AU119" s="250"/>
      <c r="AV119" s="250"/>
      <c r="AW119" s="250"/>
      <c r="AX119" s="250"/>
      <c r="AY119" s="250"/>
      <c r="AZ119" s="250"/>
      <c r="BA119" s="250"/>
      <c r="BB119" s="251">
        <f t="shared" ref="BB119:BB121" si="77">SUM(AU119:BA119)-AT119</f>
        <v>0</v>
      </c>
      <c r="BC119" s="169"/>
      <c r="BD119" s="169"/>
      <c r="BE119" s="169"/>
      <c r="BF119" s="169"/>
    </row>
    <row r="120" spans="1:58" ht="110.25" outlineLevel="2" x14ac:dyDescent="0.25">
      <c r="A120" s="115"/>
      <c r="B120" s="200"/>
      <c r="C120" s="201"/>
      <c r="D120" s="132"/>
      <c r="E120" s="323"/>
      <c r="F120" s="308"/>
      <c r="G120" s="309"/>
      <c r="H120" s="199" t="s">
        <v>444</v>
      </c>
      <c r="I120" s="130" t="s">
        <v>3</v>
      </c>
      <c r="J120" s="126">
        <v>5</v>
      </c>
      <c r="K120" s="126">
        <v>5</v>
      </c>
      <c r="L120" s="125">
        <f>IF(I120&lt;&gt;0,((VLOOKUP(I120,'1. Standard_Cost'!$B$4:$D$11,2)+VLOOKUP(I120,'1. Standard_Cost'!$B$4:$D$11,3))*J120*K120),"0")</f>
        <v>2520000</v>
      </c>
      <c r="M120" s="125">
        <f>L120*'1. Standard_Cost'!$F$4</f>
        <v>420840</v>
      </c>
      <c r="N120" s="126"/>
      <c r="O120" s="126"/>
      <c r="P120" s="126"/>
      <c r="Q120" s="126"/>
      <c r="R120" s="127">
        <f>'1. Standard_Cost'!$B$15*N120*P120</f>
        <v>0</v>
      </c>
      <c r="S120" s="127">
        <f>N120*O120*P120*'1. Standard_Cost'!$C$15</f>
        <v>0</v>
      </c>
      <c r="T120" s="127">
        <f>N120*P120*Q120*'1. Standard_Cost'!$D$15</f>
        <v>0</v>
      </c>
      <c r="U120" s="127">
        <f>N120*O120*'1. Standard_Cost'!$E$15</f>
        <v>0</v>
      </c>
      <c r="V120" s="126"/>
      <c r="W120" s="126"/>
      <c r="X120" s="126"/>
      <c r="Y120" s="127">
        <f>+V120*((X120*'1. Standard_Cost'!$B$19)+(W120*X120*'1. Standard_Cost'!$C$19))</f>
        <v>0</v>
      </c>
      <c r="Z120" s="126"/>
      <c r="AA120" s="126">
        <v>75</v>
      </c>
      <c r="AB120" s="127">
        <f>+Z120*'1. Standard_Cost'!$B$23+AA120*'1. Standard_Cost'!$C$23</f>
        <v>1425000</v>
      </c>
      <c r="AC120" s="128">
        <v>735210</v>
      </c>
      <c r="AD120" s="129"/>
      <c r="AE120" s="127">
        <f>SUM(AD120,AC120,AB120,Y120,U120,T120,S120,R120)*'1. Standard_Cost'!$B$31</f>
        <v>432042</v>
      </c>
      <c r="AF120" s="127">
        <f>SUM(AE120,AD120,AC120,AB120,Y120,U120,T120,S120,R120)</f>
        <v>2592252</v>
      </c>
      <c r="AG120" s="126"/>
      <c r="AH120" s="126"/>
      <c r="AI120" s="126"/>
      <c r="AJ120" s="130"/>
      <c r="AK120" s="130"/>
      <c r="AL120" s="130"/>
      <c r="AM120" s="127">
        <f>AG120*'1. Standard_Cost'!$B$27+'Incremental_Cost Year 3'!AH120*'1. Standard_Cost'!$C$27+'Incremental_Cost Year 3'!AI120*'1. Standard_Cost'!$D$27+'Incremental_Cost Year 3'!AJ120+'Incremental_Cost Year 3'!AL120+AK120</f>
        <v>0</v>
      </c>
      <c r="AN120" s="127">
        <f>AM120*'1. Standard_Cost'!$C$31</f>
        <v>0</v>
      </c>
      <c r="AO120" s="130"/>
      <c r="AQ120" s="171">
        <f>L120+M120</f>
        <v>2940840</v>
      </c>
      <c r="AR120" s="171">
        <f>AF120</f>
        <v>2592252</v>
      </c>
      <c r="AS120" s="171">
        <f>AM120+AN120</f>
        <v>0</v>
      </c>
      <c r="AT120" s="171">
        <f>SUM(AQ120,AR120,AS120)</f>
        <v>5533092</v>
      </c>
      <c r="AU120" s="250">
        <v>3538092</v>
      </c>
      <c r="AV120" s="250"/>
      <c r="AW120" s="250"/>
      <c r="AX120" s="250"/>
      <c r="AY120" s="250"/>
      <c r="AZ120" s="250"/>
      <c r="BA120" s="250"/>
      <c r="BB120" s="251">
        <f t="shared" si="77"/>
        <v>-1995000</v>
      </c>
      <c r="BC120" s="169"/>
      <c r="BD120" s="169"/>
      <c r="BE120" s="169"/>
      <c r="BF120" s="169"/>
    </row>
    <row r="121" spans="1:58" ht="110.25" outlineLevel="2" x14ac:dyDescent="0.25">
      <c r="A121" s="115"/>
      <c r="B121" s="200"/>
      <c r="C121" s="201"/>
      <c r="D121" s="349"/>
      <c r="E121" s="322"/>
      <c r="F121" s="311"/>
      <c r="G121" s="312"/>
      <c r="H121" s="199" t="s">
        <v>445</v>
      </c>
      <c r="I121" s="130"/>
      <c r="J121" s="126"/>
      <c r="K121" s="126"/>
      <c r="L121" s="125" t="str">
        <f>IF(I121&lt;&gt;0,((VLOOKUP(I121,'1. Standard_Cost'!$B$4:$D$11,2)+VLOOKUP(I121,'1. Standard_Cost'!$B$4:$D$11,3))*J121*K121),"0")</f>
        <v>0</v>
      </c>
      <c r="M121" s="125">
        <f>L121*'1. Standard_Cost'!$F$4</f>
        <v>0</v>
      </c>
      <c r="N121" s="126"/>
      <c r="O121" s="126"/>
      <c r="P121" s="126"/>
      <c r="Q121" s="126"/>
      <c r="R121" s="127">
        <f>'1. Standard_Cost'!$B$15*N121*P121</f>
        <v>0</v>
      </c>
      <c r="S121" s="127">
        <f>N121*O121*P121*'1. Standard_Cost'!$C$15</f>
        <v>0</v>
      </c>
      <c r="T121" s="127">
        <f>N121*P121*Q121*'1. Standard_Cost'!$D$15</f>
        <v>0</v>
      </c>
      <c r="U121" s="127">
        <f>N121*O121*'1. Standard_Cost'!$E$15</f>
        <v>0</v>
      </c>
      <c r="V121" s="126"/>
      <c r="W121" s="126"/>
      <c r="X121" s="126"/>
      <c r="Y121" s="127">
        <f>+V121*((X121*'1. Standard_Cost'!$B$19)+(W121*X121*'1. Standard_Cost'!$C$19))</f>
        <v>0</v>
      </c>
      <c r="Z121" s="126"/>
      <c r="AA121" s="126"/>
      <c r="AB121" s="127">
        <f>+Z121*'1. Standard_Cost'!$B$23+AA121*'1. Standard_Cost'!$C$23</f>
        <v>0</v>
      </c>
      <c r="AC121" s="128"/>
      <c r="AD121" s="129"/>
      <c r="AE121" s="127">
        <f>SUM(AD121,AC121,AB121,Y121,U121,T121,S121,R121)*'1. Standard_Cost'!$B$31</f>
        <v>0</v>
      </c>
      <c r="AF121" s="127">
        <f>SUM(AE121,AD121,AC121,AB121,Y121,U121,T121,S121,R121)</f>
        <v>0</v>
      </c>
      <c r="AG121" s="126"/>
      <c r="AH121" s="126"/>
      <c r="AI121" s="126"/>
      <c r="AJ121" s="130"/>
      <c r="AK121" s="130"/>
      <c r="AL121" s="130"/>
      <c r="AM121" s="127">
        <f>AG121*'1. Standard_Cost'!$B$27+'Incremental_Cost Year 3'!AH121*'1. Standard_Cost'!$C$27+'Incremental_Cost Year 3'!AI121*'1. Standard_Cost'!$D$27+'Incremental_Cost Year 3'!AJ121+'Incremental_Cost Year 3'!AL121+AK121</f>
        <v>0</v>
      </c>
      <c r="AN121" s="127">
        <f>AM121*'1. Standard_Cost'!$C$31</f>
        <v>0</v>
      </c>
      <c r="AO121" s="130"/>
      <c r="AQ121" s="171">
        <f>L121+M121</f>
        <v>0</v>
      </c>
      <c r="AR121" s="171">
        <f>AF121</f>
        <v>0</v>
      </c>
      <c r="AS121" s="171">
        <f>AM121+AN121</f>
        <v>0</v>
      </c>
      <c r="AT121" s="171">
        <f>SUM(AQ121,AR121,AS121)</f>
        <v>0</v>
      </c>
      <c r="AU121" s="250"/>
      <c r="AV121" s="250"/>
      <c r="AW121" s="250"/>
      <c r="AX121" s="250"/>
      <c r="AY121" s="250"/>
      <c r="AZ121" s="250"/>
      <c r="BA121" s="250"/>
      <c r="BB121" s="251">
        <f t="shared" si="77"/>
        <v>0</v>
      </c>
      <c r="BC121" s="169"/>
      <c r="BD121" s="169"/>
      <c r="BE121" s="169"/>
      <c r="BF121" s="169"/>
    </row>
    <row r="122" spans="1:58" ht="63" outlineLevel="1" x14ac:dyDescent="0.25">
      <c r="A122" s="115"/>
      <c r="B122" s="200"/>
      <c r="C122" s="201"/>
      <c r="D122" s="146" t="s">
        <v>432</v>
      </c>
      <c r="E122" s="212" t="s">
        <v>283</v>
      </c>
      <c r="F122" s="136">
        <v>2022</v>
      </c>
      <c r="G122" s="117">
        <v>2025</v>
      </c>
      <c r="H122" s="110" t="s">
        <v>268</v>
      </c>
      <c r="I122" s="252"/>
      <c r="J122" s="252"/>
      <c r="K122" s="252"/>
      <c r="L122" s="127">
        <f>SUM(L119:L121)</f>
        <v>2520000</v>
      </c>
      <c r="M122" s="127">
        <f>SUM(M119:M121)</f>
        <v>420840</v>
      </c>
      <c r="N122" s="127"/>
      <c r="O122" s="252"/>
      <c r="P122" s="252"/>
      <c r="Q122" s="252"/>
      <c r="R122" s="127">
        <f>SUM(R119:R121)</f>
        <v>0</v>
      </c>
      <c r="S122" s="127">
        <f>SUM(S119:S121)</f>
        <v>0</v>
      </c>
      <c r="T122" s="127">
        <f>SUM(T119:T121)</f>
        <v>0</v>
      </c>
      <c r="U122" s="127">
        <f>SUM(U119:U121)</f>
        <v>0</v>
      </c>
      <c r="V122" s="252"/>
      <c r="W122" s="252"/>
      <c r="X122" s="252"/>
      <c r="Y122" s="127">
        <f>SUM(Y119:Y121)</f>
        <v>0</v>
      </c>
      <c r="Z122" s="252"/>
      <c r="AA122" s="252"/>
      <c r="AB122" s="127">
        <f>SUM(AB119:AB121)</f>
        <v>1425000</v>
      </c>
      <c r="AC122" s="127">
        <f>SUM(AC119:AC121)</f>
        <v>735210</v>
      </c>
      <c r="AD122" s="127">
        <f>SUM(AD119:AD121)</f>
        <v>0</v>
      </c>
      <c r="AE122" s="127">
        <f>SUM(AE119:AE121)</f>
        <v>432042</v>
      </c>
      <c r="AF122" s="127">
        <f>SUM(AF119:AF121)</f>
        <v>2592252</v>
      </c>
      <c r="AG122" s="252"/>
      <c r="AH122" s="252"/>
      <c r="AI122" s="252"/>
      <c r="AJ122" s="127">
        <f>SUM(AJ119:AJ121)</f>
        <v>0</v>
      </c>
      <c r="AK122" s="127">
        <f>SUM(AK119:AK121)</f>
        <v>0</v>
      </c>
      <c r="AL122" s="127">
        <f>SUM(AL119:AL121)</f>
        <v>0</v>
      </c>
      <c r="AM122" s="127">
        <f>SUM(AM119:AM121)</f>
        <v>0</v>
      </c>
      <c r="AN122" s="127">
        <f>SUM(AN119:AN121)</f>
        <v>0</v>
      </c>
      <c r="AO122" s="253"/>
      <c r="AP122" s="254"/>
      <c r="AQ122" s="175">
        <f>SUM(AQ119:AQ121)</f>
        <v>2940840</v>
      </c>
      <c r="AR122" s="175">
        <f>SUM(AR119:AR121)</f>
        <v>2592252</v>
      </c>
      <c r="AS122" s="175">
        <f>SUM(AS119:AS121)</f>
        <v>0</v>
      </c>
      <c r="AT122" s="175">
        <f>SUM(AT119:AT121)</f>
        <v>5533092</v>
      </c>
      <c r="AU122" s="175">
        <f t="shared" ref="AU122:BB122" si="78">SUM(AU119:AU121)</f>
        <v>3538092</v>
      </c>
      <c r="AV122" s="175">
        <f t="shared" si="78"/>
        <v>0</v>
      </c>
      <c r="AW122" s="175">
        <f t="shared" si="78"/>
        <v>0</v>
      </c>
      <c r="AX122" s="175">
        <f t="shared" si="78"/>
        <v>0</v>
      </c>
      <c r="AY122" s="175">
        <f t="shared" si="78"/>
        <v>0</v>
      </c>
      <c r="AZ122" s="175">
        <f t="shared" si="78"/>
        <v>0</v>
      </c>
      <c r="BA122" s="175">
        <f t="shared" si="78"/>
        <v>0</v>
      </c>
      <c r="BB122" s="175">
        <f t="shared" si="78"/>
        <v>-1995000</v>
      </c>
      <c r="BC122" s="169"/>
      <c r="BD122" s="169"/>
      <c r="BE122" s="169"/>
      <c r="BF122" s="169"/>
    </row>
    <row r="123" spans="1:58" s="184" customFormat="1" ht="15.75" customHeight="1" x14ac:dyDescent="0.25">
      <c r="A123" s="143"/>
      <c r="B123" s="290"/>
      <c r="C123" s="391" t="s">
        <v>287</v>
      </c>
      <c r="D123" s="391"/>
      <c r="E123" s="392"/>
      <c r="F123" s="291"/>
      <c r="G123" s="289"/>
      <c r="H123" s="144" t="s">
        <v>288</v>
      </c>
      <c r="I123" s="257"/>
      <c r="J123" s="257"/>
      <c r="K123" s="257"/>
      <c r="L123" s="258">
        <f>SUM(L133)</f>
        <v>21537857.142857146</v>
      </c>
      <c r="M123" s="258">
        <f>SUM(M133)</f>
        <v>3596822.1428571432</v>
      </c>
      <c r="N123" s="257"/>
      <c r="O123" s="257"/>
      <c r="P123" s="257"/>
      <c r="Q123" s="257"/>
      <c r="R123" s="258">
        <f>SUM(R133)</f>
        <v>0</v>
      </c>
      <c r="S123" s="258">
        <f>SUM(S133)</f>
        <v>0</v>
      </c>
      <c r="T123" s="258">
        <f>SUM(T133)</f>
        <v>0</v>
      </c>
      <c r="U123" s="258">
        <f>SUM(U133)</f>
        <v>0</v>
      </c>
      <c r="V123" s="257"/>
      <c r="W123" s="257"/>
      <c r="X123" s="257"/>
      <c r="Y123" s="258">
        <f>SUM(Y133)</f>
        <v>0</v>
      </c>
      <c r="Z123" s="258"/>
      <c r="AA123" s="258"/>
      <c r="AB123" s="258">
        <f>SUM(AB133)</f>
        <v>0</v>
      </c>
      <c r="AC123" s="258">
        <f>SUM(AC133)</f>
        <v>3167212</v>
      </c>
      <c r="AD123" s="258">
        <f>SUM(AD133)</f>
        <v>0</v>
      </c>
      <c r="AE123" s="258">
        <f>SUM(AE133)</f>
        <v>633442.4</v>
      </c>
      <c r="AF123" s="258">
        <f>SUM(AF133)</f>
        <v>3800654.4</v>
      </c>
      <c r="AG123" s="257"/>
      <c r="AH123" s="257"/>
      <c r="AI123" s="257"/>
      <c r="AJ123" s="258">
        <f>SUM(AJ133)</f>
        <v>0</v>
      </c>
      <c r="AK123" s="258">
        <f>SUM(AK133)</f>
        <v>0</v>
      </c>
      <c r="AL123" s="258">
        <f>SUM(AL133)</f>
        <v>0</v>
      </c>
      <c r="AM123" s="258">
        <f>SUM(AM133)</f>
        <v>0</v>
      </c>
      <c r="AN123" s="258">
        <f>SUM(AN133)</f>
        <v>0</v>
      </c>
      <c r="AO123" s="259"/>
      <c r="AP123" s="260"/>
      <c r="AQ123" s="261">
        <f>SUM(AQ133)</f>
        <v>25134679.285714284</v>
      </c>
      <c r="AR123" s="261">
        <f>SUM(AR133)</f>
        <v>3800654.4</v>
      </c>
      <c r="AS123" s="261">
        <f>SUM(AS133)</f>
        <v>0</v>
      </c>
      <c r="AT123" s="261">
        <f>SUM(AT133)</f>
        <v>28935333.68571429</v>
      </c>
      <c r="AU123" s="261">
        <f t="shared" ref="AU123:BB123" si="79">SUM(AU133)</f>
        <v>28935334</v>
      </c>
      <c r="AV123" s="261">
        <f t="shared" si="79"/>
        <v>0</v>
      </c>
      <c r="AW123" s="261">
        <f t="shared" si="79"/>
        <v>0</v>
      </c>
      <c r="AX123" s="261">
        <f t="shared" si="79"/>
        <v>0</v>
      </c>
      <c r="AY123" s="261">
        <f t="shared" si="79"/>
        <v>0</v>
      </c>
      <c r="AZ123" s="261">
        <f t="shared" si="79"/>
        <v>0</v>
      </c>
      <c r="BA123" s="261">
        <f t="shared" si="79"/>
        <v>0</v>
      </c>
      <c r="BB123" s="261">
        <f t="shared" si="79"/>
        <v>0.31428571417927742</v>
      </c>
    </row>
    <row r="124" spans="1:58" ht="78.75" outlineLevel="2" x14ac:dyDescent="0.25">
      <c r="A124" s="115"/>
      <c r="B124" s="200"/>
      <c r="C124" s="201"/>
      <c r="D124" s="346"/>
      <c r="E124" s="321"/>
      <c r="F124" s="306"/>
      <c r="G124" s="307"/>
      <c r="H124" s="199" t="s">
        <v>549</v>
      </c>
      <c r="I124" s="130"/>
      <c r="J124" s="126"/>
      <c r="K124" s="126"/>
      <c r="L124" s="125" t="str">
        <f>IF(I124&lt;&gt;0,((VLOOKUP(I124,'1. Standard_Cost'!$B$4:$D$11,2)+VLOOKUP(I124,'1. Standard_Cost'!$B$4:$D$11,3))*J124*K124),"0")</f>
        <v>0</v>
      </c>
      <c r="M124" s="125">
        <f>L124*'1. Standard_Cost'!$F$4</f>
        <v>0</v>
      </c>
      <c r="N124" s="126"/>
      <c r="O124" s="126"/>
      <c r="P124" s="126"/>
      <c r="Q124" s="126"/>
      <c r="R124" s="127">
        <f>'1. Standard_Cost'!$B$15*N124*P124</f>
        <v>0</v>
      </c>
      <c r="S124" s="127">
        <f>N124*O124*P124*'1. Standard_Cost'!$C$15</f>
        <v>0</v>
      </c>
      <c r="T124" s="127">
        <f>N124*P124*Q124*'1. Standard_Cost'!$D$15</f>
        <v>0</v>
      </c>
      <c r="U124" s="127">
        <f>N124*O124*'1. Standard_Cost'!$E$15</f>
        <v>0</v>
      </c>
      <c r="V124" s="126"/>
      <c r="W124" s="126"/>
      <c r="X124" s="126"/>
      <c r="Y124" s="127">
        <f>+V124*((X124*'1. Standard_Cost'!$B$19)+(W124*X124*'1. Standard_Cost'!$C$19))</f>
        <v>0</v>
      </c>
      <c r="Z124" s="126"/>
      <c r="AA124" s="126"/>
      <c r="AB124" s="127">
        <f>+Z124*'1. Standard_Cost'!$B$23+AA124*'1. Standard_Cost'!$C$23</f>
        <v>0</v>
      </c>
      <c r="AC124" s="128"/>
      <c r="AD124" s="129"/>
      <c r="AE124" s="127">
        <f>SUM(AD124,AC124,AB124,Y124,U124,T124,S124,R124)*'1. Standard_Cost'!$B$31</f>
        <v>0</v>
      </c>
      <c r="AF124" s="127">
        <f t="shared" ref="AF124:AF132" si="80">SUM(AE124,AD124,AC124,AB124,Y124,U124,T124,S124,R124)</f>
        <v>0</v>
      </c>
      <c r="AG124" s="126"/>
      <c r="AH124" s="126"/>
      <c r="AI124" s="126"/>
      <c r="AJ124" s="130"/>
      <c r="AK124" s="130"/>
      <c r="AL124" s="130"/>
      <c r="AM124" s="127">
        <f>AG124*'1. Standard_Cost'!$B$27+'Incremental_Cost Year 3'!AH124*'1. Standard_Cost'!$C$27+'Incremental_Cost Year 3'!AI124*'1. Standard_Cost'!$D$27+'Incremental_Cost Year 3'!AJ124+'Incremental_Cost Year 3'!AL124+AK124</f>
        <v>0</v>
      </c>
      <c r="AN124" s="127">
        <f>AM124*'1. Standard_Cost'!$C$31</f>
        <v>0</v>
      </c>
      <c r="AO124" s="130"/>
      <c r="AQ124" s="171">
        <f t="shared" ref="AQ124:AQ132" si="81">L124+M124</f>
        <v>0</v>
      </c>
      <c r="AR124" s="171">
        <f t="shared" ref="AR124:AR132" si="82">AF124</f>
        <v>0</v>
      </c>
      <c r="AS124" s="171">
        <f t="shared" ref="AS124:AS132" si="83">AM124+AN124</f>
        <v>0</v>
      </c>
      <c r="AT124" s="171">
        <f t="shared" ref="AT124:AT132" si="84">SUM(AQ124,AR124,AS124)</f>
        <v>0</v>
      </c>
      <c r="AU124" s="250"/>
      <c r="AV124" s="250"/>
      <c r="AW124" s="250"/>
      <c r="AX124" s="250"/>
      <c r="AY124" s="250"/>
      <c r="AZ124" s="250"/>
      <c r="BA124" s="250"/>
      <c r="BB124" s="251">
        <f t="shared" ref="BB124:BB132" si="85">SUM(AU124:BA124)-AT124</f>
        <v>0</v>
      </c>
      <c r="BC124" s="169"/>
      <c r="BD124" s="169"/>
      <c r="BE124" s="169"/>
      <c r="BF124" s="169"/>
    </row>
    <row r="125" spans="1:58" ht="47.25" outlineLevel="2" x14ac:dyDescent="0.25">
      <c r="A125" s="115"/>
      <c r="B125" s="200"/>
      <c r="C125" s="201"/>
      <c r="D125" s="131"/>
      <c r="E125" s="323"/>
      <c r="F125" s="308"/>
      <c r="G125" s="309"/>
      <c r="H125" s="199" t="s">
        <v>446</v>
      </c>
      <c r="I125" s="130" t="s">
        <v>1</v>
      </c>
      <c r="J125" s="126">
        <v>12</v>
      </c>
      <c r="K125" s="126">
        <v>12</v>
      </c>
      <c r="L125" s="125">
        <f>IF(I125&lt;&gt;0,((VLOOKUP(I125,'1. Standard_Cost'!$B$4:$D$11,2)+VLOOKUP(I125,'1. Standard_Cost'!$B$4:$D$11,3))*J125*K125),"0")</f>
        <v>10338171.428571429</v>
      </c>
      <c r="M125" s="125">
        <f>L125*'1. Standard_Cost'!$F$4</f>
        <v>1726474.6285714288</v>
      </c>
      <c r="N125" s="126"/>
      <c r="O125" s="126"/>
      <c r="P125" s="126"/>
      <c r="Q125" s="126"/>
      <c r="R125" s="127">
        <f>'1. Standard_Cost'!$B$15*N125*P125</f>
        <v>0</v>
      </c>
      <c r="S125" s="127">
        <f>N125*O125*P125*'1. Standard_Cost'!$C$15</f>
        <v>0</v>
      </c>
      <c r="T125" s="127">
        <f>N125*P125*Q125*'1. Standard_Cost'!$D$15</f>
        <v>0</v>
      </c>
      <c r="U125" s="127">
        <f>N125*O125*'1. Standard_Cost'!$E$15</f>
        <v>0</v>
      </c>
      <c r="V125" s="126"/>
      <c r="W125" s="126"/>
      <c r="X125" s="126"/>
      <c r="Y125" s="127">
        <f>+V125*((X125*'1. Standard_Cost'!$B$19)+(W125*X125*'1. Standard_Cost'!$C$19))</f>
        <v>0</v>
      </c>
      <c r="Z125" s="126"/>
      <c r="AA125" s="126"/>
      <c r="AB125" s="127">
        <f>+Z125*'1. Standard_Cost'!$B$23+AA125*'1. Standard_Cost'!$C$23</f>
        <v>0</v>
      </c>
      <c r="AC125" s="128">
        <v>1448000</v>
      </c>
      <c r="AD125" s="129"/>
      <c r="AE125" s="127">
        <f>SUM(AD125,AC125,AB125,Y125,U125,T125,S125,R125)*'1. Standard_Cost'!$B$31</f>
        <v>289600</v>
      </c>
      <c r="AF125" s="127">
        <f t="shared" si="80"/>
        <v>1737600</v>
      </c>
      <c r="AG125" s="126"/>
      <c r="AH125" s="126"/>
      <c r="AI125" s="126"/>
      <c r="AJ125" s="130"/>
      <c r="AK125" s="130"/>
      <c r="AL125" s="130"/>
      <c r="AM125" s="127">
        <f>AG125*'1. Standard_Cost'!$B$27+'Incremental_Cost Year 3'!AH125*'1. Standard_Cost'!$C$27+'Incremental_Cost Year 3'!AI125*'1. Standard_Cost'!$D$27+'Incremental_Cost Year 3'!AJ125+'Incremental_Cost Year 3'!AL125+AK125</f>
        <v>0</v>
      </c>
      <c r="AN125" s="127">
        <f>AM125*'1. Standard_Cost'!$C$31</f>
        <v>0</v>
      </c>
      <c r="AO125" s="130"/>
      <c r="AQ125" s="171">
        <f t="shared" si="81"/>
        <v>12064646.057142857</v>
      </c>
      <c r="AR125" s="171">
        <f t="shared" si="82"/>
        <v>1737600</v>
      </c>
      <c r="AS125" s="171">
        <f t="shared" si="83"/>
        <v>0</v>
      </c>
      <c r="AT125" s="171">
        <f t="shared" si="84"/>
        <v>13802246.057142857</v>
      </c>
      <c r="AU125" s="250">
        <v>13802246</v>
      </c>
      <c r="AV125" s="250"/>
      <c r="AW125" s="250"/>
      <c r="AX125" s="250"/>
      <c r="AY125" s="250"/>
      <c r="AZ125" s="250"/>
      <c r="BA125" s="250"/>
      <c r="BB125" s="251">
        <f t="shared" si="85"/>
        <v>-5.714285746216774E-2</v>
      </c>
      <c r="BC125" s="169"/>
      <c r="BD125" s="169"/>
      <c r="BE125" s="169"/>
      <c r="BF125" s="169"/>
    </row>
    <row r="126" spans="1:58" ht="47.25" outlineLevel="2" x14ac:dyDescent="0.25">
      <c r="A126" s="115"/>
      <c r="B126" s="200"/>
      <c r="C126" s="201"/>
      <c r="D126" s="131"/>
      <c r="E126" s="323"/>
      <c r="F126" s="308"/>
      <c r="G126" s="309"/>
      <c r="H126" s="199" t="s">
        <v>447</v>
      </c>
      <c r="I126" s="130" t="s">
        <v>1</v>
      </c>
      <c r="J126" s="126">
        <v>12</v>
      </c>
      <c r="K126" s="126">
        <v>8</v>
      </c>
      <c r="L126" s="125">
        <f>IF(I126&lt;&gt;0,((VLOOKUP(I126,'1. Standard_Cost'!$B$4:$D$11,2)+VLOOKUP(I126,'1. Standard_Cost'!$B$4:$D$11,3))*J126*K126),"0")</f>
        <v>6892114.2857142854</v>
      </c>
      <c r="M126" s="125">
        <f>L126*'1. Standard_Cost'!$F$4</f>
        <v>1150983.0857142857</v>
      </c>
      <c r="N126" s="126"/>
      <c r="O126" s="126"/>
      <c r="P126" s="126"/>
      <c r="Q126" s="126"/>
      <c r="R126" s="127">
        <f>'1. Standard_Cost'!$B$15*N126*P126</f>
        <v>0</v>
      </c>
      <c r="S126" s="127">
        <f>N126*O126*P126*'1. Standard_Cost'!$C$15</f>
        <v>0</v>
      </c>
      <c r="T126" s="127">
        <f>N126*P126*Q126*'1. Standard_Cost'!$D$15</f>
        <v>0</v>
      </c>
      <c r="U126" s="127">
        <f>N126*O126*'1. Standard_Cost'!$E$15</f>
        <v>0</v>
      </c>
      <c r="V126" s="126"/>
      <c r="W126" s="126"/>
      <c r="X126" s="126"/>
      <c r="Y126" s="127">
        <f>+V126*((X126*'1. Standard_Cost'!$B$19)+(W126*X126*'1. Standard_Cost'!$C$19))</f>
        <v>0</v>
      </c>
      <c r="Z126" s="126"/>
      <c r="AA126" s="126"/>
      <c r="AB126" s="127">
        <f>+Z126*'1. Standard_Cost'!$B$23+AA126*'1. Standard_Cost'!$C$23</f>
        <v>0</v>
      </c>
      <c r="AC126" s="128">
        <v>965172</v>
      </c>
      <c r="AD126" s="129"/>
      <c r="AE126" s="127">
        <f>SUM(AD126,AC126,AB126,Y126,U126,T126,S126,R126)*'1. Standard_Cost'!$B$31</f>
        <v>193034.40000000002</v>
      </c>
      <c r="AF126" s="127">
        <f t="shared" si="80"/>
        <v>1158206.3999999999</v>
      </c>
      <c r="AG126" s="126"/>
      <c r="AH126" s="126"/>
      <c r="AI126" s="126"/>
      <c r="AJ126" s="130"/>
      <c r="AK126" s="130"/>
      <c r="AL126" s="130"/>
      <c r="AM126" s="127">
        <f>AG126*'1. Standard_Cost'!$B$27+'Incremental_Cost Year 3'!AH126*'1. Standard_Cost'!$C$27+'Incremental_Cost Year 3'!AI126*'1. Standard_Cost'!$D$27+'Incremental_Cost Year 3'!AJ126+'Incremental_Cost Year 3'!AL126+AK126</f>
        <v>0</v>
      </c>
      <c r="AN126" s="127">
        <f>AM126*'1. Standard_Cost'!$C$31</f>
        <v>0</v>
      </c>
      <c r="AO126" s="130"/>
      <c r="AQ126" s="171">
        <f t="shared" si="81"/>
        <v>8043097.3714285716</v>
      </c>
      <c r="AR126" s="171">
        <f t="shared" si="82"/>
        <v>1158206.3999999999</v>
      </c>
      <c r="AS126" s="171">
        <f t="shared" si="83"/>
        <v>0</v>
      </c>
      <c r="AT126" s="171">
        <f t="shared" si="84"/>
        <v>9201303.771428572</v>
      </c>
      <c r="AU126" s="250">
        <v>9201304</v>
      </c>
      <c r="AV126" s="250"/>
      <c r="AW126" s="250"/>
      <c r="AX126" s="250"/>
      <c r="AY126" s="250"/>
      <c r="AZ126" s="250"/>
      <c r="BA126" s="250"/>
      <c r="BB126" s="251">
        <f t="shared" si="85"/>
        <v>0.22857142798602581</v>
      </c>
      <c r="BC126" s="169"/>
      <c r="BD126" s="169"/>
      <c r="BE126" s="169"/>
      <c r="BF126" s="169"/>
    </row>
    <row r="127" spans="1:58" ht="47.25" outlineLevel="2" x14ac:dyDescent="0.25">
      <c r="A127" s="115"/>
      <c r="B127" s="200"/>
      <c r="C127" s="201"/>
      <c r="D127" s="131"/>
      <c r="E127" s="323"/>
      <c r="F127" s="308"/>
      <c r="G127" s="309"/>
      <c r="H127" s="199" t="s">
        <v>448</v>
      </c>
      <c r="I127" s="263" t="s">
        <v>1</v>
      </c>
      <c r="J127" s="264">
        <v>12</v>
      </c>
      <c r="K127" s="264">
        <v>5</v>
      </c>
      <c r="L127" s="125">
        <f>IF(I127&lt;&gt;0,((VLOOKUP(I127,'1. Standard_Cost'!$B$4:$D$11,2)+VLOOKUP(I127,'1. Standard_Cost'!$B$4:$D$11,3))*J127*K127),"0")</f>
        <v>4307571.4285714282</v>
      </c>
      <c r="M127" s="125">
        <f>L127*'1. Standard_Cost'!$F$4</f>
        <v>719364.42857142852</v>
      </c>
      <c r="N127" s="126"/>
      <c r="O127" s="126"/>
      <c r="P127" s="126"/>
      <c r="Q127" s="126"/>
      <c r="R127" s="127">
        <f>'1. Standard_Cost'!$B$15*N127*P127</f>
        <v>0</v>
      </c>
      <c r="S127" s="127">
        <f>N127*O127*P127*'1. Standard_Cost'!$C$15</f>
        <v>0</v>
      </c>
      <c r="T127" s="127">
        <f>N127*P127*Q127*'1. Standard_Cost'!$D$15</f>
        <v>0</v>
      </c>
      <c r="U127" s="127">
        <f>N127*O127*'1. Standard_Cost'!$E$15</f>
        <v>0</v>
      </c>
      <c r="V127" s="126"/>
      <c r="W127" s="126"/>
      <c r="X127" s="126"/>
      <c r="Y127" s="127">
        <f>+V127*((X127*'1. Standard_Cost'!$B$19)+(W127*X127*'1. Standard_Cost'!$C$19))</f>
        <v>0</v>
      </c>
      <c r="Z127" s="126"/>
      <c r="AA127" s="126"/>
      <c r="AB127" s="127">
        <f>+Z127*'1. Standard_Cost'!$B$23+AA127*'1. Standard_Cost'!$C$23</f>
        <v>0</v>
      </c>
      <c r="AC127" s="128">
        <v>754040</v>
      </c>
      <c r="AD127" s="129"/>
      <c r="AE127" s="127">
        <f>SUM(AD127,AC127,AB127,Y127,U127,T127,S127,R127)*'1. Standard_Cost'!$B$31</f>
        <v>150808</v>
      </c>
      <c r="AF127" s="127">
        <f t="shared" si="80"/>
        <v>904848</v>
      </c>
      <c r="AG127" s="126"/>
      <c r="AH127" s="126"/>
      <c r="AI127" s="126"/>
      <c r="AJ127" s="130"/>
      <c r="AK127" s="130"/>
      <c r="AL127" s="130"/>
      <c r="AM127" s="127">
        <f>AG127*'1. Standard_Cost'!$B$27+'Incremental_Cost Year 3'!AH127*'1. Standard_Cost'!$C$27+'Incremental_Cost Year 3'!AI127*'1. Standard_Cost'!$D$27+'Incremental_Cost Year 3'!AJ127+'Incremental_Cost Year 3'!AL127+AK127</f>
        <v>0</v>
      </c>
      <c r="AN127" s="127">
        <f>AM127*'1. Standard_Cost'!$C$31</f>
        <v>0</v>
      </c>
      <c r="AO127" s="130"/>
      <c r="AQ127" s="171">
        <f t="shared" si="81"/>
        <v>5026935.8571428563</v>
      </c>
      <c r="AR127" s="171">
        <f t="shared" si="82"/>
        <v>904848</v>
      </c>
      <c r="AS127" s="171">
        <f t="shared" si="83"/>
        <v>0</v>
      </c>
      <c r="AT127" s="171">
        <f t="shared" si="84"/>
        <v>5931783.8571428563</v>
      </c>
      <c r="AU127" s="250">
        <v>5931784</v>
      </c>
      <c r="AV127" s="250"/>
      <c r="AW127" s="250"/>
      <c r="AX127" s="250"/>
      <c r="AY127" s="250"/>
      <c r="AZ127" s="250"/>
      <c r="BA127" s="250"/>
      <c r="BB127" s="251">
        <f t="shared" si="85"/>
        <v>0.14285714365541935</v>
      </c>
      <c r="BC127" s="169"/>
      <c r="BD127" s="169"/>
      <c r="BE127" s="169"/>
      <c r="BF127" s="169"/>
    </row>
    <row r="128" spans="1:58" ht="63" outlineLevel="2" x14ac:dyDescent="0.25">
      <c r="A128" s="115"/>
      <c r="B128" s="200"/>
      <c r="C128" s="201"/>
      <c r="D128" s="131"/>
      <c r="E128" s="323"/>
      <c r="F128" s="326"/>
      <c r="G128" s="309"/>
      <c r="H128" s="199" t="s">
        <v>449</v>
      </c>
      <c r="I128" s="130"/>
      <c r="J128" s="126"/>
      <c r="K128" s="126"/>
      <c r="L128" s="125" t="str">
        <f>IF(I128&lt;&gt;0,((VLOOKUP(I128,'1. Standard_Cost'!$B$4:$D$11,2)+VLOOKUP(I128,'1. Standard_Cost'!$B$4:$D$11,3))*J128*K128),"0")</f>
        <v>0</v>
      </c>
      <c r="M128" s="125">
        <f>L128*'1. Standard_Cost'!$F$4</f>
        <v>0</v>
      </c>
      <c r="N128" s="126"/>
      <c r="O128" s="126"/>
      <c r="P128" s="126"/>
      <c r="Q128" s="126"/>
      <c r="R128" s="127">
        <f>'1. Standard_Cost'!$B$15*N128*P128</f>
        <v>0</v>
      </c>
      <c r="S128" s="127">
        <f>N128*O128*P128*'1. Standard_Cost'!$C$15</f>
        <v>0</v>
      </c>
      <c r="T128" s="127">
        <f>N128*P128*Q128*'1. Standard_Cost'!$D$15</f>
        <v>0</v>
      </c>
      <c r="U128" s="127">
        <f>N128*O128*'1. Standard_Cost'!$E$15</f>
        <v>0</v>
      </c>
      <c r="V128" s="126"/>
      <c r="W128" s="126"/>
      <c r="X128" s="126"/>
      <c r="Y128" s="127">
        <f>+V128*((X128*'1. Standard_Cost'!$B$19)+(W128*X128*'1. Standard_Cost'!$C$19))</f>
        <v>0</v>
      </c>
      <c r="Z128" s="126"/>
      <c r="AA128" s="126"/>
      <c r="AB128" s="127">
        <f>+Z128*'1. Standard_Cost'!$B$23+AA128*'1. Standard_Cost'!$C$23</f>
        <v>0</v>
      </c>
      <c r="AC128" s="128"/>
      <c r="AD128" s="129"/>
      <c r="AE128" s="127">
        <f>SUM(AD128,AC128,AB128,Y128,U128,T128,S128,R128)*'1. Standard_Cost'!$B$31</f>
        <v>0</v>
      </c>
      <c r="AF128" s="127">
        <f t="shared" si="80"/>
        <v>0</v>
      </c>
      <c r="AG128" s="126"/>
      <c r="AH128" s="126"/>
      <c r="AI128" s="126"/>
      <c r="AJ128" s="130"/>
      <c r="AK128" s="130"/>
      <c r="AL128" s="130"/>
      <c r="AM128" s="127">
        <f>AG128*'1. Standard_Cost'!$B$27+'Incremental_Cost Year 3'!AH128*'1. Standard_Cost'!$C$27+'Incremental_Cost Year 3'!AI128*'1. Standard_Cost'!$D$27+'Incremental_Cost Year 3'!AJ128+'Incremental_Cost Year 3'!AL128+AK128</f>
        <v>0</v>
      </c>
      <c r="AN128" s="127">
        <f>AM128*'1. Standard_Cost'!$C$31</f>
        <v>0</v>
      </c>
      <c r="AO128" s="130"/>
      <c r="AQ128" s="171">
        <f t="shared" si="81"/>
        <v>0</v>
      </c>
      <c r="AR128" s="171">
        <f t="shared" si="82"/>
        <v>0</v>
      </c>
      <c r="AS128" s="171">
        <f t="shared" si="83"/>
        <v>0</v>
      </c>
      <c r="AT128" s="171">
        <f t="shared" si="84"/>
        <v>0</v>
      </c>
      <c r="AU128" s="250"/>
      <c r="AV128" s="250"/>
      <c r="AW128" s="250"/>
      <c r="AX128" s="250"/>
      <c r="AY128" s="250"/>
      <c r="AZ128" s="250"/>
      <c r="BA128" s="250"/>
      <c r="BB128" s="251">
        <f t="shared" si="85"/>
        <v>0</v>
      </c>
      <c r="BC128" s="169"/>
      <c r="BD128" s="169"/>
      <c r="BE128" s="169"/>
      <c r="BF128" s="169"/>
    </row>
    <row r="129" spans="1:58" ht="31.5" outlineLevel="2" x14ac:dyDescent="0.25">
      <c r="A129" s="115"/>
      <c r="B129" s="200"/>
      <c r="C129" s="201"/>
      <c r="D129" s="131"/>
      <c r="E129" s="323"/>
      <c r="F129" s="326"/>
      <c r="G129" s="309"/>
      <c r="H129" s="199" t="s">
        <v>284</v>
      </c>
      <c r="I129" s="130"/>
      <c r="J129" s="126"/>
      <c r="K129" s="126"/>
      <c r="L129" s="125" t="str">
        <f>IF(I129&lt;&gt;0,((VLOOKUP(I129,'1. Standard_Cost'!$B$4:$D$11,2)+VLOOKUP(I129,'1. Standard_Cost'!$B$4:$D$11,3))*J129*K129),"0")</f>
        <v>0</v>
      </c>
      <c r="M129" s="125">
        <f>L129*'1. Standard_Cost'!$F$4</f>
        <v>0</v>
      </c>
      <c r="N129" s="126"/>
      <c r="O129" s="126"/>
      <c r="P129" s="126"/>
      <c r="Q129" s="126"/>
      <c r="R129" s="127">
        <f>'1. Standard_Cost'!$B$15*N129*P129</f>
        <v>0</v>
      </c>
      <c r="S129" s="127">
        <f>N129*O129*P129*'1. Standard_Cost'!$C$15</f>
        <v>0</v>
      </c>
      <c r="T129" s="127">
        <f>N129*P129*Q129*'1. Standard_Cost'!$D$15</f>
        <v>0</v>
      </c>
      <c r="U129" s="127">
        <f>N129*O129*'1. Standard_Cost'!$E$15</f>
        <v>0</v>
      </c>
      <c r="V129" s="126"/>
      <c r="W129" s="126"/>
      <c r="X129" s="126"/>
      <c r="Y129" s="127">
        <f>+V129*((X129*'1. Standard_Cost'!$B$19)+(W129*X129*'1. Standard_Cost'!$C$19))</f>
        <v>0</v>
      </c>
      <c r="Z129" s="126"/>
      <c r="AA129" s="126"/>
      <c r="AB129" s="127">
        <f>+Z129*'1. Standard_Cost'!$B$23+AA129*'1. Standard_Cost'!$C$23</f>
        <v>0</v>
      </c>
      <c r="AC129" s="128"/>
      <c r="AD129" s="129"/>
      <c r="AE129" s="127">
        <f>SUM(AD129,AC129,AB129,Y129,U129,T129,S129,R129)*'1. Standard_Cost'!$B$31</f>
        <v>0</v>
      </c>
      <c r="AF129" s="127">
        <f t="shared" si="80"/>
        <v>0</v>
      </c>
      <c r="AG129" s="126"/>
      <c r="AH129" s="126"/>
      <c r="AI129" s="126"/>
      <c r="AJ129" s="130"/>
      <c r="AK129" s="130"/>
      <c r="AL129" s="130"/>
      <c r="AM129" s="127">
        <f>AG129*'1. Standard_Cost'!$B$27+'Incremental_Cost Year 3'!AH129*'1. Standard_Cost'!$C$27+'Incremental_Cost Year 3'!AI129*'1. Standard_Cost'!$D$27+'Incremental_Cost Year 3'!AJ129+'Incremental_Cost Year 3'!AL129+AK129</f>
        <v>0</v>
      </c>
      <c r="AN129" s="127">
        <f>AM129*'1. Standard_Cost'!$C$31</f>
        <v>0</v>
      </c>
      <c r="AO129" s="130"/>
      <c r="AQ129" s="171">
        <f t="shared" si="81"/>
        <v>0</v>
      </c>
      <c r="AR129" s="171">
        <f t="shared" si="82"/>
        <v>0</v>
      </c>
      <c r="AS129" s="171">
        <f t="shared" si="83"/>
        <v>0</v>
      </c>
      <c r="AT129" s="171">
        <f t="shared" si="84"/>
        <v>0</v>
      </c>
      <c r="AU129" s="250"/>
      <c r="AV129" s="250"/>
      <c r="AW129" s="250"/>
      <c r="AX129" s="250"/>
      <c r="AY129" s="250"/>
      <c r="AZ129" s="250"/>
      <c r="BA129" s="250"/>
      <c r="BB129" s="251">
        <f t="shared" si="85"/>
        <v>0</v>
      </c>
      <c r="BC129" s="169"/>
      <c r="BD129" s="169"/>
      <c r="BE129" s="169"/>
      <c r="BF129" s="169"/>
    </row>
    <row r="130" spans="1:58" ht="63" outlineLevel="2" x14ac:dyDescent="0.25">
      <c r="A130" s="115"/>
      <c r="B130" s="200"/>
      <c r="C130" s="201"/>
      <c r="D130" s="131"/>
      <c r="E130" s="323"/>
      <c r="F130" s="326"/>
      <c r="G130" s="309"/>
      <c r="H130" s="199" t="s">
        <v>450</v>
      </c>
      <c r="I130" s="130"/>
      <c r="J130" s="126"/>
      <c r="K130" s="126"/>
      <c r="L130" s="125" t="str">
        <f>IF(I130&lt;&gt;0,((VLOOKUP(I130,'1. Standard_Cost'!$B$4:$D$11,2)+VLOOKUP(I130,'1. Standard_Cost'!$B$4:$D$11,3))*J130*K130),"0")</f>
        <v>0</v>
      </c>
      <c r="M130" s="125">
        <f>L130*'1. Standard_Cost'!$F$4</f>
        <v>0</v>
      </c>
      <c r="N130" s="126"/>
      <c r="O130" s="126"/>
      <c r="P130" s="126"/>
      <c r="Q130" s="126"/>
      <c r="R130" s="127">
        <f>'1. Standard_Cost'!$B$15*N130*P130</f>
        <v>0</v>
      </c>
      <c r="S130" s="127">
        <f>N130*O130*P130*'1. Standard_Cost'!$C$15</f>
        <v>0</v>
      </c>
      <c r="T130" s="127">
        <f>N130*P130*Q130*'1. Standard_Cost'!$D$15</f>
        <v>0</v>
      </c>
      <c r="U130" s="127">
        <f>N130*O130*'1. Standard_Cost'!$E$15</f>
        <v>0</v>
      </c>
      <c r="V130" s="126"/>
      <c r="W130" s="126"/>
      <c r="X130" s="126"/>
      <c r="Y130" s="127">
        <f>+V130*((X130*'1. Standard_Cost'!$B$19)+(W130*X130*'1. Standard_Cost'!$C$19))</f>
        <v>0</v>
      </c>
      <c r="Z130" s="126"/>
      <c r="AA130" s="126"/>
      <c r="AB130" s="127">
        <f>+Z130*'1. Standard_Cost'!$B$23+AA130*'1. Standard_Cost'!$C$23</f>
        <v>0</v>
      </c>
      <c r="AC130" s="128"/>
      <c r="AD130" s="129"/>
      <c r="AE130" s="127">
        <f>SUM(AD130,AC130,AB130,Y130,U130,T130,S130,R130)*'1. Standard_Cost'!$B$31</f>
        <v>0</v>
      </c>
      <c r="AF130" s="127">
        <f t="shared" si="80"/>
        <v>0</v>
      </c>
      <c r="AG130" s="126"/>
      <c r="AH130" s="126"/>
      <c r="AI130" s="126"/>
      <c r="AJ130" s="130"/>
      <c r="AK130" s="130"/>
      <c r="AL130" s="130"/>
      <c r="AM130" s="127">
        <f>AG130*'1. Standard_Cost'!$B$27+'Incremental_Cost Year 3'!AH130*'1. Standard_Cost'!$C$27+'Incremental_Cost Year 3'!AI130*'1. Standard_Cost'!$D$27+'Incremental_Cost Year 3'!AJ130+'Incremental_Cost Year 3'!AL130+AK130</f>
        <v>0</v>
      </c>
      <c r="AN130" s="127">
        <f>AM130*'1. Standard_Cost'!$C$31</f>
        <v>0</v>
      </c>
      <c r="AO130" s="130"/>
      <c r="AQ130" s="171">
        <f t="shared" si="81"/>
        <v>0</v>
      </c>
      <c r="AR130" s="171">
        <f t="shared" si="82"/>
        <v>0</v>
      </c>
      <c r="AS130" s="171">
        <f t="shared" si="83"/>
        <v>0</v>
      </c>
      <c r="AT130" s="171">
        <f t="shared" si="84"/>
        <v>0</v>
      </c>
      <c r="AU130" s="250"/>
      <c r="AV130" s="250"/>
      <c r="AW130" s="250"/>
      <c r="AX130" s="250"/>
      <c r="AY130" s="250"/>
      <c r="AZ130" s="250"/>
      <c r="BA130" s="250"/>
      <c r="BB130" s="251">
        <f t="shared" si="85"/>
        <v>0</v>
      </c>
      <c r="BC130" s="169"/>
      <c r="BD130" s="169"/>
      <c r="BE130" s="169"/>
      <c r="BF130" s="169"/>
    </row>
    <row r="131" spans="1:58" ht="31.5" outlineLevel="2" x14ac:dyDescent="0.25">
      <c r="A131" s="115"/>
      <c r="B131" s="200"/>
      <c r="C131" s="201"/>
      <c r="D131" s="131"/>
      <c r="E131" s="323"/>
      <c r="F131" s="326"/>
      <c r="G131" s="309"/>
      <c r="H131" s="225" t="s">
        <v>285</v>
      </c>
      <c r="I131" s="130"/>
      <c r="J131" s="126"/>
      <c r="K131" s="126"/>
      <c r="L131" s="125" t="str">
        <f>IF(I131&lt;&gt;0,((VLOOKUP(I131,'1. Standard_Cost'!$B$4:$D$11,2)+VLOOKUP(I131,'1. Standard_Cost'!$B$4:$D$11,3))*J131*K131),"0")</f>
        <v>0</v>
      </c>
      <c r="M131" s="125">
        <f>L131*'1. Standard_Cost'!$F$4</f>
        <v>0</v>
      </c>
      <c r="N131" s="126"/>
      <c r="O131" s="126"/>
      <c r="P131" s="126"/>
      <c r="Q131" s="126"/>
      <c r="R131" s="127">
        <f>'1. Standard_Cost'!$B$15*N131*P131</f>
        <v>0</v>
      </c>
      <c r="S131" s="127">
        <f>N131*O131*P131*'1. Standard_Cost'!$C$15</f>
        <v>0</v>
      </c>
      <c r="T131" s="127">
        <f>N131*P131*Q131*'1. Standard_Cost'!$D$15</f>
        <v>0</v>
      </c>
      <c r="U131" s="127">
        <f>N131*O131*'1. Standard_Cost'!$E$15</f>
        <v>0</v>
      </c>
      <c r="V131" s="126"/>
      <c r="W131" s="126"/>
      <c r="X131" s="126"/>
      <c r="Y131" s="127">
        <f>+V131*((X131*'1. Standard_Cost'!$B$19)+(W131*X131*'1. Standard_Cost'!$C$19))</f>
        <v>0</v>
      </c>
      <c r="Z131" s="126"/>
      <c r="AA131" s="126"/>
      <c r="AB131" s="127">
        <f>+Z131*'1. Standard_Cost'!$B$23+AA131*'1. Standard_Cost'!$C$23</f>
        <v>0</v>
      </c>
      <c r="AC131" s="128"/>
      <c r="AD131" s="129"/>
      <c r="AE131" s="127">
        <f>SUM(AD131,AC131,AB131,Y131,U131,T131,S131,R131)*'1. Standard_Cost'!$B$31</f>
        <v>0</v>
      </c>
      <c r="AF131" s="127">
        <f t="shared" si="80"/>
        <v>0</v>
      </c>
      <c r="AG131" s="126"/>
      <c r="AH131" s="126"/>
      <c r="AI131" s="126"/>
      <c r="AJ131" s="130"/>
      <c r="AK131" s="130"/>
      <c r="AL131" s="130"/>
      <c r="AM131" s="127">
        <f>AG131*'1. Standard_Cost'!$B$27+'Incremental_Cost Year 3'!AH131*'1. Standard_Cost'!$C$27+'Incremental_Cost Year 3'!AI131*'1. Standard_Cost'!$D$27+'Incremental_Cost Year 3'!AJ131+'Incremental_Cost Year 3'!AL131+AK131</f>
        <v>0</v>
      </c>
      <c r="AN131" s="127">
        <f>AM131*'1. Standard_Cost'!$C$31</f>
        <v>0</v>
      </c>
      <c r="AO131" s="130"/>
      <c r="AQ131" s="171">
        <f t="shared" si="81"/>
        <v>0</v>
      </c>
      <c r="AR131" s="171">
        <f t="shared" si="82"/>
        <v>0</v>
      </c>
      <c r="AS131" s="171">
        <f t="shared" si="83"/>
        <v>0</v>
      </c>
      <c r="AT131" s="171">
        <f t="shared" si="84"/>
        <v>0</v>
      </c>
      <c r="AU131" s="250"/>
      <c r="AV131" s="250"/>
      <c r="AW131" s="250"/>
      <c r="AX131" s="250"/>
      <c r="AY131" s="250"/>
      <c r="AZ131" s="250"/>
      <c r="BA131" s="250"/>
      <c r="BB131" s="251">
        <f t="shared" si="85"/>
        <v>0</v>
      </c>
      <c r="BC131" s="169"/>
      <c r="BD131" s="169"/>
      <c r="BE131" s="169"/>
      <c r="BF131" s="169"/>
    </row>
    <row r="132" spans="1:58" ht="126" outlineLevel="2" x14ac:dyDescent="0.25">
      <c r="A132" s="115"/>
      <c r="B132" s="147"/>
      <c r="C132" s="314"/>
      <c r="D132" s="305"/>
      <c r="E132" s="322"/>
      <c r="F132" s="324"/>
      <c r="G132" s="312"/>
      <c r="H132" s="225" t="s">
        <v>451</v>
      </c>
      <c r="I132" s="130"/>
      <c r="J132" s="126"/>
      <c r="K132" s="126"/>
      <c r="L132" s="125" t="str">
        <f>IF(I132&lt;&gt;0,((VLOOKUP(I132,'1. Standard_Cost'!$B$4:$D$11,2)+VLOOKUP(I132,'1. Standard_Cost'!$B$4:$D$11,3))*J132*K132),"0")</f>
        <v>0</v>
      </c>
      <c r="M132" s="125">
        <f>L132*'1. Standard_Cost'!$F$4</f>
        <v>0</v>
      </c>
      <c r="N132" s="126"/>
      <c r="O132" s="126"/>
      <c r="P132" s="126"/>
      <c r="Q132" s="126"/>
      <c r="R132" s="127">
        <f>'1. Standard_Cost'!$B$15*N132*P132</f>
        <v>0</v>
      </c>
      <c r="S132" s="127">
        <f>N132*O132*P132*'1. Standard_Cost'!$C$15</f>
        <v>0</v>
      </c>
      <c r="T132" s="127">
        <f>N132*P132*Q132*'1. Standard_Cost'!$D$15</f>
        <v>0</v>
      </c>
      <c r="U132" s="127">
        <f>N132*O132*'1. Standard_Cost'!$E$15</f>
        <v>0</v>
      </c>
      <c r="V132" s="126"/>
      <c r="W132" s="126"/>
      <c r="X132" s="126"/>
      <c r="Y132" s="127">
        <f>+V132*((X132*'1. Standard_Cost'!$B$19)+(W132*X132*'1. Standard_Cost'!$C$19))</f>
        <v>0</v>
      </c>
      <c r="Z132" s="126"/>
      <c r="AA132" s="126"/>
      <c r="AB132" s="127">
        <f>+Z132*'1. Standard_Cost'!$B$23+AA132*'1. Standard_Cost'!$C$23</f>
        <v>0</v>
      </c>
      <c r="AC132" s="128"/>
      <c r="AD132" s="129"/>
      <c r="AE132" s="127">
        <f>SUM(AD132,AC132,AB132,Y132,U132,T132,S132,R132)*'1. Standard_Cost'!$B$31</f>
        <v>0</v>
      </c>
      <c r="AF132" s="127">
        <f t="shared" si="80"/>
        <v>0</v>
      </c>
      <c r="AG132" s="126"/>
      <c r="AH132" s="126"/>
      <c r="AI132" s="126"/>
      <c r="AJ132" s="130"/>
      <c r="AK132" s="130"/>
      <c r="AL132" s="130"/>
      <c r="AM132" s="127">
        <f>AG132*'1. Standard_Cost'!$B$27+'Incremental_Cost Year 3'!AH132*'1. Standard_Cost'!$C$27+'Incremental_Cost Year 3'!AI132*'1. Standard_Cost'!$D$27+'Incremental_Cost Year 3'!AJ132+'Incremental_Cost Year 3'!AL132+AK132</f>
        <v>0</v>
      </c>
      <c r="AN132" s="127">
        <f>AM132*'1. Standard_Cost'!$C$31</f>
        <v>0</v>
      </c>
      <c r="AO132" s="130"/>
      <c r="AQ132" s="171">
        <f t="shared" si="81"/>
        <v>0</v>
      </c>
      <c r="AR132" s="171">
        <f t="shared" si="82"/>
        <v>0</v>
      </c>
      <c r="AS132" s="171">
        <f t="shared" si="83"/>
        <v>0</v>
      </c>
      <c r="AT132" s="171">
        <f t="shared" si="84"/>
        <v>0</v>
      </c>
      <c r="AU132" s="250"/>
      <c r="AV132" s="250"/>
      <c r="AW132" s="250"/>
      <c r="AX132" s="250"/>
      <c r="AY132" s="250"/>
      <c r="AZ132" s="250"/>
      <c r="BA132" s="250"/>
      <c r="BB132" s="251">
        <f t="shared" si="85"/>
        <v>0</v>
      </c>
      <c r="BC132" s="169"/>
      <c r="BD132" s="169"/>
      <c r="BE132" s="169"/>
      <c r="BF132" s="169"/>
    </row>
    <row r="133" spans="1:58" ht="110.25" outlineLevel="1" x14ac:dyDescent="0.25">
      <c r="A133" s="115"/>
      <c r="B133" s="200"/>
      <c r="C133" s="201"/>
      <c r="D133" s="146" t="s">
        <v>561</v>
      </c>
      <c r="E133" s="310" t="s">
        <v>452</v>
      </c>
      <c r="F133" s="121">
        <v>2021</v>
      </c>
      <c r="G133" s="223">
        <v>2030</v>
      </c>
      <c r="H133" s="110" t="s">
        <v>286</v>
      </c>
      <c r="I133" s="252"/>
      <c r="J133" s="252"/>
      <c r="K133" s="252"/>
      <c r="L133" s="127">
        <f>SUM(L124:L132)</f>
        <v>21537857.142857146</v>
      </c>
      <c r="M133" s="127">
        <f>SUM(M124:M132)</f>
        <v>3596822.1428571432</v>
      </c>
      <c r="N133" s="127"/>
      <c r="O133" s="252"/>
      <c r="P133" s="252"/>
      <c r="Q133" s="252"/>
      <c r="R133" s="127">
        <f>SUM(R124:R132)</f>
        <v>0</v>
      </c>
      <c r="S133" s="127">
        <f>SUM(S124:S132)</f>
        <v>0</v>
      </c>
      <c r="T133" s="127">
        <f>SUM(T124:T132)</f>
        <v>0</v>
      </c>
      <c r="U133" s="127">
        <f>SUM(U124:U132)</f>
        <v>0</v>
      </c>
      <c r="V133" s="252"/>
      <c r="W133" s="252"/>
      <c r="X133" s="252"/>
      <c r="Y133" s="127">
        <f>SUM(Y124:Y132)</f>
        <v>0</v>
      </c>
      <c r="Z133" s="252"/>
      <c r="AA133" s="252"/>
      <c r="AB133" s="127">
        <f>SUM(AB124:AB132)</f>
        <v>0</v>
      </c>
      <c r="AC133" s="127">
        <f>SUM(AC124:AC132)</f>
        <v>3167212</v>
      </c>
      <c r="AD133" s="127">
        <f>SUM(AD124:AD132)</f>
        <v>0</v>
      </c>
      <c r="AE133" s="127">
        <f>SUM(AE124:AE132)</f>
        <v>633442.4</v>
      </c>
      <c r="AF133" s="127">
        <f>SUM(AF124:AF132)</f>
        <v>3800654.4</v>
      </c>
      <c r="AG133" s="252"/>
      <c r="AH133" s="252"/>
      <c r="AI133" s="252"/>
      <c r="AJ133" s="127">
        <f>SUM(AJ124:AJ132)</f>
        <v>0</v>
      </c>
      <c r="AK133" s="127">
        <f>SUM(AK124:AK132)</f>
        <v>0</v>
      </c>
      <c r="AL133" s="127">
        <f>SUM(AL124:AL132)</f>
        <v>0</v>
      </c>
      <c r="AM133" s="127">
        <f>SUM(AM124:AM132)</f>
        <v>0</v>
      </c>
      <c r="AN133" s="127">
        <f>SUM(AN124:AN132)</f>
        <v>0</v>
      </c>
      <c r="AO133" s="253"/>
      <c r="AP133" s="254"/>
      <c r="AQ133" s="175">
        <f>SUM(AQ124:AQ132)</f>
        <v>25134679.285714284</v>
      </c>
      <c r="AR133" s="175">
        <f>SUM(AR124:AR132)</f>
        <v>3800654.4</v>
      </c>
      <c r="AS133" s="175">
        <f>SUM(AS124:AS132)</f>
        <v>0</v>
      </c>
      <c r="AT133" s="175">
        <f>SUM(AT124:AT132)</f>
        <v>28935333.68571429</v>
      </c>
      <c r="AU133" s="175">
        <f t="shared" ref="AU133:BB133" si="86">SUM(AU124:AU132)</f>
        <v>28935334</v>
      </c>
      <c r="AV133" s="175">
        <f t="shared" si="86"/>
        <v>0</v>
      </c>
      <c r="AW133" s="175">
        <f t="shared" si="86"/>
        <v>0</v>
      </c>
      <c r="AX133" s="175">
        <f t="shared" si="86"/>
        <v>0</v>
      </c>
      <c r="AY133" s="175">
        <f t="shared" si="86"/>
        <v>0</v>
      </c>
      <c r="AZ133" s="175">
        <f t="shared" si="86"/>
        <v>0</v>
      </c>
      <c r="BA133" s="175">
        <f t="shared" si="86"/>
        <v>0</v>
      </c>
      <c r="BB133" s="175">
        <f t="shared" si="86"/>
        <v>0.31428571417927742</v>
      </c>
      <c r="BC133" s="169"/>
      <c r="BD133" s="169"/>
      <c r="BE133" s="169"/>
      <c r="BF133" s="169"/>
    </row>
    <row r="134" spans="1:58" s="184" customFormat="1" ht="15.75" customHeight="1" x14ac:dyDescent="0.25">
      <c r="A134" s="143"/>
      <c r="B134" s="290"/>
      <c r="C134" s="391" t="s">
        <v>289</v>
      </c>
      <c r="D134" s="391"/>
      <c r="E134" s="392"/>
      <c r="F134" s="291"/>
      <c r="G134" s="289"/>
      <c r="H134" s="144" t="s">
        <v>290</v>
      </c>
      <c r="I134" s="257"/>
      <c r="J134" s="257"/>
      <c r="K134" s="257"/>
      <c r="L134" s="258">
        <f>SUM(L139)</f>
        <v>1696800</v>
      </c>
      <c r="M134" s="258">
        <f>SUM(M139)</f>
        <v>283365.60000000003</v>
      </c>
      <c r="N134" s="257"/>
      <c r="O134" s="257"/>
      <c r="P134" s="257"/>
      <c r="Q134" s="257"/>
      <c r="R134" s="258">
        <f>SUM(R139)</f>
        <v>0</v>
      </c>
      <c r="S134" s="258">
        <f>SUM(S139)</f>
        <v>0</v>
      </c>
      <c r="T134" s="258">
        <f>SUM(T139)</f>
        <v>0</v>
      </c>
      <c r="U134" s="258">
        <f>SUM(U139)</f>
        <v>0</v>
      </c>
      <c r="V134" s="257"/>
      <c r="W134" s="257"/>
      <c r="X134" s="257"/>
      <c r="Y134" s="258">
        <f>SUM(Y139)</f>
        <v>0</v>
      </c>
      <c r="Z134" s="258"/>
      <c r="AA134" s="258"/>
      <c r="AB134" s="258">
        <f>SUM(AB139)</f>
        <v>0</v>
      </c>
      <c r="AC134" s="258">
        <f>SUM(AC139)</f>
        <v>11030200000</v>
      </c>
      <c r="AD134" s="258">
        <f>SUM(AD139)</f>
        <v>0</v>
      </c>
      <c r="AE134" s="258">
        <f>SUM(AE139)</f>
        <v>2040000</v>
      </c>
      <c r="AF134" s="258">
        <f>SUM(AF139)</f>
        <v>11032240000</v>
      </c>
      <c r="AG134" s="257"/>
      <c r="AH134" s="257"/>
      <c r="AI134" s="257"/>
      <c r="AJ134" s="258">
        <f>SUM(AJ139)</f>
        <v>0</v>
      </c>
      <c r="AK134" s="258">
        <f>SUM(AK139)</f>
        <v>0</v>
      </c>
      <c r="AL134" s="258">
        <f>SUM(AL139)</f>
        <v>0</v>
      </c>
      <c r="AM134" s="258">
        <f>SUM(AM139)</f>
        <v>0</v>
      </c>
      <c r="AN134" s="258">
        <f>SUM(AN139)</f>
        <v>0</v>
      </c>
      <c r="AO134" s="259"/>
      <c r="AP134" s="260"/>
      <c r="AQ134" s="261">
        <f>SUM(AQ139)</f>
        <v>1980165.6</v>
      </c>
      <c r="AR134" s="261">
        <f>SUM(AR139)</f>
        <v>11032240000</v>
      </c>
      <c r="AS134" s="261">
        <f>SUM(AS139)</f>
        <v>0</v>
      </c>
      <c r="AT134" s="261">
        <f>SUM(AT139)</f>
        <v>11034220165.6</v>
      </c>
      <c r="AU134" s="261">
        <f t="shared" ref="AU134:BB134" si="87">SUM(AU139)</f>
        <v>11034220166</v>
      </c>
      <c r="AV134" s="261">
        <f t="shared" si="87"/>
        <v>0</v>
      </c>
      <c r="AW134" s="261">
        <f t="shared" si="87"/>
        <v>0</v>
      </c>
      <c r="AX134" s="261">
        <f t="shared" si="87"/>
        <v>0</v>
      </c>
      <c r="AY134" s="261">
        <f t="shared" si="87"/>
        <v>0</v>
      </c>
      <c r="AZ134" s="261">
        <f t="shared" si="87"/>
        <v>0</v>
      </c>
      <c r="BA134" s="261">
        <f t="shared" si="87"/>
        <v>0</v>
      </c>
      <c r="BB134" s="261">
        <f t="shared" si="87"/>
        <v>0.40000000037252903</v>
      </c>
    </row>
    <row r="135" spans="1:58" ht="126" outlineLevel="2" x14ac:dyDescent="0.25">
      <c r="A135" s="115"/>
      <c r="B135" s="200"/>
      <c r="C135" s="201"/>
      <c r="D135" s="346"/>
      <c r="E135" s="321"/>
      <c r="F135" s="337"/>
      <c r="G135" s="338"/>
      <c r="H135" s="199" t="s">
        <v>453</v>
      </c>
      <c r="I135" s="130"/>
      <c r="J135" s="126"/>
      <c r="K135" s="126"/>
      <c r="L135" s="125" t="str">
        <f>IF(I135&lt;&gt;0,((VLOOKUP(I135,'1. Standard_Cost'!$B$4:$D$11,2)+VLOOKUP(I135,'1. Standard_Cost'!$B$4:$D$11,3))*J135*K135),"0")</f>
        <v>0</v>
      </c>
      <c r="M135" s="125">
        <f>L135*'1. Standard_Cost'!$F$4</f>
        <v>0</v>
      </c>
      <c r="N135" s="126"/>
      <c r="O135" s="126"/>
      <c r="P135" s="126"/>
      <c r="Q135" s="126"/>
      <c r="R135" s="127">
        <f>'1. Standard_Cost'!$B$15*N135*P135</f>
        <v>0</v>
      </c>
      <c r="S135" s="127">
        <f>N135*O135*P135*'1. Standard_Cost'!$C$15</f>
        <v>0</v>
      </c>
      <c r="T135" s="127">
        <f>N135*P135*Q135*'1. Standard_Cost'!$D$15</f>
        <v>0</v>
      </c>
      <c r="U135" s="127">
        <f>N135*O135*'1. Standard_Cost'!$E$15</f>
        <v>0</v>
      </c>
      <c r="V135" s="126"/>
      <c r="W135" s="126"/>
      <c r="X135" s="126"/>
      <c r="Y135" s="127">
        <f>+V135*((X135*'1. Standard_Cost'!$B$19)+(W135*X135*'1. Standard_Cost'!$C$19))</f>
        <v>0</v>
      </c>
      <c r="Z135" s="126"/>
      <c r="AA135" s="126"/>
      <c r="AB135" s="127">
        <f>+Z135*'1. Standard_Cost'!$B$23+AA135*'1. Standard_Cost'!$C$23</f>
        <v>0</v>
      </c>
      <c r="AC135" s="128">
        <v>11020000000</v>
      </c>
      <c r="AD135" s="129"/>
      <c r="AE135" s="127"/>
      <c r="AF135" s="127">
        <f>SUM(AE135,AD135,AC135,AB135,Y135,U135,T135,S135,R135)</f>
        <v>11020000000</v>
      </c>
      <c r="AG135" s="126"/>
      <c r="AH135" s="126"/>
      <c r="AI135" s="126"/>
      <c r="AJ135" s="130"/>
      <c r="AK135" s="130"/>
      <c r="AL135" s="130"/>
      <c r="AM135" s="127">
        <f>AG135*'1. Standard_Cost'!$B$27+'Incremental_Cost Year 3'!AH135*'1. Standard_Cost'!$C$27+'Incremental_Cost Year 3'!AI135*'1. Standard_Cost'!$D$27+'Incremental_Cost Year 3'!AJ135+'Incremental_Cost Year 3'!AL135+AK135</f>
        <v>0</v>
      </c>
      <c r="AN135" s="127">
        <f>AM135*'1. Standard_Cost'!$C$31</f>
        <v>0</v>
      </c>
      <c r="AO135" s="130"/>
      <c r="AQ135" s="171">
        <f>L135+M135</f>
        <v>0</v>
      </c>
      <c r="AR135" s="171">
        <f>AF135</f>
        <v>11020000000</v>
      </c>
      <c r="AS135" s="171">
        <f>AM135+AN135</f>
        <v>0</v>
      </c>
      <c r="AT135" s="171">
        <f>SUM(AQ135,AR135,AS135)</f>
        <v>11020000000</v>
      </c>
      <c r="AU135" s="250">
        <v>11020000000</v>
      </c>
      <c r="AV135" s="250"/>
      <c r="AW135" s="250"/>
      <c r="AX135" s="250"/>
      <c r="AY135" s="250"/>
      <c r="AZ135" s="250"/>
      <c r="BA135" s="250"/>
      <c r="BB135" s="251">
        <f t="shared" ref="BB135:BB138" si="88">SUM(AU135:BA135)-AT135</f>
        <v>0</v>
      </c>
      <c r="BC135" s="169"/>
      <c r="BD135" s="169"/>
      <c r="BE135" s="169"/>
      <c r="BF135" s="169"/>
    </row>
    <row r="136" spans="1:58" ht="78.75" outlineLevel="2" x14ac:dyDescent="0.25">
      <c r="A136" s="115"/>
      <c r="B136" s="200"/>
      <c r="C136" s="201"/>
      <c r="D136" s="203"/>
      <c r="E136" s="323"/>
      <c r="F136" s="335"/>
      <c r="G136" s="336"/>
      <c r="H136" s="199" t="s">
        <v>454</v>
      </c>
      <c r="I136" s="130"/>
      <c r="J136" s="126"/>
      <c r="K136" s="126"/>
      <c r="L136" s="125" t="str">
        <f>IF(I136&lt;&gt;0,((VLOOKUP(I136,'1. Standard_Cost'!$B$4:$D$11,2)+VLOOKUP(I136,'1. Standard_Cost'!$B$4:$D$11,3))*J136*K136),"0")</f>
        <v>0</v>
      </c>
      <c r="M136" s="125">
        <f>L136*'1. Standard_Cost'!$F$4</f>
        <v>0</v>
      </c>
      <c r="N136" s="126"/>
      <c r="O136" s="126"/>
      <c r="P136" s="126"/>
      <c r="Q136" s="126"/>
      <c r="R136" s="127">
        <f>'1. Standard_Cost'!$B$15*N136*P136</f>
        <v>0</v>
      </c>
      <c r="S136" s="127">
        <f>N136*O136*P136*'1. Standard_Cost'!$C$15</f>
        <v>0</v>
      </c>
      <c r="T136" s="127">
        <f>N136*P136*Q136*'1. Standard_Cost'!$D$15</f>
        <v>0</v>
      </c>
      <c r="U136" s="127">
        <f>N136*O136*'1. Standard_Cost'!$E$15</f>
        <v>0</v>
      </c>
      <c r="V136" s="126"/>
      <c r="W136" s="126"/>
      <c r="X136" s="126"/>
      <c r="Y136" s="127">
        <f>+V136*((X136*'1. Standard_Cost'!$B$19)+(W136*X136*'1. Standard_Cost'!$C$19))</f>
        <v>0</v>
      </c>
      <c r="Z136" s="126"/>
      <c r="AA136" s="126"/>
      <c r="AB136" s="127">
        <f>+Z136*'1. Standard_Cost'!$B$23+AA136*'1. Standard_Cost'!$C$23</f>
        <v>0</v>
      </c>
      <c r="AC136" s="128"/>
      <c r="AD136" s="129"/>
      <c r="AE136" s="127">
        <f>SUM(AD136,AC136,AB136,Y136,U136,T136,S136,R136)*'1. Standard_Cost'!$B$31</f>
        <v>0</v>
      </c>
      <c r="AF136" s="127">
        <f>SUM(AE136,AD136,AC136,AB136,Y136,U136,T136,S136,R136)</f>
        <v>0</v>
      </c>
      <c r="AG136" s="126"/>
      <c r="AH136" s="126"/>
      <c r="AI136" s="126"/>
      <c r="AJ136" s="130"/>
      <c r="AK136" s="130"/>
      <c r="AL136" s="130"/>
      <c r="AM136" s="127">
        <f>AG136*'1. Standard_Cost'!$B$27+'Incremental_Cost Year 3'!AH136*'1. Standard_Cost'!$C$27+'Incremental_Cost Year 3'!AI136*'1. Standard_Cost'!$D$27+'Incremental_Cost Year 3'!AJ136+'Incremental_Cost Year 3'!AL136+AK136</f>
        <v>0</v>
      </c>
      <c r="AN136" s="127">
        <f>AM136*'1. Standard_Cost'!$C$31</f>
        <v>0</v>
      </c>
      <c r="AO136" s="130"/>
      <c r="AQ136" s="171">
        <f>L136+M136</f>
        <v>0</v>
      </c>
      <c r="AR136" s="171">
        <f>AF136</f>
        <v>0</v>
      </c>
      <c r="AS136" s="171">
        <f>AM136+AN136</f>
        <v>0</v>
      </c>
      <c r="AT136" s="171">
        <f>SUM(AQ136,AR136,AS136)</f>
        <v>0</v>
      </c>
      <c r="AU136" s="250"/>
      <c r="AV136" s="250"/>
      <c r="AW136" s="250"/>
      <c r="AX136" s="250"/>
      <c r="AY136" s="250"/>
      <c r="AZ136" s="250"/>
      <c r="BA136" s="250"/>
      <c r="BB136" s="251">
        <f t="shared" si="88"/>
        <v>0</v>
      </c>
      <c r="BC136" s="169"/>
      <c r="BD136" s="169"/>
      <c r="BE136" s="169"/>
      <c r="BF136" s="169"/>
    </row>
    <row r="137" spans="1:58" ht="110.25" outlineLevel="2" x14ac:dyDescent="0.25">
      <c r="A137" s="115"/>
      <c r="B137" s="200"/>
      <c r="C137" s="201"/>
      <c r="D137" s="203"/>
      <c r="E137" s="323"/>
      <c r="F137" s="335"/>
      <c r="G137" s="336"/>
      <c r="H137" s="199" t="s">
        <v>455</v>
      </c>
      <c r="I137" s="130"/>
      <c r="J137" s="126"/>
      <c r="K137" s="126"/>
      <c r="L137" s="125" t="str">
        <f>IF(I137&lt;&gt;0,((VLOOKUP(I137,'1. Standard_Cost'!$B$4:$D$11,2)+VLOOKUP(I137,'1. Standard_Cost'!$B$4:$D$11,3))*J137*K137),"0")</f>
        <v>0</v>
      </c>
      <c r="M137" s="125">
        <f>L137*'1. Standard_Cost'!$F$4</f>
        <v>0</v>
      </c>
      <c r="N137" s="126"/>
      <c r="O137" s="126"/>
      <c r="P137" s="126"/>
      <c r="Q137" s="126"/>
      <c r="R137" s="127">
        <f>'1. Standard_Cost'!$B$15*N137*P137</f>
        <v>0</v>
      </c>
      <c r="S137" s="127">
        <f>N137*O137*P137*'1. Standard_Cost'!$C$15</f>
        <v>0</v>
      </c>
      <c r="T137" s="127">
        <f>N137*P137*Q137*'1. Standard_Cost'!$D$15</f>
        <v>0</v>
      </c>
      <c r="U137" s="127">
        <f>N137*O137*'1. Standard_Cost'!$E$15</f>
        <v>0</v>
      </c>
      <c r="V137" s="126"/>
      <c r="W137" s="126"/>
      <c r="X137" s="126"/>
      <c r="Y137" s="127">
        <f>+V137*((X137*'1. Standard_Cost'!$B$19)+(W137*X137*'1. Standard_Cost'!$C$19))</f>
        <v>0</v>
      </c>
      <c r="Z137" s="126"/>
      <c r="AA137" s="126"/>
      <c r="AB137" s="127">
        <f>+Z137*'1. Standard_Cost'!$B$23+AA137*'1. Standard_Cost'!$C$23</f>
        <v>0</v>
      </c>
      <c r="AC137" s="128"/>
      <c r="AD137" s="129"/>
      <c r="AE137" s="127">
        <f>SUM(AD137,AC137,AB137,Y137,U137,T137,S137,R137)*'1. Standard_Cost'!$B$31</f>
        <v>0</v>
      </c>
      <c r="AF137" s="127">
        <f>SUM(AE137,AD137,AC137,AB137,Y137,U137,T137,S137,R137)</f>
        <v>0</v>
      </c>
      <c r="AG137" s="126"/>
      <c r="AH137" s="126"/>
      <c r="AI137" s="126"/>
      <c r="AJ137" s="130"/>
      <c r="AK137" s="130"/>
      <c r="AL137" s="130"/>
      <c r="AM137" s="127">
        <f>AG137*'1. Standard_Cost'!$B$27+'Incremental_Cost Year 3'!AH137*'1. Standard_Cost'!$C$27+'Incremental_Cost Year 3'!AI137*'1. Standard_Cost'!$D$27+'Incremental_Cost Year 3'!AJ137+'Incremental_Cost Year 3'!AL137+AK137</f>
        <v>0</v>
      </c>
      <c r="AN137" s="127">
        <f>AM137*'1. Standard_Cost'!$C$31</f>
        <v>0</v>
      </c>
      <c r="AO137" s="130"/>
      <c r="AQ137" s="171">
        <f>L137+M137</f>
        <v>0</v>
      </c>
      <c r="AR137" s="171">
        <f>AF137</f>
        <v>0</v>
      </c>
      <c r="AS137" s="171">
        <f>AM137+AN137</f>
        <v>0</v>
      </c>
      <c r="AT137" s="171">
        <f>SUM(AQ137,AR137,AS137)</f>
        <v>0</v>
      </c>
      <c r="AU137" s="250"/>
      <c r="AV137" s="250"/>
      <c r="AW137" s="250"/>
      <c r="AX137" s="250"/>
      <c r="AY137" s="250"/>
      <c r="AZ137" s="250"/>
      <c r="BA137" s="250"/>
      <c r="BB137" s="251">
        <f t="shared" si="88"/>
        <v>0</v>
      </c>
      <c r="BC137" s="169"/>
      <c r="BD137" s="169"/>
      <c r="BE137" s="169"/>
      <c r="BF137" s="169"/>
    </row>
    <row r="138" spans="1:58" ht="78.75" outlineLevel="2" x14ac:dyDescent="0.25">
      <c r="A138" s="115"/>
      <c r="B138" s="200"/>
      <c r="C138" s="334"/>
      <c r="D138" s="347"/>
      <c r="E138" s="323"/>
      <c r="F138" s="335"/>
      <c r="G138" s="336"/>
      <c r="H138" s="199" t="s">
        <v>456</v>
      </c>
      <c r="I138" s="130" t="s">
        <v>5</v>
      </c>
      <c r="J138" s="126">
        <v>12</v>
      </c>
      <c r="K138" s="126">
        <v>2</v>
      </c>
      <c r="L138" s="125">
        <f>IF(I138&lt;&gt;0,((VLOOKUP(I138,'1. Standard_Cost'!$B$4:$D$11,2)+VLOOKUP(I138,'1. Standard_Cost'!$B$4:$D$11,3))*J138*K138),"0")</f>
        <v>1696800</v>
      </c>
      <c r="M138" s="125">
        <f>L138*'1. Standard_Cost'!$F$4</f>
        <v>283365.60000000003</v>
      </c>
      <c r="N138" s="126"/>
      <c r="O138" s="126"/>
      <c r="P138" s="126"/>
      <c r="Q138" s="126"/>
      <c r="R138" s="127">
        <f>'1. Standard_Cost'!$B$15*N138*P138</f>
        <v>0</v>
      </c>
      <c r="S138" s="127">
        <f>N138*O138*P138*'1. Standard_Cost'!$C$15</f>
        <v>0</v>
      </c>
      <c r="T138" s="127">
        <f>N138*P138*Q138*'1. Standard_Cost'!$D$15</f>
        <v>0</v>
      </c>
      <c r="U138" s="127">
        <f>N138*O138*'1. Standard_Cost'!$E$15</f>
        <v>0</v>
      </c>
      <c r="V138" s="126"/>
      <c r="W138" s="126"/>
      <c r="X138" s="126"/>
      <c r="Y138" s="127">
        <f>+V138*((X138*'1. Standard_Cost'!$B$19)+(W138*X138*'1. Standard_Cost'!$C$19))</f>
        <v>0</v>
      </c>
      <c r="Z138" s="126"/>
      <c r="AA138" s="145"/>
      <c r="AB138" s="127">
        <f>+Z138*'1. Standard_Cost'!$B$23+AA138*'1. Standard_Cost'!$C$23</f>
        <v>0</v>
      </c>
      <c r="AC138" s="128">
        <v>10200000</v>
      </c>
      <c r="AD138" s="129"/>
      <c r="AE138" s="127">
        <f>SUM(AD138,AC138,AB138,Y138,U138,T138,S138,R138)*'1. Standard_Cost'!$B$31</f>
        <v>2040000</v>
      </c>
      <c r="AF138" s="127">
        <f>SUM(AE138,AD138,AC138,AB138,Y138,U138,T138,S138,R138)</f>
        <v>12240000</v>
      </c>
      <c r="AG138" s="126"/>
      <c r="AH138" s="126"/>
      <c r="AI138" s="126"/>
      <c r="AJ138" s="130"/>
      <c r="AK138" s="130"/>
      <c r="AL138" s="130"/>
      <c r="AM138" s="127">
        <f>AG138*'1. Standard_Cost'!$B$27+'Incremental_Cost Year 3'!AH138*'1. Standard_Cost'!$C$27+'Incremental_Cost Year 3'!AI138*'1. Standard_Cost'!$D$27+'Incremental_Cost Year 3'!AJ138+'Incremental_Cost Year 3'!AL138+AK138</f>
        <v>0</v>
      </c>
      <c r="AN138" s="127">
        <f>AM138*'1. Standard_Cost'!$C$31</f>
        <v>0</v>
      </c>
      <c r="AO138" s="262"/>
      <c r="AQ138" s="171">
        <f>L138+M138</f>
        <v>1980165.6</v>
      </c>
      <c r="AR138" s="171">
        <f>AF138</f>
        <v>12240000</v>
      </c>
      <c r="AS138" s="171">
        <f>AM138+AN138</f>
        <v>0</v>
      </c>
      <c r="AT138" s="171">
        <f>SUM(AQ138,AR138,AS138)</f>
        <v>14220165.6</v>
      </c>
      <c r="AU138" s="250">
        <v>14220166</v>
      </c>
      <c r="AV138" s="250"/>
      <c r="AW138" s="250"/>
      <c r="AX138" s="250"/>
      <c r="AY138" s="250"/>
      <c r="AZ138" s="250"/>
      <c r="BA138" s="250"/>
      <c r="BB138" s="251">
        <f t="shared" si="88"/>
        <v>0.40000000037252903</v>
      </c>
      <c r="BC138" s="169"/>
      <c r="BD138" s="169"/>
      <c r="BE138" s="169"/>
      <c r="BF138" s="169"/>
    </row>
    <row r="139" spans="1:58" ht="47.25" outlineLevel="1" x14ac:dyDescent="0.25">
      <c r="A139" s="115"/>
      <c r="B139" s="165"/>
      <c r="C139" s="166"/>
      <c r="D139" s="228" t="s">
        <v>233</v>
      </c>
      <c r="E139" s="212" t="s">
        <v>291</v>
      </c>
      <c r="F139" s="136">
        <v>2022</v>
      </c>
      <c r="G139" s="117">
        <v>2030</v>
      </c>
      <c r="H139" s="110" t="s">
        <v>292</v>
      </c>
      <c r="I139" s="252"/>
      <c r="J139" s="252"/>
      <c r="K139" s="252"/>
      <c r="L139" s="127">
        <f>SUM(L135:L138)</f>
        <v>1696800</v>
      </c>
      <c r="M139" s="127">
        <f>SUM(M135:M138)</f>
        <v>283365.60000000003</v>
      </c>
      <c r="N139" s="127"/>
      <c r="O139" s="252"/>
      <c r="P139" s="252"/>
      <c r="Q139" s="252"/>
      <c r="R139" s="127">
        <f>SUM(R135:R138)</f>
        <v>0</v>
      </c>
      <c r="S139" s="127">
        <f>SUM(S135:S138)</f>
        <v>0</v>
      </c>
      <c r="T139" s="127">
        <f>SUM(T135:T138)</f>
        <v>0</v>
      </c>
      <c r="U139" s="127">
        <f>SUM(U135:U138)</f>
        <v>0</v>
      </c>
      <c r="V139" s="252"/>
      <c r="W139" s="252"/>
      <c r="X139" s="252"/>
      <c r="Y139" s="127">
        <f>SUM(Y135:Y138)</f>
        <v>0</v>
      </c>
      <c r="Z139" s="252"/>
      <c r="AA139" s="252"/>
      <c r="AB139" s="127">
        <f>SUM(AB135:AB138)</f>
        <v>0</v>
      </c>
      <c r="AC139" s="127">
        <f>SUM(AC135:AC138)</f>
        <v>11030200000</v>
      </c>
      <c r="AD139" s="127">
        <f>SUM(AD135:AD138)</f>
        <v>0</v>
      </c>
      <c r="AE139" s="127">
        <f>SUM(AE135:AE138)</f>
        <v>2040000</v>
      </c>
      <c r="AF139" s="127">
        <f>SUM(AF135:AF138)</f>
        <v>11032240000</v>
      </c>
      <c r="AG139" s="252"/>
      <c r="AH139" s="252"/>
      <c r="AI139" s="252"/>
      <c r="AJ139" s="127">
        <f>SUM(AJ135:AJ138)</f>
        <v>0</v>
      </c>
      <c r="AK139" s="127">
        <f>SUM(AK135:AK138)</f>
        <v>0</v>
      </c>
      <c r="AL139" s="127">
        <f>SUM(AL135:AL138)</f>
        <v>0</v>
      </c>
      <c r="AM139" s="127">
        <f>SUM(AM135:AM138)</f>
        <v>0</v>
      </c>
      <c r="AN139" s="127">
        <f>SUM(AN135:AN138)</f>
        <v>0</v>
      </c>
      <c r="AO139" s="253"/>
      <c r="AP139" s="254"/>
      <c r="AQ139" s="175">
        <f>SUM(AQ135:AQ138)</f>
        <v>1980165.6</v>
      </c>
      <c r="AR139" s="175">
        <f>SUM(AR135:AR138)</f>
        <v>11032240000</v>
      </c>
      <c r="AS139" s="175">
        <f>SUM(AS135:AS138)</f>
        <v>0</v>
      </c>
      <c r="AT139" s="175">
        <f>SUM(AT135:AT138)</f>
        <v>11034220165.6</v>
      </c>
      <c r="AU139" s="175">
        <f t="shared" ref="AU139:BB139" si="89">SUM(AU135:AU138)</f>
        <v>11034220166</v>
      </c>
      <c r="AV139" s="175">
        <f t="shared" si="89"/>
        <v>0</v>
      </c>
      <c r="AW139" s="175">
        <f t="shared" si="89"/>
        <v>0</v>
      </c>
      <c r="AX139" s="175">
        <f t="shared" si="89"/>
        <v>0</v>
      </c>
      <c r="AY139" s="175">
        <f t="shared" si="89"/>
        <v>0</v>
      </c>
      <c r="AZ139" s="175">
        <f t="shared" si="89"/>
        <v>0</v>
      </c>
      <c r="BA139" s="175">
        <f t="shared" si="89"/>
        <v>0</v>
      </c>
      <c r="BB139" s="175">
        <f t="shared" si="89"/>
        <v>0.40000000037252903</v>
      </c>
      <c r="BC139" s="169"/>
      <c r="BD139" s="169"/>
      <c r="BE139" s="169"/>
      <c r="BF139" s="169"/>
    </row>
    <row r="140" spans="1:58" s="184" customFormat="1" ht="15.75" customHeight="1" x14ac:dyDescent="0.25">
      <c r="A140" s="143"/>
      <c r="B140" s="290"/>
      <c r="C140" s="391" t="s">
        <v>293</v>
      </c>
      <c r="D140" s="391"/>
      <c r="E140" s="392"/>
      <c r="F140" s="291"/>
      <c r="G140" s="289"/>
      <c r="H140" s="144" t="s">
        <v>294</v>
      </c>
      <c r="I140" s="257"/>
      <c r="J140" s="257"/>
      <c r="K140" s="257"/>
      <c r="L140" s="258">
        <f>SUM(L149)</f>
        <v>0</v>
      </c>
      <c r="M140" s="258">
        <f>SUM(M149)</f>
        <v>0</v>
      </c>
      <c r="N140" s="257"/>
      <c r="O140" s="257"/>
      <c r="P140" s="257"/>
      <c r="Q140" s="257"/>
      <c r="R140" s="258">
        <f>SUM(R149)</f>
        <v>0</v>
      </c>
      <c r="S140" s="258">
        <f>SUM(S149)</f>
        <v>0</v>
      </c>
      <c r="T140" s="258">
        <f>SUM(T149)</f>
        <v>0</v>
      </c>
      <c r="U140" s="258">
        <f>SUM(U149)</f>
        <v>0</v>
      </c>
      <c r="V140" s="257"/>
      <c r="W140" s="257"/>
      <c r="X140" s="257"/>
      <c r="Y140" s="258">
        <f>SUM(Y149)</f>
        <v>0</v>
      </c>
      <c r="Z140" s="258"/>
      <c r="AA140" s="258"/>
      <c r="AB140" s="258">
        <f>SUM(AB149)</f>
        <v>0</v>
      </c>
      <c r="AC140" s="258">
        <f>SUM(AC149)</f>
        <v>0</v>
      </c>
      <c r="AD140" s="258">
        <f>SUM(AD149)</f>
        <v>0</v>
      </c>
      <c r="AE140" s="258">
        <f>SUM(AE149)</f>
        <v>0</v>
      </c>
      <c r="AF140" s="258">
        <f>SUM(AF149)</f>
        <v>0</v>
      </c>
      <c r="AG140" s="257"/>
      <c r="AH140" s="257"/>
      <c r="AI140" s="257"/>
      <c r="AJ140" s="258">
        <f>SUM(AJ149)</f>
        <v>0</v>
      </c>
      <c r="AK140" s="258">
        <f>SUM(AK149)</f>
        <v>0</v>
      </c>
      <c r="AL140" s="258">
        <f>SUM(AL149)</f>
        <v>0</v>
      </c>
      <c r="AM140" s="258">
        <f>SUM(AM149)</f>
        <v>0</v>
      </c>
      <c r="AN140" s="258">
        <f>SUM(AN149)</f>
        <v>0</v>
      </c>
      <c r="AO140" s="259"/>
      <c r="AP140" s="260"/>
      <c r="AQ140" s="261">
        <f>SUM(AQ149)</f>
        <v>0</v>
      </c>
      <c r="AR140" s="261">
        <f>SUM(AR149)</f>
        <v>0</v>
      </c>
      <c r="AS140" s="261">
        <f>SUM(AS149)</f>
        <v>0</v>
      </c>
      <c r="AT140" s="261">
        <f>SUM(AT149)</f>
        <v>0</v>
      </c>
      <c r="AU140" s="261">
        <f t="shared" ref="AU140:BB140" si="90">SUM(AU149)</f>
        <v>0</v>
      </c>
      <c r="AV140" s="261">
        <f t="shared" si="90"/>
        <v>0</v>
      </c>
      <c r="AW140" s="261">
        <f t="shared" si="90"/>
        <v>0</v>
      </c>
      <c r="AX140" s="261">
        <f t="shared" si="90"/>
        <v>0</v>
      </c>
      <c r="AY140" s="261">
        <f t="shared" si="90"/>
        <v>0</v>
      </c>
      <c r="AZ140" s="261">
        <f t="shared" si="90"/>
        <v>0</v>
      </c>
      <c r="BA140" s="261">
        <f t="shared" si="90"/>
        <v>0</v>
      </c>
      <c r="BB140" s="261">
        <f t="shared" si="90"/>
        <v>0</v>
      </c>
    </row>
    <row r="141" spans="1:58" ht="78.75" outlineLevel="2" x14ac:dyDescent="0.25">
      <c r="A141" s="115"/>
      <c r="B141" s="303"/>
      <c r="C141" s="329"/>
      <c r="D141" s="342"/>
      <c r="E141" s="328"/>
      <c r="F141" s="328"/>
      <c r="G141" s="328"/>
      <c r="H141" s="199" t="s">
        <v>457</v>
      </c>
      <c r="I141" s="130"/>
      <c r="J141" s="126"/>
      <c r="K141" s="126"/>
      <c r="L141" s="125" t="str">
        <f>IF(I141&lt;&gt;0,((VLOOKUP(I141,'1. Standard_Cost'!$B$4:$D$11,2)+VLOOKUP(I141,'1. Standard_Cost'!$B$4:$D$11,3))*J141*K141),"0")</f>
        <v>0</v>
      </c>
      <c r="M141" s="125">
        <f>L141*'1. Standard_Cost'!$F$4</f>
        <v>0</v>
      </c>
      <c r="N141" s="126"/>
      <c r="O141" s="126"/>
      <c r="P141" s="126"/>
      <c r="Q141" s="126"/>
      <c r="R141" s="127">
        <f>'1. Standard_Cost'!$B$15*N141*P141</f>
        <v>0</v>
      </c>
      <c r="S141" s="127">
        <f>N141*O141*P141*'1. Standard_Cost'!$C$15</f>
        <v>0</v>
      </c>
      <c r="T141" s="127">
        <f>N141*P141*Q141*'1. Standard_Cost'!$D$15</f>
        <v>0</v>
      </c>
      <c r="U141" s="127">
        <f>N141*O141*'1. Standard_Cost'!$E$15</f>
        <v>0</v>
      </c>
      <c r="V141" s="126"/>
      <c r="W141" s="126"/>
      <c r="X141" s="126"/>
      <c r="Y141" s="127">
        <f>+V141*((X141*'1. Standard_Cost'!$B$19)+(W141*X141*'1. Standard_Cost'!$C$19))</f>
        <v>0</v>
      </c>
      <c r="Z141" s="126"/>
      <c r="AA141" s="126"/>
      <c r="AB141" s="127">
        <f>+Z141*'1. Standard_Cost'!$B$23+AA141*'1. Standard_Cost'!$C$23</f>
        <v>0</v>
      </c>
      <c r="AC141" s="128"/>
      <c r="AD141" s="129"/>
      <c r="AE141" s="127">
        <f>SUM(AD141,AC141,AB141,Y141,U141,T141,S141,R141)*'1. Standard_Cost'!$B$31</f>
        <v>0</v>
      </c>
      <c r="AF141" s="127">
        <f t="shared" ref="AF141:AF148" si="91">SUM(AE141,AD141,AC141,AB141,Y141,U141,T141,S141,R141)</f>
        <v>0</v>
      </c>
      <c r="AG141" s="126"/>
      <c r="AH141" s="126"/>
      <c r="AI141" s="126"/>
      <c r="AJ141" s="130"/>
      <c r="AK141" s="130"/>
      <c r="AL141" s="130"/>
      <c r="AM141" s="127">
        <f>AG141*'1. Standard_Cost'!$B$27+'Incremental_Cost Year 3'!AH141*'1. Standard_Cost'!$C$27+'Incremental_Cost Year 3'!AI141*'1. Standard_Cost'!$D$27+'Incremental_Cost Year 3'!AJ141+'Incremental_Cost Year 3'!AL141+AK141</f>
        <v>0</v>
      </c>
      <c r="AN141" s="127">
        <f>AM141*'1. Standard_Cost'!$C$31</f>
        <v>0</v>
      </c>
      <c r="AO141" s="130"/>
      <c r="AQ141" s="171">
        <f t="shared" ref="AQ141:AQ148" si="92">L141+M141</f>
        <v>0</v>
      </c>
      <c r="AR141" s="171">
        <f t="shared" ref="AR141:AR148" si="93">AF141</f>
        <v>0</v>
      </c>
      <c r="AS141" s="171">
        <f t="shared" ref="AS141:AS148" si="94">AM141+AN141</f>
        <v>0</v>
      </c>
      <c r="AT141" s="171">
        <f t="shared" ref="AT141:AT148" si="95">SUM(AQ141,AR141,AS141)</f>
        <v>0</v>
      </c>
      <c r="AU141" s="250"/>
      <c r="AV141" s="250"/>
      <c r="AW141" s="250"/>
      <c r="AX141" s="250"/>
      <c r="AY141" s="250"/>
      <c r="AZ141" s="250"/>
      <c r="BA141" s="250"/>
      <c r="BB141" s="251">
        <f t="shared" ref="BB141:BB148" si="96">SUM(AU141:BA141)-AT141</f>
        <v>0</v>
      </c>
      <c r="BC141" s="169"/>
      <c r="BD141" s="169"/>
      <c r="BE141" s="169"/>
      <c r="BF141" s="169"/>
    </row>
    <row r="142" spans="1:58" ht="47.25" outlineLevel="2" x14ac:dyDescent="0.25">
      <c r="A142" s="115"/>
      <c r="B142" s="200"/>
      <c r="C142" s="330"/>
      <c r="D142" s="343"/>
      <c r="E142" s="328"/>
      <c r="F142" s="328"/>
      <c r="G142" s="328"/>
      <c r="H142" s="199" t="s">
        <v>458</v>
      </c>
      <c r="I142" s="130"/>
      <c r="J142" s="126"/>
      <c r="K142" s="126"/>
      <c r="L142" s="125" t="str">
        <f>IF(I142&lt;&gt;0,((VLOOKUP(I142,'1. Standard_Cost'!$B$4:$D$11,2)+VLOOKUP(I142,'1. Standard_Cost'!$B$4:$D$11,3))*J142*K142),"0")</f>
        <v>0</v>
      </c>
      <c r="M142" s="125">
        <f>L142*'1. Standard_Cost'!$F$4</f>
        <v>0</v>
      </c>
      <c r="N142" s="126"/>
      <c r="O142" s="126"/>
      <c r="P142" s="126"/>
      <c r="Q142" s="126"/>
      <c r="R142" s="127">
        <f>'1. Standard_Cost'!$B$15*N142*P142</f>
        <v>0</v>
      </c>
      <c r="S142" s="127">
        <f>N142*O142*P142*'1. Standard_Cost'!$C$15</f>
        <v>0</v>
      </c>
      <c r="T142" s="127">
        <f>N142*P142*Q142*'1. Standard_Cost'!$D$15</f>
        <v>0</v>
      </c>
      <c r="U142" s="127">
        <f>N142*O142*'1. Standard_Cost'!$E$15</f>
        <v>0</v>
      </c>
      <c r="V142" s="126"/>
      <c r="W142" s="126"/>
      <c r="X142" s="126"/>
      <c r="Y142" s="127">
        <f>+V142*((X142*'1. Standard_Cost'!$B$19)+(W142*X142*'1. Standard_Cost'!$C$19))</f>
        <v>0</v>
      </c>
      <c r="Z142" s="126"/>
      <c r="AA142" s="126"/>
      <c r="AB142" s="127">
        <f>+Z142*'1. Standard_Cost'!$B$23+AA142*'1. Standard_Cost'!$C$23</f>
        <v>0</v>
      </c>
      <c r="AC142" s="128"/>
      <c r="AD142" s="129"/>
      <c r="AE142" s="127">
        <f>SUM(AD142,AC142,AB142,Y142,U142,T142,S142,R142)*'1. Standard_Cost'!$B$31</f>
        <v>0</v>
      </c>
      <c r="AF142" s="127">
        <f t="shared" si="91"/>
        <v>0</v>
      </c>
      <c r="AG142" s="126"/>
      <c r="AH142" s="126"/>
      <c r="AI142" s="126"/>
      <c r="AJ142" s="130"/>
      <c r="AK142" s="130"/>
      <c r="AL142" s="130"/>
      <c r="AM142" s="127">
        <f>AG142*'1. Standard_Cost'!$B$27+'Incremental_Cost Year 3'!AH142*'1. Standard_Cost'!$C$27+'Incremental_Cost Year 3'!AI142*'1. Standard_Cost'!$D$27+'Incremental_Cost Year 3'!AJ142+'Incremental_Cost Year 3'!AL142+AK142</f>
        <v>0</v>
      </c>
      <c r="AN142" s="127">
        <f>AM142*'1. Standard_Cost'!$C$31</f>
        <v>0</v>
      </c>
      <c r="AO142" s="130"/>
      <c r="AQ142" s="171">
        <f t="shared" si="92"/>
        <v>0</v>
      </c>
      <c r="AR142" s="171">
        <f t="shared" si="93"/>
        <v>0</v>
      </c>
      <c r="AS142" s="171">
        <f t="shared" si="94"/>
        <v>0</v>
      </c>
      <c r="AT142" s="171">
        <f t="shared" si="95"/>
        <v>0</v>
      </c>
      <c r="AU142" s="250"/>
      <c r="AV142" s="250"/>
      <c r="AW142" s="250"/>
      <c r="AX142" s="250"/>
      <c r="AY142" s="250"/>
      <c r="AZ142" s="250"/>
      <c r="BA142" s="250"/>
      <c r="BB142" s="251">
        <f t="shared" si="96"/>
        <v>0</v>
      </c>
      <c r="BC142" s="169"/>
      <c r="BD142" s="169"/>
      <c r="BE142" s="169"/>
      <c r="BF142" s="169"/>
    </row>
    <row r="143" spans="1:58" ht="94.5" outlineLevel="2" x14ac:dyDescent="0.25">
      <c r="A143" s="115"/>
      <c r="B143" s="200"/>
      <c r="C143" s="330"/>
      <c r="D143" s="343"/>
      <c r="E143" s="328"/>
      <c r="F143" s="328"/>
      <c r="G143" s="328"/>
      <c r="H143" s="199" t="s">
        <v>459</v>
      </c>
      <c r="I143" s="130"/>
      <c r="J143" s="126"/>
      <c r="K143" s="126"/>
      <c r="L143" s="125" t="str">
        <f>IF(I143&lt;&gt;0,((VLOOKUP(I143,'1. Standard_Cost'!$B$4:$D$11,2)+VLOOKUP(I143,'1. Standard_Cost'!$B$4:$D$11,3))*J143*K143),"0")</f>
        <v>0</v>
      </c>
      <c r="M143" s="125">
        <f>L143*'1. Standard_Cost'!$F$4</f>
        <v>0</v>
      </c>
      <c r="N143" s="126"/>
      <c r="O143" s="126"/>
      <c r="P143" s="126"/>
      <c r="Q143" s="126"/>
      <c r="R143" s="127">
        <f>'1. Standard_Cost'!$B$15*N143*P143</f>
        <v>0</v>
      </c>
      <c r="S143" s="127">
        <f>N143*O143*P143*'1. Standard_Cost'!$C$15</f>
        <v>0</v>
      </c>
      <c r="T143" s="127">
        <f>N143*P143*Q143*'1. Standard_Cost'!$D$15</f>
        <v>0</v>
      </c>
      <c r="U143" s="127">
        <f>N143*O143*'1. Standard_Cost'!$E$15</f>
        <v>0</v>
      </c>
      <c r="V143" s="126"/>
      <c r="W143" s="126"/>
      <c r="X143" s="126"/>
      <c r="Y143" s="127">
        <f>+V143*((X143*'1. Standard_Cost'!$B$19)+(W143*X143*'1. Standard_Cost'!$C$19))</f>
        <v>0</v>
      </c>
      <c r="Z143" s="126"/>
      <c r="AA143" s="126"/>
      <c r="AB143" s="127">
        <f>+Z143*'1. Standard_Cost'!$B$23+AA143*'1. Standard_Cost'!$C$23</f>
        <v>0</v>
      </c>
      <c r="AC143" s="128"/>
      <c r="AD143" s="129"/>
      <c r="AE143" s="127">
        <f>SUM(AD143,AC143,AB143,Y143,U143,T143,S143,R143)*'1. Standard_Cost'!$B$31</f>
        <v>0</v>
      </c>
      <c r="AF143" s="127">
        <f t="shared" si="91"/>
        <v>0</v>
      </c>
      <c r="AG143" s="126"/>
      <c r="AH143" s="126"/>
      <c r="AI143" s="126"/>
      <c r="AJ143" s="130"/>
      <c r="AK143" s="130"/>
      <c r="AL143" s="130"/>
      <c r="AM143" s="127">
        <f>AG143*'1. Standard_Cost'!$B$27+'Incremental_Cost Year 3'!AH143*'1. Standard_Cost'!$C$27+'Incremental_Cost Year 3'!AI143*'1. Standard_Cost'!$D$27+'Incremental_Cost Year 3'!AJ143+'Incremental_Cost Year 3'!AL143+AK143</f>
        <v>0</v>
      </c>
      <c r="AN143" s="127">
        <f>AM143*'1. Standard_Cost'!$C$31</f>
        <v>0</v>
      </c>
      <c r="AO143" s="130"/>
      <c r="AQ143" s="171">
        <f t="shared" si="92"/>
        <v>0</v>
      </c>
      <c r="AR143" s="171">
        <f t="shared" si="93"/>
        <v>0</v>
      </c>
      <c r="AS143" s="171">
        <f t="shared" si="94"/>
        <v>0</v>
      </c>
      <c r="AT143" s="171">
        <f t="shared" si="95"/>
        <v>0</v>
      </c>
      <c r="AU143" s="250"/>
      <c r="AV143" s="250"/>
      <c r="AW143" s="250"/>
      <c r="AX143" s="250"/>
      <c r="AY143" s="250"/>
      <c r="AZ143" s="250"/>
      <c r="BA143" s="250"/>
      <c r="BB143" s="251">
        <f t="shared" si="96"/>
        <v>0</v>
      </c>
      <c r="BC143" s="169"/>
      <c r="BD143" s="169"/>
      <c r="BE143" s="169"/>
      <c r="BF143" s="169"/>
    </row>
    <row r="144" spans="1:58" ht="47.25" outlineLevel="2" x14ac:dyDescent="0.25">
      <c r="A144" s="115"/>
      <c r="B144" s="200"/>
      <c r="C144" s="330"/>
      <c r="D144" s="343"/>
      <c r="E144" s="328"/>
      <c r="F144" s="328"/>
      <c r="G144" s="328"/>
      <c r="H144" s="199" t="s">
        <v>460</v>
      </c>
      <c r="I144" s="130"/>
      <c r="J144" s="126"/>
      <c r="K144" s="126"/>
      <c r="L144" s="125" t="str">
        <f>IF(I144&lt;&gt;0,((VLOOKUP(I144,'1. Standard_Cost'!$B$4:$D$11,2)+VLOOKUP(I144,'1. Standard_Cost'!$B$4:$D$11,3))*J144*K144),"0")</f>
        <v>0</v>
      </c>
      <c r="M144" s="125">
        <f>L144*'1. Standard_Cost'!$F$4</f>
        <v>0</v>
      </c>
      <c r="N144" s="126"/>
      <c r="O144" s="126"/>
      <c r="P144" s="126"/>
      <c r="Q144" s="126"/>
      <c r="R144" s="127">
        <f>'1. Standard_Cost'!$B$15*N144*P144</f>
        <v>0</v>
      </c>
      <c r="S144" s="127">
        <f>N144*O144*P144*'1. Standard_Cost'!$C$15</f>
        <v>0</v>
      </c>
      <c r="T144" s="127">
        <f>N144*P144*Q144*'1. Standard_Cost'!$D$15</f>
        <v>0</v>
      </c>
      <c r="U144" s="127">
        <f>N144*O144*'1. Standard_Cost'!$E$15</f>
        <v>0</v>
      </c>
      <c r="V144" s="126"/>
      <c r="W144" s="126"/>
      <c r="X144" s="126"/>
      <c r="Y144" s="127">
        <f>+V144*((X144*'1. Standard_Cost'!$B$19)+(W144*X144*'1. Standard_Cost'!$C$19))</f>
        <v>0</v>
      </c>
      <c r="Z144" s="126"/>
      <c r="AA144" s="126"/>
      <c r="AB144" s="127">
        <f>+Z144*'1. Standard_Cost'!$B$23+AA144*'1. Standard_Cost'!$C$23</f>
        <v>0</v>
      </c>
      <c r="AC144" s="128"/>
      <c r="AD144" s="129"/>
      <c r="AE144" s="127">
        <f>SUM(AD144,AC144,AB144,Y144,U144,T144,S144,R144)*'1. Standard_Cost'!$B$31</f>
        <v>0</v>
      </c>
      <c r="AF144" s="127">
        <f t="shared" si="91"/>
        <v>0</v>
      </c>
      <c r="AG144" s="126"/>
      <c r="AH144" s="126"/>
      <c r="AI144" s="126"/>
      <c r="AJ144" s="130"/>
      <c r="AK144" s="130"/>
      <c r="AL144" s="130"/>
      <c r="AM144" s="127">
        <f>AG144*'1. Standard_Cost'!$B$27+'Incremental_Cost Year 3'!AH144*'1. Standard_Cost'!$C$27+'Incremental_Cost Year 3'!AI144*'1. Standard_Cost'!$D$27+'Incremental_Cost Year 3'!AJ144+'Incremental_Cost Year 3'!AL144+AK144</f>
        <v>0</v>
      </c>
      <c r="AN144" s="127">
        <f>AM144*'1. Standard_Cost'!$C$31</f>
        <v>0</v>
      </c>
      <c r="AO144" s="130"/>
      <c r="AQ144" s="171">
        <f t="shared" si="92"/>
        <v>0</v>
      </c>
      <c r="AR144" s="171">
        <f t="shared" si="93"/>
        <v>0</v>
      </c>
      <c r="AS144" s="171">
        <f t="shared" si="94"/>
        <v>0</v>
      </c>
      <c r="AT144" s="171">
        <f t="shared" si="95"/>
        <v>0</v>
      </c>
      <c r="AU144" s="250"/>
      <c r="AV144" s="250"/>
      <c r="AW144" s="250"/>
      <c r="AX144" s="250"/>
      <c r="AY144" s="250"/>
      <c r="AZ144" s="250"/>
      <c r="BA144" s="250"/>
      <c r="BB144" s="251">
        <f t="shared" si="96"/>
        <v>0</v>
      </c>
      <c r="BC144" s="169"/>
      <c r="BD144" s="169"/>
      <c r="BE144" s="169"/>
      <c r="BF144" s="169"/>
    </row>
    <row r="145" spans="1:58" ht="93.6" customHeight="1" outlineLevel="2" x14ac:dyDescent="0.25">
      <c r="A145" s="115"/>
      <c r="B145" s="200"/>
      <c r="C145" s="330"/>
      <c r="D145" s="343"/>
      <c r="E145" s="328"/>
      <c r="F145" s="328"/>
      <c r="G145" s="328"/>
      <c r="H145" s="199" t="s">
        <v>461</v>
      </c>
      <c r="I145" s="130"/>
      <c r="J145" s="126"/>
      <c r="K145" s="126"/>
      <c r="L145" s="125" t="str">
        <f>IF(I145&lt;&gt;0,((VLOOKUP(I145,'1. Standard_Cost'!$B$4:$D$11,2)+VLOOKUP(I145,'1. Standard_Cost'!$B$4:$D$11,3))*J145*K145),"0")</f>
        <v>0</v>
      </c>
      <c r="M145" s="125">
        <f>L145*'1. Standard_Cost'!$F$4</f>
        <v>0</v>
      </c>
      <c r="N145" s="126"/>
      <c r="O145" s="126"/>
      <c r="P145" s="126"/>
      <c r="Q145" s="126"/>
      <c r="R145" s="127">
        <f>'1. Standard_Cost'!$B$15*N145*P145</f>
        <v>0</v>
      </c>
      <c r="S145" s="127">
        <f>N145*O145*P145*'1. Standard_Cost'!$C$15</f>
        <v>0</v>
      </c>
      <c r="T145" s="127">
        <f>N145*P145*Q145*'1. Standard_Cost'!$D$15</f>
        <v>0</v>
      </c>
      <c r="U145" s="127">
        <f>N145*O145*'1. Standard_Cost'!$E$15</f>
        <v>0</v>
      </c>
      <c r="V145" s="126"/>
      <c r="W145" s="126"/>
      <c r="X145" s="126"/>
      <c r="Y145" s="127">
        <f>+V145*((X145*'1. Standard_Cost'!$B$19)+(W145*X145*'1. Standard_Cost'!$C$19))</f>
        <v>0</v>
      </c>
      <c r="Z145" s="126"/>
      <c r="AA145" s="126"/>
      <c r="AB145" s="127">
        <f>+Z145*'1. Standard_Cost'!$B$23+AA145*'1. Standard_Cost'!$C$23</f>
        <v>0</v>
      </c>
      <c r="AC145" s="128"/>
      <c r="AD145" s="129"/>
      <c r="AE145" s="127">
        <f>SUM(AD145,AC145,AB145,Y145,U145,T145,S145,R145)*'1. Standard_Cost'!$B$31</f>
        <v>0</v>
      </c>
      <c r="AF145" s="127">
        <f t="shared" si="91"/>
        <v>0</v>
      </c>
      <c r="AG145" s="126"/>
      <c r="AH145" s="126"/>
      <c r="AI145" s="126"/>
      <c r="AJ145" s="130"/>
      <c r="AK145" s="130"/>
      <c r="AL145" s="130"/>
      <c r="AM145" s="127">
        <f>AG145*'1. Standard_Cost'!$B$27+'Incremental_Cost Year 3'!AH145*'1. Standard_Cost'!$C$27+'Incremental_Cost Year 3'!AI145*'1. Standard_Cost'!$D$27+'Incremental_Cost Year 3'!AJ145+'Incremental_Cost Year 3'!AL145+AK145</f>
        <v>0</v>
      </c>
      <c r="AN145" s="127">
        <f>AM145*'1. Standard_Cost'!$C$31</f>
        <v>0</v>
      </c>
      <c r="AO145" s="130"/>
      <c r="AQ145" s="171">
        <f t="shared" si="92"/>
        <v>0</v>
      </c>
      <c r="AR145" s="171">
        <f t="shared" si="93"/>
        <v>0</v>
      </c>
      <c r="AS145" s="171">
        <f t="shared" si="94"/>
        <v>0</v>
      </c>
      <c r="AT145" s="171">
        <f t="shared" si="95"/>
        <v>0</v>
      </c>
      <c r="AU145" s="250"/>
      <c r="AV145" s="250"/>
      <c r="AW145" s="250"/>
      <c r="AX145" s="250"/>
      <c r="AY145" s="250"/>
      <c r="AZ145" s="250"/>
      <c r="BA145" s="250"/>
      <c r="BB145" s="251">
        <f t="shared" si="96"/>
        <v>0</v>
      </c>
      <c r="BC145" s="169"/>
      <c r="BD145" s="169"/>
      <c r="BE145" s="169"/>
      <c r="BF145" s="169"/>
    </row>
    <row r="146" spans="1:58" ht="173.25" outlineLevel="2" x14ac:dyDescent="0.25">
      <c r="A146" s="115"/>
      <c r="B146" s="200"/>
      <c r="C146" s="330"/>
      <c r="D146" s="343"/>
      <c r="E146" s="328"/>
      <c r="F146" s="328"/>
      <c r="G146" s="328"/>
      <c r="H146" s="199" t="s">
        <v>462</v>
      </c>
      <c r="I146" s="130"/>
      <c r="J146" s="126"/>
      <c r="K146" s="126"/>
      <c r="L146" s="125" t="str">
        <f>IF(I146&lt;&gt;0,((VLOOKUP(I146,'1. Standard_Cost'!$B$4:$D$11,2)+VLOOKUP(I146,'1. Standard_Cost'!$B$4:$D$11,3))*J146*K146),"0")</f>
        <v>0</v>
      </c>
      <c r="M146" s="125">
        <f>L146*'1. Standard_Cost'!$F$4</f>
        <v>0</v>
      </c>
      <c r="N146" s="126"/>
      <c r="O146" s="126"/>
      <c r="P146" s="126"/>
      <c r="Q146" s="126"/>
      <c r="R146" s="127">
        <f>'1. Standard_Cost'!$B$15*N146*P146</f>
        <v>0</v>
      </c>
      <c r="S146" s="127">
        <f>N146*O146*P146*'1. Standard_Cost'!$C$15</f>
        <v>0</v>
      </c>
      <c r="T146" s="127">
        <f>N146*P146*Q146*'1. Standard_Cost'!$D$15</f>
        <v>0</v>
      </c>
      <c r="U146" s="127">
        <f>N146*O146*'1. Standard_Cost'!$E$15</f>
        <v>0</v>
      </c>
      <c r="V146" s="126"/>
      <c r="W146" s="126"/>
      <c r="X146" s="126"/>
      <c r="Y146" s="127">
        <f>+V146*((X146*'1. Standard_Cost'!$B$19)+(W146*X146*'1. Standard_Cost'!$C$19))</f>
        <v>0</v>
      </c>
      <c r="Z146" s="126"/>
      <c r="AA146" s="126"/>
      <c r="AB146" s="127">
        <f>+Z146*'1. Standard_Cost'!$B$23+AA146*'1. Standard_Cost'!$C$23</f>
        <v>0</v>
      </c>
      <c r="AC146" s="128"/>
      <c r="AD146" s="129"/>
      <c r="AE146" s="127">
        <f>SUM(AD146,AC146,AB146,Y146,U146,T146,S146,R146)*'1. Standard_Cost'!$B$31</f>
        <v>0</v>
      </c>
      <c r="AF146" s="127">
        <f t="shared" si="91"/>
        <v>0</v>
      </c>
      <c r="AG146" s="126"/>
      <c r="AH146" s="126"/>
      <c r="AI146" s="126"/>
      <c r="AJ146" s="130"/>
      <c r="AK146" s="130"/>
      <c r="AL146" s="130"/>
      <c r="AM146" s="127">
        <f>AG146*'1. Standard_Cost'!$B$27+'Incremental_Cost Year 3'!AH146*'1. Standard_Cost'!$C$27+'Incremental_Cost Year 3'!AI146*'1. Standard_Cost'!$D$27+'Incremental_Cost Year 3'!AJ146+'Incremental_Cost Year 3'!AL146+AK146</f>
        <v>0</v>
      </c>
      <c r="AN146" s="127">
        <f>AM146*'1. Standard_Cost'!$C$31</f>
        <v>0</v>
      </c>
      <c r="AO146" s="130"/>
      <c r="AQ146" s="171">
        <f t="shared" si="92"/>
        <v>0</v>
      </c>
      <c r="AR146" s="171">
        <f t="shared" si="93"/>
        <v>0</v>
      </c>
      <c r="AS146" s="171">
        <f t="shared" si="94"/>
        <v>0</v>
      </c>
      <c r="AT146" s="171">
        <f t="shared" si="95"/>
        <v>0</v>
      </c>
      <c r="AU146" s="250"/>
      <c r="AV146" s="250"/>
      <c r="AW146" s="250"/>
      <c r="AX146" s="250"/>
      <c r="AY146" s="250"/>
      <c r="AZ146" s="250"/>
      <c r="BA146" s="250"/>
      <c r="BB146" s="251">
        <f t="shared" si="96"/>
        <v>0</v>
      </c>
      <c r="BC146" s="169"/>
      <c r="BD146" s="169"/>
      <c r="BE146" s="169"/>
      <c r="BF146" s="169"/>
    </row>
    <row r="147" spans="1:58" ht="94.5" outlineLevel="2" x14ac:dyDescent="0.25">
      <c r="A147" s="115"/>
      <c r="B147" s="200"/>
      <c r="C147" s="330"/>
      <c r="D147" s="343"/>
      <c r="E147" s="328"/>
      <c r="F147" s="328"/>
      <c r="G147" s="328"/>
      <c r="H147" s="199" t="s">
        <v>295</v>
      </c>
      <c r="I147" s="130"/>
      <c r="J147" s="126"/>
      <c r="K147" s="126"/>
      <c r="L147" s="125" t="str">
        <f>IF(I147&lt;&gt;0,((VLOOKUP(I147,'1. Standard_Cost'!$B$4:$D$11,2)+VLOOKUP(I147,'1. Standard_Cost'!$B$4:$D$11,3))*J147*K147),"0")</f>
        <v>0</v>
      </c>
      <c r="M147" s="125">
        <f>L147*'1. Standard_Cost'!$F$4</f>
        <v>0</v>
      </c>
      <c r="N147" s="126"/>
      <c r="O147" s="126"/>
      <c r="P147" s="126"/>
      <c r="Q147" s="126"/>
      <c r="R147" s="127">
        <f>'1. Standard_Cost'!$B$15*N147*P147</f>
        <v>0</v>
      </c>
      <c r="S147" s="127">
        <f>N147*O147*P147*'1. Standard_Cost'!$C$15</f>
        <v>0</v>
      </c>
      <c r="T147" s="127">
        <f>N147*P147*Q147*'1. Standard_Cost'!$D$15</f>
        <v>0</v>
      </c>
      <c r="U147" s="127">
        <f>N147*O147*'1. Standard_Cost'!$E$15</f>
        <v>0</v>
      </c>
      <c r="V147" s="126"/>
      <c r="W147" s="126"/>
      <c r="X147" s="126"/>
      <c r="Y147" s="127">
        <f>+V147*((X147*'1. Standard_Cost'!$B$19)+(W147*X147*'1. Standard_Cost'!$C$19))</f>
        <v>0</v>
      </c>
      <c r="Z147" s="126"/>
      <c r="AA147" s="126"/>
      <c r="AB147" s="127">
        <f>+Z147*'1. Standard_Cost'!$B$23+AA147*'1. Standard_Cost'!$C$23</f>
        <v>0</v>
      </c>
      <c r="AC147" s="128"/>
      <c r="AD147" s="129"/>
      <c r="AE147" s="127">
        <f>SUM(AD147,AC147,AB147,Y147,U147,T147,S147,R147)*'1. Standard_Cost'!$B$31</f>
        <v>0</v>
      </c>
      <c r="AF147" s="127">
        <f t="shared" si="91"/>
        <v>0</v>
      </c>
      <c r="AG147" s="126"/>
      <c r="AH147" s="126"/>
      <c r="AI147" s="126"/>
      <c r="AJ147" s="130"/>
      <c r="AK147" s="130"/>
      <c r="AL147" s="130"/>
      <c r="AM147" s="127">
        <f>AG147*'1. Standard_Cost'!$B$27+'Incremental_Cost Year 3'!AH147*'1. Standard_Cost'!$C$27+'Incremental_Cost Year 3'!AI147*'1. Standard_Cost'!$D$27+'Incremental_Cost Year 3'!AJ147+'Incremental_Cost Year 3'!AL147+AK147</f>
        <v>0</v>
      </c>
      <c r="AN147" s="127">
        <f>AM147*'1. Standard_Cost'!$C$31</f>
        <v>0</v>
      </c>
      <c r="AO147" s="130"/>
      <c r="AQ147" s="171">
        <f t="shared" si="92"/>
        <v>0</v>
      </c>
      <c r="AR147" s="171">
        <f t="shared" si="93"/>
        <v>0</v>
      </c>
      <c r="AS147" s="171">
        <f t="shared" si="94"/>
        <v>0</v>
      </c>
      <c r="AT147" s="171">
        <f t="shared" si="95"/>
        <v>0</v>
      </c>
      <c r="AU147" s="250"/>
      <c r="AV147" s="250"/>
      <c r="AW147" s="250"/>
      <c r="AX147" s="250"/>
      <c r="AY147" s="250"/>
      <c r="AZ147" s="250"/>
      <c r="BA147" s="250"/>
      <c r="BB147" s="251">
        <f t="shared" si="96"/>
        <v>0</v>
      </c>
      <c r="BC147" s="169"/>
      <c r="BD147" s="169"/>
      <c r="BE147" s="169"/>
      <c r="BF147" s="169"/>
    </row>
    <row r="148" spans="1:58" ht="126" outlineLevel="2" x14ac:dyDescent="0.25">
      <c r="A148" s="115"/>
      <c r="B148" s="147"/>
      <c r="C148" s="341"/>
      <c r="D148" s="343"/>
      <c r="E148" s="328"/>
      <c r="F148" s="328"/>
      <c r="G148" s="328"/>
      <c r="H148" s="199" t="s">
        <v>463</v>
      </c>
      <c r="I148" s="130"/>
      <c r="J148" s="126"/>
      <c r="K148" s="126"/>
      <c r="L148" s="125" t="str">
        <f>IF(I148&lt;&gt;0,((VLOOKUP(I148,'1. Standard_Cost'!$B$4:$D$11,2)+VLOOKUP(I148,'1. Standard_Cost'!$B$4:$D$11,3))*J148*K148),"0")</f>
        <v>0</v>
      </c>
      <c r="M148" s="125">
        <f>L148*'1. Standard_Cost'!$F$4</f>
        <v>0</v>
      </c>
      <c r="N148" s="126"/>
      <c r="O148" s="126"/>
      <c r="P148" s="126"/>
      <c r="Q148" s="126"/>
      <c r="R148" s="127">
        <f>'1. Standard_Cost'!$B$15*N148*P148</f>
        <v>0</v>
      </c>
      <c r="S148" s="127">
        <f>N148*O148*P148*'1. Standard_Cost'!$C$15</f>
        <v>0</v>
      </c>
      <c r="T148" s="127">
        <f>N148*P148*Q148*'1. Standard_Cost'!$D$15</f>
        <v>0</v>
      </c>
      <c r="U148" s="127">
        <f>N148*O148*'1. Standard_Cost'!$E$15</f>
        <v>0</v>
      </c>
      <c r="V148" s="126"/>
      <c r="W148" s="126"/>
      <c r="X148" s="126"/>
      <c r="Y148" s="127">
        <f>+V148*((X148*'1. Standard_Cost'!$B$19)+(W148*X148*'1. Standard_Cost'!$C$19))</f>
        <v>0</v>
      </c>
      <c r="Z148" s="126"/>
      <c r="AA148" s="126"/>
      <c r="AB148" s="127">
        <f>+Z148*'1. Standard_Cost'!$B$23+AA148*'1. Standard_Cost'!$C$23</f>
        <v>0</v>
      </c>
      <c r="AC148" s="128"/>
      <c r="AD148" s="129"/>
      <c r="AE148" s="127">
        <f>SUM(AD148,AC148,AB148,Y148,U148,T148,S148,R148)*'1. Standard_Cost'!$B$31</f>
        <v>0</v>
      </c>
      <c r="AF148" s="127">
        <f t="shared" si="91"/>
        <v>0</v>
      </c>
      <c r="AG148" s="126"/>
      <c r="AH148" s="126"/>
      <c r="AI148" s="126"/>
      <c r="AJ148" s="130"/>
      <c r="AK148" s="130"/>
      <c r="AL148" s="130"/>
      <c r="AM148" s="127">
        <f>AG148*'1. Standard_Cost'!$B$27+'Incremental_Cost Year 3'!AH148*'1. Standard_Cost'!$C$27+'Incremental_Cost Year 3'!AI148*'1. Standard_Cost'!$D$27+'Incremental_Cost Year 3'!AJ148+'Incremental_Cost Year 3'!AL148+AK148</f>
        <v>0</v>
      </c>
      <c r="AN148" s="127">
        <f>AM148*'1. Standard_Cost'!$C$31</f>
        <v>0</v>
      </c>
      <c r="AO148" s="130"/>
      <c r="AQ148" s="171">
        <f t="shared" si="92"/>
        <v>0</v>
      </c>
      <c r="AR148" s="171">
        <f t="shared" si="93"/>
        <v>0</v>
      </c>
      <c r="AS148" s="171">
        <f t="shared" si="94"/>
        <v>0</v>
      </c>
      <c r="AT148" s="171">
        <f t="shared" si="95"/>
        <v>0</v>
      </c>
      <c r="AU148" s="250"/>
      <c r="AV148" s="250"/>
      <c r="AW148" s="250"/>
      <c r="AX148" s="250"/>
      <c r="AY148" s="250"/>
      <c r="AZ148" s="250"/>
      <c r="BA148" s="250"/>
      <c r="BB148" s="251">
        <f t="shared" si="96"/>
        <v>0</v>
      </c>
      <c r="BC148" s="169"/>
      <c r="BD148" s="169"/>
      <c r="BE148" s="169"/>
      <c r="BF148" s="169"/>
    </row>
    <row r="149" spans="1:58" ht="141.75" outlineLevel="1" x14ac:dyDescent="0.25">
      <c r="A149" s="115"/>
      <c r="B149" s="165"/>
      <c r="C149" s="166"/>
      <c r="D149" s="228" t="s">
        <v>464</v>
      </c>
      <c r="E149" s="345" t="s">
        <v>296</v>
      </c>
      <c r="F149" s="136">
        <v>2024</v>
      </c>
      <c r="G149" s="117">
        <v>2030</v>
      </c>
      <c r="H149" s="110" t="s">
        <v>297</v>
      </c>
      <c r="I149" s="252"/>
      <c r="J149" s="252"/>
      <c r="K149" s="252"/>
      <c r="L149" s="127">
        <f>SUM(L141:L148)</f>
        <v>0</v>
      </c>
      <c r="M149" s="127">
        <f>SUM(M141:M148)</f>
        <v>0</v>
      </c>
      <c r="N149" s="127"/>
      <c r="O149" s="252"/>
      <c r="P149" s="252"/>
      <c r="Q149" s="252"/>
      <c r="R149" s="127">
        <f>SUM(R141:R148)</f>
        <v>0</v>
      </c>
      <c r="S149" s="127">
        <f>SUM(S141:S148)</f>
        <v>0</v>
      </c>
      <c r="T149" s="127">
        <f>SUM(T141:T148)</f>
        <v>0</v>
      </c>
      <c r="U149" s="127">
        <f>SUM(U141:U148)</f>
        <v>0</v>
      </c>
      <c r="V149" s="252"/>
      <c r="W149" s="252"/>
      <c r="X149" s="252"/>
      <c r="Y149" s="127">
        <f>SUM(Y141:Y148)</f>
        <v>0</v>
      </c>
      <c r="Z149" s="252"/>
      <c r="AA149" s="252"/>
      <c r="AB149" s="127">
        <f>SUM(AB141:AB148)</f>
        <v>0</v>
      </c>
      <c r="AC149" s="127">
        <f>SUM(AC141:AC148)</f>
        <v>0</v>
      </c>
      <c r="AD149" s="127">
        <f>SUM(AD141:AD148)</f>
        <v>0</v>
      </c>
      <c r="AE149" s="127">
        <f>SUM(AE141:AE148)</f>
        <v>0</v>
      </c>
      <c r="AF149" s="127">
        <f>SUM(AF141:AF148)</f>
        <v>0</v>
      </c>
      <c r="AG149" s="252"/>
      <c r="AH149" s="252"/>
      <c r="AI149" s="252"/>
      <c r="AJ149" s="127">
        <f>SUM(AJ141:AJ148)</f>
        <v>0</v>
      </c>
      <c r="AK149" s="127">
        <f>SUM(AK141:AK148)</f>
        <v>0</v>
      </c>
      <c r="AL149" s="127">
        <f>SUM(AL141:AL148)</f>
        <v>0</v>
      </c>
      <c r="AM149" s="127">
        <f>SUM(AM141:AM148)</f>
        <v>0</v>
      </c>
      <c r="AN149" s="127">
        <f>SUM(AN141:AN148)</f>
        <v>0</v>
      </c>
      <c r="AO149" s="253"/>
      <c r="AP149" s="254"/>
      <c r="AQ149" s="175">
        <f>SUM(AQ141:AQ148)</f>
        <v>0</v>
      </c>
      <c r="AR149" s="175">
        <f>SUM(AR141:AR148)</f>
        <v>0</v>
      </c>
      <c r="AS149" s="175">
        <f>SUM(AS141:AS148)</f>
        <v>0</v>
      </c>
      <c r="AT149" s="175">
        <f>SUM(AT141:AT148)</f>
        <v>0</v>
      </c>
      <c r="AU149" s="175">
        <f t="shared" ref="AU149:BB149" si="97">SUM(AU141:AU148)</f>
        <v>0</v>
      </c>
      <c r="AV149" s="175">
        <f t="shared" si="97"/>
        <v>0</v>
      </c>
      <c r="AW149" s="175">
        <f t="shared" si="97"/>
        <v>0</v>
      </c>
      <c r="AX149" s="175">
        <f t="shared" si="97"/>
        <v>0</v>
      </c>
      <c r="AY149" s="175">
        <f t="shared" si="97"/>
        <v>0</v>
      </c>
      <c r="AZ149" s="175">
        <f t="shared" si="97"/>
        <v>0</v>
      </c>
      <c r="BA149" s="175">
        <f t="shared" si="97"/>
        <v>0</v>
      </c>
      <c r="BB149" s="175">
        <f t="shared" si="97"/>
        <v>0</v>
      </c>
      <c r="BC149" s="169"/>
      <c r="BD149" s="169"/>
      <c r="BE149" s="169"/>
      <c r="BF149" s="169"/>
    </row>
    <row r="150" spans="1:58" s="170" customFormat="1" ht="15.75" customHeight="1" x14ac:dyDescent="0.25">
      <c r="A150" s="120"/>
      <c r="B150" s="388" t="s">
        <v>231</v>
      </c>
      <c r="C150" s="393"/>
      <c r="D150" s="393"/>
      <c r="E150" s="394"/>
      <c r="F150" s="339"/>
      <c r="G150" s="339"/>
      <c r="H150" s="148" t="s">
        <v>166</v>
      </c>
      <c r="I150" s="265"/>
      <c r="J150" s="243"/>
      <c r="K150" s="243"/>
      <c r="L150" s="243">
        <f>L151+L163+L182</f>
        <v>10732767964.961439</v>
      </c>
      <c r="M150" s="243">
        <f>M151+M163+M182</f>
        <v>1792372250.1485603</v>
      </c>
      <c r="N150" s="243"/>
      <c r="O150" s="243"/>
      <c r="P150" s="243"/>
      <c r="Q150" s="243"/>
      <c r="R150" s="243">
        <f>R151+R163+R182</f>
        <v>590000</v>
      </c>
      <c r="S150" s="243">
        <f>S151+S163+S182</f>
        <v>442500</v>
      </c>
      <c r="T150" s="243">
        <f>T151+T163+T182</f>
        <v>0</v>
      </c>
      <c r="U150" s="243">
        <f>U151+U163+U182</f>
        <v>480000</v>
      </c>
      <c r="V150" s="243"/>
      <c r="W150" s="243"/>
      <c r="X150" s="243"/>
      <c r="Y150" s="243"/>
      <c r="Z150" s="243">
        <v>0</v>
      </c>
      <c r="AA150" s="243"/>
      <c r="AB150" s="243">
        <f>AB151+AB163+AB182</f>
        <v>7009000</v>
      </c>
      <c r="AC150" s="243">
        <f>AC151+AC163+AC182</f>
        <v>13591968755</v>
      </c>
      <c r="AD150" s="243">
        <f>AD151+AD163+AD182</f>
        <v>0</v>
      </c>
      <c r="AE150" s="243">
        <f>AE151+AE163+AE182</f>
        <v>1703182051</v>
      </c>
      <c r="AF150" s="243">
        <f>AF151+AF163+AF182</f>
        <v>15303672306</v>
      </c>
      <c r="AG150" s="243"/>
      <c r="AH150" s="243"/>
      <c r="AI150" s="243"/>
      <c r="AJ150" s="243">
        <f>AJ151+AJ163+AJ182</f>
        <v>2087483000</v>
      </c>
      <c r="AK150" s="243">
        <f>AK151+AK163+AK182</f>
        <v>0</v>
      </c>
      <c r="AL150" s="243">
        <f>AL151+AL163+AL182</f>
        <v>514730000</v>
      </c>
      <c r="AM150" s="243">
        <f>AM151+AM163+AM182</f>
        <v>2602213000</v>
      </c>
      <c r="AN150" s="243">
        <f>AN151+AN163+AN182</f>
        <v>365581950</v>
      </c>
      <c r="AO150" s="243"/>
      <c r="AP150" s="244"/>
      <c r="AQ150" s="243">
        <f>AQ151+AQ163+AQ182</f>
        <v>12525140215.110001</v>
      </c>
      <c r="AR150" s="243">
        <f>AR151+AR163+AR182</f>
        <v>15303672306</v>
      </c>
      <c r="AS150" s="243">
        <f>AS151+AS163+AS182</f>
        <v>2967794950</v>
      </c>
      <c r="AT150" s="243">
        <f>AT151+AT163+AT182</f>
        <v>30796607471.109997</v>
      </c>
      <c r="AU150" s="243">
        <f t="shared" ref="AU150:BB150" si="98">AU151+AU163+AU182</f>
        <v>28244899603.200001</v>
      </c>
      <c r="AV150" s="243">
        <f t="shared" si="98"/>
        <v>100000000</v>
      </c>
      <c r="AW150" s="243">
        <f t="shared" si="98"/>
        <v>602000000</v>
      </c>
      <c r="AX150" s="243">
        <f t="shared" si="98"/>
        <v>0</v>
      </c>
      <c r="AY150" s="243">
        <f t="shared" si="98"/>
        <v>0</v>
      </c>
      <c r="AZ150" s="243">
        <f t="shared" si="98"/>
        <v>299300000</v>
      </c>
      <c r="BA150" s="243">
        <f t="shared" si="98"/>
        <v>0</v>
      </c>
      <c r="BB150" s="243">
        <f t="shared" si="98"/>
        <v>-1550407867.9099982</v>
      </c>
    </row>
    <row r="151" spans="1:58" s="184" customFormat="1" ht="15.75" customHeight="1" x14ac:dyDescent="0.25">
      <c r="A151" s="143"/>
      <c r="B151" s="290"/>
      <c r="C151" s="391" t="s">
        <v>232</v>
      </c>
      <c r="D151" s="391"/>
      <c r="E151" s="392"/>
      <c r="F151" s="287"/>
      <c r="G151" s="289"/>
      <c r="H151" s="149" t="s">
        <v>167</v>
      </c>
      <c r="I151" s="257"/>
      <c r="J151" s="257"/>
      <c r="K151" s="257"/>
      <c r="L151" s="258">
        <f>L156+L159+L162</f>
        <v>13150200</v>
      </c>
      <c r="M151" s="258">
        <f>M156+M159+M162</f>
        <v>2196083.4</v>
      </c>
      <c r="N151" s="257"/>
      <c r="O151" s="257"/>
      <c r="P151" s="257"/>
      <c r="Q151" s="257"/>
      <c r="R151" s="258">
        <f>R156+R159+R162</f>
        <v>550000</v>
      </c>
      <c r="S151" s="258">
        <f>S156+S159+S162</f>
        <v>412500</v>
      </c>
      <c r="T151" s="258">
        <f>T156+T159+T162</f>
        <v>0</v>
      </c>
      <c r="U151" s="258">
        <f>U156+U159+U162</f>
        <v>440000</v>
      </c>
      <c r="V151" s="257"/>
      <c r="W151" s="257"/>
      <c r="X151" s="257"/>
      <c r="Y151" s="258"/>
      <c r="Z151" s="258">
        <v>0</v>
      </c>
      <c r="AA151" s="257"/>
      <c r="AB151" s="258">
        <f>AB156+AB159+AB162</f>
        <v>4009000</v>
      </c>
      <c r="AC151" s="258">
        <f>AC156+AC159+AC162</f>
        <v>9820000</v>
      </c>
      <c r="AD151" s="258">
        <f>AD156+AD159+AD162</f>
        <v>0</v>
      </c>
      <c r="AE151" s="258">
        <f>AE156+AE159+AE162</f>
        <v>2416300</v>
      </c>
      <c r="AF151" s="258">
        <f>AF156+AF159+AF162</f>
        <v>17647800</v>
      </c>
      <c r="AG151" s="257"/>
      <c r="AH151" s="257"/>
      <c r="AI151" s="257"/>
      <c r="AJ151" s="258">
        <f>AJ156+AJ159+AJ162</f>
        <v>210870000</v>
      </c>
      <c r="AK151" s="258">
        <f>AK156+AK159+AK162</f>
        <v>0</v>
      </c>
      <c r="AL151" s="258">
        <f>AL156+AL159+AL162</f>
        <v>204130000</v>
      </c>
      <c r="AM151" s="258">
        <f>AM156+AM159+AM162</f>
        <v>415000000</v>
      </c>
      <c r="AN151" s="258">
        <f>AN156+AN159+AN162</f>
        <v>37500000</v>
      </c>
      <c r="AO151" s="259"/>
      <c r="AP151" s="260"/>
      <c r="AQ151" s="258">
        <f>AQ156+AQ159+AQ162</f>
        <v>15346283.4</v>
      </c>
      <c r="AR151" s="258">
        <f>AR156+AR159+AR162</f>
        <v>17647800</v>
      </c>
      <c r="AS151" s="258">
        <f>AS156+AS159+AS162</f>
        <v>452500000</v>
      </c>
      <c r="AT151" s="258">
        <f>AT156+AT159+AT162</f>
        <v>485494083.40000004</v>
      </c>
      <c r="AU151" s="258">
        <f t="shared" ref="AU151:BB151" si="99">AU156+AU159+AU162</f>
        <v>140808214</v>
      </c>
      <c r="AV151" s="258">
        <f t="shared" si="99"/>
        <v>0</v>
      </c>
      <c r="AW151" s="258">
        <f t="shared" si="99"/>
        <v>0</v>
      </c>
      <c r="AX151" s="258">
        <f t="shared" si="99"/>
        <v>0</v>
      </c>
      <c r="AY151" s="258">
        <f t="shared" si="99"/>
        <v>0</v>
      </c>
      <c r="AZ151" s="258">
        <f t="shared" si="99"/>
        <v>299300000</v>
      </c>
      <c r="BA151" s="258">
        <f t="shared" si="99"/>
        <v>0</v>
      </c>
      <c r="BB151" s="258">
        <f t="shared" si="99"/>
        <v>-45385869.399999999</v>
      </c>
    </row>
    <row r="152" spans="1:58" ht="47.25" outlineLevel="2" x14ac:dyDescent="0.25">
      <c r="A152" s="115"/>
      <c r="B152" s="200"/>
      <c r="C152" s="201"/>
      <c r="D152" s="202"/>
      <c r="E152" s="294"/>
      <c r="F152" s="306"/>
      <c r="G152" s="307"/>
      <c r="H152" s="199" t="s">
        <v>465</v>
      </c>
      <c r="I152" s="130"/>
      <c r="J152" s="126"/>
      <c r="K152" s="126"/>
      <c r="L152" s="125" t="str">
        <f>IF(I152&lt;&gt;0,((VLOOKUP(I152,'1. Standard_Cost'!$B$4:$D$11,2)+VLOOKUP(I152,'1. Standard_Cost'!$B$4:$D$11,3))*J152*K152),"0")</f>
        <v>0</v>
      </c>
      <c r="M152" s="125">
        <f>L152*'1. Standard_Cost'!$F$4</f>
        <v>0</v>
      </c>
      <c r="N152" s="126"/>
      <c r="O152" s="126"/>
      <c r="P152" s="126"/>
      <c r="Q152" s="126"/>
      <c r="R152" s="127">
        <f>'1. Standard_Cost'!$B$15*N152*P152</f>
        <v>0</v>
      </c>
      <c r="S152" s="127">
        <f>N152*O152*P152*'1. Standard_Cost'!$C$15</f>
        <v>0</v>
      </c>
      <c r="T152" s="127">
        <f>N152*P152*Q152*'1. Standard_Cost'!$D$15</f>
        <v>0</v>
      </c>
      <c r="U152" s="127">
        <f>N152*O152*'1. Standard_Cost'!$E$15</f>
        <v>0</v>
      </c>
      <c r="V152" s="126"/>
      <c r="W152" s="126"/>
      <c r="X152" s="126"/>
      <c r="Y152" s="127">
        <f>+V152*((X152*'1. Standard_Cost'!$B$19)+(W152*X152*'1. Standard_Cost'!$C$19))</f>
        <v>0</v>
      </c>
      <c r="Z152" s="126"/>
      <c r="AA152" s="126"/>
      <c r="AB152" s="127">
        <f>+Z152*'1. Standard_Cost'!$B$23+AA152*'1. Standard_Cost'!$C$23</f>
        <v>0</v>
      </c>
      <c r="AC152" s="128"/>
      <c r="AD152" s="129"/>
      <c r="AE152" s="127">
        <f>SUM(AD152,AC152,AB152,Y152,U152,T152,S152,R152)*'1. Standard_Cost'!$B$31</f>
        <v>0</v>
      </c>
      <c r="AF152" s="127">
        <f>SUM(AE152,AD152,AC152,AB152,Y152,U152,T152,S152,R152)</f>
        <v>0</v>
      </c>
      <c r="AG152" s="126"/>
      <c r="AH152" s="126"/>
      <c r="AI152" s="126"/>
      <c r="AJ152" s="130">
        <f>52870000+158000000</f>
        <v>210870000</v>
      </c>
      <c r="AK152" s="130"/>
      <c r="AL152" s="130">
        <v>39130000</v>
      </c>
      <c r="AM152" s="127">
        <f>AG152*'1. Standard_Cost'!$B$27+'Incremental_Cost Year 3'!AH152*'1. Standard_Cost'!$C$27+'Incremental_Cost Year 3'!AI152*'1. Standard_Cost'!$D$27+'Incremental_Cost Year 3'!AJ152+'Incremental_Cost Year 3'!AL152+AK152</f>
        <v>250000000</v>
      </c>
      <c r="AN152" s="127">
        <f>AM152*'1. Standard_Cost'!$C$31</f>
        <v>37500000</v>
      </c>
      <c r="AO152" s="130"/>
      <c r="AP152" s="256"/>
      <c r="AQ152" s="171">
        <f>L152+M152</f>
        <v>0</v>
      </c>
      <c r="AR152" s="171">
        <f>AF152</f>
        <v>0</v>
      </c>
      <c r="AS152" s="171">
        <f>AM152+AN152</f>
        <v>287500000</v>
      </c>
      <c r="AT152" s="171">
        <f>SUM(AQ152,AR152,AS152)</f>
        <v>287500000</v>
      </c>
      <c r="AU152" s="250">
        <v>92000000</v>
      </c>
      <c r="AV152" s="250"/>
      <c r="AW152" s="250"/>
      <c r="AX152" s="250"/>
      <c r="AY152" s="250"/>
      <c r="AZ152" s="250">
        <v>158000000</v>
      </c>
      <c r="BA152" s="250"/>
      <c r="BB152" s="251">
        <f t="shared" ref="BB152:BB155" si="100">SUM(AU152:BA152)-AT152</f>
        <v>-37500000</v>
      </c>
      <c r="BC152" s="169"/>
      <c r="BD152" s="169"/>
      <c r="BE152" s="169"/>
      <c r="BF152" s="169"/>
    </row>
    <row r="153" spans="1:58" ht="110.25" outlineLevel="2" x14ac:dyDescent="0.25">
      <c r="A153" s="115"/>
      <c r="B153" s="200"/>
      <c r="C153" s="201"/>
      <c r="D153" s="116"/>
      <c r="E153" s="230"/>
      <c r="F153" s="308"/>
      <c r="G153" s="309"/>
      <c r="H153" s="199" t="s">
        <v>466</v>
      </c>
      <c r="I153" s="130" t="s">
        <v>172</v>
      </c>
      <c r="J153" s="126">
        <v>2</v>
      </c>
      <c r="K153" s="126">
        <v>13</v>
      </c>
      <c r="L153" s="125">
        <f>IF(I153&lt;&gt;0,((VLOOKUP(I153,'1. Standard_Cost'!$B$4:$D$11,2)+VLOOKUP(I153,'1. Standard_Cost'!$B$4:$D$11,3))*J153*K153),"0")</f>
        <v>1313000</v>
      </c>
      <c r="M153" s="125">
        <f>L153*'1. Standard_Cost'!$F$4</f>
        <v>219271</v>
      </c>
      <c r="N153" s="126"/>
      <c r="O153" s="126"/>
      <c r="P153" s="126"/>
      <c r="Q153" s="126"/>
      <c r="R153" s="127">
        <f>'1. Standard_Cost'!$B$15*N153*P153</f>
        <v>0</v>
      </c>
      <c r="S153" s="127">
        <f>N153*O153*P153*'1. Standard_Cost'!$C$15</f>
        <v>0</v>
      </c>
      <c r="T153" s="127">
        <f>N153*P153*Q153*'1. Standard_Cost'!$D$15</f>
        <v>0</v>
      </c>
      <c r="U153" s="127">
        <f>N153*O153*'1. Standard_Cost'!$E$15</f>
        <v>0</v>
      </c>
      <c r="V153" s="126"/>
      <c r="W153" s="126"/>
      <c r="X153" s="126"/>
      <c r="Y153" s="127">
        <f>+V153*((X153*'1. Standard_Cost'!$B$19)+(W153*X153*'1. Standard_Cost'!$C$19))</f>
        <v>0</v>
      </c>
      <c r="Z153" s="126"/>
      <c r="AA153" s="126">
        <v>40</v>
      </c>
      <c r="AB153" s="127">
        <f>+Z153*'1. Standard_Cost'!$B$23+AA153*'1. Standard_Cost'!$C$23</f>
        <v>760000</v>
      </c>
      <c r="AC153" s="128">
        <v>150000</v>
      </c>
      <c r="AD153" s="129"/>
      <c r="AE153" s="127">
        <f>SUM(AD153,AC153,AB153,Y153,U153,T153,S153,R153)*'1. Standard_Cost'!$B$31</f>
        <v>182000</v>
      </c>
      <c r="AF153" s="127">
        <f>SUM(AE153,AD153,AC153,AB153,Y153,U153,T153,S153,R153)</f>
        <v>1092000</v>
      </c>
      <c r="AG153" s="126"/>
      <c r="AH153" s="126"/>
      <c r="AI153" s="126"/>
      <c r="AJ153" s="130"/>
      <c r="AK153" s="130"/>
      <c r="AL153" s="130"/>
      <c r="AM153" s="127">
        <f>AG153*'1. Standard_Cost'!$B$27+'Incremental_Cost Year 3'!AH153*'1. Standard_Cost'!$C$27+'Incremental_Cost Year 3'!AI153*'1. Standard_Cost'!$D$27+'Incremental_Cost Year 3'!AJ153+'Incremental_Cost Year 3'!AL153+AK153</f>
        <v>0</v>
      </c>
      <c r="AN153" s="127">
        <f>AM153*'1. Standard_Cost'!$C$31</f>
        <v>0</v>
      </c>
      <c r="AO153" s="130"/>
      <c r="AP153" s="256"/>
      <c r="AQ153" s="171">
        <f>L153+M153</f>
        <v>1532271</v>
      </c>
      <c r="AR153" s="171">
        <f>AF153</f>
        <v>1092000</v>
      </c>
      <c r="AS153" s="171">
        <f>AM153+AN153</f>
        <v>0</v>
      </c>
      <c r="AT153" s="171">
        <f>SUM(AQ153,AR153,AS153)</f>
        <v>2624271</v>
      </c>
      <c r="AU153" s="250">
        <v>1712271</v>
      </c>
      <c r="AV153" s="250"/>
      <c r="AW153" s="250"/>
      <c r="AX153" s="250"/>
      <c r="AY153" s="250"/>
      <c r="AZ153" s="250"/>
      <c r="BA153" s="250"/>
      <c r="BB153" s="251">
        <f t="shared" si="100"/>
        <v>-912000</v>
      </c>
      <c r="BC153" s="169"/>
      <c r="BD153" s="169"/>
      <c r="BE153" s="169"/>
      <c r="BF153" s="169"/>
    </row>
    <row r="154" spans="1:58" ht="63" outlineLevel="2" x14ac:dyDescent="0.25">
      <c r="A154" s="115"/>
      <c r="B154" s="200"/>
      <c r="C154" s="201"/>
      <c r="D154" s="139"/>
      <c r="E154" s="230"/>
      <c r="F154" s="308"/>
      <c r="G154" s="309"/>
      <c r="H154" s="199" t="s">
        <v>467</v>
      </c>
      <c r="I154" s="130" t="s">
        <v>5</v>
      </c>
      <c r="J154" s="126">
        <v>4</v>
      </c>
      <c r="K154" s="126">
        <v>1</v>
      </c>
      <c r="L154" s="125">
        <f>IF(I154&lt;&gt;0,((VLOOKUP(I154,'1. Standard_Cost'!$B$4:$D$11,2)+VLOOKUP(I154,'1. Standard_Cost'!$B$4:$D$11,3))*J154*K154),"0")</f>
        <v>282800</v>
      </c>
      <c r="M154" s="125">
        <f>L154*'1. Standard_Cost'!$F$4</f>
        <v>47227.600000000006</v>
      </c>
      <c r="N154" s="126"/>
      <c r="O154" s="126"/>
      <c r="P154" s="126"/>
      <c r="Q154" s="126"/>
      <c r="R154" s="127">
        <f>'1. Standard_Cost'!$B$15*N154*P154</f>
        <v>0</v>
      </c>
      <c r="S154" s="127">
        <f>N154*O154*P154*'1. Standard_Cost'!$C$15</f>
        <v>0</v>
      </c>
      <c r="T154" s="127">
        <f>N154*P154*Q154*'1. Standard_Cost'!$D$15</f>
        <v>0</v>
      </c>
      <c r="U154" s="127">
        <f>N154*O154*'1. Standard_Cost'!$E$15</f>
        <v>0</v>
      </c>
      <c r="V154" s="126"/>
      <c r="W154" s="126"/>
      <c r="X154" s="126"/>
      <c r="Y154" s="127">
        <f>+V154*((X154*'1. Standard_Cost'!$B$19)+(W154*X154*'1. Standard_Cost'!$C$19))</f>
        <v>0</v>
      </c>
      <c r="Z154" s="126"/>
      <c r="AA154" s="126">
        <v>100</v>
      </c>
      <c r="AB154" s="127">
        <f>+Z154*'1. Standard_Cost'!$B$23+AA154*'1. Standard_Cost'!$C$23</f>
        <v>1900000</v>
      </c>
      <c r="AC154" s="128">
        <v>60000</v>
      </c>
      <c r="AD154" s="129"/>
      <c r="AE154" s="127">
        <f>SUM(AD154,AC154,AB154,Y154,U154,T154,S154,R154)*'1. Standard_Cost'!$B$31</f>
        <v>392000</v>
      </c>
      <c r="AF154" s="127">
        <f>SUM(AE154,AD154,AC154,AB154,Y154,U154,T154,S154,R154)</f>
        <v>2352000</v>
      </c>
      <c r="AG154" s="126"/>
      <c r="AH154" s="126"/>
      <c r="AI154" s="126"/>
      <c r="AJ154" s="130"/>
      <c r="AK154" s="130"/>
      <c r="AL154" s="130"/>
      <c r="AM154" s="127">
        <f>AG154*'1. Standard_Cost'!$B$27+'Incremental_Cost Year 3'!AH154*'1. Standard_Cost'!$C$27+'Incremental_Cost Year 3'!AI154*'1. Standard_Cost'!$D$27+'Incremental_Cost Year 3'!AJ154+'Incremental_Cost Year 3'!AL154+AK154</f>
        <v>0</v>
      </c>
      <c r="AN154" s="127">
        <f>AM154*'1. Standard_Cost'!$C$31</f>
        <v>0</v>
      </c>
      <c r="AO154" s="130"/>
      <c r="AP154" s="256"/>
      <c r="AQ154" s="171">
        <f>L154+M154</f>
        <v>330027.59999999998</v>
      </c>
      <c r="AR154" s="171">
        <f>AF154</f>
        <v>2352000</v>
      </c>
      <c r="AS154" s="171">
        <f>AM154+AN154</f>
        <v>0</v>
      </c>
      <c r="AT154" s="171">
        <f>SUM(AQ154,AR154,AS154)</f>
        <v>2682027.6</v>
      </c>
      <c r="AU154" s="250">
        <v>402000</v>
      </c>
      <c r="AV154" s="250"/>
      <c r="AW154" s="250"/>
      <c r="AX154" s="250"/>
      <c r="AY154" s="250"/>
      <c r="AZ154" s="250"/>
      <c r="BA154" s="250"/>
      <c r="BB154" s="251">
        <f t="shared" si="100"/>
        <v>-2280027.6</v>
      </c>
      <c r="BC154" s="169"/>
      <c r="BD154" s="169"/>
      <c r="BE154" s="169"/>
      <c r="BF154" s="169"/>
    </row>
    <row r="155" spans="1:58" ht="126" outlineLevel="2" x14ac:dyDescent="0.25">
      <c r="A155" s="115"/>
      <c r="B155" s="200"/>
      <c r="C155" s="201"/>
      <c r="D155" s="151"/>
      <c r="E155" s="121"/>
      <c r="F155" s="311"/>
      <c r="G155" s="312"/>
      <c r="H155" s="199" t="s">
        <v>540</v>
      </c>
      <c r="I155" s="130" t="s">
        <v>172</v>
      </c>
      <c r="J155" s="126">
        <v>2</v>
      </c>
      <c r="K155" s="126">
        <v>1</v>
      </c>
      <c r="L155" s="125">
        <f>IF(I155&lt;&gt;0,((VLOOKUP(I155,'1. Standard_Cost'!$B$4:$D$11,2)+VLOOKUP(I155,'1. Standard_Cost'!$B$4:$D$11,3))*J155*K155),"0")</f>
        <v>101000</v>
      </c>
      <c r="M155" s="125">
        <f>L155*'1. Standard_Cost'!$F$4</f>
        <v>16867</v>
      </c>
      <c r="N155" s="126">
        <v>11</v>
      </c>
      <c r="O155" s="126">
        <v>1</v>
      </c>
      <c r="P155" s="126">
        <v>25</v>
      </c>
      <c r="Q155" s="126"/>
      <c r="R155" s="127">
        <f>'1. Standard_Cost'!$B$15*N155*P155</f>
        <v>550000</v>
      </c>
      <c r="S155" s="127">
        <f>N155*O155*P155*'1. Standard_Cost'!$C$15</f>
        <v>412500</v>
      </c>
      <c r="T155" s="127">
        <f>N155*P155*Q155*'1. Standard_Cost'!$D$15</f>
        <v>0</v>
      </c>
      <c r="U155" s="127">
        <f>N155*O155*'1. Standard_Cost'!$E$15</f>
        <v>440000</v>
      </c>
      <c r="V155" s="126"/>
      <c r="W155" s="126"/>
      <c r="X155" s="126"/>
      <c r="Y155" s="127">
        <f>+V155*((X155*'1. Standard_Cost'!$B$19)+(W155*X155*'1. Standard_Cost'!$C$19))</f>
        <v>0</v>
      </c>
      <c r="Z155" s="126"/>
      <c r="AA155" s="126">
        <v>26</v>
      </c>
      <c r="AB155" s="127">
        <f>+Z155*'1. Standard_Cost'!$B$23+AA155*'1. Standard_Cost'!$C$23</f>
        <v>494000</v>
      </c>
      <c r="AC155" s="128">
        <f>6300000+110000</f>
        <v>6410000</v>
      </c>
      <c r="AD155" s="129"/>
      <c r="AE155" s="127">
        <f>SUM(AD155,AC155,AB155,Y155,U155,T155,S155,R155)*'1. Standard_Cost'!$B$31</f>
        <v>1661300</v>
      </c>
      <c r="AF155" s="127">
        <f>SUM(AE155,AD155,AC155,AB155,Y155,U155,T155,S155,R155)</f>
        <v>9967800</v>
      </c>
      <c r="AG155" s="126"/>
      <c r="AH155" s="126"/>
      <c r="AI155" s="126"/>
      <c r="AJ155" s="130"/>
      <c r="AK155" s="130"/>
      <c r="AL155" s="130"/>
      <c r="AM155" s="127">
        <f>AG155*'1. Standard_Cost'!$B$27+'Incremental_Cost Year 3'!AH155*'1. Standard_Cost'!$C$27+'Incremental_Cost Year 3'!AI155*'1. Standard_Cost'!$D$27+'Incremental_Cost Year 3'!AJ155+'Incremental_Cost Year 3'!AL155+AK155</f>
        <v>0</v>
      </c>
      <c r="AN155" s="127">
        <f>AM155*'1. Standard_Cost'!$C$31</f>
        <v>0</v>
      </c>
      <c r="AO155" s="130"/>
      <c r="AP155" s="256"/>
      <c r="AQ155" s="171">
        <f>L155+M155</f>
        <v>117867</v>
      </c>
      <c r="AR155" s="171">
        <f>AF155</f>
        <v>9967800</v>
      </c>
      <c r="AS155" s="171">
        <f>AM155+AN155</f>
        <v>0</v>
      </c>
      <c r="AT155" s="171">
        <f>SUM(AQ155,AR155,AS155)</f>
        <v>10085667</v>
      </c>
      <c r="AU155" s="250">
        <v>117867</v>
      </c>
      <c r="AV155" s="250"/>
      <c r="AW155" s="250"/>
      <c r="AX155" s="250"/>
      <c r="AY155" s="250"/>
      <c r="AZ155" s="250">
        <v>6300000</v>
      </c>
      <c r="BA155" s="250"/>
      <c r="BB155" s="251">
        <f t="shared" si="100"/>
        <v>-3667800</v>
      </c>
      <c r="BC155" s="169"/>
      <c r="BD155" s="169"/>
      <c r="BE155" s="169"/>
      <c r="BF155" s="169"/>
    </row>
    <row r="156" spans="1:58" ht="47.25" outlineLevel="2" x14ac:dyDescent="0.25">
      <c r="A156" s="115"/>
      <c r="B156" s="165"/>
      <c r="C156" s="166"/>
      <c r="D156" s="212" t="s">
        <v>233</v>
      </c>
      <c r="E156" s="212" t="s">
        <v>468</v>
      </c>
      <c r="F156" s="136">
        <v>2021</v>
      </c>
      <c r="G156" s="117">
        <v>2025</v>
      </c>
      <c r="H156" s="110" t="s">
        <v>168</v>
      </c>
      <c r="I156" s="252"/>
      <c r="J156" s="252"/>
      <c r="K156" s="252"/>
      <c r="L156" s="127">
        <f>SUM(L152:L155)</f>
        <v>1696800</v>
      </c>
      <c r="M156" s="127">
        <f>SUM(M152:M155)</f>
        <v>283365.59999999998</v>
      </c>
      <c r="N156" s="252"/>
      <c r="O156" s="252"/>
      <c r="P156" s="252"/>
      <c r="Q156" s="252"/>
      <c r="R156" s="127">
        <f>SUM(R152:R155)</f>
        <v>550000</v>
      </c>
      <c r="S156" s="127">
        <f>SUM(S152:S155)</f>
        <v>412500</v>
      </c>
      <c r="T156" s="127">
        <f>SUM(T152:T155)</f>
        <v>0</v>
      </c>
      <c r="U156" s="127">
        <f>SUM(U152:U155)</f>
        <v>440000</v>
      </c>
      <c r="V156" s="252"/>
      <c r="W156" s="252"/>
      <c r="X156" s="252"/>
      <c r="Y156" s="127">
        <f>SUM(Y152:Y155)</f>
        <v>0</v>
      </c>
      <c r="Z156" s="252"/>
      <c r="AA156" s="252"/>
      <c r="AB156" s="127">
        <f>SUM(AB152:AB155)</f>
        <v>3154000</v>
      </c>
      <c r="AC156" s="127">
        <f>SUM(AC152:AC155)</f>
        <v>6620000</v>
      </c>
      <c r="AD156" s="127">
        <f>SUM(AD152:AD155)</f>
        <v>0</v>
      </c>
      <c r="AE156" s="127">
        <f>SUM(AE152:AE155)</f>
        <v>2235300</v>
      </c>
      <c r="AF156" s="127">
        <f>SUM(AF152:AF155)</f>
        <v>13411800</v>
      </c>
      <c r="AG156" s="252"/>
      <c r="AH156" s="252"/>
      <c r="AI156" s="252"/>
      <c r="AJ156" s="127">
        <f>SUM(AJ152:AJ155)</f>
        <v>210870000</v>
      </c>
      <c r="AK156" s="127">
        <f>SUM(AK152:AK155)</f>
        <v>0</v>
      </c>
      <c r="AL156" s="127">
        <f>SUM(AL152:AL155)</f>
        <v>39130000</v>
      </c>
      <c r="AM156" s="127">
        <f>SUM(AM152:AM155)</f>
        <v>250000000</v>
      </c>
      <c r="AN156" s="127">
        <f>SUM(AN152:AN155)</f>
        <v>37500000</v>
      </c>
      <c r="AO156" s="253"/>
      <c r="AP156" s="254"/>
      <c r="AQ156" s="175">
        <f>SUM(AQ152:AQ155)</f>
        <v>1980165.6</v>
      </c>
      <c r="AR156" s="175">
        <f>SUM(AR152:AR155)</f>
        <v>13411800</v>
      </c>
      <c r="AS156" s="175">
        <f>SUM(AS152:AS155)</f>
        <v>287500000</v>
      </c>
      <c r="AT156" s="175">
        <f>SUM(AT152:AT155)</f>
        <v>302891965.60000002</v>
      </c>
      <c r="AU156" s="175">
        <f t="shared" ref="AU156:BA156" si="101">SUM(AU152:AU155)</f>
        <v>94232138</v>
      </c>
      <c r="AV156" s="175">
        <f t="shared" si="101"/>
        <v>0</v>
      </c>
      <c r="AW156" s="175">
        <f t="shared" si="101"/>
        <v>0</v>
      </c>
      <c r="AX156" s="175">
        <f t="shared" si="101"/>
        <v>0</v>
      </c>
      <c r="AY156" s="175">
        <f t="shared" si="101"/>
        <v>0</v>
      </c>
      <c r="AZ156" s="175">
        <f t="shared" si="101"/>
        <v>164300000</v>
      </c>
      <c r="BA156" s="175">
        <f t="shared" si="101"/>
        <v>0</v>
      </c>
      <c r="BB156" s="175">
        <f>SUM(BB152:BB155)</f>
        <v>-44359827.600000001</v>
      </c>
      <c r="BC156" s="169"/>
      <c r="BD156" s="169"/>
      <c r="BE156" s="169"/>
      <c r="BF156" s="169"/>
    </row>
    <row r="157" spans="1:58" ht="126" outlineLevel="1" x14ac:dyDescent="0.25">
      <c r="A157" s="115"/>
      <c r="B157" s="200"/>
      <c r="C157" s="201"/>
      <c r="D157" s="342"/>
      <c r="E157" s="328"/>
      <c r="F157" s="328"/>
      <c r="G157" s="328"/>
      <c r="H157" s="213" t="s">
        <v>469</v>
      </c>
      <c r="I157" s="130"/>
      <c r="J157" s="126"/>
      <c r="K157" s="126"/>
      <c r="L157" s="125" t="str">
        <f>IF(I157&lt;&gt;0,((VLOOKUP(I157,'1. Standard_Cost'!$B$4:$D$11,2)+VLOOKUP(I157,'1. Standard_Cost'!$B$4:$D$11,3))*J157*K157),"0")</f>
        <v>0</v>
      </c>
      <c r="M157" s="125">
        <f>L157*'1. Standard_Cost'!$F$4</f>
        <v>0</v>
      </c>
      <c r="N157" s="126"/>
      <c r="O157" s="126"/>
      <c r="P157" s="126"/>
      <c r="Q157" s="126"/>
      <c r="R157" s="127">
        <f>'1. Standard_Cost'!$B$15*N157*P157</f>
        <v>0</v>
      </c>
      <c r="S157" s="127">
        <f>N157*O157*P157*'1. Standard_Cost'!$C$15</f>
        <v>0</v>
      </c>
      <c r="T157" s="127">
        <f>N157*P157*Q157*'1. Standard_Cost'!$D$15</f>
        <v>0</v>
      </c>
      <c r="U157" s="127">
        <f>N157*O157*'1. Standard_Cost'!$E$15</f>
        <v>0</v>
      </c>
      <c r="V157" s="126"/>
      <c r="W157" s="126"/>
      <c r="X157" s="126"/>
      <c r="Y157" s="127">
        <f>+V157*((X157*'1. Standard_Cost'!$B$19)+(W157*X157*'1. Standard_Cost'!$C$19))</f>
        <v>0</v>
      </c>
      <c r="Z157" s="126"/>
      <c r="AA157" s="126"/>
      <c r="AB157" s="127">
        <f>+Z157*'1. Standard_Cost'!$B$23+AA157*'1. Standard_Cost'!$C$23</f>
        <v>0</v>
      </c>
      <c r="AC157" s="128"/>
      <c r="AD157" s="129"/>
      <c r="AE157" s="127">
        <f>SUM(AD157,AC157,AB157,Y157,U157,T157,S157,R157)*'1. Standard_Cost'!$B$31</f>
        <v>0</v>
      </c>
      <c r="AF157" s="127">
        <f>SUM(AE157,AD157,AC157,AB157,Y157,U157,T157,S157,R157)</f>
        <v>0</v>
      </c>
      <c r="AG157" s="126"/>
      <c r="AH157" s="126"/>
      <c r="AI157" s="126"/>
      <c r="AJ157" s="130"/>
      <c r="AK157" s="130"/>
      <c r="AL157" s="130">
        <f>30000000+135000000</f>
        <v>165000000</v>
      </c>
      <c r="AM157" s="127">
        <f>AG157*'1. Standard_Cost'!$B$27+'Incremental_Cost Year 3'!AH157*'1. Standard_Cost'!$C$27+'Incremental_Cost Year 3'!AI157*'1. Standard_Cost'!$D$27+'Incremental_Cost Year 3'!AJ157+'Incremental_Cost Year 3'!AL157+AK157</f>
        <v>165000000</v>
      </c>
      <c r="AN157" s="127"/>
      <c r="AO157" s="130"/>
      <c r="AP157" s="256"/>
      <c r="AQ157" s="171">
        <f>L157+M157</f>
        <v>0</v>
      </c>
      <c r="AR157" s="171">
        <f>AF157</f>
        <v>0</v>
      </c>
      <c r="AS157" s="171">
        <f>AM157+AN157</f>
        <v>165000000</v>
      </c>
      <c r="AT157" s="171">
        <f>SUM(AQ157,AR157,AS157)</f>
        <v>165000000</v>
      </c>
      <c r="AU157" s="250">
        <v>30000000</v>
      </c>
      <c r="AV157" s="250"/>
      <c r="AW157" s="250"/>
      <c r="AX157" s="250"/>
      <c r="AY157" s="250"/>
      <c r="AZ157" s="250">
        <v>135000000</v>
      </c>
      <c r="BA157" s="250"/>
      <c r="BB157" s="251">
        <f t="shared" ref="BB157:BB158" si="102">SUM(AU157:BA157)-AT157</f>
        <v>0</v>
      </c>
      <c r="BC157" s="169"/>
      <c r="BD157" s="169"/>
      <c r="BE157" s="169"/>
      <c r="BF157" s="169"/>
    </row>
    <row r="158" spans="1:58" ht="47.25" outlineLevel="2" x14ac:dyDescent="0.25">
      <c r="A158" s="115"/>
      <c r="B158" s="200"/>
      <c r="C158" s="201"/>
      <c r="D158" s="344"/>
      <c r="E158" s="328"/>
      <c r="F158" s="328"/>
      <c r="G158" s="328"/>
      <c r="H158" s="199" t="s">
        <v>470</v>
      </c>
      <c r="I158" s="130"/>
      <c r="J158" s="126"/>
      <c r="K158" s="126"/>
      <c r="L158" s="125" t="str">
        <f>IF(I158&lt;&gt;0,((VLOOKUP(I158,'1. Standard_Cost'!$B$4:$D$11,2)+VLOOKUP(I158,'1. Standard_Cost'!$B$4:$D$11,3))*J158*K158),"0")</f>
        <v>0</v>
      </c>
      <c r="M158" s="125">
        <f>L158*'1. Standard_Cost'!$F$4</f>
        <v>0</v>
      </c>
      <c r="N158" s="126"/>
      <c r="O158" s="126"/>
      <c r="P158" s="126"/>
      <c r="Q158" s="126"/>
      <c r="R158" s="127">
        <f>'1. Standard_Cost'!$B$15*N158*P158</f>
        <v>0</v>
      </c>
      <c r="S158" s="127">
        <f>N158*O158*P158*'1. Standard_Cost'!$C$15</f>
        <v>0</v>
      </c>
      <c r="T158" s="127">
        <f>N158*P158*Q158*'1. Standard_Cost'!$D$15</f>
        <v>0</v>
      </c>
      <c r="U158" s="127">
        <f>N158*O158*'1. Standard_Cost'!$E$15</f>
        <v>0</v>
      </c>
      <c r="V158" s="126"/>
      <c r="W158" s="126"/>
      <c r="X158" s="126"/>
      <c r="Y158" s="127">
        <f>+V158*((X158*'1. Standard_Cost'!$B$19)+(W158*X158*'1. Standard_Cost'!$C$19))</f>
        <v>0</v>
      </c>
      <c r="Z158" s="126"/>
      <c r="AA158" s="126"/>
      <c r="AB158" s="127">
        <f>+Z158*'1. Standard_Cost'!$B$23+AA158*'1. Standard_Cost'!$C$23</f>
        <v>0</v>
      </c>
      <c r="AC158" s="128"/>
      <c r="AD158" s="129"/>
      <c r="AE158" s="127">
        <f>SUM(AD158,AC158,AB158,Y158,U158,T158,S158,R158)*'1. Standard_Cost'!$B$31</f>
        <v>0</v>
      </c>
      <c r="AF158" s="127">
        <f>SUM(AE158,AD158,AC158,AB158,Y158,U158,T158,S158,R158)</f>
        <v>0</v>
      </c>
      <c r="AG158" s="126"/>
      <c r="AH158" s="126"/>
      <c r="AI158" s="126"/>
      <c r="AJ158" s="130"/>
      <c r="AK158" s="130"/>
      <c r="AL158" s="130"/>
      <c r="AM158" s="127">
        <f>AG158*'1. Standard_Cost'!$B$27+'Incremental_Cost Year 3'!AH158*'1. Standard_Cost'!$C$27+'Incremental_Cost Year 3'!AI158*'1. Standard_Cost'!$D$27+'Incremental_Cost Year 3'!AJ158+'Incremental_Cost Year 3'!AL158+AK158</f>
        <v>0</v>
      </c>
      <c r="AN158" s="127">
        <f>AM158*'1. Standard_Cost'!$C$31</f>
        <v>0</v>
      </c>
      <c r="AO158" s="130"/>
      <c r="AP158" s="256"/>
      <c r="AQ158" s="171">
        <f>L158+M158</f>
        <v>0</v>
      </c>
      <c r="AR158" s="171">
        <f>AF158</f>
        <v>0</v>
      </c>
      <c r="AS158" s="171">
        <f>AM158+AN158</f>
        <v>0</v>
      </c>
      <c r="AT158" s="171">
        <f>SUM(AQ158,AR158,AS158)</f>
        <v>0</v>
      </c>
      <c r="AU158" s="250"/>
      <c r="AV158" s="250"/>
      <c r="AW158" s="250"/>
      <c r="AX158" s="250"/>
      <c r="AY158" s="250"/>
      <c r="AZ158" s="250"/>
      <c r="BA158" s="250"/>
      <c r="BB158" s="251">
        <f t="shared" si="102"/>
        <v>0</v>
      </c>
      <c r="BC158" s="169"/>
      <c r="BD158" s="169"/>
      <c r="BE158" s="169"/>
      <c r="BF158" s="169"/>
    </row>
    <row r="159" spans="1:58" ht="63" outlineLevel="2" x14ac:dyDescent="0.25">
      <c r="A159" s="115"/>
      <c r="B159" s="165"/>
      <c r="C159" s="166"/>
      <c r="D159" s="150" t="s">
        <v>471</v>
      </c>
      <c r="E159" s="212" t="s">
        <v>472</v>
      </c>
      <c r="F159" s="106">
        <v>2021</v>
      </c>
      <c r="G159" s="104">
        <v>2030</v>
      </c>
      <c r="H159" s="110" t="s">
        <v>179</v>
      </c>
      <c r="I159" s="252"/>
      <c r="J159" s="252"/>
      <c r="K159" s="252"/>
      <c r="L159" s="127">
        <f>SUM(L157:L158)</f>
        <v>0</v>
      </c>
      <c r="M159" s="127">
        <f>SUM(M157:M158)</f>
        <v>0</v>
      </c>
      <c r="N159" s="252"/>
      <c r="O159" s="252"/>
      <c r="P159" s="252"/>
      <c r="Q159" s="252"/>
      <c r="R159" s="127">
        <f>SUM(R157:R158)</f>
        <v>0</v>
      </c>
      <c r="S159" s="127">
        <f>SUM(S157:S158)</f>
        <v>0</v>
      </c>
      <c r="T159" s="127">
        <f>SUM(T157:T158)</f>
        <v>0</v>
      </c>
      <c r="U159" s="127">
        <f>SUM(U157:U158)</f>
        <v>0</v>
      </c>
      <c r="V159" s="252"/>
      <c r="W159" s="252"/>
      <c r="X159" s="252"/>
      <c r="Y159" s="127">
        <f>SUM(Y157:Y158)</f>
        <v>0</v>
      </c>
      <c r="Z159" s="252"/>
      <c r="AA159" s="252"/>
      <c r="AB159" s="127">
        <f>SUM(AB157:AB158)</f>
        <v>0</v>
      </c>
      <c r="AC159" s="127">
        <f>SUM(AC157:AC158)</f>
        <v>0</v>
      </c>
      <c r="AD159" s="127">
        <f>SUM(AD157:AD158)</f>
        <v>0</v>
      </c>
      <c r="AE159" s="127">
        <f>SUM(AE157:AE158)</f>
        <v>0</v>
      </c>
      <c r="AF159" s="127">
        <f>SUM(AF157:AF158)</f>
        <v>0</v>
      </c>
      <c r="AG159" s="252"/>
      <c r="AH159" s="252"/>
      <c r="AI159" s="252"/>
      <c r="AJ159" s="127">
        <f>SUM(AJ157:AJ158)</f>
        <v>0</v>
      </c>
      <c r="AK159" s="127">
        <f>SUM(AK157:AK158)</f>
        <v>0</v>
      </c>
      <c r="AL159" s="127">
        <f>SUM(AL157:AL158)</f>
        <v>165000000</v>
      </c>
      <c r="AM159" s="127">
        <f>SUM(AM157:AM158)</f>
        <v>165000000</v>
      </c>
      <c r="AN159" s="127">
        <f>SUM(AN157:AN158)</f>
        <v>0</v>
      </c>
      <c r="AO159" s="253"/>
      <c r="AP159" s="254"/>
      <c r="AQ159" s="175">
        <f>SUM(AQ157:AQ158)</f>
        <v>0</v>
      </c>
      <c r="AR159" s="175">
        <f>SUM(AR157:AR158)</f>
        <v>0</v>
      </c>
      <c r="AS159" s="175">
        <f>SUM(AS157:AS158)</f>
        <v>165000000</v>
      </c>
      <c r="AT159" s="175">
        <f>SUM(AT157:AT158)</f>
        <v>165000000</v>
      </c>
      <c r="AU159" s="175">
        <f t="shared" ref="AU159:BB159" si="103">SUM(AU157:AU158)</f>
        <v>30000000</v>
      </c>
      <c r="AV159" s="175">
        <f t="shared" si="103"/>
        <v>0</v>
      </c>
      <c r="AW159" s="175">
        <f t="shared" si="103"/>
        <v>0</v>
      </c>
      <c r="AX159" s="175">
        <f t="shared" si="103"/>
        <v>0</v>
      </c>
      <c r="AY159" s="175">
        <f t="shared" si="103"/>
        <v>0</v>
      </c>
      <c r="AZ159" s="175">
        <f t="shared" si="103"/>
        <v>135000000</v>
      </c>
      <c r="BA159" s="175">
        <f t="shared" si="103"/>
        <v>0</v>
      </c>
      <c r="BB159" s="175">
        <f t="shared" si="103"/>
        <v>0</v>
      </c>
      <c r="BC159" s="169"/>
      <c r="BD159" s="169"/>
      <c r="BE159" s="169"/>
      <c r="BF159" s="169"/>
    </row>
    <row r="160" spans="1:58" ht="94.5" outlineLevel="2" x14ac:dyDescent="0.25">
      <c r="A160" s="115"/>
      <c r="B160" s="200"/>
      <c r="C160" s="201"/>
      <c r="D160" s="328"/>
      <c r="E160" s="328"/>
      <c r="F160" s="328"/>
      <c r="G160" s="328"/>
      <c r="H160" s="199" t="s">
        <v>473</v>
      </c>
      <c r="I160" s="130" t="s">
        <v>5</v>
      </c>
      <c r="J160" s="126">
        <v>1</v>
      </c>
      <c r="K160" s="126">
        <v>6</v>
      </c>
      <c r="L160" s="125">
        <f>IF(I160&lt;&gt;0,((VLOOKUP(I160,'1. Standard_Cost'!$B$4:$D$11,2)+VLOOKUP(I160,'1. Standard_Cost'!$B$4:$D$11,3))*J160*K160),"0")</f>
        <v>424200</v>
      </c>
      <c r="M160" s="125">
        <f>L160*'1. Standard_Cost'!$F$4</f>
        <v>70841.400000000009</v>
      </c>
      <c r="N160" s="126"/>
      <c r="O160" s="126"/>
      <c r="P160" s="126"/>
      <c r="Q160" s="126"/>
      <c r="R160" s="127">
        <f>'1. Standard_Cost'!$B$15*N160*P160</f>
        <v>0</v>
      </c>
      <c r="S160" s="127">
        <f>N160*O160*P160*'1. Standard_Cost'!$C$15</f>
        <v>0</v>
      </c>
      <c r="T160" s="127">
        <f>N160*P160*Q160*'1. Standard_Cost'!$D$15</f>
        <v>0</v>
      </c>
      <c r="U160" s="127">
        <f>N160*O160*'1. Standard_Cost'!$E$15</f>
        <v>0</v>
      </c>
      <c r="V160" s="126"/>
      <c r="W160" s="126"/>
      <c r="X160" s="126"/>
      <c r="Y160" s="127">
        <f>+V160*((X160*'1. Standard_Cost'!$B$19)+(W160*X160*'1. Standard_Cost'!$C$19))</f>
        <v>0</v>
      </c>
      <c r="Z160" s="126"/>
      <c r="AA160" s="126">
        <v>45</v>
      </c>
      <c r="AB160" s="127">
        <f>+Z160*'1. Standard_Cost'!$B$23+AA160*'1. Standard_Cost'!$C$23</f>
        <v>855000</v>
      </c>
      <c r="AC160" s="128">
        <v>50000</v>
      </c>
      <c r="AD160" s="129"/>
      <c r="AE160" s="127">
        <f>SUM(AD160,AC160,AB160,Y160,U160,T160,S160,R160)*'1. Standard_Cost'!$B$31</f>
        <v>181000</v>
      </c>
      <c r="AF160" s="127">
        <f>SUM(AE160,AD160,AC160,AB160,Y160,U160,T160,S160,R160)</f>
        <v>1086000</v>
      </c>
      <c r="AG160" s="126"/>
      <c r="AH160" s="126"/>
      <c r="AI160" s="126"/>
      <c r="AJ160" s="130"/>
      <c r="AK160" s="130"/>
      <c r="AL160" s="130"/>
      <c r="AM160" s="127">
        <f>AG160*'1. Standard_Cost'!$B$27+'Incremental_Cost Year 3'!AH160*'1. Standard_Cost'!$C$27+'Incremental_Cost Year 3'!AI160*'1. Standard_Cost'!$D$27+'Incremental_Cost Year 3'!AJ160+'Incremental_Cost Year 3'!AL160+AK160</f>
        <v>0</v>
      </c>
      <c r="AN160" s="127">
        <f>AM160*'1. Standard_Cost'!$C$31</f>
        <v>0</v>
      </c>
      <c r="AO160" s="130"/>
      <c r="AP160" s="256"/>
      <c r="AQ160" s="171">
        <f>L160+M160</f>
        <v>495041.4</v>
      </c>
      <c r="AR160" s="171">
        <f>AF160</f>
        <v>1086000</v>
      </c>
      <c r="AS160" s="171">
        <f>AM160+AN160</f>
        <v>0</v>
      </c>
      <c r="AT160" s="171">
        <f>SUM(AQ160,AR160,AS160)</f>
        <v>1581041.4</v>
      </c>
      <c r="AU160" s="250">
        <v>555000</v>
      </c>
      <c r="AV160" s="250"/>
      <c r="AW160" s="250"/>
      <c r="AX160" s="250"/>
      <c r="AY160" s="250"/>
      <c r="AZ160" s="250"/>
      <c r="BA160" s="250"/>
      <c r="BB160" s="251">
        <f t="shared" ref="BB160:BB161" si="104">SUM(AU160:BA160)-AT160</f>
        <v>-1026041.3999999999</v>
      </c>
      <c r="BC160" s="169"/>
      <c r="BD160" s="169"/>
      <c r="BE160" s="169"/>
      <c r="BF160" s="169"/>
    </row>
    <row r="161" spans="1:58" ht="47.25" outlineLevel="2" x14ac:dyDescent="0.25">
      <c r="A161" s="115"/>
      <c r="B161" s="200"/>
      <c r="C161" s="201"/>
      <c r="D161" s="328"/>
      <c r="E161" s="328"/>
      <c r="F161" s="328"/>
      <c r="G161" s="328"/>
      <c r="H161" s="213" t="s">
        <v>311</v>
      </c>
      <c r="I161" s="130" t="s">
        <v>5</v>
      </c>
      <c r="J161" s="126">
        <v>12</v>
      </c>
      <c r="K161" s="126">
        <v>13</v>
      </c>
      <c r="L161" s="125">
        <f>IF(I161&lt;&gt;0,((VLOOKUP(I161,'1. Standard_Cost'!$B$4:$D$11,2)+VLOOKUP(I161,'1. Standard_Cost'!$B$4:$D$11,3))*J161*K161),"0")</f>
        <v>11029200</v>
      </c>
      <c r="M161" s="125">
        <f>L161*'1. Standard_Cost'!$F$4</f>
        <v>1841876.4000000001</v>
      </c>
      <c r="N161" s="126"/>
      <c r="O161" s="126"/>
      <c r="P161" s="126"/>
      <c r="Q161" s="126"/>
      <c r="R161" s="127">
        <f>'1. Standard_Cost'!$B$15*N161*P161</f>
        <v>0</v>
      </c>
      <c r="S161" s="127">
        <f>N161*O161*P161*'1. Standard_Cost'!$C$15</f>
        <v>0</v>
      </c>
      <c r="T161" s="127">
        <f>N161*P161*Q161*'1. Standard_Cost'!$D$15</f>
        <v>0</v>
      </c>
      <c r="U161" s="127">
        <f>N161*O161*'1. Standard_Cost'!$E$15</f>
        <v>0</v>
      </c>
      <c r="V161" s="126"/>
      <c r="W161" s="126"/>
      <c r="X161" s="126"/>
      <c r="Y161" s="127">
        <f>+V161*((X161*'1. Standard_Cost'!$B$19)+(W161*X161*'1. Standard_Cost'!$C$19))</f>
        <v>0</v>
      </c>
      <c r="Z161" s="126"/>
      <c r="AA161" s="126"/>
      <c r="AB161" s="127">
        <f>+Z161*'1. Standard_Cost'!$B$23+AA161*'1. Standard_Cost'!$C$23</f>
        <v>0</v>
      </c>
      <c r="AC161" s="128">
        <v>3150000</v>
      </c>
      <c r="AD161" s="129"/>
      <c r="AE161" s="127"/>
      <c r="AF161" s="127">
        <f>SUM(AE161,AD161,AC161,AB161,Y161,U161,T161,S161,R161)</f>
        <v>3150000</v>
      </c>
      <c r="AG161" s="126"/>
      <c r="AH161" s="126"/>
      <c r="AI161" s="126"/>
      <c r="AJ161" s="130"/>
      <c r="AK161" s="130"/>
      <c r="AL161" s="130"/>
      <c r="AM161" s="127">
        <f>AG161*'1. Standard_Cost'!$B$27+'Incremental_Cost Year 3'!AH161*'1. Standard_Cost'!$C$27+'Incremental_Cost Year 3'!AI161*'1. Standard_Cost'!$D$27+'Incremental_Cost Year 3'!AJ161+'Incremental_Cost Year 3'!AL161+AK161</f>
        <v>0</v>
      </c>
      <c r="AN161" s="127">
        <f>AM161*'1. Standard_Cost'!$C$31</f>
        <v>0</v>
      </c>
      <c r="AO161" s="130"/>
      <c r="AP161" s="256"/>
      <c r="AQ161" s="171">
        <f>L161+M161</f>
        <v>12871076.4</v>
      </c>
      <c r="AR161" s="171">
        <f>AF161</f>
        <v>3150000</v>
      </c>
      <c r="AS161" s="171">
        <f>AM161+AN161</f>
        <v>0</v>
      </c>
      <c r="AT161" s="171">
        <f>SUM(AQ161,AR161,AS161)</f>
        <v>16021076.4</v>
      </c>
      <c r="AU161" s="250">
        <v>16021076</v>
      </c>
      <c r="AV161" s="250"/>
      <c r="AW161" s="250"/>
      <c r="AX161" s="250"/>
      <c r="AY161" s="250"/>
      <c r="AZ161" s="250"/>
      <c r="BA161" s="250"/>
      <c r="BB161" s="251">
        <f t="shared" si="104"/>
        <v>-0.40000000037252903</v>
      </c>
      <c r="BC161" s="169"/>
      <c r="BD161" s="169"/>
      <c r="BE161" s="169"/>
      <c r="BF161" s="169"/>
    </row>
    <row r="162" spans="1:58" ht="47.25" outlineLevel="2" x14ac:dyDescent="0.25">
      <c r="A162" s="115"/>
      <c r="B162" s="165"/>
      <c r="C162" s="166"/>
      <c r="D162" s="107" t="s">
        <v>233</v>
      </c>
      <c r="E162" s="212" t="s">
        <v>474</v>
      </c>
      <c r="F162" s="136">
        <v>2021</v>
      </c>
      <c r="G162" s="117">
        <v>2030</v>
      </c>
      <c r="H162" s="110" t="s">
        <v>180</v>
      </c>
      <c r="I162" s="252"/>
      <c r="J162" s="252"/>
      <c r="K162" s="252"/>
      <c r="L162" s="127">
        <f>SUM(L160:L161)</f>
        <v>11453400</v>
      </c>
      <c r="M162" s="127">
        <f>SUM(M160:M161)</f>
        <v>1912717.8</v>
      </c>
      <c r="N162" s="252"/>
      <c r="O162" s="252"/>
      <c r="P162" s="252"/>
      <c r="Q162" s="252"/>
      <c r="R162" s="127">
        <f>SUM(R160:R161)</f>
        <v>0</v>
      </c>
      <c r="S162" s="127">
        <f>SUM(S160:S161)</f>
        <v>0</v>
      </c>
      <c r="T162" s="127">
        <f>SUM(T160:T161)</f>
        <v>0</v>
      </c>
      <c r="U162" s="127">
        <f>SUM(U160:U161)</f>
        <v>0</v>
      </c>
      <c r="V162" s="252"/>
      <c r="W162" s="252"/>
      <c r="X162" s="252"/>
      <c r="Y162" s="127">
        <f>SUM(Y160:Y161)</f>
        <v>0</v>
      </c>
      <c r="Z162" s="252"/>
      <c r="AA162" s="252"/>
      <c r="AB162" s="127">
        <f>SUM(AB160:AB161)</f>
        <v>855000</v>
      </c>
      <c r="AC162" s="127">
        <f>SUM(AC160:AC161)</f>
        <v>3200000</v>
      </c>
      <c r="AD162" s="127">
        <f>SUM(AD160:AD161)</f>
        <v>0</v>
      </c>
      <c r="AE162" s="127">
        <f>SUM(AE160:AE161)</f>
        <v>181000</v>
      </c>
      <c r="AF162" s="127">
        <f>SUM(AF160:AF161)</f>
        <v>4236000</v>
      </c>
      <c r="AG162" s="252"/>
      <c r="AH162" s="252"/>
      <c r="AI162" s="252"/>
      <c r="AJ162" s="127">
        <f>SUM(AJ160:AJ161)</f>
        <v>0</v>
      </c>
      <c r="AK162" s="127">
        <f>SUM(AK160:AK161)</f>
        <v>0</v>
      </c>
      <c r="AL162" s="127">
        <f>SUM(AL160:AL161)</f>
        <v>0</v>
      </c>
      <c r="AM162" s="127">
        <f>SUM(AM160:AM161)</f>
        <v>0</v>
      </c>
      <c r="AN162" s="127">
        <f>SUM(AN160:AN161)</f>
        <v>0</v>
      </c>
      <c r="AO162" s="253"/>
      <c r="AP162" s="254"/>
      <c r="AQ162" s="175">
        <f>SUM(AQ160:AQ161)</f>
        <v>13366117.800000001</v>
      </c>
      <c r="AR162" s="175">
        <f>SUM(AR160:AR161)</f>
        <v>4236000</v>
      </c>
      <c r="AS162" s="175">
        <f>SUM(AS160:AS161)</f>
        <v>0</v>
      </c>
      <c r="AT162" s="175">
        <f>SUM(AT160:AT161)</f>
        <v>17602117.800000001</v>
      </c>
      <c r="AU162" s="175">
        <f t="shared" ref="AU162:BA162" si="105">SUM(AU160:AU161)</f>
        <v>16576076</v>
      </c>
      <c r="AV162" s="175">
        <f t="shared" si="105"/>
        <v>0</v>
      </c>
      <c r="AW162" s="175">
        <f t="shared" si="105"/>
        <v>0</v>
      </c>
      <c r="AX162" s="175">
        <f t="shared" si="105"/>
        <v>0</v>
      </c>
      <c r="AY162" s="175">
        <f t="shared" si="105"/>
        <v>0</v>
      </c>
      <c r="AZ162" s="175">
        <f t="shared" si="105"/>
        <v>0</v>
      </c>
      <c r="BA162" s="175">
        <f t="shared" si="105"/>
        <v>0</v>
      </c>
      <c r="BB162" s="175">
        <f>SUM(BB160:BB161)</f>
        <v>-1026041.8000000003</v>
      </c>
      <c r="BC162" s="169"/>
      <c r="BD162" s="169"/>
      <c r="BE162" s="169"/>
      <c r="BF162" s="169"/>
    </row>
    <row r="163" spans="1:58" ht="15.75" customHeight="1" outlineLevel="2" x14ac:dyDescent="0.25">
      <c r="A163" s="143"/>
      <c r="B163" s="290"/>
      <c r="C163" s="391" t="s">
        <v>234</v>
      </c>
      <c r="D163" s="391"/>
      <c r="E163" s="392"/>
      <c r="F163" s="287"/>
      <c r="G163" s="289"/>
      <c r="H163" s="144" t="s">
        <v>169</v>
      </c>
      <c r="I163" s="257"/>
      <c r="J163" s="257"/>
      <c r="K163" s="257"/>
      <c r="L163" s="258">
        <f>L168+L178+L181</f>
        <v>438509950</v>
      </c>
      <c r="M163" s="258">
        <f>M168+M178+M181</f>
        <v>73231161.650000006</v>
      </c>
      <c r="N163" s="257"/>
      <c r="O163" s="257"/>
      <c r="P163" s="257"/>
      <c r="Q163" s="257"/>
      <c r="R163" s="258">
        <f>R168+R178+R181</f>
        <v>0</v>
      </c>
      <c r="S163" s="258">
        <f>S168+S178+S181</f>
        <v>0</v>
      </c>
      <c r="T163" s="258">
        <f>T168+T178+T181</f>
        <v>0</v>
      </c>
      <c r="U163" s="258">
        <f>U168+U178+U181</f>
        <v>0</v>
      </c>
      <c r="V163" s="257"/>
      <c r="W163" s="257"/>
      <c r="X163" s="257"/>
      <c r="Y163" s="258">
        <f>Y168+Y178+Y181</f>
        <v>0</v>
      </c>
      <c r="Z163" s="258"/>
      <c r="AA163" s="258"/>
      <c r="AB163" s="258">
        <f>AB168+AB178+AB181</f>
        <v>1520000</v>
      </c>
      <c r="AC163" s="258">
        <f>AC168+AC178+AC181</f>
        <v>5075475755</v>
      </c>
      <c r="AD163" s="258">
        <f>AD168+AD178+AD181</f>
        <v>0</v>
      </c>
      <c r="AE163" s="258">
        <f>AE168+AE178+AE181</f>
        <v>373151</v>
      </c>
      <c r="AF163" s="258">
        <f>AF168+AF178+AF181</f>
        <v>5077368906</v>
      </c>
      <c r="AG163" s="257"/>
      <c r="AH163" s="257"/>
      <c r="AI163" s="257"/>
      <c r="AJ163" s="258">
        <f>AJ168+AJ178+AJ181</f>
        <v>1876613000</v>
      </c>
      <c r="AK163" s="258">
        <f>AK168+AK178+AK181</f>
        <v>0</v>
      </c>
      <c r="AL163" s="258">
        <f>AL168+AL178+AL181</f>
        <v>310600000</v>
      </c>
      <c r="AM163" s="258">
        <f>AM168+AM178+AM181</f>
        <v>2187213000</v>
      </c>
      <c r="AN163" s="258">
        <f>AN168+AN178+AN181</f>
        <v>328081950</v>
      </c>
      <c r="AO163" s="259"/>
      <c r="AP163" s="260"/>
      <c r="AQ163" s="261">
        <f>AQ168+AQ178+AQ181</f>
        <v>511741111.64999998</v>
      </c>
      <c r="AR163" s="261">
        <f>AR168+AR178+AR181</f>
        <v>5077368906</v>
      </c>
      <c r="AS163" s="261">
        <f>AS168+AS178+AS181</f>
        <v>2515294950</v>
      </c>
      <c r="AT163" s="261">
        <f>AT168+AT178+AT181</f>
        <v>8104404967.6499996</v>
      </c>
      <c r="AU163" s="261">
        <f t="shared" ref="AU163:BB163" si="106">AU168+AU178+AU181</f>
        <v>7099206968.1999998</v>
      </c>
      <c r="AV163" s="261">
        <f t="shared" si="106"/>
        <v>100000000</v>
      </c>
      <c r="AW163" s="261">
        <f t="shared" si="106"/>
        <v>602000000</v>
      </c>
      <c r="AX163" s="261">
        <f t="shared" si="106"/>
        <v>0</v>
      </c>
      <c r="AY163" s="261">
        <f t="shared" si="106"/>
        <v>0</v>
      </c>
      <c r="AZ163" s="261">
        <f t="shared" si="106"/>
        <v>0</v>
      </c>
      <c r="BA163" s="261">
        <f t="shared" si="106"/>
        <v>0</v>
      </c>
      <c r="BB163" s="261">
        <f t="shared" si="106"/>
        <v>-303197999.44999999</v>
      </c>
      <c r="BC163" s="184"/>
      <c r="BD163" s="184"/>
      <c r="BE163" s="184"/>
      <c r="BF163" s="184"/>
    </row>
    <row r="164" spans="1:58" ht="78.75" outlineLevel="2" x14ac:dyDescent="0.25">
      <c r="A164" s="115"/>
      <c r="B164" s="200"/>
      <c r="C164" s="201"/>
      <c r="D164" s="333"/>
      <c r="E164" s="295"/>
      <c r="F164" s="306"/>
      <c r="G164" s="307"/>
      <c r="H164" s="199" t="s">
        <v>475</v>
      </c>
      <c r="I164" s="130"/>
      <c r="J164" s="126"/>
      <c r="K164" s="126"/>
      <c r="L164" s="125" t="str">
        <f>IF(I164&lt;&gt;0,((VLOOKUP(I164,'1. Standard_Cost'!$B$4:$D$11,2)+VLOOKUP(I164,'1. Standard_Cost'!$B$4:$D$11,3))*J164*K164),"0")</f>
        <v>0</v>
      </c>
      <c r="M164" s="125">
        <f>L164*'1. Standard_Cost'!$F$4</f>
        <v>0</v>
      </c>
      <c r="N164" s="126"/>
      <c r="O164" s="126"/>
      <c r="P164" s="126"/>
      <c r="Q164" s="126"/>
      <c r="R164" s="127">
        <f>'1. Standard_Cost'!$B$15*N164*P164</f>
        <v>0</v>
      </c>
      <c r="S164" s="127">
        <f>N164*O164*P164*'1. Standard_Cost'!$C$15</f>
        <v>0</v>
      </c>
      <c r="T164" s="127">
        <f>N164*P164*Q164*'1. Standard_Cost'!$D$15</f>
        <v>0</v>
      </c>
      <c r="U164" s="127">
        <f>N164*O164*'1. Standard_Cost'!$E$15</f>
        <v>0</v>
      </c>
      <c r="V164" s="126"/>
      <c r="W164" s="126"/>
      <c r="X164" s="126"/>
      <c r="Y164" s="127">
        <f>+V164*((X164*'1. Standard_Cost'!$B$19)+(W164*X164*'1. Standard_Cost'!$C$19))</f>
        <v>0</v>
      </c>
      <c r="Z164" s="126"/>
      <c r="AA164" s="126"/>
      <c r="AB164" s="127">
        <f>+Z164*'1. Standard_Cost'!$B$23+AA164*'1. Standard_Cost'!$C$23</f>
        <v>0</v>
      </c>
      <c r="AC164" s="128"/>
      <c r="AD164" s="129"/>
      <c r="AE164" s="127">
        <f>SUM(AD164,AC164,AB164,Y164,U164,T164,S164,R164)*'1. Standard_Cost'!$B$31</f>
        <v>0</v>
      </c>
      <c r="AF164" s="127">
        <f>SUM(AE164,AD164,AC164,AB164,Y164,U164,T164,S164,R164)</f>
        <v>0</v>
      </c>
      <c r="AG164" s="126"/>
      <c r="AH164" s="126"/>
      <c r="AI164" s="126"/>
      <c r="AJ164" s="130"/>
      <c r="AK164" s="130"/>
      <c r="AL164" s="130"/>
      <c r="AM164" s="127">
        <f>AG164*'1. Standard_Cost'!$B$27+'Incremental_Cost Year 3'!AH164*'1. Standard_Cost'!$C$27+'Incremental_Cost Year 3'!AI164*'1. Standard_Cost'!$D$27+'Incremental_Cost Year 3'!AJ164+'Incremental_Cost Year 3'!AL164+AK164</f>
        <v>0</v>
      </c>
      <c r="AN164" s="127">
        <f>AM164*'1. Standard_Cost'!$C$31</f>
        <v>0</v>
      </c>
      <c r="AO164" s="130"/>
      <c r="AP164" s="256"/>
      <c r="AQ164" s="171">
        <f>L164+M164</f>
        <v>0</v>
      </c>
      <c r="AR164" s="171">
        <f>AF164</f>
        <v>0</v>
      </c>
      <c r="AS164" s="171">
        <f>AM164+AN164</f>
        <v>0</v>
      </c>
      <c r="AT164" s="171">
        <f>SUM(AQ164,AR164,AS164)</f>
        <v>0</v>
      </c>
      <c r="AU164" s="250"/>
      <c r="AV164" s="250"/>
      <c r="AW164" s="250"/>
      <c r="AX164" s="250"/>
      <c r="AY164" s="250"/>
      <c r="AZ164" s="250"/>
      <c r="BA164" s="250"/>
      <c r="BB164" s="251">
        <f t="shared" ref="BB164:BB167" si="107">SUM(AU164:BA164)-AT164</f>
        <v>0</v>
      </c>
      <c r="BC164" s="169"/>
      <c r="BD164" s="169"/>
      <c r="BE164" s="169"/>
      <c r="BF164" s="169"/>
    </row>
    <row r="165" spans="1:58" ht="78.75" outlineLevel="2" x14ac:dyDescent="0.25">
      <c r="A165" s="115"/>
      <c r="B165" s="200"/>
      <c r="C165" s="201"/>
      <c r="D165" s="151"/>
      <c r="E165" s="219"/>
      <c r="F165" s="308"/>
      <c r="G165" s="309"/>
      <c r="H165" s="199" t="s">
        <v>476</v>
      </c>
      <c r="I165" s="130" t="s">
        <v>4</v>
      </c>
      <c r="J165" s="126">
        <v>1</v>
      </c>
      <c r="K165" s="126">
        <v>9</v>
      </c>
      <c r="L165" s="125">
        <f>IF(I165&lt;&gt;0,((VLOOKUP(I165,'1. Standard_Cost'!$B$4:$D$11,2)+VLOOKUP(I165,'1. Standard_Cost'!$B$4:$D$11,3))*J165*K165),"0")</f>
        <v>726750</v>
      </c>
      <c r="M165" s="125">
        <f>L165*'1. Standard_Cost'!$F$4</f>
        <v>121367.25</v>
      </c>
      <c r="N165" s="126"/>
      <c r="O165" s="126"/>
      <c r="P165" s="126"/>
      <c r="Q165" s="126"/>
      <c r="R165" s="127">
        <f>'1. Standard_Cost'!$B$15*N165*P165</f>
        <v>0</v>
      </c>
      <c r="S165" s="127">
        <f>N165*O165*P165*'1. Standard_Cost'!$C$15</f>
        <v>0</v>
      </c>
      <c r="T165" s="127">
        <f>N165*P165*Q165*'1. Standard_Cost'!$D$15</f>
        <v>0</v>
      </c>
      <c r="U165" s="127">
        <f>N165*O165*'1. Standard_Cost'!$E$15</f>
        <v>0</v>
      </c>
      <c r="V165" s="126"/>
      <c r="W165" s="126"/>
      <c r="X165" s="126"/>
      <c r="Y165" s="127">
        <f>+V165*((X165*'1. Standard_Cost'!$B$19)+(W165*X165*'1. Standard_Cost'!$C$19))</f>
        <v>0</v>
      </c>
      <c r="Z165" s="126"/>
      <c r="AA165" s="126">
        <v>30</v>
      </c>
      <c r="AB165" s="127">
        <f>+Z165*'1. Standard_Cost'!$B$23+AA165*'1. Standard_Cost'!$C$23</f>
        <v>570000</v>
      </c>
      <c r="AC165" s="128">
        <v>150000</v>
      </c>
      <c r="AD165" s="129"/>
      <c r="AE165" s="127">
        <f>SUM(AD165,AC165,AB165,Y165,U165,T165,S165,R165)*'1. Standard_Cost'!$B$31</f>
        <v>144000</v>
      </c>
      <c r="AF165" s="127">
        <f>SUM(AE165,AD165,AC165,AB165,Y165,U165,T165,S165,R165)</f>
        <v>864000</v>
      </c>
      <c r="AG165" s="126"/>
      <c r="AH165" s="126"/>
      <c r="AI165" s="126"/>
      <c r="AJ165" s="130"/>
      <c r="AK165" s="130"/>
      <c r="AL165" s="130"/>
      <c r="AM165" s="127">
        <f>AG165*'1. Standard_Cost'!$B$27+'Incremental_Cost Year 3'!AH165*'1. Standard_Cost'!$C$27+'Incremental_Cost Year 3'!AI165*'1. Standard_Cost'!$D$27+'Incremental_Cost Year 3'!AJ165+'Incremental_Cost Year 3'!AL165+AK165</f>
        <v>0</v>
      </c>
      <c r="AN165" s="127">
        <f>AM165*'1. Standard_Cost'!$C$31</f>
        <v>0</v>
      </c>
      <c r="AO165" s="130"/>
      <c r="AP165" s="256"/>
      <c r="AQ165" s="171">
        <f>L165+M165</f>
        <v>848117.25</v>
      </c>
      <c r="AR165" s="171">
        <f>AF165</f>
        <v>864000</v>
      </c>
      <c r="AS165" s="171">
        <f>AM165+AN165</f>
        <v>0</v>
      </c>
      <c r="AT165" s="171">
        <f>SUM(AQ165,AR165,AS165)</f>
        <v>1712117.25</v>
      </c>
      <c r="AU165" s="250">
        <v>1028117</v>
      </c>
      <c r="AV165" s="250"/>
      <c r="AW165" s="250"/>
      <c r="AX165" s="250"/>
      <c r="AY165" s="250"/>
      <c r="AZ165" s="250"/>
      <c r="BA165" s="250"/>
      <c r="BB165" s="251">
        <f t="shared" si="107"/>
        <v>-684000.25</v>
      </c>
      <c r="BC165" s="169"/>
      <c r="BD165" s="169"/>
      <c r="BE165" s="169"/>
      <c r="BF165" s="169"/>
    </row>
    <row r="166" spans="1:58" ht="110.25" outlineLevel="2" x14ac:dyDescent="0.25">
      <c r="A166" s="115"/>
      <c r="B166" s="200"/>
      <c r="C166" s="201"/>
      <c r="D166" s="151"/>
      <c r="E166" s="219"/>
      <c r="F166" s="308"/>
      <c r="G166" s="309"/>
      <c r="H166" s="199" t="s">
        <v>541</v>
      </c>
      <c r="I166" s="130"/>
      <c r="J166" s="126"/>
      <c r="K166" s="126"/>
      <c r="L166" s="125" t="str">
        <f>IF(I166&lt;&gt;0,((VLOOKUP(I166,'1. Standard_Cost'!$B$4:$D$11,2)+VLOOKUP(I166,'1. Standard_Cost'!$B$4:$D$11,3))*J166*K166),"0")</f>
        <v>0</v>
      </c>
      <c r="M166" s="125">
        <f>L166*'1. Standard_Cost'!$F$4</f>
        <v>0</v>
      </c>
      <c r="N166" s="126"/>
      <c r="O166" s="126"/>
      <c r="P166" s="126"/>
      <c r="Q166" s="126"/>
      <c r="R166" s="127">
        <f>'1. Standard_Cost'!$B$15*N166*P166</f>
        <v>0</v>
      </c>
      <c r="S166" s="127">
        <f>N166*O166*P166*'1. Standard_Cost'!$C$15</f>
        <v>0</v>
      </c>
      <c r="T166" s="127">
        <f>N166*P166*Q166*'1. Standard_Cost'!$D$15</f>
        <v>0</v>
      </c>
      <c r="U166" s="127">
        <f>N166*O166*'1. Standard_Cost'!$E$15</f>
        <v>0</v>
      </c>
      <c r="V166" s="126"/>
      <c r="W166" s="126"/>
      <c r="X166" s="126"/>
      <c r="Y166" s="127">
        <f>+V166*((X166*'1. Standard_Cost'!$B$19)+(W166*X166*'1. Standard_Cost'!$C$19))</f>
        <v>0</v>
      </c>
      <c r="Z166" s="126"/>
      <c r="AA166" s="126"/>
      <c r="AB166" s="127">
        <f>+Z166*'1. Standard_Cost'!$B$23+AA166*'1. Standard_Cost'!$C$23</f>
        <v>0</v>
      </c>
      <c r="AC166" s="128"/>
      <c r="AD166" s="129"/>
      <c r="AE166" s="127">
        <f>SUM(AD166,AC166,AB166,Y166,U166,T166,S166,R166)*'1. Standard_Cost'!$B$31</f>
        <v>0</v>
      </c>
      <c r="AF166" s="127">
        <f>SUM(AE166,AD166,AC166,AB166,Y166,U166,T166,S166,R166)</f>
        <v>0</v>
      </c>
      <c r="AG166" s="126"/>
      <c r="AH166" s="126"/>
      <c r="AI166" s="126"/>
      <c r="AJ166" s="130"/>
      <c r="AK166" s="130"/>
      <c r="AL166" s="130"/>
      <c r="AM166" s="127">
        <f>AG166*'1. Standard_Cost'!$B$27+'Incremental_Cost Year 3'!AH166*'1. Standard_Cost'!$C$27+'Incremental_Cost Year 3'!AI166*'1. Standard_Cost'!$D$27+'Incremental_Cost Year 3'!AJ166+'Incremental_Cost Year 3'!AL166+AK166</f>
        <v>0</v>
      </c>
      <c r="AN166" s="127">
        <f>AM166*'1. Standard_Cost'!$C$31</f>
        <v>0</v>
      </c>
      <c r="AO166" s="130"/>
      <c r="AP166" s="256"/>
      <c r="AQ166" s="171">
        <f>L166+M166</f>
        <v>0</v>
      </c>
      <c r="AR166" s="171">
        <f>AF166</f>
        <v>0</v>
      </c>
      <c r="AS166" s="171">
        <f>AM166+AN166</f>
        <v>0</v>
      </c>
      <c r="AT166" s="171">
        <f>SUM(AQ166,AR166,AS166)</f>
        <v>0</v>
      </c>
      <c r="AU166" s="250"/>
      <c r="AV166" s="250"/>
      <c r="AW166" s="250"/>
      <c r="AX166" s="250"/>
      <c r="AY166" s="250"/>
      <c r="AZ166" s="250"/>
      <c r="BA166" s="250"/>
      <c r="BB166" s="251">
        <f t="shared" si="107"/>
        <v>0</v>
      </c>
      <c r="BC166" s="169"/>
      <c r="BD166" s="169"/>
      <c r="BE166" s="169"/>
      <c r="BF166" s="169"/>
    </row>
    <row r="167" spans="1:58" ht="31.5" outlineLevel="2" x14ac:dyDescent="0.25">
      <c r="A167" s="115"/>
      <c r="B167" s="200"/>
      <c r="C167" s="201"/>
      <c r="D167" s="310"/>
      <c r="E167" s="122"/>
      <c r="F167" s="311"/>
      <c r="G167" s="312"/>
      <c r="H167" s="199" t="s">
        <v>315</v>
      </c>
      <c r="I167" s="130" t="s">
        <v>4</v>
      </c>
      <c r="J167" s="126">
        <v>12</v>
      </c>
      <c r="K167" s="126">
        <v>398</v>
      </c>
      <c r="L167" s="125">
        <f>IF(I167&lt;&gt;0,((VLOOKUP(I167,'1. Standard_Cost'!$B$4:$D$11,2)+VLOOKUP(I167,'1. Standard_Cost'!$B$4:$D$11,3))*J167*K167),"0")</f>
        <v>385662000</v>
      </c>
      <c r="M167" s="125">
        <f>L167*'1. Standard_Cost'!$F$4</f>
        <v>64405554</v>
      </c>
      <c r="N167" s="126"/>
      <c r="O167" s="126"/>
      <c r="P167" s="126"/>
      <c r="Q167" s="126"/>
      <c r="R167" s="127">
        <f>'1. Standard_Cost'!$B$15*N167*P167</f>
        <v>0</v>
      </c>
      <c r="S167" s="127">
        <f>N167*O167*P167*'1. Standard_Cost'!$C$15</f>
        <v>0</v>
      </c>
      <c r="T167" s="127">
        <f>N167*P167*Q167*'1. Standard_Cost'!$D$15</f>
        <v>0</v>
      </c>
      <c r="U167" s="127">
        <f>N167*O167*'1. Standard_Cost'!$E$15</f>
        <v>0</v>
      </c>
      <c r="V167" s="126"/>
      <c r="W167" s="126"/>
      <c r="X167" s="126"/>
      <c r="Y167" s="127">
        <f>+V167*((X167*'1. Standard_Cost'!$B$19)+(W167*X167*'1. Standard_Cost'!$C$19))</f>
        <v>0</v>
      </c>
      <c r="Z167" s="126"/>
      <c r="AA167" s="126"/>
      <c r="AB167" s="127">
        <f>+Z167*'1. Standard_Cost'!$B$23+AA167*'1. Standard_Cost'!$C$23</f>
        <v>0</v>
      </c>
      <c r="AC167" s="128">
        <v>680000000</v>
      </c>
      <c r="AD167" s="129"/>
      <c r="AE167" s="127"/>
      <c r="AF167" s="127">
        <f>SUM(AE167,AD167,AC167,AB167,Y167,U167,T167,S167,R167)</f>
        <v>680000000</v>
      </c>
      <c r="AG167" s="126"/>
      <c r="AH167" s="126"/>
      <c r="AI167" s="126"/>
      <c r="AJ167" s="130"/>
      <c r="AK167" s="130"/>
      <c r="AL167" s="130"/>
      <c r="AM167" s="127">
        <f>AG167*'1. Standard_Cost'!$B$27+'Incremental_Cost Year 3'!AH167*'1. Standard_Cost'!$C$27+'Incremental_Cost Year 3'!AI167*'1. Standard_Cost'!$D$27+'Incremental_Cost Year 3'!AJ167+'Incremental_Cost Year 3'!AL167+AK167</f>
        <v>0</v>
      </c>
      <c r="AN167" s="127">
        <f>AM167*'1. Standard_Cost'!$C$31</f>
        <v>0</v>
      </c>
      <c r="AO167" s="130"/>
      <c r="AP167" s="256"/>
      <c r="AQ167" s="171">
        <f>L167+M167</f>
        <v>450067554</v>
      </c>
      <c r="AR167" s="171">
        <f>AF167</f>
        <v>680000000</v>
      </c>
      <c r="AS167" s="171">
        <f>AM167+AN167</f>
        <v>0</v>
      </c>
      <c r="AT167" s="171">
        <f>SUM(AQ167,AR167,AS167)</f>
        <v>1130067554</v>
      </c>
      <c r="AU167" s="250">
        <v>1130067554</v>
      </c>
      <c r="AV167" s="250"/>
      <c r="AW167" s="250"/>
      <c r="AX167" s="250"/>
      <c r="AY167" s="250"/>
      <c r="AZ167" s="250"/>
      <c r="BA167" s="250"/>
      <c r="BB167" s="251">
        <f t="shared" si="107"/>
        <v>0</v>
      </c>
      <c r="BC167" s="169"/>
      <c r="BD167" s="169"/>
      <c r="BE167" s="169"/>
      <c r="BF167" s="169"/>
    </row>
    <row r="168" spans="1:58" ht="78.75" outlineLevel="2" x14ac:dyDescent="0.25">
      <c r="A168" s="115"/>
      <c r="B168" s="165"/>
      <c r="C168" s="166"/>
      <c r="D168" s="139" t="s">
        <v>477</v>
      </c>
      <c r="E168" s="212" t="s">
        <v>478</v>
      </c>
      <c r="F168" s="136">
        <v>2021</v>
      </c>
      <c r="G168" s="117">
        <v>2030</v>
      </c>
      <c r="H168" s="110" t="s">
        <v>170</v>
      </c>
      <c r="I168" s="252"/>
      <c r="J168" s="252"/>
      <c r="K168" s="252"/>
      <c r="L168" s="127">
        <f>SUM(L164:L167)</f>
        <v>386388750</v>
      </c>
      <c r="M168" s="127">
        <f>SUM(M164:M167)</f>
        <v>64526921.25</v>
      </c>
      <c r="N168" s="252"/>
      <c r="O168" s="252"/>
      <c r="P168" s="252"/>
      <c r="Q168" s="252"/>
      <c r="R168" s="127">
        <f>SUM(R164:R167)</f>
        <v>0</v>
      </c>
      <c r="S168" s="127">
        <f>SUM(S164:S167)</f>
        <v>0</v>
      </c>
      <c r="T168" s="127">
        <f>SUM(T164:T167)</f>
        <v>0</v>
      </c>
      <c r="U168" s="127">
        <f>SUM(U164:U167)</f>
        <v>0</v>
      </c>
      <c r="V168" s="252"/>
      <c r="W168" s="252"/>
      <c r="X168" s="252"/>
      <c r="Y168" s="127">
        <f>SUM(Y164:Y167)</f>
        <v>0</v>
      </c>
      <c r="Z168" s="127"/>
      <c r="AA168" s="252"/>
      <c r="AB168" s="127">
        <f>SUM(AB164:AB167)</f>
        <v>570000</v>
      </c>
      <c r="AC168" s="127">
        <f>SUM(AC164:AC167)</f>
        <v>680150000</v>
      </c>
      <c r="AD168" s="127">
        <f>SUM(AD164:AD167)</f>
        <v>0</v>
      </c>
      <c r="AE168" s="127">
        <f>SUM(AE164:AE167)</f>
        <v>144000</v>
      </c>
      <c r="AF168" s="127">
        <f>SUM(AF164:AF167)</f>
        <v>680864000</v>
      </c>
      <c r="AG168" s="252"/>
      <c r="AH168" s="252"/>
      <c r="AI168" s="252"/>
      <c r="AJ168" s="127">
        <f>SUM(AJ164:AJ167)</f>
        <v>0</v>
      </c>
      <c r="AK168" s="127">
        <f>SUM(AK164:AK167)</f>
        <v>0</v>
      </c>
      <c r="AL168" s="127">
        <f>SUM(AL164:AL167)</f>
        <v>0</v>
      </c>
      <c r="AM168" s="127">
        <f>SUM(AM164:AM167)</f>
        <v>0</v>
      </c>
      <c r="AN168" s="127">
        <f>SUM(AN164:AN167)</f>
        <v>0</v>
      </c>
      <c r="AO168" s="253"/>
      <c r="AP168" s="254"/>
      <c r="AQ168" s="175">
        <f>SUM(AQ164:AQ167)</f>
        <v>450915671.25</v>
      </c>
      <c r="AR168" s="175">
        <f>SUM(AR164:AR167)</f>
        <v>680864000</v>
      </c>
      <c r="AS168" s="175">
        <f>SUM(AS164:AS167)</f>
        <v>0</v>
      </c>
      <c r="AT168" s="175">
        <f>SUM(AT164:AT167)</f>
        <v>1131779671.25</v>
      </c>
      <c r="AU168" s="175">
        <f t="shared" ref="AU168:BA168" si="108">SUM(AU164:AU167)</f>
        <v>1131095671</v>
      </c>
      <c r="AV168" s="175">
        <f t="shared" si="108"/>
        <v>0</v>
      </c>
      <c r="AW168" s="175">
        <f t="shared" si="108"/>
        <v>0</v>
      </c>
      <c r="AX168" s="175">
        <f t="shared" si="108"/>
        <v>0</v>
      </c>
      <c r="AY168" s="175">
        <f t="shared" si="108"/>
        <v>0</v>
      </c>
      <c r="AZ168" s="175">
        <f t="shared" si="108"/>
        <v>0</v>
      </c>
      <c r="BA168" s="175">
        <f t="shared" si="108"/>
        <v>0</v>
      </c>
      <c r="BB168" s="175">
        <f>SUM(BB164:BB167)</f>
        <v>-684000.25</v>
      </c>
      <c r="BC168" s="169"/>
      <c r="BD168" s="169"/>
      <c r="BE168" s="169"/>
      <c r="BF168" s="169"/>
    </row>
    <row r="169" spans="1:58" ht="31.5" outlineLevel="1" x14ac:dyDescent="0.25">
      <c r="A169" s="115"/>
      <c r="B169" s="200"/>
      <c r="C169" s="201"/>
      <c r="D169" s="342"/>
      <c r="E169" s="328"/>
      <c r="F169" s="328"/>
      <c r="G169" s="328"/>
      <c r="H169" s="199" t="s">
        <v>479</v>
      </c>
      <c r="I169" s="130"/>
      <c r="J169" s="126"/>
      <c r="K169" s="126"/>
      <c r="L169" s="125" t="str">
        <f>IF(I169&lt;&gt;0,((VLOOKUP(I169,'1. Standard_Cost'!$B$4:$D$11,2)+VLOOKUP(I169,'1. Standard_Cost'!$B$4:$D$11,3))*J169*K169),"0")</f>
        <v>0</v>
      </c>
      <c r="M169" s="125">
        <f>L169*'1. Standard_Cost'!$F$4</f>
        <v>0</v>
      </c>
      <c r="N169" s="126"/>
      <c r="O169" s="126"/>
      <c r="P169" s="126"/>
      <c r="Q169" s="126"/>
      <c r="R169" s="127">
        <f>'1. Standard_Cost'!$B$15*N169*P169</f>
        <v>0</v>
      </c>
      <c r="S169" s="127">
        <f>N169*O169*P169*'1. Standard_Cost'!$C$15</f>
        <v>0</v>
      </c>
      <c r="T169" s="127">
        <f>N169*P169*Q169*'1. Standard_Cost'!$D$15</f>
        <v>0</v>
      </c>
      <c r="U169" s="127">
        <f>N169*O169*'1. Standard_Cost'!$E$15</f>
        <v>0</v>
      </c>
      <c r="V169" s="126"/>
      <c r="W169" s="126"/>
      <c r="X169" s="126"/>
      <c r="Y169" s="127">
        <f>+V169*((X169*'1. Standard_Cost'!$B$19)+(W169*X169*'1. Standard_Cost'!$C$19))</f>
        <v>0</v>
      </c>
      <c r="Z169" s="126"/>
      <c r="AA169" s="126"/>
      <c r="AB169" s="127">
        <f>+Z169*'1. Standard_Cost'!$B$23+AA169*'1. Standard_Cost'!$C$23</f>
        <v>0</v>
      </c>
      <c r="AC169" s="128">
        <v>1310130000</v>
      </c>
      <c r="AD169" s="129"/>
      <c r="AE169" s="127">
        <f>0</f>
        <v>0</v>
      </c>
      <c r="AF169" s="127">
        <f t="shared" ref="AF169:AF177" si="109">SUM(AE169,AD169,AC169,AB169,Y169,U169,T169,S169,R169)</f>
        <v>1310130000</v>
      </c>
      <c r="AG169" s="126"/>
      <c r="AH169" s="126"/>
      <c r="AI169" s="126"/>
      <c r="AJ169" s="130"/>
      <c r="AK169" s="130"/>
      <c r="AL169" s="130"/>
      <c r="AM169" s="127">
        <f>AG169*'1. Standard_Cost'!$B$27+'Incremental_Cost Year 3'!AH169*'1. Standard_Cost'!$C$27+'Incremental_Cost Year 3'!AI169*'1. Standard_Cost'!$D$27+'Incremental_Cost Year 3'!AJ169+'Incremental_Cost Year 3'!AL169+AK169</f>
        <v>0</v>
      </c>
      <c r="AN169" s="127">
        <f>AM169*'1. Standard_Cost'!$C$31</f>
        <v>0</v>
      </c>
      <c r="AO169" s="130"/>
      <c r="AP169" s="256"/>
      <c r="AQ169" s="171">
        <f t="shared" ref="AQ169:AQ177" si="110">L169+M169</f>
        <v>0</v>
      </c>
      <c r="AR169" s="171">
        <f t="shared" ref="AR169:AR177" si="111">AF169</f>
        <v>1310130000</v>
      </c>
      <c r="AS169" s="171">
        <f t="shared" ref="AS169:AS177" si="112">AM169+AN169</f>
        <v>0</v>
      </c>
      <c r="AT169" s="171">
        <f t="shared" ref="AT169:AT177" si="113">SUM(AQ169,AR169,AS169)</f>
        <v>1310130000</v>
      </c>
      <c r="AU169" s="250">
        <v>1310130000</v>
      </c>
      <c r="AV169" s="250"/>
      <c r="AW169" s="250"/>
      <c r="AX169" s="250"/>
      <c r="AY169" s="250"/>
      <c r="AZ169" s="250"/>
      <c r="BA169" s="250"/>
      <c r="BB169" s="251">
        <f t="shared" ref="BB169:BB177" si="114">SUM(AU169:BA169)-AT169</f>
        <v>0</v>
      </c>
      <c r="BC169" s="169"/>
      <c r="BD169" s="169"/>
      <c r="BE169" s="169"/>
      <c r="BF169" s="169"/>
    </row>
    <row r="170" spans="1:58" ht="47.25" outlineLevel="2" x14ac:dyDescent="0.25">
      <c r="A170" s="115"/>
      <c r="B170" s="200"/>
      <c r="C170" s="201"/>
      <c r="D170" s="343"/>
      <c r="E170" s="328"/>
      <c r="F170" s="328"/>
      <c r="G170" s="328"/>
      <c r="H170" s="213" t="s">
        <v>480</v>
      </c>
      <c r="I170" s="130"/>
      <c r="J170" s="126"/>
      <c r="K170" s="126"/>
      <c r="L170" s="125" t="str">
        <f>IF(I170&lt;&gt;0,((VLOOKUP(I170,'1. Standard_Cost'!$B$4:$D$11,2)+VLOOKUP(I170,'1. Standard_Cost'!$B$4:$D$11,3))*J170*K170),"0")</f>
        <v>0</v>
      </c>
      <c r="M170" s="125">
        <f>L170*'1. Standard_Cost'!$F$4</f>
        <v>0</v>
      </c>
      <c r="N170" s="126"/>
      <c r="O170" s="126"/>
      <c r="P170" s="126"/>
      <c r="Q170" s="126"/>
      <c r="R170" s="127">
        <f>'1. Standard_Cost'!$B$15*N170*P170</f>
        <v>0</v>
      </c>
      <c r="S170" s="127">
        <f>N170*O170*P170*'1. Standard_Cost'!$C$15</f>
        <v>0</v>
      </c>
      <c r="T170" s="127">
        <f>N170*P170*Q170*'1. Standard_Cost'!$D$15</f>
        <v>0</v>
      </c>
      <c r="U170" s="127">
        <f>N170*O170*'1. Standard_Cost'!$E$15</f>
        <v>0</v>
      </c>
      <c r="V170" s="126"/>
      <c r="W170" s="126"/>
      <c r="X170" s="126"/>
      <c r="Y170" s="127">
        <f>+V170*((X170*'1. Standard_Cost'!$B$19)+(W170*X170*'1. Standard_Cost'!$C$19))</f>
        <v>0</v>
      </c>
      <c r="Z170" s="126"/>
      <c r="AA170" s="126"/>
      <c r="AB170" s="127">
        <f>+Z170*'1. Standard_Cost'!$B$23+AA170*'1. Standard_Cost'!$C$23</f>
        <v>0</v>
      </c>
      <c r="AC170" s="266">
        <v>887000000</v>
      </c>
      <c r="AD170" s="129"/>
      <c r="AE170" s="127">
        <f>0</f>
        <v>0</v>
      </c>
      <c r="AF170" s="127">
        <f t="shared" si="109"/>
        <v>887000000</v>
      </c>
      <c r="AG170" s="126"/>
      <c r="AH170" s="126"/>
      <c r="AI170" s="126"/>
      <c r="AJ170" s="130"/>
      <c r="AK170" s="130"/>
      <c r="AL170" s="130"/>
      <c r="AM170" s="127">
        <f>AG170*'1. Standard_Cost'!$B$27+'Incremental_Cost Year 3'!AH170*'1. Standard_Cost'!$C$27+'Incremental_Cost Year 3'!AI170*'1. Standard_Cost'!$D$27+'Incremental_Cost Year 3'!AJ170+'Incremental_Cost Year 3'!AL170+AK170</f>
        <v>0</v>
      </c>
      <c r="AN170" s="127">
        <f>AM170*'1. Standard_Cost'!$C$31</f>
        <v>0</v>
      </c>
      <c r="AO170" s="130"/>
      <c r="AP170" s="256"/>
      <c r="AQ170" s="171">
        <f t="shared" si="110"/>
        <v>0</v>
      </c>
      <c r="AR170" s="171">
        <f t="shared" si="111"/>
        <v>887000000</v>
      </c>
      <c r="AS170" s="171">
        <f t="shared" si="112"/>
        <v>0</v>
      </c>
      <c r="AT170" s="171">
        <f t="shared" si="113"/>
        <v>887000000</v>
      </c>
      <c r="AU170" s="250">
        <v>887000000</v>
      </c>
      <c r="AV170" s="250"/>
      <c r="AW170" s="250"/>
      <c r="AX170" s="250"/>
      <c r="AY170" s="250"/>
      <c r="AZ170" s="250"/>
      <c r="BA170" s="250"/>
      <c r="BB170" s="251">
        <f t="shared" si="114"/>
        <v>0</v>
      </c>
      <c r="BC170" s="169"/>
      <c r="BD170" s="169"/>
      <c r="BE170" s="169"/>
      <c r="BF170" s="169"/>
    </row>
    <row r="171" spans="1:58" ht="31.5" outlineLevel="2" x14ac:dyDescent="0.25">
      <c r="A171" s="115"/>
      <c r="B171" s="200"/>
      <c r="C171" s="201"/>
      <c r="D171" s="343"/>
      <c r="E171" s="328"/>
      <c r="F171" s="328"/>
      <c r="G171" s="328"/>
      <c r="H171" s="213" t="s">
        <v>481</v>
      </c>
      <c r="I171" s="130"/>
      <c r="J171" s="126"/>
      <c r="K171" s="126"/>
      <c r="L171" s="125" t="str">
        <f>IF(I171&lt;&gt;0,((VLOOKUP(I171,'1. Standard_Cost'!$B$4:$D$11,2)+VLOOKUP(I171,'1. Standard_Cost'!$B$4:$D$11,3))*J171*K171),"0")</f>
        <v>0</v>
      </c>
      <c r="M171" s="125">
        <f>L171*'1. Standard_Cost'!$F$4</f>
        <v>0</v>
      </c>
      <c r="N171" s="126"/>
      <c r="O171" s="126"/>
      <c r="P171" s="126"/>
      <c r="Q171" s="126"/>
      <c r="R171" s="127">
        <f>'1. Standard_Cost'!$B$15*N171*P171</f>
        <v>0</v>
      </c>
      <c r="S171" s="127">
        <f>N171*O171*P171*'1. Standard_Cost'!$C$15</f>
        <v>0</v>
      </c>
      <c r="T171" s="127">
        <f>N171*P171*Q171*'1. Standard_Cost'!$D$15</f>
        <v>0</v>
      </c>
      <c r="U171" s="127">
        <f>N171*O171*'1. Standard_Cost'!$E$15</f>
        <v>0</v>
      </c>
      <c r="V171" s="126"/>
      <c r="W171" s="126"/>
      <c r="X171" s="126"/>
      <c r="Y171" s="127">
        <f>+V171*((X171*'1. Standard_Cost'!$B$19)+(W171*X171*'1. Standard_Cost'!$C$19))</f>
        <v>0</v>
      </c>
      <c r="Z171" s="126"/>
      <c r="AA171" s="126"/>
      <c r="AB171" s="127">
        <f>+Z171*'1. Standard_Cost'!$B$23+AA171*'1. Standard_Cost'!$C$23</f>
        <v>0</v>
      </c>
      <c r="AC171" s="128">
        <v>1770000000</v>
      </c>
      <c r="AD171" s="129"/>
      <c r="AE171" s="127">
        <f>0</f>
        <v>0</v>
      </c>
      <c r="AF171" s="127">
        <f t="shared" si="109"/>
        <v>1770000000</v>
      </c>
      <c r="AG171" s="126"/>
      <c r="AH171" s="126"/>
      <c r="AI171" s="126"/>
      <c r="AJ171" s="130"/>
      <c r="AK171" s="130"/>
      <c r="AL171" s="130"/>
      <c r="AM171" s="127">
        <f>AG171*'1. Standard_Cost'!$B$27+'Incremental_Cost Year 3'!AH171*'1. Standard_Cost'!$C$27+'Incremental_Cost Year 3'!AI171*'1. Standard_Cost'!$D$27+'Incremental_Cost Year 3'!AJ171+'Incremental_Cost Year 3'!AL171+AK171</f>
        <v>0</v>
      </c>
      <c r="AN171" s="127">
        <f>AM171*'1. Standard_Cost'!$C$31</f>
        <v>0</v>
      </c>
      <c r="AO171" s="130"/>
      <c r="AP171" s="256"/>
      <c r="AQ171" s="171">
        <f t="shared" si="110"/>
        <v>0</v>
      </c>
      <c r="AR171" s="171">
        <f t="shared" si="111"/>
        <v>1770000000</v>
      </c>
      <c r="AS171" s="171">
        <f t="shared" si="112"/>
        <v>0</v>
      </c>
      <c r="AT171" s="171">
        <f t="shared" si="113"/>
        <v>1770000000</v>
      </c>
      <c r="AU171" s="250">
        <v>1770000000</v>
      </c>
      <c r="AV171" s="250"/>
      <c r="AW171" s="250"/>
      <c r="AX171" s="250"/>
      <c r="AY171" s="250"/>
      <c r="AZ171" s="250"/>
      <c r="BA171" s="250"/>
      <c r="BB171" s="251">
        <f t="shared" si="114"/>
        <v>0</v>
      </c>
      <c r="BC171" s="169"/>
      <c r="BD171" s="169"/>
      <c r="BE171" s="169"/>
      <c r="BF171" s="169"/>
    </row>
    <row r="172" spans="1:58" ht="47.25" outlineLevel="2" x14ac:dyDescent="0.25">
      <c r="A172" s="115"/>
      <c r="B172" s="200"/>
      <c r="C172" s="201"/>
      <c r="D172" s="343"/>
      <c r="E172" s="328"/>
      <c r="F172" s="328"/>
      <c r="G172" s="328"/>
      <c r="H172" s="213" t="s">
        <v>542</v>
      </c>
      <c r="I172" s="130"/>
      <c r="J172" s="126"/>
      <c r="K172" s="126"/>
      <c r="L172" s="125" t="str">
        <f>IF(I172&lt;&gt;0,((VLOOKUP(I172,'1. Standard_Cost'!$B$4:$D$11,2)+VLOOKUP(I172,'1. Standard_Cost'!$B$4:$D$11,3))*J172*K172),"0")</f>
        <v>0</v>
      </c>
      <c r="M172" s="125">
        <f>L172*'1. Standard_Cost'!$F$4</f>
        <v>0</v>
      </c>
      <c r="N172" s="126"/>
      <c r="O172" s="126"/>
      <c r="P172" s="126"/>
      <c r="Q172" s="126"/>
      <c r="R172" s="127">
        <f>'1. Standard_Cost'!$B$15*N172*P172</f>
        <v>0</v>
      </c>
      <c r="S172" s="127">
        <f>N172*O172*P172*'1. Standard_Cost'!$C$15</f>
        <v>0</v>
      </c>
      <c r="T172" s="127">
        <f>N172*P172*Q172*'1. Standard_Cost'!$D$15</f>
        <v>0</v>
      </c>
      <c r="U172" s="127">
        <f>N172*O172*'1. Standard_Cost'!$E$15</f>
        <v>0</v>
      </c>
      <c r="V172" s="126"/>
      <c r="W172" s="126"/>
      <c r="X172" s="126"/>
      <c r="Y172" s="127">
        <f>+V172*((X172*'1. Standard_Cost'!$B$19)+(W172*X172*'1. Standard_Cost'!$C$19))</f>
        <v>0</v>
      </c>
      <c r="Z172" s="126"/>
      <c r="AA172" s="126"/>
      <c r="AB172" s="127">
        <f>+Z172*'1. Standard_Cost'!$B$23+AA172*'1. Standard_Cost'!$C$23</f>
        <v>0</v>
      </c>
      <c r="AC172" s="128"/>
      <c r="AD172" s="129"/>
      <c r="AE172" s="127">
        <f>SUM(AD172,AC172,AB172,Y172,U172,T172,S172,R172)*'1. Standard_Cost'!$B$31</f>
        <v>0</v>
      </c>
      <c r="AF172" s="127">
        <f t="shared" si="109"/>
        <v>0</v>
      </c>
      <c r="AG172" s="126"/>
      <c r="AH172" s="126"/>
      <c r="AI172" s="126"/>
      <c r="AJ172" s="130">
        <v>1738560000</v>
      </c>
      <c r="AK172" s="130"/>
      <c r="AL172" s="130">
        <v>270600000</v>
      </c>
      <c r="AM172" s="127">
        <f>AG172*'1. Standard_Cost'!$B$27+'Incremental_Cost Year 3'!AH172*'1. Standard_Cost'!$C$27+'Incremental_Cost Year 3'!AI172*'1. Standard_Cost'!$D$27+'Incremental_Cost Year 3'!AJ172+'Incremental_Cost Year 3'!AL172+AK172</f>
        <v>2009160000</v>
      </c>
      <c r="AN172" s="127">
        <f>AM172*'1. Standard_Cost'!$C$31</f>
        <v>301374000</v>
      </c>
      <c r="AO172" s="130"/>
      <c r="AP172" s="256"/>
      <c r="AQ172" s="171">
        <f t="shared" si="110"/>
        <v>0</v>
      </c>
      <c r="AR172" s="171">
        <f t="shared" si="111"/>
        <v>0</v>
      </c>
      <c r="AS172" s="171">
        <f t="shared" si="112"/>
        <v>2310534000</v>
      </c>
      <c r="AT172" s="171">
        <f t="shared" si="113"/>
        <v>2310534000</v>
      </c>
      <c r="AU172" s="250">
        <v>1307160000</v>
      </c>
      <c r="AV172" s="250">
        <v>100000000</v>
      </c>
      <c r="AW172" s="250">
        <v>602000000</v>
      </c>
      <c r="AX172" s="250"/>
      <c r="AY172" s="250"/>
      <c r="AZ172" s="250"/>
      <c r="BA172" s="250"/>
      <c r="BB172" s="251">
        <f t="shared" si="114"/>
        <v>-301374000</v>
      </c>
      <c r="BC172" s="169"/>
      <c r="BD172" s="169"/>
      <c r="BE172" s="169"/>
      <c r="BF172" s="169"/>
    </row>
    <row r="173" spans="1:58" ht="31.5" outlineLevel="2" x14ac:dyDescent="0.25">
      <c r="A173" s="115"/>
      <c r="B173" s="200"/>
      <c r="C173" s="201"/>
      <c r="D173" s="343"/>
      <c r="E173" s="328"/>
      <c r="F173" s="328"/>
      <c r="G173" s="328"/>
      <c r="H173" s="213" t="s">
        <v>482</v>
      </c>
      <c r="I173" s="130" t="s">
        <v>5</v>
      </c>
      <c r="J173" s="126">
        <v>12</v>
      </c>
      <c r="K173" s="126">
        <v>59</v>
      </c>
      <c r="L173" s="125">
        <f>IF(I173&lt;&gt;0,((VLOOKUP(I173,'1. Standard_Cost'!$B$4:$D$11,2)+VLOOKUP(I173,'1. Standard_Cost'!$B$4:$D$11,3))*J173*K173),"0")</f>
        <v>50055600</v>
      </c>
      <c r="M173" s="125">
        <f>L173*'1. Standard_Cost'!$F$4</f>
        <v>8359285.2000000002</v>
      </c>
      <c r="N173" s="126"/>
      <c r="O173" s="126"/>
      <c r="P173" s="126"/>
      <c r="Q173" s="126"/>
      <c r="R173" s="127">
        <f>'1. Standard_Cost'!$B$15*N173*P173</f>
        <v>0</v>
      </c>
      <c r="S173" s="127">
        <f>N173*O173*P173*'1. Standard_Cost'!$C$15</f>
        <v>0</v>
      </c>
      <c r="T173" s="127">
        <f>N173*P173*Q173*'1. Standard_Cost'!$D$15</f>
        <v>0</v>
      </c>
      <c r="U173" s="127">
        <f>N173*O173*'1. Standard_Cost'!$E$15</f>
        <v>0</v>
      </c>
      <c r="V173" s="126"/>
      <c r="W173" s="126"/>
      <c r="X173" s="126"/>
      <c r="Y173" s="127">
        <f>+V173*((X173*'1. Standard_Cost'!$B$19)+(W173*X173*'1. Standard_Cost'!$C$19))</f>
        <v>0</v>
      </c>
      <c r="Z173" s="126"/>
      <c r="AA173" s="126"/>
      <c r="AB173" s="127">
        <f>+Z173*'1. Standard_Cost'!$B$23+AA173*'1. Standard_Cost'!$C$23</f>
        <v>0</v>
      </c>
      <c r="AC173" s="128">
        <v>408000000</v>
      </c>
      <c r="AD173" s="129"/>
      <c r="AE173" s="127">
        <v>0</v>
      </c>
      <c r="AF173" s="127">
        <f t="shared" si="109"/>
        <v>408000000</v>
      </c>
      <c r="AG173" s="126"/>
      <c r="AH173" s="126"/>
      <c r="AI173" s="126"/>
      <c r="AJ173" s="130">
        <v>138053000</v>
      </c>
      <c r="AK173" s="130"/>
      <c r="AL173" s="130">
        <v>40000000</v>
      </c>
      <c r="AM173" s="127">
        <f>AG173*'1. Standard_Cost'!$B$27+'Incremental_Cost Year 3'!AH173*'1. Standard_Cost'!$C$27+'Incremental_Cost Year 3'!AI173*'1. Standard_Cost'!$D$27+'Incremental_Cost Year 3'!AJ173+'Incremental_Cost Year 3'!AL173+AK173</f>
        <v>178053000</v>
      </c>
      <c r="AN173" s="127">
        <f>AM173*'1. Standard_Cost'!$C$31</f>
        <v>26707950</v>
      </c>
      <c r="AO173" s="130"/>
      <c r="AP173" s="256"/>
      <c r="AQ173" s="171">
        <f t="shared" si="110"/>
        <v>58414885.200000003</v>
      </c>
      <c r="AR173" s="171">
        <f t="shared" si="111"/>
        <v>408000000</v>
      </c>
      <c r="AS173" s="171">
        <f t="shared" si="112"/>
        <v>204760950</v>
      </c>
      <c r="AT173" s="171">
        <f t="shared" si="113"/>
        <v>671175835.20000005</v>
      </c>
      <c r="AU173" s="250">
        <v>671175835.20000005</v>
      </c>
      <c r="AV173" s="250"/>
      <c r="AW173" s="250"/>
      <c r="AX173" s="250"/>
      <c r="AY173" s="250"/>
      <c r="AZ173" s="250"/>
      <c r="BA173" s="250"/>
      <c r="BB173" s="251">
        <f t="shared" si="114"/>
        <v>0</v>
      </c>
      <c r="BC173" s="169"/>
      <c r="BD173" s="169"/>
      <c r="BE173" s="169"/>
      <c r="BF173" s="169"/>
    </row>
    <row r="174" spans="1:58" ht="15.75" outlineLevel="2" x14ac:dyDescent="0.25">
      <c r="A174" s="115"/>
      <c r="B174" s="200"/>
      <c r="C174" s="201"/>
      <c r="D174" s="343"/>
      <c r="E174" s="328"/>
      <c r="F174" s="328"/>
      <c r="G174" s="328"/>
      <c r="H174" s="199"/>
      <c r="I174" s="130"/>
      <c r="J174" s="126"/>
      <c r="K174" s="126"/>
      <c r="L174" s="125" t="str">
        <f>IF(I174&lt;&gt;0,((VLOOKUP(I174,'1. Standard_Cost'!$B$4:$D$11,2)+VLOOKUP(I174,'1. Standard_Cost'!$B$4:$D$11,3))*J174*K174),"0")</f>
        <v>0</v>
      </c>
      <c r="M174" s="125">
        <f>L174*'1. Standard_Cost'!$F$4</f>
        <v>0</v>
      </c>
      <c r="N174" s="126"/>
      <c r="O174" s="126"/>
      <c r="P174" s="126"/>
      <c r="Q174" s="126"/>
      <c r="R174" s="127">
        <f>'1. Standard_Cost'!$B$15*N174*P174</f>
        <v>0</v>
      </c>
      <c r="S174" s="127">
        <f>N174*O174*P174*'1. Standard_Cost'!$C$15</f>
        <v>0</v>
      </c>
      <c r="T174" s="127">
        <f>N174*P174*Q174*'1. Standard_Cost'!$D$15</f>
        <v>0</v>
      </c>
      <c r="U174" s="127">
        <f>N174*O174*'1. Standard_Cost'!$E$15</f>
        <v>0</v>
      </c>
      <c r="V174" s="126"/>
      <c r="W174" s="126"/>
      <c r="X174" s="126"/>
      <c r="Y174" s="127">
        <f>+V174*((X174*'1. Standard_Cost'!$B$19)+(W174*X174*'1. Standard_Cost'!$C$19))</f>
        <v>0</v>
      </c>
      <c r="Z174" s="126"/>
      <c r="AA174" s="126"/>
      <c r="AB174" s="127">
        <f>+Z174*'1. Standard_Cost'!$B$23+AA174*'1. Standard_Cost'!$C$23</f>
        <v>0</v>
      </c>
      <c r="AC174" s="128"/>
      <c r="AD174" s="129"/>
      <c r="AE174" s="127">
        <f>SUM(AD174,AC174,AB174,Y174,U174,T174,S174,R174)*'1. Standard_Cost'!$B$31</f>
        <v>0</v>
      </c>
      <c r="AF174" s="127">
        <f t="shared" si="109"/>
        <v>0</v>
      </c>
      <c r="AG174" s="126"/>
      <c r="AH174" s="126"/>
      <c r="AI174" s="126"/>
      <c r="AJ174" s="130"/>
      <c r="AK174" s="130"/>
      <c r="AL174" s="130"/>
      <c r="AM174" s="127">
        <f>AG174*'1. Standard_Cost'!$B$27+'Incremental_Cost Year 3'!AH174*'1. Standard_Cost'!$C$27+'Incremental_Cost Year 3'!AI174*'1. Standard_Cost'!$D$27+'Incremental_Cost Year 3'!AJ174+'Incremental_Cost Year 3'!AL174+AK174</f>
        <v>0</v>
      </c>
      <c r="AN174" s="127">
        <f>AM174*'1. Standard_Cost'!$C$31</f>
        <v>0</v>
      </c>
      <c r="AO174" s="130"/>
      <c r="AP174" s="256"/>
      <c r="AQ174" s="171">
        <f t="shared" si="110"/>
        <v>0</v>
      </c>
      <c r="AR174" s="171">
        <f t="shared" si="111"/>
        <v>0</v>
      </c>
      <c r="AS174" s="171">
        <f t="shared" si="112"/>
        <v>0</v>
      </c>
      <c r="AT174" s="171">
        <f t="shared" si="113"/>
        <v>0</v>
      </c>
      <c r="AU174" s="250"/>
      <c r="AV174" s="250"/>
      <c r="AW174" s="250"/>
      <c r="AX174" s="250"/>
      <c r="AY174" s="250"/>
      <c r="AZ174" s="250"/>
      <c r="BA174" s="250"/>
      <c r="BB174" s="251">
        <f t="shared" si="114"/>
        <v>0</v>
      </c>
      <c r="BC174" s="169"/>
      <c r="BD174" s="169"/>
      <c r="BE174" s="169"/>
      <c r="BF174" s="169"/>
    </row>
    <row r="175" spans="1:58" ht="47.25" outlineLevel="2" x14ac:dyDescent="0.25">
      <c r="A175" s="115"/>
      <c r="B175" s="200"/>
      <c r="C175" s="201"/>
      <c r="D175" s="343"/>
      <c r="E175" s="328"/>
      <c r="F175" s="328"/>
      <c r="G175" s="328"/>
      <c r="H175" s="213" t="s">
        <v>483</v>
      </c>
      <c r="I175" s="130" t="s">
        <v>5</v>
      </c>
      <c r="J175" s="126">
        <v>2</v>
      </c>
      <c r="K175" s="126">
        <v>7</v>
      </c>
      <c r="L175" s="125">
        <f>IF(I175&lt;&gt;0,((VLOOKUP(I175,'1. Standard_Cost'!$B$4:$D$11,2)+VLOOKUP(I175,'1. Standard_Cost'!$B$4:$D$11,3))*J175*K175),"0")</f>
        <v>989800</v>
      </c>
      <c r="M175" s="125">
        <f>L175*'1. Standard_Cost'!$F$4</f>
        <v>165296.6</v>
      </c>
      <c r="N175" s="126"/>
      <c r="O175" s="126"/>
      <c r="P175" s="126"/>
      <c r="Q175" s="126"/>
      <c r="R175" s="127">
        <f>'1. Standard_Cost'!$B$15*N175*P175</f>
        <v>0</v>
      </c>
      <c r="S175" s="127">
        <f>N175*O175*P175*'1. Standard_Cost'!$C$15</f>
        <v>0</v>
      </c>
      <c r="T175" s="127">
        <f>N175*P175*Q175*'1. Standard_Cost'!$D$15</f>
        <v>0</v>
      </c>
      <c r="U175" s="127">
        <f>N175*O175*'1. Standard_Cost'!$E$15</f>
        <v>0</v>
      </c>
      <c r="V175" s="126"/>
      <c r="W175" s="126"/>
      <c r="X175" s="126"/>
      <c r="Y175" s="127">
        <f>+V175*((X175*'1. Standard_Cost'!$B$19)+(W175*X175*'1. Standard_Cost'!$C$19))</f>
        <v>0</v>
      </c>
      <c r="Z175" s="126"/>
      <c r="AA175" s="126">
        <v>30</v>
      </c>
      <c r="AB175" s="127">
        <f>+Z175*'1. Standard_Cost'!$B$23+AA175*'1. Standard_Cost'!$C$23</f>
        <v>570000</v>
      </c>
      <c r="AC175" s="128">
        <v>27000</v>
      </c>
      <c r="AD175" s="129"/>
      <c r="AE175" s="127">
        <f>SUM(AD175,AC175,AB175,Y175,U175,T175,S175,R175)*'1. Standard_Cost'!$B$31</f>
        <v>119400</v>
      </c>
      <c r="AF175" s="127">
        <f t="shared" si="109"/>
        <v>716400</v>
      </c>
      <c r="AG175" s="126"/>
      <c r="AH175" s="126"/>
      <c r="AI175" s="126"/>
      <c r="AJ175" s="130"/>
      <c r="AK175" s="130"/>
      <c r="AL175" s="130"/>
      <c r="AM175" s="127">
        <f>AG175*'1. Standard_Cost'!$B$27+'Incremental_Cost Year 3'!AH175*'1. Standard_Cost'!$C$27+'Incremental_Cost Year 3'!AI175*'1. Standard_Cost'!$D$27+'Incremental_Cost Year 3'!AJ175+'Incremental_Cost Year 3'!AL175+AK175</f>
        <v>0</v>
      </c>
      <c r="AN175" s="127">
        <f>AM175*'1. Standard_Cost'!$C$31</f>
        <v>0</v>
      </c>
      <c r="AO175" s="130"/>
      <c r="AP175" s="256"/>
      <c r="AQ175" s="171">
        <f t="shared" si="110"/>
        <v>1155096.6000000001</v>
      </c>
      <c r="AR175" s="171">
        <f t="shared" si="111"/>
        <v>716400</v>
      </c>
      <c r="AS175" s="171">
        <f t="shared" si="112"/>
        <v>0</v>
      </c>
      <c r="AT175" s="171">
        <f t="shared" si="113"/>
        <v>1871496.6</v>
      </c>
      <c r="AU175" s="250">
        <v>1187497</v>
      </c>
      <c r="AV175" s="250"/>
      <c r="AW175" s="250"/>
      <c r="AX175" s="250"/>
      <c r="AY175" s="250"/>
      <c r="AZ175" s="250"/>
      <c r="BA175" s="250"/>
      <c r="BB175" s="251">
        <f t="shared" si="114"/>
        <v>-683999.60000000009</v>
      </c>
      <c r="BC175" s="169"/>
      <c r="BD175" s="169"/>
      <c r="BE175" s="169"/>
      <c r="BF175" s="169"/>
    </row>
    <row r="176" spans="1:58" ht="63" outlineLevel="2" x14ac:dyDescent="0.25">
      <c r="A176" s="115"/>
      <c r="B176" s="200"/>
      <c r="C176" s="201"/>
      <c r="D176" s="343"/>
      <c r="E176" s="328"/>
      <c r="F176" s="328"/>
      <c r="G176" s="328"/>
      <c r="H176" s="199" t="s">
        <v>484</v>
      </c>
      <c r="I176" s="130" t="s">
        <v>1</v>
      </c>
      <c r="J176" s="126">
        <v>2</v>
      </c>
      <c r="K176" s="126">
        <v>7</v>
      </c>
      <c r="L176" s="125">
        <f>IF(I176&lt;&gt;0,((VLOOKUP(I176,'1. Standard_Cost'!$B$4:$D$11,2)+VLOOKUP(I176,'1. Standard_Cost'!$B$4:$D$11,3))*J176*K176),"0")</f>
        <v>1005100</v>
      </c>
      <c r="M176" s="125">
        <f>L176*'1. Standard_Cost'!$F$4</f>
        <v>167851.7</v>
      </c>
      <c r="N176" s="126"/>
      <c r="O176" s="126"/>
      <c r="P176" s="126"/>
      <c r="Q176" s="126"/>
      <c r="R176" s="127">
        <f>'1. Standard_Cost'!$B$15*N176*P176</f>
        <v>0</v>
      </c>
      <c r="S176" s="127">
        <f>N176*O176*P176*'1. Standard_Cost'!$C$15</f>
        <v>0</v>
      </c>
      <c r="T176" s="127">
        <f>N176*P176*Q176*'1. Standard_Cost'!$D$15</f>
        <v>0</v>
      </c>
      <c r="U176" s="127">
        <f>N176*O176*'1. Standard_Cost'!$E$15</f>
        <v>0</v>
      </c>
      <c r="V176" s="126"/>
      <c r="W176" s="126"/>
      <c r="X176" s="126"/>
      <c r="Y176" s="127">
        <f>+V176*((X176*'1. Standard_Cost'!$B$19)+(W176*X176*'1. Standard_Cost'!$C$19))</f>
        <v>0</v>
      </c>
      <c r="Z176" s="126"/>
      <c r="AA176" s="126"/>
      <c r="AB176" s="127">
        <f>+Z176*'1. Standard_Cost'!$B$23+AA176*'1. Standard_Cost'!$C$23</f>
        <v>0</v>
      </c>
      <c r="AC176" s="128">
        <v>140755</v>
      </c>
      <c r="AD176" s="129"/>
      <c r="AE176" s="127">
        <f>SUM(AD176,AC176,AB176,Y176,U176,T176,S176,R176)*'1. Standard_Cost'!$B$31</f>
        <v>28151</v>
      </c>
      <c r="AF176" s="127">
        <f t="shared" si="109"/>
        <v>168906</v>
      </c>
      <c r="AG176" s="126"/>
      <c r="AH176" s="126"/>
      <c r="AI176" s="126"/>
      <c r="AJ176" s="130"/>
      <c r="AK176" s="130"/>
      <c r="AL176" s="130"/>
      <c r="AM176" s="127">
        <f>AG176*'1. Standard_Cost'!$B$27+'Incremental_Cost Year 3'!AH176*'1. Standard_Cost'!$C$27+'Incremental_Cost Year 3'!AI176*'1. Standard_Cost'!$D$27+'Incremental_Cost Year 3'!AJ176+'Incremental_Cost Year 3'!AL176+AK176</f>
        <v>0</v>
      </c>
      <c r="AN176" s="127">
        <f>AM176*'1. Standard_Cost'!$C$31</f>
        <v>0</v>
      </c>
      <c r="AO176" s="130"/>
      <c r="AP176" s="256"/>
      <c r="AQ176" s="171">
        <f t="shared" si="110"/>
        <v>1172951.7</v>
      </c>
      <c r="AR176" s="171">
        <f t="shared" si="111"/>
        <v>168906</v>
      </c>
      <c r="AS176" s="171">
        <f t="shared" si="112"/>
        <v>0</v>
      </c>
      <c r="AT176" s="171">
        <f t="shared" si="113"/>
        <v>1341857.7</v>
      </c>
      <c r="AU176" s="250">
        <v>1341858</v>
      </c>
      <c r="AV176" s="250"/>
      <c r="AW176" s="250"/>
      <c r="AX176" s="250"/>
      <c r="AY176" s="250"/>
      <c r="AZ176" s="250"/>
      <c r="BA176" s="250"/>
      <c r="BB176" s="251">
        <f t="shared" si="114"/>
        <v>0.30000000004656613</v>
      </c>
      <c r="BC176" s="169"/>
      <c r="BD176" s="169"/>
      <c r="BE176" s="169"/>
      <c r="BF176" s="169"/>
    </row>
    <row r="177" spans="1:58" ht="15.75" outlineLevel="2" x14ac:dyDescent="0.25">
      <c r="A177" s="115"/>
      <c r="B177" s="200"/>
      <c r="C177" s="201"/>
      <c r="D177" s="344"/>
      <c r="E177" s="328"/>
      <c r="F177" s="328"/>
      <c r="G177" s="328"/>
      <c r="H177" s="231" t="s">
        <v>235</v>
      </c>
      <c r="I177" s="130"/>
      <c r="J177" s="126"/>
      <c r="K177" s="126"/>
      <c r="L177" s="125" t="str">
        <f>IF(I177&lt;&gt;0,((VLOOKUP(I177,'1. Standard_Cost'!$B$4:$D$11,2)+VLOOKUP(I177,'1. Standard_Cost'!$B$4:$D$11,3))*J177*K177),"0")</f>
        <v>0</v>
      </c>
      <c r="M177" s="125">
        <f>L177*'1. Standard_Cost'!$F$4</f>
        <v>0</v>
      </c>
      <c r="N177" s="126"/>
      <c r="O177" s="126"/>
      <c r="P177" s="126"/>
      <c r="Q177" s="126"/>
      <c r="R177" s="127">
        <f>'1. Standard_Cost'!$B$15*N177*P177</f>
        <v>0</v>
      </c>
      <c r="S177" s="127">
        <f>N177*O177*P177*'1. Standard_Cost'!$C$15</f>
        <v>0</v>
      </c>
      <c r="T177" s="127">
        <f>N177*P177*Q177*'1. Standard_Cost'!$D$15</f>
        <v>0</v>
      </c>
      <c r="U177" s="127">
        <f>N177*O177*'1. Standard_Cost'!$E$15</f>
        <v>0</v>
      </c>
      <c r="V177" s="126"/>
      <c r="W177" s="126"/>
      <c r="X177" s="126"/>
      <c r="Y177" s="127">
        <f>+V177*((X177*'1. Standard_Cost'!$B$19)+(W177*X177*'1. Standard_Cost'!$C$19))</f>
        <v>0</v>
      </c>
      <c r="Z177" s="126"/>
      <c r="AA177" s="126"/>
      <c r="AB177" s="127">
        <f>+Z177*'1. Standard_Cost'!$B$23+AA177*'1. Standard_Cost'!$C$23</f>
        <v>0</v>
      </c>
      <c r="AC177" s="128">
        <v>20000000</v>
      </c>
      <c r="AD177" s="129"/>
      <c r="AE177" s="127">
        <f>0</f>
        <v>0</v>
      </c>
      <c r="AF177" s="127">
        <f t="shared" si="109"/>
        <v>20000000</v>
      </c>
      <c r="AG177" s="126"/>
      <c r="AH177" s="126"/>
      <c r="AI177" s="126"/>
      <c r="AJ177" s="130"/>
      <c r="AK177" s="130"/>
      <c r="AL177" s="130"/>
      <c r="AM177" s="127">
        <f>AG177*'1. Standard_Cost'!$B$27+'Incremental_Cost Year 3'!AH177*'1. Standard_Cost'!$C$27+'Incremental_Cost Year 3'!AI177*'1. Standard_Cost'!$D$27+'Incremental_Cost Year 3'!AJ177+'Incremental_Cost Year 3'!AL177+AK177</f>
        <v>0</v>
      </c>
      <c r="AN177" s="127">
        <f>AM177*'1. Standard_Cost'!$C$31</f>
        <v>0</v>
      </c>
      <c r="AO177" s="130"/>
      <c r="AP177" s="256"/>
      <c r="AQ177" s="171">
        <f t="shared" si="110"/>
        <v>0</v>
      </c>
      <c r="AR177" s="171">
        <f t="shared" si="111"/>
        <v>20000000</v>
      </c>
      <c r="AS177" s="171">
        <f t="shared" si="112"/>
        <v>0</v>
      </c>
      <c r="AT177" s="171">
        <f t="shared" si="113"/>
        <v>20000000</v>
      </c>
      <c r="AU177" s="250">
        <v>20000000</v>
      </c>
      <c r="AV177" s="250"/>
      <c r="AW177" s="250"/>
      <c r="AX177" s="250"/>
      <c r="AY177" s="250"/>
      <c r="AZ177" s="250"/>
      <c r="BA177" s="250"/>
      <c r="BB177" s="251">
        <f t="shared" si="114"/>
        <v>0</v>
      </c>
      <c r="BC177" s="169"/>
      <c r="BD177" s="169"/>
      <c r="BE177" s="169"/>
      <c r="BF177" s="169"/>
    </row>
    <row r="178" spans="1:58" ht="78.75" outlineLevel="2" x14ac:dyDescent="0.25">
      <c r="A178" s="115"/>
      <c r="B178" s="165"/>
      <c r="C178" s="166"/>
      <c r="D178" s="150" t="s">
        <v>485</v>
      </c>
      <c r="E178" s="212" t="s">
        <v>486</v>
      </c>
      <c r="F178" s="106">
        <v>2021</v>
      </c>
      <c r="G178" s="104">
        <v>2030</v>
      </c>
      <c r="H178" s="110" t="s">
        <v>181</v>
      </c>
      <c r="I178" s="252"/>
      <c r="J178" s="252"/>
      <c r="K178" s="252"/>
      <c r="L178" s="127">
        <f>SUM(L169:L177)</f>
        <v>52050500</v>
      </c>
      <c r="M178" s="127">
        <f>SUM(M169:M177)</f>
        <v>8692433.5</v>
      </c>
      <c r="N178" s="252"/>
      <c r="O178" s="252"/>
      <c r="P178" s="252"/>
      <c r="Q178" s="252"/>
      <c r="R178" s="127">
        <f>SUM(R169:R177)</f>
        <v>0</v>
      </c>
      <c r="S178" s="127">
        <f>SUM(S169:S177)</f>
        <v>0</v>
      </c>
      <c r="T178" s="127">
        <f>SUM(T169:T177)</f>
        <v>0</v>
      </c>
      <c r="U178" s="127">
        <f>SUM(U169:U177)</f>
        <v>0</v>
      </c>
      <c r="V178" s="252"/>
      <c r="W178" s="252"/>
      <c r="X178" s="252"/>
      <c r="Y178" s="127">
        <f>SUM(Y169:Y177)</f>
        <v>0</v>
      </c>
      <c r="Z178" s="127"/>
      <c r="AA178" s="252"/>
      <c r="AB178" s="127">
        <f>SUM(AB169:AB177)</f>
        <v>570000</v>
      </c>
      <c r="AC178" s="127">
        <f>SUM(AC169:AC177)</f>
        <v>4395297755</v>
      </c>
      <c r="AD178" s="127">
        <f>SUM(AD169:AD177)</f>
        <v>0</v>
      </c>
      <c r="AE178" s="127">
        <f>SUM(AE169:AE177)</f>
        <v>147551</v>
      </c>
      <c r="AF178" s="127">
        <f>SUM(AF169:AF177)</f>
        <v>4396015306</v>
      </c>
      <c r="AG178" s="252"/>
      <c r="AH178" s="252"/>
      <c r="AI178" s="252"/>
      <c r="AJ178" s="127">
        <f>SUM(AJ169:AJ177)</f>
        <v>1876613000</v>
      </c>
      <c r="AK178" s="127">
        <f>SUM(AK169:AK177)</f>
        <v>0</v>
      </c>
      <c r="AL178" s="127">
        <f>SUM(AL169:AL177)</f>
        <v>310600000</v>
      </c>
      <c r="AM178" s="127">
        <f>SUM(AM169:AM177)</f>
        <v>2187213000</v>
      </c>
      <c r="AN178" s="127">
        <f>SUM(AN169:AN177)</f>
        <v>328081950</v>
      </c>
      <c r="AO178" s="253"/>
      <c r="AP178" s="254"/>
      <c r="AQ178" s="175">
        <f>SUM(AQ169:AQ177)</f>
        <v>60742933.500000007</v>
      </c>
      <c r="AR178" s="175">
        <f>SUM(AR169:AR177)</f>
        <v>4396015306</v>
      </c>
      <c r="AS178" s="175">
        <f>SUM(AS169:AS177)</f>
        <v>2515294950</v>
      </c>
      <c r="AT178" s="175">
        <f>SUM(AT169:AT177)</f>
        <v>6972053189.5</v>
      </c>
      <c r="AU178" s="175">
        <f t="shared" ref="AU178:BA178" si="115">SUM(AU169:AU177)</f>
        <v>5967995190.1999998</v>
      </c>
      <c r="AV178" s="175">
        <f t="shared" si="115"/>
        <v>100000000</v>
      </c>
      <c r="AW178" s="175">
        <f t="shared" si="115"/>
        <v>602000000</v>
      </c>
      <c r="AX178" s="175">
        <f t="shared" si="115"/>
        <v>0</v>
      </c>
      <c r="AY178" s="175">
        <f t="shared" si="115"/>
        <v>0</v>
      </c>
      <c r="AZ178" s="175">
        <f t="shared" si="115"/>
        <v>0</v>
      </c>
      <c r="BA178" s="175">
        <f t="shared" si="115"/>
        <v>0</v>
      </c>
      <c r="BB178" s="175">
        <f>SUM(BB169:BB177)</f>
        <v>-302057999.30000001</v>
      </c>
      <c r="BC178" s="169"/>
      <c r="BD178" s="169"/>
      <c r="BE178" s="169"/>
      <c r="BF178" s="169"/>
    </row>
    <row r="179" spans="1:58" ht="31.5" outlineLevel="2" x14ac:dyDescent="0.25">
      <c r="A179" s="115"/>
      <c r="B179" s="200"/>
      <c r="C179" s="201"/>
      <c r="D179" s="210"/>
      <c r="E179" s="328"/>
      <c r="F179" s="328"/>
      <c r="G179" s="328"/>
      <c r="H179" s="199" t="s">
        <v>487</v>
      </c>
      <c r="I179" s="130"/>
      <c r="J179" s="126"/>
      <c r="K179" s="126"/>
      <c r="L179" s="125" t="str">
        <f>IF(I179&lt;&gt;0,((VLOOKUP(I179,'1. Standard_Cost'!$B$4:$D$11,2)+VLOOKUP(I179,'1. Standard_Cost'!$B$4:$D$11,3))*J179*K179),"0")</f>
        <v>0</v>
      </c>
      <c r="M179" s="125">
        <f>L179*'1. Standard_Cost'!$F$4</f>
        <v>0</v>
      </c>
      <c r="N179" s="126"/>
      <c r="O179" s="126"/>
      <c r="P179" s="126"/>
      <c r="Q179" s="126"/>
      <c r="R179" s="127">
        <f>'1. Standard_Cost'!$B$15*N179*P179</f>
        <v>0</v>
      </c>
      <c r="S179" s="127">
        <f>N179*O179*P179*'1. Standard_Cost'!$C$15</f>
        <v>0</v>
      </c>
      <c r="T179" s="127">
        <f>N179*P179*Q179*'1. Standard_Cost'!$D$15</f>
        <v>0</v>
      </c>
      <c r="U179" s="127">
        <f>N179*O179*'1. Standard_Cost'!$E$15</f>
        <v>0</v>
      </c>
      <c r="V179" s="126"/>
      <c r="W179" s="126"/>
      <c r="X179" s="126"/>
      <c r="Y179" s="127">
        <f>+V179*((X179*'1. Standard_Cost'!$B$19)+(W179*X179*'1. Standard_Cost'!$C$19))</f>
        <v>0</v>
      </c>
      <c r="Z179" s="126"/>
      <c r="AA179" s="126"/>
      <c r="AB179" s="127">
        <f>+Z179*'1. Standard_Cost'!$B$23+AA179*'1. Standard_Cost'!$C$23</f>
        <v>0</v>
      </c>
      <c r="AC179" s="128"/>
      <c r="AD179" s="129"/>
      <c r="AE179" s="127">
        <f>SUM(AD179,AC179,AB179,Y179,U179,T179,S179,R179)*'1. Standard_Cost'!$B$31</f>
        <v>0</v>
      </c>
      <c r="AF179" s="127">
        <f>SUM(AE179,AD179,AC179,AB179,Y179,U179,T179,S179,R179)</f>
        <v>0</v>
      </c>
      <c r="AG179" s="126"/>
      <c r="AH179" s="126"/>
      <c r="AI179" s="126"/>
      <c r="AJ179" s="130"/>
      <c r="AK179" s="130"/>
      <c r="AL179" s="130"/>
      <c r="AM179" s="127">
        <f>AG179*'1. Standard_Cost'!$B$27+'Incremental_Cost Year 3'!AH179*'1. Standard_Cost'!$C$27+'Incremental_Cost Year 3'!AI179*'1. Standard_Cost'!$D$27+'Incremental_Cost Year 3'!AJ179+'Incremental_Cost Year 3'!AL179+AK179</f>
        <v>0</v>
      </c>
      <c r="AN179" s="127">
        <f>AM179*'1. Standard_Cost'!$C$31</f>
        <v>0</v>
      </c>
      <c r="AO179" s="130"/>
      <c r="AP179" s="256"/>
      <c r="AQ179" s="171">
        <f>L179+M179</f>
        <v>0</v>
      </c>
      <c r="AR179" s="171">
        <f>AF179</f>
        <v>0</v>
      </c>
      <c r="AS179" s="171">
        <f>AM179+AN179</f>
        <v>0</v>
      </c>
      <c r="AT179" s="171">
        <f>SUM(AQ179,AR179,AS179)</f>
        <v>0</v>
      </c>
      <c r="AU179" s="250"/>
      <c r="AV179" s="250"/>
      <c r="AW179" s="250"/>
      <c r="AX179" s="250"/>
      <c r="AY179" s="250"/>
      <c r="AZ179" s="250"/>
      <c r="BA179" s="250"/>
      <c r="BB179" s="251">
        <f t="shared" ref="BB179:BB180" si="116">SUM(AU179:BA179)-AT179</f>
        <v>0</v>
      </c>
      <c r="BC179" s="169"/>
      <c r="BD179" s="169"/>
      <c r="BE179" s="169"/>
      <c r="BF179" s="169"/>
    </row>
    <row r="180" spans="1:58" ht="94.5" outlineLevel="2" x14ac:dyDescent="0.25">
      <c r="A180" s="115"/>
      <c r="B180" s="200"/>
      <c r="C180" s="201"/>
      <c r="D180" s="211"/>
      <c r="E180" s="328"/>
      <c r="F180" s="328"/>
      <c r="G180" s="328"/>
      <c r="H180" s="213" t="s">
        <v>488</v>
      </c>
      <c r="I180" s="130" t="s">
        <v>5</v>
      </c>
      <c r="J180" s="126">
        <v>1</v>
      </c>
      <c r="K180" s="126">
        <v>1</v>
      </c>
      <c r="L180" s="125">
        <f>IF(I180&lt;&gt;0,((VLOOKUP(I180,'1. Standard_Cost'!$B$4:$D$11,2)+VLOOKUP(I180,'1. Standard_Cost'!$B$4:$D$11,3))*J180*K180),"0")</f>
        <v>70700</v>
      </c>
      <c r="M180" s="125">
        <f>L180*'1. Standard_Cost'!$F$4</f>
        <v>11806.900000000001</v>
      </c>
      <c r="N180" s="126"/>
      <c r="O180" s="126"/>
      <c r="P180" s="126"/>
      <c r="Q180" s="126"/>
      <c r="R180" s="127">
        <f>'1. Standard_Cost'!$B$15*N180*P180</f>
        <v>0</v>
      </c>
      <c r="S180" s="127">
        <f>N180*O180*P180*'1. Standard_Cost'!$C$15</f>
        <v>0</v>
      </c>
      <c r="T180" s="127">
        <f>N180*P180*Q180*'1. Standard_Cost'!$D$15</f>
        <v>0</v>
      </c>
      <c r="U180" s="127">
        <f>N180*O180*'1. Standard_Cost'!$E$15</f>
        <v>0</v>
      </c>
      <c r="V180" s="126"/>
      <c r="W180" s="126"/>
      <c r="X180" s="126"/>
      <c r="Y180" s="127">
        <f>+V180*((X180*'1. Standard_Cost'!$B$19)+(W180*X180*'1. Standard_Cost'!$C$19))</f>
        <v>0</v>
      </c>
      <c r="Z180" s="126"/>
      <c r="AA180" s="126">
        <v>20</v>
      </c>
      <c r="AB180" s="127">
        <f>+Z180*'1. Standard_Cost'!$B$23+AA180*'1. Standard_Cost'!$C$23</f>
        <v>380000</v>
      </c>
      <c r="AC180" s="128">
        <v>28000</v>
      </c>
      <c r="AD180" s="129"/>
      <c r="AE180" s="127">
        <f>SUM(AD180,AC180,AB180,Y180,U180,T180,S180,R180)*'1. Standard_Cost'!$B$31</f>
        <v>81600</v>
      </c>
      <c r="AF180" s="127">
        <f>SUM(AE180,AD180,AC180,AB180,Y180,U180,T180,S180,R180)</f>
        <v>489600</v>
      </c>
      <c r="AG180" s="126"/>
      <c r="AH180" s="126"/>
      <c r="AI180" s="126"/>
      <c r="AJ180" s="130"/>
      <c r="AK180" s="130"/>
      <c r="AL180" s="130"/>
      <c r="AM180" s="127">
        <f>AG180*'1. Standard_Cost'!$B$27+'Incremental_Cost Year 3'!AH180*'1. Standard_Cost'!$C$27+'Incremental_Cost Year 3'!AI180*'1. Standard_Cost'!$D$27+'Incremental_Cost Year 3'!AJ180+'Incremental_Cost Year 3'!AL180+AK180</f>
        <v>0</v>
      </c>
      <c r="AN180" s="127">
        <f>AM180*'1. Standard_Cost'!$C$31</f>
        <v>0</v>
      </c>
      <c r="AO180" s="130"/>
      <c r="AP180" s="256"/>
      <c r="AQ180" s="171">
        <f>L180+M180</f>
        <v>82506.899999999994</v>
      </c>
      <c r="AR180" s="171">
        <f>AF180</f>
        <v>489600</v>
      </c>
      <c r="AS180" s="171">
        <f>AM180+AN180</f>
        <v>0</v>
      </c>
      <c r="AT180" s="171">
        <f>SUM(AQ180,AR180,AS180)</f>
        <v>572106.9</v>
      </c>
      <c r="AU180" s="250">
        <v>116107</v>
      </c>
      <c r="AV180" s="250"/>
      <c r="AW180" s="250"/>
      <c r="AX180" s="250"/>
      <c r="AY180" s="250"/>
      <c r="AZ180" s="250"/>
      <c r="BA180" s="250"/>
      <c r="BB180" s="251">
        <f t="shared" si="116"/>
        <v>-455999.9</v>
      </c>
      <c r="BC180" s="169"/>
      <c r="BD180" s="169"/>
      <c r="BE180" s="169"/>
      <c r="BF180" s="169"/>
    </row>
    <row r="181" spans="1:58" ht="63" outlineLevel="2" x14ac:dyDescent="0.25">
      <c r="A181" s="115"/>
      <c r="B181" s="165"/>
      <c r="C181" s="166"/>
      <c r="D181" s="110" t="s">
        <v>489</v>
      </c>
      <c r="E181" s="139" t="s">
        <v>490</v>
      </c>
      <c r="F181" s="104">
        <v>2022</v>
      </c>
      <c r="G181" s="104">
        <v>2025</v>
      </c>
      <c r="H181" s="150" t="s">
        <v>236</v>
      </c>
      <c r="I181" s="252"/>
      <c r="J181" s="252"/>
      <c r="K181" s="252"/>
      <c r="L181" s="127">
        <f>SUM(L179:L180)</f>
        <v>70700</v>
      </c>
      <c r="M181" s="127">
        <f>SUM(M179:M180)</f>
        <v>11806.900000000001</v>
      </c>
      <c r="N181" s="252"/>
      <c r="O181" s="252"/>
      <c r="P181" s="252"/>
      <c r="Q181" s="252"/>
      <c r="R181" s="127">
        <f>SUM(R179:R180)</f>
        <v>0</v>
      </c>
      <c r="S181" s="127">
        <f>SUM(S179:S180)</f>
        <v>0</v>
      </c>
      <c r="T181" s="127">
        <f>SUM(T179:T180)</f>
        <v>0</v>
      </c>
      <c r="U181" s="127">
        <f>SUM(U179:U180)</f>
        <v>0</v>
      </c>
      <c r="V181" s="252"/>
      <c r="W181" s="252"/>
      <c r="X181" s="252"/>
      <c r="Y181" s="127">
        <f>SUM(Y179:Y180)</f>
        <v>0</v>
      </c>
      <c r="Z181" s="127"/>
      <c r="AA181" s="252"/>
      <c r="AB181" s="127">
        <f>SUM(AB179:AB180)</f>
        <v>380000</v>
      </c>
      <c r="AC181" s="127">
        <f>SUM(AC179:AC180)</f>
        <v>28000</v>
      </c>
      <c r="AD181" s="127">
        <f>SUM(AD179:AD180)</f>
        <v>0</v>
      </c>
      <c r="AE181" s="127">
        <f>SUM(AE179:AE180)</f>
        <v>81600</v>
      </c>
      <c r="AF181" s="127">
        <f>SUM(AF179:AF180)</f>
        <v>489600</v>
      </c>
      <c r="AG181" s="252"/>
      <c r="AH181" s="252"/>
      <c r="AI181" s="252"/>
      <c r="AJ181" s="127">
        <f>SUM(AJ179:AJ180)</f>
        <v>0</v>
      </c>
      <c r="AK181" s="127">
        <f>SUM(AK179:AK180)</f>
        <v>0</v>
      </c>
      <c r="AL181" s="127">
        <f>SUM(AL179:AL180)</f>
        <v>0</v>
      </c>
      <c r="AM181" s="127">
        <f>SUM(AM179:AM180)</f>
        <v>0</v>
      </c>
      <c r="AN181" s="127">
        <f>SUM(AN179:AN180)</f>
        <v>0</v>
      </c>
      <c r="AO181" s="253"/>
      <c r="AP181" s="254"/>
      <c r="AQ181" s="175">
        <f>SUM(AQ179:AQ180)</f>
        <v>82506.899999999994</v>
      </c>
      <c r="AR181" s="175">
        <f>SUM(AR179:AR180)</f>
        <v>489600</v>
      </c>
      <c r="AS181" s="175">
        <f>SUM(AS179:AS180)</f>
        <v>0</v>
      </c>
      <c r="AT181" s="175">
        <f>SUM(AT179:AT180)</f>
        <v>572106.9</v>
      </c>
      <c r="AU181" s="175">
        <f t="shared" ref="AU181:BB181" si="117">SUM(AU179:AU180)</f>
        <v>116107</v>
      </c>
      <c r="AV181" s="175">
        <f t="shared" si="117"/>
        <v>0</v>
      </c>
      <c r="AW181" s="175">
        <f t="shared" si="117"/>
        <v>0</v>
      </c>
      <c r="AX181" s="175">
        <f t="shared" si="117"/>
        <v>0</v>
      </c>
      <c r="AY181" s="175">
        <f t="shared" si="117"/>
        <v>0</v>
      </c>
      <c r="AZ181" s="175">
        <f t="shared" si="117"/>
        <v>0</v>
      </c>
      <c r="BA181" s="175">
        <f t="shared" si="117"/>
        <v>0</v>
      </c>
      <c r="BB181" s="175">
        <f t="shared" si="117"/>
        <v>-455999.9</v>
      </c>
      <c r="BC181" s="169"/>
      <c r="BD181" s="169"/>
      <c r="BE181" s="169"/>
      <c r="BF181" s="169"/>
    </row>
    <row r="182" spans="1:58" ht="15.75" customHeight="1" outlineLevel="2" x14ac:dyDescent="0.25">
      <c r="A182" s="143"/>
      <c r="B182" s="290"/>
      <c r="C182" s="391" t="s">
        <v>237</v>
      </c>
      <c r="D182" s="391"/>
      <c r="E182" s="392"/>
      <c r="F182" s="287"/>
      <c r="G182" s="289"/>
      <c r="H182" s="144" t="s">
        <v>182</v>
      </c>
      <c r="I182" s="257"/>
      <c r="J182" s="257"/>
      <c r="K182" s="257"/>
      <c r="L182" s="258">
        <f>L190+L193+L196</f>
        <v>10281107814.961439</v>
      </c>
      <c r="M182" s="258">
        <f>M190+M193+M196</f>
        <v>1716945005.0985603</v>
      </c>
      <c r="N182" s="257"/>
      <c r="O182" s="257"/>
      <c r="P182" s="257"/>
      <c r="Q182" s="257"/>
      <c r="R182" s="258">
        <f>R190+R193+R196</f>
        <v>40000</v>
      </c>
      <c r="S182" s="258">
        <f>S190+S193+S196</f>
        <v>30000</v>
      </c>
      <c r="T182" s="258">
        <f>T190+T193+T196</f>
        <v>0</v>
      </c>
      <c r="U182" s="258">
        <f>U190+U193+U196</f>
        <v>40000</v>
      </c>
      <c r="V182" s="257"/>
      <c r="W182" s="257"/>
      <c r="X182" s="257"/>
      <c r="Y182" s="258">
        <f>Y190+Y193+Y196</f>
        <v>0</v>
      </c>
      <c r="Z182" s="258"/>
      <c r="AA182" s="258"/>
      <c r="AB182" s="258">
        <f>AB190+AB193+AB196</f>
        <v>1480000</v>
      </c>
      <c r="AC182" s="258">
        <f>AC190+AC193+AC196</f>
        <v>8506673000</v>
      </c>
      <c r="AD182" s="258">
        <f>AD190+AD193+AD196</f>
        <v>0</v>
      </c>
      <c r="AE182" s="258">
        <f>AE190+AE193+AE196</f>
        <v>1700392600</v>
      </c>
      <c r="AF182" s="258">
        <f>AF190+AF193+AF196</f>
        <v>10208655600</v>
      </c>
      <c r="AG182" s="257"/>
      <c r="AH182" s="257"/>
      <c r="AI182" s="257"/>
      <c r="AJ182" s="258">
        <f>AJ190+AJ193+AJ196</f>
        <v>0</v>
      </c>
      <c r="AK182" s="258">
        <f>AK190+AK193+AK196</f>
        <v>0</v>
      </c>
      <c r="AL182" s="258">
        <f>AL190+AL193+AL196</f>
        <v>0</v>
      </c>
      <c r="AM182" s="258">
        <f>AM190+AM193+AM196</f>
        <v>0</v>
      </c>
      <c r="AN182" s="258">
        <f>AN190+AN193+AN196</f>
        <v>0</v>
      </c>
      <c r="AO182" s="259"/>
      <c r="AP182" s="260"/>
      <c r="AQ182" s="261">
        <f>AQ190+AQ193+AQ196</f>
        <v>11998052820.060001</v>
      </c>
      <c r="AR182" s="261">
        <f>AR190+AR193+AR196</f>
        <v>10208655600</v>
      </c>
      <c r="AS182" s="261">
        <f>AS190+AS193+AS196</f>
        <v>0</v>
      </c>
      <c r="AT182" s="261">
        <f>AT190+AT193+AT196</f>
        <v>22206708420.059998</v>
      </c>
      <c r="AU182" s="261">
        <f t="shared" ref="AU182:BA182" si="118">AU190+AU193+AU196</f>
        <v>21004884421</v>
      </c>
      <c r="AV182" s="261">
        <f t="shared" si="118"/>
        <v>0</v>
      </c>
      <c r="AW182" s="261">
        <f t="shared" si="118"/>
        <v>0</v>
      </c>
      <c r="AX182" s="261">
        <f t="shared" si="118"/>
        <v>0</v>
      </c>
      <c r="AY182" s="261">
        <f t="shared" si="118"/>
        <v>0</v>
      </c>
      <c r="AZ182" s="261">
        <f t="shared" si="118"/>
        <v>0</v>
      </c>
      <c r="BA182" s="261">
        <f t="shared" si="118"/>
        <v>0</v>
      </c>
      <c r="BB182" s="261">
        <f>BB190+BB193+BB196</f>
        <v>-1201823999.0599983</v>
      </c>
      <c r="BC182" s="184"/>
      <c r="BD182" s="184"/>
      <c r="BE182" s="184"/>
      <c r="BF182" s="184"/>
    </row>
    <row r="183" spans="1:58" ht="94.5" outlineLevel="2" x14ac:dyDescent="0.25">
      <c r="A183" s="115"/>
      <c r="B183" s="303"/>
      <c r="C183" s="329"/>
      <c r="D183" s="342"/>
      <c r="E183" s="328"/>
      <c r="F183" s="328"/>
      <c r="G183" s="328"/>
      <c r="H183" s="199" t="s">
        <v>544</v>
      </c>
      <c r="I183" s="130" t="s">
        <v>5</v>
      </c>
      <c r="J183" s="126">
        <v>12</v>
      </c>
      <c r="K183" s="126">
        <v>10882</v>
      </c>
      <c r="L183" s="125">
        <f>IF(I183&lt;&gt;0,((VLOOKUP(I183,'1. Standard_Cost'!$B$4:$D$11,2)+VLOOKUP(I183,'1. Standard_Cost'!$B$4:$D$11,3))*J183*K183),"0")</f>
        <v>9232288800</v>
      </c>
      <c r="M183" s="125">
        <f>L183*'1. Standard_Cost'!$F$4</f>
        <v>1541792229.6000001</v>
      </c>
      <c r="N183" s="126"/>
      <c r="O183" s="126"/>
      <c r="P183" s="126"/>
      <c r="Q183" s="126"/>
      <c r="R183" s="127">
        <f>'1. Standard_Cost'!$B$15*N183*P183</f>
        <v>0</v>
      </c>
      <c r="S183" s="127">
        <f>N183*O183*P183*'1. Standard_Cost'!$C$15</f>
        <v>0</v>
      </c>
      <c r="T183" s="127">
        <f>N183*P183*Q183*'1. Standard_Cost'!$D$15</f>
        <v>0</v>
      </c>
      <c r="U183" s="127">
        <f>N183*O183*'1. Standard_Cost'!$E$15</f>
        <v>0</v>
      </c>
      <c r="V183" s="126"/>
      <c r="W183" s="126"/>
      <c r="X183" s="126"/>
      <c r="Y183" s="127">
        <f>+V183*((X183*'1. Standard_Cost'!$B$19)+(W183*X183*'1. Standard_Cost'!$C$19))</f>
        <v>0</v>
      </c>
      <c r="Z183" s="126"/>
      <c r="AA183" s="126"/>
      <c r="AB183" s="127">
        <f>+Z183*'1. Standard_Cost'!$B$23+AA183*'1. Standard_Cost'!$C$23</f>
        <v>0</v>
      </c>
      <c r="AC183" s="128">
        <v>8500000000</v>
      </c>
      <c r="AD183" s="129"/>
      <c r="AE183" s="127">
        <f>SUM(AD183,AC183,AB183,Y183,U183,T183,S183,R183)*'1. Standard_Cost'!$B$31</f>
        <v>1700000000</v>
      </c>
      <c r="AF183" s="127">
        <f t="shared" ref="AF183:AF189" si="119">SUM(AE183,AD183,AC183,AB183,Y183,U183,T183,S183,R183)</f>
        <v>10200000000</v>
      </c>
      <c r="AG183" s="126"/>
      <c r="AH183" s="126"/>
      <c r="AI183" s="126"/>
      <c r="AJ183" s="130"/>
      <c r="AK183" s="130"/>
      <c r="AL183" s="130"/>
      <c r="AM183" s="127">
        <f>AG183*'1. Standard_Cost'!$B$27+'Incremental_Cost Year 3'!AH183*'1. Standard_Cost'!$C$27+'Incremental_Cost Year 3'!AI183*'1. Standard_Cost'!$D$27+'Incremental_Cost Year 3'!AJ183+'Incremental_Cost Year 3'!AL183+AK183</f>
        <v>0</v>
      </c>
      <c r="AN183" s="127">
        <f>AM183*'1. Standard_Cost'!$C$31</f>
        <v>0</v>
      </c>
      <c r="AO183" s="130"/>
      <c r="AP183" s="256"/>
      <c r="AQ183" s="171">
        <f t="shared" ref="AQ183:AQ189" si="120">L183+M183</f>
        <v>10774081029.6</v>
      </c>
      <c r="AR183" s="171">
        <f t="shared" ref="AR183:AR189" si="121">AF183</f>
        <v>10200000000</v>
      </c>
      <c r="AS183" s="171">
        <f t="shared" ref="AS183:AS189" si="122">AM183+AN183</f>
        <v>0</v>
      </c>
      <c r="AT183" s="171">
        <f t="shared" ref="AT183:AT189" si="123">SUM(AQ183,AR183,AS183)</f>
        <v>20974081029.599998</v>
      </c>
      <c r="AU183" s="250">
        <v>20974081030</v>
      </c>
      <c r="AV183" s="250"/>
      <c r="AW183" s="250"/>
      <c r="AX183" s="250"/>
      <c r="AY183" s="250"/>
      <c r="AZ183" s="250"/>
      <c r="BA183" s="250"/>
      <c r="BB183" s="251">
        <f t="shared" ref="BB183:BB189" si="124">SUM(AU183:BA183)-AT183</f>
        <v>0.40000152587890625</v>
      </c>
      <c r="BC183" s="169"/>
      <c r="BD183" s="169"/>
      <c r="BE183" s="169"/>
      <c r="BF183" s="169"/>
    </row>
    <row r="184" spans="1:58" ht="78.75" outlineLevel="2" x14ac:dyDescent="0.25">
      <c r="A184" s="115"/>
      <c r="B184" s="200"/>
      <c r="C184" s="330"/>
      <c r="D184" s="343"/>
      <c r="E184" s="328"/>
      <c r="F184" s="328"/>
      <c r="G184" s="328"/>
      <c r="H184" s="213" t="s">
        <v>543</v>
      </c>
      <c r="I184" s="267"/>
      <c r="J184" s="268"/>
      <c r="K184" s="268"/>
      <c r="L184" s="125">
        <f>1200000000/1.167</f>
        <v>1028277634.9614396</v>
      </c>
      <c r="M184" s="125">
        <f>L184*'1. Standard_Cost'!$F$4</f>
        <v>171722365.03856042</v>
      </c>
      <c r="N184" s="126"/>
      <c r="O184" s="126"/>
      <c r="P184" s="126"/>
      <c r="Q184" s="126"/>
      <c r="R184" s="127">
        <f>'1. Standard_Cost'!$B$15*N184*P184</f>
        <v>0</v>
      </c>
      <c r="S184" s="127">
        <f>N184*O184*P184*'1. Standard_Cost'!$C$15</f>
        <v>0</v>
      </c>
      <c r="T184" s="127">
        <f>N184*P184*Q184*'1. Standard_Cost'!$D$15</f>
        <v>0</v>
      </c>
      <c r="U184" s="127">
        <f>N184*O184*'1. Standard_Cost'!$E$15</f>
        <v>0</v>
      </c>
      <c r="V184" s="126"/>
      <c r="W184" s="126"/>
      <c r="X184" s="126"/>
      <c r="Y184" s="127">
        <f>+V184*((X184*'1. Standard_Cost'!$B$19)+(W184*X184*'1. Standard_Cost'!$C$19))</f>
        <v>0</v>
      </c>
      <c r="Z184" s="126"/>
      <c r="AA184" s="126"/>
      <c r="AB184" s="127">
        <f>+Z184*'1. Standard_Cost'!$B$23+AA184*'1. Standard_Cost'!$C$23</f>
        <v>0</v>
      </c>
      <c r="AC184" s="128"/>
      <c r="AD184" s="129"/>
      <c r="AE184" s="127"/>
      <c r="AF184" s="127">
        <f t="shared" si="119"/>
        <v>0</v>
      </c>
      <c r="AG184" s="126"/>
      <c r="AH184" s="126"/>
      <c r="AI184" s="126"/>
      <c r="AJ184" s="130"/>
      <c r="AK184" s="130"/>
      <c r="AL184" s="130"/>
      <c r="AM184" s="127">
        <f>AG184*'1. Standard_Cost'!$B$27+'Incremental_Cost Year 3'!AH184*'1. Standard_Cost'!$C$27+'Incremental_Cost Year 3'!AI184*'1. Standard_Cost'!$D$27+'Incremental_Cost Year 3'!AJ184+'Incremental_Cost Year 3'!AL184+AK184</f>
        <v>0</v>
      </c>
      <c r="AN184" s="127">
        <f>AM184*'1. Standard_Cost'!$C$31</f>
        <v>0</v>
      </c>
      <c r="AO184" s="130"/>
      <c r="AP184" s="256"/>
      <c r="AQ184" s="171">
        <f t="shared" si="120"/>
        <v>1200000000</v>
      </c>
      <c r="AR184" s="171">
        <f t="shared" si="121"/>
        <v>0</v>
      </c>
      <c r="AS184" s="171">
        <f t="shared" si="122"/>
        <v>0</v>
      </c>
      <c r="AT184" s="171">
        <f t="shared" si="123"/>
        <v>1200000000</v>
      </c>
      <c r="AU184" s="250"/>
      <c r="AV184" s="250"/>
      <c r="AW184" s="250"/>
      <c r="AX184" s="250"/>
      <c r="AY184" s="250"/>
      <c r="AZ184" s="250"/>
      <c r="BA184" s="250"/>
      <c r="BB184" s="251">
        <f t="shared" si="124"/>
        <v>-1200000000</v>
      </c>
      <c r="BC184" s="169"/>
      <c r="BD184" s="169"/>
      <c r="BE184" s="169"/>
      <c r="BF184" s="169"/>
    </row>
    <row r="185" spans="1:58" ht="63" outlineLevel="2" x14ac:dyDescent="0.25">
      <c r="A185" s="115"/>
      <c r="B185" s="200"/>
      <c r="C185" s="330"/>
      <c r="D185" s="343"/>
      <c r="E185" s="328"/>
      <c r="F185" s="328"/>
      <c r="G185" s="328"/>
      <c r="H185" s="199" t="s">
        <v>491</v>
      </c>
      <c r="I185" s="130" t="s">
        <v>5</v>
      </c>
      <c r="J185" s="126">
        <v>2</v>
      </c>
      <c r="K185" s="126">
        <v>5</v>
      </c>
      <c r="L185" s="125">
        <f>IF(I185&lt;&gt;0,((VLOOKUP(I185,'1. Standard_Cost'!$B$4:$D$11,2)+VLOOKUP(I185,'1. Standard_Cost'!$B$4:$D$11,3))*J185*K185),"0")</f>
        <v>707000</v>
      </c>
      <c r="M185" s="125">
        <f>L185*'1. Standard_Cost'!$F$4</f>
        <v>118069</v>
      </c>
      <c r="N185" s="126"/>
      <c r="O185" s="126"/>
      <c r="P185" s="126"/>
      <c r="Q185" s="126"/>
      <c r="R185" s="127">
        <f>'1. Standard_Cost'!$B$15*N185*P185</f>
        <v>0</v>
      </c>
      <c r="S185" s="127">
        <f>N185*O185*P185*'1. Standard_Cost'!$C$15</f>
        <v>0</v>
      </c>
      <c r="T185" s="127">
        <f>N185*P185*Q185*'1. Standard_Cost'!$D$15</f>
        <v>0</v>
      </c>
      <c r="U185" s="127">
        <f>N185*O185*'1. Standard_Cost'!$E$15</f>
        <v>0</v>
      </c>
      <c r="V185" s="126"/>
      <c r="W185" s="126"/>
      <c r="X185" s="126"/>
      <c r="Y185" s="127">
        <f>+V185*((X185*'1. Standard_Cost'!$B$19)+(W185*X185*'1. Standard_Cost'!$C$19))</f>
        <v>0</v>
      </c>
      <c r="Z185" s="126"/>
      <c r="AA185" s="126"/>
      <c r="AB185" s="127">
        <f>+Z185*'1. Standard_Cost'!$B$23+AA185*'1. Standard_Cost'!$C$23</f>
        <v>0</v>
      </c>
      <c r="AC185" s="128">
        <v>110000</v>
      </c>
      <c r="AD185" s="129"/>
      <c r="AE185" s="127">
        <f>SUM(AD185,AC185,AB185,Y185,U185,T185,S185,R185)*'1. Standard_Cost'!$B$31</f>
        <v>22000</v>
      </c>
      <c r="AF185" s="127">
        <f t="shared" si="119"/>
        <v>132000</v>
      </c>
      <c r="AG185" s="126"/>
      <c r="AH185" s="126"/>
      <c r="AI185" s="126"/>
      <c r="AJ185" s="130"/>
      <c r="AK185" s="130"/>
      <c r="AL185" s="130"/>
      <c r="AM185" s="127">
        <f>AG185*'1. Standard_Cost'!$B$27+'Incremental_Cost Year 3'!AH185*'1. Standard_Cost'!$C$27+'Incremental_Cost Year 3'!AI185*'1. Standard_Cost'!$D$27+'Incremental_Cost Year 3'!AJ185+'Incremental_Cost Year 3'!AL185+AK185</f>
        <v>0</v>
      </c>
      <c r="AN185" s="127">
        <f>AM185*'1. Standard_Cost'!$C$31</f>
        <v>0</v>
      </c>
      <c r="AO185" s="130"/>
      <c r="AP185" s="256"/>
      <c r="AQ185" s="171">
        <f t="shared" si="120"/>
        <v>825069</v>
      </c>
      <c r="AR185" s="171">
        <f t="shared" si="121"/>
        <v>132000</v>
      </c>
      <c r="AS185" s="171">
        <f t="shared" si="122"/>
        <v>0</v>
      </c>
      <c r="AT185" s="171">
        <f t="shared" si="123"/>
        <v>957069</v>
      </c>
      <c r="AU185" s="250">
        <v>957069</v>
      </c>
      <c r="AV185" s="250"/>
      <c r="AW185" s="250"/>
      <c r="AX185" s="250"/>
      <c r="AY185" s="250"/>
      <c r="AZ185" s="250"/>
      <c r="BA185" s="250"/>
      <c r="BB185" s="251">
        <f t="shared" si="124"/>
        <v>0</v>
      </c>
      <c r="BC185" s="169"/>
      <c r="BD185" s="169"/>
      <c r="BE185" s="169"/>
      <c r="BF185" s="169"/>
    </row>
    <row r="186" spans="1:58" ht="78.75" outlineLevel="2" x14ac:dyDescent="0.25">
      <c r="A186" s="115"/>
      <c r="B186" s="200"/>
      <c r="C186" s="330"/>
      <c r="D186" s="343"/>
      <c r="E186" s="328"/>
      <c r="F186" s="328"/>
      <c r="G186" s="328"/>
      <c r="H186" s="199" t="s">
        <v>492</v>
      </c>
      <c r="I186" s="130" t="s">
        <v>5</v>
      </c>
      <c r="J186" s="126">
        <v>1</v>
      </c>
      <c r="K186" s="126">
        <v>4</v>
      </c>
      <c r="L186" s="125">
        <f>IF(I186&lt;&gt;0,((VLOOKUP(I186,'1. Standard_Cost'!$B$4:$D$11,2)+VLOOKUP(I186,'1. Standard_Cost'!$B$4:$D$11,3))*J186*K186),"0")</f>
        <v>282800</v>
      </c>
      <c r="M186" s="125">
        <f>L186*'1. Standard_Cost'!$F$4</f>
        <v>47227.600000000006</v>
      </c>
      <c r="N186" s="126"/>
      <c r="O186" s="126"/>
      <c r="P186" s="126"/>
      <c r="Q186" s="126"/>
      <c r="R186" s="127">
        <f>'1. Standard_Cost'!$B$15*N186*P186</f>
        <v>0</v>
      </c>
      <c r="S186" s="127">
        <f>N186*O186*P186*'1. Standard_Cost'!$C$15</f>
        <v>0</v>
      </c>
      <c r="T186" s="127">
        <f>N186*P186*Q186*'1. Standard_Cost'!$D$15</f>
        <v>0</v>
      </c>
      <c r="U186" s="127">
        <f>N186*O186*'1. Standard_Cost'!$E$15</f>
        <v>0</v>
      </c>
      <c r="V186" s="126"/>
      <c r="W186" s="126"/>
      <c r="X186" s="126"/>
      <c r="Y186" s="127">
        <f>+V186*((X186*'1. Standard_Cost'!$B$19)+(W186*X186*'1. Standard_Cost'!$C$19))</f>
        <v>0</v>
      </c>
      <c r="Z186" s="126"/>
      <c r="AA186" s="126"/>
      <c r="AB186" s="127">
        <f>+Z186*'1. Standard_Cost'!$B$23+AA186*'1. Standard_Cost'!$C$23</f>
        <v>0</v>
      </c>
      <c r="AC186" s="128">
        <v>33000</v>
      </c>
      <c r="AD186" s="129"/>
      <c r="AE186" s="127">
        <f>SUM(AD186,AC186,AB186,Y186,U186,T186,S186,R186)*'1. Standard_Cost'!$B$31</f>
        <v>6600</v>
      </c>
      <c r="AF186" s="127">
        <f t="shared" si="119"/>
        <v>39600</v>
      </c>
      <c r="AG186" s="126"/>
      <c r="AH186" s="126"/>
      <c r="AI186" s="126"/>
      <c r="AJ186" s="130"/>
      <c r="AK186" s="130"/>
      <c r="AL186" s="130"/>
      <c r="AM186" s="127">
        <f>AG186*'1. Standard_Cost'!$B$27+'Incremental_Cost Year 3'!AH186*'1. Standard_Cost'!$C$27+'Incremental_Cost Year 3'!AI186*'1. Standard_Cost'!$D$27+'Incremental_Cost Year 3'!AJ186+'Incremental_Cost Year 3'!AL186+AK186</f>
        <v>0</v>
      </c>
      <c r="AN186" s="127">
        <f>AM186*'1. Standard_Cost'!$C$31</f>
        <v>0</v>
      </c>
      <c r="AO186" s="130"/>
      <c r="AP186" s="256"/>
      <c r="AQ186" s="171">
        <f t="shared" si="120"/>
        <v>330027.59999999998</v>
      </c>
      <c r="AR186" s="171">
        <f t="shared" si="121"/>
        <v>39600</v>
      </c>
      <c r="AS186" s="171">
        <f t="shared" si="122"/>
        <v>0</v>
      </c>
      <c r="AT186" s="171">
        <f t="shared" si="123"/>
        <v>369627.6</v>
      </c>
      <c r="AU186" s="250">
        <v>369628</v>
      </c>
      <c r="AV186" s="250"/>
      <c r="AW186" s="250"/>
      <c r="AX186" s="250"/>
      <c r="AY186" s="250"/>
      <c r="AZ186" s="250"/>
      <c r="BA186" s="250"/>
      <c r="BB186" s="251">
        <f t="shared" si="124"/>
        <v>0.40000000002328306</v>
      </c>
      <c r="BC186" s="169"/>
      <c r="BD186" s="169"/>
      <c r="BE186" s="169"/>
      <c r="BF186" s="169"/>
    </row>
    <row r="187" spans="1:58" ht="78.75" outlineLevel="2" x14ac:dyDescent="0.25">
      <c r="A187" s="115"/>
      <c r="B187" s="200"/>
      <c r="C187" s="330"/>
      <c r="D187" s="343"/>
      <c r="E187" s="328"/>
      <c r="F187" s="328"/>
      <c r="G187" s="328"/>
      <c r="H187" s="199" t="s">
        <v>493</v>
      </c>
      <c r="I187" s="130"/>
      <c r="J187" s="126"/>
      <c r="K187" s="126"/>
      <c r="L187" s="125" t="str">
        <f>IF(I187&lt;&gt;0,((VLOOKUP(I187,'1. Standard_Cost'!$B$4:$D$11,2)+VLOOKUP(I187,'1. Standard_Cost'!$B$4:$D$11,3))*J187*K187),"0")</f>
        <v>0</v>
      </c>
      <c r="M187" s="125">
        <f>L187*'1. Standard_Cost'!$F$4</f>
        <v>0</v>
      </c>
      <c r="N187" s="126"/>
      <c r="O187" s="126"/>
      <c r="P187" s="126"/>
      <c r="Q187" s="126"/>
      <c r="R187" s="127">
        <f>'1. Standard_Cost'!$B$15*N187*P187</f>
        <v>0</v>
      </c>
      <c r="S187" s="127">
        <f>N187*O187*P187*'1. Standard_Cost'!$C$15</f>
        <v>0</v>
      </c>
      <c r="T187" s="127">
        <f>N187*P187*Q187*'1. Standard_Cost'!$D$15</f>
        <v>0</v>
      </c>
      <c r="U187" s="127">
        <f>N187*O187*'1. Standard_Cost'!$E$15</f>
        <v>0</v>
      </c>
      <c r="V187" s="126"/>
      <c r="W187" s="126"/>
      <c r="X187" s="126"/>
      <c r="Y187" s="127">
        <f>+V187*((X187*'1. Standard_Cost'!$B$19)+(W187*X187*'1. Standard_Cost'!$C$19))</f>
        <v>0</v>
      </c>
      <c r="Z187" s="126"/>
      <c r="AA187" s="126"/>
      <c r="AB187" s="127">
        <f>+Z187*'1. Standard_Cost'!$B$23+AA187*'1. Standard_Cost'!$C$23</f>
        <v>0</v>
      </c>
      <c r="AC187" s="128"/>
      <c r="AD187" s="129"/>
      <c r="AE187" s="127">
        <f>SUM(AD187,AC187,AB187,Y187,U187,T187,S187,R187)*'1. Standard_Cost'!$B$31</f>
        <v>0</v>
      </c>
      <c r="AF187" s="127">
        <f t="shared" si="119"/>
        <v>0</v>
      </c>
      <c r="AG187" s="126"/>
      <c r="AH187" s="126"/>
      <c r="AI187" s="126"/>
      <c r="AJ187" s="130"/>
      <c r="AK187" s="130"/>
      <c r="AL187" s="130"/>
      <c r="AM187" s="127">
        <f>AG187*'1. Standard_Cost'!$B$27+'Incremental_Cost Year 3'!AH187*'1. Standard_Cost'!$C$27+'Incremental_Cost Year 3'!AI187*'1. Standard_Cost'!$D$27+'Incremental_Cost Year 3'!AJ187+'Incremental_Cost Year 3'!AL187+AK187</f>
        <v>0</v>
      </c>
      <c r="AN187" s="127">
        <f>AM187*'1. Standard_Cost'!$C$31</f>
        <v>0</v>
      </c>
      <c r="AO187" s="130"/>
      <c r="AP187" s="256"/>
      <c r="AQ187" s="171">
        <f t="shared" si="120"/>
        <v>0</v>
      </c>
      <c r="AR187" s="171">
        <f t="shared" si="121"/>
        <v>0</v>
      </c>
      <c r="AS187" s="171">
        <f t="shared" si="122"/>
        <v>0</v>
      </c>
      <c r="AT187" s="171">
        <f t="shared" si="123"/>
        <v>0</v>
      </c>
      <c r="AU187" s="250"/>
      <c r="AV187" s="250"/>
      <c r="AW187" s="250"/>
      <c r="AX187" s="250"/>
      <c r="AY187" s="250"/>
      <c r="AZ187" s="250"/>
      <c r="BA187" s="250"/>
      <c r="BB187" s="251">
        <f t="shared" si="124"/>
        <v>0</v>
      </c>
      <c r="BC187" s="169"/>
      <c r="BD187" s="169"/>
      <c r="BE187" s="169"/>
      <c r="BF187" s="169"/>
    </row>
    <row r="188" spans="1:58" ht="78.75" outlineLevel="2" x14ac:dyDescent="0.25">
      <c r="A188" s="115"/>
      <c r="B188" s="200"/>
      <c r="C188" s="330"/>
      <c r="D188" s="343"/>
      <c r="E188" s="328"/>
      <c r="F188" s="328"/>
      <c r="G188" s="328"/>
      <c r="H188" s="199" t="s">
        <v>494</v>
      </c>
      <c r="I188" s="130" t="s">
        <v>5</v>
      </c>
      <c r="J188" s="126">
        <v>2</v>
      </c>
      <c r="K188" s="126">
        <v>5</v>
      </c>
      <c r="L188" s="125">
        <f>IF(I188&lt;&gt;0,((VLOOKUP(I188,'1. Standard_Cost'!$B$4:$D$11,2)+VLOOKUP(I188,'1. Standard_Cost'!$B$4:$D$11,3))*J188*K188),"0")</f>
        <v>707000</v>
      </c>
      <c r="M188" s="125">
        <f>L188*'1. Standard_Cost'!$F$4</f>
        <v>118069</v>
      </c>
      <c r="N188" s="126"/>
      <c r="O188" s="126"/>
      <c r="P188" s="126"/>
      <c r="Q188" s="126"/>
      <c r="R188" s="127">
        <f>'1. Standard_Cost'!$B$15*N188*P188</f>
        <v>0</v>
      </c>
      <c r="S188" s="127">
        <f>N188*O188*P188*'1. Standard_Cost'!$C$15</f>
        <v>0</v>
      </c>
      <c r="T188" s="127">
        <f>N188*P188*Q188*'1. Standard_Cost'!$D$15</f>
        <v>0</v>
      </c>
      <c r="U188" s="127">
        <f>N188*O188*'1. Standard_Cost'!$E$15</f>
        <v>0</v>
      </c>
      <c r="V188" s="126"/>
      <c r="W188" s="126"/>
      <c r="X188" s="126"/>
      <c r="Y188" s="127">
        <f>+V188*((X188*'1. Standard_Cost'!$B$19)+(W188*X188*'1. Standard_Cost'!$C$19))</f>
        <v>0</v>
      </c>
      <c r="Z188" s="126">
        <v>20</v>
      </c>
      <c r="AA188" s="126"/>
      <c r="AB188" s="127">
        <f>+Z188*'1. Standard_Cost'!$B$23+AA188*'1. Standard_Cost'!$C$23</f>
        <v>1480000</v>
      </c>
      <c r="AC188" s="128">
        <v>90000</v>
      </c>
      <c r="AD188" s="129"/>
      <c r="AE188" s="127">
        <f>SUM(AD188,AC188,AB188,Y188,U188,T188,S188,R188)*'1. Standard_Cost'!$B$31</f>
        <v>314000</v>
      </c>
      <c r="AF188" s="127">
        <f t="shared" si="119"/>
        <v>1884000</v>
      </c>
      <c r="AG188" s="126"/>
      <c r="AH188" s="126"/>
      <c r="AI188" s="126"/>
      <c r="AJ188" s="130"/>
      <c r="AK188" s="130"/>
      <c r="AL188" s="130"/>
      <c r="AM188" s="127">
        <f>AG188*'1. Standard_Cost'!$B$27+'Incremental_Cost Year 3'!AH188*'1. Standard_Cost'!$C$27+'Incremental_Cost Year 3'!AI188*'1. Standard_Cost'!$D$27+'Incremental_Cost Year 3'!AJ188+'Incremental_Cost Year 3'!AL188+AK188</f>
        <v>0</v>
      </c>
      <c r="AN188" s="127">
        <f>AM188*'1. Standard_Cost'!$C$31</f>
        <v>0</v>
      </c>
      <c r="AO188" s="130"/>
      <c r="AP188" s="256"/>
      <c r="AQ188" s="171">
        <f t="shared" si="120"/>
        <v>825069</v>
      </c>
      <c r="AR188" s="171">
        <f t="shared" si="121"/>
        <v>1884000</v>
      </c>
      <c r="AS188" s="171">
        <f t="shared" si="122"/>
        <v>0</v>
      </c>
      <c r="AT188" s="171">
        <f t="shared" si="123"/>
        <v>2709069</v>
      </c>
      <c r="AU188" s="250">
        <v>933069</v>
      </c>
      <c r="AV188" s="250"/>
      <c r="AW188" s="250"/>
      <c r="AX188" s="250"/>
      <c r="AY188" s="250"/>
      <c r="AZ188" s="250"/>
      <c r="BA188" s="250"/>
      <c r="BB188" s="251">
        <f t="shared" si="124"/>
        <v>-1776000</v>
      </c>
      <c r="BC188" s="169"/>
      <c r="BD188" s="169"/>
      <c r="BE188" s="169"/>
      <c r="BF188" s="169"/>
    </row>
    <row r="189" spans="1:58" ht="47.25" outlineLevel="2" x14ac:dyDescent="0.25">
      <c r="A189" s="115"/>
      <c r="B189" s="200"/>
      <c r="C189" s="330"/>
      <c r="D189" s="343"/>
      <c r="E189" s="328"/>
      <c r="F189" s="328"/>
      <c r="G189" s="328"/>
      <c r="H189" s="199" t="s">
        <v>495</v>
      </c>
      <c r="I189" s="130"/>
      <c r="J189" s="126"/>
      <c r="K189" s="126"/>
      <c r="L189" s="125" t="str">
        <f>IF(I189&lt;&gt;0,((VLOOKUP(I189,'1. Standard_Cost'!$B$4:$D$11,2)+VLOOKUP(I189,'1. Standard_Cost'!$B$4:$D$11,3))*J189*K189),"0")</f>
        <v>0</v>
      </c>
      <c r="M189" s="125">
        <f>L189*'1. Standard_Cost'!$F$4</f>
        <v>0</v>
      </c>
      <c r="N189" s="126"/>
      <c r="O189" s="126"/>
      <c r="P189" s="126"/>
      <c r="Q189" s="126"/>
      <c r="R189" s="127">
        <f>'1. Standard_Cost'!$B$15*N189*P189</f>
        <v>0</v>
      </c>
      <c r="S189" s="127">
        <f>N189*O189*P189*'1. Standard_Cost'!$C$15</f>
        <v>0</v>
      </c>
      <c r="T189" s="127">
        <f>N189*P189*Q189*'1. Standard_Cost'!$D$15</f>
        <v>0</v>
      </c>
      <c r="U189" s="127">
        <f>N189*O189*'1. Standard_Cost'!$E$15</f>
        <v>0</v>
      </c>
      <c r="V189" s="126"/>
      <c r="W189" s="126"/>
      <c r="X189" s="126"/>
      <c r="Y189" s="127">
        <f>+V189*((X189*'1. Standard_Cost'!$B$19)+(W189*X189*'1. Standard_Cost'!$C$19))</f>
        <v>0</v>
      </c>
      <c r="Z189" s="126"/>
      <c r="AA189" s="126"/>
      <c r="AB189" s="127">
        <f>+Z189*'1. Standard_Cost'!$B$23+AA189*'1. Standard_Cost'!$C$23</f>
        <v>0</v>
      </c>
      <c r="AC189" s="128"/>
      <c r="AD189" s="129"/>
      <c r="AE189" s="127">
        <f>SUM(AD189,AC189,AB189,Y189,U189,T189,S189,R189)*'1. Standard_Cost'!$B$31</f>
        <v>0</v>
      </c>
      <c r="AF189" s="127">
        <f t="shared" si="119"/>
        <v>0</v>
      </c>
      <c r="AG189" s="126"/>
      <c r="AH189" s="126"/>
      <c r="AI189" s="126"/>
      <c r="AJ189" s="130"/>
      <c r="AK189" s="130"/>
      <c r="AL189" s="130"/>
      <c r="AM189" s="127">
        <f>AG189*'1. Standard_Cost'!$B$27+'Incremental_Cost Year 3'!AH189*'1. Standard_Cost'!$C$27+'Incremental_Cost Year 3'!AI189*'1. Standard_Cost'!$D$27+'Incremental_Cost Year 3'!AJ189+'Incremental_Cost Year 3'!AL189+AK189</f>
        <v>0</v>
      </c>
      <c r="AN189" s="127">
        <f>AM189*'1. Standard_Cost'!$C$31</f>
        <v>0</v>
      </c>
      <c r="AO189" s="130"/>
      <c r="AP189" s="256"/>
      <c r="AQ189" s="171">
        <f t="shared" si="120"/>
        <v>0</v>
      </c>
      <c r="AR189" s="171">
        <f t="shared" si="121"/>
        <v>0</v>
      </c>
      <c r="AS189" s="171">
        <f t="shared" si="122"/>
        <v>0</v>
      </c>
      <c r="AT189" s="171">
        <f t="shared" si="123"/>
        <v>0</v>
      </c>
      <c r="AU189" s="250"/>
      <c r="AV189" s="250"/>
      <c r="AW189" s="250"/>
      <c r="AX189" s="250"/>
      <c r="AY189" s="250"/>
      <c r="AZ189" s="250"/>
      <c r="BA189" s="250"/>
      <c r="BB189" s="251">
        <f t="shared" si="124"/>
        <v>0</v>
      </c>
      <c r="BC189" s="169"/>
      <c r="BD189" s="169"/>
      <c r="BE189" s="169"/>
      <c r="BF189" s="169"/>
    </row>
    <row r="190" spans="1:58" ht="15.75" outlineLevel="2" x14ac:dyDescent="0.25">
      <c r="A190" s="115"/>
      <c r="B190" s="200"/>
      <c r="C190" s="330"/>
      <c r="D190" s="343"/>
      <c r="E190" s="328"/>
      <c r="F190" s="328"/>
      <c r="G190" s="328"/>
      <c r="H190" s="110" t="s">
        <v>183</v>
      </c>
      <c r="I190" s="252"/>
      <c r="J190" s="252"/>
      <c r="K190" s="252"/>
      <c r="L190" s="127">
        <f>SUM(L183:L189)</f>
        <v>10262263234.961439</v>
      </c>
      <c r="M190" s="127">
        <f>SUM(M183:M189)</f>
        <v>1713797960.2385604</v>
      </c>
      <c r="N190" s="252"/>
      <c r="O190" s="252"/>
      <c r="P190" s="252"/>
      <c r="Q190" s="252"/>
      <c r="R190" s="127">
        <f>SUM(R183:R189)</f>
        <v>0</v>
      </c>
      <c r="S190" s="127">
        <f>SUM(S183:S189)</f>
        <v>0</v>
      </c>
      <c r="T190" s="127">
        <f>SUM(T183:T189)</f>
        <v>0</v>
      </c>
      <c r="U190" s="127">
        <f>SUM(U183:U189)</f>
        <v>0</v>
      </c>
      <c r="V190" s="252"/>
      <c r="W190" s="252"/>
      <c r="X190" s="252"/>
      <c r="Y190" s="127">
        <f>SUM(Y183:Y189)</f>
        <v>0</v>
      </c>
      <c r="Z190" s="127"/>
      <c r="AA190" s="252"/>
      <c r="AB190" s="127">
        <f>SUM(AB183:AB189)</f>
        <v>1480000</v>
      </c>
      <c r="AC190" s="127">
        <f>SUM(AC183:AC188)</f>
        <v>8500233000</v>
      </c>
      <c r="AD190" s="127">
        <f>SUM(AD183:AD188)</f>
        <v>0</v>
      </c>
      <c r="AE190" s="127">
        <f>SUM(AE183:AE189)</f>
        <v>1700342600</v>
      </c>
      <c r="AF190" s="127">
        <f>SUM(AF183:AF189)</f>
        <v>10202055600</v>
      </c>
      <c r="AG190" s="252"/>
      <c r="AH190" s="252"/>
      <c r="AI190" s="252"/>
      <c r="AJ190" s="127">
        <f>SUM(AJ183:AJ188)</f>
        <v>0</v>
      </c>
      <c r="AK190" s="127">
        <f>SUM(AK183:AK188)</f>
        <v>0</v>
      </c>
      <c r="AL190" s="127">
        <f>SUM(AL183:AL188)</f>
        <v>0</v>
      </c>
      <c r="AM190" s="127">
        <f>SUM(AM183:AM189)</f>
        <v>0</v>
      </c>
      <c r="AN190" s="127">
        <f>SUM(AN183:AN189)</f>
        <v>0</v>
      </c>
      <c r="AO190" s="253"/>
      <c r="AP190" s="254"/>
      <c r="AQ190" s="175">
        <f>SUM(AQ183:AQ189)</f>
        <v>11976061195.200001</v>
      </c>
      <c r="AR190" s="175">
        <f>SUM(AR183:AR189)</f>
        <v>10202055600</v>
      </c>
      <c r="AS190" s="175">
        <f>SUM(AS183:AS189)</f>
        <v>0</v>
      </c>
      <c r="AT190" s="175">
        <f>SUM(AT183:AT189)</f>
        <v>22178116795.199997</v>
      </c>
      <c r="AU190" s="175">
        <f t="shared" ref="AU190:BA190" si="125">SUM(AU183:AU188)</f>
        <v>20976340796</v>
      </c>
      <c r="AV190" s="175">
        <f t="shared" si="125"/>
        <v>0</v>
      </c>
      <c r="AW190" s="175">
        <f t="shared" si="125"/>
        <v>0</v>
      </c>
      <c r="AX190" s="175">
        <f t="shared" si="125"/>
        <v>0</v>
      </c>
      <c r="AY190" s="175">
        <f t="shared" si="125"/>
        <v>0</v>
      </c>
      <c r="AZ190" s="175">
        <f t="shared" si="125"/>
        <v>0</v>
      </c>
      <c r="BA190" s="175">
        <f t="shared" si="125"/>
        <v>0</v>
      </c>
      <c r="BB190" s="175">
        <f>SUM(BB183:BB189)</f>
        <v>-1201775999.1999984</v>
      </c>
      <c r="BC190" s="169"/>
      <c r="BD190" s="169"/>
      <c r="BE190" s="169"/>
      <c r="BF190" s="169"/>
    </row>
    <row r="191" spans="1:58" ht="47.25" outlineLevel="2" x14ac:dyDescent="0.25">
      <c r="A191" s="115"/>
      <c r="B191" s="200"/>
      <c r="C191" s="330"/>
      <c r="D191" s="343"/>
      <c r="E191" s="328"/>
      <c r="F191" s="328"/>
      <c r="G191" s="328"/>
      <c r="H191" s="213" t="s">
        <v>496</v>
      </c>
      <c r="I191" s="130" t="s">
        <v>314</v>
      </c>
      <c r="J191" s="126">
        <v>12</v>
      </c>
      <c r="K191" s="126">
        <v>20</v>
      </c>
      <c r="L191" s="125">
        <f>IF(I191&lt;&gt;0,((VLOOKUP(I191,'1. Standard_Cost'!$B$4:$D$11,2)+VLOOKUP(I191,'1. Standard_Cost'!$B$4:$D$11,3))*J191*K191),"0")</f>
        <v>16968000</v>
      </c>
      <c r="M191" s="125">
        <f>L191*'1. Standard_Cost'!$F$4</f>
        <v>2833656</v>
      </c>
      <c r="N191" s="126"/>
      <c r="O191" s="126"/>
      <c r="P191" s="126"/>
      <c r="Q191" s="126"/>
      <c r="R191" s="127">
        <f>'1. Standard_Cost'!$B$15*N191*P191</f>
        <v>0</v>
      </c>
      <c r="S191" s="127">
        <f>N191*O191*P191*'1. Standard_Cost'!$C$15</f>
        <v>0</v>
      </c>
      <c r="T191" s="127">
        <f>N191*P191*Q191*'1. Standard_Cost'!$D$15</f>
        <v>0</v>
      </c>
      <c r="U191" s="127">
        <f>N191*O191*'1. Standard_Cost'!$E$15</f>
        <v>0</v>
      </c>
      <c r="V191" s="126"/>
      <c r="W191" s="126"/>
      <c r="X191" s="126"/>
      <c r="Y191" s="127">
        <f>+V191*((X191*'1. Standard_Cost'!$B$19)+(W191*X191*'1. Standard_Cost'!$C$19))</f>
        <v>0</v>
      </c>
      <c r="Z191" s="126"/>
      <c r="AA191" s="126"/>
      <c r="AB191" s="127">
        <f>+Z191*'1. Standard_Cost'!$B$23+AA191*'1. Standard_Cost'!$C$23</f>
        <v>0</v>
      </c>
      <c r="AC191" s="128">
        <v>6300000</v>
      </c>
      <c r="AD191" s="129"/>
      <c r="AE191" s="127"/>
      <c r="AF191" s="127">
        <f>SUM(AE191,AD191,AC191,AB191,Y191,U191,T191,S191,R191)</f>
        <v>6300000</v>
      </c>
      <c r="AG191" s="126"/>
      <c r="AH191" s="126"/>
      <c r="AI191" s="126"/>
      <c r="AJ191" s="130"/>
      <c r="AK191" s="130"/>
      <c r="AL191" s="130"/>
      <c r="AM191" s="127">
        <f>AG191*'1. Standard_Cost'!$B$27+'Incremental_Cost Year 3'!AH191*'1. Standard_Cost'!$C$27+'Incremental_Cost Year 3'!AI191*'1. Standard_Cost'!$D$27+'Incremental_Cost Year 3'!AJ191+'Incremental_Cost Year 3'!AL191+AK191</f>
        <v>0</v>
      </c>
      <c r="AN191" s="127">
        <f>AM191*'1. Standard_Cost'!$C$31</f>
        <v>0</v>
      </c>
      <c r="AO191" s="130"/>
      <c r="AP191" s="256"/>
      <c r="AQ191" s="171">
        <f>L191+M191</f>
        <v>19801656</v>
      </c>
      <c r="AR191" s="171">
        <f>AF191</f>
        <v>6300000</v>
      </c>
      <c r="AS191" s="171">
        <f>AM191+AN191</f>
        <v>0</v>
      </c>
      <c r="AT191" s="171">
        <f>SUM(AQ191,AR191,AS191)</f>
        <v>26101656</v>
      </c>
      <c r="AU191" s="250">
        <v>26101656</v>
      </c>
      <c r="AV191" s="250"/>
      <c r="AW191" s="250"/>
      <c r="AX191" s="250"/>
      <c r="AY191" s="250"/>
      <c r="AZ191" s="250"/>
      <c r="BA191" s="250"/>
      <c r="BB191" s="251">
        <f t="shared" ref="BB191:BB192" si="126">SUM(AU191:BA191)-AT191</f>
        <v>0</v>
      </c>
      <c r="BC191" s="169"/>
      <c r="BD191" s="169"/>
      <c r="BE191" s="169"/>
      <c r="BF191" s="169"/>
    </row>
    <row r="192" spans="1:58" ht="47.25" outlineLevel="2" x14ac:dyDescent="0.25">
      <c r="A192" s="115"/>
      <c r="B192" s="200"/>
      <c r="C192" s="330"/>
      <c r="D192" s="343"/>
      <c r="E192" s="328"/>
      <c r="F192" s="328"/>
      <c r="G192" s="328"/>
      <c r="H192" s="199" t="s">
        <v>238</v>
      </c>
      <c r="I192" s="130" t="s">
        <v>172</v>
      </c>
      <c r="J192" s="126">
        <v>12</v>
      </c>
      <c r="K192" s="126">
        <v>2</v>
      </c>
      <c r="L192" s="125">
        <f>IF(I192&lt;&gt;0,((VLOOKUP(I192,'1. Standard_Cost'!$B$4:$D$11,2)+VLOOKUP(I192,'1. Standard_Cost'!$B$4:$D$11,3))*J192*K192),"0")</f>
        <v>1212000</v>
      </c>
      <c r="M192" s="125">
        <f>L192*'1. Standard_Cost'!$F$4</f>
        <v>202404</v>
      </c>
      <c r="N192" s="126"/>
      <c r="O192" s="126"/>
      <c r="P192" s="126"/>
      <c r="Q192" s="126"/>
      <c r="R192" s="127">
        <f>'1. Standard_Cost'!$B$15*N192*P192</f>
        <v>0</v>
      </c>
      <c r="S192" s="127">
        <f>N192*O192*P192*'1. Standard_Cost'!$C$15</f>
        <v>0</v>
      </c>
      <c r="T192" s="127">
        <f>N192*P192*Q192*'1. Standard_Cost'!$D$15</f>
        <v>0</v>
      </c>
      <c r="U192" s="127">
        <f>N192*O192*'1. Standard_Cost'!$E$15</f>
        <v>0</v>
      </c>
      <c r="V192" s="126"/>
      <c r="W192" s="126"/>
      <c r="X192" s="126"/>
      <c r="Y192" s="127">
        <f>+V192*((X192*'1. Standard_Cost'!$B$19)+(W192*X192*'1. Standard_Cost'!$C$19))</f>
        <v>0</v>
      </c>
      <c r="Z192" s="126"/>
      <c r="AA192" s="126"/>
      <c r="AB192" s="127">
        <f>+Z192*'1. Standard_Cost'!$B$23+AA192*'1. Standard_Cost'!$C$23</f>
        <v>0</v>
      </c>
      <c r="AC192" s="128">
        <v>50000</v>
      </c>
      <c r="AD192" s="129"/>
      <c r="AE192" s="127">
        <f>SUM(AD192,AC192,AB192,Y192,U192,T192,S192,R192)*'1. Standard_Cost'!$B$31</f>
        <v>10000</v>
      </c>
      <c r="AF192" s="127">
        <f>SUM(AE192,AD192,AC192,AB192,Y192,U192,T192,S192,R192)</f>
        <v>60000</v>
      </c>
      <c r="AG192" s="126"/>
      <c r="AH192" s="126"/>
      <c r="AI192" s="126"/>
      <c r="AJ192" s="130"/>
      <c r="AK192" s="130"/>
      <c r="AL192" s="130"/>
      <c r="AM192" s="127">
        <f>AG192*'1. Standard_Cost'!$B$27+'Incremental_Cost Year 3'!AH192*'1. Standard_Cost'!$C$27+'Incremental_Cost Year 3'!AI192*'1. Standard_Cost'!$D$27+'Incremental_Cost Year 3'!AJ192+'Incremental_Cost Year 3'!AL192+AK192</f>
        <v>0</v>
      </c>
      <c r="AN192" s="127">
        <f>AM192*'1. Standard_Cost'!$C$31</f>
        <v>0</v>
      </c>
      <c r="AO192" s="130"/>
      <c r="AP192" s="256"/>
      <c r="AQ192" s="171">
        <f>L192+M192</f>
        <v>1414404</v>
      </c>
      <c r="AR192" s="171">
        <f>AF192</f>
        <v>60000</v>
      </c>
      <c r="AS192" s="171">
        <f>AM192+AN192</f>
        <v>0</v>
      </c>
      <c r="AT192" s="171">
        <f>SUM(AQ192,AR192,AS192)</f>
        <v>1474404</v>
      </c>
      <c r="AU192" s="250">
        <v>1474404</v>
      </c>
      <c r="AV192" s="250"/>
      <c r="AW192" s="250"/>
      <c r="AX192" s="250"/>
      <c r="AY192" s="250"/>
      <c r="AZ192" s="250"/>
      <c r="BA192" s="250"/>
      <c r="BB192" s="251">
        <f t="shared" si="126"/>
        <v>0</v>
      </c>
      <c r="BC192" s="169"/>
      <c r="BD192" s="169"/>
      <c r="BE192" s="169"/>
      <c r="BF192" s="169"/>
    </row>
    <row r="193" spans="1:58" ht="15.75" outlineLevel="1" x14ac:dyDescent="0.25">
      <c r="A193" s="115"/>
      <c r="B193" s="200"/>
      <c r="C193" s="330"/>
      <c r="D193" s="343"/>
      <c r="E193" s="328"/>
      <c r="F193" s="328"/>
      <c r="G193" s="328"/>
      <c r="H193" s="150" t="s">
        <v>239</v>
      </c>
      <c r="I193" s="252"/>
      <c r="J193" s="252"/>
      <c r="K193" s="252"/>
      <c r="L193" s="127">
        <f>SUM(L191:L192)</f>
        <v>18180000</v>
      </c>
      <c r="M193" s="127">
        <f>SUM(M191:M192)</f>
        <v>3036060</v>
      </c>
      <c r="N193" s="252"/>
      <c r="O193" s="252"/>
      <c r="P193" s="252"/>
      <c r="Q193" s="252"/>
      <c r="R193" s="127">
        <f>SUM(R191:R192)</f>
        <v>0</v>
      </c>
      <c r="S193" s="127">
        <f>SUM(S191:S192)</f>
        <v>0</v>
      </c>
      <c r="T193" s="127">
        <f>SUM(T191:T192)</f>
        <v>0</v>
      </c>
      <c r="U193" s="127">
        <f>SUM(U191:U192)</f>
        <v>0</v>
      </c>
      <c r="V193" s="252"/>
      <c r="W193" s="252"/>
      <c r="X193" s="252"/>
      <c r="Y193" s="127">
        <f>SUM(Y191:Y192)</f>
        <v>0</v>
      </c>
      <c r="Z193" s="127"/>
      <c r="AA193" s="252"/>
      <c r="AB193" s="127">
        <f>SUM(AB191:AB192)</f>
        <v>0</v>
      </c>
      <c r="AC193" s="127">
        <f>SUM(AC191:AC192)</f>
        <v>6350000</v>
      </c>
      <c r="AD193" s="127">
        <f>SUM(AD191:AD192)</f>
        <v>0</v>
      </c>
      <c r="AE193" s="127">
        <f>SUM(AE191:AE192)</f>
        <v>10000</v>
      </c>
      <c r="AF193" s="127">
        <f>SUM(AF191:AF192)</f>
        <v>6360000</v>
      </c>
      <c r="AG193" s="252"/>
      <c r="AH193" s="252"/>
      <c r="AI193" s="252"/>
      <c r="AJ193" s="127">
        <f>SUM(AJ191:AJ192)</f>
        <v>0</v>
      </c>
      <c r="AK193" s="127">
        <f>SUM(AK191:AK192)</f>
        <v>0</v>
      </c>
      <c r="AL193" s="127">
        <f>SUM(AL191:AL192)</f>
        <v>0</v>
      </c>
      <c r="AM193" s="127">
        <f>SUM(AM191:AM192)</f>
        <v>0</v>
      </c>
      <c r="AN193" s="127">
        <f>SUM(AN191:AN192)</f>
        <v>0</v>
      </c>
      <c r="AO193" s="253"/>
      <c r="AP193" s="254"/>
      <c r="AQ193" s="175">
        <f>SUM(AQ191:AQ192)</f>
        <v>21216060</v>
      </c>
      <c r="AR193" s="175">
        <f>SUM(AR191:AR192)</f>
        <v>6360000</v>
      </c>
      <c r="AS193" s="175">
        <f>SUM(AS191:AS192)</f>
        <v>0</v>
      </c>
      <c r="AT193" s="175">
        <f>SUM(AT191:AT192)</f>
        <v>27576060</v>
      </c>
      <c r="AU193" s="175">
        <f t="shared" ref="AU193:BA193" si="127">SUM(AU191:AU192)</f>
        <v>27576060</v>
      </c>
      <c r="AV193" s="175">
        <f t="shared" si="127"/>
        <v>0</v>
      </c>
      <c r="AW193" s="175">
        <f t="shared" si="127"/>
        <v>0</v>
      </c>
      <c r="AX193" s="175">
        <f t="shared" si="127"/>
        <v>0</v>
      </c>
      <c r="AY193" s="175">
        <f t="shared" si="127"/>
        <v>0</v>
      </c>
      <c r="AZ193" s="175">
        <f t="shared" si="127"/>
        <v>0</v>
      </c>
      <c r="BA193" s="175">
        <f t="shared" si="127"/>
        <v>0</v>
      </c>
      <c r="BB193" s="175">
        <f>SUM(BB191:BB192)</f>
        <v>0</v>
      </c>
      <c r="BC193" s="169"/>
      <c r="BD193" s="169"/>
      <c r="BE193" s="169"/>
      <c r="BF193" s="169"/>
    </row>
    <row r="194" spans="1:58" ht="47.25" outlineLevel="2" x14ac:dyDescent="0.25">
      <c r="A194" s="115"/>
      <c r="B194" s="200"/>
      <c r="C194" s="330"/>
      <c r="D194" s="343"/>
      <c r="E194" s="328"/>
      <c r="F194" s="328"/>
      <c r="G194" s="328"/>
      <c r="H194" s="199" t="s">
        <v>497</v>
      </c>
      <c r="I194" s="130" t="s">
        <v>5</v>
      </c>
      <c r="J194" s="126">
        <v>3</v>
      </c>
      <c r="K194" s="126">
        <v>3</v>
      </c>
      <c r="L194" s="125">
        <f>IF(I194&lt;&gt;0,((VLOOKUP(I194,'1. Standard_Cost'!$B$4:$D$11,2)+VLOOKUP(I194,'1. Standard_Cost'!$B$4:$D$11,3))*J194*K194),"0")</f>
        <v>636300</v>
      </c>
      <c r="M194" s="125">
        <f>L194*'1. Standard_Cost'!$F$4</f>
        <v>106262.1</v>
      </c>
      <c r="N194" s="126"/>
      <c r="O194" s="126"/>
      <c r="P194" s="126"/>
      <c r="Q194" s="126"/>
      <c r="R194" s="127">
        <f>'1. Standard_Cost'!$B$15*N194*P194</f>
        <v>0</v>
      </c>
      <c r="S194" s="127">
        <f>N194*O194*P194*'1. Standard_Cost'!$C$15</f>
        <v>0</v>
      </c>
      <c r="T194" s="127">
        <f>N194*P194*Q194*'1. Standard_Cost'!$D$15</f>
        <v>0</v>
      </c>
      <c r="U194" s="127">
        <f>N194*O194*'1. Standard_Cost'!$E$15</f>
        <v>0</v>
      </c>
      <c r="V194" s="126"/>
      <c r="W194" s="126"/>
      <c r="X194" s="126"/>
      <c r="Y194" s="127">
        <f>+V194*((X194*'1. Standard_Cost'!$B$19)+(W194*X194*'1. Standard_Cost'!$C$19))</f>
        <v>0</v>
      </c>
      <c r="Z194" s="126"/>
      <c r="AA194" s="126"/>
      <c r="AB194" s="127">
        <f>+Z194*'1. Standard_Cost'!$B$23+AA194*'1. Standard_Cost'!$C$23</f>
        <v>0</v>
      </c>
      <c r="AC194" s="128">
        <v>75000</v>
      </c>
      <c r="AD194" s="129"/>
      <c r="AE194" s="127">
        <f>SUM(AD194,AC194,AB194,Y194,U194,T194,S194,R194)*'1. Standard_Cost'!$B$31</f>
        <v>15000</v>
      </c>
      <c r="AF194" s="127">
        <f>SUM(AE194,AD194,AC194,AB194,Y194,U194,T194,S194,R194)</f>
        <v>90000</v>
      </c>
      <c r="AG194" s="126"/>
      <c r="AH194" s="126"/>
      <c r="AI194" s="126"/>
      <c r="AJ194" s="130"/>
      <c r="AK194" s="130"/>
      <c r="AL194" s="130"/>
      <c r="AM194" s="127">
        <f>AG194*'1. Standard_Cost'!$B$27+'Incremental_Cost Year 3'!AH194*'1. Standard_Cost'!$C$27+'Incremental_Cost Year 3'!AI194*'1. Standard_Cost'!$D$27+'Incremental_Cost Year 3'!AJ194+'Incremental_Cost Year 3'!AL194+AK194</f>
        <v>0</v>
      </c>
      <c r="AN194" s="127">
        <f>AM194*'1. Standard_Cost'!$C$31</f>
        <v>0</v>
      </c>
      <c r="AO194" s="130"/>
      <c r="AP194" s="256"/>
      <c r="AQ194" s="171">
        <f>L194+M194</f>
        <v>742562.1</v>
      </c>
      <c r="AR194" s="171">
        <f>AF194</f>
        <v>90000</v>
      </c>
      <c r="AS194" s="171">
        <f>AM194+AN194</f>
        <v>0</v>
      </c>
      <c r="AT194" s="171">
        <f>SUM(AQ194,AR194,AS194)</f>
        <v>832562.1</v>
      </c>
      <c r="AU194" s="250">
        <v>832562</v>
      </c>
      <c r="AV194" s="250"/>
      <c r="AW194" s="250"/>
      <c r="AX194" s="250"/>
      <c r="AY194" s="250"/>
      <c r="AZ194" s="250"/>
      <c r="BA194" s="250"/>
      <c r="BB194" s="251">
        <f t="shared" ref="BB194:BB195" si="128">SUM(AU194:BA194)-AT194</f>
        <v>-9.9999999976716936E-2</v>
      </c>
      <c r="BC194" s="169"/>
      <c r="BD194" s="169"/>
      <c r="BE194" s="169"/>
      <c r="BF194" s="169"/>
    </row>
    <row r="195" spans="1:58" ht="47.25" outlineLevel="2" x14ac:dyDescent="0.25">
      <c r="A195" s="115"/>
      <c r="B195" s="147"/>
      <c r="C195" s="341"/>
      <c r="D195" s="344"/>
      <c r="E195" s="328"/>
      <c r="F195" s="328"/>
      <c r="G195" s="328"/>
      <c r="H195" s="199" t="s">
        <v>498</v>
      </c>
      <c r="I195" s="130" t="s">
        <v>5</v>
      </c>
      <c r="J195" s="126">
        <v>0.2</v>
      </c>
      <c r="K195" s="126">
        <v>2</v>
      </c>
      <c r="L195" s="125">
        <f>IF(I195&lt;&gt;0,((VLOOKUP(I195,'1. Standard_Cost'!$B$4:$D$11,2)+VLOOKUP(I195,'1. Standard_Cost'!$B$4:$D$11,3))*J195*K195),"0")</f>
        <v>28280</v>
      </c>
      <c r="M195" s="125">
        <f>L195*'1. Standard_Cost'!$F$4</f>
        <v>4722.76</v>
      </c>
      <c r="N195" s="126">
        <v>1</v>
      </c>
      <c r="O195" s="126">
        <v>1</v>
      </c>
      <c r="P195" s="126">
        <v>20</v>
      </c>
      <c r="Q195" s="126"/>
      <c r="R195" s="127">
        <f>'1. Standard_Cost'!$B$15*N195*P195</f>
        <v>40000</v>
      </c>
      <c r="S195" s="127">
        <f>N195*O195*P195*'1. Standard_Cost'!$C$15</f>
        <v>30000</v>
      </c>
      <c r="T195" s="127">
        <f>N195*P195*Q195*'1. Standard_Cost'!$D$15</f>
        <v>0</v>
      </c>
      <c r="U195" s="127">
        <f>N195*O195*'1. Standard_Cost'!$E$15</f>
        <v>40000</v>
      </c>
      <c r="V195" s="126"/>
      <c r="W195" s="126"/>
      <c r="X195" s="126"/>
      <c r="Y195" s="127">
        <f>+V195*((X195*'1. Standard_Cost'!$B$19)+(W195*X195*'1. Standard_Cost'!$C$19))</f>
        <v>0</v>
      </c>
      <c r="Z195" s="126"/>
      <c r="AA195" s="126"/>
      <c r="AB195" s="127">
        <f>+Z195*'1. Standard_Cost'!$B$23+AA195*'1. Standard_Cost'!$C$23</f>
        <v>0</v>
      </c>
      <c r="AC195" s="128">
        <v>15000</v>
      </c>
      <c r="AD195" s="129"/>
      <c r="AE195" s="127">
        <f>SUM(AD195,AC195,AB195,Y195,U195,T195,S195,R195)*'1. Standard_Cost'!$B$31</f>
        <v>25000</v>
      </c>
      <c r="AF195" s="127">
        <f>SUM(AE195,AD195,AC195,AB195,Y195,U195,T195,S195,R195)</f>
        <v>150000</v>
      </c>
      <c r="AG195" s="126"/>
      <c r="AH195" s="126"/>
      <c r="AI195" s="126"/>
      <c r="AJ195" s="130"/>
      <c r="AK195" s="130"/>
      <c r="AL195" s="130"/>
      <c r="AM195" s="127">
        <f>AG195*'1. Standard_Cost'!$B$27+'Incremental_Cost Year 3'!AH195*'1. Standard_Cost'!$C$27+'Incremental_Cost Year 3'!AI195*'1. Standard_Cost'!$D$27+'Incremental_Cost Year 3'!AJ195+'Incremental_Cost Year 3'!AL195+AK195</f>
        <v>0</v>
      </c>
      <c r="AN195" s="127">
        <f>AM195*'1. Standard_Cost'!$C$31</f>
        <v>0</v>
      </c>
      <c r="AO195" s="130"/>
      <c r="AP195" s="256"/>
      <c r="AQ195" s="171">
        <f>L195+M195</f>
        <v>33002.76</v>
      </c>
      <c r="AR195" s="171">
        <f>AF195</f>
        <v>150000</v>
      </c>
      <c r="AS195" s="171">
        <f>AM195+AN195</f>
        <v>0</v>
      </c>
      <c r="AT195" s="171">
        <f>SUM(AQ195,AR195,AS195)</f>
        <v>183002.76</v>
      </c>
      <c r="AU195" s="250">
        <v>135003</v>
      </c>
      <c r="AV195" s="250"/>
      <c r="AW195" s="250"/>
      <c r="AX195" s="250"/>
      <c r="AY195" s="250"/>
      <c r="AZ195" s="250"/>
      <c r="BA195" s="250"/>
      <c r="BB195" s="251">
        <f t="shared" si="128"/>
        <v>-47999.760000000009</v>
      </c>
      <c r="BC195" s="169"/>
      <c r="BD195" s="169"/>
      <c r="BE195" s="169"/>
      <c r="BF195" s="169"/>
    </row>
    <row r="196" spans="1:58" ht="63" outlineLevel="1" x14ac:dyDescent="0.25">
      <c r="A196" s="115"/>
      <c r="B196" s="200"/>
      <c r="C196" s="201"/>
      <c r="D196" s="107" t="s">
        <v>240</v>
      </c>
      <c r="E196" s="212" t="s">
        <v>499</v>
      </c>
      <c r="F196" s="104">
        <v>2021</v>
      </c>
      <c r="G196" s="104">
        <v>2030</v>
      </c>
      <c r="H196" s="150" t="s">
        <v>241</v>
      </c>
      <c r="I196" s="252"/>
      <c r="J196" s="252"/>
      <c r="K196" s="252"/>
      <c r="L196" s="127">
        <f>SUM(L194:L195)</f>
        <v>664580</v>
      </c>
      <c r="M196" s="127">
        <f>SUM(M194:M195)</f>
        <v>110984.86</v>
      </c>
      <c r="N196" s="252"/>
      <c r="O196" s="252"/>
      <c r="P196" s="252"/>
      <c r="Q196" s="252"/>
      <c r="R196" s="127">
        <f>SUM(R194:R195)</f>
        <v>40000</v>
      </c>
      <c r="S196" s="127">
        <f>SUM(S194:S195)</f>
        <v>30000</v>
      </c>
      <c r="T196" s="127">
        <f>SUM(T194:T195)</f>
        <v>0</v>
      </c>
      <c r="U196" s="127">
        <f>SUM(U194:U195)</f>
        <v>40000</v>
      </c>
      <c r="V196" s="252"/>
      <c r="W196" s="252"/>
      <c r="X196" s="252"/>
      <c r="Y196" s="127">
        <f>SUM(Y194:Y195)</f>
        <v>0</v>
      </c>
      <c r="Z196" s="127"/>
      <c r="AA196" s="252"/>
      <c r="AB196" s="127">
        <f>SUM(AB194:AB195)</f>
        <v>0</v>
      </c>
      <c r="AC196" s="127">
        <f>SUM(AC194:AC195)</f>
        <v>90000</v>
      </c>
      <c r="AD196" s="127">
        <f>SUM(AD194:AD195)</f>
        <v>0</v>
      </c>
      <c r="AE196" s="127">
        <f>SUM(AE194:AE195)</f>
        <v>40000</v>
      </c>
      <c r="AF196" s="127">
        <f>SUM(AF194:AF195)</f>
        <v>240000</v>
      </c>
      <c r="AG196" s="252"/>
      <c r="AH196" s="252"/>
      <c r="AI196" s="252"/>
      <c r="AJ196" s="127">
        <f>SUM(AJ194:AJ195)</f>
        <v>0</v>
      </c>
      <c r="AK196" s="127">
        <f>SUM(AK194:AK195)</f>
        <v>0</v>
      </c>
      <c r="AL196" s="127">
        <f>SUM(AL194:AL195)</f>
        <v>0</v>
      </c>
      <c r="AM196" s="127">
        <f>SUM(AM194:AM195)</f>
        <v>0</v>
      </c>
      <c r="AN196" s="127">
        <f>SUM(AN194:AN195)</f>
        <v>0</v>
      </c>
      <c r="AO196" s="253"/>
      <c r="AP196" s="254"/>
      <c r="AQ196" s="175">
        <f>SUM(AQ194:AQ195)</f>
        <v>775564.86</v>
      </c>
      <c r="AR196" s="175">
        <f>SUM(AR194:AR195)</f>
        <v>240000</v>
      </c>
      <c r="AS196" s="175">
        <f>SUM(AS194:AS195)</f>
        <v>0</v>
      </c>
      <c r="AT196" s="175">
        <f>SUM(AT194:AT195)</f>
        <v>1015564.86</v>
      </c>
      <c r="AU196" s="175">
        <f t="shared" ref="AU196:BA196" si="129">SUM(AU194:AU195)</f>
        <v>967565</v>
      </c>
      <c r="AV196" s="175">
        <f t="shared" si="129"/>
        <v>0</v>
      </c>
      <c r="AW196" s="175">
        <f t="shared" si="129"/>
        <v>0</v>
      </c>
      <c r="AX196" s="175">
        <f t="shared" si="129"/>
        <v>0</v>
      </c>
      <c r="AY196" s="175">
        <f t="shared" si="129"/>
        <v>0</v>
      </c>
      <c r="AZ196" s="175">
        <f t="shared" si="129"/>
        <v>0</v>
      </c>
      <c r="BA196" s="175">
        <f t="shared" si="129"/>
        <v>0</v>
      </c>
      <c r="BB196" s="175">
        <f>SUM(BB194:BB195)</f>
        <v>-47999.859999999986</v>
      </c>
      <c r="BC196" s="169"/>
      <c r="BD196" s="169"/>
      <c r="BE196" s="169"/>
      <c r="BF196" s="169"/>
    </row>
    <row r="197" spans="1:58" s="170" customFormat="1" ht="15.75" customHeight="1" x14ac:dyDescent="0.25">
      <c r="A197" s="120"/>
      <c r="B197" s="396" t="s">
        <v>243</v>
      </c>
      <c r="C197" s="389"/>
      <c r="D197" s="389"/>
      <c r="E197" s="390"/>
      <c r="F197" s="286"/>
      <c r="G197" s="286"/>
      <c r="H197" s="279" t="s">
        <v>184</v>
      </c>
      <c r="I197" s="243"/>
      <c r="J197" s="243"/>
      <c r="K197" s="243"/>
      <c r="L197" s="243">
        <f>SUM(L198,L213,L221,L226,L232,L238)</f>
        <v>1070221254.2857143</v>
      </c>
      <c r="M197" s="243">
        <f>SUM(M198,M213,M221,M226,M232,M238)</f>
        <v>178726949.46571428</v>
      </c>
      <c r="N197" s="243"/>
      <c r="O197" s="243"/>
      <c r="P197" s="243"/>
      <c r="Q197" s="243"/>
      <c r="R197" s="243">
        <f>SUM(R198,R213,R221,R226,R232,R238)</f>
        <v>1000000</v>
      </c>
      <c r="S197" s="243">
        <f>SUM(S198,S213,S221,S226,S232,S238)</f>
        <v>750000</v>
      </c>
      <c r="T197" s="243">
        <f>SUM(T198,T213,T221,T226,T232,T238)</f>
        <v>0</v>
      </c>
      <c r="U197" s="243">
        <f>SUM(U198,U213,U221,U226,U232,U238)</f>
        <v>1000000</v>
      </c>
      <c r="V197" s="243"/>
      <c r="W197" s="243"/>
      <c r="X197" s="243"/>
      <c r="Y197" s="243">
        <f>SUM(Y198,Y213,Y221,Y226,Y232,Y238)</f>
        <v>0</v>
      </c>
      <c r="Z197" s="243">
        <f>SUM(Z198,Z213,Z221,Z226,Z232,Z238)</f>
        <v>0</v>
      </c>
      <c r="AA197" s="243"/>
      <c r="AB197" s="243">
        <f>SUM(AB198,AB213,AB221,AB226,AB232,AB238)</f>
        <v>5488000</v>
      </c>
      <c r="AC197" s="243">
        <f>SUM(AC198,AC213,AC221,AC226,AC232,AC238)</f>
        <v>1652261000</v>
      </c>
      <c r="AD197" s="243">
        <f>SUM(AD198,AD213,AD221,AD226,AD232,AD238)</f>
        <v>0</v>
      </c>
      <c r="AE197" s="243">
        <f>SUM(AE198,AE213,AE221,AE226,AE232,AE238)</f>
        <v>43667200</v>
      </c>
      <c r="AF197" s="243">
        <f>SUM(AF198,AF213,AF221,AF226,AF232,AF238)</f>
        <v>1704166200</v>
      </c>
      <c r="AG197" s="243"/>
      <c r="AH197" s="243"/>
      <c r="AI197" s="243"/>
      <c r="AJ197" s="243">
        <f>SUM(AJ198,AJ213,AJ221,AJ226,AJ232,AJ238)</f>
        <v>138680000</v>
      </c>
      <c r="AK197" s="243">
        <f>SUM(AK198,AK213,AK221,AK226,AK232,AK238)</f>
        <v>50000000</v>
      </c>
      <c r="AL197" s="243">
        <f>SUM(AL198,AL213,AL221,AL226,AL232,AL238)</f>
        <v>0</v>
      </c>
      <c r="AM197" s="243">
        <f>SUM(AM198,AM213,AM221,AM226,AM232,AM238)</f>
        <v>188680000</v>
      </c>
      <c r="AN197" s="243">
        <f>SUM(AN198,AN213,AN221,AN226,AN232,AN238)</f>
        <v>28302000</v>
      </c>
      <c r="AO197" s="243"/>
      <c r="AP197" s="244"/>
      <c r="AQ197" s="245">
        <f>SUM(AQ198,AQ213,AQ221,AQ226,AQ232,AQ238)</f>
        <v>1248948203.7514284</v>
      </c>
      <c r="AR197" s="245">
        <f>SUM(AR198,AR213,AR221,AR226,AR232,AR238)</f>
        <v>1704166200</v>
      </c>
      <c r="AS197" s="245">
        <f>SUM(AS198,AS213,AS221,AS226,AS232,AS238)</f>
        <v>216982000</v>
      </c>
      <c r="AT197" s="245">
        <f>SUM(AT198,AT213,AT221,AT226,AT232,AT238)</f>
        <v>3170096403.7514286</v>
      </c>
      <c r="AU197" s="245">
        <f t="shared" ref="AU197:BB197" si="130">SUM(AU198,AU213,AU221,AU226,AU232,AU238)</f>
        <v>3158749203.7514286</v>
      </c>
      <c r="AV197" s="245">
        <f t="shared" si="130"/>
        <v>0</v>
      </c>
      <c r="AW197" s="245">
        <f t="shared" si="130"/>
        <v>0</v>
      </c>
      <c r="AX197" s="245">
        <f t="shared" si="130"/>
        <v>0</v>
      </c>
      <c r="AY197" s="245">
        <f t="shared" si="130"/>
        <v>0</v>
      </c>
      <c r="AZ197" s="245">
        <f t="shared" si="130"/>
        <v>0</v>
      </c>
      <c r="BA197" s="245">
        <f t="shared" si="130"/>
        <v>0</v>
      </c>
      <c r="BB197" s="245">
        <f t="shared" si="130"/>
        <v>-11347200</v>
      </c>
    </row>
    <row r="198" spans="1:58" s="184" customFormat="1" ht="15.75" customHeight="1" x14ac:dyDescent="0.25">
      <c r="A198" s="143"/>
      <c r="B198" s="332"/>
      <c r="C198" s="397" t="s">
        <v>244</v>
      </c>
      <c r="D198" s="397"/>
      <c r="E198" s="398"/>
      <c r="F198" s="291"/>
      <c r="G198" s="340"/>
      <c r="H198" s="144" t="s">
        <v>185</v>
      </c>
      <c r="I198" s="269"/>
      <c r="J198" s="257"/>
      <c r="K198" s="257"/>
      <c r="L198" s="258">
        <f>SUM(L203,L209,L212)</f>
        <v>149551854.2857143</v>
      </c>
      <c r="M198" s="258">
        <f>SUM(M203,M209,M212)</f>
        <v>24975159.665714286</v>
      </c>
      <c r="N198" s="257"/>
      <c r="O198" s="257"/>
      <c r="P198" s="257"/>
      <c r="Q198" s="257"/>
      <c r="R198" s="258">
        <f>SUM(R203,R209,R212)</f>
        <v>800000</v>
      </c>
      <c r="S198" s="258">
        <f>SUM(S203,S209,S212)</f>
        <v>600000</v>
      </c>
      <c r="T198" s="258">
        <f>SUM(T203,T209,T212)</f>
        <v>0</v>
      </c>
      <c r="U198" s="258">
        <f>SUM(U203,U209,U212)</f>
        <v>800000</v>
      </c>
      <c r="V198" s="257"/>
      <c r="W198" s="257"/>
      <c r="X198" s="257"/>
      <c r="Y198" s="258">
        <f>SUM(Y203,Y209,Y212)</f>
        <v>0</v>
      </c>
      <c r="Z198" s="258">
        <f>SUM(Z203,Z209,Z212)</f>
        <v>0</v>
      </c>
      <c r="AA198" s="257"/>
      <c r="AB198" s="258">
        <f>SUM(AB203,AB209,AB212)</f>
        <v>2128000</v>
      </c>
      <c r="AC198" s="258">
        <f>SUM(AC203,AC209,AC212)</f>
        <v>209344000</v>
      </c>
      <c r="AD198" s="258">
        <f>SUM(AD203,AD209,AD212)</f>
        <v>0</v>
      </c>
      <c r="AE198" s="258">
        <f>SUM(AE203,AE209,AE212)</f>
        <v>42734400</v>
      </c>
      <c r="AF198" s="258">
        <f>SUM(AF203,AF209,AF212)</f>
        <v>256406400</v>
      </c>
      <c r="AG198" s="257"/>
      <c r="AH198" s="257"/>
      <c r="AI198" s="257"/>
      <c r="AJ198" s="258">
        <f>SUM(AJ203,AJ209,AJ212)</f>
        <v>13680000</v>
      </c>
      <c r="AK198" s="258">
        <f>SUM(AK203,AK209,AK212)</f>
        <v>0</v>
      </c>
      <c r="AL198" s="258">
        <f>SUM(AL203,AL209,AL212)</f>
        <v>0</v>
      </c>
      <c r="AM198" s="258">
        <f>SUM(AM203,AM209,AM212)</f>
        <v>13680000</v>
      </c>
      <c r="AN198" s="258">
        <f>SUM(AN203,AN209,AN212)</f>
        <v>2052000</v>
      </c>
      <c r="AO198" s="259"/>
      <c r="AP198" s="260"/>
      <c r="AQ198" s="261">
        <f>SUM(AQ203,AQ209,AQ212)</f>
        <v>174527013.95142856</v>
      </c>
      <c r="AR198" s="261">
        <f>SUM(AR203,AR209,AR212)</f>
        <v>256406400</v>
      </c>
      <c r="AS198" s="261">
        <f>SUM(AS203,AS209,AS212)</f>
        <v>15732000</v>
      </c>
      <c r="AT198" s="261">
        <f>SUM(AT203,AT209,AT212)</f>
        <v>446665413.95142859</v>
      </c>
      <c r="AU198" s="261">
        <f t="shared" ref="AU198:BB198" si="131">SUM(AU203,AU209,AU212)</f>
        <v>439859013.95142859</v>
      </c>
      <c r="AV198" s="261">
        <f t="shared" si="131"/>
        <v>0</v>
      </c>
      <c r="AW198" s="261">
        <f t="shared" si="131"/>
        <v>0</v>
      </c>
      <c r="AX198" s="261">
        <f t="shared" si="131"/>
        <v>0</v>
      </c>
      <c r="AY198" s="261">
        <f t="shared" si="131"/>
        <v>0</v>
      </c>
      <c r="AZ198" s="261">
        <f t="shared" si="131"/>
        <v>0</v>
      </c>
      <c r="BA198" s="261">
        <f t="shared" si="131"/>
        <v>0</v>
      </c>
      <c r="BB198" s="261">
        <f t="shared" si="131"/>
        <v>-6806400</v>
      </c>
    </row>
    <row r="199" spans="1:58" ht="63" outlineLevel="2" x14ac:dyDescent="0.25">
      <c r="A199" s="115"/>
      <c r="B199" s="200"/>
      <c r="C199" s="201"/>
      <c r="D199" s="202"/>
      <c r="E199" s="226"/>
      <c r="F199" s="295"/>
      <c r="G199" s="296"/>
      <c r="H199" s="199" t="s">
        <v>500</v>
      </c>
      <c r="I199" s="130" t="s">
        <v>1</v>
      </c>
      <c r="J199" s="126">
        <v>1</v>
      </c>
      <c r="K199" s="126">
        <v>50</v>
      </c>
      <c r="L199" s="125">
        <f>IF(I199&lt;&gt;0,((VLOOKUP(I199,'1. Standard_Cost'!$B$4:$D$11,2)+VLOOKUP(I199,'1. Standard_Cost'!$B$4:$D$11,3))*J199*K199),"0")</f>
        <v>3589642.8571428573</v>
      </c>
      <c r="M199" s="125">
        <f>L199*'1. Standard_Cost'!$F$4</f>
        <v>599470.35714285716</v>
      </c>
      <c r="N199" s="126"/>
      <c r="O199" s="126"/>
      <c r="P199" s="126"/>
      <c r="Q199" s="126"/>
      <c r="R199" s="127">
        <f>'1. Standard_Cost'!$B$15*N199*P199</f>
        <v>0</v>
      </c>
      <c r="S199" s="127">
        <f>N199*O199*P199*'1. Standard_Cost'!$C$15</f>
        <v>0</v>
      </c>
      <c r="T199" s="127">
        <f>N199*P199*Q199*'1. Standard_Cost'!$D$15</f>
        <v>0</v>
      </c>
      <c r="U199" s="127">
        <f>N199*O199*'1. Standard_Cost'!$E$15</f>
        <v>0</v>
      </c>
      <c r="V199" s="126"/>
      <c r="W199" s="126"/>
      <c r="X199" s="126"/>
      <c r="Y199" s="127">
        <f>+V199*((X199*'1. Standard_Cost'!$B$19)+(W199*X199*'1. Standard_Cost'!$C$19))</f>
        <v>0</v>
      </c>
      <c r="Z199" s="126"/>
      <c r="AA199" s="126"/>
      <c r="AB199" s="127">
        <f>+Z199*'1. Standard_Cost'!$B$23+AA199*'1. Standard_Cost'!$C$23</f>
        <v>0</v>
      </c>
      <c r="AC199" s="128"/>
      <c r="AD199" s="129"/>
      <c r="AE199" s="127">
        <f>SUM(AD199,AC199,AB199,Y199,U199,T199,S199,R199)*'1. Standard_Cost'!$B$31</f>
        <v>0</v>
      </c>
      <c r="AF199" s="127">
        <f>SUM(AE199,AD199,AC199,AB199,Y199,U199,T199,S199,R199)</f>
        <v>0</v>
      </c>
      <c r="AG199" s="126"/>
      <c r="AH199" s="126"/>
      <c r="AI199" s="126"/>
      <c r="AJ199" s="130"/>
      <c r="AK199" s="130"/>
      <c r="AL199" s="130"/>
      <c r="AM199" s="127">
        <f>AG199*'1. Standard_Cost'!$B$27+'Incremental_Cost Year 3'!AH199*'1. Standard_Cost'!$C$27+'Incremental_Cost Year 3'!AI199*'1. Standard_Cost'!$D$27+'Incremental_Cost Year 3'!AJ199+'Incremental_Cost Year 3'!AL199+AK199</f>
        <v>0</v>
      </c>
      <c r="AN199" s="127">
        <f>AM199*'1. Standard_Cost'!$C$31</f>
        <v>0</v>
      </c>
      <c r="AO199" s="130"/>
      <c r="AQ199" s="171">
        <f>L199+M199</f>
        <v>4189113.2142857146</v>
      </c>
      <c r="AR199" s="171">
        <f>AF199</f>
        <v>0</v>
      </c>
      <c r="AS199" s="171">
        <f>AM199+AN199</f>
        <v>0</v>
      </c>
      <c r="AT199" s="171">
        <f>SUM(AQ199,AR199,AS199)</f>
        <v>4189113.2142857146</v>
      </c>
      <c r="AU199" s="250">
        <f>AT199</f>
        <v>4189113.2142857146</v>
      </c>
      <c r="AV199" s="250"/>
      <c r="AW199" s="250"/>
      <c r="AX199" s="250"/>
      <c r="AY199" s="250"/>
      <c r="AZ199" s="250"/>
      <c r="BA199" s="250"/>
      <c r="BB199" s="251">
        <f t="shared" ref="BB199:BB202" si="132">SUM(AU199:BA199)-AT199</f>
        <v>0</v>
      </c>
      <c r="BC199" s="169"/>
      <c r="BD199" s="169"/>
      <c r="BE199" s="169"/>
      <c r="BF199" s="169"/>
    </row>
    <row r="200" spans="1:58" ht="94.5" outlineLevel="2" x14ac:dyDescent="0.25">
      <c r="A200" s="115"/>
      <c r="B200" s="200"/>
      <c r="C200" s="201"/>
      <c r="D200" s="202"/>
      <c r="E200" s="202"/>
      <c r="F200" s="219"/>
      <c r="G200" s="313"/>
      <c r="H200" s="199" t="s">
        <v>501</v>
      </c>
      <c r="I200" s="130" t="s">
        <v>3</v>
      </c>
      <c r="J200" s="126">
        <v>2</v>
      </c>
      <c r="K200" s="126">
        <v>10</v>
      </c>
      <c r="L200" s="125">
        <f>IF(I200&lt;&gt;0,((VLOOKUP(I200,'1. Standard_Cost'!$B$4:$D$11,2)+VLOOKUP(I200,'1. Standard_Cost'!$B$4:$D$11,3))*J200*K200),"0")</f>
        <v>2016000</v>
      </c>
      <c r="M200" s="125">
        <f>L200*'1. Standard_Cost'!$F$4</f>
        <v>336672</v>
      </c>
      <c r="N200" s="126"/>
      <c r="O200" s="126"/>
      <c r="P200" s="126"/>
      <c r="Q200" s="126"/>
      <c r="R200" s="127">
        <f>'1. Standard_Cost'!$B$15*N200*P200</f>
        <v>0</v>
      </c>
      <c r="S200" s="127">
        <f>N200*O200*P200*'1. Standard_Cost'!$C$15</f>
        <v>0</v>
      </c>
      <c r="T200" s="127">
        <f>N200*P200*Q200*'1. Standard_Cost'!$D$15</f>
        <v>0</v>
      </c>
      <c r="U200" s="127">
        <f>N200*O200*'1. Standard_Cost'!$E$15</f>
        <v>0</v>
      </c>
      <c r="V200" s="126"/>
      <c r="W200" s="126"/>
      <c r="X200" s="126"/>
      <c r="Y200" s="127">
        <f>+V200*((X200*'1. Standard_Cost'!$B$19)+(W200*X200*'1. Standard_Cost'!$C$19))</f>
        <v>0</v>
      </c>
      <c r="Z200" s="126"/>
      <c r="AA200" s="126">
        <v>90</v>
      </c>
      <c r="AB200" s="127">
        <f>+Z200*'1. Standard_Cost'!$B$23+AA200*'1. Standard_Cost'!$C$23</f>
        <v>1710000</v>
      </c>
      <c r="AC200" s="128">
        <f>4*20*300</f>
        <v>24000</v>
      </c>
      <c r="AD200" s="129"/>
      <c r="AE200" s="127">
        <f>SUM(AD200,AC200,AB200,Y200,U200,T200,S200,R200)*'1. Standard_Cost'!$B$31</f>
        <v>346800</v>
      </c>
      <c r="AF200" s="127">
        <f>SUM(AE200,AD200,AC200,AB200,Y200,U200,T200,S200,R200)</f>
        <v>2080800</v>
      </c>
      <c r="AG200" s="126"/>
      <c r="AH200" s="126"/>
      <c r="AI200" s="126"/>
      <c r="AJ200" s="130"/>
      <c r="AK200" s="130"/>
      <c r="AL200" s="130"/>
      <c r="AM200" s="127">
        <f>AG200*'1. Standard_Cost'!$B$27+'Incremental_Cost Year 3'!AH200*'1. Standard_Cost'!$C$27+'Incremental_Cost Year 3'!AI200*'1. Standard_Cost'!$D$27+'Incremental_Cost Year 3'!AJ200+'Incremental_Cost Year 3'!AL200+AK200</f>
        <v>0</v>
      </c>
      <c r="AN200" s="127">
        <f>AM200*'1. Standard_Cost'!$C$31</f>
        <v>0</v>
      </c>
      <c r="AO200" s="130"/>
      <c r="AQ200" s="171">
        <f>L200+M200</f>
        <v>2352672</v>
      </c>
      <c r="AR200" s="171">
        <f>AF200</f>
        <v>2080800</v>
      </c>
      <c r="AS200" s="171">
        <f>AM200+AN200</f>
        <v>0</v>
      </c>
      <c r="AT200" s="171">
        <f>SUM(AQ200,AR200,AS200)</f>
        <v>4433472</v>
      </c>
      <c r="AU200" s="250">
        <f>AQ200</f>
        <v>2352672</v>
      </c>
      <c r="AV200" s="250"/>
      <c r="AW200" s="250"/>
      <c r="AX200" s="250"/>
      <c r="AY200" s="250"/>
      <c r="AZ200" s="250"/>
      <c r="BA200" s="250"/>
      <c r="BB200" s="251">
        <f t="shared" si="132"/>
        <v>-2080800</v>
      </c>
      <c r="BC200" s="169"/>
      <c r="BD200" s="169"/>
      <c r="BE200" s="169"/>
      <c r="BF200" s="169"/>
    </row>
    <row r="201" spans="1:58" ht="31.5" outlineLevel="2" x14ac:dyDescent="0.25">
      <c r="A201" s="115"/>
      <c r="B201" s="200"/>
      <c r="C201" s="201"/>
      <c r="D201" s="202"/>
      <c r="E201" s="202"/>
      <c r="F201" s="219"/>
      <c r="G201" s="313"/>
      <c r="H201" s="199" t="s">
        <v>502</v>
      </c>
      <c r="I201" s="130"/>
      <c r="J201" s="126"/>
      <c r="K201" s="126"/>
      <c r="L201" s="125" t="str">
        <f>IF(I201&lt;&gt;0,((VLOOKUP(I201,'1. Standard_Cost'!$B$4:$D$11,2)+VLOOKUP(I201,'1. Standard_Cost'!$B$4:$D$11,3))*J201*K201),"0")</f>
        <v>0</v>
      </c>
      <c r="M201" s="125">
        <f>L201*'1. Standard_Cost'!$F$4</f>
        <v>0</v>
      </c>
      <c r="N201" s="126"/>
      <c r="O201" s="126"/>
      <c r="P201" s="126"/>
      <c r="Q201" s="126"/>
      <c r="R201" s="127">
        <f>'1. Standard_Cost'!$B$15*N201*P201</f>
        <v>0</v>
      </c>
      <c r="S201" s="127">
        <f>N201*O201*P201*'1. Standard_Cost'!$C$15</f>
        <v>0</v>
      </c>
      <c r="T201" s="127">
        <f>N201*P201*Q201*'1. Standard_Cost'!$D$15</f>
        <v>0</v>
      </c>
      <c r="U201" s="127">
        <f>N201*O201*'1. Standard_Cost'!$E$15</f>
        <v>0</v>
      </c>
      <c r="V201" s="126"/>
      <c r="W201" s="126"/>
      <c r="X201" s="126"/>
      <c r="Y201" s="127">
        <f>+V201*((X201*'1. Standard_Cost'!$B$19)+(W201*X201*'1. Standard_Cost'!$C$19))</f>
        <v>0</v>
      </c>
      <c r="Z201" s="126"/>
      <c r="AA201" s="126"/>
      <c r="AB201" s="127">
        <f>+Z201*'1. Standard_Cost'!$B$23+AA201*'1. Standard_Cost'!$C$23</f>
        <v>0</v>
      </c>
      <c r="AC201" s="128"/>
      <c r="AD201" s="129"/>
      <c r="AE201" s="127">
        <f>SUM(AD201,AC201,AB201,Y201,U201,T201,S201,R201)*'1. Standard_Cost'!$B$31</f>
        <v>0</v>
      </c>
      <c r="AF201" s="127">
        <f>SUM(AE201,AD201,AC201,AB201,Y201,U201,T201,S201,R201)</f>
        <v>0</v>
      </c>
      <c r="AG201" s="126"/>
      <c r="AH201" s="126"/>
      <c r="AI201" s="126"/>
      <c r="AJ201" s="130"/>
      <c r="AK201" s="130"/>
      <c r="AL201" s="130"/>
      <c r="AM201" s="127">
        <f>AG201*'1. Standard_Cost'!$B$27+'Incremental_Cost Year 3'!AH201*'1. Standard_Cost'!$C$27+'Incremental_Cost Year 3'!AI201*'1. Standard_Cost'!$D$27+'Incremental_Cost Year 3'!AJ201+'Incremental_Cost Year 3'!AL201+AK201</f>
        <v>0</v>
      </c>
      <c r="AN201" s="127">
        <f>AM201*'1. Standard_Cost'!$C$31</f>
        <v>0</v>
      </c>
      <c r="AO201" s="130"/>
      <c r="AQ201" s="171">
        <f>L201+M201</f>
        <v>0</v>
      </c>
      <c r="AR201" s="171">
        <f>AF201</f>
        <v>0</v>
      </c>
      <c r="AS201" s="171">
        <f>AM201+AN201</f>
        <v>0</v>
      </c>
      <c r="AT201" s="171">
        <f>SUM(AQ201,AR201,AS201)</f>
        <v>0</v>
      </c>
      <c r="AU201" s="250"/>
      <c r="AV201" s="250"/>
      <c r="AW201" s="250"/>
      <c r="AX201" s="250"/>
      <c r="AY201" s="250"/>
      <c r="AZ201" s="250"/>
      <c r="BA201" s="250"/>
      <c r="BB201" s="251">
        <f t="shared" si="132"/>
        <v>0</v>
      </c>
      <c r="BC201" s="169"/>
      <c r="BD201" s="169"/>
      <c r="BE201" s="169"/>
      <c r="BF201" s="169"/>
    </row>
    <row r="202" spans="1:58" ht="47.25" outlineLevel="2" x14ac:dyDescent="0.25">
      <c r="A202" s="115"/>
      <c r="B202" s="200"/>
      <c r="C202" s="201"/>
      <c r="D202" s="202"/>
      <c r="E202" s="310"/>
      <c r="F202" s="122"/>
      <c r="G202" s="123"/>
      <c r="H202" s="199" t="s">
        <v>545</v>
      </c>
      <c r="I202" s="130"/>
      <c r="J202" s="126"/>
      <c r="K202" s="126"/>
      <c r="L202" s="125" t="str">
        <f>IF(I202&lt;&gt;0,((VLOOKUP(I202,'1. Standard_Cost'!$B$4:$D$11,2)+VLOOKUP(I202,'1. Standard_Cost'!$B$4:$D$11,3))*J202*K202),"0")</f>
        <v>0</v>
      </c>
      <c r="M202" s="125">
        <f>L202*'1. Standard_Cost'!$F$4</f>
        <v>0</v>
      </c>
      <c r="N202" s="126"/>
      <c r="O202" s="126"/>
      <c r="P202" s="126"/>
      <c r="Q202" s="126"/>
      <c r="R202" s="127">
        <f>'1. Standard_Cost'!$B$15*N202*P202</f>
        <v>0</v>
      </c>
      <c r="S202" s="127">
        <f>N202*O202*P202*'1. Standard_Cost'!$C$15</f>
        <v>0</v>
      </c>
      <c r="T202" s="127">
        <f>N202*P202*Q202*'1. Standard_Cost'!$D$15</f>
        <v>0</v>
      </c>
      <c r="U202" s="127">
        <f>N202*O202*'1. Standard_Cost'!$E$15</f>
        <v>0</v>
      </c>
      <c r="V202" s="126"/>
      <c r="W202" s="126"/>
      <c r="X202" s="126"/>
      <c r="Y202" s="127">
        <f>+V202*((X202*'1. Standard_Cost'!$B$19)+(W202*X202*'1. Standard_Cost'!$C$19))</f>
        <v>0</v>
      </c>
      <c r="Z202" s="126"/>
      <c r="AA202" s="126"/>
      <c r="AB202" s="127">
        <f>+Z202*'1. Standard_Cost'!$B$23+AA202*'1. Standard_Cost'!$C$23</f>
        <v>0</v>
      </c>
      <c r="AC202" s="128"/>
      <c r="AD202" s="129"/>
      <c r="AE202" s="127">
        <f>SUM(AD202,AC202,AB202,Y202,U202,T202,S202,R202)*'1. Standard_Cost'!$B$31</f>
        <v>0</v>
      </c>
      <c r="AF202" s="127">
        <f>SUM(AE202,AD202,AC202,AB202,Y202,U202,T202,S202,R202)</f>
        <v>0</v>
      </c>
      <c r="AG202" s="126"/>
      <c r="AH202" s="126"/>
      <c r="AI202" s="126"/>
      <c r="AJ202" s="130"/>
      <c r="AK202" s="130"/>
      <c r="AL202" s="130"/>
      <c r="AM202" s="127">
        <f>AG202*'1. Standard_Cost'!$B$27+'Incremental_Cost Year 3'!AH202*'1. Standard_Cost'!$C$27+'Incremental_Cost Year 3'!AI202*'1. Standard_Cost'!$D$27+'Incremental_Cost Year 3'!AJ202+'Incremental_Cost Year 3'!AL202+AK202</f>
        <v>0</v>
      </c>
      <c r="AN202" s="127">
        <f>AM202*'1. Standard_Cost'!$C$31</f>
        <v>0</v>
      </c>
      <c r="AO202" s="130"/>
      <c r="AQ202" s="171">
        <f>L202+M202</f>
        <v>0</v>
      </c>
      <c r="AR202" s="171">
        <f>AF202</f>
        <v>0</v>
      </c>
      <c r="AS202" s="171">
        <f>AM202+AN202</f>
        <v>0</v>
      </c>
      <c r="AT202" s="171">
        <f>SUM(AQ202,AR202,AS202)</f>
        <v>0</v>
      </c>
      <c r="AU202" s="250"/>
      <c r="AV202" s="250"/>
      <c r="AW202" s="250"/>
      <c r="AX202" s="250"/>
      <c r="AY202" s="250"/>
      <c r="AZ202" s="250"/>
      <c r="BA202" s="250"/>
      <c r="BB202" s="251">
        <f t="shared" si="132"/>
        <v>0</v>
      </c>
      <c r="BC202" s="169"/>
      <c r="BD202" s="169"/>
      <c r="BE202" s="169"/>
      <c r="BF202" s="169"/>
    </row>
    <row r="203" spans="1:58" ht="47.25" outlineLevel="1" x14ac:dyDescent="0.25">
      <c r="A203" s="115"/>
      <c r="B203" s="165"/>
      <c r="C203" s="166"/>
      <c r="D203" s="212" t="s">
        <v>240</v>
      </c>
      <c r="E203" s="212" t="s">
        <v>245</v>
      </c>
      <c r="F203" s="117">
        <v>2021</v>
      </c>
      <c r="G203" s="117">
        <v>2025</v>
      </c>
      <c r="H203" s="110" t="s">
        <v>186</v>
      </c>
      <c r="I203" s="252"/>
      <c r="J203" s="252"/>
      <c r="K203" s="252"/>
      <c r="L203" s="127">
        <f>SUM(L199:L202)</f>
        <v>5605642.8571428573</v>
      </c>
      <c r="M203" s="127">
        <f>SUM(M199:M202)</f>
        <v>936142.35714285716</v>
      </c>
      <c r="N203" s="252"/>
      <c r="O203" s="252"/>
      <c r="P203" s="252"/>
      <c r="Q203" s="252"/>
      <c r="R203" s="127">
        <f>SUM(R199:R202)</f>
        <v>0</v>
      </c>
      <c r="S203" s="127">
        <f>SUM(S199:S202)</f>
        <v>0</v>
      </c>
      <c r="T203" s="127">
        <f>SUM(T199:T202)</f>
        <v>0</v>
      </c>
      <c r="U203" s="127">
        <f>SUM(U199:U202)</f>
        <v>0</v>
      </c>
      <c r="V203" s="252"/>
      <c r="W203" s="252"/>
      <c r="X203" s="252"/>
      <c r="Y203" s="127">
        <f>SUM(Y199:Y202)</f>
        <v>0</v>
      </c>
      <c r="Z203" s="252"/>
      <c r="AA203" s="252"/>
      <c r="AB203" s="127">
        <f>SUM(AB199:AB202)</f>
        <v>1710000</v>
      </c>
      <c r="AC203" s="127">
        <f>SUM(AC199:AC202)</f>
        <v>24000</v>
      </c>
      <c r="AD203" s="127">
        <f>SUM(AD199:AD202)</f>
        <v>0</v>
      </c>
      <c r="AE203" s="127">
        <f>SUM(AE199:AE202)</f>
        <v>346800</v>
      </c>
      <c r="AF203" s="127">
        <f>SUM(AF199:AF202)</f>
        <v>2080800</v>
      </c>
      <c r="AG203" s="252"/>
      <c r="AH203" s="252"/>
      <c r="AI203" s="252"/>
      <c r="AJ203" s="127">
        <f>SUM(AJ199:AJ202)</f>
        <v>0</v>
      </c>
      <c r="AK203" s="127">
        <f>SUM(AK199:AK202)</f>
        <v>0</v>
      </c>
      <c r="AL203" s="127">
        <f>SUM(AL199:AL202)</f>
        <v>0</v>
      </c>
      <c r="AM203" s="127">
        <f>SUM(AM199:AM202)</f>
        <v>0</v>
      </c>
      <c r="AN203" s="127">
        <f>SUM(AN199:AN202)</f>
        <v>0</v>
      </c>
      <c r="AO203" s="253"/>
      <c r="AP203" s="254"/>
      <c r="AQ203" s="175">
        <f>SUM(AQ199:AQ202)</f>
        <v>6541785.2142857146</v>
      </c>
      <c r="AR203" s="175">
        <f>SUM(AR199:AR202)</f>
        <v>2080800</v>
      </c>
      <c r="AS203" s="175">
        <f>SUM(AS199:AS202)</f>
        <v>0</v>
      </c>
      <c r="AT203" s="175">
        <f>SUM(AT199:AT202)</f>
        <v>8622585.2142857146</v>
      </c>
      <c r="AU203" s="175">
        <f t="shared" ref="AU203:BB203" si="133">SUM(AU199:AU202)</f>
        <v>6541785.2142857146</v>
      </c>
      <c r="AV203" s="175">
        <f t="shared" si="133"/>
        <v>0</v>
      </c>
      <c r="AW203" s="175">
        <f t="shared" si="133"/>
        <v>0</v>
      </c>
      <c r="AX203" s="175">
        <f t="shared" si="133"/>
        <v>0</v>
      </c>
      <c r="AY203" s="175">
        <f t="shared" si="133"/>
        <v>0</v>
      </c>
      <c r="AZ203" s="175">
        <f t="shared" si="133"/>
        <v>0</v>
      </c>
      <c r="BA203" s="175">
        <f t="shared" si="133"/>
        <v>0</v>
      </c>
      <c r="BB203" s="175">
        <f t="shared" si="133"/>
        <v>-2080800</v>
      </c>
      <c r="BC203" s="169"/>
      <c r="BD203" s="169"/>
      <c r="BE203" s="169"/>
      <c r="BF203" s="169"/>
    </row>
    <row r="204" spans="1:58" ht="78.75" outlineLevel="2" x14ac:dyDescent="0.25">
      <c r="A204" s="115"/>
      <c r="B204" s="200"/>
      <c r="C204" s="201"/>
      <c r="D204" s="202"/>
      <c r="E204" s="226"/>
      <c r="F204" s="295"/>
      <c r="G204" s="296"/>
      <c r="H204" s="199" t="s">
        <v>503</v>
      </c>
      <c r="I204" s="130"/>
      <c r="J204" s="126"/>
      <c r="K204" s="126"/>
      <c r="L204" s="125" t="str">
        <f>IF(I204&lt;&gt;0,((VLOOKUP(I204,'1. Standard_Cost'!$B$4:$D$11,2)+VLOOKUP(I204,'1. Standard_Cost'!$B$4:$D$11,3))*J204*K204),"0")</f>
        <v>0</v>
      </c>
      <c r="M204" s="125">
        <f>L204*'1. Standard_Cost'!$F$4</f>
        <v>0</v>
      </c>
      <c r="N204" s="126"/>
      <c r="O204" s="126"/>
      <c r="P204" s="126"/>
      <c r="Q204" s="126"/>
      <c r="R204" s="127">
        <f>'1. Standard_Cost'!$B$15*N204*P204</f>
        <v>0</v>
      </c>
      <c r="S204" s="127">
        <f>N204*O204*P204*'1. Standard_Cost'!$C$15</f>
        <v>0</v>
      </c>
      <c r="T204" s="127">
        <f>N204*P204*Q204*'1. Standard_Cost'!$D$15</f>
        <v>0</v>
      </c>
      <c r="U204" s="127">
        <f>N204*O204*'1. Standard_Cost'!$E$15</f>
        <v>0</v>
      </c>
      <c r="V204" s="126"/>
      <c r="W204" s="126"/>
      <c r="X204" s="126"/>
      <c r="Y204" s="127">
        <f>+V204*((X204*'1. Standard_Cost'!$B$19)+(W204*X204*'1. Standard_Cost'!$C$19))</f>
        <v>0</v>
      </c>
      <c r="Z204" s="126"/>
      <c r="AA204" s="126"/>
      <c r="AB204" s="127">
        <f>+Z204*'1. Standard_Cost'!$B$23+AA204*'1. Standard_Cost'!$C$23</f>
        <v>0</v>
      </c>
      <c r="AC204" s="128"/>
      <c r="AD204" s="129"/>
      <c r="AE204" s="127">
        <f>SUM(AD204,AC204,AB204,Y204,U204,T204,S204,R204)*'1. Standard_Cost'!$B$31</f>
        <v>0</v>
      </c>
      <c r="AF204" s="127">
        <f>SUM(AE204,AD204,AC204,AB204,Y204,U204,T204,S204,R204)</f>
        <v>0</v>
      </c>
      <c r="AG204" s="126"/>
      <c r="AH204" s="126"/>
      <c r="AI204" s="126"/>
      <c r="AJ204" s="130">
        <v>13680000</v>
      </c>
      <c r="AK204" s="130"/>
      <c r="AL204" s="130"/>
      <c r="AM204" s="127">
        <f>AG204*'1. Standard_Cost'!$B$27+'Incremental_Cost Year 3'!AH204*'1. Standard_Cost'!$C$27+'Incremental_Cost Year 3'!AI204*'1. Standard_Cost'!$D$27+'Incremental_Cost Year 3'!AJ204+'Incremental_Cost Year 3'!AL204+AK204</f>
        <v>13680000</v>
      </c>
      <c r="AN204" s="127">
        <f>AM204*'1. Standard_Cost'!$C$31</f>
        <v>2052000</v>
      </c>
      <c r="AO204" s="130"/>
      <c r="AQ204" s="171">
        <f>L204+M204</f>
        <v>0</v>
      </c>
      <c r="AR204" s="171">
        <f>AF204</f>
        <v>0</v>
      </c>
      <c r="AS204" s="171">
        <f>AM204+AN204</f>
        <v>15732000</v>
      </c>
      <c r="AT204" s="171">
        <f>SUM(AQ204,AR204,AS204)</f>
        <v>15732000</v>
      </c>
      <c r="AU204" s="250">
        <f>AT204</f>
        <v>15732000</v>
      </c>
      <c r="AV204" s="250"/>
      <c r="AW204" s="250"/>
      <c r="AX204" s="250"/>
      <c r="AY204" s="250"/>
      <c r="AZ204" s="250"/>
      <c r="BA204" s="250"/>
      <c r="BB204" s="251">
        <f t="shared" ref="BB204:BB208" si="134">SUM(AU204:BA204)-AT204</f>
        <v>0</v>
      </c>
      <c r="BC204" s="169"/>
      <c r="BD204" s="169"/>
      <c r="BE204" s="169"/>
      <c r="BF204" s="169"/>
    </row>
    <row r="205" spans="1:58" ht="47.25" outlineLevel="2" x14ac:dyDescent="0.25">
      <c r="A205" s="115"/>
      <c r="B205" s="200"/>
      <c r="C205" s="201"/>
      <c r="D205" s="202"/>
      <c r="E205" s="202"/>
      <c r="F205" s="219"/>
      <c r="G205" s="313"/>
      <c r="H205" s="199" t="s">
        <v>504</v>
      </c>
      <c r="I205" s="130" t="s">
        <v>3</v>
      </c>
      <c r="J205" s="126">
        <v>12</v>
      </c>
      <c r="K205" s="126">
        <v>40</v>
      </c>
      <c r="L205" s="125">
        <f>IF(I205&lt;&gt;0,((VLOOKUP(I205,'1. Standard_Cost'!$B$4:$D$11,2)+VLOOKUP(I205,'1. Standard_Cost'!$B$4:$D$11,3))*J205*K205),"0")</f>
        <v>48384000</v>
      </c>
      <c r="M205" s="125">
        <f>L205*'1. Standard_Cost'!$F$4</f>
        <v>8080128</v>
      </c>
      <c r="N205" s="126"/>
      <c r="O205" s="126"/>
      <c r="P205" s="126"/>
      <c r="Q205" s="126"/>
      <c r="R205" s="127">
        <f>'1. Standard_Cost'!$B$15*N205*P205</f>
        <v>0</v>
      </c>
      <c r="S205" s="127">
        <f>N205*O205*P205*'1. Standard_Cost'!$C$15</f>
        <v>0</v>
      </c>
      <c r="T205" s="127">
        <f>N205*P205*Q205*'1. Standard_Cost'!$D$15</f>
        <v>0</v>
      </c>
      <c r="U205" s="127">
        <f>N205*O205*'1. Standard_Cost'!$E$15</f>
        <v>0</v>
      </c>
      <c r="V205" s="126"/>
      <c r="W205" s="126"/>
      <c r="X205" s="126"/>
      <c r="Y205" s="127">
        <f>+V205*((X205*'1. Standard_Cost'!$B$19)+(W205*X205*'1. Standard_Cost'!$C$19))</f>
        <v>0</v>
      </c>
      <c r="Z205" s="126"/>
      <c r="AA205" s="126"/>
      <c r="AB205" s="127">
        <f>+Z205*'1. Standard_Cost'!$B$23+AA205*'1. Standard_Cost'!$C$23</f>
        <v>0</v>
      </c>
      <c r="AC205" s="128">
        <v>100000000</v>
      </c>
      <c r="AD205" s="129"/>
      <c r="AE205" s="127">
        <f>SUM(AD205,AC205,AB205,Y205,U205,T205,S205,R205)*'1. Standard_Cost'!$B$31</f>
        <v>20000000</v>
      </c>
      <c r="AF205" s="127">
        <f>SUM(AE205,AD205,AC205,AB205,Y205,U205,T205,S205,R205)</f>
        <v>120000000</v>
      </c>
      <c r="AG205" s="126"/>
      <c r="AH205" s="126"/>
      <c r="AI205" s="126"/>
      <c r="AJ205" s="130"/>
      <c r="AK205" s="130"/>
      <c r="AL205" s="130"/>
      <c r="AM205" s="127">
        <f>AG205*'1. Standard_Cost'!$B$27+'Incremental_Cost Year 3'!AH205*'1. Standard_Cost'!$C$27+'Incremental_Cost Year 3'!AI205*'1. Standard_Cost'!$D$27+'Incremental_Cost Year 3'!AJ205+'Incremental_Cost Year 3'!AL205+AK205</f>
        <v>0</v>
      </c>
      <c r="AN205" s="127">
        <f>AM205*'1. Standard_Cost'!$C$31</f>
        <v>0</v>
      </c>
      <c r="AO205" s="130"/>
      <c r="AQ205" s="171">
        <f>L205+M205</f>
        <v>56464128</v>
      </c>
      <c r="AR205" s="171">
        <f>AF205</f>
        <v>120000000</v>
      </c>
      <c r="AS205" s="171">
        <f>AM205+AN205</f>
        <v>0</v>
      </c>
      <c r="AT205" s="171">
        <f>SUM(AQ205,AR205,AS205)</f>
        <v>176464128</v>
      </c>
      <c r="AU205" s="250">
        <f>AT205</f>
        <v>176464128</v>
      </c>
      <c r="AV205" s="250"/>
      <c r="AW205" s="250"/>
      <c r="AX205" s="250"/>
      <c r="AY205" s="250"/>
      <c r="AZ205" s="250"/>
      <c r="BA205" s="250"/>
      <c r="BB205" s="251">
        <f t="shared" si="134"/>
        <v>0</v>
      </c>
      <c r="BC205" s="169"/>
      <c r="BD205" s="169"/>
      <c r="BE205" s="169"/>
      <c r="BF205" s="169"/>
    </row>
    <row r="206" spans="1:58" ht="63" outlineLevel="2" x14ac:dyDescent="0.25">
      <c r="A206" s="115"/>
      <c r="B206" s="200"/>
      <c r="C206" s="201"/>
      <c r="D206" s="202"/>
      <c r="E206" s="202"/>
      <c r="F206" s="308"/>
      <c r="G206" s="309"/>
      <c r="H206" s="199" t="s">
        <v>246</v>
      </c>
      <c r="I206" s="130" t="s">
        <v>4</v>
      </c>
      <c r="J206" s="126">
        <v>2</v>
      </c>
      <c r="K206" s="126">
        <v>10</v>
      </c>
      <c r="L206" s="125">
        <f>IF(I206&lt;&gt;0,((VLOOKUP(I206,'1. Standard_Cost'!$B$4:$D$11,2)+VLOOKUP(I206,'1. Standard_Cost'!$B$4:$D$11,3))*J206*K206),"0")</f>
        <v>1615000</v>
      </c>
      <c r="M206" s="125">
        <f>L206*'1. Standard_Cost'!$F$4</f>
        <v>269705</v>
      </c>
      <c r="N206" s="126"/>
      <c r="O206" s="126"/>
      <c r="P206" s="126"/>
      <c r="Q206" s="126"/>
      <c r="R206" s="127">
        <f>'1. Standard_Cost'!$B$15*N206*P206</f>
        <v>0</v>
      </c>
      <c r="S206" s="127">
        <f>N206*O206*P206*'1. Standard_Cost'!$C$15</f>
        <v>0</v>
      </c>
      <c r="T206" s="127">
        <f>N206*P206*Q206*'1. Standard_Cost'!$D$15</f>
        <v>0</v>
      </c>
      <c r="U206" s="127">
        <f>N206*O206*'1. Standard_Cost'!$E$15</f>
        <v>0</v>
      </c>
      <c r="V206" s="126"/>
      <c r="W206" s="126"/>
      <c r="X206" s="126"/>
      <c r="Y206" s="127">
        <f>+V206*((X206*'1. Standard_Cost'!$B$19)+(W206*X206*'1. Standard_Cost'!$C$19))</f>
        <v>0</v>
      </c>
      <c r="Z206" s="126"/>
      <c r="AA206" s="126"/>
      <c r="AB206" s="127">
        <f>+Z206*'1. Standard_Cost'!$B$23+AA206*'1. Standard_Cost'!$C$23</f>
        <v>0</v>
      </c>
      <c r="AC206" s="128"/>
      <c r="AD206" s="129"/>
      <c r="AE206" s="127">
        <f>SUM(AD206,AC206,AB206,Y206,U206,T206,S206,R206)*'1. Standard_Cost'!$B$31</f>
        <v>0</v>
      </c>
      <c r="AF206" s="127">
        <f>SUM(AE206,AD206,AC206,AB206,Y206,U206,T206,S206,R206)</f>
        <v>0</v>
      </c>
      <c r="AG206" s="126"/>
      <c r="AH206" s="126"/>
      <c r="AI206" s="126"/>
      <c r="AJ206" s="130"/>
      <c r="AK206" s="130"/>
      <c r="AL206" s="130"/>
      <c r="AM206" s="127">
        <f>AG206*'1. Standard_Cost'!$B$27+'Incremental_Cost Year 3'!AH206*'1. Standard_Cost'!$C$27+'Incremental_Cost Year 3'!AI206*'1. Standard_Cost'!$D$27+'Incremental_Cost Year 3'!AJ206+'Incremental_Cost Year 3'!AL206+AK206</f>
        <v>0</v>
      </c>
      <c r="AN206" s="127">
        <f>AM206*'1. Standard_Cost'!$C$31</f>
        <v>0</v>
      </c>
      <c r="AO206" s="130"/>
      <c r="AQ206" s="171">
        <f>L206+M206</f>
        <v>1884705</v>
      </c>
      <c r="AR206" s="171">
        <f>AF206</f>
        <v>0</v>
      </c>
      <c r="AS206" s="171">
        <f>AM206+AN206</f>
        <v>0</v>
      </c>
      <c r="AT206" s="171">
        <f>SUM(AQ206,AR206,AS206)</f>
        <v>1884705</v>
      </c>
      <c r="AU206" s="250">
        <f>AT206</f>
        <v>1884705</v>
      </c>
      <c r="AV206" s="250"/>
      <c r="AW206" s="250"/>
      <c r="AX206" s="250"/>
      <c r="AY206" s="250"/>
      <c r="AZ206" s="250"/>
      <c r="BA206" s="250"/>
      <c r="BB206" s="251">
        <f t="shared" si="134"/>
        <v>0</v>
      </c>
      <c r="BC206" s="169"/>
      <c r="BD206" s="169"/>
      <c r="BE206" s="169"/>
      <c r="BF206" s="169"/>
    </row>
    <row r="207" spans="1:58" ht="63" outlineLevel="2" x14ac:dyDescent="0.25">
      <c r="A207" s="115"/>
      <c r="B207" s="200"/>
      <c r="C207" s="201"/>
      <c r="D207" s="202"/>
      <c r="E207" s="202"/>
      <c r="F207" s="308"/>
      <c r="G207" s="309"/>
      <c r="H207" s="199" t="s">
        <v>505</v>
      </c>
      <c r="I207" s="130" t="s">
        <v>4</v>
      </c>
      <c r="J207" s="126">
        <v>6</v>
      </c>
      <c r="K207" s="126">
        <f>36*5</f>
        <v>180</v>
      </c>
      <c r="L207" s="125">
        <f>IF(I207&lt;&gt;0,((VLOOKUP(I207,'1. Standard_Cost'!$B$4:$D$11,2)+VLOOKUP(I207,'1. Standard_Cost'!$B$4:$D$11,3))*J207*K207),"0")</f>
        <v>87210000</v>
      </c>
      <c r="M207" s="125">
        <f>L207*'1. Standard_Cost'!$F$4</f>
        <v>14564070</v>
      </c>
      <c r="N207" s="126"/>
      <c r="O207" s="126"/>
      <c r="P207" s="126"/>
      <c r="Q207" s="126"/>
      <c r="R207" s="127">
        <f>'1. Standard_Cost'!$B$15*N207*P207</f>
        <v>0</v>
      </c>
      <c r="S207" s="127">
        <f>N207*O207*P207*'1. Standard_Cost'!$C$15</f>
        <v>0</v>
      </c>
      <c r="T207" s="127">
        <f>N207*P207*Q207*'1. Standard_Cost'!$D$15</f>
        <v>0</v>
      </c>
      <c r="U207" s="127">
        <f>N207*O207*'1. Standard_Cost'!$E$15</f>
        <v>0</v>
      </c>
      <c r="V207" s="126"/>
      <c r="W207" s="126"/>
      <c r="X207" s="126"/>
      <c r="Y207" s="127">
        <f>+V207*((X207*'1. Standard_Cost'!$B$19)+(W207*X207*'1. Standard_Cost'!$C$19))</f>
        <v>0</v>
      </c>
      <c r="Z207" s="126"/>
      <c r="AA207" s="126"/>
      <c r="AB207" s="127">
        <f>+Z207*'1. Standard_Cost'!$B$23+AA207*'1. Standard_Cost'!$C$23</f>
        <v>0</v>
      </c>
      <c r="AC207" s="128">
        <f>3000000*36</f>
        <v>108000000</v>
      </c>
      <c r="AD207" s="129"/>
      <c r="AE207" s="127">
        <f>SUM(AD207,AC207,AB207,Y207,U207,T207,S207,R207)*'1. Standard_Cost'!$B$31</f>
        <v>21600000</v>
      </c>
      <c r="AF207" s="127">
        <f>SUM(AE207,AD207,AC207,AB207,Y207,U207,T207,S207,R207)</f>
        <v>129600000</v>
      </c>
      <c r="AG207" s="126"/>
      <c r="AH207" s="126"/>
      <c r="AI207" s="126"/>
      <c r="AJ207" s="130"/>
      <c r="AK207" s="130"/>
      <c r="AL207" s="130"/>
      <c r="AM207" s="127">
        <f>AG207*'1. Standard_Cost'!$B$27+'Incremental_Cost Year 3'!AH207*'1. Standard_Cost'!$C$27+'Incremental_Cost Year 3'!AI207*'1. Standard_Cost'!$D$27+'Incremental_Cost Year 3'!AJ207+'Incremental_Cost Year 3'!AL207+AK207</f>
        <v>0</v>
      </c>
      <c r="AN207" s="127">
        <f>AM207*'1. Standard_Cost'!$C$31</f>
        <v>0</v>
      </c>
      <c r="AO207" s="130"/>
      <c r="AQ207" s="171">
        <f>L207+M207</f>
        <v>101774070</v>
      </c>
      <c r="AR207" s="171">
        <f>AF207</f>
        <v>129600000</v>
      </c>
      <c r="AS207" s="171">
        <f>AM207+AN207</f>
        <v>0</v>
      </c>
      <c r="AT207" s="171">
        <f>SUM(AQ207,AR207,AS207)</f>
        <v>231374070</v>
      </c>
      <c r="AU207" s="250">
        <f>AT207</f>
        <v>231374070</v>
      </c>
      <c r="AV207" s="250"/>
      <c r="AW207" s="250"/>
      <c r="AX207" s="250"/>
      <c r="AY207" s="250"/>
      <c r="AZ207" s="250"/>
      <c r="BA207" s="250"/>
      <c r="BB207" s="251">
        <f t="shared" si="134"/>
        <v>0</v>
      </c>
      <c r="BC207" s="169"/>
      <c r="BD207" s="169"/>
      <c r="BE207" s="169"/>
      <c r="BF207" s="169"/>
    </row>
    <row r="208" spans="1:58" ht="63" outlineLevel="2" x14ac:dyDescent="0.25">
      <c r="A208" s="115"/>
      <c r="B208" s="200"/>
      <c r="C208" s="201"/>
      <c r="D208" s="202"/>
      <c r="E208" s="310"/>
      <c r="F208" s="311"/>
      <c r="G208" s="312"/>
      <c r="H208" s="199" t="s">
        <v>506</v>
      </c>
      <c r="I208" s="130" t="s">
        <v>3</v>
      </c>
      <c r="J208" s="126">
        <v>6</v>
      </c>
      <c r="K208" s="126">
        <v>10</v>
      </c>
      <c r="L208" s="125">
        <f>IF(I208&lt;&gt;0,((VLOOKUP(I208,'1. Standard_Cost'!$B$4:$D$11,2)+VLOOKUP(I208,'1. Standard_Cost'!$B$4:$D$11,3))*J208*K208),"0")</f>
        <v>6048000</v>
      </c>
      <c r="M208" s="125">
        <f>L208*'1. Standard_Cost'!$F$4</f>
        <v>1010016</v>
      </c>
      <c r="N208" s="126"/>
      <c r="O208" s="126"/>
      <c r="P208" s="126"/>
      <c r="Q208" s="126"/>
      <c r="R208" s="127">
        <f>'1. Standard_Cost'!$B$15*N208*P208</f>
        <v>0</v>
      </c>
      <c r="S208" s="127">
        <f>N208*O208*P208*'1. Standard_Cost'!$C$15</f>
        <v>0</v>
      </c>
      <c r="T208" s="127">
        <f>N208*P208*Q208*'1. Standard_Cost'!$D$15</f>
        <v>0</v>
      </c>
      <c r="U208" s="127">
        <f>N208*O208*'1. Standard_Cost'!$E$15</f>
        <v>0</v>
      </c>
      <c r="V208" s="126"/>
      <c r="W208" s="126"/>
      <c r="X208" s="126"/>
      <c r="Y208" s="127">
        <f>+V208*((X208*'1. Standard_Cost'!$B$19)+(W208*X208*'1. Standard_Cost'!$C$19))</f>
        <v>0</v>
      </c>
      <c r="Z208" s="126"/>
      <c r="AA208" s="126"/>
      <c r="AB208" s="127">
        <f>+Z208*'1. Standard_Cost'!$B$23+AA208*'1. Standard_Cost'!$C$23</f>
        <v>0</v>
      </c>
      <c r="AC208" s="128"/>
      <c r="AD208" s="129"/>
      <c r="AE208" s="127">
        <f>SUM(AD208,AC208,AB208,Y208,U208,T208,S208,R208)*'1. Standard_Cost'!$B$31</f>
        <v>0</v>
      </c>
      <c r="AF208" s="127">
        <f>SUM(AE208,AD208,AC208,AB208,Y208,U208,T208,S208,R208)</f>
        <v>0</v>
      </c>
      <c r="AG208" s="126"/>
      <c r="AH208" s="126"/>
      <c r="AI208" s="126"/>
      <c r="AJ208" s="130"/>
      <c r="AK208" s="130"/>
      <c r="AL208" s="130"/>
      <c r="AM208" s="127">
        <f>AG208*'1. Standard_Cost'!$B$27+'Incremental_Cost Year 3'!AH208*'1. Standard_Cost'!$C$27+'Incremental_Cost Year 3'!AI208*'1. Standard_Cost'!$D$27+'Incremental_Cost Year 3'!AJ208+'Incremental_Cost Year 3'!AL208+AK208</f>
        <v>0</v>
      </c>
      <c r="AN208" s="127">
        <f>AM208*'1. Standard_Cost'!$C$31</f>
        <v>0</v>
      </c>
      <c r="AO208" s="130"/>
      <c r="AQ208" s="171">
        <f>L208+M208</f>
        <v>7058016</v>
      </c>
      <c r="AR208" s="171">
        <f>AF208</f>
        <v>0</v>
      </c>
      <c r="AS208" s="171">
        <f>AM208+AN208</f>
        <v>0</v>
      </c>
      <c r="AT208" s="171">
        <f>SUM(AQ208,AR208,AS208)</f>
        <v>7058016</v>
      </c>
      <c r="AU208" s="250">
        <f>AT208</f>
        <v>7058016</v>
      </c>
      <c r="AV208" s="250"/>
      <c r="AW208" s="250"/>
      <c r="AX208" s="250"/>
      <c r="AY208" s="250"/>
      <c r="AZ208" s="250"/>
      <c r="BA208" s="250"/>
      <c r="BB208" s="251">
        <f t="shared" si="134"/>
        <v>0</v>
      </c>
      <c r="BC208" s="169"/>
      <c r="BD208" s="169"/>
      <c r="BE208" s="169"/>
      <c r="BF208" s="169"/>
    </row>
    <row r="209" spans="1:58" ht="63" outlineLevel="1" x14ac:dyDescent="0.25">
      <c r="A209" s="115"/>
      <c r="B209" s="165"/>
      <c r="C209" s="166"/>
      <c r="D209" s="150" t="s">
        <v>507</v>
      </c>
      <c r="E209" s="212" t="s">
        <v>247</v>
      </c>
      <c r="F209" s="311">
        <v>2021</v>
      </c>
      <c r="G209" s="312">
        <v>2025</v>
      </c>
      <c r="H209" s="110" t="s">
        <v>187</v>
      </c>
      <c r="I209" s="252"/>
      <c r="J209" s="252"/>
      <c r="K209" s="252"/>
      <c r="L209" s="127">
        <f>SUM(L204:L208)</f>
        <v>143257000</v>
      </c>
      <c r="M209" s="127">
        <f>SUM(M204:M208)</f>
        <v>23923919</v>
      </c>
      <c r="N209" s="252"/>
      <c r="O209" s="252"/>
      <c r="P209" s="252"/>
      <c r="Q209" s="252"/>
      <c r="R209" s="127">
        <f t="shared" ref="R209:U209" si="135">SUM(R204:R208)</f>
        <v>0</v>
      </c>
      <c r="S209" s="127">
        <f t="shared" si="135"/>
        <v>0</v>
      </c>
      <c r="T209" s="127">
        <f t="shared" si="135"/>
        <v>0</v>
      </c>
      <c r="U209" s="127">
        <f t="shared" si="135"/>
        <v>0</v>
      </c>
      <c r="V209" s="252"/>
      <c r="W209" s="252"/>
      <c r="X209" s="252"/>
      <c r="Y209" s="127">
        <f>SUM(Y204:Y208)</f>
        <v>0</v>
      </c>
      <c r="Z209" s="252"/>
      <c r="AA209" s="252"/>
      <c r="AB209" s="127">
        <f t="shared" ref="AB209:AF209" si="136">SUM(AB204:AB208)</f>
        <v>0</v>
      </c>
      <c r="AC209" s="127">
        <f t="shared" si="136"/>
        <v>208000000</v>
      </c>
      <c r="AD209" s="127">
        <f t="shared" si="136"/>
        <v>0</v>
      </c>
      <c r="AE209" s="127">
        <f t="shared" si="136"/>
        <v>41600000</v>
      </c>
      <c r="AF209" s="127">
        <f t="shared" si="136"/>
        <v>249600000</v>
      </c>
      <c r="AG209" s="252"/>
      <c r="AH209" s="252"/>
      <c r="AI209" s="252"/>
      <c r="AJ209" s="127">
        <f t="shared" ref="AJ209:AN209" si="137">SUM(AJ204:AJ208)</f>
        <v>13680000</v>
      </c>
      <c r="AK209" s="127">
        <f t="shared" si="137"/>
        <v>0</v>
      </c>
      <c r="AL209" s="127">
        <f t="shared" si="137"/>
        <v>0</v>
      </c>
      <c r="AM209" s="127">
        <f t="shared" si="137"/>
        <v>13680000</v>
      </c>
      <c r="AN209" s="127">
        <f t="shared" si="137"/>
        <v>2052000</v>
      </c>
      <c r="AO209" s="253"/>
      <c r="AP209" s="254"/>
      <c r="AQ209" s="127">
        <f t="shared" ref="AQ209:BB209" si="138">SUM(AQ204:AQ208)</f>
        <v>167180919</v>
      </c>
      <c r="AR209" s="127">
        <f t="shared" si="138"/>
        <v>249600000</v>
      </c>
      <c r="AS209" s="127">
        <f t="shared" si="138"/>
        <v>15732000</v>
      </c>
      <c r="AT209" s="127">
        <f t="shared" si="138"/>
        <v>432512919</v>
      </c>
      <c r="AU209" s="127">
        <f t="shared" si="138"/>
        <v>432512919</v>
      </c>
      <c r="AV209" s="127">
        <f t="shared" si="138"/>
        <v>0</v>
      </c>
      <c r="AW209" s="127">
        <f t="shared" si="138"/>
        <v>0</v>
      </c>
      <c r="AX209" s="127">
        <f t="shared" si="138"/>
        <v>0</v>
      </c>
      <c r="AY209" s="127">
        <f t="shared" si="138"/>
        <v>0</v>
      </c>
      <c r="AZ209" s="127">
        <f t="shared" si="138"/>
        <v>0</v>
      </c>
      <c r="BA209" s="127">
        <f t="shared" si="138"/>
        <v>0</v>
      </c>
      <c r="BB209" s="127">
        <f t="shared" si="138"/>
        <v>0</v>
      </c>
      <c r="BC209" s="169"/>
      <c r="BD209" s="169"/>
      <c r="BE209" s="169"/>
      <c r="BF209" s="169"/>
    </row>
    <row r="210" spans="1:58" ht="126" outlineLevel="2" x14ac:dyDescent="0.25">
      <c r="A210" s="115"/>
      <c r="B210" s="200"/>
      <c r="C210" s="201"/>
      <c r="D210" s="202"/>
      <c r="E210" s="226"/>
      <c r="F210" s="295"/>
      <c r="G210" s="296"/>
      <c r="H210" s="199" t="s">
        <v>508</v>
      </c>
      <c r="I210" s="130" t="s">
        <v>1</v>
      </c>
      <c r="J210" s="126">
        <v>0.8</v>
      </c>
      <c r="K210" s="126">
        <v>6</v>
      </c>
      <c r="L210" s="125">
        <f>IF(I210&lt;&gt;0,((VLOOKUP(I210,'1. Standard_Cost'!$B$4:$D$11,2)+VLOOKUP(I210,'1. Standard_Cost'!$B$4:$D$11,3))*J210*K210),"0")</f>
        <v>344605.71428571432</v>
      </c>
      <c r="M210" s="125">
        <f>L210*'1. Standard_Cost'!$F$4</f>
        <v>57549.154285714292</v>
      </c>
      <c r="N210" s="126">
        <v>10</v>
      </c>
      <c r="O210" s="126">
        <v>1</v>
      </c>
      <c r="P210" s="126">
        <v>20</v>
      </c>
      <c r="Q210" s="126"/>
      <c r="R210" s="127">
        <f>'1. Standard_Cost'!$B$15*N210*P210</f>
        <v>400000</v>
      </c>
      <c r="S210" s="127">
        <f>N210*O210*P210*'1. Standard_Cost'!$C$15</f>
        <v>300000</v>
      </c>
      <c r="T210" s="127">
        <f>N210*P210*Q210*'1. Standard_Cost'!$D$15</f>
        <v>0</v>
      </c>
      <c r="U210" s="127">
        <f>N210*O210*'1. Standard_Cost'!$E$15</f>
        <v>400000</v>
      </c>
      <c r="V210" s="126"/>
      <c r="W210" s="126"/>
      <c r="X210" s="126"/>
      <c r="Y210" s="127">
        <f>+V210*((X210*'1. Standard_Cost'!$B$19)+(W210*X210*'1. Standard_Cost'!$C$19))</f>
        <v>0</v>
      </c>
      <c r="Z210" s="126"/>
      <c r="AA210" s="126">
        <v>11</v>
      </c>
      <c r="AB210" s="127">
        <f>+Z210*'1. Standard_Cost'!$B$23+AA210*'1. Standard_Cost'!$C$23</f>
        <v>209000</v>
      </c>
      <c r="AC210" s="128">
        <f>200*3300</f>
        <v>660000</v>
      </c>
      <c r="AD210" s="129"/>
      <c r="AE210" s="127">
        <f>SUM(AD210,AC210,AB210,Y210,U210,T210,S210,R210)*'1. Standard_Cost'!$B$31</f>
        <v>393800</v>
      </c>
      <c r="AF210" s="127">
        <f>SUM(AE210,AD210,AC210,AB210,Y210,U210,T210,S210,R210)</f>
        <v>2362800</v>
      </c>
      <c r="AG210" s="126"/>
      <c r="AH210" s="126"/>
      <c r="AI210" s="126"/>
      <c r="AJ210" s="130"/>
      <c r="AK210" s="130"/>
      <c r="AL210" s="130"/>
      <c r="AM210" s="127">
        <f>AG210*'1. Standard_Cost'!$B$27+'Incremental_Cost Year 3'!AH210*'1. Standard_Cost'!$C$27+'Incremental_Cost Year 3'!AI210*'1. Standard_Cost'!$D$27+'Incremental_Cost Year 3'!AJ210+'Incremental_Cost Year 3'!AL210+AK210</f>
        <v>0</v>
      </c>
      <c r="AN210" s="127">
        <f>AM210*'1. Standard_Cost'!$C$31</f>
        <v>0</v>
      </c>
      <c r="AO210" s="130"/>
      <c r="AQ210" s="171">
        <f>L210+M210</f>
        <v>402154.86857142858</v>
      </c>
      <c r="AR210" s="171">
        <f>AF210</f>
        <v>2362800</v>
      </c>
      <c r="AS210" s="171">
        <f>AM210+AN210</f>
        <v>0</v>
      </c>
      <c r="AT210" s="171">
        <f>SUM(AQ210,AR210,AS210)</f>
        <v>2764954.8685714286</v>
      </c>
      <c r="AU210" s="250">
        <f>AQ210</f>
        <v>402154.86857142858</v>
      </c>
      <c r="AV210" s="250"/>
      <c r="AW210" s="250"/>
      <c r="AX210" s="250"/>
      <c r="AY210" s="250"/>
      <c r="AZ210" s="250"/>
      <c r="BA210" s="250"/>
      <c r="BB210" s="251">
        <f t="shared" ref="BB210:BB211" si="139">SUM(AU210:BA210)-AT210</f>
        <v>-2362800</v>
      </c>
      <c r="BC210" s="169"/>
      <c r="BD210" s="169"/>
      <c r="BE210" s="169"/>
      <c r="BF210" s="169"/>
    </row>
    <row r="211" spans="1:58" ht="126" outlineLevel="2" x14ac:dyDescent="0.25">
      <c r="A211" s="115"/>
      <c r="B211" s="200"/>
      <c r="C211" s="201"/>
      <c r="D211" s="202"/>
      <c r="E211" s="310"/>
      <c r="F211" s="122"/>
      <c r="G211" s="123"/>
      <c r="H211" s="199" t="s">
        <v>509</v>
      </c>
      <c r="I211" s="130" t="s">
        <v>1</v>
      </c>
      <c r="J211" s="126">
        <v>0.8</v>
      </c>
      <c r="K211" s="126">
        <v>6</v>
      </c>
      <c r="L211" s="125">
        <f>IF(I211&lt;&gt;0,((VLOOKUP(I211,'1. Standard_Cost'!$B$4:$D$11,2)+VLOOKUP(I211,'1. Standard_Cost'!$B$4:$D$11,3))*J211*K211),"0")</f>
        <v>344605.71428571432</v>
      </c>
      <c r="M211" s="125">
        <f>L211*'1. Standard_Cost'!$F$4</f>
        <v>57549.154285714292</v>
      </c>
      <c r="N211" s="126">
        <v>10</v>
      </c>
      <c r="O211" s="126">
        <v>1</v>
      </c>
      <c r="P211" s="126">
        <v>20</v>
      </c>
      <c r="Q211" s="126"/>
      <c r="R211" s="127">
        <f>'1. Standard_Cost'!$B$15*N211*P211</f>
        <v>400000</v>
      </c>
      <c r="S211" s="127">
        <f>N211*O211*P211*'1. Standard_Cost'!$C$15</f>
        <v>300000</v>
      </c>
      <c r="T211" s="127">
        <f>N211*P211*Q211*'1. Standard_Cost'!$D$15</f>
        <v>0</v>
      </c>
      <c r="U211" s="127">
        <f>N211*O211*'1. Standard_Cost'!$E$15</f>
        <v>400000</v>
      </c>
      <c r="V211" s="126"/>
      <c r="W211" s="126"/>
      <c r="X211" s="126"/>
      <c r="Y211" s="127">
        <f>+V211*((X211*'1. Standard_Cost'!$B$19)+(W211*X211*'1. Standard_Cost'!$C$19))</f>
        <v>0</v>
      </c>
      <c r="Z211" s="126"/>
      <c r="AA211" s="126">
        <v>11</v>
      </c>
      <c r="AB211" s="127">
        <f>+Z211*'1. Standard_Cost'!$B$23+AA211*'1. Standard_Cost'!$C$23</f>
        <v>209000</v>
      </c>
      <c r="AC211" s="128">
        <f>200*3300</f>
        <v>660000</v>
      </c>
      <c r="AD211" s="129"/>
      <c r="AE211" s="127">
        <f>SUM(AD211,AC211,AB211,Y211,U211,T211,S211,R211)*'1. Standard_Cost'!$B$31</f>
        <v>393800</v>
      </c>
      <c r="AF211" s="127">
        <f>SUM(AE211,AD211,AC211,AB211,Y211,U211,T211,S211,R211)</f>
        <v>2362800</v>
      </c>
      <c r="AG211" s="126"/>
      <c r="AH211" s="126"/>
      <c r="AI211" s="126"/>
      <c r="AJ211" s="130"/>
      <c r="AK211" s="130"/>
      <c r="AL211" s="130"/>
      <c r="AM211" s="127">
        <f>AG211*'1. Standard_Cost'!$B$27+'Incremental_Cost Year 3'!AH211*'1. Standard_Cost'!$C$27+'Incremental_Cost Year 3'!AI211*'1. Standard_Cost'!$D$27+'Incremental_Cost Year 3'!AJ211+'Incremental_Cost Year 3'!AL211+AK211</f>
        <v>0</v>
      </c>
      <c r="AN211" s="127">
        <f>AM211*'1. Standard_Cost'!$C$31</f>
        <v>0</v>
      </c>
      <c r="AO211" s="130"/>
      <c r="AQ211" s="171">
        <f>L211+M211</f>
        <v>402154.86857142858</v>
      </c>
      <c r="AR211" s="171">
        <f>AF211</f>
        <v>2362800</v>
      </c>
      <c r="AS211" s="171">
        <f>AM211+AN211</f>
        <v>0</v>
      </c>
      <c r="AT211" s="171">
        <f>SUM(AQ211,AR211,AS211)</f>
        <v>2764954.8685714286</v>
      </c>
      <c r="AU211" s="250">
        <f>AQ211</f>
        <v>402154.86857142858</v>
      </c>
      <c r="AV211" s="250"/>
      <c r="AW211" s="250"/>
      <c r="AX211" s="250"/>
      <c r="AY211" s="250"/>
      <c r="AZ211" s="250"/>
      <c r="BA211" s="250"/>
      <c r="BB211" s="251">
        <f t="shared" si="139"/>
        <v>-2362800</v>
      </c>
      <c r="BC211" s="169"/>
      <c r="BD211" s="169"/>
      <c r="BE211" s="169"/>
      <c r="BF211" s="169"/>
    </row>
    <row r="212" spans="1:58" ht="47.25" outlineLevel="1" x14ac:dyDescent="0.25">
      <c r="A212" s="115"/>
      <c r="B212" s="165"/>
      <c r="C212" s="166"/>
      <c r="D212" s="107" t="s">
        <v>233</v>
      </c>
      <c r="E212" s="212" t="s">
        <v>248</v>
      </c>
      <c r="F212" s="136">
        <v>2022</v>
      </c>
      <c r="G212" s="117">
        <v>2025</v>
      </c>
      <c r="H212" s="110" t="s">
        <v>188</v>
      </c>
      <c r="I212" s="252"/>
      <c r="J212" s="252"/>
      <c r="K212" s="252"/>
      <c r="L212" s="127">
        <f>SUM(L210:L211)</f>
        <v>689211.42857142864</v>
      </c>
      <c r="M212" s="127">
        <f>SUM(M210:M211)</f>
        <v>115098.30857142858</v>
      </c>
      <c r="N212" s="252"/>
      <c r="O212" s="252"/>
      <c r="P212" s="252"/>
      <c r="Q212" s="252"/>
      <c r="R212" s="127">
        <f>SUM(R210:R211)</f>
        <v>800000</v>
      </c>
      <c r="S212" s="127">
        <f>SUM(S210:S211)</f>
        <v>600000</v>
      </c>
      <c r="T212" s="127">
        <f>SUM(T210:T211)</f>
        <v>0</v>
      </c>
      <c r="U212" s="127">
        <f>SUM(U210:U211)</f>
        <v>800000</v>
      </c>
      <c r="V212" s="252"/>
      <c r="W212" s="252"/>
      <c r="X212" s="252"/>
      <c r="Y212" s="127">
        <f>SUM(Y210:Y211)</f>
        <v>0</v>
      </c>
      <c r="Z212" s="252"/>
      <c r="AA212" s="252"/>
      <c r="AB212" s="127">
        <f>SUM(AB210:AB211)</f>
        <v>418000</v>
      </c>
      <c r="AC212" s="127">
        <f>SUM(AC210:AC211)</f>
        <v>1320000</v>
      </c>
      <c r="AD212" s="127">
        <f>SUM(AD210:AD211)</f>
        <v>0</v>
      </c>
      <c r="AE212" s="127">
        <f>SUM(AE210:AE211)</f>
        <v>787600</v>
      </c>
      <c r="AF212" s="127">
        <f>SUM(AF210:AF211)</f>
        <v>4725600</v>
      </c>
      <c r="AG212" s="252"/>
      <c r="AH212" s="252"/>
      <c r="AI212" s="252"/>
      <c r="AJ212" s="127">
        <f>SUM(AJ210:AJ211)</f>
        <v>0</v>
      </c>
      <c r="AK212" s="127">
        <f>SUM(AK210:AK211)</f>
        <v>0</v>
      </c>
      <c r="AL212" s="127">
        <f>SUM(AL210:AL211)</f>
        <v>0</v>
      </c>
      <c r="AM212" s="127">
        <f>SUM(AM210:AM211)</f>
        <v>0</v>
      </c>
      <c r="AN212" s="127">
        <f>SUM(AN210:AN211)</f>
        <v>0</v>
      </c>
      <c r="AO212" s="253"/>
      <c r="AP212" s="254"/>
      <c r="AQ212" s="175">
        <f>SUM(AQ210:AQ211)</f>
        <v>804309.73714285716</v>
      </c>
      <c r="AR212" s="175">
        <f>SUM(AR210:AR211)</f>
        <v>4725600</v>
      </c>
      <c r="AS212" s="175">
        <f>SUM(AS210:AS211)</f>
        <v>0</v>
      </c>
      <c r="AT212" s="175">
        <f>SUM(AT210:AT211)</f>
        <v>5529909.7371428572</v>
      </c>
      <c r="AU212" s="175">
        <f t="shared" ref="AU212:BB212" si="140">SUM(AU210:AU211)</f>
        <v>804309.73714285716</v>
      </c>
      <c r="AV212" s="175">
        <f t="shared" si="140"/>
        <v>0</v>
      </c>
      <c r="AW212" s="175">
        <f t="shared" si="140"/>
        <v>0</v>
      </c>
      <c r="AX212" s="175">
        <f t="shared" si="140"/>
        <v>0</v>
      </c>
      <c r="AY212" s="175">
        <f t="shared" si="140"/>
        <v>0</v>
      </c>
      <c r="AZ212" s="175">
        <f t="shared" si="140"/>
        <v>0</v>
      </c>
      <c r="BA212" s="175">
        <f t="shared" si="140"/>
        <v>0</v>
      </c>
      <c r="BB212" s="175">
        <f t="shared" si="140"/>
        <v>-4725600</v>
      </c>
      <c r="BC212" s="169"/>
      <c r="BD212" s="169"/>
      <c r="BE212" s="169"/>
      <c r="BF212" s="169"/>
    </row>
    <row r="213" spans="1:58" s="184" customFormat="1" ht="15.75" customHeight="1" x14ac:dyDescent="0.25">
      <c r="A213" s="143"/>
      <c r="B213" s="332"/>
      <c r="C213" s="397" t="s">
        <v>249</v>
      </c>
      <c r="D213" s="397"/>
      <c r="E213" s="398"/>
      <c r="F213" s="291"/>
      <c r="G213" s="340"/>
      <c r="H213" s="144" t="s">
        <v>299</v>
      </c>
      <c r="I213" s="257"/>
      <c r="J213" s="257"/>
      <c r="K213" s="257"/>
      <c r="L213" s="258">
        <f>SUM(L220)</f>
        <v>842465228.57142854</v>
      </c>
      <c r="M213" s="258">
        <f>SUM(M220)</f>
        <v>140691693.17142856</v>
      </c>
      <c r="N213" s="257"/>
      <c r="O213" s="257"/>
      <c r="P213" s="257"/>
      <c r="Q213" s="257"/>
      <c r="R213" s="258">
        <f>SUM(R220)</f>
        <v>0</v>
      </c>
      <c r="S213" s="258">
        <f>SUM(S220)</f>
        <v>0</v>
      </c>
      <c r="T213" s="258">
        <f>SUM(T220)</f>
        <v>0</v>
      </c>
      <c r="U213" s="258">
        <f>SUM(U220)</f>
        <v>0</v>
      </c>
      <c r="V213" s="257"/>
      <c r="W213" s="257"/>
      <c r="X213" s="257"/>
      <c r="Y213" s="258">
        <f>SUM(Y220)</f>
        <v>0</v>
      </c>
      <c r="Z213" s="258"/>
      <c r="AA213" s="258"/>
      <c r="AB213" s="258">
        <f>SUM(AB220)</f>
        <v>0</v>
      </c>
      <c r="AC213" s="258">
        <f>SUM(AC220)</f>
        <v>1442163000</v>
      </c>
      <c r="AD213" s="258">
        <f>SUM(AD220)</f>
        <v>0</v>
      </c>
      <c r="AE213" s="258">
        <f>SUM(AE220)</f>
        <v>0</v>
      </c>
      <c r="AF213" s="258">
        <f>SUM(AF220)</f>
        <v>1442163000</v>
      </c>
      <c r="AG213" s="257"/>
      <c r="AH213" s="257"/>
      <c r="AI213" s="257"/>
      <c r="AJ213" s="258">
        <f>SUM(AJ220)</f>
        <v>125000000</v>
      </c>
      <c r="AK213" s="258">
        <f>SUM(AK220)</f>
        <v>0</v>
      </c>
      <c r="AL213" s="258">
        <f>SUM(AL220)</f>
        <v>0</v>
      </c>
      <c r="AM213" s="258">
        <f>SUM(AM220)</f>
        <v>125000000</v>
      </c>
      <c r="AN213" s="258">
        <f>SUM(AN220)</f>
        <v>18750000</v>
      </c>
      <c r="AO213" s="259"/>
      <c r="AP213" s="260"/>
      <c r="AQ213" s="261">
        <f>SUM(AQ220)</f>
        <v>983156921.7428571</v>
      </c>
      <c r="AR213" s="261">
        <f>SUM(AR220)</f>
        <v>1442163000</v>
      </c>
      <c r="AS213" s="261">
        <f>SUM(AS220)</f>
        <v>143750000</v>
      </c>
      <c r="AT213" s="261">
        <f>SUM(AT220)</f>
        <v>2569069921.7428575</v>
      </c>
      <c r="AU213" s="261">
        <f t="shared" ref="AU213:BB213" si="141">SUM(AU220)</f>
        <v>2569069921.7428575</v>
      </c>
      <c r="AV213" s="261">
        <f t="shared" si="141"/>
        <v>0</v>
      </c>
      <c r="AW213" s="261">
        <f t="shared" si="141"/>
        <v>0</v>
      </c>
      <c r="AX213" s="261">
        <f t="shared" si="141"/>
        <v>0</v>
      </c>
      <c r="AY213" s="261">
        <f t="shared" si="141"/>
        <v>0</v>
      </c>
      <c r="AZ213" s="261">
        <f t="shared" si="141"/>
        <v>0</v>
      </c>
      <c r="BA213" s="261">
        <f t="shared" si="141"/>
        <v>0</v>
      </c>
      <c r="BB213" s="261">
        <f t="shared" si="141"/>
        <v>0</v>
      </c>
    </row>
    <row r="214" spans="1:58" ht="31.5" outlineLevel="2" x14ac:dyDescent="0.25">
      <c r="A214" s="115"/>
      <c r="B214" s="200"/>
      <c r="C214" s="201"/>
      <c r="D214" s="210"/>
      <c r="E214" s="328"/>
      <c r="F214" s="328"/>
      <c r="G214" s="328"/>
      <c r="H214" s="199" t="s">
        <v>510</v>
      </c>
      <c r="I214" s="130"/>
      <c r="J214" s="126"/>
      <c r="K214" s="126"/>
      <c r="L214" s="125" t="str">
        <f>IF(I214&lt;&gt;0,((VLOOKUP(I214,'1. Standard_Cost'!$B$4:$D$11,2)+VLOOKUP(I214,'1. Standard_Cost'!$B$4:$D$11,3))*J214*K214),"0")</f>
        <v>0</v>
      </c>
      <c r="M214" s="125">
        <f>L214*'1. Standard_Cost'!$F$4</f>
        <v>0</v>
      </c>
      <c r="N214" s="126"/>
      <c r="O214" s="126"/>
      <c r="P214" s="126"/>
      <c r="Q214" s="126"/>
      <c r="R214" s="127">
        <f>'1. Standard_Cost'!$B$15*N214*P214</f>
        <v>0</v>
      </c>
      <c r="S214" s="127">
        <f>N214*O214*P214*'1. Standard_Cost'!$C$15</f>
        <v>0</v>
      </c>
      <c r="T214" s="127">
        <f>N214*P214*Q214*'1. Standard_Cost'!$D$15</f>
        <v>0</v>
      </c>
      <c r="U214" s="127">
        <f>N214*O214*'1. Standard_Cost'!$E$15</f>
        <v>0</v>
      </c>
      <c r="V214" s="126"/>
      <c r="W214" s="126"/>
      <c r="X214" s="126"/>
      <c r="Y214" s="127">
        <f>+V214*((X214*'1. Standard_Cost'!$B$19)+(W214*X214*'1. Standard_Cost'!$C$19))</f>
        <v>0</v>
      </c>
      <c r="Z214" s="126"/>
      <c r="AA214" s="126"/>
      <c r="AB214" s="127">
        <f>+Z214*'1. Standard_Cost'!$B$23+AA214*'1. Standard_Cost'!$C$23</f>
        <v>0</v>
      </c>
      <c r="AC214" s="128"/>
      <c r="AD214" s="129"/>
      <c r="AE214" s="127">
        <f>SUM(AD214,AC214,AB214,Y214,U214,T214,S214,R214)*'1. Standard_Cost'!$B$31</f>
        <v>0</v>
      </c>
      <c r="AF214" s="127">
        <f t="shared" ref="AF214:AF219" si="142">SUM(AE214,AD214,AC214,AB214,Y214,U214,T214,S214,R214)</f>
        <v>0</v>
      </c>
      <c r="AG214" s="126"/>
      <c r="AH214" s="126"/>
      <c r="AI214" s="126"/>
      <c r="AJ214" s="130"/>
      <c r="AK214" s="130"/>
      <c r="AL214" s="130"/>
      <c r="AM214" s="127">
        <f>AG214*'1. Standard_Cost'!$B$27+'Incremental_Cost Year 3'!AH214*'1. Standard_Cost'!$C$27+'Incremental_Cost Year 3'!AI214*'1. Standard_Cost'!$D$27+'Incremental_Cost Year 3'!AJ214+'Incremental_Cost Year 3'!AL214+AK214</f>
        <v>0</v>
      </c>
      <c r="AN214" s="127">
        <f>AM214*'1. Standard_Cost'!$C$31</f>
        <v>0</v>
      </c>
      <c r="AO214" s="130"/>
      <c r="AQ214" s="171">
        <f t="shared" ref="AQ214:AQ219" si="143">L214+M214</f>
        <v>0</v>
      </c>
      <c r="AR214" s="171">
        <f t="shared" ref="AR214:AR219" si="144">AF214</f>
        <v>0</v>
      </c>
      <c r="AS214" s="171">
        <f t="shared" ref="AS214:AS219" si="145">AM214+AN214</f>
        <v>0</v>
      </c>
      <c r="AT214" s="171">
        <f t="shared" ref="AT214:AT219" si="146">SUM(AQ214,AR214,AS214)</f>
        <v>0</v>
      </c>
      <c r="AU214" s="250"/>
      <c r="AV214" s="250"/>
      <c r="AW214" s="250"/>
      <c r="AX214" s="250"/>
      <c r="AY214" s="250"/>
      <c r="AZ214" s="250"/>
      <c r="BA214" s="250"/>
      <c r="BB214" s="251">
        <f t="shared" ref="BB214:BB219" si="147">SUM(AU214:BA214)-AT214</f>
        <v>0</v>
      </c>
      <c r="BC214" s="169"/>
      <c r="BD214" s="169"/>
      <c r="BE214" s="169"/>
      <c r="BF214" s="169"/>
    </row>
    <row r="215" spans="1:58" ht="47.25" outlineLevel="2" x14ac:dyDescent="0.25">
      <c r="A215" s="115"/>
      <c r="B215" s="200"/>
      <c r="C215" s="201"/>
      <c r="D215" s="203"/>
      <c r="E215" s="328"/>
      <c r="F215" s="328"/>
      <c r="G215" s="328"/>
      <c r="H215" s="199" t="s">
        <v>511</v>
      </c>
      <c r="I215" s="130"/>
      <c r="J215" s="126"/>
      <c r="K215" s="126"/>
      <c r="L215" s="125" t="str">
        <f>IF(I215&lt;&gt;0,((VLOOKUP(I215,'1. Standard_Cost'!$B$4:$D$11,2)+VLOOKUP(I215,'1. Standard_Cost'!$B$4:$D$11,3))*J215*K215),"0")</f>
        <v>0</v>
      </c>
      <c r="M215" s="125">
        <f>L215*'1. Standard_Cost'!$F$4</f>
        <v>0</v>
      </c>
      <c r="N215" s="126"/>
      <c r="O215" s="126"/>
      <c r="P215" s="126"/>
      <c r="Q215" s="126"/>
      <c r="R215" s="127">
        <f>'1. Standard_Cost'!$B$15*N215*P215</f>
        <v>0</v>
      </c>
      <c r="S215" s="127">
        <f>N215*O215*P215*'1. Standard_Cost'!$C$15</f>
        <v>0</v>
      </c>
      <c r="T215" s="127">
        <f>N215*P215*Q215*'1. Standard_Cost'!$D$15</f>
        <v>0</v>
      </c>
      <c r="U215" s="127">
        <f>N215*O215*'1. Standard_Cost'!$E$15</f>
        <v>0</v>
      </c>
      <c r="V215" s="126"/>
      <c r="W215" s="126"/>
      <c r="X215" s="126"/>
      <c r="Y215" s="127">
        <f>+V215*((X215*'1. Standard_Cost'!$B$19)+(W215*X215*'1. Standard_Cost'!$C$19))</f>
        <v>0</v>
      </c>
      <c r="Z215" s="126"/>
      <c r="AA215" s="126"/>
      <c r="AB215" s="127">
        <f>+Z215*'1. Standard_Cost'!$B$23+AA215*'1. Standard_Cost'!$C$23</f>
        <v>0</v>
      </c>
      <c r="AC215" s="128"/>
      <c r="AD215" s="129"/>
      <c r="AE215" s="127">
        <f>SUM(AD215,AC215,AB215,Y215,U215,T215,S215,R215)*'1. Standard_Cost'!$B$31</f>
        <v>0</v>
      </c>
      <c r="AF215" s="127">
        <f t="shared" si="142"/>
        <v>0</v>
      </c>
      <c r="AG215" s="126"/>
      <c r="AH215" s="126"/>
      <c r="AI215" s="126"/>
      <c r="AJ215" s="130"/>
      <c r="AK215" s="130"/>
      <c r="AL215" s="130"/>
      <c r="AM215" s="127">
        <f>AG215*'1. Standard_Cost'!$B$27+'Incremental_Cost Year 3'!AH215*'1. Standard_Cost'!$C$27+'Incremental_Cost Year 3'!AI215*'1. Standard_Cost'!$D$27+'Incremental_Cost Year 3'!AJ215+'Incremental_Cost Year 3'!AL215+AK215</f>
        <v>0</v>
      </c>
      <c r="AN215" s="127">
        <f>AM215*'1. Standard_Cost'!$C$31</f>
        <v>0</v>
      </c>
      <c r="AO215" s="130"/>
      <c r="AQ215" s="171">
        <f t="shared" si="143"/>
        <v>0</v>
      </c>
      <c r="AR215" s="171">
        <f t="shared" si="144"/>
        <v>0</v>
      </c>
      <c r="AS215" s="171">
        <f t="shared" si="145"/>
        <v>0</v>
      </c>
      <c r="AT215" s="171">
        <f t="shared" si="146"/>
        <v>0</v>
      </c>
      <c r="AU215" s="250"/>
      <c r="AV215" s="250"/>
      <c r="AW215" s="250"/>
      <c r="AX215" s="250"/>
      <c r="AY215" s="250"/>
      <c r="AZ215" s="250"/>
      <c r="BA215" s="250"/>
      <c r="BB215" s="251">
        <f t="shared" si="147"/>
        <v>0</v>
      </c>
      <c r="BC215" s="169"/>
      <c r="BD215" s="169"/>
      <c r="BE215" s="169"/>
      <c r="BF215" s="169"/>
    </row>
    <row r="216" spans="1:58" ht="78.75" outlineLevel="2" x14ac:dyDescent="0.25">
      <c r="A216" s="115"/>
      <c r="B216" s="200"/>
      <c r="C216" s="201"/>
      <c r="D216" s="203"/>
      <c r="E216" s="328"/>
      <c r="F216" s="328"/>
      <c r="G216" s="328"/>
      <c r="H216" s="199" t="s">
        <v>512</v>
      </c>
      <c r="I216" s="130"/>
      <c r="J216" s="126"/>
      <c r="K216" s="126"/>
      <c r="L216" s="125" t="str">
        <f>IF(I216&lt;&gt;0,((VLOOKUP(I216,'1. Standard_Cost'!$B$4:$D$11,2)+VLOOKUP(I216,'1. Standard_Cost'!$B$4:$D$11,3))*J216*K216),"0")</f>
        <v>0</v>
      </c>
      <c r="M216" s="125">
        <f>L216*'1. Standard_Cost'!$F$4</f>
        <v>0</v>
      </c>
      <c r="N216" s="126"/>
      <c r="O216" s="126"/>
      <c r="P216" s="126"/>
      <c r="Q216" s="126"/>
      <c r="R216" s="127">
        <f>'1. Standard_Cost'!$B$15*N216*P216</f>
        <v>0</v>
      </c>
      <c r="S216" s="127">
        <f>N216*O216*P216*'1. Standard_Cost'!$C$15</f>
        <v>0</v>
      </c>
      <c r="T216" s="127">
        <f>N216*P216*Q216*'1. Standard_Cost'!$D$15</f>
        <v>0</v>
      </c>
      <c r="U216" s="127">
        <f>N216*O216*'1. Standard_Cost'!$E$15</f>
        <v>0</v>
      </c>
      <c r="V216" s="126"/>
      <c r="W216" s="126"/>
      <c r="X216" s="126"/>
      <c r="Y216" s="127">
        <f>+V216*((X216*'1. Standard_Cost'!$B$19)+(W216*X216*'1. Standard_Cost'!$C$19))</f>
        <v>0</v>
      </c>
      <c r="Z216" s="126"/>
      <c r="AA216" s="126"/>
      <c r="AB216" s="127">
        <f>+Z216*'1. Standard_Cost'!$B$23+AA216*'1. Standard_Cost'!$C$23</f>
        <v>0</v>
      </c>
      <c r="AC216" s="128"/>
      <c r="AD216" s="129"/>
      <c r="AE216" s="127">
        <f>SUM(AD216,AC216,AB216,Y216,U216,T216,S216,R216)*'1. Standard_Cost'!$B$31</f>
        <v>0</v>
      </c>
      <c r="AF216" s="127">
        <f t="shared" si="142"/>
        <v>0</v>
      </c>
      <c r="AG216" s="126"/>
      <c r="AH216" s="126"/>
      <c r="AI216" s="126"/>
      <c r="AJ216" s="130">
        <v>125000000</v>
      </c>
      <c r="AK216" s="130"/>
      <c r="AL216" s="130"/>
      <c r="AM216" s="127">
        <f>AG216*'1. Standard_Cost'!$B$27+'Incremental_Cost Year 3'!AH216*'1. Standard_Cost'!$C$27+'Incremental_Cost Year 3'!AI216*'1. Standard_Cost'!$D$27+'Incremental_Cost Year 3'!AJ216+'Incremental_Cost Year 3'!AL216+AK216</f>
        <v>125000000</v>
      </c>
      <c r="AN216" s="127">
        <f>AM216*'1. Standard_Cost'!$C$31</f>
        <v>18750000</v>
      </c>
      <c r="AO216" s="130"/>
      <c r="AQ216" s="171">
        <f t="shared" si="143"/>
        <v>0</v>
      </c>
      <c r="AR216" s="171">
        <f t="shared" si="144"/>
        <v>0</v>
      </c>
      <c r="AS216" s="171">
        <f t="shared" si="145"/>
        <v>143750000</v>
      </c>
      <c r="AT216" s="171">
        <f t="shared" si="146"/>
        <v>143750000</v>
      </c>
      <c r="AU216" s="250">
        <f>AT216</f>
        <v>143750000</v>
      </c>
      <c r="AV216" s="250"/>
      <c r="AW216" s="250"/>
      <c r="AX216" s="250"/>
      <c r="AY216" s="250"/>
      <c r="AZ216" s="250"/>
      <c r="BA216" s="250"/>
      <c r="BB216" s="251">
        <f t="shared" si="147"/>
        <v>0</v>
      </c>
      <c r="BC216" s="169"/>
      <c r="BD216" s="169"/>
      <c r="BE216" s="169"/>
      <c r="BF216" s="169"/>
    </row>
    <row r="217" spans="1:58" ht="47.25" outlineLevel="2" x14ac:dyDescent="0.25">
      <c r="A217" s="115"/>
      <c r="B217" s="200"/>
      <c r="C217" s="201"/>
      <c r="D217" s="203"/>
      <c r="E217" s="328"/>
      <c r="F217" s="328"/>
      <c r="G217" s="328"/>
      <c r="H217" s="213" t="s">
        <v>250</v>
      </c>
      <c r="I217" s="130" t="s">
        <v>1</v>
      </c>
      <c r="J217" s="126">
        <v>12</v>
      </c>
      <c r="K217" s="126">
        <v>824</v>
      </c>
      <c r="L217" s="125">
        <f>IF(I217&lt;&gt;0,((VLOOKUP(I217,'1. Standard_Cost'!$B$4:$D$11,2)+VLOOKUP(I217,'1. Standard_Cost'!$B$4:$D$11,3))*J217*K217),"0")</f>
        <v>709887771.42857134</v>
      </c>
      <c r="M217" s="125">
        <f>L217*'1. Standard_Cost'!$F$4</f>
        <v>118551257.82857142</v>
      </c>
      <c r="N217" s="126"/>
      <c r="O217" s="126"/>
      <c r="P217" s="126"/>
      <c r="Q217" s="126"/>
      <c r="R217" s="127">
        <f>'1. Standard_Cost'!$B$15*N217*P217</f>
        <v>0</v>
      </c>
      <c r="S217" s="127">
        <f>N217*O217*P217*'1. Standard_Cost'!$C$15</f>
        <v>0</v>
      </c>
      <c r="T217" s="127">
        <f>N217*P217*Q217*'1. Standard_Cost'!$D$15</f>
        <v>0</v>
      </c>
      <c r="U217" s="127">
        <f>N217*O217*'1. Standard_Cost'!$E$15</f>
        <v>0</v>
      </c>
      <c r="V217" s="126"/>
      <c r="W217" s="126"/>
      <c r="X217" s="126"/>
      <c r="Y217" s="127">
        <f>+V217*((X217*'1. Standard_Cost'!$B$19)+(W217*X217*'1. Standard_Cost'!$C$19))</f>
        <v>0</v>
      </c>
      <c r="Z217" s="126"/>
      <c r="AA217" s="126"/>
      <c r="AB217" s="127">
        <f>+Z217*'1. Standard_Cost'!$B$23+AA217*'1. Standard_Cost'!$C$23</f>
        <v>0</v>
      </c>
      <c r="AC217" s="128">
        <f>230000000+250000000*2</f>
        <v>730000000</v>
      </c>
      <c r="AD217" s="129"/>
      <c r="AE217" s="127"/>
      <c r="AF217" s="127">
        <f t="shared" si="142"/>
        <v>730000000</v>
      </c>
      <c r="AG217" s="126"/>
      <c r="AH217" s="126"/>
      <c r="AI217" s="126"/>
      <c r="AJ217" s="130"/>
      <c r="AK217" s="130"/>
      <c r="AL217" s="130"/>
      <c r="AM217" s="127">
        <f>AG217*'1. Standard_Cost'!$B$27+'Incremental_Cost Year 3'!AH217*'1. Standard_Cost'!$C$27+'Incremental_Cost Year 3'!AI217*'1. Standard_Cost'!$D$27+'Incremental_Cost Year 3'!AJ217+'Incremental_Cost Year 3'!AL217+AK217</f>
        <v>0</v>
      </c>
      <c r="AN217" s="127">
        <f>AM217*'1. Standard_Cost'!$C$31</f>
        <v>0</v>
      </c>
      <c r="AO217" s="130"/>
      <c r="AQ217" s="171">
        <f t="shared" si="143"/>
        <v>828439029.25714278</v>
      </c>
      <c r="AR217" s="171">
        <f t="shared" si="144"/>
        <v>730000000</v>
      </c>
      <c r="AS217" s="171">
        <f t="shared" si="145"/>
        <v>0</v>
      </c>
      <c r="AT217" s="171">
        <f t="shared" si="146"/>
        <v>1558439029.2571428</v>
      </c>
      <c r="AU217" s="250">
        <f>AT217</f>
        <v>1558439029.2571428</v>
      </c>
      <c r="AV217" s="250"/>
      <c r="AW217" s="250"/>
      <c r="AX217" s="250"/>
      <c r="AY217" s="250"/>
      <c r="AZ217" s="250"/>
      <c r="BA217" s="250"/>
      <c r="BB217" s="251">
        <f t="shared" si="147"/>
        <v>0</v>
      </c>
      <c r="BC217" s="169"/>
      <c r="BD217" s="169"/>
      <c r="BE217" s="169"/>
      <c r="BF217" s="169"/>
    </row>
    <row r="218" spans="1:58" ht="47.25" outlineLevel="2" x14ac:dyDescent="0.25">
      <c r="A218" s="115"/>
      <c r="B218" s="200"/>
      <c r="C218" s="201"/>
      <c r="D218" s="203"/>
      <c r="E218" s="328"/>
      <c r="F218" s="328"/>
      <c r="G218" s="328"/>
      <c r="H218" s="213" t="s">
        <v>513</v>
      </c>
      <c r="I218" s="130" t="s">
        <v>1</v>
      </c>
      <c r="J218" s="126">
        <v>12</v>
      </c>
      <c r="K218" s="126">
        <v>123</v>
      </c>
      <c r="L218" s="125">
        <f>IF(I218&lt;&gt;0,((VLOOKUP(I218,'1. Standard_Cost'!$B$4:$D$11,2)+VLOOKUP(I218,'1. Standard_Cost'!$B$4:$D$11,3))*J218*K218),"0")</f>
        <v>105966257.14285713</v>
      </c>
      <c r="M218" s="125">
        <f>L218*'1. Standard_Cost'!$F$4</f>
        <v>17696364.942857143</v>
      </c>
      <c r="N218" s="126"/>
      <c r="O218" s="126"/>
      <c r="P218" s="126"/>
      <c r="Q218" s="126"/>
      <c r="R218" s="127">
        <f>'1. Standard_Cost'!$B$15*N218*P218</f>
        <v>0</v>
      </c>
      <c r="S218" s="127">
        <f>N218*O218*P218*'1. Standard_Cost'!$C$15</f>
        <v>0</v>
      </c>
      <c r="T218" s="127">
        <f>N218*P218*Q218*'1. Standard_Cost'!$D$15</f>
        <v>0</v>
      </c>
      <c r="U218" s="127">
        <f>N218*O218*'1. Standard_Cost'!$E$15</f>
        <v>0</v>
      </c>
      <c r="V218" s="126"/>
      <c r="W218" s="126"/>
      <c r="X218" s="126"/>
      <c r="Y218" s="127">
        <f>+V218*((X218*'1. Standard_Cost'!$B$19)+(W218*X218*'1. Standard_Cost'!$C$19))</f>
        <v>0</v>
      </c>
      <c r="Z218" s="126"/>
      <c r="AA218" s="126"/>
      <c r="AB218" s="127">
        <f>+Z218*'1. Standard_Cost'!$B$23+AA218*'1. Standard_Cost'!$C$23</f>
        <v>0</v>
      </c>
      <c r="AC218" s="128">
        <f>220000000*3</f>
        <v>660000000</v>
      </c>
      <c r="AD218" s="129"/>
      <c r="AE218" s="127"/>
      <c r="AF218" s="127">
        <f t="shared" si="142"/>
        <v>660000000</v>
      </c>
      <c r="AG218" s="126"/>
      <c r="AH218" s="126"/>
      <c r="AI218" s="126"/>
      <c r="AJ218" s="130"/>
      <c r="AK218" s="130"/>
      <c r="AL218" s="130"/>
      <c r="AM218" s="127">
        <f>AG218*'1. Standard_Cost'!$B$27+'Incremental_Cost Year 3'!AH218*'1. Standard_Cost'!$C$27+'Incremental_Cost Year 3'!AI218*'1. Standard_Cost'!$D$27+'Incremental_Cost Year 3'!AJ218+'Incremental_Cost Year 3'!AL218+AK218</f>
        <v>0</v>
      </c>
      <c r="AN218" s="127">
        <f>AM218*'1. Standard_Cost'!$C$31</f>
        <v>0</v>
      </c>
      <c r="AO218" s="130"/>
      <c r="AQ218" s="171">
        <f t="shared" si="143"/>
        <v>123662622.08571428</v>
      </c>
      <c r="AR218" s="171">
        <f t="shared" si="144"/>
        <v>660000000</v>
      </c>
      <c r="AS218" s="171">
        <f t="shared" si="145"/>
        <v>0</v>
      </c>
      <c r="AT218" s="171">
        <f t="shared" si="146"/>
        <v>783662622.08571434</v>
      </c>
      <c r="AU218" s="250">
        <f>AT218</f>
        <v>783662622.08571434</v>
      </c>
      <c r="AV218" s="250"/>
      <c r="AW218" s="250"/>
      <c r="AX218" s="250"/>
      <c r="AY218" s="250"/>
      <c r="AZ218" s="250"/>
      <c r="BA218" s="250"/>
      <c r="BB218" s="251">
        <f t="shared" si="147"/>
        <v>0</v>
      </c>
      <c r="BC218" s="169"/>
      <c r="BD218" s="169"/>
      <c r="BE218" s="169"/>
      <c r="BF218" s="169"/>
    </row>
    <row r="219" spans="1:58" ht="63" outlineLevel="2" x14ac:dyDescent="0.25">
      <c r="A219" s="115"/>
      <c r="B219" s="200"/>
      <c r="C219" s="201"/>
      <c r="D219" s="203"/>
      <c r="E219" s="328"/>
      <c r="F219" s="328"/>
      <c r="G219" s="328"/>
      <c r="H219" s="199" t="s">
        <v>514</v>
      </c>
      <c r="I219" s="130" t="s">
        <v>3</v>
      </c>
      <c r="J219" s="126">
        <v>3</v>
      </c>
      <c r="K219" s="126">
        <v>88</v>
      </c>
      <c r="L219" s="125">
        <f>IF(I219&lt;&gt;0,((VLOOKUP(I219,'1. Standard_Cost'!$B$4:$D$11,2)+VLOOKUP(I219,'1. Standard_Cost'!$B$4:$D$11,3))*J219*K219),"0")</f>
        <v>26611200</v>
      </c>
      <c r="M219" s="125">
        <f>L219*'1. Standard_Cost'!$F$4</f>
        <v>4444070.4000000004</v>
      </c>
      <c r="N219" s="126"/>
      <c r="O219" s="126"/>
      <c r="P219" s="126"/>
      <c r="Q219" s="126"/>
      <c r="R219" s="127">
        <f>'1. Standard_Cost'!$B$15*N219*P219</f>
        <v>0</v>
      </c>
      <c r="S219" s="127">
        <f>N219*O219*P219*'1. Standard_Cost'!$C$15</f>
        <v>0</v>
      </c>
      <c r="T219" s="127">
        <f>N219*P219*Q219*'1. Standard_Cost'!$D$15</f>
        <v>0</v>
      </c>
      <c r="U219" s="127">
        <f>N219*O219*'1. Standard_Cost'!$E$15</f>
        <v>0</v>
      </c>
      <c r="V219" s="126"/>
      <c r="W219" s="126"/>
      <c r="X219" s="126"/>
      <c r="Y219" s="127">
        <f>+V219*((X219*'1. Standard_Cost'!$B$19)+(W219*X219*'1. Standard_Cost'!$C$19))</f>
        <v>0</v>
      </c>
      <c r="Z219" s="126"/>
      <c r="AA219" s="126"/>
      <c r="AB219" s="127">
        <f>+Z219*'1. Standard_Cost'!$B$23+AA219*'1. Standard_Cost'!$C$23</f>
        <v>0</v>
      </c>
      <c r="AC219" s="128">
        <v>52163000</v>
      </c>
      <c r="AD219" s="129"/>
      <c r="AE219" s="127"/>
      <c r="AF219" s="127">
        <f t="shared" si="142"/>
        <v>52163000</v>
      </c>
      <c r="AG219" s="126"/>
      <c r="AH219" s="126"/>
      <c r="AI219" s="126"/>
      <c r="AJ219" s="130"/>
      <c r="AK219" s="130"/>
      <c r="AL219" s="130"/>
      <c r="AM219" s="127">
        <f>AG219*'1. Standard_Cost'!$B$27+'Incremental_Cost Year 3'!AH219*'1. Standard_Cost'!$C$27+'Incremental_Cost Year 3'!AI219*'1. Standard_Cost'!$D$27+'Incremental_Cost Year 3'!AJ219+'Incremental_Cost Year 3'!AL219+AK219</f>
        <v>0</v>
      </c>
      <c r="AN219" s="127">
        <f>AM219*'1. Standard_Cost'!$C$31</f>
        <v>0</v>
      </c>
      <c r="AO219" s="130"/>
      <c r="AQ219" s="171">
        <f t="shared" si="143"/>
        <v>31055270.399999999</v>
      </c>
      <c r="AR219" s="171">
        <f t="shared" si="144"/>
        <v>52163000</v>
      </c>
      <c r="AS219" s="171">
        <f t="shared" si="145"/>
        <v>0</v>
      </c>
      <c r="AT219" s="171">
        <f t="shared" si="146"/>
        <v>83218270.400000006</v>
      </c>
      <c r="AU219" s="250">
        <f>AT219</f>
        <v>83218270.400000006</v>
      </c>
      <c r="AV219" s="250"/>
      <c r="AW219" s="250"/>
      <c r="AX219" s="250"/>
      <c r="AY219" s="250"/>
      <c r="AZ219" s="250"/>
      <c r="BA219" s="250"/>
      <c r="BB219" s="251">
        <f t="shared" si="147"/>
        <v>0</v>
      </c>
      <c r="BC219" s="169"/>
      <c r="BD219" s="169"/>
      <c r="BE219" s="169"/>
      <c r="BF219" s="169"/>
    </row>
    <row r="220" spans="1:58" ht="78.75" outlineLevel="1" x14ac:dyDescent="0.25">
      <c r="A220" s="115"/>
      <c r="B220" s="165"/>
      <c r="C220" s="166"/>
      <c r="D220" s="139" t="s">
        <v>557</v>
      </c>
      <c r="E220" s="212" t="s">
        <v>251</v>
      </c>
      <c r="F220" s="352">
        <v>2021</v>
      </c>
      <c r="G220" s="353">
        <v>2030</v>
      </c>
      <c r="H220" s="150" t="s">
        <v>252</v>
      </c>
      <c r="I220" s="252"/>
      <c r="J220" s="252"/>
      <c r="K220" s="252"/>
      <c r="L220" s="127">
        <f>SUM(L214:L219)</f>
        <v>842465228.57142854</v>
      </c>
      <c r="M220" s="127">
        <f>SUM(M214:M219)</f>
        <v>140691693.17142856</v>
      </c>
      <c r="N220" s="252"/>
      <c r="O220" s="252"/>
      <c r="P220" s="252"/>
      <c r="Q220" s="252"/>
      <c r="R220" s="127">
        <f>SUM(R214:R219)</f>
        <v>0</v>
      </c>
      <c r="S220" s="127">
        <f>SUM(S214:S219)</f>
        <v>0</v>
      </c>
      <c r="T220" s="127">
        <f>SUM(T214:T219)</f>
        <v>0</v>
      </c>
      <c r="U220" s="127">
        <f>SUM(U214:U219)</f>
        <v>0</v>
      </c>
      <c r="V220" s="252"/>
      <c r="W220" s="252"/>
      <c r="X220" s="252"/>
      <c r="Y220" s="127">
        <f>SUM(Y214:Y219)</f>
        <v>0</v>
      </c>
      <c r="Z220" s="127"/>
      <c r="AA220" s="252"/>
      <c r="AB220" s="127">
        <f>SUM(AB214:AB219)</f>
        <v>0</v>
      </c>
      <c r="AC220" s="127">
        <f>SUM(AC214:AC219)</f>
        <v>1442163000</v>
      </c>
      <c r="AD220" s="127">
        <f>SUM(AD214:AD219)</f>
        <v>0</v>
      </c>
      <c r="AE220" s="127">
        <f>SUM(AE214:AE219)</f>
        <v>0</v>
      </c>
      <c r="AF220" s="127">
        <f>SUM(AF214:AF219)</f>
        <v>1442163000</v>
      </c>
      <c r="AG220" s="252"/>
      <c r="AH220" s="252"/>
      <c r="AI220" s="252"/>
      <c r="AJ220" s="127">
        <f>SUM(AJ214:AJ219)</f>
        <v>125000000</v>
      </c>
      <c r="AK220" s="127">
        <f>SUM(AK214:AK219)</f>
        <v>0</v>
      </c>
      <c r="AL220" s="127">
        <f>SUM(AL214:AL219)</f>
        <v>0</v>
      </c>
      <c r="AM220" s="127">
        <f>SUM(AM214:AM219)</f>
        <v>125000000</v>
      </c>
      <c r="AN220" s="127">
        <f>SUM(AN214:AN219)</f>
        <v>18750000</v>
      </c>
      <c r="AO220" s="253"/>
      <c r="AP220" s="254"/>
      <c r="AQ220" s="175">
        <f>SUM(AQ214:AQ219)</f>
        <v>983156921.7428571</v>
      </c>
      <c r="AR220" s="175">
        <f>SUM(AR214:AR219)</f>
        <v>1442163000</v>
      </c>
      <c r="AS220" s="175">
        <f>SUM(AS214:AS219)</f>
        <v>143750000</v>
      </c>
      <c r="AT220" s="175">
        <f>SUM(AT214:AT219)</f>
        <v>2569069921.7428575</v>
      </c>
      <c r="AU220" s="175">
        <f t="shared" ref="AU220:BB220" si="148">SUM(AU214:AU219)</f>
        <v>2569069921.7428575</v>
      </c>
      <c r="AV220" s="175">
        <f t="shared" si="148"/>
        <v>0</v>
      </c>
      <c r="AW220" s="175">
        <f t="shared" si="148"/>
        <v>0</v>
      </c>
      <c r="AX220" s="175">
        <f t="shared" si="148"/>
        <v>0</v>
      </c>
      <c r="AY220" s="175">
        <f t="shared" si="148"/>
        <v>0</v>
      </c>
      <c r="AZ220" s="175">
        <f t="shared" si="148"/>
        <v>0</v>
      </c>
      <c r="BA220" s="175">
        <f t="shared" si="148"/>
        <v>0</v>
      </c>
      <c r="BB220" s="175">
        <f t="shared" si="148"/>
        <v>0</v>
      </c>
      <c r="BC220" s="169"/>
      <c r="BD220" s="169"/>
      <c r="BE220" s="169"/>
      <c r="BF220" s="169"/>
    </row>
    <row r="221" spans="1:58" s="184" customFormat="1" ht="15.75" customHeight="1" x14ac:dyDescent="0.25">
      <c r="A221" s="143"/>
      <c r="B221" s="332"/>
      <c r="C221" s="397" t="s">
        <v>253</v>
      </c>
      <c r="D221" s="397"/>
      <c r="E221" s="398"/>
      <c r="F221" s="291"/>
      <c r="G221" s="340"/>
      <c r="H221" s="144" t="s">
        <v>300</v>
      </c>
      <c r="I221" s="257"/>
      <c r="J221" s="257"/>
      <c r="K221" s="257"/>
      <c r="L221" s="258">
        <f>SUM(L225)</f>
        <v>0</v>
      </c>
      <c r="M221" s="258">
        <f>SUM(M225)</f>
        <v>0</v>
      </c>
      <c r="N221" s="257"/>
      <c r="O221" s="257"/>
      <c r="P221" s="257"/>
      <c r="Q221" s="257"/>
      <c r="R221" s="258">
        <f>SUM(R225)</f>
        <v>0</v>
      </c>
      <c r="S221" s="258">
        <f>SUM(S225)</f>
        <v>0</v>
      </c>
      <c r="T221" s="258">
        <f>SUM(T225)</f>
        <v>0</v>
      </c>
      <c r="U221" s="258">
        <f>SUM(U225)</f>
        <v>0</v>
      </c>
      <c r="V221" s="257"/>
      <c r="W221" s="257"/>
      <c r="X221" s="257"/>
      <c r="Y221" s="258">
        <f>SUM(Y225)</f>
        <v>0</v>
      </c>
      <c r="Z221" s="258"/>
      <c r="AA221" s="258"/>
      <c r="AB221" s="258">
        <f>SUM(AB225)</f>
        <v>0</v>
      </c>
      <c r="AC221" s="258">
        <f>SUM(AC225)</f>
        <v>0</v>
      </c>
      <c r="AD221" s="258">
        <f>SUM(AD225)</f>
        <v>0</v>
      </c>
      <c r="AE221" s="258">
        <f>SUM(AE225)</f>
        <v>0</v>
      </c>
      <c r="AF221" s="258">
        <f>SUM(AF225)</f>
        <v>0</v>
      </c>
      <c r="AG221" s="257"/>
      <c r="AH221" s="257"/>
      <c r="AI221" s="257"/>
      <c r="AJ221" s="258">
        <f>SUM(AJ225)</f>
        <v>0</v>
      </c>
      <c r="AK221" s="258">
        <f>SUM(AK225)</f>
        <v>0</v>
      </c>
      <c r="AL221" s="258">
        <f>SUM(AL225)</f>
        <v>0</v>
      </c>
      <c r="AM221" s="258">
        <f>SUM(AM225)</f>
        <v>0</v>
      </c>
      <c r="AN221" s="258">
        <f>SUM(AN225)</f>
        <v>0</v>
      </c>
      <c r="AO221" s="259"/>
      <c r="AP221" s="260"/>
      <c r="AQ221" s="261">
        <f>SUM(AQ225)</f>
        <v>0</v>
      </c>
      <c r="AR221" s="261">
        <f>SUM(AR225)</f>
        <v>0</v>
      </c>
      <c r="AS221" s="261">
        <f>SUM(AS225)</f>
        <v>0</v>
      </c>
      <c r="AT221" s="261">
        <f>SUM(AT225)</f>
        <v>0</v>
      </c>
      <c r="AU221" s="261">
        <f t="shared" ref="AU221:BB221" si="149">SUM(AU225)</f>
        <v>0</v>
      </c>
      <c r="AV221" s="261">
        <f t="shared" si="149"/>
        <v>0</v>
      </c>
      <c r="AW221" s="261">
        <f t="shared" si="149"/>
        <v>0</v>
      </c>
      <c r="AX221" s="261">
        <f t="shared" si="149"/>
        <v>0</v>
      </c>
      <c r="AY221" s="261">
        <f t="shared" si="149"/>
        <v>0</v>
      </c>
      <c r="AZ221" s="261">
        <f t="shared" si="149"/>
        <v>0</v>
      </c>
      <c r="BA221" s="261">
        <f t="shared" si="149"/>
        <v>0</v>
      </c>
      <c r="BB221" s="261">
        <f t="shared" si="149"/>
        <v>0</v>
      </c>
    </row>
    <row r="222" spans="1:58" ht="63" outlineLevel="2" x14ac:dyDescent="0.25">
      <c r="A222" s="115"/>
      <c r="B222" s="200"/>
      <c r="C222" s="201"/>
      <c r="D222" s="342"/>
      <c r="E222" s="328"/>
      <c r="F222" s="328"/>
      <c r="G222" s="328"/>
      <c r="H222" s="199" t="s">
        <v>515</v>
      </c>
      <c r="I222" s="130"/>
      <c r="J222" s="126"/>
      <c r="K222" s="126"/>
      <c r="L222" s="125" t="str">
        <f>IF(I222&lt;&gt;0,((VLOOKUP(I222,'1. Standard_Cost'!$B$4:$D$11,2)+VLOOKUP(I222,'1. Standard_Cost'!$B$4:$D$11,3))*J222*K222),"0")</f>
        <v>0</v>
      </c>
      <c r="M222" s="125">
        <f>L222*'1. Standard_Cost'!$F$4</f>
        <v>0</v>
      </c>
      <c r="N222" s="126"/>
      <c r="O222" s="126"/>
      <c r="P222" s="126"/>
      <c r="Q222" s="126"/>
      <c r="R222" s="127">
        <f>'1. Standard_Cost'!$B$15*N222*P222</f>
        <v>0</v>
      </c>
      <c r="S222" s="127">
        <f>N222*O222*P222*'1. Standard_Cost'!$C$15</f>
        <v>0</v>
      </c>
      <c r="T222" s="127">
        <f>N222*P222*Q222*'1. Standard_Cost'!$D$15</f>
        <v>0</v>
      </c>
      <c r="U222" s="127">
        <f>N222*O222*'1. Standard_Cost'!$E$15</f>
        <v>0</v>
      </c>
      <c r="V222" s="126"/>
      <c r="W222" s="126"/>
      <c r="X222" s="126"/>
      <c r="Y222" s="127">
        <f>+V222*((X222*'1. Standard_Cost'!$B$19)+(W222*X222*'1. Standard_Cost'!$C$19))</f>
        <v>0</v>
      </c>
      <c r="Z222" s="126"/>
      <c r="AA222" s="126"/>
      <c r="AB222" s="127">
        <f>+Z222*'1. Standard_Cost'!$B$23+AA222*'1. Standard_Cost'!$C$23</f>
        <v>0</v>
      </c>
      <c r="AC222" s="128"/>
      <c r="AD222" s="129"/>
      <c r="AE222" s="127">
        <f>SUM(AD222,AC222,AB222,Y222,U222,T222,S222,R222)*'1. Standard_Cost'!$B$31</f>
        <v>0</v>
      </c>
      <c r="AF222" s="127">
        <f>SUM(AE222,AD222,AC222,AB222,Y222,U222,T222,S222,R222)</f>
        <v>0</v>
      </c>
      <c r="AG222" s="126"/>
      <c r="AH222" s="126"/>
      <c r="AI222" s="126"/>
      <c r="AJ222" s="130"/>
      <c r="AK222" s="130"/>
      <c r="AL222" s="130"/>
      <c r="AM222" s="127">
        <f>AG222*'1. Standard_Cost'!$B$27+'Incremental_Cost Year 3'!AH222*'1. Standard_Cost'!$C$27+'Incremental_Cost Year 3'!AI222*'1. Standard_Cost'!$D$27+'Incremental_Cost Year 3'!AJ222+'Incremental_Cost Year 3'!AL222+AK222</f>
        <v>0</v>
      </c>
      <c r="AN222" s="127">
        <f>AM222*'1. Standard_Cost'!$C$31</f>
        <v>0</v>
      </c>
      <c r="AO222" s="130"/>
      <c r="AQ222" s="171">
        <f>L222+M222</f>
        <v>0</v>
      </c>
      <c r="AR222" s="171">
        <f>AF222</f>
        <v>0</v>
      </c>
      <c r="AS222" s="171">
        <f>AM222+AN222</f>
        <v>0</v>
      </c>
      <c r="AT222" s="171">
        <f>SUM(AQ222,AR222,AS222)</f>
        <v>0</v>
      </c>
      <c r="AU222" s="250">
        <f>AT222</f>
        <v>0</v>
      </c>
      <c r="AV222" s="250"/>
      <c r="AW222" s="250"/>
      <c r="AX222" s="250"/>
      <c r="AY222" s="250"/>
      <c r="AZ222" s="250"/>
      <c r="BA222" s="250"/>
      <c r="BB222" s="251">
        <f t="shared" ref="BB222:BB224" si="150">SUM(AU222:BA222)-AT222</f>
        <v>0</v>
      </c>
      <c r="BC222" s="169"/>
      <c r="BD222" s="169"/>
      <c r="BE222" s="169"/>
      <c r="BF222" s="169"/>
    </row>
    <row r="223" spans="1:58" ht="63" outlineLevel="2" x14ac:dyDescent="0.25">
      <c r="A223" s="115"/>
      <c r="B223" s="200"/>
      <c r="C223" s="201"/>
      <c r="D223" s="343"/>
      <c r="E223" s="328"/>
      <c r="F223" s="328"/>
      <c r="G223" s="328"/>
      <c r="H223" s="199" t="s">
        <v>516</v>
      </c>
      <c r="I223" s="130"/>
      <c r="J223" s="126"/>
      <c r="K223" s="126"/>
      <c r="L223" s="125" t="str">
        <f>IF(I223&lt;&gt;0,((VLOOKUP(I223,'1. Standard_Cost'!$B$4:$D$11,2)+VLOOKUP(I223,'1. Standard_Cost'!$B$4:$D$11,3))*J223*K223),"0")</f>
        <v>0</v>
      </c>
      <c r="M223" s="125">
        <f>L223*'1. Standard_Cost'!$F$4</f>
        <v>0</v>
      </c>
      <c r="N223" s="126"/>
      <c r="O223" s="126"/>
      <c r="P223" s="126"/>
      <c r="Q223" s="126"/>
      <c r="R223" s="127">
        <f>'1. Standard_Cost'!$B$15*N223*P223</f>
        <v>0</v>
      </c>
      <c r="S223" s="127">
        <f>N223*O223*P223*'1. Standard_Cost'!$C$15</f>
        <v>0</v>
      </c>
      <c r="T223" s="127">
        <f>N223*P223*Q223*'1. Standard_Cost'!$D$15</f>
        <v>0</v>
      </c>
      <c r="U223" s="127">
        <f>N223*O223*'1. Standard_Cost'!$E$15</f>
        <v>0</v>
      </c>
      <c r="V223" s="126"/>
      <c r="W223" s="126"/>
      <c r="X223" s="126"/>
      <c r="Y223" s="127">
        <f>+V223*((X223*'1. Standard_Cost'!$B$19)+(W223*X223*'1. Standard_Cost'!$C$19))</f>
        <v>0</v>
      </c>
      <c r="Z223" s="126"/>
      <c r="AA223" s="126"/>
      <c r="AB223" s="127">
        <f>+Z223*'1. Standard_Cost'!$B$23+AA223*'1. Standard_Cost'!$C$23</f>
        <v>0</v>
      </c>
      <c r="AC223" s="128"/>
      <c r="AD223" s="129"/>
      <c r="AE223" s="127">
        <f>SUM(AD223,AC223,AB223,Y223,U223,T223,S223,R223)*'1. Standard_Cost'!$B$31</f>
        <v>0</v>
      </c>
      <c r="AF223" s="127">
        <f>SUM(AE223,AD223,AC223,AB223,Y223,U223,T223,S223,R223)</f>
        <v>0</v>
      </c>
      <c r="AG223" s="126"/>
      <c r="AH223" s="126"/>
      <c r="AI223" s="126"/>
      <c r="AJ223" s="130"/>
      <c r="AK223" s="130"/>
      <c r="AL223" s="130"/>
      <c r="AM223" s="127">
        <f>AG223*'1. Standard_Cost'!$B$27+'Incremental_Cost Year 3'!AH223*'1. Standard_Cost'!$C$27+'Incremental_Cost Year 3'!AI223*'1. Standard_Cost'!$D$27+'Incremental_Cost Year 3'!AJ223+'Incremental_Cost Year 3'!AL223+AK223</f>
        <v>0</v>
      </c>
      <c r="AN223" s="127">
        <f>AM223*'1. Standard_Cost'!$C$31</f>
        <v>0</v>
      </c>
      <c r="AO223" s="130"/>
      <c r="AQ223" s="171">
        <f>L223+M223</f>
        <v>0</v>
      </c>
      <c r="AR223" s="171">
        <f>AF223</f>
        <v>0</v>
      </c>
      <c r="AS223" s="171">
        <f>AM223+AN223</f>
        <v>0</v>
      </c>
      <c r="AT223" s="171">
        <f>SUM(AQ223,AR223,AS223)</f>
        <v>0</v>
      </c>
      <c r="AU223" s="250">
        <f>AT223</f>
        <v>0</v>
      </c>
      <c r="AV223" s="250"/>
      <c r="AW223" s="250"/>
      <c r="AX223" s="250"/>
      <c r="AY223" s="250"/>
      <c r="AZ223" s="250"/>
      <c r="BA223" s="250"/>
      <c r="BB223" s="251">
        <f t="shared" si="150"/>
        <v>0</v>
      </c>
      <c r="BC223" s="169"/>
      <c r="BD223" s="169"/>
      <c r="BE223" s="169"/>
      <c r="BF223" s="169"/>
    </row>
    <row r="224" spans="1:58" ht="31.5" outlineLevel="2" x14ac:dyDescent="0.25">
      <c r="A224" s="115"/>
      <c r="B224" s="200"/>
      <c r="C224" s="201"/>
      <c r="D224" s="344"/>
      <c r="E224" s="328"/>
      <c r="F224" s="328"/>
      <c r="G224" s="328"/>
      <c r="H224" s="199" t="s">
        <v>254</v>
      </c>
      <c r="I224" s="130"/>
      <c r="J224" s="126"/>
      <c r="K224" s="126"/>
      <c r="L224" s="125" t="str">
        <f>IF(I224&lt;&gt;0,((VLOOKUP(I224,'1. Standard_Cost'!$B$4:$D$11,2)+VLOOKUP(I224,'1. Standard_Cost'!$B$4:$D$11,3))*J224*K224),"0")</f>
        <v>0</v>
      </c>
      <c r="M224" s="125">
        <f>L224*'1. Standard_Cost'!$F$4</f>
        <v>0</v>
      </c>
      <c r="N224" s="126"/>
      <c r="O224" s="126"/>
      <c r="P224" s="126"/>
      <c r="Q224" s="126"/>
      <c r="R224" s="127">
        <f>'1. Standard_Cost'!$B$15*N224*P224</f>
        <v>0</v>
      </c>
      <c r="S224" s="127">
        <f>N224*O224*P224*'1. Standard_Cost'!$C$15</f>
        <v>0</v>
      </c>
      <c r="T224" s="127">
        <f>N224*P224*Q224*'1. Standard_Cost'!$D$15</f>
        <v>0</v>
      </c>
      <c r="U224" s="127">
        <f>N224*O224*'1. Standard_Cost'!$E$15</f>
        <v>0</v>
      </c>
      <c r="V224" s="126"/>
      <c r="W224" s="126"/>
      <c r="X224" s="126"/>
      <c r="Y224" s="127">
        <f>+V224*((X224*'1. Standard_Cost'!$B$19)+(W224*X224*'1. Standard_Cost'!$C$19))</f>
        <v>0</v>
      </c>
      <c r="Z224" s="126"/>
      <c r="AA224" s="126"/>
      <c r="AB224" s="127">
        <f>+Z224*'1. Standard_Cost'!$B$23+AA224*'1. Standard_Cost'!$C$23</f>
        <v>0</v>
      </c>
      <c r="AC224" s="128"/>
      <c r="AD224" s="129"/>
      <c r="AE224" s="127">
        <f>SUM(AD224,AC224,AB224,Y224,U224,T224,S224,R224)*'1. Standard_Cost'!$B$31</f>
        <v>0</v>
      </c>
      <c r="AF224" s="127">
        <f>SUM(AE224,AD224,AC224,AB224,Y224,U224,T224,S224,R224)</f>
        <v>0</v>
      </c>
      <c r="AG224" s="126"/>
      <c r="AH224" s="126"/>
      <c r="AI224" s="126"/>
      <c r="AJ224" s="130"/>
      <c r="AK224" s="130"/>
      <c r="AL224" s="130"/>
      <c r="AM224" s="127">
        <f>AG224*'1. Standard_Cost'!$B$27+'Incremental_Cost Year 3'!AH224*'1. Standard_Cost'!$C$27+'Incremental_Cost Year 3'!AI224*'1. Standard_Cost'!$D$27+'Incremental_Cost Year 3'!AJ224+'Incremental_Cost Year 3'!AL224+AK224</f>
        <v>0</v>
      </c>
      <c r="AN224" s="127">
        <f>AM224*'1. Standard_Cost'!$C$31</f>
        <v>0</v>
      </c>
      <c r="AO224" s="130"/>
      <c r="AQ224" s="171">
        <f>L224+M224</f>
        <v>0</v>
      </c>
      <c r="AR224" s="171">
        <f>AF224</f>
        <v>0</v>
      </c>
      <c r="AS224" s="171">
        <f>AM224+AN224</f>
        <v>0</v>
      </c>
      <c r="AT224" s="171">
        <f>SUM(AQ224,AR224,AS224)</f>
        <v>0</v>
      </c>
      <c r="AU224" s="250"/>
      <c r="AV224" s="250"/>
      <c r="AW224" s="250"/>
      <c r="AX224" s="250"/>
      <c r="AY224" s="250"/>
      <c r="AZ224" s="250"/>
      <c r="BA224" s="250"/>
      <c r="BB224" s="251">
        <f t="shared" si="150"/>
        <v>0</v>
      </c>
      <c r="BC224" s="169"/>
      <c r="BD224" s="169"/>
      <c r="BE224" s="169"/>
      <c r="BF224" s="169"/>
    </row>
    <row r="225" spans="1:58" ht="47.25" outlineLevel="1" x14ac:dyDescent="0.25">
      <c r="A225" s="115"/>
      <c r="B225" s="165"/>
      <c r="C225" s="166"/>
      <c r="D225" s="150" t="s">
        <v>240</v>
      </c>
      <c r="E225" s="212" t="s">
        <v>255</v>
      </c>
      <c r="F225" s="142">
        <v>2021</v>
      </c>
      <c r="G225" s="209">
        <v>2022</v>
      </c>
      <c r="H225" s="150" t="s">
        <v>256</v>
      </c>
      <c r="I225" s="252"/>
      <c r="J225" s="252"/>
      <c r="K225" s="252"/>
      <c r="L225" s="127">
        <f>SUM(L222:L224)</f>
        <v>0</v>
      </c>
      <c r="M225" s="127">
        <f>SUM(M222:M224)</f>
        <v>0</v>
      </c>
      <c r="N225" s="252"/>
      <c r="O225" s="252"/>
      <c r="P225" s="252"/>
      <c r="Q225" s="252"/>
      <c r="R225" s="127">
        <f>SUM(R222:R224)</f>
        <v>0</v>
      </c>
      <c r="S225" s="127">
        <f>SUM(S222:S224)</f>
        <v>0</v>
      </c>
      <c r="T225" s="127">
        <f>SUM(T222:T224)</f>
        <v>0</v>
      </c>
      <c r="U225" s="127">
        <f>SUM(U222:U224)</f>
        <v>0</v>
      </c>
      <c r="V225" s="252"/>
      <c r="W225" s="252"/>
      <c r="X225" s="252"/>
      <c r="Y225" s="127">
        <f>SUM(Y222:Y224)</f>
        <v>0</v>
      </c>
      <c r="Z225" s="127"/>
      <c r="AA225" s="252"/>
      <c r="AB225" s="127">
        <f>SUM(AB222:AB224)</f>
        <v>0</v>
      </c>
      <c r="AC225" s="127">
        <f>SUM(AC222:AC224)</f>
        <v>0</v>
      </c>
      <c r="AD225" s="127">
        <f>SUM(AD222:AD224)</f>
        <v>0</v>
      </c>
      <c r="AE225" s="127">
        <f>SUM(AE222:AE224)</f>
        <v>0</v>
      </c>
      <c r="AF225" s="127">
        <f>SUM(AF222:AF224)</f>
        <v>0</v>
      </c>
      <c r="AG225" s="252"/>
      <c r="AH225" s="252"/>
      <c r="AI225" s="252"/>
      <c r="AJ225" s="127">
        <f>SUM(AJ222:AJ224)</f>
        <v>0</v>
      </c>
      <c r="AK225" s="127">
        <f>SUM(AK222:AK224)</f>
        <v>0</v>
      </c>
      <c r="AL225" s="127">
        <f>SUM(AL222:AL224)</f>
        <v>0</v>
      </c>
      <c r="AM225" s="127">
        <f>SUM(AM222:AM224)</f>
        <v>0</v>
      </c>
      <c r="AN225" s="127">
        <f>SUM(AN222:AN224)</f>
        <v>0</v>
      </c>
      <c r="AO225" s="253"/>
      <c r="AP225" s="254"/>
      <c r="AQ225" s="175">
        <f>SUM(AQ222:AQ224)</f>
        <v>0</v>
      </c>
      <c r="AR225" s="175">
        <f>SUM(AR222:AR224)</f>
        <v>0</v>
      </c>
      <c r="AS225" s="175">
        <f>SUM(AS222:AS224)</f>
        <v>0</v>
      </c>
      <c r="AT225" s="175">
        <f>SUM(AT222:AT224)</f>
        <v>0</v>
      </c>
      <c r="AU225" s="175">
        <f t="shared" ref="AU225:BB225" si="151">SUM(AU222:AU224)</f>
        <v>0</v>
      </c>
      <c r="AV225" s="175">
        <f t="shared" si="151"/>
        <v>0</v>
      </c>
      <c r="AW225" s="175">
        <f t="shared" si="151"/>
        <v>0</v>
      </c>
      <c r="AX225" s="175">
        <f t="shared" si="151"/>
        <v>0</v>
      </c>
      <c r="AY225" s="175">
        <f t="shared" si="151"/>
        <v>0</v>
      </c>
      <c r="AZ225" s="175">
        <f t="shared" si="151"/>
        <v>0</v>
      </c>
      <c r="BA225" s="175">
        <f t="shared" si="151"/>
        <v>0</v>
      </c>
      <c r="BB225" s="175">
        <f t="shared" si="151"/>
        <v>0</v>
      </c>
      <c r="BC225" s="169"/>
      <c r="BD225" s="169"/>
      <c r="BE225" s="169"/>
      <c r="BF225" s="169"/>
    </row>
    <row r="226" spans="1:58" s="184" customFormat="1" ht="15.75" customHeight="1" x14ac:dyDescent="0.25">
      <c r="A226" s="143"/>
      <c r="B226" s="332"/>
      <c r="C226" s="397" t="s">
        <v>257</v>
      </c>
      <c r="D226" s="397"/>
      <c r="E226" s="398"/>
      <c r="F226" s="291"/>
      <c r="G226" s="340"/>
      <c r="H226" s="144" t="s">
        <v>301</v>
      </c>
      <c r="I226" s="257"/>
      <c r="J226" s="257"/>
      <c r="K226" s="257"/>
      <c r="L226" s="258">
        <f>SUM(L231)</f>
        <v>72055371.428571418</v>
      </c>
      <c r="M226" s="258">
        <f>SUM(M231)</f>
        <v>12033247.028571429</v>
      </c>
      <c r="N226" s="257"/>
      <c r="O226" s="257"/>
      <c r="P226" s="257"/>
      <c r="Q226" s="257"/>
      <c r="R226" s="258">
        <f>SUM(R231)</f>
        <v>0</v>
      </c>
      <c r="S226" s="258">
        <f>SUM(S231)</f>
        <v>0</v>
      </c>
      <c r="T226" s="258">
        <f>SUM(T231)</f>
        <v>0</v>
      </c>
      <c r="U226" s="258">
        <f>SUM(U231)</f>
        <v>0</v>
      </c>
      <c r="V226" s="257"/>
      <c r="W226" s="257"/>
      <c r="X226" s="257"/>
      <c r="Y226" s="258">
        <f>SUM(Y231)</f>
        <v>0</v>
      </c>
      <c r="Z226" s="258"/>
      <c r="AA226" s="258"/>
      <c r="AB226" s="258">
        <f>SUM(AB231)</f>
        <v>3360000</v>
      </c>
      <c r="AC226" s="258">
        <f>SUM(AC231)</f>
        <v>724000</v>
      </c>
      <c r="AD226" s="258">
        <f>SUM(AD231)</f>
        <v>0</v>
      </c>
      <c r="AE226" s="258">
        <f>SUM(AE231)</f>
        <v>816800</v>
      </c>
      <c r="AF226" s="258">
        <f>SUM(AF231)</f>
        <v>4900800</v>
      </c>
      <c r="AG226" s="257"/>
      <c r="AH226" s="257"/>
      <c r="AI226" s="257"/>
      <c r="AJ226" s="258">
        <f>SUM(AJ231)</f>
        <v>0</v>
      </c>
      <c r="AK226" s="258">
        <f>SUM(AK231)</f>
        <v>0</v>
      </c>
      <c r="AL226" s="258">
        <f>SUM(AL231)</f>
        <v>0</v>
      </c>
      <c r="AM226" s="258">
        <f>SUM(AM231)</f>
        <v>0</v>
      </c>
      <c r="AN226" s="258">
        <f>SUM(AN231)</f>
        <v>0</v>
      </c>
      <c r="AO226" s="259"/>
      <c r="AP226" s="260"/>
      <c r="AQ226" s="261">
        <f>SUM(AQ231)</f>
        <v>84088618.45714286</v>
      </c>
      <c r="AR226" s="261">
        <f>SUM(AR231)</f>
        <v>4900800</v>
      </c>
      <c r="AS226" s="261">
        <f>SUM(AS231)</f>
        <v>0</v>
      </c>
      <c r="AT226" s="261">
        <f>SUM(AT231)</f>
        <v>88989418.45714286</v>
      </c>
      <c r="AU226" s="261">
        <f t="shared" ref="AU226:BB226" si="152">SUM(AU231)</f>
        <v>84448618.45714286</v>
      </c>
      <c r="AV226" s="261">
        <f t="shared" si="152"/>
        <v>0</v>
      </c>
      <c r="AW226" s="261">
        <f t="shared" si="152"/>
        <v>0</v>
      </c>
      <c r="AX226" s="261">
        <f t="shared" si="152"/>
        <v>0</v>
      </c>
      <c r="AY226" s="261">
        <f t="shared" si="152"/>
        <v>0</v>
      </c>
      <c r="AZ226" s="261">
        <f t="shared" si="152"/>
        <v>0</v>
      </c>
      <c r="BA226" s="261">
        <f t="shared" si="152"/>
        <v>0</v>
      </c>
      <c r="BB226" s="261">
        <f t="shared" si="152"/>
        <v>-4540800</v>
      </c>
    </row>
    <row r="227" spans="1:58" ht="46.9" customHeight="1" outlineLevel="2" x14ac:dyDescent="0.25">
      <c r="A227" s="115"/>
      <c r="B227" s="200"/>
      <c r="C227" s="201"/>
      <c r="D227" s="210"/>
      <c r="E227" s="328"/>
      <c r="F227" s="328"/>
      <c r="G227" s="328"/>
      <c r="H227" s="199" t="s">
        <v>517</v>
      </c>
      <c r="I227" s="130" t="s">
        <v>1</v>
      </c>
      <c r="J227" s="126">
        <v>12</v>
      </c>
      <c r="K227" s="126">
        <v>72</v>
      </c>
      <c r="L227" s="125">
        <f>IF(I227&lt;&gt;0,((VLOOKUP(I227,'1. Standard_Cost'!$B$4:$D$11,2)+VLOOKUP(I227,'1. Standard_Cost'!$B$4:$D$11,3))*J227*K227),"0")</f>
        <v>62029028.571428567</v>
      </c>
      <c r="M227" s="125">
        <f>L227*'1. Standard_Cost'!$F$4</f>
        <v>10358847.771428572</v>
      </c>
      <c r="N227" s="126"/>
      <c r="O227" s="126"/>
      <c r="P227" s="126"/>
      <c r="Q227" s="126"/>
      <c r="R227" s="127">
        <f>'1. Standard_Cost'!$B$15*N227*P227</f>
        <v>0</v>
      </c>
      <c r="S227" s="127">
        <f>N227*O227*P227*'1. Standard_Cost'!$C$15</f>
        <v>0</v>
      </c>
      <c r="T227" s="127">
        <f>N227*P227*Q227*'1. Standard_Cost'!$D$15</f>
        <v>0</v>
      </c>
      <c r="U227" s="127">
        <f>N227*O227*'1. Standard_Cost'!$E$15</f>
        <v>0</v>
      </c>
      <c r="V227" s="126"/>
      <c r="W227" s="126"/>
      <c r="X227" s="126"/>
      <c r="Y227" s="127">
        <f>+V227*((X227*'1. Standard_Cost'!$B$19)+(W227*X227*'1. Standard_Cost'!$C$19))</f>
        <v>0</v>
      </c>
      <c r="Z227" s="126"/>
      <c r="AA227" s="126"/>
      <c r="AB227" s="127">
        <f>+Z227*'1. Standard_Cost'!$B$23+AA227*'1. Standard_Cost'!$C$23</f>
        <v>0</v>
      </c>
      <c r="AC227" s="128"/>
      <c r="AD227" s="129"/>
      <c r="AE227" s="127">
        <f>SUM(AD227,AC227,AB227,Y227,U227,T227,S227,R227)*'1. Standard_Cost'!$B$31</f>
        <v>0</v>
      </c>
      <c r="AF227" s="127">
        <f>SUM(AE227,AD227,AC227,AB227,Y227,U227,T227,S227,R227)</f>
        <v>0</v>
      </c>
      <c r="AG227" s="126"/>
      <c r="AH227" s="126"/>
      <c r="AI227" s="126"/>
      <c r="AJ227" s="130"/>
      <c r="AK227" s="130"/>
      <c r="AL227" s="130"/>
      <c r="AM227" s="127">
        <f>AG227*'1. Standard_Cost'!$B$27+'Incremental_Cost Year 3'!AH227*'1. Standard_Cost'!$C$27+'Incremental_Cost Year 3'!AI227*'1. Standard_Cost'!$D$27+'Incremental_Cost Year 3'!AJ227+'Incremental_Cost Year 3'!AL227+AK227</f>
        <v>0</v>
      </c>
      <c r="AN227" s="127">
        <f>AM227*'1. Standard_Cost'!$C$31</f>
        <v>0</v>
      </c>
      <c r="AO227" s="130"/>
      <c r="AQ227" s="171">
        <f>L227+M227</f>
        <v>72387876.342857137</v>
      </c>
      <c r="AR227" s="171">
        <f>AF227</f>
        <v>0</v>
      </c>
      <c r="AS227" s="171">
        <f>AM227+AN227</f>
        <v>0</v>
      </c>
      <c r="AT227" s="171">
        <f>SUM(AQ227,AR227,AS227)</f>
        <v>72387876.342857137</v>
      </c>
      <c r="AU227" s="250">
        <f>AT227</f>
        <v>72387876.342857137</v>
      </c>
      <c r="AV227" s="250"/>
      <c r="AW227" s="250"/>
      <c r="AX227" s="250"/>
      <c r="AY227" s="250"/>
      <c r="AZ227" s="250"/>
      <c r="BA227" s="250"/>
      <c r="BB227" s="251">
        <f t="shared" ref="BB227:BB230" si="153">SUM(AU227:BA227)-AT227</f>
        <v>0</v>
      </c>
      <c r="BC227" s="169"/>
      <c r="BD227" s="169"/>
      <c r="BE227" s="169"/>
      <c r="BF227" s="169"/>
    </row>
    <row r="228" spans="1:58" ht="94.5" outlineLevel="2" x14ac:dyDescent="0.25">
      <c r="A228" s="115"/>
      <c r="B228" s="200"/>
      <c r="C228" s="201"/>
      <c r="D228" s="203"/>
      <c r="E228" s="328"/>
      <c r="F228" s="328"/>
      <c r="G228" s="328"/>
      <c r="H228" s="199" t="s">
        <v>518</v>
      </c>
      <c r="I228" s="130" t="s">
        <v>1</v>
      </c>
      <c r="J228" s="126">
        <v>12</v>
      </c>
      <c r="K228" s="126">
        <v>10</v>
      </c>
      <c r="L228" s="125">
        <f>IF(I228&lt;&gt;0,((VLOOKUP(I228,'1. Standard_Cost'!$B$4:$D$11,2)+VLOOKUP(I228,'1. Standard_Cost'!$B$4:$D$11,3))*J228*K228),"0")</f>
        <v>8615142.8571428563</v>
      </c>
      <c r="M228" s="125">
        <f>L228*'1. Standard_Cost'!$F$4</f>
        <v>1438728.857142857</v>
      </c>
      <c r="N228" s="126"/>
      <c r="O228" s="126"/>
      <c r="P228" s="126"/>
      <c r="Q228" s="126"/>
      <c r="R228" s="127">
        <f>'1. Standard_Cost'!$B$15*N228*P228</f>
        <v>0</v>
      </c>
      <c r="S228" s="127">
        <f>N228*O228*P228*'1. Standard_Cost'!$C$15</f>
        <v>0</v>
      </c>
      <c r="T228" s="127">
        <f>N228*P228*Q228*'1. Standard_Cost'!$D$15</f>
        <v>0</v>
      </c>
      <c r="U228" s="127">
        <f>N228*O228*'1. Standard_Cost'!$E$15</f>
        <v>0</v>
      </c>
      <c r="V228" s="126"/>
      <c r="W228" s="126"/>
      <c r="X228" s="126"/>
      <c r="Y228" s="127">
        <f>+V228*((X228*'1. Standard_Cost'!$B$19)+(W228*X228*'1. Standard_Cost'!$C$19))</f>
        <v>0</v>
      </c>
      <c r="Z228" s="126"/>
      <c r="AA228" s="126"/>
      <c r="AB228" s="127">
        <f>+Z228*'1. Standard_Cost'!$B$23+AA228*'1. Standard_Cost'!$C$23</f>
        <v>0</v>
      </c>
      <c r="AC228" s="128">
        <f>300000</f>
        <v>300000</v>
      </c>
      <c r="AD228" s="129"/>
      <c r="AE228" s="127">
        <f>SUM(AD228,AC228,AB228,Y228,U228,T228,S228,R228)*'1. Standard_Cost'!$B$31</f>
        <v>60000</v>
      </c>
      <c r="AF228" s="127">
        <f>SUM(AE228,AD228,AC228,AB228,Y228,U228,T228,S228,R228)</f>
        <v>360000</v>
      </c>
      <c r="AG228" s="126"/>
      <c r="AH228" s="126"/>
      <c r="AI228" s="126"/>
      <c r="AJ228" s="130"/>
      <c r="AK228" s="130"/>
      <c r="AL228" s="130"/>
      <c r="AM228" s="127">
        <f>AG228*'1. Standard_Cost'!$B$27+'Incremental_Cost Year 3'!AH228*'1. Standard_Cost'!$C$27+'Incremental_Cost Year 3'!AI228*'1. Standard_Cost'!$D$27+'Incremental_Cost Year 3'!AJ228+'Incremental_Cost Year 3'!AL228+AK228</f>
        <v>0</v>
      </c>
      <c r="AN228" s="127">
        <f>AM228*'1. Standard_Cost'!$C$31</f>
        <v>0</v>
      </c>
      <c r="AO228" s="130"/>
      <c r="AQ228" s="171">
        <f>L228+M228</f>
        <v>10053871.714285713</v>
      </c>
      <c r="AR228" s="171">
        <f>AF228</f>
        <v>360000</v>
      </c>
      <c r="AS228" s="171">
        <f>AM228+AN228</f>
        <v>0</v>
      </c>
      <c r="AT228" s="171">
        <f>SUM(AQ228,AR228,AS228)</f>
        <v>10413871.714285713</v>
      </c>
      <c r="AU228" s="250">
        <f>AT228</f>
        <v>10413871.714285713</v>
      </c>
      <c r="AV228" s="250"/>
      <c r="AW228" s="250"/>
      <c r="AX228" s="250"/>
      <c r="AY228" s="250"/>
      <c r="AZ228" s="250"/>
      <c r="BA228" s="250"/>
      <c r="BB228" s="251">
        <f t="shared" si="153"/>
        <v>0</v>
      </c>
      <c r="BC228" s="169"/>
      <c r="BD228" s="169"/>
      <c r="BE228" s="169"/>
      <c r="BF228" s="169"/>
    </row>
    <row r="229" spans="1:58" ht="110.25" outlineLevel="2" x14ac:dyDescent="0.25">
      <c r="A229" s="115"/>
      <c r="B229" s="200"/>
      <c r="C229" s="201"/>
      <c r="D229" s="203"/>
      <c r="E229" s="328"/>
      <c r="F229" s="328"/>
      <c r="G229" s="328"/>
      <c r="H229" s="199" t="s">
        <v>519</v>
      </c>
      <c r="I229" s="130" t="s">
        <v>3</v>
      </c>
      <c r="J229" s="126">
        <v>2</v>
      </c>
      <c r="K229" s="126">
        <v>7</v>
      </c>
      <c r="L229" s="125">
        <f>IF(I229&lt;&gt;0,((VLOOKUP(I229,'1. Standard_Cost'!$B$4:$D$11,2)+VLOOKUP(I229,'1. Standard_Cost'!$B$4:$D$11,3))*J229*K229),"0")</f>
        <v>1411200</v>
      </c>
      <c r="M229" s="125">
        <f>L229*'1. Standard_Cost'!$F$4</f>
        <v>235670.40000000002</v>
      </c>
      <c r="N229" s="126"/>
      <c r="O229" s="126"/>
      <c r="P229" s="126"/>
      <c r="Q229" s="126"/>
      <c r="R229" s="127">
        <f>'1. Standard_Cost'!$B$15*N229*P229</f>
        <v>0</v>
      </c>
      <c r="S229" s="127">
        <f>N229*O229*P229*'1. Standard_Cost'!$C$15</f>
        <v>0</v>
      </c>
      <c r="T229" s="127">
        <f>N229*P229*Q229*'1. Standard_Cost'!$D$15</f>
        <v>0</v>
      </c>
      <c r="U229" s="127">
        <f>N229*O229*'1. Standard_Cost'!$E$15</f>
        <v>0</v>
      </c>
      <c r="V229" s="126"/>
      <c r="W229" s="126"/>
      <c r="X229" s="126"/>
      <c r="Y229" s="127">
        <f>+V229*((X229*'1. Standard_Cost'!$B$19)+(W229*X229*'1. Standard_Cost'!$C$19))</f>
        <v>0</v>
      </c>
      <c r="Z229" s="126">
        <v>30</v>
      </c>
      <c r="AA229" s="126">
        <v>60</v>
      </c>
      <c r="AB229" s="127">
        <f>+Z229*'1. Standard_Cost'!$B$23+AA229*'1. Standard_Cost'!$C$23</f>
        <v>3360000</v>
      </c>
      <c r="AC229" s="128">
        <f>80*300+200*2000</f>
        <v>424000</v>
      </c>
      <c r="AD229" s="129"/>
      <c r="AE229" s="127">
        <f>SUM(AD229,AC229,AB229,Y229,U229,T229,S229,R229)*'1. Standard_Cost'!$B$31</f>
        <v>756800</v>
      </c>
      <c r="AF229" s="127">
        <f>SUM(AE229,AD229,AC229,AB229,Y229,U229,T229,S229,R229)</f>
        <v>4540800</v>
      </c>
      <c r="AG229" s="126"/>
      <c r="AH229" s="126"/>
      <c r="AI229" s="126"/>
      <c r="AJ229" s="130"/>
      <c r="AK229" s="130"/>
      <c r="AL229" s="130"/>
      <c r="AM229" s="127">
        <f>AG229*'1. Standard_Cost'!$B$27+'Incremental_Cost Year 3'!AH229*'1. Standard_Cost'!$C$27+'Incremental_Cost Year 3'!AI229*'1. Standard_Cost'!$D$27+'Incremental_Cost Year 3'!AJ229+'Incremental_Cost Year 3'!AL229+AK229</f>
        <v>0</v>
      </c>
      <c r="AN229" s="127">
        <f>AM229*'1. Standard_Cost'!$C$31</f>
        <v>0</v>
      </c>
      <c r="AO229" s="130"/>
      <c r="AQ229" s="171">
        <f>L229+M229</f>
        <v>1646870.4</v>
      </c>
      <c r="AR229" s="171">
        <f>AF229</f>
        <v>4540800</v>
      </c>
      <c r="AS229" s="171">
        <f>AM229+AN229</f>
        <v>0</v>
      </c>
      <c r="AT229" s="171">
        <f>SUM(AQ229,AR229,AS229)</f>
        <v>6187670.4000000004</v>
      </c>
      <c r="AU229" s="250">
        <f>AQ229</f>
        <v>1646870.4</v>
      </c>
      <c r="AV229" s="250"/>
      <c r="AW229" s="250"/>
      <c r="AX229" s="250"/>
      <c r="AY229" s="250"/>
      <c r="AZ229" s="250"/>
      <c r="BA229" s="250"/>
      <c r="BB229" s="251">
        <f t="shared" si="153"/>
        <v>-4540800</v>
      </c>
      <c r="BC229" s="169"/>
      <c r="BD229" s="169"/>
      <c r="BE229" s="169"/>
      <c r="BF229" s="169"/>
    </row>
    <row r="230" spans="1:58" ht="110.25" outlineLevel="2" x14ac:dyDescent="0.25">
      <c r="A230" s="115"/>
      <c r="B230" s="200"/>
      <c r="C230" s="201"/>
      <c r="D230" s="133"/>
      <c r="E230" s="328"/>
      <c r="F230" s="328"/>
      <c r="G230" s="328"/>
      <c r="H230" s="199" t="s">
        <v>520</v>
      </c>
      <c r="I230" s="130"/>
      <c r="J230" s="126"/>
      <c r="K230" s="126"/>
      <c r="L230" s="125" t="str">
        <f>IF(I230&lt;&gt;0,((VLOOKUP(I230,'1. Standard_Cost'!$B$4:$D$11,2)+VLOOKUP(I230,'1. Standard_Cost'!$B$4:$D$11,3))*J230*K230),"0")</f>
        <v>0</v>
      </c>
      <c r="M230" s="125">
        <f>L230*'1. Standard_Cost'!$F$4</f>
        <v>0</v>
      </c>
      <c r="N230" s="126"/>
      <c r="O230" s="126"/>
      <c r="P230" s="126"/>
      <c r="Q230" s="126"/>
      <c r="R230" s="127">
        <f>'1. Standard_Cost'!$B$15*N230*P230</f>
        <v>0</v>
      </c>
      <c r="S230" s="127">
        <f>N230*O230*P230*'1. Standard_Cost'!$C$15</f>
        <v>0</v>
      </c>
      <c r="T230" s="127">
        <f>N230*P230*Q230*'1. Standard_Cost'!$D$15</f>
        <v>0</v>
      </c>
      <c r="U230" s="127">
        <f>N230*O230*'1. Standard_Cost'!$E$15</f>
        <v>0</v>
      </c>
      <c r="V230" s="126"/>
      <c r="W230" s="126"/>
      <c r="X230" s="126"/>
      <c r="Y230" s="127">
        <f>+V230*((X230*'1. Standard_Cost'!$B$19)+(W230*X230*'1. Standard_Cost'!$C$19))</f>
        <v>0</v>
      </c>
      <c r="Z230" s="126"/>
      <c r="AA230" s="126"/>
      <c r="AB230" s="127">
        <f>+Z230*'1. Standard_Cost'!$B$23+AA230*'1. Standard_Cost'!$C$23</f>
        <v>0</v>
      </c>
      <c r="AC230" s="128"/>
      <c r="AD230" s="129"/>
      <c r="AE230" s="127">
        <f>SUM(AD230,AC230,AB230,Y230,U230,T230,S230,R230)*'1. Standard_Cost'!$B$31</f>
        <v>0</v>
      </c>
      <c r="AF230" s="127">
        <f>SUM(AE230,AD230,AC230,AB230,Y230,U230,T230,S230,R230)</f>
        <v>0</v>
      </c>
      <c r="AG230" s="126"/>
      <c r="AH230" s="126"/>
      <c r="AI230" s="126"/>
      <c r="AJ230" s="130"/>
      <c r="AK230" s="130"/>
      <c r="AL230" s="130"/>
      <c r="AM230" s="127">
        <f>AG230*'1. Standard_Cost'!$B$27+'Incremental_Cost Year 3'!AH230*'1. Standard_Cost'!$C$27+'Incremental_Cost Year 3'!AI230*'1. Standard_Cost'!$D$27+'Incremental_Cost Year 3'!AJ230+'Incremental_Cost Year 3'!AL230+AK230</f>
        <v>0</v>
      </c>
      <c r="AN230" s="127">
        <f>AM230*'1. Standard_Cost'!$C$31</f>
        <v>0</v>
      </c>
      <c r="AO230" s="130"/>
      <c r="AQ230" s="171">
        <f>L230+M230</f>
        <v>0</v>
      </c>
      <c r="AR230" s="171">
        <f>AF230</f>
        <v>0</v>
      </c>
      <c r="AS230" s="171">
        <f>AM230+AN230</f>
        <v>0</v>
      </c>
      <c r="AT230" s="171">
        <f>SUM(AQ230,AR230,AS230)</f>
        <v>0</v>
      </c>
      <c r="AU230" s="250"/>
      <c r="AV230" s="250"/>
      <c r="AW230" s="250"/>
      <c r="AX230" s="250"/>
      <c r="AY230" s="250"/>
      <c r="AZ230" s="250"/>
      <c r="BA230" s="250"/>
      <c r="BB230" s="251">
        <f t="shared" si="153"/>
        <v>0</v>
      </c>
      <c r="BC230" s="169"/>
      <c r="BD230" s="169"/>
      <c r="BE230" s="169"/>
      <c r="BF230" s="169"/>
    </row>
    <row r="231" spans="1:58" ht="63" outlineLevel="1" x14ac:dyDescent="0.25">
      <c r="A231" s="115"/>
      <c r="B231" s="165"/>
      <c r="C231" s="166"/>
      <c r="D231" s="107" t="s">
        <v>507</v>
      </c>
      <c r="E231" s="212" t="s">
        <v>259</v>
      </c>
      <c r="F231" s="142">
        <v>2021</v>
      </c>
      <c r="G231" s="209">
        <v>2025</v>
      </c>
      <c r="H231" s="150" t="s">
        <v>260</v>
      </c>
      <c r="I231" s="252"/>
      <c r="J231" s="252"/>
      <c r="K231" s="252"/>
      <c r="L231" s="127">
        <f>SUM(L227:L230)</f>
        <v>72055371.428571418</v>
      </c>
      <c r="M231" s="127">
        <f>SUM(M227:M230)</f>
        <v>12033247.028571429</v>
      </c>
      <c r="N231" s="252"/>
      <c r="O231" s="252"/>
      <c r="P231" s="252"/>
      <c r="Q231" s="252"/>
      <c r="R231" s="127">
        <f>SUM(R227:R230)</f>
        <v>0</v>
      </c>
      <c r="S231" s="127">
        <f>SUM(S227:S230)</f>
        <v>0</v>
      </c>
      <c r="T231" s="127">
        <f>SUM(T227:T230)</f>
        <v>0</v>
      </c>
      <c r="U231" s="127">
        <f>SUM(U227:U230)</f>
        <v>0</v>
      </c>
      <c r="V231" s="252"/>
      <c r="W231" s="252"/>
      <c r="X231" s="252"/>
      <c r="Y231" s="127">
        <f>SUM(Y227:Y230)</f>
        <v>0</v>
      </c>
      <c r="Z231" s="127"/>
      <c r="AA231" s="252"/>
      <c r="AB231" s="127">
        <f>SUM(AB227:AB230)</f>
        <v>3360000</v>
      </c>
      <c r="AC231" s="127">
        <f>SUM(AC227:AC230)</f>
        <v>724000</v>
      </c>
      <c r="AD231" s="127">
        <f>SUM(AD227:AD230)</f>
        <v>0</v>
      </c>
      <c r="AE231" s="127">
        <f>SUM(AE227:AE230)</f>
        <v>816800</v>
      </c>
      <c r="AF231" s="127">
        <f>SUM(AF227:AF230)</f>
        <v>4900800</v>
      </c>
      <c r="AG231" s="252"/>
      <c r="AH231" s="252"/>
      <c r="AI231" s="252"/>
      <c r="AJ231" s="127">
        <f>SUM(AJ227:AJ230)</f>
        <v>0</v>
      </c>
      <c r="AK231" s="127">
        <f>SUM(AK227:AK230)</f>
        <v>0</v>
      </c>
      <c r="AL231" s="127">
        <f>SUM(AL227:AL230)</f>
        <v>0</v>
      </c>
      <c r="AM231" s="127">
        <f>SUM(AM227:AM230)</f>
        <v>0</v>
      </c>
      <c r="AN231" s="127">
        <f>SUM(AN227:AN230)</f>
        <v>0</v>
      </c>
      <c r="AO231" s="253"/>
      <c r="AP231" s="254"/>
      <c r="AQ231" s="175">
        <f>SUM(AQ227:AQ230)</f>
        <v>84088618.45714286</v>
      </c>
      <c r="AR231" s="175">
        <f>SUM(AR227:AR230)</f>
        <v>4900800</v>
      </c>
      <c r="AS231" s="175">
        <f>SUM(AS227:AS230)</f>
        <v>0</v>
      </c>
      <c r="AT231" s="175">
        <f>SUM(AT227:AT230)</f>
        <v>88989418.45714286</v>
      </c>
      <c r="AU231" s="175">
        <f t="shared" ref="AU231:BB231" si="154">SUM(AU227:AU230)</f>
        <v>84448618.45714286</v>
      </c>
      <c r="AV231" s="175">
        <f t="shared" si="154"/>
        <v>0</v>
      </c>
      <c r="AW231" s="175">
        <f t="shared" si="154"/>
        <v>0</v>
      </c>
      <c r="AX231" s="175">
        <f t="shared" si="154"/>
        <v>0</v>
      </c>
      <c r="AY231" s="175">
        <f t="shared" si="154"/>
        <v>0</v>
      </c>
      <c r="AZ231" s="175">
        <f t="shared" si="154"/>
        <v>0</v>
      </c>
      <c r="BA231" s="175">
        <f t="shared" si="154"/>
        <v>0</v>
      </c>
      <c r="BB231" s="175">
        <f t="shared" si="154"/>
        <v>-4540800</v>
      </c>
      <c r="BC231" s="169"/>
      <c r="BD231" s="169"/>
      <c r="BE231" s="169"/>
      <c r="BF231" s="169"/>
    </row>
    <row r="232" spans="1:58" s="184" customFormat="1" ht="15.75" customHeight="1" x14ac:dyDescent="0.25">
      <c r="A232" s="143"/>
      <c r="B232" s="332"/>
      <c r="C232" s="397" t="s">
        <v>261</v>
      </c>
      <c r="D232" s="397"/>
      <c r="E232" s="398"/>
      <c r="F232" s="291"/>
      <c r="G232" s="340"/>
      <c r="H232" s="144" t="s">
        <v>302</v>
      </c>
      <c r="I232" s="257"/>
      <c r="J232" s="257"/>
      <c r="K232" s="257"/>
      <c r="L232" s="258">
        <f>SUM(L237)</f>
        <v>3124800</v>
      </c>
      <c r="M232" s="258">
        <f>SUM(M237)</f>
        <v>521841.6</v>
      </c>
      <c r="N232" s="257"/>
      <c r="O232" s="257"/>
      <c r="P232" s="257"/>
      <c r="Q232" s="257"/>
      <c r="R232" s="258">
        <f>SUM(R237)</f>
        <v>200000</v>
      </c>
      <c r="S232" s="258">
        <f>SUM(S237)</f>
        <v>150000</v>
      </c>
      <c r="T232" s="258">
        <f>SUM(T237)</f>
        <v>0</v>
      </c>
      <c r="U232" s="258">
        <f>SUM(U237)</f>
        <v>200000</v>
      </c>
      <c r="V232" s="257"/>
      <c r="W232" s="257"/>
      <c r="X232" s="257"/>
      <c r="Y232" s="258">
        <f>SUM(Y237)</f>
        <v>0</v>
      </c>
      <c r="Z232" s="258"/>
      <c r="AA232" s="258"/>
      <c r="AB232" s="258">
        <f>SUM(AB237)</f>
        <v>0</v>
      </c>
      <c r="AC232" s="258">
        <f>SUM(AC237)</f>
        <v>30000</v>
      </c>
      <c r="AD232" s="258">
        <f>SUM(AD237)</f>
        <v>0</v>
      </c>
      <c r="AE232" s="258">
        <f>SUM(AE237)</f>
        <v>116000</v>
      </c>
      <c r="AF232" s="258">
        <f>SUM(AF237)</f>
        <v>696000</v>
      </c>
      <c r="AG232" s="257"/>
      <c r="AH232" s="257"/>
      <c r="AI232" s="257"/>
      <c r="AJ232" s="258">
        <f>SUM(AJ237)</f>
        <v>0</v>
      </c>
      <c r="AK232" s="258">
        <f>SUM(AK237)</f>
        <v>25000000</v>
      </c>
      <c r="AL232" s="258">
        <f>SUM(AL237)</f>
        <v>0</v>
      </c>
      <c r="AM232" s="258">
        <f>SUM(AM237)</f>
        <v>25000000</v>
      </c>
      <c r="AN232" s="258">
        <f>SUM(AN237)</f>
        <v>3750000</v>
      </c>
      <c r="AO232" s="259"/>
      <c r="AP232" s="260"/>
      <c r="AQ232" s="261">
        <f>SUM(AQ237)</f>
        <v>3646641.6</v>
      </c>
      <c r="AR232" s="261">
        <f>SUM(AR237)</f>
        <v>696000</v>
      </c>
      <c r="AS232" s="261">
        <f>SUM(AS237)</f>
        <v>28750000</v>
      </c>
      <c r="AT232" s="261">
        <f>SUM(AT237)</f>
        <v>33092641.600000001</v>
      </c>
      <c r="AU232" s="261">
        <f t="shared" ref="AU232:BB232" si="155">SUM(AU237)</f>
        <v>33092641.600000001</v>
      </c>
      <c r="AV232" s="261">
        <f t="shared" si="155"/>
        <v>0</v>
      </c>
      <c r="AW232" s="261">
        <f t="shared" si="155"/>
        <v>0</v>
      </c>
      <c r="AX232" s="261">
        <f t="shared" si="155"/>
        <v>0</v>
      </c>
      <c r="AY232" s="261">
        <f t="shared" si="155"/>
        <v>0</v>
      </c>
      <c r="AZ232" s="261">
        <f t="shared" si="155"/>
        <v>0</v>
      </c>
      <c r="BA232" s="261">
        <f t="shared" si="155"/>
        <v>0</v>
      </c>
      <c r="BB232" s="261">
        <f t="shared" si="155"/>
        <v>0</v>
      </c>
    </row>
    <row r="233" spans="1:58" ht="78.75" outlineLevel="2" x14ac:dyDescent="0.25">
      <c r="A233" s="115"/>
      <c r="B233" s="200"/>
      <c r="C233" s="201"/>
      <c r="D233" s="342"/>
      <c r="E233" s="328"/>
      <c r="F233" s="328"/>
      <c r="G233" s="328"/>
      <c r="H233" s="213" t="s">
        <v>521</v>
      </c>
      <c r="I233" s="130" t="s">
        <v>3</v>
      </c>
      <c r="J233" s="126">
        <v>3</v>
      </c>
      <c r="K233" s="126">
        <v>10</v>
      </c>
      <c r="L233" s="125">
        <f>IF(I233&lt;&gt;0,((VLOOKUP(I233,'1. Standard_Cost'!$B$4:$D$11,2)+VLOOKUP(I233,'1. Standard_Cost'!$B$4:$D$11,3))*J233*K233),"0")</f>
        <v>3024000</v>
      </c>
      <c r="M233" s="125">
        <f>L233*'1. Standard_Cost'!$F$4</f>
        <v>505008</v>
      </c>
      <c r="N233" s="126"/>
      <c r="O233" s="126"/>
      <c r="P233" s="126"/>
      <c r="Q233" s="126"/>
      <c r="R233" s="127">
        <f>'1. Standard_Cost'!$B$15*N233*P233</f>
        <v>0</v>
      </c>
      <c r="S233" s="127">
        <f>N233*O233*P233*'1. Standard_Cost'!$C$15</f>
        <v>0</v>
      </c>
      <c r="T233" s="127">
        <f>N233*P233*Q233*'1. Standard_Cost'!$D$15</f>
        <v>0</v>
      </c>
      <c r="U233" s="127">
        <f>N233*O233*'1. Standard_Cost'!$E$15</f>
        <v>0</v>
      </c>
      <c r="V233" s="126"/>
      <c r="W233" s="126"/>
      <c r="X233" s="126"/>
      <c r="Y233" s="127">
        <f>+V233*((X233*'1. Standard_Cost'!$B$19)+(W233*X233*'1. Standard_Cost'!$C$19))</f>
        <v>0</v>
      </c>
      <c r="Z233" s="126"/>
      <c r="AA233" s="126"/>
      <c r="AB233" s="127">
        <f>+Z233*'1. Standard_Cost'!$B$23+AA233*'1. Standard_Cost'!$C$23</f>
        <v>0</v>
      </c>
      <c r="AC233" s="128"/>
      <c r="AD233" s="129"/>
      <c r="AE233" s="127">
        <f>SUM(AD233,AC233,AB233,Y233,U233,T233,S233,R233)*'1. Standard_Cost'!$B$31</f>
        <v>0</v>
      </c>
      <c r="AF233" s="127">
        <f>SUM(AE233,AD233,AC233,AB233,Y233,U233,T233,S233,R233)</f>
        <v>0</v>
      </c>
      <c r="AG233" s="126"/>
      <c r="AH233" s="126"/>
      <c r="AI233" s="126"/>
      <c r="AJ233" s="130"/>
      <c r="AK233" s="130">
        <v>25000000</v>
      </c>
      <c r="AL233" s="130"/>
      <c r="AM233" s="127">
        <f>AG233*'1. Standard_Cost'!$B$27+'Incremental_Cost Year 3'!AH233*'1. Standard_Cost'!$C$27+'Incremental_Cost Year 3'!AI233*'1. Standard_Cost'!$D$27+'Incremental_Cost Year 3'!AJ233+'Incremental_Cost Year 3'!AL233+AK233</f>
        <v>25000000</v>
      </c>
      <c r="AN233" s="127">
        <f>AM233*'1. Standard_Cost'!$C$31</f>
        <v>3750000</v>
      </c>
      <c r="AO233" s="130"/>
      <c r="AQ233" s="171">
        <f>L233+M233</f>
        <v>3529008</v>
      </c>
      <c r="AR233" s="171">
        <f>AF233</f>
        <v>0</v>
      </c>
      <c r="AS233" s="171">
        <f>AM233+AN233</f>
        <v>28750000</v>
      </c>
      <c r="AT233" s="171">
        <f>SUM(AQ233,AR233,AS233)</f>
        <v>32279008</v>
      </c>
      <c r="AU233" s="250">
        <f>AT233</f>
        <v>32279008</v>
      </c>
      <c r="AV233" s="250"/>
      <c r="AW233" s="250"/>
      <c r="AX233" s="250"/>
      <c r="AY233" s="250"/>
      <c r="AZ233" s="250"/>
      <c r="BA233" s="250"/>
      <c r="BB233" s="251">
        <f t="shared" ref="BB233:BB236" si="156">SUM(AU233:BA233)-AT233</f>
        <v>0</v>
      </c>
      <c r="BC233" s="169"/>
      <c r="BD233" s="169"/>
      <c r="BE233" s="169"/>
      <c r="BF233" s="169"/>
    </row>
    <row r="234" spans="1:58" ht="94.5" outlineLevel="2" x14ac:dyDescent="0.25">
      <c r="A234" s="115"/>
      <c r="B234" s="200"/>
      <c r="C234" s="201"/>
      <c r="D234" s="343"/>
      <c r="E234" s="328"/>
      <c r="F234" s="328"/>
      <c r="G234" s="328"/>
      <c r="H234" s="199" t="s">
        <v>522</v>
      </c>
      <c r="I234" s="130" t="s">
        <v>3</v>
      </c>
      <c r="J234" s="126">
        <v>0.5</v>
      </c>
      <c r="K234" s="126">
        <v>2</v>
      </c>
      <c r="L234" s="125">
        <f>IF(I234&lt;&gt;0,((VLOOKUP(I234,'1. Standard_Cost'!$B$4:$D$11,2)+VLOOKUP(I234,'1. Standard_Cost'!$B$4:$D$11,3))*J234*K234),"0")</f>
        <v>100800</v>
      </c>
      <c r="M234" s="125">
        <f>L234*'1. Standard_Cost'!$F$4</f>
        <v>16833.600000000002</v>
      </c>
      <c r="N234" s="126">
        <v>5</v>
      </c>
      <c r="O234" s="126">
        <v>1</v>
      </c>
      <c r="P234" s="126">
        <v>20</v>
      </c>
      <c r="Q234" s="126"/>
      <c r="R234" s="127">
        <f>'1. Standard_Cost'!$B$15*N234*P234</f>
        <v>200000</v>
      </c>
      <c r="S234" s="127">
        <f>N234*O234*P234*'1. Standard_Cost'!$C$15</f>
        <v>150000</v>
      </c>
      <c r="T234" s="127">
        <f>N234*P234*Q234*'1. Standard_Cost'!$D$15</f>
        <v>0</v>
      </c>
      <c r="U234" s="127">
        <f>N234*O234*'1. Standard_Cost'!$E$15</f>
        <v>200000</v>
      </c>
      <c r="V234" s="126"/>
      <c r="W234" s="126"/>
      <c r="X234" s="126"/>
      <c r="Y234" s="127">
        <f>+V234*((X234*'1. Standard_Cost'!$B$19)+(W234*X234*'1. Standard_Cost'!$C$19))</f>
        <v>0</v>
      </c>
      <c r="Z234" s="126"/>
      <c r="AA234" s="126"/>
      <c r="AB234" s="127">
        <f>+Z234*'1. Standard_Cost'!$B$23+AA234*'1. Standard_Cost'!$C$23</f>
        <v>0</v>
      </c>
      <c r="AC234" s="128">
        <f>100*300</f>
        <v>30000</v>
      </c>
      <c r="AD234" s="129"/>
      <c r="AE234" s="127">
        <f>SUM(AD234,AC234,AB234,Y234,U234,T234,S234,R234)*'1. Standard_Cost'!$B$31</f>
        <v>116000</v>
      </c>
      <c r="AF234" s="127">
        <f>SUM(AE234,AD234,AC234,AB234,Y234,U234,T234,S234,R234)</f>
        <v>696000</v>
      </c>
      <c r="AG234" s="126"/>
      <c r="AH234" s="126"/>
      <c r="AI234" s="126"/>
      <c r="AJ234" s="130"/>
      <c r="AK234" s="130"/>
      <c r="AL234" s="130"/>
      <c r="AM234" s="127">
        <f>AG234*'1. Standard_Cost'!$B$27+'Incremental_Cost Year 3'!AH234*'1. Standard_Cost'!$C$27+'Incremental_Cost Year 3'!AI234*'1. Standard_Cost'!$D$27+'Incremental_Cost Year 3'!AJ234+'Incremental_Cost Year 3'!AL234+AK234</f>
        <v>0</v>
      </c>
      <c r="AN234" s="127">
        <f>AM234*'1. Standard_Cost'!$C$31</f>
        <v>0</v>
      </c>
      <c r="AO234" s="130"/>
      <c r="AQ234" s="171">
        <f>L234+M234</f>
        <v>117633.60000000001</v>
      </c>
      <c r="AR234" s="171">
        <f>AF234</f>
        <v>696000</v>
      </c>
      <c r="AS234" s="171">
        <f>AM234+AN234</f>
        <v>0</v>
      </c>
      <c r="AT234" s="171">
        <f>SUM(AQ234,AR234,AS234)</f>
        <v>813633.6</v>
      </c>
      <c r="AU234" s="250">
        <f>AT234</f>
        <v>813633.6</v>
      </c>
      <c r="AV234" s="250"/>
      <c r="AW234" s="250"/>
      <c r="AX234" s="250"/>
      <c r="AY234" s="250"/>
      <c r="AZ234" s="250"/>
      <c r="BA234" s="250"/>
      <c r="BB234" s="251">
        <f t="shared" si="156"/>
        <v>0</v>
      </c>
      <c r="BC234" s="169"/>
      <c r="BD234" s="169"/>
      <c r="BE234" s="169"/>
      <c r="BF234" s="169"/>
    </row>
    <row r="235" spans="1:58" ht="94.5" outlineLevel="2" x14ac:dyDescent="0.25">
      <c r="A235" s="115"/>
      <c r="B235" s="200"/>
      <c r="C235" s="201"/>
      <c r="D235" s="343"/>
      <c r="E235" s="328"/>
      <c r="F235" s="328"/>
      <c r="G235" s="328"/>
      <c r="H235" s="199" t="s">
        <v>523</v>
      </c>
      <c r="I235" s="130"/>
      <c r="J235" s="126"/>
      <c r="K235" s="126"/>
      <c r="L235" s="125" t="str">
        <f>IF(I235&lt;&gt;0,((VLOOKUP(I235,'1. Standard_Cost'!$B$4:$D$11,2)+VLOOKUP(I235,'1. Standard_Cost'!$B$4:$D$11,3))*J235*K235),"0")</f>
        <v>0</v>
      </c>
      <c r="M235" s="125">
        <f>L235*'1. Standard_Cost'!$F$4</f>
        <v>0</v>
      </c>
      <c r="N235" s="126"/>
      <c r="O235" s="126"/>
      <c r="P235" s="126"/>
      <c r="Q235" s="126"/>
      <c r="R235" s="127">
        <f>'1. Standard_Cost'!$B$15*N235*P235</f>
        <v>0</v>
      </c>
      <c r="S235" s="127">
        <f>N235*O235*P235*'1. Standard_Cost'!$C$15</f>
        <v>0</v>
      </c>
      <c r="T235" s="127">
        <f>N235*P235*Q235*'1. Standard_Cost'!$D$15</f>
        <v>0</v>
      </c>
      <c r="U235" s="127">
        <f>N235*O235*'1. Standard_Cost'!$E$15</f>
        <v>0</v>
      </c>
      <c r="V235" s="126"/>
      <c r="W235" s="126"/>
      <c r="X235" s="126"/>
      <c r="Y235" s="127">
        <f>+V235*((X235*'1. Standard_Cost'!$B$19)+(W235*X235*'1. Standard_Cost'!$C$19))</f>
        <v>0</v>
      </c>
      <c r="Z235" s="126"/>
      <c r="AA235" s="126"/>
      <c r="AB235" s="127">
        <f>+Z235*'1. Standard_Cost'!$B$23+AA235*'1. Standard_Cost'!$C$23</f>
        <v>0</v>
      </c>
      <c r="AC235" s="128"/>
      <c r="AD235" s="129"/>
      <c r="AE235" s="127">
        <f>SUM(AD235,AC235,AB235,Y235,U235,T235,S235,R235)*'1. Standard_Cost'!$B$31</f>
        <v>0</v>
      </c>
      <c r="AF235" s="127">
        <f>SUM(AE235,AD235,AC235,AB235,Y235,U235,T235,S235,R235)</f>
        <v>0</v>
      </c>
      <c r="AG235" s="126"/>
      <c r="AH235" s="126"/>
      <c r="AI235" s="126"/>
      <c r="AJ235" s="130"/>
      <c r="AK235" s="130"/>
      <c r="AL235" s="130"/>
      <c r="AM235" s="127">
        <f>AG235*'1. Standard_Cost'!$B$27+'Incremental_Cost Year 3'!AH235*'1. Standard_Cost'!$C$27+'Incremental_Cost Year 3'!AI235*'1. Standard_Cost'!$D$27+'Incremental_Cost Year 3'!AJ235+'Incremental_Cost Year 3'!AL235+AK235</f>
        <v>0</v>
      </c>
      <c r="AN235" s="127">
        <f>AM235*'1. Standard_Cost'!$C$31</f>
        <v>0</v>
      </c>
      <c r="AO235" s="130"/>
      <c r="AQ235" s="171">
        <f>L235+M235</f>
        <v>0</v>
      </c>
      <c r="AR235" s="171">
        <f>AF235</f>
        <v>0</v>
      </c>
      <c r="AS235" s="171">
        <f>AM235+AN235</f>
        <v>0</v>
      </c>
      <c r="AT235" s="171">
        <f>SUM(AQ235,AR235,AS235)</f>
        <v>0</v>
      </c>
      <c r="AU235" s="250"/>
      <c r="AV235" s="250"/>
      <c r="AW235" s="250"/>
      <c r="AX235" s="250"/>
      <c r="AY235" s="250"/>
      <c r="AZ235" s="250"/>
      <c r="BA235" s="250"/>
      <c r="BB235" s="251">
        <f t="shared" si="156"/>
        <v>0</v>
      </c>
      <c r="BC235" s="169"/>
      <c r="BD235" s="169"/>
      <c r="BE235" s="169"/>
      <c r="BF235" s="169"/>
    </row>
    <row r="236" spans="1:58" ht="78.75" outlineLevel="2" x14ac:dyDescent="0.25">
      <c r="A236" s="115"/>
      <c r="B236" s="200"/>
      <c r="C236" s="201"/>
      <c r="D236" s="344"/>
      <c r="E236" s="328"/>
      <c r="F236" s="328"/>
      <c r="G236" s="328"/>
      <c r="H236" s="199" t="s">
        <v>524</v>
      </c>
      <c r="I236" s="130"/>
      <c r="J236" s="126"/>
      <c r="K236" s="126"/>
      <c r="L236" s="125" t="str">
        <f>IF(I236&lt;&gt;0,((VLOOKUP(I236,'1. Standard_Cost'!$B$4:$D$11,2)+VLOOKUP(I236,'1. Standard_Cost'!$B$4:$D$11,3))*J236*K236),"0")</f>
        <v>0</v>
      </c>
      <c r="M236" s="125">
        <f>L236*'1. Standard_Cost'!$F$4</f>
        <v>0</v>
      </c>
      <c r="N236" s="126"/>
      <c r="O236" s="126"/>
      <c r="P236" s="126"/>
      <c r="Q236" s="126"/>
      <c r="R236" s="127">
        <f>'1. Standard_Cost'!$B$15*N236*P236</f>
        <v>0</v>
      </c>
      <c r="S236" s="127">
        <f>N236*O236*P236*'1. Standard_Cost'!$C$15</f>
        <v>0</v>
      </c>
      <c r="T236" s="127">
        <f>N236*P236*Q236*'1. Standard_Cost'!$D$15</f>
        <v>0</v>
      </c>
      <c r="U236" s="127">
        <f>N236*O236*'1. Standard_Cost'!$E$15</f>
        <v>0</v>
      </c>
      <c r="V236" s="126"/>
      <c r="W236" s="126"/>
      <c r="X236" s="126"/>
      <c r="Y236" s="127">
        <f>+V236*((X236*'1. Standard_Cost'!$B$19)+(W236*X236*'1. Standard_Cost'!$C$19))</f>
        <v>0</v>
      </c>
      <c r="Z236" s="126"/>
      <c r="AA236" s="126"/>
      <c r="AB236" s="127">
        <f>+Z236*'1. Standard_Cost'!$B$23+AA236*'1. Standard_Cost'!$C$23</f>
        <v>0</v>
      </c>
      <c r="AC236" s="128"/>
      <c r="AD236" s="129"/>
      <c r="AE236" s="127">
        <f>SUM(AD236,AC236,AB236,Y236,U236,T236,S236,R236)*'1. Standard_Cost'!$B$31</f>
        <v>0</v>
      </c>
      <c r="AF236" s="127">
        <f>SUM(AE236,AD236,AC236,AB236,Y236,U236,T236,S236,R236)</f>
        <v>0</v>
      </c>
      <c r="AG236" s="126"/>
      <c r="AH236" s="126"/>
      <c r="AI236" s="126"/>
      <c r="AJ236" s="130"/>
      <c r="AK236" s="130"/>
      <c r="AL236" s="130"/>
      <c r="AM236" s="127">
        <f>AG236*'1. Standard_Cost'!$B$27+'Incremental_Cost Year 3'!AH236*'1. Standard_Cost'!$C$27+'Incremental_Cost Year 3'!AI236*'1. Standard_Cost'!$D$27+'Incremental_Cost Year 3'!AJ236+'Incremental_Cost Year 3'!AL236+AK236</f>
        <v>0</v>
      </c>
      <c r="AN236" s="127">
        <f>AM236*'1. Standard_Cost'!$C$31</f>
        <v>0</v>
      </c>
      <c r="AO236" s="130"/>
      <c r="AQ236" s="171">
        <f>L236+M236</f>
        <v>0</v>
      </c>
      <c r="AR236" s="171">
        <f>AF236</f>
        <v>0</v>
      </c>
      <c r="AS236" s="171">
        <f>AM236+AN236</f>
        <v>0</v>
      </c>
      <c r="AT236" s="171">
        <f>SUM(AQ236,AR236,AS236)</f>
        <v>0</v>
      </c>
      <c r="AU236" s="250"/>
      <c r="AV236" s="250"/>
      <c r="AW236" s="250"/>
      <c r="AX236" s="250"/>
      <c r="AY236" s="250"/>
      <c r="AZ236" s="250"/>
      <c r="BA236" s="250"/>
      <c r="BB236" s="251">
        <f t="shared" si="156"/>
        <v>0</v>
      </c>
      <c r="BC236" s="169"/>
      <c r="BD236" s="169"/>
      <c r="BE236" s="169"/>
      <c r="BF236" s="169"/>
    </row>
    <row r="237" spans="1:58" ht="63" outlineLevel="1" x14ac:dyDescent="0.25">
      <c r="A237" s="115"/>
      <c r="B237" s="165"/>
      <c r="C237" s="166"/>
      <c r="D237" s="209" t="s">
        <v>563</v>
      </c>
      <c r="E237" s="212" t="s">
        <v>263</v>
      </c>
      <c r="F237" s="136">
        <v>2023</v>
      </c>
      <c r="G237" s="117">
        <v>2025</v>
      </c>
      <c r="H237" s="150" t="s">
        <v>264</v>
      </c>
      <c r="I237" s="252"/>
      <c r="J237" s="252"/>
      <c r="K237" s="252"/>
      <c r="L237" s="127">
        <f>SUM(L233:L236)</f>
        <v>3124800</v>
      </c>
      <c r="M237" s="127">
        <f>SUM(M233:M236)</f>
        <v>521841.6</v>
      </c>
      <c r="N237" s="252"/>
      <c r="O237" s="252"/>
      <c r="P237" s="252"/>
      <c r="Q237" s="252"/>
      <c r="R237" s="127">
        <f>SUM(R233:R236)</f>
        <v>200000</v>
      </c>
      <c r="S237" s="127">
        <f>SUM(S233:S236)</f>
        <v>150000</v>
      </c>
      <c r="T237" s="127">
        <f>SUM(T233:T236)</f>
        <v>0</v>
      </c>
      <c r="U237" s="127">
        <f>SUM(U233:U236)</f>
        <v>200000</v>
      </c>
      <c r="V237" s="252"/>
      <c r="W237" s="252"/>
      <c r="X237" s="252"/>
      <c r="Y237" s="127">
        <f>SUM(Y233:Y236)</f>
        <v>0</v>
      </c>
      <c r="Z237" s="127"/>
      <c r="AA237" s="252"/>
      <c r="AB237" s="127">
        <f>SUM(AB233:AB236)</f>
        <v>0</v>
      </c>
      <c r="AC237" s="127">
        <f>SUM(AC233:AC236)</f>
        <v>30000</v>
      </c>
      <c r="AD237" s="127">
        <f>SUM(AD233:AD236)</f>
        <v>0</v>
      </c>
      <c r="AE237" s="127">
        <f>SUM(AE233:AE236)</f>
        <v>116000</v>
      </c>
      <c r="AF237" s="127">
        <f>SUM(AF233:AF236)</f>
        <v>696000</v>
      </c>
      <c r="AG237" s="252"/>
      <c r="AH237" s="252"/>
      <c r="AI237" s="252"/>
      <c r="AJ237" s="127">
        <f>SUM(AJ233:AJ236)</f>
        <v>0</v>
      </c>
      <c r="AK237" s="127">
        <f>SUM(AK233:AK236)</f>
        <v>25000000</v>
      </c>
      <c r="AL237" s="127">
        <f>SUM(AL233:AL236)</f>
        <v>0</v>
      </c>
      <c r="AM237" s="127">
        <f>SUM(AM233:AM236)</f>
        <v>25000000</v>
      </c>
      <c r="AN237" s="127">
        <f>SUM(AN233:AN236)</f>
        <v>3750000</v>
      </c>
      <c r="AO237" s="253"/>
      <c r="AP237" s="254"/>
      <c r="AQ237" s="175">
        <f>SUM(AQ233:AQ236)</f>
        <v>3646641.6</v>
      </c>
      <c r="AR237" s="175">
        <f>SUM(AR233:AR236)</f>
        <v>696000</v>
      </c>
      <c r="AS237" s="175">
        <f>SUM(AS233:AS236)</f>
        <v>28750000</v>
      </c>
      <c r="AT237" s="175">
        <f>SUM(AT233:AT236)</f>
        <v>33092641.600000001</v>
      </c>
      <c r="AU237" s="175">
        <f t="shared" ref="AU237:BB237" si="157">SUM(AU233:AU236)</f>
        <v>33092641.600000001</v>
      </c>
      <c r="AV237" s="175">
        <f t="shared" si="157"/>
        <v>0</v>
      </c>
      <c r="AW237" s="175">
        <f t="shared" si="157"/>
        <v>0</v>
      </c>
      <c r="AX237" s="175">
        <f t="shared" si="157"/>
        <v>0</v>
      </c>
      <c r="AY237" s="175">
        <f t="shared" si="157"/>
        <v>0</v>
      </c>
      <c r="AZ237" s="175">
        <f t="shared" si="157"/>
        <v>0</v>
      </c>
      <c r="BA237" s="175">
        <f t="shared" si="157"/>
        <v>0</v>
      </c>
      <c r="BB237" s="175">
        <f t="shared" si="157"/>
        <v>0</v>
      </c>
      <c r="BC237" s="169"/>
      <c r="BD237" s="169"/>
      <c r="BE237" s="169"/>
      <c r="BF237" s="169"/>
    </row>
    <row r="238" spans="1:58" s="184" customFormat="1" ht="15.75" customHeight="1" x14ac:dyDescent="0.25">
      <c r="A238" s="143"/>
      <c r="B238" s="332"/>
      <c r="C238" s="397" t="s">
        <v>265</v>
      </c>
      <c r="D238" s="397"/>
      <c r="E238" s="398"/>
      <c r="F238" s="291"/>
      <c r="G238" s="340"/>
      <c r="H238" s="144" t="s">
        <v>303</v>
      </c>
      <c r="I238" s="257"/>
      <c r="J238" s="257"/>
      <c r="K238" s="257"/>
      <c r="L238" s="258">
        <f>SUM(L243)</f>
        <v>3024000</v>
      </c>
      <c r="M238" s="258">
        <f>SUM(M243)</f>
        <v>505008</v>
      </c>
      <c r="N238" s="257"/>
      <c r="O238" s="257"/>
      <c r="P238" s="257"/>
      <c r="Q238" s="257"/>
      <c r="R238" s="258">
        <f>SUM(R243)</f>
        <v>0</v>
      </c>
      <c r="S238" s="258">
        <f>SUM(S243)</f>
        <v>0</v>
      </c>
      <c r="T238" s="258">
        <f>SUM(T243)</f>
        <v>0</v>
      </c>
      <c r="U238" s="258">
        <f>SUM(U243)</f>
        <v>0</v>
      </c>
      <c r="V238" s="257"/>
      <c r="W238" s="257"/>
      <c r="X238" s="257"/>
      <c r="Y238" s="258">
        <f>SUM(Y243)</f>
        <v>0</v>
      </c>
      <c r="Z238" s="258"/>
      <c r="AA238" s="258"/>
      <c r="AB238" s="258">
        <f>SUM(AB243)</f>
        <v>0</v>
      </c>
      <c r="AC238" s="258">
        <f>SUM(AC243)</f>
        <v>0</v>
      </c>
      <c r="AD238" s="258">
        <f>SUM(AD243)</f>
        <v>0</v>
      </c>
      <c r="AE238" s="258">
        <f>SUM(AE243)</f>
        <v>0</v>
      </c>
      <c r="AF238" s="258">
        <f>SUM(AF243)</f>
        <v>0</v>
      </c>
      <c r="AG238" s="257"/>
      <c r="AH238" s="257"/>
      <c r="AI238" s="257"/>
      <c r="AJ238" s="258">
        <f>SUM(AJ243)</f>
        <v>0</v>
      </c>
      <c r="AK238" s="258">
        <f>SUM(AK243)</f>
        <v>25000000</v>
      </c>
      <c r="AL238" s="258">
        <f>SUM(AL243)</f>
        <v>0</v>
      </c>
      <c r="AM238" s="258">
        <f>SUM(AM243)</f>
        <v>25000000</v>
      </c>
      <c r="AN238" s="258">
        <f>SUM(AN243)</f>
        <v>3750000</v>
      </c>
      <c r="AO238" s="259"/>
      <c r="AP238" s="260"/>
      <c r="AQ238" s="261">
        <f>SUM(AQ243)</f>
        <v>3529008</v>
      </c>
      <c r="AR238" s="261">
        <f>SUM(AR243)</f>
        <v>0</v>
      </c>
      <c r="AS238" s="261">
        <f>SUM(AS243)</f>
        <v>28750000</v>
      </c>
      <c r="AT238" s="261">
        <f>SUM(AT243)</f>
        <v>32279008</v>
      </c>
      <c r="AU238" s="261">
        <f t="shared" ref="AU238:BB238" si="158">SUM(AU243)</f>
        <v>32279008</v>
      </c>
      <c r="AV238" s="261">
        <f t="shared" si="158"/>
        <v>0</v>
      </c>
      <c r="AW238" s="261">
        <f t="shared" si="158"/>
        <v>0</v>
      </c>
      <c r="AX238" s="261">
        <f t="shared" si="158"/>
        <v>0</v>
      </c>
      <c r="AY238" s="261">
        <f t="shared" si="158"/>
        <v>0</v>
      </c>
      <c r="AZ238" s="261">
        <f t="shared" si="158"/>
        <v>0</v>
      </c>
      <c r="BA238" s="261">
        <f t="shared" si="158"/>
        <v>0</v>
      </c>
      <c r="BB238" s="261">
        <f t="shared" si="158"/>
        <v>0</v>
      </c>
    </row>
    <row r="239" spans="1:58" ht="63" outlineLevel="2" x14ac:dyDescent="0.25">
      <c r="A239" s="115"/>
      <c r="B239" s="200"/>
      <c r="C239" s="201"/>
      <c r="D239" s="202"/>
      <c r="E239" s="354"/>
      <c r="F239" s="355"/>
      <c r="G239" s="356"/>
      <c r="H239" s="199" t="s">
        <v>525</v>
      </c>
      <c r="I239" s="130"/>
      <c r="J239" s="126"/>
      <c r="K239" s="126"/>
      <c r="L239" s="125" t="str">
        <f>IF(I239&lt;&gt;0,((VLOOKUP(I239,'1. Standard_Cost'!$B$4:$D$11,2)+VLOOKUP(I239,'1. Standard_Cost'!$B$4:$D$11,3))*J239*K239),"0")</f>
        <v>0</v>
      </c>
      <c r="M239" s="125">
        <f>L239*'1. Standard_Cost'!$F$4</f>
        <v>0</v>
      </c>
      <c r="N239" s="126"/>
      <c r="O239" s="126"/>
      <c r="P239" s="126"/>
      <c r="Q239" s="126"/>
      <c r="R239" s="127">
        <f>'1. Standard_Cost'!$B$15*N239*P239</f>
        <v>0</v>
      </c>
      <c r="S239" s="127">
        <f>N239*O239*P239*'1. Standard_Cost'!$C$15</f>
        <v>0</v>
      </c>
      <c r="T239" s="127">
        <f>N239*P239*Q239*'1. Standard_Cost'!$D$15</f>
        <v>0</v>
      </c>
      <c r="U239" s="127">
        <f>N239*O239*'1. Standard_Cost'!$E$15</f>
        <v>0</v>
      </c>
      <c r="V239" s="126"/>
      <c r="W239" s="126"/>
      <c r="X239" s="126"/>
      <c r="Y239" s="127">
        <f>+V239*((X239*'1. Standard_Cost'!$B$19)+(W239*X239*'1. Standard_Cost'!$C$19))</f>
        <v>0</v>
      </c>
      <c r="Z239" s="126"/>
      <c r="AA239" s="126"/>
      <c r="AB239" s="127">
        <f>+Z239*'1. Standard_Cost'!$B$23+AA239*'1. Standard_Cost'!$C$23</f>
        <v>0</v>
      </c>
      <c r="AC239" s="128"/>
      <c r="AD239" s="129"/>
      <c r="AE239" s="127">
        <f>SUM(AD239,AC239,AB239,Y239,U239,T239,S239,R239)*'1. Standard_Cost'!$B$31</f>
        <v>0</v>
      </c>
      <c r="AF239" s="127">
        <f>SUM(AE239,AD239,AC239,AB239,Y239,U239,T239,S239,R239)</f>
        <v>0</v>
      </c>
      <c r="AG239" s="126"/>
      <c r="AH239" s="126"/>
      <c r="AI239" s="126"/>
      <c r="AJ239" s="130"/>
      <c r="AK239" s="130"/>
      <c r="AL239" s="130"/>
      <c r="AM239" s="127">
        <f>AG239*'1. Standard_Cost'!$B$27+'Incremental_Cost Year 3'!AH239*'1. Standard_Cost'!$C$27+'Incremental_Cost Year 3'!AI239*'1. Standard_Cost'!$D$27+'Incremental_Cost Year 3'!AJ239+'Incremental_Cost Year 3'!AL239+AK239</f>
        <v>0</v>
      </c>
      <c r="AN239" s="127">
        <f>AM239*'1. Standard_Cost'!$C$31</f>
        <v>0</v>
      </c>
      <c r="AO239" s="130"/>
      <c r="AQ239" s="171">
        <f>L239+M239</f>
        <v>0</v>
      </c>
      <c r="AR239" s="171">
        <f>AF239</f>
        <v>0</v>
      </c>
      <c r="AS239" s="171">
        <f>AM239+AN239</f>
        <v>0</v>
      </c>
      <c r="AT239" s="171">
        <f>SUM(AQ239,AR239,AS239)</f>
        <v>0</v>
      </c>
      <c r="AU239" s="250">
        <f>AT239</f>
        <v>0</v>
      </c>
      <c r="AV239" s="250"/>
      <c r="AW239" s="250"/>
      <c r="AX239" s="250"/>
      <c r="AY239" s="250"/>
      <c r="AZ239" s="250"/>
      <c r="BA239" s="250"/>
      <c r="BB239" s="251">
        <f t="shared" ref="BB239:BB242" si="159">SUM(AU239:BA239)-AT239</f>
        <v>0</v>
      </c>
      <c r="BC239" s="169"/>
      <c r="BD239" s="169"/>
      <c r="BE239" s="169"/>
      <c r="BF239" s="169"/>
    </row>
    <row r="240" spans="1:58" ht="31.5" outlineLevel="2" x14ac:dyDescent="0.25">
      <c r="A240" s="115"/>
      <c r="B240" s="200"/>
      <c r="C240" s="201"/>
      <c r="D240" s="202"/>
      <c r="E240" s="357"/>
      <c r="F240" s="358"/>
      <c r="G240" s="359"/>
      <c r="H240" s="199" t="s">
        <v>526</v>
      </c>
      <c r="I240" s="130"/>
      <c r="J240" s="126"/>
      <c r="K240" s="126"/>
      <c r="L240" s="125" t="str">
        <f>IF(I240&lt;&gt;0,((VLOOKUP(I240,'1. Standard_Cost'!$B$4:$D$11,2)+VLOOKUP(I240,'1. Standard_Cost'!$B$4:$D$11,3))*J240*K240),"0")</f>
        <v>0</v>
      </c>
      <c r="M240" s="125">
        <f>L240*'1. Standard_Cost'!$F$4</f>
        <v>0</v>
      </c>
      <c r="N240" s="126"/>
      <c r="O240" s="126"/>
      <c r="P240" s="126"/>
      <c r="Q240" s="126"/>
      <c r="R240" s="127">
        <f>'1. Standard_Cost'!$B$15*N240*P240</f>
        <v>0</v>
      </c>
      <c r="S240" s="127">
        <f>N240*O240*P240*'1. Standard_Cost'!$C$15</f>
        <v>0</v>
      </c>
      <c r="T240" s="127">
        <f>N240*P240*Q240*'1. Standard_Cost'!$D$15</f>
        <v>0</v>
      </c>
      <c r="U240" s="127">
        <f>N240*O240*'1. Standard_Cost'!$E$15</f>
        <v>0</v>
      </c>
      <c r="V240" s="126"/>
      <c r="W240" s="126"/>
      <c r="X240" s="126"/>
      <c r="Y240" s="127">
        <f>+V240*((X240*'1. Standard_Cost'!$B$19)+(W240*X240*'1. Standard_Cost'!$C$19))</f>
        <v>0</v>
      </c>
      <c r="Z240" s="126"/>
      <c r="AA240" s="126"/>
      <c r="AB240" s="127">
        <f>+Z240*'1. Standard_Cost'!$B$23+AA240*'1. Standard_Cost'!$C$23</f>
        <v>0</v>
      </c>
      <c r="AC240" s="128"/>
      <c r="AD240" s="129"/>
      <c r="AE240" s="127">
        <f>SUM(AD240,AC240,AB240,Y240,U240,T240,S240,R240)*'1. Standard_Cost'!$B$31</f>
        <v>0</v>
      </c>
      <c r="AF240" s="127">
        <f>SUM(AE240,AD240,AC240,AB240,Y240,U240,T240,S240,R240)</f>
        <v>0</v>
      </c>
      <c r="AG240" s="126"/>
      <c r="AH240" s="126"/>
      <c r="AI240" s="126"/>
      <c r="AJ240" s="130"/>
      <c r="AK240" s="130"/>
      <c r="AL240" s="130"/>
      <c r="AM240" s="127">
        <f>AG240*'1. Standard_Cost'!$B$27+'Incremental_Cost Year 3'!AH240*'1. Standard_Cost'!$C$27+'Incremental_Cost Year 3'!AI240*'1. Standard_Cost'!$D$27+'Incremental_Cost Year 3'!AJ240+'Incremental_Cost Year 3'!AL240+AK240</f>
        <v>0</v>
      </c>
      <c r="AN240" s="127">
        <f>AM240*'1. Standard_Cost'!$C$31</f>
        <v>0</v>
      </c>
      <c r="AO240" s="130"/>
      <c r="AQ240" s="171">
        <f>L240+M240</f>
        <v>0</v>
      </c>
      <c r="AR240" s="171">
        <f>AF240</f>
        <v>0</v>
      </c>
      <c r="AS240" s="171">
        <f>AM240+AN240</f>
        <v>0</v>
      </c>
      <c r="AT240" s="171">
        <f>SUM(AQ240,AR240,AS240)</f>
        <v>0</v>
      </c>
      <c r="AU240" s="250">
        <f>AT240</f>
        <v>0</v>
      </c>
      <c r="AV240" s="250"/>
      <c r="AW240" s="250"/>
      <c r="AX240" s="250"/>
      <c r="AY240" s="250"/>
      <c r="AZ240" s="250"/>
      <c r="BA240" s="250"/>
      <c r="BB240" s="251">
        <f t="shared" si="159"/>
        <v>0</v>
      </c>
      <c r="BC240" s="169"/>
      <c r="BD240" s="169"/>
      <c r="BE240" s="169"/>
      <c r="BF240" s="169"/>
    </row>
    <row r="241" spans="1:58" ht="47.25" outlineLevel="2" x14ac:dyDescent="0.25">
      <c r="A241" s="115"/>
      <c r="B241" s="200"/>
      <c r="C241" s="201"/>
      <c r="D241" s="202"/>
      <c r="E241" s="357"/>
      <c r="F241" s="358"/>
      <c r="G241" s="359"/>
      <c r="H241" s="199" t="s">
        <v>527</v>
      </c>
      <c r="I241" s="130"/>
      <c r="J241" s="126"/>
      <c r="K241" s="126"/>
      <c r="L241" s="125" t="str">
        <f>IF(I241&lt;&gt;0,((VLOOKUP(I241,'1. Standard_Cost'!$B$4:$D$11,2)+VLOOKUP(I241,'1. Standard_Cost'!$B$4:$D$11,3))*J241*K241),"0")</f>
        <v>0</v>
      </c>
      <c r="M241" s="125">
        <f>L241*'1. Standard_Cost'!$F$4</f>
        <v>0</v>
      </c>
      <c r="N241" s="126"/>
      <c r="O241" s="126"/>
      <c r="P241" s="126"/>
      <c r="Q241" s="126"/>
      <c r="R241" s="127">
        <f>'1. Standard_Cost'!$B$15*N241*P241</f>
        <v>0</v>
      </c>
      <c r="S241" s="127">
        <f>N241*O241*P241*'1. Standard_Cost'!$C$15</f>
        <v>0</v>
      </c>
      <c r="T241" s="127">
        <f>N241*P241*Q241*'1. Standard_Cost'!$D$15</f>
        <v>0</v>
      </c>
      <c r="U241" s="127">
        <f>N241*O241*'1. Standard_Cost'!$E$15</f>
        <v>0</v>
      </c>
      <c r="V241" s="126"/>
      <c r="W241" s="126"/>
      <c r="X241" s="126"/>
      <c r="Y241" s="127">
        <f>+V241*((X241*'1. Standard_Cost'!$B$19)+(W241*X241*'1. Standard_Cost'!$C$19))</f>
        <v>0</v>
      </c>
      <c r="Z241" s="126"/>
      <c r="AA241" s="126"/>
      <c r="AB241" s="127">
        <f>+Z241*'1. Standard_Cost'!$B$23+AA241*'1. Standard_Cost'!$C$23</f>
        <v>0</v>
      </c>
      <c r="AC241" s="128"/>
      <c r="AD241" s="129"/>
      <c r="AE241" s="127">
        <f>SUM(AD241,AC241,AB241,Y241,U241,T241,S241,R241)*'1. Standard_Cost'!$B$31</f>
        <v>0</v>
      </c>
      <c r="AF241" s="127">
        <f>SUM(AE241,AD241,AC241,AB241,Y241,U241,T241,S241,R241)</f>
        <v>0</v>
      </c>
      <c r="AG241" s="126"/>
      <c r="AH241" s="126"/>
      <c r="AI241" s="126"/>
      <c r="AJ241" s="130"/>
      <c r="AK241" s="130"/>
      <c r="AL241" s="130"/>
      <c r="AM241" s="127">
        <f>AG241*'1. Standard_Cost'!$B$27+'Incremental_Cost Year 3'!AH241*'1. Standard_Cost'!$C$27+'Incremental_Cost Year 3'!AI241*'1. Standard_Cost'!$D$27+'Incremental_Cost Year 3'!AJ241+'Incremental_Cost Year 3'!AL241+AK241</f>
        <v>0</v>
      </c>
      <c r="AN241" s="127">
        <f>AM241*'1. Standard_Cost'!$C$31</f>
        <v>0</v>
      </c>
      <c r="AO241" s="130"/>
      <c r="AQ241" s="171">
        <f>L241+M241</f>
        <v>0</v>
      </c>
      <c r="AR241" s="171">
        <f>AF241</f>
        <v>0</v>
      </c>
      <c r="AS241" s="171">
        <f>AM241+AN241</f>
        <v>0</v>
      </c>
      <c r="AT241" s="171">
        <f>SUM(AQ241,AR241,AS241)</f>
        <v>0</v>
      </c>
      <c r="AU241" s="250">
        <f>AT241</f>
        <v>0</v>
      </c>
      <c r="AV241" s="250"/>
      <c r="AW241" s="250"/>
      <c r="AX241" s="250"/>
      <c r="AY241" s="250"/>
      <c r="AZ241" s="250"/>
      <c r="BA241" s="250"/>
      <c r="BB241" s="251">
        <f t="shared" si="159"/>
        <v>0</v>
      </c>
      <c r="BC241" s="169"/>
      <c r="BD241" s="169"/>
      <c r="BE241" s="169"/>
      <c r="BF241" s="169"/>
    </row>
    <row r="242" spans="1:58" ht="94.5" outlineLevel="2" x14ac:dyDescent="0.25">
      <c r="A242" s="115"/>
      <c r="B242" s="200"/>
      <c r="C242" s="201"/>
      <c r="D242" s="202"/>
      <c r="E242" s="360"/>
      <c r="F242" s="361"/>
      <c r="G242" s="362"/>
      <c r="H242" s="213" t="s">
        <v>528</v>
      </c>
      <c r="I242" s="130" t="s">
        <v>3</v>
      </c>
      <c r="J242" s="126">
        <v>3</v>
      </c>
      <c r="K242" s="126">
        <v>10</v>
      </c>
      <c r="L242" s="125">
        <f>IF(I242&lt;&gt;0,((VLOOKUP(I242,'1. Standard_Cost'!$B$4:$D$11,2)+VLOOKUP(I242,'1. Standard_Cost'!$B$4:$D$11,3))*J242*K242),"0")</f>
        <v>3024000</v>
      </c>
      <c r="M242" s="125">
        <f>L242*'1. Standard_Cost'!$F$4</f>
        <v>505008</v>
      </c>
      <c r="N242" s="126"/>
      <c r="O242" s="126"/>
      <c r="P242" s="126"/>
      <c r="Q242" s="126"/>
      <c r="R242" s="127">
        <f>'1. Standard_Cost'!$B$15*N242*P242</f>
        <v>0</v>
      </c>
      <c r="S242" s="127">
        <f>N242*O242*P242*'1. Standard_Cost'!$C$15</f>
        <v>0</v>
      </c>
      <c r="T242" s="127">
        <f>N242*P242*Q242*'1. Standard_Cost'!$D$15</f>
        <v>0</v>
      </c>
      <c r="U242" s="127">
        <f>N242*O242*'1. Standard_Cost'!$E$15</f>
        <v>0</v>
      </c>
      <c r="V242" s="126"/>
      <c r="W242" s="126"/>
      <c r="X242" s="126"/>
      <c r="Y242" s="127">
        <f>+V242*((X242*'1. Standard_Cost'!$B$19)+(W242*X242*'1. Standard_Cost'!$C$19))</f>
        <v>0</v>
      </c>
      <c r="Z242" s="126"/>
      <c r="AA242" s="126"/>
      <c r="AB242" s="127">
        <f>+Z242*'1. Standard_Cost'!$B$23+AA242*'1. Standard_Cost'!$C$23</f>
        <v>0</v>
      </c>
      <c r="AC242" s="128"/>
      <c r="AD242" s="129"/>
      <c r="AE242" s="127">
        <f>SUM(AD242,AC242,AB242,Y242,U242,T242,S242,R242)*'1. Standard_Cost'!$B$31</f>
        <v>0</v>
      </c>
      <c r="AF242" s="127">
        <f>SUM(AE242,AD242,AC242,AB242,Y242,U242,T242,S242,R242)</f>
        <v>0</v>
      </c>
      <c r="AG242" s="126"/>
      <c r="AH242" s="126"/>
      <c r="AI242" s="126"/>
      <c r="AJ242" s="130"/>
      <c r="AK242" s="130">
        <v>25000000</v>
      </c>
      <c r="AL242" s="130"/>
      <c r="AM242" s="127">
        <f>AG242*'1. Standard_Cost'!$B$27+'Incremental_Cost Year 3'!AH242*'1. Standard_Cost'!$C$27+'Incremental_Cost Year 3'!AI242*'1. Standard_Cost'!$D$27+'Incremental_Cost Year 3'!AJ242+'Incremental_Cost Year 3'!AL242+AK242</f>
        <v>25000000</v>
      </c>
      <c r="AN242" s="127">
        <f>AM242*'1. Standard_Cost'!$C$31</f>
        <v>3750000</v>
      </c>
      <c r="AO242" s="130"/>
      <c r="AQ242" s="171">
        <f>L242+M242</f>
        <v>3529008</v>
      </c>
      <c r="AR242" s="171">
        <f>AF242</f>
        <v>0</v>
      </c>
      <c r="AS242" s="171">
        <f>AM242+AN242</f>
        <v>28750000</v>
      </c>
      <c r="AT242" s="171">
        <f>SUM(AQ242,AR242,AS242)</f>
        <v>32279008</v>
      </c>
      <c r="AU242" s="250">
        <f>AT242</f>
        <v>32279008</v>
      </c>
      <c r="AV242" s="250"/>
      <c r="AW242" s="250"/>
      <c r="AX242" s="250"/>
      <c r="AY242" s="250"/>
      <c r="AZ242" s="250"/>
      <c r="BA242" s="250"/>
      <c r="BB242" s="251">
        <f t="shared" si="159"/>
        <v>0</v>
      </c>
      <c r="BC242" s="169"/>
      <c r="BD242" s="169"/>
      <c r="BE242" s="169"/>
      <c r="BF242" s="169"/>
    </row>
    <row r="243" spans="1:58" ht="94.5" outlineLevel="1" x14ac:dyDescent="0.25">
      <c r="A243" s="115"/>
      <c r="B243" s="165"/>
      <c r="C243" s="166"/>
      <c r="D243" s="150" t="s">
        <v>564</v>
      </c>
      <c r="E243" s="212" t="s">
        <v>267</v>
      </c>
      <c r="F243" s="136">
        <v>2021</v>
      </c>
      <c r="G243" s="117">
        <v>2024</v>
      </c>
      <c r="H243" s="150" t="s">
        <v>304</v>
      </c>
      <c r="I243" s="252"/>
      <c r="J243" s="252"/>
      <c r="K243" s="252"/>
      <c r="L243" s="127">
        <f>SUM(L239:L242)</f>
        <v>3024000</v>
      </c>
      <c r="M243" s="127">
        <f>SUM(M239:M242)</f>
        <v>505008</v>
      </c>
      <c r="N243" s="252"/>
      <c r="O243" s="252"/>
      <c r="P243" s="252"/>
      <c r="Q243" s="252"/>
      <c r="R243" s="127">
        <f>SUM(R239:R242)</f>
        <v>0</v>
      </c>
      <c r="S243" s="127">
        <f>SUM(S239:S242)</f>
        <v>0</v>
      </c>
      <c r="T243" s="127">
        <f>SUM(T239:T242)</f>
        <v>0</v>
      </c>
      <c r="U243" s="127">
        <f>SUM(U239:U242)</f>
        <v>0</v>
      </c>
      <c r="V243" s="252"/>
      <c r="W243" s="252"/>
      <c r="X243" s="252"/>
      <c r="Y243" s="127">
        <f>SUM(Y239:Y242)</f>
        <v>0</v>
      </c>
      <c r="Z243" s="127"/>
      <c r="AA243" s="252"/>
      <c r="AB243" s="127">
        <f>SUM(AB239:AB242)</f>
        <v>0</v>
      </c>
      <c r="AC243" s="127">
        <f>SUM(AC239:AC242)</f>
        <v>0</v>
      </c>
      <c r="AD243" s="127">
        <f>SUM(AD239:AD242)</f>
        <v>0</v>
      </c>
      <c r="AE243" s="127">
        <f>SUM(AE239:AE242)</f>
        <v>0</v>
      </c>
      <c r="AF243" s="127">
        <f>SUM(AF239:AF242)</f>
        <v>0</v>
      </c>
      <c r="AG243" s="252"/>
      <c r="AH243" s="252"/>
      <c r="AI243" s="252"/>
      <c r="AJ243" s="127">
        <f>SUM(AJ239:AJ242)</f>
        <v>0</v>
      </c>
      <c r="AK243" s="127">
        <f>SUM(AK239:AK242)</f>
        <v>25000000</v>
      </c>
      <c r="AL243" s="127">
        <f>SUM(AL239:AL242)</f>
        <v>0</v>
      </c>
      <c r="AM243" s="127">
        <f>SUM(AM239:AM242)</f>
        <v>25000000</v>
      </c>
      <c r="AN243" s="127">
        <f>SUM(AN239:AN242)</f>
        <v>3750000</v>
      </c>
      <c r="AO243" s="253"/>
      <c r="AP243" s="254"/>
      <c r="AQ243" s="175">
        <f>SUM(AQ239:AQ242)</f>
        <v>3529008</v>
      </c>
      <c r="AR243" s="175">
        <f>SUM(AR239:AR242)</f>
        <v>0</v>
      </c>
      <c r="AS243" s="175">
        <f>SUM(AS239:AS242)</f>
        <v>28750000</v>
      </c>
      <c r="AT243" s="175">
        <f>SUM(AT239:AT242)</f>
        <v>32279008</v>
      </c>
      <c r="AU243" s="175">
        <f t="shared" ref="AU243:BB243" si="160">SUM(AU239:AU242)</f>
        <v>32279008</v>
      </c>
      <c r="AV243" s="175">
        <f t="shared" si="160"/>
        <v>0</v>
      </c>
      <c r="AW243" s="175">
        <f t="shared" si="160"/>
        <v>0</v>
      </c>
      <c r="AX243" s="175">
        <f t="shared" si="160"/>
        <v>0</v>
      </c>
      <c r="AY243" s="175">
        <f t="shared" si="160"/>
        <v>0</v>
      </c>
      <c r="AZ243" s="175">
        <f t="shared" si="160"/>
        <v>0</v>
      </c>
      <c r="BA243" s="175">
        <f t="shared" si="160"/>
        <v>0</v>
      </c>
      <c r="BB243" s="175">
        <f t="shared" si="160"/>
        <v>0</v>
      </c>
      <c r="BC243" s="169"/>
      <c r="BD243" s="169"/>
      <c r="BE243" s="169"/>
      <c r="BF243" s="169"/>
    </row>
    <row r="244" spans="1:58" ht="12.75" customHeight="1" x14ac:dyDescent="0.2">
      <c r="A244" s="173"/>
      <c r="B244" s="399" t="s">
        <v>316</v>
      </c>
      <c r="C244" s="400"/>
      <c r="D244" s="400"/>
      <c r="E244" s="401"/>
      <c r="F244" s="367"/>
      <c r="G244" s="367"/>
      <c r="H244" s="188" t="s">
        <v>317</v>
      </c>
      <c r="I244" s="245"/>
      <c r="J244" s="245"/>
      <c r="K244" s="245"/>
      <c r="L244" s="245">
        <f>L245+L259+L269+L277+L284</f>
        <v>52701600</v>
      </c>
      <c r="M244" s="245">
        <f>M245+M259+M269+M277+M284</f>
        <v>8801167.1999999993</v>
      </c>
      <c r="N244" s="245"/>
      <c r="O244" s="245"/>
      <c r="P244" s="245"/>
      <c r="Q244" s="245"/>
      <c r="R244" s="245">
        <f>R245+R259+R269+R277+R284</f>
        <v>1200000</v>
      </c>
      <c r="S244" s="245">
        <f>S245+S259+S269+S277+S284</f>
        <v>900000</v>
      </c>
      <c r="T244" s="245">
        <f>T245+T259+T269+T277+T284</f>
        <v>0</v>
      </c>
      <c r="U244" s="245">
        <f>U245+U259+U269+U277+U284</f>
        <v>1200000</v>
      </c>
      <c r="V244" s="245"/>
      <c r="W244" s="245"/>
      <c r="X244" s="245"/>
      <c r="Y244" s="245">
        <f t="shared" ref="Y244:AF244" si="161">Y245+Y259+Y269+Y277+Y284</f>
        <v>0</v>
      </c>
      <c r="Z244" s="245">
        <f t="shared" si="161"/>
        <v>0</v>
      </c>
      <c r="AA244" s="245">
        <f t="shared" si="161"/>
        <v>0</v>
      </c>
      <c r="AB244" s="245">
        <f t="shared" si="161"/>
        <v>3362000</v>
      </c>
      <c r="AC244" s="245">
        <f t="shared" si="161"/>
        <v>34724000</v>
      </c>
      <c r="AD244" s="245">
        <f t="shared" si="161"/>
        <v>0</v>
      </c>
      <c r="AE244" s="245">
        <f t="shared" si="161"/>
        <v>1526200</v>
      </c>
      <c r="AF244" s="245">
        <f t="shared" si="161"/>
        <v>45267200</v>
      </c>
      <c r="AG244" s="245"/>
      <c r="AH244" s="245"/>
      <c r="AI244" s="245"/>
      <c r="AJ244" s="245">
        <f>AJ245+AJ259+AJ269+AJ277+AJ284</f>
        <v>0</v>
      </c>
      <c r="AK244" s="245">
        <f>AK245+AK259+AK269+AK277+AK284</f>
        <v>444070000</v>
      </c>
      <c r="AL244" s="245">
        <f>AL245+AL259+AL269+AL277+AL284</f>
        <v>0</v>
      </c>
      <c r="AM244" s="245">
        <f>AM245+AM259+AM269+AM277+AM284</f>
        <v>444070000</v>
      </c>
      <c r="AN244" s="245">
        <f>AN245+AN259+AN269+AN277+AN284</f>
        <v>66610500</v>
      </c>
      <c r="AO244" s="245"/>
      <c r="AP244" s="244"/>
      <c r="AQ244" s="245">
        <f t="shared" ref="AQ244:BB244" si="162">AQ245+AQ259+AQ269+AQ277+AQ284</f>
        <v>61502767.200000003</v>
      </c>
      <c r="AR244" s="245">
        <f t="shared" si="162"/>
        <v>45267200</v>
      </c>
      <c r="AS244" s="245">
        <f t="shared" si="162"/>
        <v>510680500</v>
      </c>
      <c r="AT244" s="245">
        <f t="shared" si="162"/>
        <v>617450467.19999993</v>
      </c>
      <c r="AU244" s="245">
        <f t="shared" si="162"/>
        <v>130413467.2</v>
      </c>
      <c r="AV244" s="245">
        <f t="shared" si="162"/>
        <v>0</v>
      </c>
      <c r="AW244" s="245">
        <f t="shared" si="162"/>
        <v>216308000</v>
      </c>
      <c r="AX244" s="245">
        <f t="shared" si="162"/>
        <v>0</v>
      </c>
      <c r="AY244" s="245">
        <f t="shared" si="162"/>
        <v>0</v>
      </c>
      <c r="AZ244" s="245">
        <f t="shared" si="162"/>
        <v>10455000</v>
      </c>
      <c r="BA244" s="245">
        <f t="shared" si="162"/>
        <v>0</v>
      </c>
      <c r="BB244" s="245">
        <f t="shared" si="162"/>
        <v>-260274000</v>
      </c>
      <c r="BC244" s="170"/>
      <c r="BD244" s="170"/>
      <c r="BE244" s="170"/>
      <c r="BF244" s="170"/>
    </row>
    <row r="245" spans="1:58" ht="12.75" customHeight="1" x14ac:dyDescent="0.2">
      <c r="A245" s="179"/>
      <c r="B245" s="290"/>
      <c r="C245" s="391" t="s">
        <v>318</v>
      </c>
      <c r="D245" s="391"/>
      <c r="E245" s="392"/>
      <c r="F245" s="287"/>
      <c r="G245" s="289"/>
      <c r="H245" s="368" t="s">
        <v>319</v>
      </c>
      <c r="I245" s="270"/>
      <c r="J245" s="271"/>
      <c r="K245" s="271"/>
      <c r="L245" s="261">
        <f>L250+L254+L258</f>
        <v>0</v>
      </c>
      <c r="M245" s="261">
        <f>M250+M254+M258</f>
        <v>0</v>
      </c>
      <c r="N245" s="271"/>
      <c r="O245" s="271"/>
      <c r="P245" s="271"/>
      <c r="Q245" s="271"/>
      <c r="R245" s="261">
        <f>R250+R254+R258</f>
        <v>0</v>
      </c>
      <c r="S245" s="261">
        <f>S250+S254+S258</f>
        <v>0</v>
      </c>
      <c r="T245" s="261">
        <f>T250+T254+T258</f>
        <v>0</v>
      </c>
      <c r="U245" s="261">
        <f>U250+U254+U258</f>
        <v>0</v>
      </c>
      <c r="V245" s="271"/>
      <c r="W245" s="271"/>
      <c r="X245" s="271"/>
      <c r="Y245" s="261">
        <f>Y250+Y254+Y258</f>
        <v>0</v>
      </c>
      <c r="Z245" s="261">
        <f>Z250+Z254+Z258</f>
        <v>0</v>
      </c>
      <c r="AA245" s="271"/>
      <c r="AB245" s="261">
        <f>AB250+AB254+AB258</f>
        <v>0</v>
      </c>
      <c r="AC245" s="261">
        <f>AC250+AC254+AC258</f>
        <v>8100000</v>
      </c>
      <c r="AD245" s="261">
        <f>AD250+AD254+AD258</f>
        <v>0</v>
      </c>
      <c r="AE245" s="261">
        <f>AE250+AE254+AE258</f>
        <v>0</v>
      </c>
      <c r="AF245" s="261">
        <f>AF250+AF254+AF258</f>
        <v>8100000</v>
      </c>
      <c r="AG245" s="271"/>
      <c r="AH245" s="271"/>
      <c r="AI245" s="271"/>
      <c r="AJ245" s="261">
        <f>AJ250+AJ254+AJ258</f>
        <v>0</v>
      </c>
      <c r="AK245" s="261">
        <f>AK250+AK254+AK258</f>
        <v>0</v>
      </c>
      <c r="AL245" s="261">
        <f>AL250+AL254+AL258</f>
        <v>0</v>
      </c>
      <c r="AM245" s="261">
        <f>AM250+AM254+AM258</f>
        <v>0</v>
      </c>
      <c r="AN245" s="261">
        <f>AN250+AN254+AN258</f>
        <v>0</v>
      </c>
      <c r="AO245" s="272"/>
      <c r="AP245" s="260"/>
      <c r="AQ245" s="261">
        <f t="shared" ref="AQ245:BB245" si="163">AQ250+AQ254+AQ258</f>
        <v>0</v>
      </c>
      <c r="AR245" s="261">
        <f t="shared" si="163"/>
        <v>8100000</v>
      </c>
      <c r="AS245" s="261">
        <f t="shared" si="163"/>
        <v>0</v>
      </c>
      <c r="AT245" s="261">
        <f t="shared" si="163"/>
        <v>8100000</v>
      </c>
      <c r="AU245" s="261">
        <f t="shared" si="163"/>
        <v>0</v>
      </c>
      <c r="AV245" s="261">
        <f t="shared" si="163"/>
        <v>0</v>
      </c>
      <c r="AW245" s="261">
        <f t="shared" si="163"/>
        <v>0</v>
      </c>
      <c r="AX245" s="261">
        <f t="shared" si="163"/>
        <v>0</v>
      </c>
      <c r="AY245" s="261">
        <f t="shared" si="163"/>
        <v>0</v>
      </c>
      <c r="AZ245" s="261">
        <f t="shared" si="163"/>
        <v>8100000</v>
      </c>
      <c r="BA245" s="261">
        <f t="shared" si="163"/>
        <v>0</v>
      </c>
      <c r="BB245" s="261">
        <f t="shared" si="163"/>
        <v>0</v>
      </c>
      <c r="BC245" s="184"/>
      <c r="BD245" s="184"/>
      <c r="BE245" s="184"/>
      <c r="BF245" s="184"/>
    </row>
    <row r="246" spans="1:58" ht="94.5" x14ac:dyDescent="0.25">
      <c r="A246" s="172"/>
      <c r="B246" s="200"/>
      <c r="C246" s="201"/>
      <c r="D246" s="346"/>
      <c r="E246" s="355"/>
      <c r="F246" s="355"/>
      <c r="G246" s="356"/>
      <c r="H246" s="199" t="s">
        <v>320</v>
      </c>
      <c r="I246" s="178"/>
      <c r="J246" s="174"/>
      <c r="K246" s="174"/>
      <c r="L246" s="125" t="str">
        <f>IF(I246&lt;&gt;0,((VLOOKUP(I246,'1. Standard_Cost'!$B$4:$D$11,2)+VLOOKUP(I246,'1. Standard_Cost'!$B$4:$D$11,3))*J246*K246),"0")</f>
        <v>0</v>
      </c>
      <c r="M246" s="125">
        <f>L246*'1. Standard_Cost'!$F$4</f>
        <v>0</v>
      </c>
      <c r="N246" s="174"/>
      <c r="O246" s="174"/>
      <c r="P246" s="174"/>
      <c r="Q246" s="174"/>
      <c r="R246" s="127">
        <f>'1. Standard_Cost'!$B$15*N246*P246</f>
        <v>0</v>
      </c>
      <c r="S246" s="127">
        <f>N246*O246*P246*'1. Standard_Cost'!$C$15</f>
        <v>0</v>
      </c>
      <c r="T246" s="127">
        <f>N246*P246*Q246*'1. Standard_Cost'!$D$15</f>
        <v>0</v>
      </c>
      <c r="U246" s="127">
        <f>N246*O246*'1. Standard_Cost'!$E$15</f>
        <v>0</v>
      </c>
      <c r="V246" s="174"/>
      <c r="W246" s="174"/>
      <c r="X246" s="174"/>
      <c r="Y246" s="127">
        <f>+V246*((X246*'1. Standard_Cost'!$B$19)+(W246*X246*'1. Standard_Cost'!$C$19))</f>
        <v>0</v>
      </c>
      <c r="Z246" s="174"/>
      <c r="AA246" s="174"/>
      <c r="AB246" s="127">
        <f>+Z246*'1. Standard_Cost'!$B$23+AA246*'1. Standard_Cost'!$C$23</f>
        <v>0</v>
      </c>
      <c r="AC246" s="176"/>
      <c r="AD246" s="177"/>
      <c r="AE246" s="127">
        <f>SUM(AD246,AC246,AB246,Y246,U246,T246,S246,R246)*'1. Standard_Cost'!$B$31</f>
        <v>0</v>
      </c>
      <c r="AF246" s="127">
        <f>SUM(AE246,AD246,AC246,AB246,Y246,U246,T246,S246,R246)</f>
        <v>0</v>
      </c>
      <c r="AG246" s="174"/>
      <c r="AH246" s="174"/>
      <c r="AI246" s="174"/>
      <c r="AJ246" s="178"/>
      <c r="AK246" s="178"/>
      <c r="AL246" s="178"/>
      <c r="AM246" s="127">
        <f>AG246*'1. Standard_Cost'!$B$27+'Incremental_Cost Year 3'!AH246*'1. Standard_Cost'!$C$27+'Incremental_Cost Year 3'!AI246*'1. Standard_Cost'!$D$27+'Incremental_Cost Year 3'!AJ246+'Incremental_Cost Year 3'!AL246+AK246</f>
        <v>0</v>
      </c>
      <c r="AN246" s="127">
        <f>AM246*'1. Standard_Cost'!$C$31</f>
        <v>0</v>
      </c>
      <c r="AO246" s="178"/>
      <c r="AP246" s="256"/>
      <c r="AQ246" s="171">
        <f>L246+M246</f>
        <v>0</v>
      </c>
      <c r="AR246" s="171">
        <f>AF246</f>
        <v>0</v>
      </c>
      <c r="AS246" s="171">
        <f>AM246+AN246</f>
        <v>0</v>
      </c>
      <c r="AT246" s="171">
        <f>SUM(AQ246,AR246,AS246)</f>
        <v>0</v>
      </c>
      <c r="AU246" s="250">
        <f>AT246</f>
        <v>0</v>
      </c>
      <c r="AV246" s="250"/>
      <c r="AW246" s="250"/>
      <c r="AX246" s="250"/>
      <c r="AY246" s="250"/>
      <c r="AZ246" s="250"/>
      <c r="BA246" s="250"/>
      <c r="BB246" s="251">
        <f t="shared" ref="BB246:BB249" si="164">SUM(AU246:BA246)-AT246</f>
        <v>0</v>
      </c>
      <c r="BC246" s="169"/>
      <c r="BD246" s="169"/>
      <c r="BE246" s="169"/>
      <c r="BF246" s="169"/>
    </row>
    <row r="247" spans="1:58" ht="63" x14ac:dyDescent="0.25">
      <c r="A247" s="172"/>
      <c r="B247" s="200"/>
      <c r="C247" s="201"/>
      <c r="D247" s="203"/>
      <c r="E247" s="358"/>
      <c r="F247" s="358"/>
      <c r="G247" s="359"/>
      <c r="H247" s="199" t="s">
        <v>321</v>
      </c>
      <c r="I247" s="178"/>
      <c r="J247" s="174"/>
      <c r="K247" s="174"/>
      <c r="L247" s="125" t="str">
        <f>IF(I247&lt;&gt;0,((VLOOKUP(I247,'1. Standard_Cost'!$B$4:$D$11,2)+VLOOKUP(I247,'1. Standard_Cost'!$B$4:$D$11,3))*J247*K247),"0")</f>
        <v>0</v>
      </c>
      <c r="M247" s="125">
        <f>L247*'1. Standard_Cost'!$F$4</f>
        <v>0</v>
      </c>
      <c r="N247" s="174"/>
      <c r="O247" s="174"/>
      <c r="P247" s="174"/>
      <c r="Q247" s="174"/>
      <c r="R247" s="127">
        <f>'1. Standard_Cost'!$B$15*N247*P247</f>
        <v>0</v>
      </c>
      <c r="S247" s="127">
        <f>N247*O247*P247*'1. Standard_Cost'!$C$15</f>
        <v>0</v>
      </c>
      <c r="T247" s="127">
        <f>N247*P247*Q247*'1. Standard_Cost'!$D$15</f>
        <v>0</v>
      </c>
      <c r="U247" s="127">
        <f>N247*O247*'1. Standard_Cost'!$E$15</f>
        <v>0</v>
      </c>
      <c r="V247" s="174"/>
      <c r="W247" s="174"/>
      <c r="X247" s="174"/>
      <c r="Y247" s="127">
        <f>+V247*((X247*'1. Standard_Cost'!$B$19)+(W247*X247*'1. Standard_Cost'!$C$19))</f>
        <v>0</v>
      </c>
      <c r="Z247" s="174"/>
      <c r="AA247" s="174"/>
      <c r="AB247" s="127">
        <f>+Z247*'1. Standard_Cost'!$B$23+AA247*'1. Standard_Cost'!$C$23</f>
        <v>0</v>
      </c>
      <c r="AC247" s="176"/>
      <c r="AD247" s="177"/>
      <c r="AE247" s="127">
        <f>SUM(AD247,AC247,AB247,Y247,U247,T247,S247,R247)*'1. Standard_Cost'!$B$31</f>
        <v>0</v>
      </c>
      <c r="AF247" s="127">
        <f>SUM(AE247,AD247,AC247,AB247,Y247,U247,T247,S247,R247)</f>
        <v>0</v>
      </c>
      <c r="AG247" s="174"/>
      <c r="AH247" s="174"/>
      <c r="AI247" s="174"/>
      <c r="AJ247" s="178"/>
      <c r="AK247" s="178"/>
      <c r="AL247" s="178"/>
      <c r="AM247" s="127">
        <f>AG247*'1. Standard_Cost'!$B$27+'Incremental_Cost Year 3'!AH247*'1. Standard_Cost'!$C$27+'Incremental_Cost Year 3'!AI247*'1. Standard_Cost'!$D$27+'Incremental_Cost Year 3'!AJ247+'Incremental_Cost Year 3'!AL247+AK247</f>
        <v>0</v>
      </c>
      <c r="AN247" s="127">
        <f>AM247*'1. Standard_Cost'!$C$31</f>
        <v>0</v>
      </c>
      <c r="AO247" s="178"/>
      <c r="AP247" s="256"/>
      <c r="AQ247" s="171">
        <f>L247+M247</f>
        <v>0</v>
      </c>
      <c r="AR247" s="171">
        <f>AF247</f>
        <v>0</v>
      </c>
      <c r="AS247" s="171">
        <f>AM247+AN247</f>
        <v>0</v>
      </c>
      <c r="AT247" s="171">
        <f>SUM(AQ247,AR247,AS247)</f>
        <v>0</v>
      </c>
      <c r="AU247" s="250">
        <f>AQ247</f>
        <v>0</v>
      </c>
      <c r="AV247" s="250"/>
      <c r="AW247" s="250"/>
      <c r="AX247" s="250"/>
      <c r="AY247" s="250"/>
      <c r="AZ247" s="250"/>
      <c r="BA247" s="250"/>
      <c r="BB247" s="251">
        <f t="shared" si="164"/>
        <v>0</v>
      </c>
      <c r="BC247" s="169"/>
      <c r="BD247" s="169"/>
      <c r="BE247" s="169"/>
      <c r="BF247" s="169"/>
    </row>
    <row r="248" spans="1:58" ht="110.25" x14ac:dyDescent="0.25">
      <c r="A248" s="172"/>
      <c r="B248" s="200"/>
      <c r="C248" s="201"/>
      <c r="D248" s="203"/>
      <c r="E248" s="358"/>
      <c r="F248" s="358"/>
      <c r="G248" s="359"/>
      <c r="H248" s="213" t="s">
        <v>322</v>
      </c>
      <c r="I248" s="178"/>
      <c r="J248" s="174"/>
      <c r="K248" s="174"/>
      <c r="L248" s="125" t="str">
        <f>IF(I248&lt;&gt;0,((VLOOKUP(I248,'1. Standard_Cost'!$B$4:$D$11,2)+VLOOKUP(I248,'1. Standard_Cost'!$B$4:$D$11,3))*J248*K248),"0")</f>
        <v>0</v>
      </c>
      <c r="M248" s="125">
        <f>L248*'1. Standard_Cost'!$F$4</f>
        <v>0</v>
      </c>
      <c r="N248" s="174"/>
      <c r="O248" s="174"/>
      <c r="P248" s="174"/>
      <c r="Q248" s="174"/>
      <c r="R248" s="127">
        <f>'1. Standard_Cost'!$B$15*N248*P248</f>
        <v>0</v>
      </c>
      <c r="S248" s="127">
        <f>N248*O248*P248*'1. Standard_Cost'!$C$15</f>
        <v>0</v>
      </c>
      <c r="T248" s="127">
        <f>N248*P248*Q248*'1. Standard_Cost'!$D$15</f>
        <v>0</v>
      </c>
      <c r="U248" s="127">
        <f>N248*O248*'1. Standard_Cost'!$E$15</f>
        <v>0</v>
      </c>
      <c r="V248" s="174"/>
      <c r="W248" s="174"/>
      <c r="X248" s="174"/>
      <c r="Y248" s="127">
        <f>+V248*((X248*'1. Standard_Cost'!$B$19)+(W248*X248*'1. Standard_Cost'!$C$19))</f>
        <v>0</v>
      </c>
      <c r="Z248" s="174"/>
      <c r="AA248" s="174"/>
      <c r="AB248" s="127">
        <f>+Z248*'1. Standard_Cost'!$B$23+AA248*'1. Standard_Cost'!$C$23</f>
        <v>0</v>
      </c>
      <c r="AC248" s="176"/>
      <c r="AD248" s="177"/>
      <c r="AE248" s="127">
        <f>SUM(AD248,AC248,AB248,Y248,U248,T248,S248,R248)*'1. Standard_Cost'!$B$31</f>
        <v>0</v>
      </c>
      <c r="AF248" s="127">
        <f>SUM(AE248,AD248,AC248,AB248,Y248,U248,T248,S248,R248)</f>
        <v>0</v>
      </c>
      <c r="AG248" s="174"/>
      <c r="AH248" s="174"/>
      <c r="AI248" s="174"/>
      <c r="AJ248" s="178"/>
      <c r="AK248" s="178"/>
      <c r="AL248" s="178"/>
      <c r="AM248" s="127">
        <f>AG248*'1. Standard_Cost'!$B$27+'Incremental_Cost Year 3'!AH248*'1. Standard_Cost'!$C$27+'Incremental_Cost Year 3'!AI248*'1. Standard_Cost'!$D$27+'Incremental_Cost Year 3'!AJ248+'Incremental_Cost Year 3'!AL248+AK248</f>
        <v>0</v>
      </c>
      <c r="AN248" s="127">
        <f>AM248*'1. Standard_Cost'!$C$31</f>
        <v>0</v>
      </c>
      <c r="AO248" s="178"/>
      <c r="AP248" s="256"/>
      <c r="AQ248" s="171">
        <f>L248+M248</f>
        <v>0</v>
      </c>
      <c r="AR248" s="171">
        <f>AF248</f>
        <v>0</v>
      </c>
      <c r="AS248" s="171">
        <f>AM248+AN248</f>
        <v>0</v>
      </c>
      <c r="AT248" s="171">
        <f>SUM(AQ248,AR248,AS248)</f>
        <v>0</v>
      </c>
      <c r="AU248" s="250"/>
      <c r="AV248" s="250"/>
      <c r="AW248" s="250"/>
      <c r="AX248" s="250"/>
      <c r="AY248" s="250"/>
      <c r="AZ248" s="250"/>
      <c r="BA248" s="250"/>
      <c r="BB248" s="251">
        <f t="shared" si="164"/>
        <v>0</v>
      </c>
      <c r="BC248" s="169"/>
      <c r="BD248" s="169"/>
      <c r="BE248" s="169"/>
      <c r="BF248" s="169"/>
    </row>
    <row r="249" spans="1:58" ht="47.25" x14ac:dyDescent="0.25">
      <c r="A249" s="172"/>
      <c r="B249" s="200"/>
      <c r="C249" s="201"/>
      <c r="D249" s="133"/>
      <c r="E249" s="361"/>
      <c r="F249" s="361"/>
      <c r="G249" s="362"/>
      <c r="H249" s="199" t="s">
        <v>323</v>
      </c>
      <c r="I249" s="178"/>
      <c r="J249" s="174"/>
      <c r="K249" s="174"/>
      <c r="L249" s="125" t="str">
        <f>IF(I249&lt;&gt;0,((VLOOKUP(I249,'1. Standard_Cost'!$B$4:$D$11,2)+VLOOKUP(I249,'1. Standard_Cost'!$B$4:$D$11,3))*J249*K249),"0")</f>
        <v>0</v>
      </c>
      <c r="M249" s="125">
        <f>L249*'1. Standard_Cost'!$F$4</f>
        <v>0</v>
      </c>
      <c r="N249" s="174"/>
      <c r="O249" s="174"/>
      <c r="P249" s="174"/>
      <c r="Q249" s="174"/>
      <c r="R249" s="127">
        <f>'1. Standard_Cost'!$B$15*N249*P249</f>
        <v>0</v>
      </c>
      <c r="S249" s="127">
        <f>N249*O249*P249*'1. Standard_Cost'!$C$15</f>
        <v>0</v>
      </c>
      <c r="T249" s="127">
        <f>N249*P249*Q249*'1. Standard_Cost'!$D$15</f>
        <v>0</v>
      </c>
      <c r="U249" s="127">
        <f>N249*O249*'1. Standard_Cost'!$E$15</f>
        <v>0</v>
      </c>
      <c r="V249" s="174"/>
      <c r="W249" s="174"/>
      <c r="X249" s="174"/>
      <c r="Y249" s="127">
        <f>+V249*((X249*'1. Standard_Cost'!$B$19)+(W249*X249*'1. Standard_Cost'!$C$19))</f>
        <v>0</v>
      </c>
      <c r="Z249" s="174"/>
      <c r="AA249" s="174"/>
      <c r="AB249" s="127">
        <f>+Z249*'1. Standard_Cost'!$B$23+AA249*'1. Standard_Cost'!$C$23</f>
        <v>0</v>
      </c>
      <c r="AC249" s="176"/>
      <c r="AD249" s="177"/>
      <c r="AE249" s="127">
        <f>SUM(AD249,AC249,AB249,Y249,U249,T249,S249,R249)*'1. Standard_Cost'!$B$31</f>
        <v>0</v>
      </c>
      <c r="AF249" s="127">
        <f>SUM(AE249,AD249,AC249,AB249,Y249,U249,T249,S249,R249)</f>
        <v>0</v>
      </c>
      <c r="AG249" s="174"/>
      <c r="AH249" s="174"/>
      <c r="AI249" s="174"/>
      <c r="AJ249" s="178"/>
      <c r="AK249" s="178"/>
      <c r="AL249" s="178"/>
      <c r="AM249" s="127">
        <f>AG249*'1. Standard_Cost'!$B$27+'Incremental_Cost Year 3'!AH249*'1. Standard_Cost'!$C$27+'Incremental_Cost Year 3'!AI249*'1. Standard_Cost'!$D$27+'Incremental_Cost Year 3'!AJ249+'Incremental_Cost Year 3'!AL249+AK249</f>
        <v>0</v>
      </c>
      <c r="AN249" s="127">
        <f>AM249*'1. Standard_Cost'!$C$31</f>
        <v>0</v>
      </c>
      <c r="AO249" s="178"/>
      <c r="AP249" s="256"/>
      <c r="AQ249" s="171">
        <f>L249+M249</f>
        <v>0</v>
      </c>
      <c r="AR249" s="171">
        <f>AF249</f>
        <v>0</v>
      </c>
      <c r="AS249" s="171">
        <f>AM249+AN249</f>
        <v>0</v>
      </c>
      <c r="AT249" s="171">
        <f>SUM(AQ249,AR249,AS249)</f>
        <v>0</v>
      </c>
      <c r="AU249" s="250"/>
      <c r="AV249" s="250"/>
      <c r="AW249" s="250"/>
      <c r="AX249" s="250"/>
      <c r="AY249" s="250"/>
      <c r="AZ249" s="250"/>
      <c r="BA249" s="250"/>
      <c r="BB249" s="251">
        <f t="shared" si="164"/>
        <v>0</v>
      </c>
      <c r="BC249" s="169"/>
      <c r="BD249" s="169"/>
      <c r="BE249" s="169"/>
      <c r="BF249" s="169"/>
    </row>
    <row r="250" spans="1:58" ht="30" x14ac:dyDescent="0.25">
      <c r="A250" s="172"/>
      <c r="B250" s="363"/>
      <c r="C250" s="364"/>
      <c r="D250" s="365" t="s">
        <v>559</v>
      </c>
      <c r="E250" s="365" t="s">
        <v>324</v>
      </c>
      <c r="F250" s="366">
        <v>2025</v>
      </c>
      <c r="G250" s="209">
        <v>2030</v>
      </c>
      <c r="H250" s="180" t="s">
        <v>325</v>
      </c>
      <c r="I250" s="273"/>
      <c r="J250" s="273"/>
      <c r="K250" s="273"/>
      <c r="L250" s="175">
        <f>SUM(L246:L249)</f>
        <v>0</v>
      </c>
      <c r="M250" s="175">
        <f>SUM(M246:M249)</f>
        <v>0</v>
      </c>
      <c r="N250" s="273"/>
      <c r="O250" s="273"/>
      <c r="P250" s="273"/>
      <c r="Q250" s="273"/>
      <c r="R250" s="175">
        <f>SUM(R246:R249)</f>
        <v>0</v>
      </c>
      <c r="S250" s="175">
        <f>SUM(S246:S249)</f>
        <v>0</v>
      </c>
      <c r="T250" s="175">
        <f>SUM(T246:T249)</f>
        <v>0</v>
      </c>
      <c r="U250" s="175">
        <f>SUM(U246:U249)</f>
        <v>0</v>
      </c>
      <c r="V250" s="273"/>
      <c r="W250" s="273"/>
      <c r="X250" s="273"/>
      <c r="Y250" s="175">
        <f>SUM(Y246:Y249)</f>
        <v>0</v>
      </c>
      <c r="Z250" s="273"/>
      <c r="AA250" s="273"/>
      <c r="AB250" s="175">
        <f>SUM(AB246:AB249)</f>
        <v>0</v>
      </c>
      <c r="AC250" s="175">
        <f>SUM(AC246:AC249)</f>
        <v>0</v>
      </c>
      <c r="AD250" s="175">
        <f>SUM(AD246:AD249)</f>
        <v>0</v>
      </c>
      <c r="AE250" s="175">
        <f>SUM(AE246:AE249)</f>
        <v>0</v>
      </c>
      <c r="AF250" s="175">
        <f>SUM(AF246:AF249)</f>
        <v>0</v>
      </c>
      <c r="AG250" s="273"/>
      <c r="AH250" s="273"/>
      <c r="AI250" s="273"/>
      <c r="AJ250" s="175">
        <f>SUM(AJ246:AJ249)</f>
        <v>0</v>
      </c>
      <c r="AK250" s="175">
        <f>SUM(AK246:AK249)</f>
        <v>0</v>
      </c>
      <c r="AL250" s="175">
        <f>SUM(AL246:AL249)</f>
        <v>0</v>
      </c>
      <c r="AM250" s="175">
        <f>SUM(AM246:AM249)</f>
        <v>0</v>
      </c>
      <c r="AN250" s="175">
        <f>SUM(AN246:AN249)</f>
        <v>0</v>
      </c>
      <c r="AO250" s="274"/>
      <c r="AP250" s="254"/>
      <c r="AQ250" s="175">
        <f t="shared" ref="AQ250:AT250" si="165">SUM(AQ246:AQ249)</f>
        <v>0</v>
      </c>
      <c r="AR250" s="175">
        <f t="shared" si="165"/>
        <v>0</v>
      </c>
      <c r="AS250" s="175">
        <f t="shared" si="165"/>
        <v>0</v>
      </c>
      <c r="AT250" s="175">
        <f t="shared" si="165"/>
        <v>0</v>
      </c>
      <c r="AU250" s="175">
        <f t="shared" ref="AU250:BB250" si="166">SUM(AU246:AU249)</f>
        <v>0</v>
      </c>
      <c r="AV250" s="175">
        <f t="shared" si="166"/>
        <v>0</v>
      </c>
      <c r="AW250" s="175">
        <f t="shared" si="166"/>
        <v>0</v>
      </c>
      <c r="AX250" s="175">
        <f t="shared" si="166"/>
        <v>0</v>
      </c>
      <c r="AY250" s="175">
        <f t="shared" si="166"/>
        <v>0</v>
      </c>
      <c r="AZ250" s="175">
        <f t="shared" si="166"/>
        <v>0</v>
      </c>
      <c r="BA250" s="175">
        <f t="shared" si="166"/>
        <v>0</v>
      </c>
      <c r="BB250" s="175">
        <f t="shared" si="166"/>
        <v>0</v>
      </c>
      <c r="BC250" s="169"/>
      <c r="BD250" s="169"/>
      <c r="BE250" s="169"/>
      <c r="BF250" s="169"/>
    </row>
    <row r="251" spans="1:58" ht="63" x14ac:dyDescent="0.25">
      <c r="A251" s="172"/>
      <c r="B251" s="200"/>
      <c r="C251" s="201"/>
      <c r="D251" s="202"/>
      <c r="E251" s="354"/>
      <c r="F251" s="355"/>
      <c r="G251" s="356"/>
      <c r="H251" s="213" t="s">
        <v>361</v>
      </c>
      <c r="I251" s="178"/>
      <c r="J251" s="174"/>
      <c r="K251" s="174"/>
      <c r="L251" s="125" t="str">
        <f>IF(I251&lt;&gt;0,((VLOOKUP(I251,'1. Standard_Cost'!$B$4:$D$11,2)+VLOOKUP(I251,'1. Standard_Cost'!$B$4:$D$11,3))*J251*K251),"0")</f>
        <v>0</v>
      </c>
      <c r="M251" s="125">
        <f>L251*'1. Standard_Cost'!$F$4</f>
        <v>0</v>
      </c>
      <c r="N251" s="174"/>
      <c r="O251" s="174"/>
      <c r="P251" s="174"/>
      <c r="Q251" s="174"/>
      <c r="R251" s="127">
        <f>'1. Standard_Cost'!$B$15*N251*P251</f>
        <v>0</v>
      </c>
      <c r="S251" s="127">
        <f>N251*O251*P251*'1. Standard_Cost'!$C$15</f>
        <v>0</v>
      </c>
      <c r="T251" s="127">
        <f>N251*P251*Q251*'1. Standard_Cost'!$D$15</f>
        <v>0</v>
      </c>
      <c r="U251" s="127">
        <f>N251*O251*'1. Standard_Cost'!$E$15</f>
        <v>0</v>
      </c>
      <c r="V251" s="174"/>
      <c r="W251" s="174"/>
      <c r="X251" s="174"/>
      <c r="Y251" s="127">
        <f>+V251*((X251*'1. Standard_Cost'!$B$19)+(W251*X251*'1. Standard_Cost'!$C$19))</f>
        <v>0</v>
      </c>
      <c r="Z251" s="174"/>
      <c r="AA251" s="174"/>
      <c r="AB251" s="127">
        <f>+Z251*'1. Standard_Cost'!$B$23+AA251*'1. Standard_Cost'!$C$23</f>
        <v>0</v>
      </c>
      <c r="AC251" s="176">
        <f>27000000*30%</f>
        <v>8100000</v>
      </c>
      <c r="AD251" s="177"/>
      <c r="AE251" s="127"/>
      <c r="AF251" s="127">
        <f>SUM(AE251,AD251,AC251,AB251,Y251,U251,T251,S251,R251)</f>
        <v>8100000</v>
      </c>
      <c r="AG251" s="174"/>
      <c r="AH251" s="174"/>
      <c r="AI251" s="174"/>
      <c r="AJ251" s="178"/>
      <c r="AK251" s="178"/>
      <c r="AL251" s="178"/>
      <c r="AM251" s="127">
        <f>AG251*'1. Standard_Cost'!$B$27+'Incremental_Cost Year 3'!AH251*'1. Standard_Cost'!$C$27+'Incremental_Cost Year 3'!AI251*'1. Standard_Cost'!$D$27+'Incremental_Cost Year 3'!AJ251+'Incremental_Cost Year 3'!AL251+AK251</f>
        <v>0</v>
      </c>
      <c r="AN251" s="127">
        <f>AM251*'1. Standard_Cost'!$C$31</f>
        <v>0</v>
      </c>
      <c r="AO251" s="178"/>
      <c r="AP251" s="256"/>
      <c r="AQ251" s="171">
        <f>L251+M251</f>
        <v>0</v>
      </c>
      <c r="AR251" s="171">
        <f>AF251</f>
        <v>8100000</v>
      </c>
      <c r="AS251" s="171">
        <f>AM251+AN251</f>
        <v>0</v>
      </c>
      <c r="AT251" s="171">
        <f>SUM(AQ251,AR251,AS251)</f>
        <v>8100000</v>
      </c>
      <c r="AU251" s="250"/>
      <c r="AV251" s="250"/>
      <c r="AW251" s="250"/>
      <c r="AX251" s="250"/>
      <c r="AY251" s="250"/>
      <c r="AZ251" s="250">
        <f>AT251</f>
        <v>8100000</v>
      </c>
      <c r="BA251" s="250"/>
      <c r="BB251" s="251">
        <f t="shared" ref="BB251:BB253" si="167">SUM(AU251:BA251)-AT251</f>
        <v>0</v>
      </c>
      <c r="BC251" s="169"/>
      <c r="BD251" s="169"/>
      <c r="BE251" s="169"/>
      <c r="BF251" s="169"/>
    </row>
    <row r="252" spans="1:58" ht="189" x14ac:dyDescent="0.25">
      <c r="A252" s="172"/>
      <c r="B252" s="200"/>
      <c r="C252" s="201"/>
      <c r="D252" s="202"/>
      <c r="E252" s="357"/>
      <c r="F252" s="358"/>
      <c r="G252" s="359"/>
      <c r="H252" s="199" t="s">
        <v>326</v>
      </c>
      <c r="I252" s="178"/>
      <c r="J252" s="174"/>
      <c r="K252" s="174"/>
      <c r="L252" s="125" t="str">
        <f>IF(I252&lt;&gt;0,((VLOOKUP(I252,'1. Standard_Cost'!$B$4:$D$11,2)+VLOOKUP(I252,'1. Standard_Cost'!$B$4:$D$11,3))*J252*K252),"0")</f>
        <v>0</v>
      </c>
      <c r="M252" s="125">
        <f>L252*'1. Standard_Cost'!$F$4</f>
        <v>0</v>
      </c>
      <c r="N252" s="174"/>
      <c r="O252" s="174"/>
      <c r="P252" s="174"/>
      <c r="Q252" s="174"/>
      <c r="R252" s="127">
        <f>'1. Standard_Cost'!$B$15*N252*P252</f>
        <v>0</v>
      </c>
      <c r="S252" s="127">
        <f>N252*O252*P252*'1. Standard_Cost'!$C$15</f>
        <v>0</v>
      </c>
      <c r="T252" s="127">
        <f>N252*P252*Q252*'1. Standard_Cost'!$D$15</f>
        <v>0</v>
      </c>
      <c r="U252" s="127">
        <f>N252*O252*'1. Standard_Cost'!$E$15</f>
        <v>0</v>
      </c>
      <c r="V252" s="174"/>
      <c r="W252" s="174"/>
      <c r="X252" s="174"/>
      <c r="Y252" s="127">
        <f>+V252*((X252*'1. Standard_Cost'!$B$19)+(W252*X252*'1. Standard_Cost'!$C$19))</f>
        <v>0</v>
      </c>
      <c r="Z252" s="174"/>
      <c r="AA252" s="174"/>
      <c r="AB252" s="127">
        <f>+Z252*'1. Standard_Cost'!$B$23+AA252*'1. Standard_Cost'!$C$23</f>
        <v>0</v>
      </c>
      <c r="AC252" s="176">
        <v>0</v>
      </c>
      <c r="AD252" s="177"/>
      <c r="AE252" s="127">
        <f>SUM(AD252,AC252,AB252,Y252,U252,T252,S252,R252)*'1. Standard_Cost'!$B$31</f>
        <v>0</v>
      </c>
      <c r="AF252" s="127">
        <f>SUM(AE252,AD252,AC252,AB252,Y252,U252,T252,S252,R252)</f>
        <v>0</v>
      </c>
      <c r="AG252" s="174"/>
      <c r="AH252" s="174"/>
      <c r="AI252" s="174"/>
      <c r="AJ252" s="178"/>
      <c r="AK252" s="178"/>
      <c r="AL252" s="178"/>
      <c r="AM252" s="127">
        <f>AG252*'1. Standard_Cost'!$B$27+'Incremental_Cost Year 3'!AH252*'1. Standard_Cost'!$C$27+'Incremental_Cost Year 3'!AI252*'1. Standard_Cost'!$D$27+'Incremental_Cost Year 3'!AJ252+'Incremental_Cost Year 3'!AL252+AK252</f>
        <v>0</v>
      </c>
      <c r="AN252" s="127">
        <f>AM252*'1. Standard_Cost'!$C$31</f>
        <v>0</v>
      </c>
      <c r="AO252" s="178"/>
      <c r="AP252" s="256"/>
      <c r="AQ252" s="171">
        <f>L252+M252</f>
        <v>0</v>
      </c>
      <c r="AR252" s="171">
        <f>AF252</f>
        <v>0</v>
      </c>
      <c r="AS252" s="171">
        <f>AM252+AN252</f>
        <v>0</v>
      </c>
      <c r="AT252" s="171">
        <f>SUM(AQ252,AR252,AS252)</f>
        <v>0</v>
      </c>
      <c r="AU252" s="250">
        <f>AT252</f>
        <v>0</v>
      </c>
      <c r="AV252" s="250"/>
      <c r="AW252" s="250"/>
      <c r="AX252" s="250"/>
      <c r="AY252" s="250"/>
      <c r="AZ252" s="250"/>
      <c r="BA252" s="250"/>
      <c r="BB252" s="251">
        <f t="shared" si="167"/>
        <v>0</v>
      </c>
      <c r="BC252" s="169"/>
      <c r="BD252" s="169"/>
      <c r="BE252" s="169"/>
      <c r="BF252" s="169"/>
    </row>
    <row r="253" spans="1:58" ht="141.75" x14ac:dyDescent="0.25">
      <c r="A253" s="172"/>
      <c r="B253" s="200"/>
      <c r="C253" s="201"/>
      <c r="D253" s="202"/>
      <c r="E253" s="360"/>
      <c r="F253" s="361"/>
      <c r="G253" s="362"/>
      <c r="H253" s="199" t="s">
        <v>327</v>
      </c>
      <c r="I253" s="178"/>
      <c r="J253" s="174"/>
      <c r="K253" s="174"/>
      <c r="L253" s="125" t="str">
        <f>IF(I253&lt;&gt;0,((VLOOKUP(I253,'1. Standard_Cost'!$B$4:$D$11,2)+VLOOKUP(I253,'1. Standard_Cost'!$B$4:$D$11,3))*J253*K253),"0")</f>
        <v>0</v>
      </c>
      <c r="M253" s="125">
        <f>L253*'1. Standard_Cost'!$F$4</f>
        <v>0</v>
      </c>
      <c r="N253" s="174"/>
      <c r="O253" s="174"/>
      <c r="P253" s="174"/>
      <c r="Q253" s="174"/>
      <c r="R253" s="127">
        <f>'1. Standard_Cost'!$B$15*N253*P253</f>
        <v>0</v>
      </c>
      <c r="S253" s="127">
        <f>N253*O253*P253*'1. Standard_Cost'!$C$15</f>
        <v>0</v>
      </c>
      <c r="T253" s="127">
        <f>N253*P253*Q253*'1. Standard_Cost'!$D$15</f>
        <v>0</v>
      </c>
      <c r="U253" s="127">
        <f>N253*O253*'1. Standard_Cost'!$E$15</f>
        <v>0</v>
      </c>
      <c r="V253" s="174"/>
      <c r="W253" s="174"/>
      <c r="X253" s="174"/>
      <c r="Y253" s="127">
        <f>+V253*((X253*'1. Standard_Cost'!$B$19)+(W253*X253*'1. Standard_Cost'!$C$19))</f>
        <v>0</v>
      </c>
      <c r="Z253" s="174"/>
      <c r="AA253" s="174"/>
      <c r="AB253" s="127">
        <f>+Z253*'1. Standard_Cost'!$B$23+AA253*'1. Standard_Cost'!$C$23</f>
        <v>0</v>
      </c>
      <c r="AC253" s="176"/>
      <c r="AD253" s="177"/>
      <c r="AE253" s="127">
        <f>SUM(AD253,AC253,AB253,Y253,U253,T253,S253,R253)*'1. Standard_Cost'!$B$31</f>
        <v>0</v>
      </c>
      <c r="AF253" s="127">
        <f>SUM(AE253,AD253,AC253,AB253,Y253,U253,T253,S253,R253)</f>
        <v>0</v>
      </c>
      <c r="AG253" s="174"/>
      <c r="AH253" s="174"/>
      <c r="AI253" s="174"/>
      <c r="AJ253" s="178"/>
      <c r="AK253" s="178"/>
      <c r="AL253" s="178"/>
      <c r="AM253" s="127">
        <f>AG253*'1. Standard_Cost'!$B$27+'Incremental_Cost Year 3'!AH253*'1. Standard_Cost'!$C$27+'Incremental_Cost Year 3'!AI253*'1. Standard_Cost'!$D$27+'Incremental_Cost Year 3'!AJ253+'Incremental_Cost Year 3'!AL253+AK253</f>
        <v>0</v>
      </c>
      <c r="AN253" s="127">
        <f>AM253*'1. Standard_Cost'!$C$31</f>
        <v>0</v>
      </c>
      <c r="AO253" s="178"/>
      <c r="AP253" s="256"/>
      <c r="AQ253" s="171">
        <f>L253+M253</f>
        <v>0</v>
      </c>
      <c r="AR253" s="171">
        <f>AF253</f>
        <v>0</v>
      </c>
      <c r="AS253" s="171">
        <f>AM253+AN253</f>
        <v>0</v>
      </c>
      <c r="AT253" s="171">
        <f>SUM(AQ253,AR253,AS253)</f>
        <v>0</v>
      </c>
      <c r="AU253" s="250"/>
      <c r="AV253" s="250"/>
      <c r="AW253" s="250"/>
      <c r="AX253" s="250"/>
      <c r="AY253" s="250"/>
      <c r="AZ253" s="250"/>
      <c r="BA253" s="250"/>
      <c r="BB253" s="251">
        <f t="shared" si="167"/>
        <v>0</v>
      </c>
      <c r="BC253" s="169"/>
      <c r="BD253" s="169"/>
      <c r="BE253" s="169"/>
      <c r="BF253" s="169"/>
    </row>
    <row r="254" spans="1:58" ht="51" x14ac:dyDescent="0.2">
      <c r="A254" s="172"/>
      <c r="B254" s="168"/>
      <c r="C254" s="204"/>
      <c r="D254" s="195" t="s">
        <v>558</v>
      </c>
      <c r="E254" s="205" t="s">
        <v>328</v>
      </c>
      <c r="F254" s="206">
        <v>2021</v>
      </c>
      <c r="G254" s="209">
        <v>2030</v>
      </c>
      <c r="H254" s="180" t="s">
        <v>329</v>
      </c>
      <c r="I254" s="273"/>
      <c r="J254" s="273"/>
      <c r="K254" s="273"/>
      <c r="L254" s="175">
        <f>SUM(L251:L253)</f>
        <v>0</v>
      </c>
      <c r="M254" s="175">
        <f>SUM(M251:M253)</f>
        <v>0</v>
      </c>
      <c r="N254" s="273"/>
      <c r="O254" s="273"/>
      <c r="P254" s="273"/>
      <c r="Q254" s="273"/>
      <c r="R254" s="175">
        <f>SUM(R251:R253)</f>
        <v>0</v>
      </c>
      <c r="S254" s="175">
        <f>SUM(S251:S253)</f>
        <v>0</v>
      </c>
      <c r="T254" s="175">
        <f>SUM(T251:T253)</f>
        <v>0</v>
      </c>
      <c r="U254" s="175">
        <f>SUM(U251:U253)</f>
        <v>0</v>
      </c>
      <c r="V254" s="273"/>
      <c r="W254" s="273"/>
      <c r="X254" s="273"/>
      <c r="Y254" s="175">
        <f>SUM(Y251:Y253)</f>
        <v>0</v>
      </c>
      <c r="Z254" s="273"/>
      <c r="AA254" s="273"/>
      <c r="AB254" s="175">
        <f>SUM(AB251:AB253)</f>
        <v>0</v>
      </c>
      <c r="AC254" s="175">
        <f>SUM(AC251:AC253)</f>
        <v>8100000</v>
      </c>
      <c r="AD254" s="175">
        <f>SUM(AD251:AD253)</f>
        <v>0</v>
      </c>
      <c r="AE254" s="175">
        <f>SUM(AE251:AE253)</f>
        <v>0</v>
      </c>
      <c r="AF254" s="175">
        <f>SUM(AF251:AF253)</f>
        <v>8100000</v>
      </c>
      <c r="AG254" s="273"/>
      <c r="AH254" s="273"/>
      <c r="AI254" s="273"/>
      <c r="AJ254" s="175">
        <f>SUM(AJ251:AJ253)</f>
        <v>0</v>
      </c>
      <c r="AK254" s="175">
        <f>SUM(AK251:AK253)</f>
        <v>0</v>
      </c>
      <c r="AL254" s="175">
        <f>SUM(AL251:AL253)</f>
        <v>0</v>
      </c>
      <c r="AM254" s="175">
        <f>SUM(AM251:AM253)</f>
        <v>0</v>
      </c>
      <c r="AN254" s="175">
        <f>SUM(AN251:AN253)</f>
        <v>0</v>
      </c>
      <c r="AO254" s="274"/>
      <c r="AP254" s="254"/>
      <c r="AQ254" s="175">
        <f t="shared" ref="AQ254:AT254" si="168">SUM(AQ251:AQ253)</f>
        <v>0</v>
      </c>
      <c r="AR254" s="175">
        <f t="shared" si="168"/>
        <v>8100000</v>
      </c>
      <c r="AS254" s="175">
        <f t="shared" si="168"/>
        <v>0</v>
      </c>
      <c r="AT254" s="175">
        <f t="shared" si="168"/>
        <v>8100000</v>
      </c>
      <c r="AU254" s="175">
        <f t="shared" ref="AU254:BB254" si="169">SUM(AU251:AU253)</f>
        <v>0</v>
      </c>
      <c r="AV254" s="175">
        <f t="shared" si="169"/>
        <v>0</v>
      </c>
      <c r="AW254" s="175">
        <f t="shared" si="169"/>
        <v>0</v>
      </c>
      <c r="AX254" s="175">
        <f t="shared" si="169"/>
        <v>0</v>
      </c>
      <c r="AY254" s="175">
        <f t="shared" si="169"/>
        <v>0</v>
      </c>
      <c r="AZ254" s="175">
        <f t="shared" si="169"/>
        <v>8100000</v>
      </c>
      <c r="BA254" s="175">
        <f t="shared" si="169"/>
        <v>0</v>
      </c>
      <c r="BB254" s="175">
        <f t="shared" si="169"/>
        <v>0</v>
      </c>
      <c r="BC254" s="169"/>
      <c r="BD254" s="169"/>
      <c r="BE254" s="169"/>
      <c r="BF254" s="169"/>
    </row>
    <row r="255" spans="1:58" ht="78.75" x14ac:dyDescent="0.25">
      <c r="A255" s="172"/>
      <c r="B255" s="200"/>
      <c r="C255" s="201"/>
      <c r="D255" s="202"/>
      <c r="E255" s="354"/>
      <c r="F255" s="355"/>
      <c r="G255" s="356"/>
      <c r="H255" s="213" t="s">
        <v>330</v>
      </c>
      <c r="I255" s="178"/>
      <c r="J255" s="174"/>
      <c r="K255" s="174"/>
      <c r="L255" s="125" t="str">
        <f>IF(I255&lt;&gt;0,((VLOOKUP(I255,'1. Standard_Cost'!$B$4:$D$11,2)+VLOOKUP(I255,'1. Standard_Cost'!$B$4:$D$11,3))*J255*K255),"0")</f>
        <v>0</v>
      </c>
      <c r="M255" s="125">
        <f>L255*'1. Standard_Cost'!$F$4</f>
        <v>0</v>
      </c>
      <c r="N255" s="174"/>
      <c r="O255" s="174"/>
      <c r="P255" s="174"/>
      <c r="Q255" s="174"/>
      <c r="R255" s="127">
        <f>'1. Standard_Cost'!$B$15*N255*P255</f>
        <v>0</v>
      </c>
      <c r="S255" s="127">
        <f>N255*O255*P255*'1. Standard_Cost'!$C$15</f>
        <v>0</v>
      </c>
      <c r="T255" s="127">
        <f>N255*P255*Q255*'1. Standard_Cost'!$D$15</f>
        <v>0</v>
      </c>
      <c r="U255" s="127">
        <f>N255*O255*'1. Standard_Cost'!$E$15</f>
        <v>0</v>
      </c>
      <c r="V255" s="174"/>
      <c r="W255" s="174"/>
      <c r="X255" s="174"/>
      <c r="Y255" s="127">
        <f>+V255*((X255*'1. Standard_Cost'!$B$19)+(W255*X255*'1. Standard_Cost'!$C$19))</f>
        <v>0</v>
      </c>
      <c r="Z255" s="174"/>
      <c r="AA255" s="174"/>
      <c r="AB255" s="127">
        <f>+Z255*'1. Standard_Cost'!$B$23+AA255*'1. Standard_Cost'!$C$23</f>
        <v>0</v>
      </c>
      <c r="AC255" s="176"/>
      <c r="AD255" s="177"/>
      <c r="AE255" s="127">
        <f>SUM(AD255,AC255,AB255,Y255,U255,T255,S255,R255)*'1. Standard_Cost'!$B$31</f>
        <v>0</v>
      </c>
      <c r="AF255" s="127">
        <f>SUM(AE255,AD255,AC255,AB255,Y255,U255,T255,S255,R255)</f>
        <v>0</v>
      </c>
      <c r="AG255" s="174"/>
      <c r="AH255" s="174"/>
      <c r="AI255" s="174"/>
      <c r="AJ255" s="178"/>
      <c r="AK255" s="178"/>
      <c r="AL255" s="178"/>
      <c r="AM255" s="127">
        <f>AG255*'1. Standard_Cost'!$B$27+'Incremental_Cost Year 3'!AH255*'1. Standard_Cost'!$C$27+'Incremental_Cost Year 3'!AI255*'1. Standard_Cost'!$D$27+'Incremental_Cost Year 3'!AJ255+'Incremental_Cost Year 3'!AL255+AK255</f>
        <v>0</v>
      </c>
      <c r="AN255" s="127">
        <f>AM255*'1. Standard_Cost'!$C$31</f>
        <v>0</v>
      </c>
      <c r="AO255" s="178"/>
      <c r="AP255" s="256"/>
      <c r="AQ255" s="171">
        <f>L255+M255</f>
        <v>0</v>
      </c>
      <c r="AR255" s="171">
        <f>AF255</f>
        <v>0</v>
      </c>
      <c r="AS255" s="171">
        <f>AM255+AN255</f>
        <v>0</v>
      </c>
      <c r="AT255" s="171">
        <f>SUM(AQ255,AR255,AS255)</f>
        <v>0</v>
      </c>
      <c r="AU255" s="250"/>
      <c r="AV255" s="250"/>
      <c r="AW255" s="250"/>
      <c r="AX255" s="250"/>
      <c r="AY255" s="250"/>
      <c r="AZ255" s="250"/>
      <c r="BA255" s="250"/>
      <c r="BB255" s="251">
        <f t="shared" ref="BB255:BB257" si="170">SUM(AU255:BA255)-AT255</f>
        <v>0</v>
      </c>
      <c r="BC255" s="169"/>
      <c r="BD255" s="169"/>
      <c r="BE255" s="169"/>
      <c r="BF255" s="169"/>
    </row>
    <row r="256" spans="1:58" ht="78.75" x14ac:dyDescent="0.25">
      <c r="A256" s="172"/>
      <c r="B256" s="200"/>
      <c r="C256" s="201"/>
      <c r="D256" s="202"/>
      <c r="E256" s="357"/>
      <c r="F256" s="358"/>
      <c r="G256" s="359"/>
      <c r="H256" s="199" t="s">
        <v>331</v>
      </c>
      <c r="I256" s="178"/>
      <c r="J256" s="174"/>
      <c r="K256" s="174"/>
      <c r="L256" s="125" t="str">
        <f>IF(I256&lt;&gt;0,((VLOOKUP(I256,'1. Standard_Cost'!$B$4:$D$11,2)+VLOOKUP(I256,'1. Standard_Cost'!$B$4:$D$11,3))*J256*K256),"0")</f>
        <v>0</v>
      </c>
      <c r="M256" s="125">
        <f>L256*'1. Standard_Cost'!$F$4</f>
        <v>0</v>
      </c>
      <c r="N256" s="174"/>
      <c r="O256" s="174"/>
      <c r="P256" s="174"/>
      <c r="Q256" s="174"/>
      <c r="R256" s="127">
        <f>'1. Standard_Cost'!$B$15*N256*P256</f>
        <v>0</v>
      </c>
      <c r="S256" s="127">
        <f>N256*O256*P256*'1. Standard_Cost'!$C$15</f>
        <v>0</v>
      </c>
      <c r="T256" s="127">
        <f>N256*P256*Q256*'1. Standard_Cost'!$D$15</f>
        <v>0</v>
      </c>
      <c r="U256" s="127">
        <f>N256*O256*'1. Standard_Cost'!$E$15</f>
        <v>0</v>
      </c>
      <c r="V256" s="174"/>
      <c r="W256" s="174"/>
      <c r="X256" s="174"/>
      <c r="Y256" s="127">
        <f>+V256*((X256*'1. Standard_Cost'!$B$19)+(W256*X256*'1. Standard_Cost'!$C$19))</f>
        <v>0</v>
      </c>
      <c r="Z256" s="174"/>
      <c r="AA256" s="174"/>
      <c r="AB256" s="127">
        <f>+Z256*'1. Standard_Cost'!$B$23+AA256*'1. Standard_Cost'!$C$23</f>
        <v>0</v>
      </c>
      <c r="AC256" s="176"/>
      <c r="AD256" s="177"/>
      <c r="AE256" s="127">
        <f>SUM(AD256,AC256,AB256,Y256,U256,T256,S256,R256)*'1. Standard_Cost'!$B$31</f>
        <v>0</v>
      </c>
      <c r="AF256" s="127">
        <f>SUM(AE256,AD256,AC256,AB256,Y256,U256,T256,S256,R256)</f>
        <v>0</v>
      </c>
      <c r="AG256" s="174"/>
      <c r="AH256" s="174"/>
      <c r="AI256" s="174"/>
      <c r="AJ256" s="178"/>
      <c r="AK256" s="178"/>
      <c r="AL256" s="178"/>
      <c r="AM256" s="127">
        <f>AG256*'1. Standard_Cost'!$B$27+'Incremental_Cost Year 3'!AH256*'1. Standard_Cost'!$C$27+'Incremental_Cost Year 3'!AI256*'1. Standard_Cost'!$D$27+'Incremental_Cost Year 3'!AJ256+'Incremental_Cost Year 3'!AL256+AK256</f>
        <v>0</v>
      </c>
      <c r="AN256" s="127">
        <f>AM256*'1. Standard_Cost'!$C$31</f>
        <v>0</v>
      </c>
      <c r="AO256" s="178"/>
      <c r="AP256" s="256"/>
      <c r="AQ256" s="171">
        <f>L256+M256</f>
        <v>0</v>
      </c>
      <c r="AR256" s="171">
        <f>AF256</f>
        <v>0</v>
      </c>
      <c r="AS256" s="171">
        <f>AM256+AN256</f>
        <v>0</v>
      </c>
      <c r="AT256" s="171">
        <f>SUM(AQ256,AR256,AS256)</f>
        <v>0</v>
      </c>
      <c r="AU256" s="250"/>
      <c r="AV256" s="250"/>
      <c r="AW256" s="250"/>
      <c r="AX256" s="250"/>
      <c r="AY256" s="250"/>
      <c r="AZ256" s="250"/>
      <c r="BA256" s="250"/>
      <c r="BB256" s="251">
        <f t="shared" si="170"/>
        <v>0</v>
      </c>
      <c r="BC256" s="169"/>
      <c r="BD256" s="169"/>
      <c r="BE256" s="169"/>
      <c r="BF256" s="169"/>
    </row>
    <row r="257" spans="1:58" ht="94.5" x14ac:dyDescent="0.25">
      <c r="A257" s="172"/>
      <c r="B257" s="200"/>
      <c r="C257" s="201"/>
      <c r="D257" s="202"/>
      <c r="E257" s="360"/>
      <c r="F257" s="361"/>
      <c r="G257" s="362"/>
      <c r="H257" s="199" t="s">
        <v>332</v>
      </c>
      <c r="I257" s="178"/>
      <c r="J257" s="174"/>
      <c r="K257" s="174"/>
      <c r="L257" s="125" t="str">
        <f>IF(I257&lt;&gt;0,((VLOOKUP(I257,'1. Standard_Cost'!$B$4:$D$11,2)+VLOOKUP(I257,'1. Standard_Cost'!$B$4:$D$11,3))*J257*K257),"0")</f>
        <v>0</v>
      </c>
      <c r="M257" s="125">
        <f>L257*'1. Standard_Cost'!$F$4</f>
        <v>0</v>
      </c>
      <c r="N257" s="174"/>
      <c r="O257" s="174"/>
      <c r="P257" s="174"/>
      <c r="Q257" s="174"/>
      <c r="R257" s="127">
        <f>'1. Standard_Cost'!$B$15*N257*P257</f>
        <v>0</v>
      </c>
      <c r="S257" s="127">
        <f>N257*O257*P257*'1. Standard_Cost'!$C$15</f>
        <v>0</v>
      </c>
      <c r="T257" s="127">
        <f>N257*P257*Q257*'1. Standard_Cost'!$D$15</f>
        <v>0</v>
      </c>
      <c r="U257" s="127">
        <f>N257*O257*'1. Standard_Cost'!$E$15</f>
        <v>0</v>
      </c>
      <c r="V257" s="174"/>
      <c r="W257" s="174"/>
      <c r="X257" s="174"/>
      <c r="Y257" s="127">
        <f>+V257*((X257*'1. Standard_Cost'!$B$19)+(W257*X257*'1. Standard_Cost'!$C$19))</f>
        <v>0</v>
      </c>
      <c r="Z257" s="174"/>
      <c r="AA257" s="174"/>
      <c r="AB257" s="127">
        <f>+Z257*'1. Standard_Cost'!$B$23+AA257*'1. Standard_Cost'!$C$23</f>
        <v>0</v>
      </c>
      <c r="AC257" s="176"/>
      <c r="AD257" s="177"/>
      <c r="AE257" s="127">
        <f>SUM(AD257,AC257,AB257,Y257,U257,T257,S257,R257)*'1. Standard_Cost'!$B$31</f>
        <v>0</v>
      </c>
      <c r="AF257" s="127">
        <f>SUM(AE257,AD257,AC257,AB257,Y257,U257,T257,S257,R257)</f>
        <v>0</v>
      </c>
      <c r="AG257" s="174"/>
      <c r="AH257" s="174"/>
      <c r="AI257" s="174"/>
      <c r="AJ257" s="178"/>
      <c r="AK257" s="178"/>
      <c r="AL257" s="178"/>
      <c r="AM257" s="127">
        <f>AG257*'1. Standard_Cost'!$B$27+'Incremental_Cost Year 3'!AH257*'1. Standard_Cost'!$C$27+'Incremental_Cost Year 3'!AI257*'1. Standard_Cost'!$D$27+'Incremental_Cost Year 3'!AJ257+'Incremental_Cost Year 3'!AL257+AK257</f>
        <v>0</v>
      </c>
      <c r="AN257" s="127">
        <f>AM257*'1. Standard_Cost'!$C$31</f>
        <v>0</v>
      </c>
      <c r="AO257" s="178"/>
      <c r="AP257" s="256"/>
      <c r="AQ257" s="171">
        <f>L257+M257</f>
        <v>0</v>
      </c>
      <c r="AR257" s="171">
        <f>AF257</f>
        <v>0</v>
      </c>
      <c r="AS257" s="171">
        <f>AM257+AN257</f>
        <v>0</v>
      </c>
      <c r="AT257" s="171">
        <f>SUM(AQ257,AR257,AS257)</f>
        <v>0</v>
      </c>
      <c r="AU257" s="250"/>
      <c r="AV257" s="250"/>
      <c r="AW257" s="250"/>
      <c r="AX257" s="250"/>
      <c r="AY257" s="250"/>
      <c r="AZ257" s="250"/>
      <c r="BA257" s="250"/>
      <c r="BB257" s="251">
        <f t="shared" si="170"/>
        <v>0</v>
      </c>
      <c r="BC257" s="169"/>
      <c r="BD257" s="169"/>
      <c r="BE257" s="169"/>
      <c r="BF257" s="169"/>
    </row>
    <row r="258" spans="1:58" ht="38.25" x14ac:dyDescent="0.2">
      <c r="A258" s="172"/>
      <c r="B258" s="168"/>
      <c r="C258" s="204"/>
      <c r="D258" s="195" t="s">
        <v>559</v>
      </c>
      <c r="E258" s="205" t="s">
        <v>333</v>
      </c>
      <c r="F258" s="206">
        <v>2025</v>
      </c>
      <c r="G258" s="207">
        <v>2030</v>
      </c>
      <c r="H258" s="180" t="s">
        <v>334</v>
      </c>
      <c r="I258" s="273"/>
      <c r="J258" s="273"/>
      <c r="K258" s="273"/>
      <c r="L258" s="175">
        <f>SUM(L255:L257)</f>
        <v>0</v>
      </c>
      <c r="M258" s="175">
        <f>SUM(M255:M257)</f>
        <v>0</v>
      </c>
      <c r="N258" s="273"/>
      <c r="O258" s="273"/>
      <c r="P258" s="273"/>
      <c r="Q258" s="273"/>
      <c r="R258" s="175">
        <f>SUM(R255:R257)</f>
        <v>0</v>
      </c>
      <c r="S258" s="175">
        <f>SUM(S255:S257)</f>
        <v>0</v>
      </c>
      <c r="T258" s="175">
        <f>SUM(T255:T257)</f>
        <v>0</v>
      </c>
      <c r="U258" s="175">
        <f>SUM(U255:U257)</f>
        <v>0</v>
      </c>
      <c r="V258" s="273"/>
      <c r="W258" s="273"/>
      <c r="X258" s="273"/>
      <c r="Y258" s="175">
        <f>SUM(Y255:Y257)</f>
        <v>0</v>
      </c>
      <c r="Z258" s="273"/>
      <c r="AA258" s="273"/>
      <c r="AB258" s="175">
        <f>SUM(AB255:AB257)</f>
        <v>0</v>
      </c>
      <c r="AC258" s="175">
        <f>SUM(AC255:AC257)</f>
        <v>0</v>
      </c>
      <c r="AD258" s="175">
        <f>SUM(AD255:AD257)</f>
        <v>0</v>
      </c>
      <c r="AE258" s="175">
        <f>SUM(AE255:AE257)</f>
        <v>0</v>
      </c>
      <c r="AF258" s="175">
        <f>SUM(AF255:AF257)</f>
        <v>0</v>
      </c>
      <c r="AG258" s="273"/>
      <c r="AH258" s="273"/>
      <c r="AI258" s="273"/>
      <c r="AJ258" s="175">
        <f>SUM(AJ255:AJ257)</f>
        <v>0</v>
      </c>
      <c r="AK258" s="175">
        <f>SUM(AK255:AK257)</f>
        <v>0</v>
      </c>
      <c r="AL258" s="175">
        <f>SUM(AL255:AL257)</f>
        <v>0</v>
      </c>
      <c r="AM258" s="175">
        <f>SUM(AM255:AM257)</f>
        <v>0</v>
      </c>
      <c r="AN258" s="175">
        <f>SUM(AN255:AN257)</f>
        <v>0</v>
      </c>
      <c r="AO258" s="274"/>
      <c r="AP258" s="254"/>
      <c r="AQ258" s="175">
        <f t="shared" ref="AQ258:AT258" si="171">SUM(AQ255:AQ257)</f>
        <v>0</v>
      </c>
      <c r="AR258" s="175">
        <f t="shared" si="171"/>
        <v>0</v>
      </c>
      <c r="AS258" s="175">
        <f t="shared" si="171"/>
        <v>0</v>
      </c>
      <c r="AT258" s="175">
        <f t="shared" si="171"/>
        <v>0</v>
      </c>
      <c r="AU258" s="175">
        <f t="shared" ref="AU258:BB258" si="172">SUM(AU255:AU257)</f>
        <v>0</v>
      </c>
      <c r="AV258" s="175">
        <f t="shared" si="172"/>
        <v>0</v>
      </c>
      <c r="AW258" s="175">
        <f t="shared" si="172"/>
        <v>0</v>
      </c>
      <c r="AX258" s="175">
        <f t="shared" si="172"/>
        <v>0</v>
      </c>
      <c r="AY258" s="175">
        <f t="shared" si="172"/>
        <v>0</v>
      </c>
      <c r="AZ258" s="175">
        <f t="shared" si="172"/>
        <v>0</v>
      </c>
      <c r="BA258" s="175">
        <f t="shared" si="172"/>
        <v>0</v>
      </c>
      <c r="BB258" s="175">
        <f t="shared" si="172"/>
        <v>0</v>
      </c>
      <c r="BC258" s="169"/>
      <c r="BD258" s="169"/>
      <c r="BE258" s="169"/>
      <c r="BF258" s="169"/>
    </row>
    <row r="259" spans="1:58" ht="15.6" customHeight="1" x14ac:dyDescent="0.2">
      <c r="A259" s="179"/>
      <c r="B259" s="290"/>
      <c r="C259" s="391" t="s">
        <v>335</v>
      </c>
      <c r="D259" s="391"/>
      <c r="E259" s="392"/>
      <c r="F259" s="287"/>
      <c r="G259" s="289"/>
      <c r="H259" s="181" t="s">
        <v>336</v>
      </c>
      <c r="I259" s="271"/>
      <c r="J259" s="271"/>
      <c r="K259" s="271"/>
      <c r="L259" s="261">
        <f>L263+L268</f>
        <v>22663200</v>
      </c>
      <c r="M259" s="261">
        <f>M263+M268</f>
        <v>3784754.4000000004</v>
      </c>
      <c r="N259" s="271"/>
      <c r="O259" s="271"/>
      <c r="P259" s="271"/>
      <c r="Q259" s="271"/>
      <c r="R259" s="261">
        <f>R263+R268</f>
        <v>0</v>
      </c>
      <c r="S259" s="261">
        <f>S263+S268</f>
        <v>0</v>
      </c>
      <c r="T259" s="261">
        <f>T263+T268</f>
        <v>0</v>
      </c>
      <c r="U259" s="261">
        <f>U263+U268</f>
        <v>0</v>
      </c>
      <c r="V259" s="261"/>
      <c r="W259" s="271"/>
      <c r="X259" s="271"/>
      <c r="Y259" s="261">
        <f>Y263+Y268</f>
        <v>0</v>
      </c>
      <c r="Z259" s="261"/>
      <c r="AA259" s="261"/>
      <c r="AB259" s="261">
        <f>AB263+AB268</f>
        <v>0</v>
      </c>
      <c r="AC259" s="261">
        <f>AC263+AC268</f>
        <v>25655000</v>
      </c>
      <c r="AD259" s="261">
        <f>AD263+AD268</f>
        <v>0</v>
      </c>
      <c r="AE259" s="261">
        <f>AE263+AE268</f>
        <v>0</v>
      </c>
      <c r="AF259" s="261">
        <f>AF263+AF268</f>
        <v>25655000</v>
      </c>
      <c r="AG259" s="271"/>
      <c r="AH259" s="271"/>
      <c r="AI259" s="271"/>
      <c r="AJ259" s="261">
        <f>AJ263+AJ268</f>
        <v>0</v>
      </c>
      <c r="AK259" s="261">
        <f>AK263+AK268</f>
        <v>444070000</v>
      </c>
      <c r="AL259" s="261">
        <f>AL263+AL268</f>
        <v>0</v>
      </c>
      <c r="AM259" s="261">
        <f>AM263+AM268</f>
        <v>444070000</v>
      </c>
      <c r="AN259" s="261">
        <f>AN263+AN268</f>
        <v>66610500</v>
      </c>
      <c r="AO259" s="272"/>
      <c r="AP259" s="260"/>
      <c r="AQ259" s="261">
        <f t="shared" ref="AQ259:BB259" si="173">AQ263+AQ268</f>
        <v>26447954.400000002</v>
      </c>
      <c r="AR259" s="261">
        <f t="shared" si="173"/>
        <v>25655000</v>
      </c>
      <c r="AS259" s="261">
        <f t="shared" si="173"/>
        <v>510680500</v>
      </c>
      <c r="AT259" s="261">
        <f t="shared" si="173"/>
        <v>562783454.39999998</v>
      </c>
      <c r="AU259" s="261">
        <f t="shared" si="173"/>
        <v>95364654.400000006</v>
      </c>
      <c r="AV259" s="261">
        <f t="shared" si="173"/>
        <v>0</v>
      </c>
      <c r="AW259" s="261">
        <f t="shared" si="173"/>
        <v>216308000</v>
      </c>
      <c r="AX259" s="261">
        <f t="shared" si="173"/>
        <v>0</v>
      </c>
      <c r="AY259" s="261">
        <f t="shared" si="173"/>
        <v>0</v>
      </c>
      <c r="AZ259" s="261">
        <f t="shared" si="173"/>
        <v>0</v>
      </c>
      <c r="BA259" s="261">
        <f t="shared" si="173"/>
        <v>0</v>
      </c>
      <c r="BB259" s="261">
        <f t="shared" si="173"/>
        <v>-251110800</v>
      </c>
      <c r="BC259" s="184"/>
      <c r="BD259" s="184"/>
      <c r="BE259" s="184"/>
      <c r="BF259" s="184"/>
    </row>
    <row r="260" spans="1:58" ht="78.75" x14ac:dyDescent="0.25">
      <c r="A260" s="172"/>
      <c r="B260" s="354"/>
      <c r="C260" s="356"/>
      <c r="D260" s="342"/>
      <c r="E260" s="328"/>
      <c r="F260" s="328"/>
      <c r="G260" s="328"/>
      <c r="H260" s="199" t="s">
        <v>556</v>
      </c>
      <c r="I260" s="178" t="s">
        <v>3</v>
      </c>
      <c r="J260" s="174">
        <v>1</v>
      </c>
      <c r="K260" s="174">
        <v>2</v>
      </c>
      <c r="L260" s="125">
        <f>IF(I260&lt;&gt;0,((VLOOKUP(I260,'1. Standard_Cost'!$B$4:$D$11,2)+VLOOKUP(I260,'1. Standard_Cost'!$B$4:$D$11,3))*J260*K260),"0")</f>
        <v>201600</v>
      </c>
      <c r="M260" s="125">
        <f>L260*'1. Standard_Cost'!$F$4</f>
        <v>33667.200000000004</v>
      </c>
      <c r="N260" s="174"/>
      <c r="O260" s="174"/>
      <c r="P260" s="174"/>
      <c r="Q260" s="174"/>
      <c r="R260" s="127">
        <f>'1. Standard_Cost'!$B$15*N260*P260</f>
        <v>0</v>
      </c>
      <c r="S260" s="127">
        <f>N260*O260*P260*'1. Standard_Cost'!$C$15</f>
        <v>0</v>
      </c>
      <c r="T260" s="127">
        <f>N260*P260*Q260*'1. Standard_Cost'!$D$15</f>
        <v>0</v>
      </c>
      <c r="U260" s="127">
        <f>N260*O260*'1. Standard_Cost'!$E$15</f>
        <v>0</v>
      </c>
      <c r="V260" s="174"/>
      <c r="W260" s="174"/>
      <c r="X260" s="174"/>
      <c r="Y260" s="127">
        <f>+V260*((X260*'1. Standard_Cost'!$B$19)+(W260*X260*'1. Standard_Cost'!$C$19))</f>
        <v>0</v>
      </c>
      <c r="Z260" s="174"/>
      <c r="AA260" s="174"/>
      <c r="AB260" s="127">
        <f>+Z260*'1. Standard_Cost'!$B$23+AA260*'1. Standard_Cost'!$C$23</f>
        <v>0</v>
      </c>
      <c r="AC260" s="176"/>
      <c r="AD260" s="177"/>
      <c r="AE260" s="127"/>
      <c r="AF260" s="127">
        <f>SUM(AE260,AD260,AC260,AB260,Y260,U260,T260,S260,R260)</f>
        <v>0</v>
      </c>
      <c r="AG260" s="174"/>
      <c r="AH260" s="174"/>
      <c r="AI260" s="174"/>
      <c r="AJ260" s="178"/>
      <c r="AK260" s="178">
        <v>207870000</v>
      </c>
      <c r="AL260" s="178"/>
      <c r="AM260" s="127">
        <f>AG260*'1. Standard_Cost'!$B$27+'Incremental_Cost Year 3'!AH260*'1. Standard_Cost'!$C$27+'Incremental_Cost Year 3'!AI260*'1. Standard_Cost'!$D$27+'Incremental_Cost Year 3'!AJ260+'Incremental_Cost Year 3'!AL260+AK260</f>
        <v>207870000</v>
      </c>
      <c r="AN260" s="127">
        <f>AM260*'1. Standard_Cost'!$C$31</f>
        <v>31180500</v>
      </c>
      <c r="AO260" s="178"/>
      <c r="AP260" s="256"/>
      <c r="AQ260" s="171">
        <f>L260+M260</f>
        <v>235267.20000000001</v>
      </c>
      <c r="AR260" s="171">
        <f>AF260</f>
        <v>0</v>
      </c>
      <c r="AS260" s="171">
        <f>AM260+AN260</f>
        <v>239050500</v>
      </c>
      <c r="AT260" s="171">
        <f>SUM(AQ260,AR260,AS260)</f>
        <v>239285767.19999999</v>
      </c>
      <c r="AU260" s="250">
        <f>AQ260+34645000</f>
        <v>34880267.200000003</v>
      </c>
      <c r="AV260" s="250"/>
      <c r="AW260" s="250">
        <v>173225000</v>
      </c>
      <c r="AX260" s="250"/>
      <c r="AY260" s="250"/>
      <c r="AZ260" s="250"/>
      <c r="BA260" s="250"/>
      <c r="BB260" s="251">
        <f t="shared" ref="BB260:BB262" si="174">SUM(AU260:BA260)-AT260</f>
        <v>-31180500</v>
      </c>
      <c r="BC260" s="169"/>
      <c r="BD260" s="169"/>
      <c r="BE260" s="169"/>
      <c r="BF260" s="169"/>
    </row>
    <row r="261" spans="1:58" ht="63" x14ac:dyDescent="0.25">
      <c r="A261" s="172"/>
      <c r="B261" s="357"/>
      <c r="C261" s="359"/>
      <c r="D261" s="343"/>
      <c r="E261" s="328"/>
      <c r="F261" s="328"/>
      <c r="G261" s="328"/>
      <c r="H261" s="199" t="s">
        <v>337</v>
      </c>
      <c r="I261" s="178" t="s">
        <v>3</v>
      </c>
      <c r="J261" s="174">
        <v>1</v>
      </c>
      <c r="K261" s="174">
        <v>2</v>
      </c>
      <c r="L261" s="125">
        <f>IF(I261&lt;&gt;0,((VLOOKUP(I261,'1. Standard_Cost'!$B$4:$D$11,2)+VLOOKUP(I261,'1. Standard_Cost'!$B$4:$D$11,3))*J261*K261),"0")</f>
        <v>201600</v>
      </c>
      <c r="M261" s="125">
        <f>L261*'1. Standard_Cost'!$F$4</f>
        <v>33667.200000000004</v>
      </c>
      <c r="N261" s="174"/>
      <c r="O261" s="174"/>
      <c r="P261" s="174"/>
      <c r="Q261" s="174"/>
      <c r="R261" s="127">
        <f>'1. Standard_Cost'!$B$15*N261*P261</f>
        <v>0</v>
      </c>
      <c r="S261" s="127">
        <f>N261*O261*P261*'1. Standard_Cost'!$C$15</f>
        <v>0</v>
      </c>
      <c r="T261" s="127">
        <f>N261*P261*Q261*'1. Standard_Cost'!$D$15</f>
        <v>0</v>
      </c>
      <c r="U261" s="127">
        <f>N261*O261*'1. Standard_Cost'!$E$15</f>
        <v>0</v>
      </c>
      <c r="V261" s="174"/>
      <c r="W261" s="174"/>
      <c r="X261" s="174"/>
      <c r="Y261" s="127">
        <f>+V261*((X261*'1. Standard_Cost'!$B$19)+(W261*X261*'1. Standard_Cost'!$C$19))</f>
        <v>0</v>
      </c>
      <c r="Z261" s="174"/>
      <c r="AA261" s="174"/>
      <c r="AB261" s="127">
        <f>+Z261*'1. Standard_Cost'!$B$23+AA261*'1. Standard_Cost'!$C$23</f>
        <v>0</v>
      </c>
      <c r="AC261" s="176"/>
      <c r="AD261" s="177"/>
      <c r="AE261" s="127">
        <f>SUM(AD261,AC261,AB261,Y261,U261,T261,S261,R261)*'1. Standard_Cost'!$B$31</f>
        <v>0</v>
      </c>
      <c r="AF261" s="127">
        <f>SUM(AE261,AD261,AC261,AB261,Y261,U261,T261,S261,R261)</f>
        <v>0</v>
      </c>
      <c r="AG261" s="174"/>
      <c r="AH261" s="174"/>
      <c r="AI261" s="174"/>
      <c r="AJ261" s="178"/>
      <c r="AK261" s="178">
        <v>51700000</v>
      </c>
      <c r="AL261" s="178"/>
      <c r="AM261" s="127">
        <f>AG261*'1. Standard_Cost'!$B$27+'Incremental_Cost Year 3'!AH261*'1. Standard_Cost'!$C$27+'Incremental_Cost Year 3'!AI261*'1. Standard_Cost'!$D$27+'Incremental_Cost Year 3'!AJ261+'Incremental_Cost Year 3'!AL261+AK261</f>
        <v>51700000</v>
      </c>
      <c r="AN261" s="127">
        <f>AM261*'1. Standard_Cost'!$C$31</f>
        <v>7755000</v>
      </c>
      <c r="AO261" s="178"/>
      <c r="AP261" s="256"/>
      <c r="AQ261" s="171">
        <f>L261+M261</f>
        <v>235267.20000000001</v>
      </c>
      <c r="AR261" s="171">
        <f>AF261</f>
        <v>0</v>
      </c>
      <c r="AS261" s="171">
        <f>AM261+AN261</f>
        <v>59455000</v>
      </c>
      <c r="AT261" s="171">
        <f>SUM(AQ261,AR261,AS261)</f>
        <v>59690267.200000003</v>
      </c>
      <c r="AU261" s="250">
        <f>+AQ261+8616700</f>
        <v>8851967.1999999993</v>
      </c>
      <c r="AV261" s="250"/>
      <c r="AW261" s="250">
        <v>43083000</v>
      </c>
      <c r="AX261" s="250"/>
      <c r="AY261" s="250"/>
      <c r="AZ261" s="250"/>
      <c r="BA261" s="250"/>
      <c r="BB261" s="251">
        <f t="shared" si="174"/>
        <v>-7755300</v>
      </c>
      <c r="BC261" s="169"/>
      <c r="BD261" s="169"/>
      <c r="BE261" s="169"/>
      <c r="BF261" s="169"/>
    </row>
    <row r="262" spans="1:58" ht="63" x14ac:dyDescent="0.25">
      <c r="A262" s="172"/>
      <c r="B262" s="357"/>
      <c r="C262" s="359"/>
      <c r="D262" s="343"/>
      <c r="E262" s="328"/>
      <c r="F262" s="328"/>
      <c r="G262" s="328"/>
      <c r="H262" s="199" t="s">
        <v>552</v>
      </c>
      <c r="I262" s="178" t="s">
        <v>3</v>
      </c>
      <c r="J262" s="174">
        <v>1</v>
      </c>
      <c r="K262" s="174">
        <v>2</v>
      </c>
      <c r="L262" s="125">
        <f>IF(I262&lt;&gt;0,((VLOOKUP(I262,'1. Standard_Cost'!$B$4:$D$11,2)+VLOOKUP(I262,'1. Standard_Cost'!$B$4:$D$11,3))*J262*K262),"0")</f>
        <v>201600</v>
      </c>
      <c r="M262" s="125">
        <f>L262*'1. Standard_Cost'!$F$4</f>
        <v>33667.200000000004</v>
      </c>
      <c r="N262" s="174"/>
      <c r="O262" s="174"/>
      <c r="P262" s="174"/>
      <c r="Q262" s="174"/>
      <c r="R262" s="127">
        <f>'1. Standard_Cost'!$B$15*N262*P262</f>
        <v>0</v>
      </c>
      <c r="S262" s="127">
        <f>N262*O262*P262*'1. Standard_Cost'!$C$15</f>
        <v>0</v>
      </c>
      <c r="T262" s="127">
        <f>N262*P262*Q262*'1. Standard_Cost'!$D$15</f>
        <v>0</v>
      </c>
      <c r="U262" s="127">
        <f>N262*O262*'1. Standard_Cost'!$E$15</f>
        <v>0</v>
      </c>
      <c r="V262" s="174"/>
      <c r="W262" s="174"/>
      <c r="X262" s="174"/>
      <c r="Y262" s="127">
        <f>+V262*((X262*'1. Standard_Cost'!$B$19)+(W262*X262*'1. Standard_Cost'!$C$19))</f>
        <v>0</v>
      </c>
      <c r="Z262" s="174"/>
      <c r="AA262" s="174"/>
      <c r="AB262" s="127">
        <f>+Z262*'1. Standard_Cost'!$B$23+AA262*'1. Standard_Cost'!$C$23</f>
        <v>0</v>
      </c>
      <c r="AC262" s="176"/>
      <c r="AD262" s="177"/>
      <c r="AE262" s="127">
        <f>SUM(AD262,AC262,AB262,Y262,U262,T262,S262,R262)*'1. Standard_Cost'!$B$31</f>
        <v>0</v>
      </c>
      <c r="AF262" s="127">
        <f>SUM(AE262,AD262,AC262,AB262,Y262,U262,T262,S262,R262)</f>
        <v>0</v>
      </c>
      <c r="AG262" s="174"/>
      <c r="AH262" s="174"/>
      <c r="AI262" s="174"/>
      <c r="AJ262" s="178"/>
      <c r="AK262" s="178"/>
      <c r="AL262" s="178"/>
      <c r="AM262" s="127">
        <f>AG262*'1. Standard_Cost'!$B$27+'Incremental_Cost Year 3'!AH262*'1. Standard_Cost'!$C$27+'Incremental_Cost Year 3'!AI262*'1. Standard_Cost'!$D$27+'Incremental_Cost Year 3'!AJ262+'Incremental_Cost Year 3'!AL262+AK262</f>
        <v>0</v>
      </c>
      <c r="AN262" s="127"/>
      <c r="AO262" s="178"/>
      <c r="AP262" s="256"/>
      <c r="AQ262" s="171">
        <f>L262+M262</f>
        <v>235267.20000000001</v>
      </c>
      <c r="AR262" s="171">
        <f>AF262</f>
        <v>0</v>
      </c>
      <c r="AS262" s="171">
        <f>AM262+AN262</f>
        <v>0</v>
      </c>
      <c r="AT262" s="171">
        <f>SUM(AQ262,AR262,AS262)</f>
        <v>235267.20000000001</v>
      </c>
      <c r="AU262" s="250">
        <f>AQ262+AS262-AW262</f>
        <v>235267.20000000001</v>
      </c>
      <c r="AV262" s="250"/>
      <c r="AW262" s="250">
        <v>0</v>
      </c>
      <c r="AX262" s="250"/>
      <c r="AY262" s="250"/>
      <c r="AZ262" s="250"/>
      <c r="BA262" s="250"/>
      <c r="BB262" s="251">
        <f t="shared" si="174"/>
        <v>0</v>
      </c>
      <c r="BC262" s="169"/>
      <c r="BD262" s="169"/>
      <c r="BE262" s="169"/>
      <c r="BF262" s="169"/>
    </row>
    <row r="263" spans="1:58" x14ac:dyDescent="0.25">
      <c r="A263" s="172"/>
      <c r="B263" s="357"/>
      <c r="C263" s="359"/>
      <c r="D263" s="343"/>
      <c r="E263" s="328"/>
      <c r="F263" s="328"/>
      <c r="G263" s="328"/>
      <c r="H263" s="182" t="s">
        <v>338</v>
      </c>
      <c r="I263" s="273"/>
      <c r="J263" s="273"/>
      <c r="K263" s="273"/>
      <c r="L263" s="175">
        <f>SUM(L260:L262)</f>
        <v>604800</v>
      </c>
      <c r="M263" s="175">
        <f>SUM(M260:M262)</f>
        <v>101001.60000000001</v>
      </c>
      <c r="N263" s="273"/>
      <c r="O263" s="273"/>
      <c r="P263" s="273"/>
      <c r="Q263" s="273"/>
      <c r="R263" s="175">
        <f>SUM(R260:R262)</f>
        <v>0</v>
      </c>
      <c r="S263" s="175">
        <f>SUM(S260:S262)</f>
        <v>0</v>
      </c>
      <c r="T263" s="175">
        <f>SUM(T260:T262)</f>
        <v>0</v>
      </c>
      <c r="U263" s="175">
        <f>SUM(U260:U262)</f>
        <v>0</v>
      </c>
      <c r="V263" s="273"/>
      <c r="W263" s="273"/>
      <c r="X263" s="273"/>
      <c r="Y263" s="175">
        <f>SUM(Y260:Y262)</f>
        <v>0</v>
      </c>
      <c r="Z263" s="175"/>
      <c r="AA263" s="273"/>
      <c r="AB263" s="175">
        <f>SUM(AB260:AB262)</f>
        <v>0</v>
      </c>
      <c r="AC263" s="175">
        <f>SUM(AC260:AC262)</f>
        <v>0</v>
      </c>
      <c r="AD263" s="175">
        <f>SUM(AD260:AD262)</f>
        <v>0</v>
      </c>
      <c r="AE263" s="175">
        <f>SUM(AE260:AE262)</f>
        <v>0</v>
      </c>
      <c r="AF263" s="175">
        <f>SUM(AF260:AF262)</f>
        <v>0</v>
      </c>
      <c r="AG263" s="273"/>
      <c r="AH263" s="273"/>
      <c r="AI263" s="273"/>
      <c r="AJ263" s="175">
        <f>SUM(AJ260:AJ262)</f>
        <v>0</v>
      </c>
      <c r="AK263" s="175">
        <f>SUM(AK260:AK262)</f>
        <v>259570000</v>
      </c>
      <c r="AL263" s="175">
        <f>SUM(AL260:AL262)</f>
        <v>0</v>
      </c>
      <c r="AM263" s="175">
        <f>SUM(AM260:AM262)</f>
        <v>259570000</v>
      </c>
      <c r="AN263" s="175">
        <f>SUM(AN260:AN262)</f>
        <v>38935500</v>
      </c>
      <c r="AO263" s="274"/>
      <c r="AP263" s="254"/>
      <c r="AQ263" s="175">
        <f t="shared" ref="AQ263:AT263" si="175">SUM(AQ260:AQ262)</f>
        <v>705801.60000000009</v>
      </c>
      <c r="AR263" s="175">
        <f t="shared" si="175"/>
        <v>0</v>
      </c>
      <c r="AS263" s="175">
        <f t="shared" si="175"/>
        <v>298505500</v>
      </c>
      <c r="AT263" s="175">
        <f t="shared" si="175"/>
        <v>299211301.59999996</v>
      </c>
      <c r="AU263" s="175">
        <f t="shared" ref="AU263:BB263" si="176">SUM(AU260:AU262)</f>
        <v>43967501.600000009</v>
      </c>
      <c r="AV263" s="175">
        <f t="shared" si="176"/>
        <v>0</v>
      </c>
      <c r="AW263" s="175">
        <f t="shared" si="176"/>
        <v>216308000</v>
      </c>
      <c r="AX263" s="175">
        <f t="shared" si="176"/>
        <v>0</v>
      </c>
      <c r="AY263" s="175">
        <f t="shared" si="176"/>
        <v>0</v>
      </c>
      <c r="AZ263" s="175">
        <f t="shared" si="176"/>
        <v>0</v>
      </c>
      <c r="BA263" s="175">
        <f t="shared" si="176"/>
        <v>0</v>
      </c>
      <c r="BB263" s="175">
        <f t="shared" si="176"/>
        <v>-38935800</v>
      </c>
      <c r="BC263" s="169"/>
      <c r="BD263" s="169"/>
      <c r="BE263" s="169"/>
      <c r="BF263" s="169"/>
    </row>
    <row r="264" spans="1:58" ht="78.75" x14ac:dyDescent="0.25">
      <c r="A264" s="172"/>
      <c r="B264" s="357"/>
      <c r="C264" s="359"/>
      <c r="D264" s="343"/>
      <c r="E264" s="328"/>
      <c r="F264" s="328"/>
      <c r="G264" s="328"/>
      <c r="H264" s="199" t="s">
        <v>553</v>
      </c>
      <c r="I264" s="178"/>
      <c r="J264" s="174"/>
      <c r="K264" s="174"/>
      <c r="L264" s="125" t="str">
        <f>IF(I264&lt;&gt;0,((VLOOKUP(I264,'1. Standard_Cost'!$B$4:$D$11,2)+VLOOKUP(I264,'1. Standard_Cost'!$B$4:$D$11,3))*J264*K264),"0")</f>
        <v>0</v>
      </c>
      <c r="M264" s="125">
        <f>L264*'1. Standard_Cost'!$F$4</f>
        <v>0</v>
      </c>
      <c r="N264" s="174"/>
      <c r="O264" s="174"/>
      <c r="P264" s="174"/>
      <c r="Q264" s="174"/>
      <c r="R264" s="127">
        <f>'1. Standard_Cost'!$B$15*N264*P264</f>
        <v>0</v>
      </c>
      <c r="S264" s="127">
        <f>N264*O264*P264*'1. Standard_Cost'!$C$15</f>
        <v>0</v>
      </c>
      <c r="T264" s="127">
        <f>N264*P264*Q264*'1. Standard_Cost'!$D$15</f>
        <v>0</v>
      </c>
      <c r="U264" s="127">
        <f>N264*O264*'1. Standard_Cost'!$E$15</f>
        <v>0</v>
      </c>
      <c r="V264" s="174"/>
      <c r="W264" s="174"/>
      <c r="X264" s="174"/>
      <c r="Y264" s="127">
        <f>+V264*((X264*'1. Standard_Cost'!$B$19)+(W264*X264*'1. Standard_Cost'!$C$19))</f>
        <v>0</v>
      </c>
      <c r="Z264" s="174"/>
      <c r="AA264" s="174"/>
      <c r="AB264" s="127">
        <f>+Z264*'1. Standard_Cost'!$B$23+AA264*'1. Standard_Cost'!$C$23</f>
        <v>0</v>
      </c>
      <c r="AC264" s="176"/>
      <c r="AD264" s="177"/>
      <c r="AE264" s="127">
        <f>SUM(AD264,AC264,AB264,Y264,U264,T264,S264,R264)*'1. Standard_Cost'!$B$31</f>
        <v>0</v>
      </c>
      <c r="AF264" s="127">
        <f>SUM(AE264,AD264,AC264,AB264,Y264,U264,T264,S264,R264)</f>
        <v>0</v>
      </c>
      <c r="AG264" s="174"/>
      <c r="AH264" s="174"/>
      <c r="AI264" s="174"/>
      <c r="AJ264" s="178"/>
      <c r="AK264" s="178">
        <v>184500000</v>
      </c>
      <c r="AL264" s="178"/>
      <c r="AM264" s="127">
        <f>AG264*'1. Standard_Cost'!$B$27+'Incremental_Cost Year 3'!AH264*'1. Standard_Cost'!$C$27+'Incremental_Cost Year 3'!AI264*'1. Standard_Cost'!$D$27+'Incremental_Cost Year 3'!AJ264+'Incremental_Cost Year 3'!AL264+AK264</f>
        <v>184500000</v>
      </c>
      <c r="AN264" s="127">
        <f>AM264*'1. Standard_Cost'!$C$31</f>
        <v>27675000</v>
      </c>
      <c r="AO264" s="178"/>
      <c r="AP264" s="256"/>
      <c r="AQ264" s="171">
        <f>L264+M264</f>
        <v>0</v>
      </c>
      <c r="AR264" s="171">
        <f>AF264</f>
        <v>0</v>
      </c>
      <c r="AS264" s="171">
        <f>AM264+AN264</f>
        <v>212175000</v>
      </c>
      <c r="AT264" s="171">
        <f>SUM(AQ264,AR264,AS264)</f>
        <v>212175000</v>
      </c>
      <c r="AU264" s="250"/>
      <c r="AV264" s="250"/>
      <c r="AW264" s="250"/>
      <c r="AX264" s="250"/>
      <c r="AY264" s="250"/>
      <c r="AZ264" s="250"/>
      <c r="BA264" s="250"/>
      <c r="BB264" s="251">
        <f t="shared" ref="BB264:BB267" si="177">SUM(AU264:BA264)-AT264</f>
        <v>-212175000</v>
      </c>
      <c r="BC264" s="169"/>
      <c r="BD264" s="169"/>
      <c r="BE264" s="169"/>
      <c r="BF264" s="169"/>
    </row>
    <row r="265" spans="1:58" ht="63" x14ac:dyDescent="0.25">
      <c r="A265" s="172"/>
      <c r="B265" s="357"/>
      <c r="C265" s="359"/>
      <c r="D265" s="343"/>
      <c r="E265" s="328"/>
      <c r="F265" s="328"/>
      <c r="G265" s="328"/>
      <c r="H265" s="199" t="s">
        <v>339</v>
      </c>
      <c r="I265" s="178"/>
      <c r="J265" s="174"/>
      <c r="K265" s="174"/>
      <c r="L265" s="125" t="str">
        <f>IF(I265&lt;&gt;0,((VLOOKUP(I265,'1. Standard_Cost'!$B$4:$D$11,2)+VLOOKUP(I265,'1. Standard_Cost'!$B$4:$D$11,3))*J265*K265),"0")</f>
        <v>0</v>
      </c>
      <c r="M265" s="125">
        <f>L265*'1. Standard_Cost'!$F$4</f>
        <v>0</v>
      </c>
      <c r="N265" s="174"/>
      <c r="O265" s="174"/>
      <c r="P265" s="174"/>
      <c r="Q265" s="174"/>
      <c r="R265" s="127">
        <f>'1. Standard_Cost'!$B$15*N265*P265</f>
        <v>0</v>
      </c>
      <c r="S265" s="127">
        <f>N265*O265*P265*'1. Standard_Cost'!$C$15</f>
        <v>0</v>
      </c>
      <c r="T265" s="127">
        <f>N265*P265*Q265*'1. Standard_Cost'!$D$15</f>
        <v>0</v>
      </c>
      <c r="U265" s="127">
        <f>N265*O265*'1. Standard_Cost'!$E$15</f>
        <v>0</v>
      </c>
      <c r="V265" s="174"/>
      <c r="W265" s="174"/>
      <c r="X265" s="174"/>
      <c r="Y265" s="127">
        <f>+V265*((X265*'1. Standard_Cost'!$B$19)+(W265*X265*'1. Standard_Cost'!$C$19))</f>
        <v>0</v>
      </c>
      <c r="Z265" s="174"/>
      <c r="AA265" s="174"/>
      <c r="AB265" s="127">
        <f>+Z265*'1. Standard_Cost'!$B$23+AA265*'1. Standard_Cost'!$C$23</f>
        <v>0</v>
      </c>
      <c r="AC265" s="176"/>
      <c r="AD265" s="177"/>
      <c r="AE265" s="127">
        <f>SUM(AD265,AC265,AB265,Y265,U265,T265,S265,R265)*'1. Standard_Cost'!$B$31</f>
        <v>0</v>
      </c>
      <c r="AF265" s="127">
        <f>SUM(AE265,AD265,AC265,AB265,Y265,U265,T265,S265,R265)</f>
        <v>0</v>
      </c>
      <c r="AG265" s="174"/>
      <c r="AH265" s="174"/>
      <c r="AI265" s="174"/>
      <c r="AJ265" s="178"/>
      <c r="AK265" s="178"/>
      <c r="AL265" s="178"/>
      <c r="AM265" s="127">
        <f>AG265*'1. Standard_Cost'!$B$27+'Incremental_Cost Year 3'!AH265*'1. Standard_Cost'!$C$27+'Incremental_Cost Year 3'!AI265*'1. Standard_Cost'!$D$27+'Incremental_Cost Year 3'!AJ265+'Incremental_Cost Year 3'!AL265+AK265</f>
        <v>0</v>
      </c>
      <c r="AN265" s="127">
        <f>AM265*'1. Standard_Cost'!$C$31</f>
        <v>0</v>
      </c>
      <c r="AO265" s="178"/>
      <c r="AP265" s="256"/>
      <c r="AQ265" s="171">
        <f>L265+M265</f>
        <v>0</v>
      </c>
      <c r="AR265" s="171">
        <f>AF265</f>
        <v>0</v>
      </c>
      <c r="AS265" s="171">
        <f>AM265+AN265</f>
        <v>0</v>
      </c>
      <c r="AT265" s="171">
        <f>SUM(AQ265,AR265,AS265)</f>
        <v>0</v>
      </c>
      <c r="AU265" s="250"/>
      <c r="AV265" s="250"/>
      <c r="AW265" s="250"/>
      <c r="AX265" s="250"/>
      <c r="AY265" s="250"/>
      <c r="AZ265" s="250"/>
      <c r="BA265" s="250"/>
      <c r="BB265" s="251">
        <f t="shared" si="177"/>
        <v>0</v>
      </c>
      <c r="BC265" s="169"/>
      <c r="BD265" s="169"/>
      <c r="BE265" s="169"/>
      <c r="BF265" s="169"/>
    </row>
    <row r="266" spans="1:58" ht="94.5" x14ac:dyDescent="0.25">
      <c r="A266" s="172"/>
      <c r="B266" s="357"/>
      <c r="C266" s="359"/>
      <c r="D266" s="343"/>
      <c r="E266" s="328"/>
      <c r="F266" s="328"/>
      <c r="G266" s="328"/>
      <c r="H266" s="199" t="s">
        <v>362</v>
      </c>
      <c r="I266" s="178" t="s">
        <v>5</v>
      </c>
      <c r="J266" s="174">
        <v>12</v>
      </c>
      <c r="K266" s="174">
        <v>26</v>
      </c>
      <c r="L266" s="125">
        <f>IF(I266&lt;&gt;0,((VLOOKUP(I266,'1. Standard_Cost'!$B$4:$D$11,2)+VLOOKUP(I266,'1. Standard_Cost'!$B$4:$D$11,3))*J266*K266),"0")</f>
        <v>22058400</v>
      </c>
      <c r="M266" s="125">
        <f>L266*'1. Standard_Cost'!$F$4</f>
        <v>3683752.8000000003</v>
      </c>
      <c r="N266" s="174"/>
      <c r="O266" s="174"/>
      <c r="P266" s="174"/>
      <c r="Q266" s="174"/>
      <c r="R266" s="127">
        <f>'1. Standard_Cost'!$B$15*N266*P266</f>
        <v>0</v>
      </c>
      <c r="S266" s="127">
        <f>N266*O266*P266*'1. Standard_Cost'!$C$15</f>
        <v>0</v>
      </c>
      <c r="T266" s="127">
        <f>N266*P266*Q266*'1. Standard_Cost'!$D$15</f>
        <v>0</v>
      </c>
      <c r="U266" s="127">
        <f>N266*O266*'1. Standard_Cost'!$E$15</f>
        <v>0</v>
      </c>
      <c r="V266" s="174"/>
      <c r="W266" s="174"/>
      <c r="X266" s="174"/>
      <c r="Y266" s="127">
        <f>+V266*((X266*'1. Standard_Cost'!$B$19)+(W266*X266*'1. Standard_Cost'!$C$19))</f>
        <v>0</v>
      </c>
      <c r="Z266" s="174"/>
      <c r="AA266" s="174"/>
      <c r="AB266" s="127">
        <f>+Z266*'1. Standard_Cost'!$B$23+AA266*'1. Standard_Cost'!$C$23</f>
        <v>0</v>
      </c>
      <c r="AC266" s="176">
        <v>25655000</v>
      </c>
      <c r="AD266" s="177"/>
      <c r="AE266" s="127"/>
      <c r="AF266" s="127">
        <f>SUM(AE266,AD266,AC266,AB266,Y266,U266,T266,S266,R266)</f>
        <v>25655000</v>
      </c>
      <c r="AG266" s="174"/>
      <c r="AH266" s="174"/>
      <c r="AI266" s="174"/>
      <c r="AJ266" s="178"/>
      <c r="AK266" s="178"/>
      <c r="AL266" s="178"/>
      <c r="AM266" s="127">
        <f>AG266*'1. Standard_Cost'!$B$27+'Incremental_Cost Year 3'!AH266*'1. Standard_Cost'!$C$27+'Incremental_Cost Year 3'!AI266*'1. Standard_Cost'!$D$27+'Incremental_Cost Year 3'!AJ266+'Incremental_Cost Year 3'!AL266+AK266</f>
        <v>0</v>
      </c>
      <c r="AN266" s="127">
        <f>AM266*'1. Standard_Cost'!$C$31</f>
        <v>0</v>
      </c>
      <c r="AO266" s="178"/>
      <c r="AP266" s="256"/>
      <c r="AQ266" s="171">
        <f>L266+M266</f>
        <v>25742152.800000001</v>
      </c>
      <c r="AR266" s="171">
        <f>AF266</f>
        <v>25655000</v>
      </c>
      <c r="AS266" s="171">
        <f>AM266+AN266</f>
        <v>0</v>
      </c>
      <c r="AT266" s="171">
        <f>SUM(AQ266,AR266,AS266)</f>
        <v>51397152.799999997</v>
      </c>
      <c r="AU266" s="250">
        <f>AT266</f>
        <v>51397152.799999997</v>
      </c>
      <c r="AV266" s="250"/>
      <c r="AW266" s="250"/>
      <c r="AX266" s="250"/>
      <c r="AY266" s="250"/>
      <c r="AZ266" s="250"/>
      <c r="BA266" s="250"/>
      <c r="BB266" s="251">
        <f t="shared" si="177"/>
        <v>0</v>
      </c>
      <c r="BC266" s="169"/>
      <c r="BD266" s="169"/>
      <c r="BE266" s="169"/>
      <c r="BF266" s="169"/>
    </row>
    <row r="267" spans="1:58" ht="47.25" x14ac:dyDescent="0.25">
      <c r="A267" s="172"/>
      <c r="B267" s="360"/>
      <c r="C267" s="362"/>
      <c r="D267" s="344"/>
      <c r="E267" s="328"/>
      <c r="F267" s="328"/>
      <c r="G267" s="328"/>
      <c r="H267" s="199" t="s">
        <v>554</v>
      </c>
      <c r="I267" s="178"/>
      <c r="J267" s="174"/>
      <c r="K267" s="174"/>
      <c r="L267" s="125" t="str">
        <f>IF(I267&lt;&gt;0,((VLOOKUP(I267,'1. Standard_Cost'!$B$4:$D$11,2)+VLOOKUP(I267,'1. Standard_Cost'!$B$4:$D$11,3))*J267*K267),"0")</f>
        <v>0</v>
      </c>
      <c r="M267" s="125">
        <f>L267*'1. Standard_Cost'!$F$4</f>
        <v>0</v>
      </c>
      <c r="N267" s="174"/>
      <c r="O267" s="174"/>
      <c r="P267" s="174"/>
      <c r="Q267" s="174"/>
      <c r="R267" s="127">
        <f>'1. Standard_Cost'!$B$15*N267*P267</f>
        <v>0</v>
      </c>
      <c r="S267" s="127">
        <f>N267*O267*P267*'1. Standard_Cost'!$C$15</f>
        <v>0</v>
      </c>
      <c r="T267" s="127">
        <f>N267*P267*Q267*'1. Standard_Cost'!$D$15</f>
        <v>0</v>
      </c>
      <c r="U267" s="127">
        <f>N267*O267*'1. Standard_Cost'!$E$15</f>
        <v>0</v>
      </c>
      <c r="V267" s="174"/>
      <c r="W267" s="174"/>
      <c r="X267" s="174"/>
      <c r="Y267" s="127">
        <f>+V267*((X267*'1. Standard_Cost'!$B$19)+(W267*X267*'1. Standard_Cost'!$C$19))</f>
        <v>0</v>
      </c>
      <c r="Z267" s="174"/>
      <c r="AA267" s="174"/>
      <c r="AB267" s="127">
        <f>+Z267*'1. Standard_Cost'!$B$23+AA267*'1. Standard_Cost'!$C$23</f>
        <v>0</v>
      </c>
      <c r="AC267" s="176"/>
      <c r="AD267" s="177"/>
      <c r="AE267" s="127">
        <f>SUM(AD267,AC267,AB267,Y267,U267,T267,S267,R267)*'1. Standard_Cost'!$B$31</f>
        <v>0</v>
      </c>
      <c r="AF267" s="127">
        <f>SUM(AE267,AD267,AC267,AB267,Y267,U267,T267,S267,R267)</f>
        <v>0</v>
      </c>
      <c r="AG267" s="174"/>
      <c r="AH267" s="174"/>
      <c r="AI267" s="174"/>
      <c r="AJ267" s="178"/>
      <c r="AK267" s="178"/>
      <c r="AL267" s="178"/>
      <c r="AM267" s="127">
        <f>AG267*'1. Standard_Cost'!$B$27+'Incremental_Cost Year 3'!AH267*'1. Standard_Cost'!$C$27+'Incremental_Cost Year 3'!AI267*'1. Standard_Cost'!$D$27+'Incremental_Cost Year 3'!AJ267+'Incremental_Cost Year 3'!AL267+AK267</f>
        <v>0</v>
      </c>
      <c r="AN267" s="127">
        <f>AM267*'1. Standard_Cost'!$C$31</f>
        <v>0</v>
      </c>
      <c r="AO267" s="178"/>
      <c r="AP267" s="256"/>
      <c r="AQ267" s="171">
        <f>L267+M267</f>
        <v>0</v>
      </c>
      <c r="AR267" s="171">
        <f>AF267</f>
        <v>0</v>
      </c>
      <c r="AS267" s="171">
        <f>AM267+AN267</f>
        <v>0</v>
      </c>
      <c r="AT267" s="171">
        <f>SUM(AQ267,AR267,AS267)</f>
        <v>0</v>
      </c>
      <c r="AU267" s="250"/>
      <c r="AV267" s="250"/>
      <c r="AW267" s="250"/>
      <c r="AX267" s="250"/>
      <c r="AY267" s="250"/>
      <c r="AZ267" s="250"/>
      <c r="BA267" s="250"/>
      <c r="BB267" s="251">
        <f t="shared" si="177"/>
        <v>0</v>
      </c>
      <c r="BC267" s="169"/>
      <c r="BD267" s="169"/>
      <c r="BE267" s="169"/>
      <c r="BF267" s="169"/>
    </row>
    <row r="268" spans="1:58" ht="38.25" x14ac:dyDescent="0.25">
      <c r="A268" s="172"/>
      <c r="B268" s="168"/>
      <c r="C268" s="204"/>
      <c r="D268" s="344" t="s">
        <v>560</v>
      </c>
      <c r="E268" s="205" t="s">
        <v>340</v>
      </c>
      <c r="F268" s="205">
        <v>2021</v>
      </c>
      <c r="G268" s="205">
        <v>2030</v>
      </c>
      <c r="H268" s="182" t="s">
        <v>341</v>
      </c>
      <c r="I268" s="273"/>
      <c r="J268" s="273"/>
      <c r="K268" s="273"/>
      <c r="L268" s="175">
        <f>SUM(L264:L267)</f>
        <v>22058400</v>
      </c>
      <c r="M268" s="175">
        <f>SUM(M264:M267)</f>
        <v>3683752.8000000003</v>
      </c>
      <c r="N268" s="273"/>
      <c r="O268" s="273"/>
      <c r="P268" s="273"/>
      <c r="Q268" s="273"/>
      <c r="R268" s="175">
        <f>SUM(R264:R267)</f>
        <v>0</v>
      </c>
      <c r="S268" s="175">
        <f>SUM(S264:S267)</f>
        <v>0</v>
      </c>
      <c r="T268" s="175">
        <f>SUM(T264:T267)</f>
        <v>0</v>
      </c>
      <c r="U268" s="175">
        <f>SUM(U264:U267)</f>
        <v>0</v>
      </c>
      <c r="V268" s="273"/>
      <c r="W268" s="273"/>
      <c r="X268" s="273"/>
      <c r="Y268" s="175">
        <f>SUM(Y264:Y267)</f>
        <v>0</v>
      </c>
      <c r="Z268" s="175"/>
      <c r="AA268" s="273"/>
      <c r="AB268" s="175">
        <f>SUM(AB264:AB267)</f>
        <v>0</v>
      </c>
      <c r="AC268" s="175">
        <f>SUM(AC264:AC267)</f>
        <v>25655000</v>
      </c>
      <c r="AD268" s="175">
        <f>SUM(AD264:AD267)</f>
        <v>0</v>
      </c>
      <c r="AE268" s="175">
        <f>SUM(AE264:AE267)</f>
        <v>0</v>
      </c>
      <c r="AF268" s="175">
        <f>SUM(AF264:AF267)</f>
        <v>25655000</v>
      </c>
      <c r="AG268" s="273"/>
      <c r="AH268" s="273"/>
      <c r="AI268" s="273"/>
      <c r="AJ268" s="175">
        <f>SUM(AJ264:AJ267)</f>
        <v>0</v>
      </c>
      <c r="AK268" s="175">
        <f>SUM(AK264:AK267)</f>
        <v>184500000</v>
      </c>
      <c r="AL268" s="175">
        <f>SUM(AL264:AL267)</f>
        <v>0</v>
      </c>
      <c r="AM268" s="175">
        <f>SUM(AM264:AM267)</f>
        <v>184500000</v>
      </c>
      <c r="AN268" s="175">
        <f>SUM(AN264:AN267)</f>
        <v>27675000</v>
      </c>
      <c r="AO268" s="274"/>
      <c r="AP268" s="254"/>
      <c r="AQ268" s="175">
        <f t="shared" ref="AQ268:AT268" si="178">SUM(AQ264:AQ267)</f>
        <v>25742152.800000001</v>
      </c>
      <c r="AR268" s="175">
        <f t="shared" si="178"/>
        <v>25655000</v>
      </c>
      <c r="AS268" s="175">
        <f t="shared" si="178"/>
        <v>212175000</v>
      </c>
      <c r="AT268" s="175">
        <f t="shared" si="178"/>
        <v>263572152.80000001</v>
      </c>
      <c r="AU268" s="175">
        <f t="shared" ref="AU268:BB268" si="179">SUM(AU264:AU267)</f>
        <v>51397152.799999997</v>
      </c>
      <c r="AV268" s="175">
        <f t="shared" si="179"/>
        <v>0</v>
      </c>
      <c r="AW268" s="175">
        <f t="shared" si="179"/>
        <v>0</v>
      </c>
      <c r="AX268" s="175">
        <f t="shared" si="179"/>
        <v>0</v>
      </c>
      <c r="AY268" s="175">
        <f t="shared" si="179"/>
        <v>0</v>
      </c>
      <c r="AZ268" s="175">
        <f t="shared" si="179"/>
        <v>0</v>
      </c>
      <c r="BA268" s="175">
        <f t="shared" si="179"/>
        <v>0</v>
      </c>
      <c r="BB268" s="175">
        <f t="shared" si="179"/>
        <v>-212175000</v>
      </c>
      <c r="BC268" s="169"/>
      <c r="BD268" s="169"/>
      <c r="BE268" s="169"/>
      <c r="BF268" s="169"/>
    </row>
    <row r="269" spans="1:58" ht="15.6" customHeight="1" x14ac:dyDescent="0.2">
      <c r="A269" s="179"/>
      <c r="B269" s="290"/>
      <c r="C269" s="391" t="s">
        <v>342</v>
      </c>
      <c r="D269" s="391"/>
      <c r="E269" s="392"/>
      <c r="F269" s="287"/>
      <c r="G269" s="289"/>
      <c r="H269" s="181" t="s">
        <v>343</v>
      </c>
      <c r="I269" s="271"/>
      <c r="J269" s="271"/>
      <c r="K269" s="271"/>
      <c r="L269" s="261">
        <f>L273+L276</f>
        <v>302400</v>
      </c>
      <c r="M269" s="261">
        <f>M273+M276</f>
        <v>50500.800000000003</v>
      </c>
      <c r="N269" s="271"/>
      <c r="O269" s="271"/>
      <c r="P269" s="271"/>
      <c r="Q269" s="271"/>
      <c r="R269" s="261">
        <f>R273+R276</f>
        <v>1200000</v>
      </c>
      <c r="S269" s="261">
        <f>S273+S276</f>
        <v>900000</v>
      </c>
      <c r="T269" s="261">
        <f>T273+T276</f>
        <v>0</v>
      </c>
      <c r="U269" s="261">
        <f>U273+U276</f>
        <v>1200000</v>
      </c>
      <c r="V269" s="271"/>
      <c r="W269" s="271"/>
      <c r="X269" s="271"/>
      <c r="Y269" s="261">
        <f>Y273+Y276</f>
        <v>0</v>
      </c>
      <c r="Z269" s="261"/>
      <c r="AA269" s="261"/>
      <c r="AB269" s="261">
        <f>AB273+AB276</f>
        <v>627000</v>
      </c>
      <c r="AC269" s="261">
        <f>AC273+AC276</f>
        <v>180000</v>
      </c>
      <c r="AD269" s="261">
        <f>AD273+AD276</f>
        <v>0</v>
      </c>
      <c r="AE269" s="261">
        <f>AE273+AE276</f>
        <v>821400</v>
      </c>
      <c r="AF269" s="261">
        <f>AF273+AF276</f>
        <v>4928400</v>
      </c>
      <c r="AG269" s="271"/>
      <c r="AH269" s="271"/>
      <c r="AI269" s="271"/>
      <c r="AJ269" s="261">
        <f>AJ273+AJ276</f>
        <v>0</v>
      </c>
      <c r="AK269" s="261">
        <f>AK273+AK276</f>
        <v>0</v>
      </c>
      <c r="AL269" s="261">
        <f>AL273+AL276</f>
        <v>0</v>
      </c>
      <c r="AM269" s="261">
        <f>AM273+AM276</f>
        <v>0</v>
      </c>
      <c r="AN269" s="261">
        <f>AN273+AN276</f>
        <v>0</v>
      </c>
      <c r="AO269" s="272"/>
      <c r="AP269" s="260"/>
      <c r="AQ269" s="261">
        <f t="shared" ref="AQ269:BB269" si="180">AQ273+AQ276</f>
        <v>352900.8</v>
      </c>
      <c r="AR269" s="261">
        <f t="shared" si="180"/>
        <v>4928400</v>
      </c>
      <c r="AS269" s="261">
        <f t="shared" si="180"/>
        <v>0</v>
      </c>
      <c r="AT269" s="261">
        <f t="shared" si="180"/>
        <v>5281300.8</v>
      </c>
      <c r="AU269" s="261">
        <f t="shared" si="180"/>
        <v>352900.8</v>
      </c>
      <c r="AV269" s="261">
        <f t="shared" si="180"/>
        <v>0</v>
      </c>
      <c r="AW269" s="261">
        <f t="shared" si="180"/>
        <v>0</v>
      </c>
      <c r="AX269" s="261">
        <f t="shared" si="180"/>
        <v>0</v>
      </c>
      <c r="AY269" s="261">
        <f t="shared" si="180"/>
        <v>0</v>
      </c>
      <c r="AZ269" s="261">
        <f t="shared" si="180"/>
        <v>0</v>
      </c>
      <c r="BA269" s="261">
        <f t="shared" si="180"/>
        <v>0</v>
      </c>
      <c r="BB269" s="261">
        <f t="shared" si="180"/>
        <v>-4928400</v>
      </c>
      <c r="BC269" s="184"/>
      <c r="BD269" s="184"/>
      <c r="BE269" s="184"/>
      <c r="BF269" s="184"/>
    </row>
    <row r="270" spans="1:58" ht="78.75" x14ac:dyDescent="0.25">
      <c r="A270" s="172"/>
      <c r="B270" s="200"/>
      <c r="C270" s="201"/>
      <c r="D270" s="202"/>
      <c r="E270" s="354"/>
      <c r="F270" s="355"/>
      <c r="G270" s="356"/>
      <c r="H270" s="199" t="s">
        <v>344</v>
      </c>
      <c r="I270" s="178"/>
      <c r="J270" s="174"/>
      <c r="K270" s="174"/>
      <c r="L270" s="125" t="str">
        <f>IF(I270&lt;&gt;0,((VLOOKUP(I270,'1. Standard_Cost'!$B$4:$D$11,2)+VLOOKUP(I270,'1. Standard_Cost'!$B$4:$D$11,3))*J270*K270),"0")</f>
        <v>0</v>
      </c>
      <c r="M270" s="125">
        <f>L270*'1. Standard_Cost'!$F$4</f>
        <v>0</v>
      </c>
      <c r="N270" s="174"/>
      <c r="O270" s="174"/>
      <c r="P270" s="174"/>
      <c r="Q270" s="174"/>
      <c r="R270" s="127">
        <f>'1. Standard_Cost'!$B$15*N270*P270</f>
        <v>0</v>
      </c>
      <c r="S270" s="127">
        <f>N270*O270*P270*'1. Standard_Cost'!$C$15</f>
        <v>0</v>
      </c>
      <c r="T270" s="127">
        <f>N270*P270*Q270*'1. Standard_Cost'!$D$15</f>
        <v>0</v>
      </c>
      <c r="U270" s="127">
        <f>N270*O270*'1. Standard_Cost'!$E$15</f>
        <v>0</v>
      </c>
      <c r="V270" s="174"/>
      <c r="W270" s="174"/>
      <c r="X270" s="174"/>
      <c r="Y270" s="127">
        <f>+V270*((X270*'1. Standard_Cost'!$B$19)+(W270*X270*'1. Standard_Cost'!$C$19))</f>
        <v>0</v>
      </c>
      <c r="Z270" s="174"/>
      <c r="AA270" s="174"/>
      <c r="AB270" s="127">
        <f>+Z270*'1. Standard_Cost'!$B$23+AA270*'1. Standard_Cost'!$C$23</f>
        <v>0</v>
      </c>
      <c r="AC270" s="176"/>
      <c r="AD270" s="177"/>
      <c r="AE270" s="127">
        <f>SUM(AD270,AC270,AB270,Y270,U270,T270,S270,R270)*'1. Standard_Cost'!$B$31</f>
        <v>0</v>
      </c>
      <c r="AF270" s="127">
        <f>SUM(AE270,AD270,AC270,AB270,Y270,U270,T270,S270,R270)</f>
        <v>0</v>
      </c>
      <c r="AG270" s="174"/>
      <c r="AH270" s="174"/>
      <c r="AI270" s="174"/>
      <c r="AJ270" s="178"/>
      <c r="AK270" s="178"/>
      <c r="AL270" s="178"/>
      <c r="AM270" s="127">
        <f>AG270*'1. Standard_Cost'!$B$27+'Incremental_Cost Year 3'!AH270*'1. Standard_Cost'!$C$27+'Incremental_Cost Year 3'!AI270*'1. Standard_Cost'!$D$27+'Incremental_Cost Year 3'!AJ270+'Incremental_Cost Year 3'!AL270+AK270</f>
        <v>0</v>
      </c>
      <c r="AN270" s="127">
        <f>AM270*'1. Standard_Cost'!$C$31</f>
        <v>0</v>
      </c>
      <c r="AO270" s="178"/>
      <c r="AP270" s="256"/>
      <c r="AQ270" s="171">
        <f>L270+M270</f>
        <v>0</v>
      </c>
      <c r="AR270" s="171">
        <f>AF270</f>
        <v>0</v>
      </c>
      <c r="AS270" s="171">
        <f>AM270+AN270</f>
        <v>0</v>
      </c>
      <c r="AT270" s="171">
        <f>SUM(AQ270,AR270,AS270)</f>
        <v>0</v>
      </c>
      <c r="AU270" s="250">
        <f>AT270</f>
        <v>0</v>
      </c>
      <c r="AV270" s="250"/>
      <c r="AW270" s="250"/>
      <c r="AX270" s="250"/>
      <c r="AY270" s="250"/>
      <c r="AZ270" s="250"/>
      <c r="BA270" s="250"/>
      <c r="BB270" s="251">
        <f t="shared" ref="BB270:BB272" si="181">SUM(AU270:BA270)-AT270</f>
        <v>0</v>
      </c>
      <c r="BC270" s="169"/>
      <c r="BD270" s="169"/>
      <c r="BE270" s="169"/>
      <c r="BF270" s="169"/>
    </row>
    <row r="271" spans="1:58" ht="63" x14ac:dyDescent="0.25">
      <c r="A271" s="172"/>
      <c r="B271" s="200"/>
      <c r="C271" s="201"/>
      <c r="D271" s="202"/>
      <c r="E271" s="357"/>
      <c r="F271" s="358"/>
      <c r="G271" s="359"/>
      <c r="H271" s="199" t="s">
        <v>345</v>
      </c>
      <c r="I271" s="178"/>
      <c r="J271" s="174"/>
      <c r="K271" s="174"/>
      <c r="L271" s="125" t="str">
        <f>IF(I271&lt;&gt;0,((VLOOKUP(I271,'1. Standard_Cost'!$B$4:$D$11,2)+VLOOKUP(I271,'1. Standard_Cost'!$B$4:$D$11,3))*J271*K271),"0")</f>
        <v>0</v>
      </c>
      <c r="M271" s="125">
        <f>L271*'1. Standard_Cost'!$F$4</f>
        <v>0</v>
      </c>
      <c r="N271" s="174"/>
      <c r="O271" s="174"/>
      <c r="P271" s="174"/>
      <c r="Q271" s="174"/>
      <c r="R271" s="127">
        <f>'1. Standard_Cost'!$B$15*N271*P271</f>
        <v>0</v>
      </c>
      <c r="S271" s="127">
        <f>N271*O271*P271*'1. Standard_Cost'!$C$15</f>
        <v>0</v>
      </c>
      <c r="T271" s="127">
        <f>N271*P271*Q271*'1. Standard_Cost'!$D$15</f>
        <v>0</v>
      </c>
      <c r="U271" s="127">
        <f>N271*O271*'1. Standard_Cost'!$E$15</f>
        <v>0</v>
      </c>
      <c r="V271" s="174"/>
      <c r="W271" s="174"/>
      <c r="X271" s="174"/>
      <c r="Y271" s="127">
        <f>+V271*((X271*'1. Standard_Cost'!$B$19)+(W271*X271*'1. Standard_Cost'!$C$19))</f>
        <v>0</v>
      </c>
      <c r="Z271" s="174"/>
      <c r="AA271" s="174"/>
      <c r="AB271" s="127">
        <f>+Z271*'1. Standard_Cost'!$B$23+AA271*'1. Standard_Cost'!$C$23</f>
        <v>0</v>
      </c>
      <c r="AC271" s="176"/>
      <c r="AD271" s="177"/>
      <c r="AE271" s="127">
        <f>SUM(AD271,AC271,AB271,Y271,U271,T271,S271,R271)*'1. Standard_Cost'!$B$31</f>
        <v>0</v>
      </c>
      <c r="AF271" s="127">
        <f>SUM(AE271,AD271,AC271,AB271,Y271,U271,T271,S271,R271)</f>
        <v>0</v>
      </c>
      <c r="AG271" s="174"/>
      <c r="AH271" s="174"/>
      <c r="AI271" s="174"/>
      <c r="AJ271" s="178"/>
      <c r="AK271" s="178"/>
      <c r="AL271" s="178"/>
      <c r="AM271" s="127">
        <f>AG271*'1. Standard_Cost'!$B$27+'Incremental_Cost Year 3'!AH271*'1. Standard_Cost'!$C$27+'Incremental_Cost Year 3'!AI271*'1. Standard_Cost'!$D$27+'Incremental_Cost Year 3'!AJ271+'Incremental_Cost Year 3'!AL271+AK271</f>
        <v>0</v>
      </c>
      <c r="AN271" s="127">
        <f>AM271*'1. Standard_Cost'!$C$31</f>
        <v>0</v>
      </c>
      <c r="AO271" s="178"/>
      <c r="AP271" s="256"/>
      <c r="AQ271" s="171">
        <f>L271+M271</f>
        <v>0</v>
      </c>
      <c r="AR271" s="171">
        <f>AF271</f>
        <v>0</v>
      </c>
      <c r="AS271" s="171">
        <f>AM271+AN271</f>
        <v>0</v>
      </c>
      <c r="AT271" s="171">
        <f>SUM(AQ271,AR271,AS271)</f>
        <v>0</v>
      </c>
      <c r="AU271" s="250">
        <f>AT271</f>
        <v>0</v>
      </c>
      <c r="AV271" s="250"/>
      <c r="AW271" s="250"/>
      <c r="AX271" s="250"/>
      <c r="AY271" s="250"/>
      <c r="AZ271" s="250"/>
      <c r="BA271" s="250"/>
      <c r="BB271" s="251">
        <f t="shared" si="181"/>
        <v>0</v>
      </c>
      <c r="BC271" s="169"/>
      <c r="BD271" s="169"/>
      <c r="BE271" s="169"/>
      <c r="BF271" s="169"/>
    </row>
    <row r="272" spans="1:58" ht="63" x14ac:dyDescent="0.25">
      <c r="A272" s="172"/>
      <c r="B272" s="200"/>
      <c r="C272" s="201"/>
      <c r="D272" s="202"/>
      <c r="E272" s="360"/>
      <c r="F272" s="361"/>
      <c r="G272" s="362"/>
      <c r="H272" s="199" t="s">
        <v>346</v>
      </c>
      <c r="I272" s="178"/>
      <c r="J272" s="174"/>
      <c r="K272" s="174"/>
      <c r="L272" s="125" t="str">
        <f>IF(I272&lt;&gt;0,((VLOOKUP(I272,'1. Standard_Cost'!$B$4:$D$11,2)+VLOOKUP(I272,'1. Standard_Cost'!$B$4:$D$11,3))*J272*K272),"0")</f>
        <v>0</v>
      </c>
      <c r="M272" s="125">
        <f>L272*'1. Standard_Cost'!$F$4</f>
        <v>0</v>
      </c>
      <c r="N272" s="174"/>
      <c r="O272" s="174"/>
      <c r="P272" s="174"/>
      <c r="Q272" s="174"/>
      <c r="R272" s="127">
        <f>'1. Standard_Cost'!$B$15*N272*P272</f>
        <v>0</v>
      </c>
      <c r="S272" s="127">
        <f>N272*O272*P272*'1. Standard_Cost'!$C$15</f>
        <v>0</v>
      </c>
      <c r="T272" s="127">
        <f>N272*P272*Q272*'1. Standard_Cost'!$D$15</f>
        <v>0</v>
      </c>
      <c r="U272" s="127">
        <f>N272*O272*'1. Standard_Cost'!$E$15</f>
        <v>0</v>
      </c>
      <c r="V272" s="174"/>
      <c r="W272" s="174"/>
      <c r="X272" s="174"/>
      <c r="Y272" s="127">
        <f>+V272*((X272*'1. Standard_Cost'!$B$19)+(W272*X272*'1. Standard_Cost'!$C$19))</f>
        <v>0</v>
      </c>
      <c r="Z272" s="174"/>
      <c r="AA272" s="174"/>
      <c r="AB272" s="127">
        <f>+Z272*'1. Standard_Cost'!$B$23+AA272*'1. Standard_Cost'!$C$23</f>
        <v>0</v>
      </c>
      <c r="AC272" s="176"/>
      <c r="AD272" s="177"/>
      <c r="AE272" s="127">
        <f>SUM(AD272,AC272,AB272,Y272,U272,T272,S272,R272)*'1. Standard_Cost'!$B$31</f>
        <v>0</v>
      </c>
      <c r="AF272" s="127">
        <f>SUM(AE272,AD272,AC272,AB272,Y272,U272,T272,S272,R272)</f>
        <v>0</v>
      </c>
      <c r="AG272" s="174"/>
      <c r="AH272" s="174"/>
      <c r="AI272" s="174"/>
      <c r="AJ272" s="178"/>
      <c r="AK272" s="178"/>
      <c r="AL272" s="178"/>
      <c r="AM272" s="127">
        <f>AG272*'1. Standard_Cost'!$B$27+'Incremental_Cost Year 3'!AH272*'1. Standard_Cost'!$C$27+'Incremental_Cost Year 3'!AI272*'1. Standard_Cost'!$D$27+'Incremental_Cost Year 3'!AJ272+'Incremental_Cost Year 3'!AL272+AK272</f>
        <v>0</v>
      </c>
      <c r="AN272" s="127">
        <f>AM272*'1. Standard_Cost'!$C$31</f>
        <v>0</v>
      </c>
      <c r="AO272" s="178"/>
      <c r="AP272" s="256"/>
      <c r="AQ272" s="171">
        <f>L272+M272</f>
        <v>0</v>
      </c>
      <c r="AR272" s="171">
        <f>AF272</f>
        <v>0</v>
      </c>
      <c r="AS272" s="171">
        <f>AM272+AN272</f>
        <v>0</v>
      </c>
      <c r="AT272" s="171">
        <f>SUM(AQ272,AR272,AS272)</f>
        <v>0</v>
      </c>
      <c r="AU272" s="250"/>
      <c r="AV272" s="250"/>
      <c r="AW272" s="250"/>
      <c r="AX272" s="250"/>
      <c r="AY272" s="250"/>
      <c r="AZ272" s="250"/>
      <c r="BA272" s="250"/>
      <c r="BB272" s="251">
        <f t="shared" si="181"/>
        <v>0</v>
      </c>
      <c r="BC272" s="169"/>
      <c r="BD272" s="169"/>
      <c r="BE272" s="169"/>
      <c r="BF272" s="169"/>
    </row>
    <row r="273" spans="1:58" ht="63" x14ac:dyDescent="0.2">
      <c r="A273" s="172"/>
      <c r="B273" s="168"/>
      <c r="C273" s="204"/>
      <c r="D273" s="212" t="s">
        <v>559</v>
      </c>
      <c r="E273" s="212" t="s">
        <v>347</v>
      </c>
      <c r="F273" s="206">
        <v>2026</v>
      </c>
      <c r="G273" s="207">
        <v>2028</v>
      </c>
      <c r="H273" s="182" t="s">
        <v>348</v>
      </c>
      <c r="I273" s="273"/>
      <c r="J273" s="273"/>
      <c r="K273" s="273"/>
      <c r="L273" s="175">
        <f>SUM(L270:L272)</f>
        <v>0</v>
      </c>
      <c r="M273" s="175">
        <f>SUM(M270:M272)</f>
        <v>0</v>
      </c>
      <c r="N273" s="273"/>
      <c r="O273" s="273"/>
      <c r="P273" s="273"/>
      <c r="Q273" s="273"/>
      <c r="R273" s="175">
        <f>SUM(R270:R272)</f>
        <v>0</v>
      </c>
      <c r="S273" s="175">
        <f>SUM(S270:S272)</f>
        <v>0</v>
      </c>
      <c r="T273" s="175">
        <f>SUM(T270:T272)</f>
        <v>0</v>
      </c>
      <c r="U273" s="175">
        <f>SUM(U270:U272)</f>
        <v>0</v>
      </c>
      <c r="V273" s="273"/>
      <c r="W273" s="273"/>
      <c r="X273" s="273"/>
      <c r="Y273" s="175">
        <f>SUM(Y270:Y272)</f>
        <v>0</v>
      </c>
      <c r="Z273" s="175"/>
      <c r="AA273" s="273"/>
      <c r="AB273" s="175">
        <f>SUM(AB270:AB272)</f>
        <v>0</v>
      </c>
      <c r="AC273" s="175">
        <f>SUM(AC270:AC272)</f>
        <v>0</v>
      </c>
      <c r="AD273" s="175">
        <f>SUM(AD270:AD272)</f>
        <v>0</v>
      </c>
      <c r="AE273" s="175">
        <f>SUM(AE270:AE272)</f>
        <v>0</v>
      </c>
      <c r="AF273" s="175">
        <f>SUM(AF270:AF272)</f>
        <v>0</v>
      </c>
      <c r="AG273" s="273"/>
      <c r="AH273" s="273"/>
      <c r="AI273" s="273"/>
      <c r="AJ273" s="175">
        <f>SUM(AJ270:AJ272)</f>
        <v>0</v>
      </c>
      <c r="AK273" s="175">
        <f>SUM(AK270:AK272)</f>
        <v>0</v>
      </c>
      <c r="AL273" s="175">
        <f>SUM(AL270:AL272)</f>
        <v>0</v>
      </c>
      <c r="AM273" s="175">
        <f>SUM(AM270:AM272)</f>
        <v>0</v>
      </c>
      <c r="AN273" s="175">
        <f>SUM(AN270:AN272)</f>
        <v>0</v>
      </c>
      <c r="AO273" s="274"/>
      <c r="AP273" s="254"/>
      <c r="AQ273" s="175">
        <f t="shared" ref="AQ273:AT273" si="182">SUM(AQ270:AQ272)</f>
        <v>0</v>
      </c>
      <c r="AR273" s="175">
        <f t="shared" si="182"/>
        <v>0</v>
      </c>
      <c r="AS273" s="175">
        <f t="shared" si="182"/>
        <v>0</v>
      </c>
      <c r="AT273" s="175">
        <f t="shared" si="182"/>
        <v>0</v>
      </c>
      <c r="AU273" s="175">
        <f t="shared" ref="AU273:BB273" si="183">SUM(AU270:AU272)</f>
        <v>0</v>
      </c>
      <c r="AV273" s="175">
        <f t="shared" si="183"/>
        <v>0</v>
      </c>
      <c r="AW273" s="175">
        <f t="shared" si="183"/>
        <v>0</v>
      </c>
      <c r="AX273" s="175">
        <f t="shared" si="183"/>
        <v>0</v>
      </c>
      <c r="AY273" s="175">
        <f t="shared" si="183"/>
        <v>0</v>
      </c>
      <c r="AZ273" s="175">
        <f t="shared" si="183"/>
        <v>0</v>
      </c>
      <c r="BA273" s="175">
        <f t="shared" si="183"/>
        <v>0</v>
      </c>
      <c r="BB273" s="175">
        <f t="shared" si="183"/>
        <v>0</v>
      </c>
      <c r="BC273" s="169"/>
      <c r="BD273" s="169"/>
      <c r="BE273" s="169"/>
      <c r="BF273" s="169"/>
    </row>
    <row r="274" spans="1:58" ht="78.75" x14ac:dyDescent="0.25">
      <c r="A274" s="172"/>
      <c r="B274" s="200"/>
      <c r="C274" s="201"/>
      <c r="D274" s="202"/>
      <c r="E274" s="354"/>
      <c r="F274" s="355"/>
      <c r="G274" s="356"/>
      <c r="H274" s="199" t="s">
        <v>349</v>
      </c>
      <c r="I274" s="178"/>
      <c r="J274" s="174"/>
      <c r="K274" s="174"/>
      <c r="L274" s="125" t="str">
        <f>IF(I274&lt;&gt;0,((VLOOKUP(I274,'1. Standard_Cost'!$B$4:$D$11,2)+VLOOKUP(I274,'1. Standard_Cost'!$B$4:$D$11,3))*J274*K274),"0")</f>
        <v>0</v>
      </c>
      <c r="M274" s="125">
        <f>L274*'1. Standard_Cost'!$F$4</f>
        <v>0</v>
      </c>
      <c r="N274" s="174"/>
      <c r="O274" s="174"/>
      <c r="P274" s="174"/>
      <c r="Q274" s="174"/>
      <c r="R274" s="127">
        <f>'1. Standard_Cost'!$B$15*N274*P274</f>
        <v>0</v>
      </c>
      <c r="S274" s="127">
        <f>N274*O274*P274*'1. Standard_Cost'!$C$15</f>
        <v>0</v>
      </c>
      <c r="T274" s="127">
        <f>N274*P274*Q274*'1. Standard_Cost'!$D$15</f>
        <v>0</v>
      </c>
      <c r="U274" s="127">
        <f>N274*O274*'1. Standard_Cost'!$E$15</f>
        <v>0</v>
      </c>
      <c r="V274" s="174"/>
      <c r="W274" s="174"/>
      <c r="X274" s="174"/>
      <c r="Y274" s="127">
        <f>+V274*((X274*'1. Standard_Cost'!$B$19)+(W274*X274*'1. Standard_Cost'!$C$19))</f>
        <v>0</v>
      </c>
      <c r="Z274" s="174"/>
      <c r="AA274" s="174"/>
      <c r="AB274" s="127">
        <f>+Z274*'1. Standard_Cost'!$B$23+AA274*'1. Standard_Cost'!$C$23</f>
        <v>0</v>
      </c>
      <c r="AC274" s="176"/>
      <c r="AD274" s="177"/>
      <c r="AE274" s="127">
        <f>SUM(AD274,AC274,AB274,Y274,U274,T274,S274,R274)*'1. Standard_Cost'!$B$31</f>
        <v>0</v>
      </c>
      <c r="AF274" s="127">
        <f>SUM(AE274,AD274,AC274,AB274,Y274,U274,T274,S274,R274)</f>
        <v>0</v>
      </c>
      <c r="AG274" s="174"/>
      <c r="AH274" s="174"/>
      <c r="AI274" s="174"/>
      <c r="AJ274" s="178"/>
      <c r="AK274" s="178"/>
      <c r="AL274" s="178"/>
      <c r="AM274" s="127">
        <f>AG274*'1. Standard_Cost'!$B$27+'Incremental_Cost Year 3'!AH274*'1. Standard_Cost'!$C$27+'Incremental_Cost Year 3'!AI274*'1. Standard_Cost'!$D$27+'Incremental_Cost Year 3'!AJ274+'Incremental_Cost Year 3'!AL274+AK274</f>
        <v>0</v>
      </c>
      <c r="AN274" s="127">
        <f>AM274*'1. Standard_Cost'!$C$31</f>
        <v>0</v>
      </c>
      <c r="AO274" s="178"/>
      <c r="AP274" s="256"/>
      <c r="AQ274" s="171">
        <f>L274+M274</f>
        <v>0</v>
      </c>
      <c r="AR274" s="171">
        <f>AF274</f>
        <v>0</v>
      </c>
      <c r="AS274" s="171">
        <f>AM274+AN274</f>
        <v>0</v>
      </c>
      <c r="AT274" s="171">
        <f>SUM(AQ274,AR274,AS274)</f>
        <v>0</v>
      </c>
      <c r="AU274" s="250">
        <f>AT274</f>
        <v>0</v>
      </c>
      <c r="AV274" s="250"/>
      <c r="AW274" s="250"/>
      <c r="AX274" s="250"/>
      <c r="AY274" s="250"/>
      <c r="AZ274" s="250"/>
      <c r="BA274" s="250"/>
      <c r="BB274" s="251">
        <f t="shared" ref="BB274:BB275" si="184">SUM(AU274:BA274)-AT274</f>
        <v>0</v>
      </c>
      <c r="BC274" s="169"/>
      <c r="BD274" s="169"/>
      <c r="BE274" s="169"/>
      <c r="BF274" s="169"/>
    </row>
    <row r="275" spans="1:58" ht="110.25" x14ac:dyDescent="0.25">
      <c r="A275" s="172"/>
      <c r="B275" s="200"/>
      <c r="C275" s="201"/>
      <c r="D275" s="202"/>
      <c r="E275" s="360"/>
      <c r="F275" s="361"/>
      <c r="G275" s="362"/>
      <c r="H275" s="199" t="s">
        <v>350</v>
      </c>
      <c r="I275" s="178" t="s">
        <v>3</v>
      </c>
      <c r="J275" s="174">
        <v>1</v>
      </c>
      <c r="K275" s="174">
        <v>3</v>
      </c>
      <c r="L275" s="125">
        <f>IF(I275&lt;&gt;0,((VLOOKUP(I275,'1. Standard_Cost'!$B$4:$D$11,2)+VLOOKUP(I275,'1. Standard_Cost'!$B$4:$D$11,3))*J275*K275),"0")</f>
        <v>302400</v>
      </c>
      <c r="M275" s="125">
        <f>L275*'1. Standard_Cost'!$F$4</f>
        <v>50500.800000000003</v>
      </c>
      <c r="N275" s="174">
        <v>30</v>
      </c>
      <c r="O275" s="174">
        <v>1</v>
      </c>
      <c r="P275" s="174">
        <v>20</v>
      </c>
      <c r="Q275" s="174"/>
      <c r="R275" s="127">
        <f>'1. Standard_Cost'!$B$15*N275*P275</f>
        <v>1200000</v>
      </c>
      <c r="S275" s="127">
        <f>N275*O275*P275*'1. Standard_Cost'!$C$15</f>
        <v>900000</v>
      </c>
      <c r="T275" s="127">
        <f>N275*P275*Q275*'1. Standard_Cost'!$D$15</f>
        <v>0</v>
      </c>
      <c r="U275" s="127">
        <f>N275*O275*'1. Standard_Cost'!$E$15</f>
        <v>1200000</v>
      </c>
      <c r="V275" s="174"/>
      <c r="W275" s="174"/>
      <c r="X275" s="174"/>
      <c r="Y275" s="127">
        <f>+V275*((X275*'1. Standard_Cost'!$B$19)+(W275*X275*'1. Standard_Cost'!$C$19))</f>
        <v>0</v>
      </c>
      <c r="Z275" s="174"/>
      <c r="AA275" s="174">
        <v>33</v>
      </c>
      <c r="AB275" s="127">
        <f>+Z275*'1. Standard_Cost'!$B$23+AA275*'1. Standard_Cost'!$C$23</f>
        <v>627000</v>
      </c>
      <c r="AC275" s="176">
        <f>600*300</f>
        <v>180000</v>
      </c>
      <c r="AD275" s="177"/>
      <c r="AE275" s="127">
        <f>SUM(AD275,AC275,AB275,Y275,U275,T275,S275,R275)*'1. Standard_Cost'!$B$31</f>
        <v>821400</v>
      </c>
      <c r="AF275" s="127">
        <f>SUM(AE275,AD275,AC275,AB275,Y275,U275,T275,S275,R275)</f>
        <v>4928400</v>
      </c>
      <c r="AG275" s="174"/>
      <c r="AH275" s="174"/>
      <c r="AI275" s="174"/>
      <c r="AJ275" s="178"/>
      <c r="AK275" s="178"/>
      <c r="AL275" s="178"/>
      <c r="AM275" s="127">
        <f>AG275*'1. Standard_Cost'!$B$27+'Incremental_Cost Year 3'!AH275*'1. Standard_Cost'!$C$27+'Incremental_Cost Year 3'!AI275*'1. Standard_Cost'!$D$27+'Incremental_Cost Year 3'!AJ275+'Incremental_Cost Year 3'!AL275+AK275</f>
        <v>0</v>
      </c>
      <c r="AN275" s="127">
        <f>AM275*'1. Standard_Cost'!$C$31</f>
        <v>0</v>
      </c>
      <c r="AO275" s="178"/>
      <c r="AP275" s="256"/>
      <c r="AQ275" s="171">
        <f>L275+M275</f>
        <v>352900.8</v>
      </c>
      <c r="AR275" s="171">
        <f>AF275</f>
        <v>4928400</v>
      </c>
      <c r="AS275" s="171">
        <f>AM275+AN275</f>
        <v>0</v>
      </c>
      <c r="AT275" s="171">
        <f>SUM(AQ275,AR275,AS275)</f>
        <v>5281300.8</v>
      </c>
      <c r="AU275" s="250">
        <f>AQ275</f>
        <v>352900.8</v>
      </c>
      <c r="AV275" s="250"/>
      <c r="AW275" s="250"/>
      <c r="AX275" s="250"/>
      <c r="AY275" s="250"/>
      <c r="AZ275" s="250"/>
      <c r="BA275" s="250"/>
      <c r="BB275" s="251">
        <f t="shared" si="184"/>
        <v>-4928400</v>
      </c>
      <c r="BC275" s="169"/>
      <c r="BD275" s="169"/>
      <c r="BE275" s="169"/>
      <c r="BF275" s="169"/>
    </row>
    <row r="276" spans="1:58" ht="78.75" x14ac:dyDescent="0.2">
      <c r="A276" s="172"/>
      <c r="B276" s="168"/>
      <c r="C276" s="204"/>
      <c r="D276" s="212" t="s">
        <v>485</v>
      </c>
      <c r="E276" s="212" t="s">
        <v>351</v>
      </c>
      <c r="F276" s="206">
        <v>2022</v>
      </c>
      <c r="G276" s="207">
        <v>2025</v>
      </c>
      <c r="H276" s="182" t="s">
        <v>352</v>
      </c>
      <c r="I276" s="273"/>
      <c r="J276" s="273"/>
      <c r="K276" s="273"/>
      <c r="L276" s="175">
        <f>SUM(L274:L275)</f>
        <v>302400</v>
      </c>
      <c r="M276" s="175">
        <f>SUM(M274:M275)</f>
        <v>50500.800000000003</v>
      </c>
      <c r="N276" s="273"/>
      <c r="O276" s="273"/>
      <c r="P276" s="273"/>
      <c r="Q276" s="273"/>
      <c r="R276" s="175">
        <f>SUM(R274:R275)</f>
        <v>1200000</v>
      </c>
      <c r="S276" s="175">
        <f>SUM(S274:S275)</f>
        <v>900000</v>
      </c>
      <c r="T276" s="175">
        <f>SUM(T274:T275)</f>
        <v>0</v>
      </c>
      <c r="U276" s="175">
        <f>SUM(U274:U275)</f>
        <v>1200000</v>
      </c>
      <c r="V276" s="273"/>
      <c r="W276" s="273"/>
      <c r="X276" s="273"/>
      <c r="Y276" s="175">
        <f>SUM(Y274:Y275)</f>
        <v>0</v>
      </c>
      <c r="Z276" s="175"/>
      <c r="AA276" s="273"/>
      <c r="AB276" s="175">
        <f>SUM(AB274:AB275)</f>
        <v>627000</v>
      </c>
      <c r="AC276" s="175">
        <f>SUM(AC274:AC275)</f>
        <v>180000</v>
      </c>
      <c r="AD276" s="175">
        <f>SUM(AD274:AD275)</f>
        <v>0</v>
      </c>
      <c r="AE276" s="175">
        <f>SUM(AE274:AE275)</f>
        <v>821400</v>
      </c>
      <c r="AF276" s="175">
        <f>SUM(AF274:AF275)</f>
        <v>4928400</v>
      </c>
      <c r="AG276" s="273"/>
      <c r="AH276" s="273"/>
      <c r="AI276" s="273"/>
      <c r="AJ276" s="175">
        <f>SUM(AJ274:AJ275)</f>
        <v>0</v>
      </c>
      <c r="AK276" s="175">
        <f>SUM(AK274:AK275)</f>
        <v>0</v>
      </c>
      <c r="AL276" s="175">
        <f>SUM(AL274:AL275)</f>
        <v>0</v>
      </c>
      <c r="AM276" s="175">
        <f>SUM(AM274:AM275)</f>
        <v>0</v>
      </c>
      <c r="AN276" s="175">
        <f>SUM(AN274:AN275)</f>
        <v>0</v>
      </c>
      <c r="AO276" s="274"/>
      <c r="AP276" s="254"/>
      <c r="AQ276" s="175">
        <f t="shared" ref="AQ276:AT276" si="185">SUM(AQ274:AQ275)</f>
        <v>352900.8</v>
      </c>
      <c r="AR276" s="175">
        <f t="shared" si="185"/>
        <v>4928400</v>
      </c>
      <c r="AS276" s="175">
        <f t="shared" si="185"/>
        <v>0</v>
      </c>
      <c r="AT276" s="175">
        <f t="shared" si="185"/>
        <v>5281300.8</v>
      </c>
      <c r="AU276" s="175">
        <f t="shared" ref="AU276:BB276" si="186">SUM(AU274:AU275)</f>
        <v>352900.8</v>
      </c>
      <c r="AV276" s="175">
        <f t="shared" si="186"/>
        <v>0</v>
      </c>
      <c r="AW276" s="175">
        <f t="shared" si="186"/>
        <v>0</v>
      </c>
      <c r="AX276" s="175">
        <f t="shared" si="186"/>
        <v>0</v>
      </c>
      <c r="AY276" s="175">
        <f t="shared" si="186"/>
        <v>0</v>
      </c>
      <c r="AZ276" s="175">
        <f t="shared" si="186"/>
        <v>0</v>
      </c>
      <c r="BA276" s="175">
        <f t="shared" si="186"/>
        <v>0</v>
      </c>
      <c r="BB276" s="175">
        <f t="shared" si="186"/>
        <v>-4928400</v>
      </c>
      <c r="BC276" s="169"/>
      <c r="BD276" s="169"/>
      <c r="BE276" s="169"/>
      <c r="BF276" s="169"/>
    </row>
    <row r="277" spans="1:58" ht="15.6" customHeight="1" x14ac:dyDescent="0.2">
      <c r="A277" s="179"/>
      <c r="B277" s="290"/>
      <c r="C277" s="391" t="s">
        <v>353</v>
      </c>
      <c r="D277" s="391"/>
      <c r="E277" s="392"/>
      <c r="F277" s="287"/>
      <c r="G277" s="289"/>
      <c r="H277" s="181" t="s">
        <v>354</v>
      </c>
      <c r="I277" s="271"/>
      <c r="J277" s="271"/>
      <c r="K277" s="271"/>
      <c r="L277" s="261">
        <f>L283</f>
        <v>24192000</v>
      </c>
      <c r="M277" s="261">
        <f>M283</f>
        <v>4040064</v>
      </c>
      <c r="N277" s="271"/>
      <c r="O277" s="271"/>
      <c r="P277" s="271"/>
      <c r="Q277" s="271"/>
      <c r="R277" s="261">
        <f>R283</f>
        <v>0</v>
      </c>
      <c r="S277" s="261">
        <f>S283</f>
        <v>0</v>
      </c>
      <c r="T277" s="261">
        <f>T283</f>
        <v>0</v>
      </c>
      <c r="U277" s="261">
        <f>U283</f>
        <v>0</v>
      </c>
      <c r="V277" s="271"/>
      <c r="W277" s="271"/>
      <c r="X277" s="271"/>
      <c r="Y277" s="261">
        <f>Y283</f>
        <v>0</v>
      </c>
      <c r="Z277" s="261"/>
      <c r="AA277" s="261"/>
      <c r="AB277" s="261">
        <f>AB283</f>
        <v>0</v>
      </c>
      <c r="AC277" s="261">
        <f>AC283</f>
        <v>0</v>
      </c>
      <c r="AD277" s="261">
        <f>AD283</f>
        <v>0</v>
      </c>
      <c r="AE277" s="261">
        <f>AE283</f>
        <v>0</v>
      </c>
      <c r="AF277" s="261">
        <f>AF283</f>
        <v>0</v>
      </c>
      <c r="AG277" s="271"/>
      <c r="AH277" s="271"/>
      <c r="AI277" s="271"/>
      <c r="AJ277" s="261">
        <f>AJ283</f>
        <v>0</v>
      </c>
      <c r="AK277" s="261">
        <f>AK283</f>
        <v>0</v>
      </c>
      <c r="AL277" s="261">
        <f>AL283</f>
        <v>0</v>
      </c>
      <c r="AM277" s="261">
        <f>AM283</f>
        <v>0</v>
      </c>
      <c r="AN277" s="261">
        <f>AN283</f>
        <v>0</v>
      </c>
      <c r="AO277" s="272"/>
      <c r="AP277" s="260"/>
      <c r="AQ277" s="261">
        <f t="shared" ref="AQ277:BB277" si="187">AQ283</f>
        <v>28232064</v>
      </c>
      <c r="AR277" s="261">
        <f t="shared" si="187"/>
        <v>0</v>
      </c>
      <c r="AS277" s="261">
        <f t="shared" si="187"/>
        <v>0</v>
      </c>
      <c r="AT277" s="261">
        <f t="shared" si="187"/>
        <v>28232064</v>
      </c>
      <c r="AU277" s="261">
        <f t="shared" si="187"/>
        <v>28232064</v>
      </c>
      <c r="AV277" s="261">
        <f t="shared" si="187"/>
        <v>0</v>
      </c>
      <c r="AW277" s="261">
        <f t="shared" si="187"/>
        <v>0</v>
      </c>
      <c r="AX277" s="261">
        <f t="shared" si="187"/>
        <v>0</v>
      </c>
      <c r="AY277" s="261">
        <f t="shared" si="187"/>
        <v>0</v>
      </c>
      <c r="AZ277" s="261">
        <f t="shared" si="187"/>
        <v>0</v>
      </c>
      <c r="BA277" s="261">
        <f t="shared" si="187"/>
        <v>0</v>
      </c>
      <c r="BB277" s="261">
        <f t="shared" si="187"/>
        <v>0</v>
      </c>
      <c r="BC277" s="184"/>
      <c r="BD277" s="184"/>
      <c r="BE277" s="184"/>
      <c r="BF277" s="184"/>
    </row>
    <row r="278" spans="1:58" ht="47.25" x14ac:dyDescent="0.25">
      <c r="A278" s="172"/>
      <c r="B278" s="200"/>
      <c r="C278" s="201"/>
      <c r="D278" s="202"/>
      <c r="E278" s="354"/>
      <c r="F278" s="355"/>
      <c r="G278" s="356"/>
      <c r="H278" s="213" t="s">
        <v>363</v>
      </c>
      <c r="I278" s="178"/>
      <c r="J278" s="174"/>
      <c r="K278" s="174"/>
      <c r="L278" s="125" t="str">
        <f>IF(I278&lt;&gt;0,((VLOOKUP(I278,'1. Standard_Cost'!$B$4:$D$11,2)+VLOOKUP(I278,'1. Standard_Cost'!$B$4:$D$11,3))*J278*K278),"0")</f>
        <v>0</v>
      </c>
      <c r="M278" s="125">
        <f>L278*'1. Standard_Cost'!$F$4</f>
        <v>0</v>
      </c>
      <c r="N278" s="174"/>
      <c r="O278" s="174"/>
      <c r="P278" s="174"/>
      <c r="Q278" s="174"/>
      <c r="R278" s="127">
        <f>'1. Standard_Cost'!$B$15*N278*P278</f>
        <v>0</v>
      </c>
      <c r="S278" s="127">
        <f>N278*O278*P278*'1. Standard_Cost'!$C$15</f>
        <v>0</v>
      </c>
      <c r="T278" s="127">
        <f>N278*P278*Q278*'1. Standard_Cost'!$D$15</f>
        <v>0</v>
      </c>
      <c r="U278" s="127">
        <f>N278*O278*'1. Standard_Cost'!$E$15</f>
        <v>0</v>
      </c>
      <c r="V278" s="174"/>
      <c r="W278" s="174"/>
      <c r="X278" s="174"/>
      <c r="Y278" s="127">
        <f>+V278*((X278*'1. Standard_Cost'!$B$19)+(W278*X278*'1. Standard_Cost'!$C$19))</f>
        <v>0</v>
      </c>
      <c r="Z278" s="174"/>
      <c r="AA278" s="174"/>
      <c r="AB278" s="127">
        <f>+Z278*'1. Standard_Cost'!$B$23+AA278*'1. Standard_Cost'!$C$23</f>
        <v>0</v>
      </c>
      <c r="AC278" s="176"/>
      <c r="AD278" s="177"/>
      <c r="AE278" s="127">
        <f>SUM(AD278,AC278,AB278,Y278,U278,T278,S278,R278)*'1. Standard_Cost'!$B$31</f>
        <v>0</v>
      </c>
      <c r="AF278" s="127">
        <f>SUM(AE278,AD278,AC278,AB278,Y278,U278,T278,S278,R278)</f>
        <v>0</v>
      </c>
      <c r="AG278" s="174"/>
      <c r="AH278" s="174"/>
      <c r="AI278" s="174"/>
      <c r="AJ278" s="178"/>
      <c r="AK278" s="178"/>
      <c r="AL278" s="178"/>
      <c r="AM278" s="127">
        <f>AG278*'1. Standard_Cost'!$B$27+'Incremental_Cost Year 3'!AH278*'1. Standard_Cost'!$C$27+'Incremental_Cost Year 3'!AI278*'1. Standard_Cost'!$D$27+'Incremental_Cost Year 3'!AJ278+'Incremental_Cost Year 3'!AL278+AK278</f>
        <v>0</v>
      </c>
      <c r="AN278" s="127">
        <f>AM278*'1. Standard_Cost'!$C$31</f>
        <v>0</v>
      </c>
      <c r="AO278" s="178"/>
      <c r="AP278" s="256"/>
      <c r="AQ278" s="171">
        <f>L278+M278</f>
        <v>0</v>
      </c>
      <c r="AR278" s="171">
        <f>AF278</f>
        <v>0</v>
      </c>
      <c r="AS278" s="171">
        <f>AM278+AN278</f>
        <v>0</v>
      </c>
      <c r="AT278" s="171">
        <f>SUM(AQ278,AR278,AS278)</f>
        <v>0</v>
      </c>
      <c r="AU278" s="250">
        <f>AT278</f>
        <v>0</v>
      </c>
      <c r="AV278" s="250"/>
      <c r="AW278" s="250"/>
      <c r="AX278" s="250"/>
      <c r="AY278" s="250"/>
      <c r="AZ278" s="250"/>
      <c r="BA278" s="250"/>
      <c r="BB278" s="251">
        <f t="shared" ref="BB278:BB282" si="188">SUM(AU278:BA278)-AT278</f>
        <v>0</v>
      </c>
      <c r="BC278" s="169"/>
      <c r="BD278" s="169"/>
      <c r="BE278" s="169"/>
      <c r="BF278" s="169"/>
    </row>
    <row r="279" spans="1:58" ht="47.25" x14ac:dyDescent="0.25">
      <c r="A279" s="172"/>
      <c r="B279" s="200"/>
      <c r="C279" s="201"/>
      <c r="D279" s="202"/>
      <c r="E279" s="357"/>
      <c r="F279" s="358"/>
      <c r="G279" s="359"/>
      <c r="H279" s="213" t="s">
        <v>364</v>
      </c>
      <c r="I279" s="178"/>
      <c r="J279" s="174"/>
      <c r="K279" s="174"/>
      <c r="L279" s="125" t="str">
        <f>IF(I279&lt;&gt;0,((VLOOKUP(I279,'1. Standard_Cost'!$B$4:$D$11,2)+VLOOKUP(I279,'1. Standard_Cost'!$B$4:$D$11,3))*J279*K279),"0")</f>
        <v>0</v>
      </c>
      <c r="M279" s="125">
        <f>L279*'1. Standard_Cost'!$F$4</f>
        <v>0</v>
      </c>
      <c r="N279" s="174"/>
      <c r="O279" s="174"/>
      <c r="P279" s="174"/>
      <c r="Q279" s="174"/>
      <c r="R279" s="127">
        <f>'1. Standard_Cost'!$B$15*N279*P279</f>
        <v>0</v>
      </c>
      <c r="S279" s="127">
        <f>N279*O279*P279*'1. Standard_Cost'!$C$15</f>
        <v>0</v>
      </c>
      <c r="T279" s="127">
        <f>N279*P279*Q279*'1. Standard_Cost'!$D$15</f>
        <v>0</v>
      </c>
      <c r="U279" s="127">
        <f>N279*O279*'1. Standard_Cost'!$E$15</f>
        <v>0</v>
      </c>
      <c r="V279" s="174"/>
      <c r="W279" s="174"/>
      <c r="X279" s="174"/>
      <c r="Y279" s="127">
        <f>+V279*((X279*'1. Standard_Cost'!$B$19)+(W279*X279*'1. Standard_Cost'!$C$19))</f>
        <v>0</v>
      </c>
      <c r="Z279" s="174"/>
      <c r="AA279" s="174"/>
      <c r="AB279" s="127">
        <f>+Z279*'1. Standard_Cost'!$B$23+AA279*'1. Standard_Cost'!$C$23</f>
        <v>0</v>
      </c>
      <c r="AC279" s="176"/>
      <c r="AD279" s="177"/>
      <c r="AE279" s="127">
        <f>SUM(AD279,AC279,AB279,Y279,U279,T279,S279,R279)*'1. Standard_Cost'!$B$31</f>
        <v>0</v>
      </c>
      <c r="AF279" s="127">
        <f>SUM(AE279,AD279,AC279,AB279,Y279,U279,T279,S279,R279)</f>
        <v>0</v>
      </c>
      <c r="AG279" s="174"/>
      <c r="AH279" s="174"/>
      <c r="AI279" s="174"/>
      <c r="AJ279" s="178"/>
      <c r="AK279" s="178"/>
      <c r="AL279" s="178"/>
      <c r="AM279" s="127">
        <f>AG279*'1. Standard_Cost'!$B$27+'Incremental_Cost Year 3'!AH279*'1. Standard_Cost'!$C$27+'Incremental_Cost Year 3'!AI279*'1. Standard_Cost'!$D$27+'Incremental_Cost Year 3'!AJ279+'Incremental_Cost Year 3'!AL279+AK279</f>
        <v>0</v>
      </c>
      <c r="AN279" s="127">
        <f>AM279*'1. Standard_Cost'!$C$31</f>
        <v>0</v>
      </c>
      <c r="AO279" s="178"/>
      <c r="AP279" s="256"/>
      <c r="AQ279" s="171">
        <f>L279+M279</f>
        <v>0</v>
      </c>
      <c r="AR279" s="171">
        <f>AF279</f>
        <v>0</v>
      </c>
      <c r="AS279" s="171">
        <f>AM279+AN279</f>
        <v>0</v>
      </c>
      <c r="AT279" s="171">
        <f>SUM(AQ279,AR279,AS279)</f>
        <v>0</v>
      </c>
      <c r="AU279" s="250">
        <f>AT279</f>
        <v>0</v>
      </c>
      <c r="AV279" s="250"/>
      <c r="AW279" s="250"/>
      <c r="AX279" s="250"/>
      <c r="AY279" s="250"/>
      <c r="AZ279" s="250"/>
      <c r="BA279" s="250"/>
      <c r="BB279" s="251">
        <f t="shared" si="188"/>
        <v>0</v>
      </c>
      <c r="BC279" s="169"/>
      <c r="BD279" s="169"/>
      <c r="BE279" s="169"/>
      <c r="BF279" s="169"/>
    </row>
    <row r="280" spans="1:58" ht="31.5" x14ac:dyDescent="0.25">
      <c r="A280" s="172"/>
      <c r="B280" s="200"/>
      <c r="C280" s="201"/>
      <c r="D280" s="202"/>
      <c r="E280" s="357"/>
      <c r="F280" s="358"/>
      <c r="G280" s="359"/>
      <c r="H280" s="213" t="s">
        <v>365</v>
      </c>
      <c r="I280" s="178" t="s">
        <v>3</v>
      </c>
      <c r="J280" s="174">
        <v>12</v>
      </c>
      <c r="K280" s="174">
        <v>20</v>
      </c>
      <c r="L280" s="125">
        <f>IF(I280&lt;&gt;0,((VLOOKUP(I280,'1. Standard_Cost'!$B$4:$D$11,2)+VLOOKUP(I280,'1. Standard_Cost'!$B$4:$D$11,3))*J280*K280),"0")</f>
        <v>24192000</v>
      </c>
      <c r="M280" s="125">
        <f>L280*'1. Standard_Cost'!$F$4</f>
        <v>4040064</v>
      </c>
      <c r="N280" s="174"/>
      <c r="O280" s="174"/>
      <c r="P280" s="174"/>
      <c r="Q280" s="174"/>
      <c r="R280" s="127">
        <f>'1. Standard_Cost'!$B$15*N280*P280</f>
        <v>0</v>
      </c>
      <c r="S280" s="127">
        <f>N280*O280*P280*'1. Standard_Cost'!$C$15</f>
        <v>0</v>
      </c>
      <c r="T280" s="127">
        <f>N280*P280*Q280*'1. Standard_Cost'!$D$15</f>
        <v>0</v>
      </c>
      <c r="U280" s="127">
        <f>N280*O280*'1. Standard_Cost'!$E$15</f>
        <v>0</v>
      </c>
      <c r="V280" s="174"/>
      <c r="W280" s="174"/>
      <c r="X280" s="174"/>
      <c r="Y280" s="127">
        <f>+V280*((X280*'1. Standard_Cost'!$B$19)+(W280*X280*'1. Standard_Cost'!$C$19))</f>
        <v>0</v>
      </c>
      <c r="Z280" s="174"/>
      <c r="AA280" s="174"/>
      <c r="AB280" s="127">
        <f>+Z280*'1. Standard_Cost'!$B$23+AA280*'1. Standard_Cost'!$C$23</f>
        <v>0</v>
      </c>
      <c r="AC280" s="176"/>
      <c r="AD280" s="177"/>
      <c r="AE280" s="127">
        <f>SUM(AD280,AC280,AB280,Y280,U280,T280,S280,R280)*'1. Standard_Cost'!$B$31</f>
        <v>0</v>
      </c>
      <c r="AF280" s="127">
        <f>SUM(AE280,AD280,AC280,AB280,Y280,U280,T280,S280,R280)</f>
        <v>0</v>
      </c>
      <c r="AG280" s="174"/>
      <c r="AH280" s="174"/>
      <c r="AI280" s="174"/>
      <c r="AJ280" s="178"/>
      <c r="AK280" s="178"/>
      <c r="AL280" s="178"/>
      <c r="AM280" s="127">
        <f>AG280*'1. Standard_Cost'!$B$27+'Incremental_Cost Year 3'!AH280*'1. Standard_Cost'!$C$27+'Incremental_Cost Year 3'!AI280*'1. Standard_Cost'!$D$27+'Incremental_Cost Year 3'!AJ280+'Incremental_Cost Year 3'!AL280+AK280</f>
        <v>0</v>
      </c>
      <c r="AN280" s="127">
        <f>AM280*'1. Standard_Cost'!$C$31</f>
        <v>0</v>
      </c>
      <c r="AO280" s="178"/>
      <c r="AP280" s="256"/>
      <c r="AQ280" s="171">
        <f>L280+M280</f>
        <v>28232064</v>
      </c>
      <c r="AR280" s="171">
        <f>AF280</f>
        <v>0</v>
      </c>
      <c r="AS280" s="171">
        <f>AM280+AN280</f>
        <v>0</v>
      </c>
      <c r="AT280" s="171">
        <f>SUM(AQ280,AR280,AS280)</f>
        <v>28232064</v>
      </c>
      <c r="AU280" s="250">
        <f>AT280</f>
        <v>28232064</v>
      </c>
      <c r="AV280" s="250"/>
      <c r="AW280" s="250"/>
      <c r="AX280" s="250"/>
      <c r="AY280" s="250"/>
      <c r="AZ280" s="250"/>
      <c r="BA280" s="250"/>
      <c r="BB280" s="251">
        <f t="shared" si="188"/>
        <v>0</v>
      </c>
      <c r="BC280" s="169"/>
      <c r="BD280" s="169"/>
      <c r="BE280" s="169"/>
      <c r="BF280" s="169"/>
    </row>
    <row r="281" spans="1:58" ht="15.75" x14ac:dyDescent="0.25">
      <c r="A281" s="172"/>
      <c r="B281" s="200"/>
      <c r="C281" s="201"/>
      <c r="D281" s="202"/>
      <c r="E281" s="357"/>
      <c r="F281" s="358"/>
      <c r="G281" s="359"/>
      <c r="H281" s="369"/>
      <c r="I281" s="178"/>
      <c r="J281" s="174"/>
      <c r="K281" s="174"/>
      <c r="L281" s="125" t="str">
        <f>IF(I281&lt;&gt;0,((VLOOKUP(I281,'1. Standard_Cost'!$B$4:$D$11,2)+VLOOKUP(I281,'1. Standard_Cost'!$B$4:$D$11,3))*J281*K281),"0")</f>
        <v>0</v>
      </c>
      <c r="M281" s="125">
        <f>L281*'1. Standard_Cost'!$F$4</f>
        <v>0</v>
      </c>
      <c r="N281" s="174"/>
      <c r="O281" s="174"/>
      <c r="P281" s="174"/>
      <c r="Q281" s="174"/>
      <c r="R281" s="127">
        <f>'1. Standard_Cost'!$B$15*N281*P281</f>
        <v>0</v>
      </c>
      <c r="S281" s="127">
        <f>N281*O281*P281*'1. Standard_Cost'!$C$15</f>
        <v>0</v>
      </c>
      <c r="T281" s="127">
        <f>N281*P281*Q281*'1. Standard_Cost'!$D$15</f>
        <v>0</v>
      </c>
      <c r="U281" s="127">
        <f>N281*O281*'1. Standard_Cost'!$E$15</f>
        <v>0</v>
      </c>
      <c r="V281" s="174"/>
      <c r="W281" s="174"/>
      <c r="X281" s="174"/>
      <c r="Y281" s="127">
        <f>+V281*((X281*'1. Standard_Cost'!$B$19)+(W281*X281*'1. Standard_Cost'!$C$19))</f>
        <v>0</v>
      </c>
      <c r="Z281" s="174"/>
      <c r="AA281" s="174"/>
      <c r="AB281" s="127">
        <f>+Z281*'1. Standard_Cost'!$B$23+AA281*'1. Standard_Cost'!$C$23</f>
        <v>0</v>
      </c>
      <c r="AC281" s="176"/>
      <c r="AD281" s="177"/>
      <c r="AE281" s="127">
        <f>SUM(AD281,AC281,AB281,Y281,U281,T281,S281,R281)*'1. Standard_Cost'!$B$31</f>
        <v>0</v>
      </c>
      <c r="AF281" s="127">
        <f>SUM(AE281,AD281,AC281,AB281,Y281,U281,T281,S281,R281)</f>
        <v>0</v>
      </c>
      <c r="AG281" s="174"/>
      <c r="AH281" s="174"/>
      <c r="AI281" s="174"/>
      <c r="AJ281" s="178"/>
      <c r="AK281" s="178"/>
      <c r="AL281" s="178"/>
      <c r="AM281" s="127">
        <f>AG281*'1. Standard_Cost'!$B$27+'Incremental_Cost Year 3'!AH281*'1. Standard_Cost'!$C$27+'Incremental_Cost Year 3'!AI281*'1. Standard_Cost'!$D$27+'Incremental_Cost Year 3'!AJ281+'Incremental_Cost Year 3'!AL281+AK281</f>
        <v>0</v>
      </c>
      <c r="AN281" s="127">
        <f>AM281*'1. Standard_Cost'!$C$31</f>
        <v>0</v>
      </c>
      <c r="AO281" s="178"/>
      <c r="AP281" s="256"/>
      <c r="AQ281" s="171">
        <f>L281+M281</f>
        <v>0</v>
      </c>
      <c r="AR281" s="171">
        <f>AF281</f>
        <v>0</v>
      </c>
      <c r="AS281" s="171">
        <f>AM281+AN281</f>
        <v>0</v>
      </c>
      <c r="AT281" s="171">
        <f>SUM(AQ281,AR281,AS281)</f>
        <v>0</v>
      </c>
      <c r="AU281" s="250"/>
      <c r="AV281" s="250"/>
      <c r="AW281" s="250"/>
      <c r="AX281" s="250"/>
      <c r="AY281" s="250"/>
      <c r="AZ281" s="250"/>
      <c r="BA281" s="250"/>
      <c r="BB281" s="251">
        <f t="shared" si="188"/>
        <v>0</v>
      </c>
      <c r="BC281" s="169"/>
      <c r="BD281" s="169"/>
      <c r="BE281" s="169"/>
      <c r="BF281" s="169"/>
    </row>
    <row r="282" spans="1:58" ht="31.5" x14ac:dyDescent="0.25">
      <c r="A282" s="172"/>
      <c r="B282" s="200"/>
      <c r="C282" s="201"/>
      <c r="D282" s="202"/>
      <c r="E282" s="360"/>
      <c r="F282" s="361"/>
      <c r="G282" s="362"/>
      <c r="H282" s="213" t="s">
        <v>366</v>
      </c>
      <c r="I282" s="178"/>
      <c r="J282" s="174"/>
      <c r="K282" s="174"/>
      <c r="L282" s="125" t="str">
        <f>IF(I282&lt;&gt;0,((VLOOKUP(I282,'1. Standard_Cost'!$B$4:$D$11,2)+VLOOKUP(I282,'1. Standard_Cost'!$B$4:$D$11,3))*J282*K282),"0")</f>
        <v>0</v>
      </c>
      <c r="M282" s="125">
        <f>L282*'1. Standard_Cost'!$F$4</f>
        <v>0</v>
      </c>
      <c r="N282" s="174"/>
      <c r="O282" s="174"/>
      <c r="P282" s="174"/>
      <c r="Q282" s="174"/>
      <c r="R282" s="127">
        <f>'1. Standard_Cost'!$B$15*N282*P282</f>
        <v>0</v>
      </c>
      <c r="S282" s="127">
        <f>N282*O282*P282*'1. Standard_Cost'!$C$15</f>
        <v>0</v>
      </c>
      <c r="T282" s="127">
        <f>N282*P282*Q282*'1. Standard_Cost'!$D$15</f>
        <v>0</v>
      </c>
      <c r="U282" s="127">
        <f>N282*O282*'1. Standard_Cost'!$E$15</f>
        <v>0</v>
      </c>
      <c r="V282" s="174"/>
      <c r="W282" s="174"/>
      <c r="X282" s="174"/>
      <c r="Y282" s="127">
        <f>+V282*((X282*'1. Standard_Cost'!$B$19)+(W282*X282*'1. Standard_Cost'!$C$19))</f>
        <v>0</v>
      </c>
      <c r="Z282" s="174"/>
      <c r="AA282" s="174"/>
      <c r="AB282" s="127">
        <f>+Z282*'1. Standard_Cost'!$B$23+AA282*'1. Standard_Cost'!$C$23</f>
        <v>0</v>
      </c>
      <c r="AC282" s="176"/>
      <c r="AD282" s="177"/>
      <c r="AE282" s="127">
        <f>SUM(AD282,AC282,AB282,Y282,U282,T282,S282,R282)*'1. Standard_Cost'!$B$31</f>
        <v>0</v>
      </c>
      <c r="AF282" s="127">
        <f>SUM(AE282,AD282,AC282,AB282,Y282,U282,T282,S282,R282)</f>
        <v>0</v>
      </c>
      <c r="AG282" s="174"/>
      <c r="AH282" s="174"/>
      <c r="AI282" s="174"/>
      <c r="AJ282" s="178"/>
      <c r="AK282" s="178"/>
      <c r="AL282" s="178"/>
      <c r="AM282" s="127">
        <f>AG282*'1. Standard_Cost'!$B$27+'Incremental_Cost Year 3'!AH282*'1. Standard_Cost'!$C$27+'Incremental_Cost Year 3'!AI282*'1. Standard_Cost'!$D$27+'Incremental_Cost Year 3'!AJ282+'Incremental_Cost Year 3'!AL282+AK282</f>
        <v>0</v>
      </c>
      <c r="AN282" s="127">
        <f>AM282*'1. Standard_Cost'!$C$31</f>
        <v>0</v>
      </c>
      <c r="AO282" s="178"/>
      <c r="AP282" s="256"/>
      <c r="AQ282" s="171">
        <f>L282+M282</f>
        <v>0</v>
      </c>
      <c r="AR282" s="171">
        <f>AF282</f>
        <v>0</v>
      </c>
      <c r="AS282" s="171">
        <f>AM282+AN282</f>
        <v>0</v>
      </c>
      <c r="AT282" s="171">
        <f>SUM(AQ282,AR282,AS282)</f>
        <v>0</v>
      </c>
      <c r="AU282" s="250"/>
      <c r="AV282" s="250"/>
      <c r="AW282" s="250"/>
      <c r="AX282" s="250"/>
      <c r="AY282" s="250"/>
      <c r="AZ282" s="250"/>
      <c r="BA282" s="250"/>
      <c r="BB282" s="251">
        <f t="shared" si="188"/>
        <v>0</v>
      </c>
      <c r="BC282" s="169"/>
      <c r="BD282" s="169"/>
      <c r="BE282" s="169"/>
      <c r="BF282" s="169"/>
    </row>
    <row r="283" spans="1:58" ht="31.5" x14ac:dyDescent="0.2">
      <c r="A283" s="172"/>
      <c r="B283" s="168"/>
      <c r="C283" s="204"/>
      <c r="D283" s="212" t="s">
        <v>559</v>
      </c>
      <c r="E283" s="212" t="s">
        <v>355</v>
      </c>
      <c r="F283" s="212">
        <v>2021</v>
      </c>
      <c r="G283" s="212">
        <v>2030</v>
      </c>
      <c r="H283" s="182" t="s">
        <v>356</v>
      </c>
      <c r="I283" s="273"/>
      <c r="J283" s="273"/>
      <c r="K283" s="273"/>
      <c r="L283" s="175">
        <f>SUM(L278:L282)</f>
        <v>24192000</v>
      </c>
      <c r="M283" s="175">
        <f>SUM(M278:M282)</f>
        <v>4040064</v>
      </c>
      <c r="N283" s="273"/>
      <c r="O283" s="273"/>
      <c r="P283" s="273"/>
      <c r="Q283" s="273"/>
      <c r="R283" s="175">
        <f>SUM(R278:R282)</f>
        <v>0</v>
      </c>
      <c r="S283" s="175">
        <f>SUM(S278:S282)</f>
        <v>0</v>
      </c>
      <c r="T283" s="175">
        <f>SUM(T278:T282)</f>
        <v>0</v>
      </c>
      <c r="U283" s="175">
        <f>SUM(U278:U282)</f>
        <v>0</v>
      </c>
      <c r="V283" s="273"/>
      <c r="W283" s="273"/>
      <c r="X283" s="273"/>
      <c r="Y283" s="175">
        <f>SUM(Y278:Y282)</f>
        <v>0</v>
      </c>
      <c r="Z283" s="175"/>
      <c r="AA283" s="273"/>
      <c r="AB283" s="175">
        <f>SUM(AB278:AB282)</f>
        <v>0</v>
      </c>
      <c r="AC283" s="175">
        <f>SUM(AC278:AC282)</f>
        <v>0</v>
      </c>
      <c r="AD283" s="175">
        <f>SUM(AD278:AD282)</f>
        <v>0</v>
      </c>
      <c r="AE283" s="175">
        <f>SUM(AE278:AE282)</f>
        <v>0</v>
      </c>
      <c r="AF283" s="175">
        <f>SUM(AF278:AF282)</f>
        <v>0</v>
      </c>
      <c r="AG283" s="273"/>
      <c r="AH283" s="273"/>
      <c r="AI283" s="273"/>
      <c r="AJ283" s="175">
        <f>SUM(AJ278:AJ282)</f>
        <v>0</v>
      </c>
      <c r="AK283" s="175">
        <f>SUM(AK278:AK282)</f>
        <v>0</v>
      </c>
      <c r="AL283" s="175">
        <f>SUM(AL278:AL282)</f>
        <v>0</v>
      </c>
      <c r="AM283" s="175">
        <f>SUM(AM278:AM282)</f>
        <v>0</v>
      </c>
      <c r="AN283" s="175">
        <f>SUM(AN278:AN282)</f>
        <v>0</v>
      </c>
      <c r="AO283" s="274"/>
      <c r="AP283" s="254"/>
      <c r="AQ283" s="175">
        <f t="shared" ref="AQ283:AT283" si="189">SUM(AQ278:AQ282)</f>
        <v>28232064</v>
      </c>
      <c r="AR283" s="175">
        <f t="shared" si="189"/>
        <v>0</v>
      </c>
      <c r="AS283" s="175">
        <f t="shared" si="189"/>
        <v>0</v>
      </c>
      <c r="AT283" s="175">
        <f t="shared" si="189"/>
        <v>28232064</v>
      </c>
      <c r="AU283" s="175">
        <f t="shared" ref="AU283:BB283" si="190">SUM(AU278:AU282)</f>
        <v>28232064</v>
      </c>
      <c r="AV283" s="175">
        <f t="shared" si="190"/>
        <v>0</v>
      </c>
      <c r="AW283" s="175">
        <f t="shared" si="190"/>
        <v>0</v>
      </c>
      <c r="AX283" s="175">
        <f t="shared" si="190"/>
        <v>0</v>
      </c>
      <c r="AY283" s="175">
        <f t="shared" si="190"/>
        <v>0</v>
      </c>
      <c r="AZ283" s="175">
        <f t="shared" si="190"/>
        <v>0</v>
      </c>
      <c r="BA283" s="175">
        <f t="shared" si="190"/>
        <v>0</v>
      </c>
      <c r="BB283" s="175">
        <f t="shared" si="190"/>
        <v>0</v>
      </c>
      <c r="BC283" s="169"/>
      <c r="BD283" s="169"/>
      <c r="BE283" s="169"/>
      <c r="BF283" s="169"/>
    </row>
    <row r="284" spans="1:58" ht="15.6" customHeight="1" x14ac:dyDescent="0.2">
      <c r="A284" s="179"/>
      <c r="B284" s="290"/>
      <c r="C284" s="391" t="s">
        <v>357</v>
      </c>
      <c r="D284" s="391"/>
      <c r="E284" s="392"/>
      <c r="F284" s="287"/>
      <c r="G284" s="289"/>
      <c r="H284" s="181" t="s">
        <v>358</v>
      </c>
      <c r="I284" s="271"/>
      <c r="J284" s="271"/>
      <c r="K284" s="271"/>
      <c r="L284" s="261">
        <f>L289</f>
        <v>5544000</v>
      </c>
      <c r="M284" s="261">
        <f>M289</f>
        <v>925848</v>
      </c>
      <c r="N284" s="271"/>
      <c r="O284" s="271"/>
      <c r="P284" s="271"/>
      <c r="Q284" s="271"/>
      <c r="R284" s="261">
        <f>R289</f>
        <v>0</v>
      </c>
      <c r="S284" s="261">
        <f>S289</f>
        <v>0</v>
      </c>
      <c r="T284" s="261">
        <f>T289</f>
        <v>0</v>
      </c>
      <c r="U284" s="261">
        <f>U289</f>
        <v>0</v>
      </c>
      <c r="V284" s="271"/>
      <c r="W284" s="271"/>
      <c r="X284" s="271"/>
      <c r="Y284" s="261">
        <f>Y289</f>
        <v>0</v>
      </c>
      <c r="Z284" s="261"/>
      <c r="AA284" s="261"/>
      <c r="AB284" s="261">
        <f>AB289</f>
        <v>2735000</v>
      </c>
      <c r="AC284" s="261">
        <f>AC289</f>
        <v>789000</v>
      </c>
      <c r="AD284" s="261">
        <f>AD289</f>
        <v>0</v>
      </c>
      <c r="AE284" s="261">
        <f>AE289</f>
        <v>704800</v>
      </c>
      <c r="AF284" s="261">
        <f>AF289</f>
        <v>6583800</v>
      </c>
      <c r="AG284" s="271"/>
      <c r="AH284" s="271"/>
      <c r="AI284" s="271"/>
      <c r="AJ284" s="261">
        <f>AJ289</f>
        <v>0</v>
      </c>
      <c r="AK284" s="261">
        <f>AK289</f>
        <v>0</v>
      </c>
      <c r="AL284" s="261">
        <f>AL289</f>
        <v>0</v>
      </c>
      <c r="AM284" s="261">
        <f>AM289</f>
        <v>0</v>
      </c>
      <c r="AN284" s="261">
        <f>AN289</f>
        <v>0</v>
      </c>
      <c r="AO284" s="272"/>
      <c r="AP284" s="260"/>
      <c r="AQ284" s="261">
        <f t="shared" ref="AQ284:BB284" si="191">AQ289</f>
        <v>6469848</v>
      </c>
      <c r="AR284" s="261">
        <f t="shared" si="191"/>
        <v>6583800</v>
      </c>
      <c r="AS284" s="261">
        <f t="shared" si="191"/>
        <v>0</v>
      </c>
      <c r="AT284" s="261">
        <f t="shared" si="191"/>
        <v>13053648</v>
      </c>
      <c r="AU284" s="261">
        <f t="shared" si="191"/>
        <v>6463848</v>
      </c>
      <c r="AV284" s="261">
        <f t="shared" si="191"/>
        <v>0</v>
      </c>
      <c r="AW284" s="261">
        <f t="shared" si="191"/>
        <v>0</v>
      </c>
      <c r="AX284" s="261">
        <f t="shared" si="191"/>
        <v>0</v>
      </c>
      <c r="AY284" s="261">
        <f t="shared" si="191"/>
        <v>0</v>
      </c>
      <c r="AZ284" s="261">
        <f t="shared" si="191"/>
        <v>2355000</v>
      </c>
      <c r="BA284" s="261">
        <f t="shared" si="191"/>
        <v>0</v>
      </c>
      <c r="BB284" s="261">
        <f t="shared" si="191"/>
        <v>-4234800</v>
      </c>
      <c r="BC284" s="184"/>
      <c r="BD284" s="184"/>
      <c r="BE284" s="184"/>
      <c r="BF284" s="184"/>
    </row>
    <row r="285" spans="1:58" ht="157.5" x14ac:dyDescent="0.25">
      <c r="A285" s="172"/>
      <c r="B285" s="354"/>
      <c r="C285" s="356"/>
      <c r="D285" s="342"/>
      <c r="E285" s="328"/>
      <c r="F285" s="328"/>
      <c r="G285" s="328"/>
      <c r="H285" s="213" t="s">
        <v>550</v>
      </c>
      <c r="I285" s="178"/>
      <c r="J285" s="174"/>
      <c r="K285" s="174"/>
      <c r="L285" s="125" t="str">
        <f>IF(I285&lt;&gt;0,((VLOOKUP(I285,'1. Standard_Cost'!$B$4:$D$11,2)+VLOOKUP(I285,'1. Standard_Cost'!$B$4:$D$11,3))*J285*K285),"0")</f>
        <v>0</v>
      </c>
      <c r="M285" s="125">
        <f>L285*'1. Standard_Cost'!$F$4</f>
        <v>0</v>
      </c>
      <c r="N285" s="174"/>
      <c r="O285" s="174"/>
      <c r="P285" s="174"/>
      <c r="Q285" s="174"/>
      <c r="R285" s="127">
        <f>'1. Standard_Cost'!$B$15*N285*P285</f>
        <v>0</v>
      </c>
      <c r="S285" s="127">
        <f>N285*O285*P285*'1. Standard_Cost'!$C$15</f>
        <v>0</v>
      </c>
      <c r="T285" s="127">
        <f>N285*P285*Q285*'1. Standard_Cost'!$D$15</f>
        <v>0</v>
      </c>
      <c r="U285" s="127">
        <f>N285*O285*'1. Standard_Cost'!$E$15</f>
        <v>0</v>
      </c>
      <c r="V285" s="174"/>
      <c r="W285" s="174"/>
      <c r="X285" s="174"/>
      <c r="Y285" s="127">
        <f>+V285*((X285*'1. Standard_Cost'!$B$19)+(W285*X285*'1. Standard_Cost'!$C$19))</f>
        <v>0</v>
      </c>
      <c r="Z285" s="174"/>
      <c r="AA285" s="174"/>
      <c r="AB285" s="127">
        <f>+Z285*'1. Standard_Cost'!$B$23+AA285*'1. Standard_Cost'!$C$23</f>
        <v>0</v>
      </c>
      <c r="AC285" s="176"/>
      <c r="AD285" s="177"/>
      <c r="AE285" s="127">
        <f>SUM(AD285,AC285,AB285,Y285,U285,T285,S285,R285)*'1. Standard_Cost'!$B$31</f>
        <v>0</v>
      </c>
      <c r="AF285" s="127">
        <f>SUM(AE285,AD285,AC285,AB285,Y285,U285,T285,S285,R285)</f>
        <v>0</v>
      </c>
      <c r="AG285" s="174"/>
      <c r="AH285" s="174"/>
      <c r="AI285" s="174"/>
      <c r="AJ285" s="178"/>
      <c r="AK285" s="178"/>
      <c r="AL285" s="178"/>
      <c r="AM285" s="127">
        <f>AG285*'1. Standard_Cost'!$B$27+'Incremental_Cost Year 3'!AH285*'1. Standard_Cost'!$C$27+'Incremental_Cost Year 3'!AI285*'1. Standard_Cost'!$D$27+'Incremental_Cost Year 3'!AJ285+'Incremental_Cost Year 3'!AL285+AK285</f>
        <v>0</v>
      </c>
      <c r="AN285" s="127">
        <f>AM285*'1. Standard_Cost'!$C$31</f>
        <v>0</v>
      </c>
      <c r="AO285" s="178"/>
      <c r="AP285" s="256"/>
      <c r="AQ285" s="171">
        <f>L285+M285</f>
        <v>0</v>
      </c>
      <c r="AR285" s="171">
        <f>AF285</f>
        <v>0</v>
      </c>
      <c r="AS285" s="171">
        <f>AM285+AN285</f>
        <v>0</v>
      </c>
      <c r="AT285" s="171">
        <f>SUM(AQ285,AR285,AS285)</f>
        <v>0</v>
      </c>
      <c r="AU285" s="250"/>
      <c r="AV285" s="250"/>
      <c r="AW285" s="250"/>
      <c r="AX285" s="250"/>
      <c r="AY285" s="250"/>
      <c r="AZ285" s="250"/>
      <c r="BA285" s="250"/>
      <c r="BB285" s="251">
        <f t="shared" ref="BB285:BB288" si="192">SUM(AU285:BA285)-AT285</f>
        <v>0</v>
      </c>
      <c r="BC285" s="169"/>
      <c r="BD285" s="169"/>
      <c r="BE285" s="169"/>
      <c r="BF285" s="169"/>
    </row>
    <row r="286" spans="1:58" ht="78.75" customHeight="1" x14ac:dyDescent="0.25">
      <c r="A286" s="172"/>
      <c r="B286" s="357"/>
      <c r="C286" s="359"/>
      <c r="D286" s="343"/>
      <c r="E286" s="328"/>
      <c r="F286" s="328"/>
      <c r="G286" s="328"/>
      <c r="H286" s="213" t="s">
        <v>555</v>
      </c>
      <c r="I286" s="178" t="s">
        <v>3</v>
      </c>
      <c r="J286" s="174">
        <v>5</v>
      </c>
      <c r="K286" s="174">
        <v>7</v>
      </c>
      <c r="L286" s="125">
        <f>IF(I286&lt;&gt;0,((VLOOKUP(I286,'1. Standard_Cost'!$B$4:$D$11,2)+VLOOKUP(I286,'1. Standard_Cost'!$B$4:$D$11,3))*J286*K286),"0")</f>
        <v>3528000</v>
      </c>
      <c r="M286" s="125">
        <f>L286*'1. Standard_Cost'!$F$4</f>
        <v>589176</v>
      </c>
      <c r="N286" s="174"/>
      <c r="O286" s="174"/>
      <c r="P286" s="174"/>
      <c r="Q286" s="174"/>
      <c r="R286" s="127">
        <f>'1. Standard_Cost'!$B$15*N286*P286</f>
        <v>0</v>
      </c>
      <c r="S286" s="127">
        <f>N286*O286*P286*'1. Standard_Cost'!$C$15</f>
        <v>0</v>
      </c>
      <c r="T286" s="127">
        <f>N286*P286*Q286*'1. Standard_Cost'!$D$15</f>
        <v>0</v>
      </c>
      <c r="U286" s="127">
        <f>N286*O286*'1. Standard_Cost'!$E$15</f>
        <v>0</v>
      </c>
      <c r="V286" s="174"/>
      <c r="W286" s="174"/>
      <c r="X286" s="174"/>
      <c r="Y286" s="127">
        <f>+V286*((X286*'1. Standard_Cost'!$B$19)+(W286*X286*'1. Standard_Cost'!$C$19))</f>
        <v>0</v>
      </c>
      <c r="Z286" s="174">
        <v>10</v>
      </c>
      <c r="AA286" s="174">
        <v>80</v>
      </c>
      <c r="AB286" s="127">
        <f>+Z286*'1. Standard_Cost'!$B$23+AA286*'1. Standard_Cost'!$C$23</f>
        <v>2260000</v>
      </c>
      <c r="AC286" s="176">
        <v>495000</v>
      </c>
      <c r="AD286" s="177"/>
      <c r="AE286" s="127">
        <f>SUM(AD286,AC286,AB286,Y286,U286,T286,S286,R286)*'1. Standard_Cost'!$B$31</f>
        <v>551000</v>
      </c>
      <c r="AF286" s="127">
        <f>SUM(AE286,AD286,AC286,AB286,Y286,U286,T286,S286,R286)</f>
        <v>3306000</v>
      </c>
      <c r="AG286" s="174"/>
      <c r="AH286" s="174"/>
      <c r="AI286" s="174"/>
      <c r="AJ286" s="178"/>
      <c r="AK286" s="178"/>
      <c r="AL286" s="178"/>
      <c r="AM286" s="127">
        <f>AG286*'1. Standard_Cost'!$B$27+'Incremental_Cost Year 3'!AH286*'1. Standard_Cost'!$C$27+'Incremental_Cost Year 3'!AI286*'1. Standard_Cost'!$D$27+'Incremental_Cost Year 3'!AJ286+'Incremental_Cost Year 3'!AL286+AK286</f>
        <v>0</v>
      </c>
      <c r="AN286" s="127">
        <f>AM286*'1. Standard_Cost'!$C$31</f>
        <v>0</v>
      </c>
      <c r="AO286" s="178"/>
      <c r="AP286" s="256"/>
      <c r="AQ286" s="171">
        <f>L286+M286</f>
        <v>4117176</v>
      </c>
      <c r="AR286" s="171">
        <f>AF286</f>
        <v>3306000</v>
      </c>
      <c r="AS286" s="171">
        <f>AM286+AN286</f>
        <v>0</v>
      </c>
      <c r="AT286" s="171">
        <f>SUM(AQ286,AR286,AS286)</f>
        <v>7423176</v>
      </c>
      <c r="AU286" s="250">
        <v>4111176</v>
      </c>
      <c r="AV286" s="250"/>
      <c r="AW286" s="250"/>
      <c r="AX286" s="250"/>
      <c r="AY286" s="250"/>
      <c r="AZ286" s="250"/>
      <c r="BA286" s="250"/>
      <c r="BB286" s="251">
        <f t="shared" si="192"/>
        <v>-3312000</v>
      </c>
      <c r="BC286" s="169"/>
      <c r="BD286" s="169"/>
      <c r="BE286" s="169"/>
      <c r="BF286" s="169"/>
    </row>
    <row r="287" spans="1:58" ht="110.25" x14ac:dyDescent="0.25">
      <c r="A287" s="172"/>
      <c r="B287" s="357"/>
      <c r="C287" s="359"/>
      <c r="D287" s="343"/>
      <c r="E287" s="328"/>
      <c r="F287" s="328"/>
      <c r="G287" s="328"/>
      <c r="H287" s="213" t="s">
        <v>367</v>
      </c>
      <c r="I287" s="178" t="s">
        <v>3</v>
      </c>
      <c r="J287" s="174">
        <v>4</v>
      </c>
      <c r="K287" s="174">
        <v>5</v>
      </c>
      <c r="L287" s="125">
        <f>IF(I287&lt;&gt;0,((VLOOKUP(I287,'1. Standard_Cost'!$B$4:$D$11,2)+VLOOKUP(I287,'1. Standard_Cost'!$B$4:$D$11,3))*J287*K287),"0")</f>
        <v>2016000</v>
      </c>
      <c r="M287" s="125">
        <f>L287*'1. Standard_Cost'!$F$4</f>
        <v>336672</v>
      </c>
      <c r="N287" s="174"/>
      <c r="O287" s="174"/>
      <c r="P287" s="174"/>
      <c r="Q287" s="174"/>
      <c r="R287" s="127">
        <f>'1. Standard_Cost'!$B$15*N287*P287</f>
        <v>0</v>
      </c>
      <c r="S287" s="127">
        <f>N287*O287*P287*'1. Standard_Cost'!$C$15</f>
        <v>0</v>
      </c>
      <c r="T287" s="127">
        <f>N287*P287*Q287*'1. Standard_Cost'!$D$15</f>
        <v>0</v>
      </c>
      <c r="U287" s="127">
        <f>N287*O287*'1. Standard_Cost'!$E$15</f>
        <v>0</v>
      </c>
      <c r="V287" s="174"/>
      <c r="W287" s="174"/>
      <c r="X287" s="174"/>
      <c r="Y287" s="127">
        <f>+V287*((X287*'1. Standard_Cost'!$B$19)+(W287*X287*'1. Standard_Cost'!$C$19))</f>
        <v>0</v>
      </c>
      <c r="Z287" s="174"/>
      <c r="AA287" s="174">
        <v>25</v>
      </c>
      <c r="AB287" s="127">
        <f>+Z287*'1. Standard_Cost'!$B$23+AA287*'1. Standard_Cost'!$C$23</f>
        <v>475000</v>
      </c>
      <c r="AC287" s="176">
        <v>294000</v>
      </c>
      <c r="AD287" s="177"/>
      <c r="AE287" s="127">
        <f>SUM(AD287,AC287,AB287,Y287,U287,T287,S287,R287)*'1. Standard_Cost'!$B$31</f>
        <v>153800</v>
      </c>
      <c r="AF287" s="127">
        <f>SUM(AE287,AD287,AC287,AB287,Y287,U287,T287,S287,R287)</f>
        <v>922800</v>
      </c>
      <c r="AG287" s="174"/>
      <c r="AH287" s="174"/>
      <c r="AI287" s="174"/>
      <c r="AJ287" s="178"/>
      <c r="AK287" s="178"/>
      <c r="AL287" s="178"/>
      <c r="AM287" s="127">
        <f>AG287*'1. Standard_Cost'!$B$27+'Incremental_Cost Year 3'!AH287*'1. Standard_Cost'!$C$27+'Incremental_Cost Year 3'!AI287*'1. Standard_Cost'!$D$27+'Incremental_Cost Year 3'!AJ287+'Incremental_Cost Year 3'!AL287+AK287</f>
        <v>0</v>
      </c>
      <c r="AN287" s="127">
        <f>AM287*'1. Standard_Cost'!$C$31</f>
        <v>0</v>
      </c>
      <c r="AO287" s="178"/>
      <c r="AP287" s="256"/>
      <c r="AQ287" s="171">
        <f>L287+M287</f>
        <v>2352672</v>
      </c>
      <c r="AR287" s="171">
        <f>AF287</f>
        <v>922800</v>
      </c>
      <c r="AS287" s="171">
        <f>AM287+AN287</f>
        <v>0</v>
      </c>
      <c r="AT287" s="171">
        <f>SUM(AQ287,AR287,AS287)</f>
        <v>3275472</v>
      </c>
      <c r="AU287" s="250">
        <f>AQ287</f>
        <v>2352672</v>
      </c>
      <c r="AV287" s="250"/>
      <c r="AW287" s="250"/>
      <c r="AX287" s="250"/>
      <c r="AY287" s="250"/>
      <c r="AZ287" s="250"/>
      <c r="BA287" s="250"/>
      <c r="BB287" s="251">
        <f t="shared" si="192"/>
        <v>-922800</v>
      </c>
      <c r="BC287" s="169"/>
      <c r="BD287" s="169"/>
      <c r="BE287" s="169"/>
      <c r="BF287" s="169"/>
    </row>
    <row r="288" spans="1:58" ht="110.25" x14ac:dyDescent="0.25">
      <c r="A288" s="172"/>
      <c r="B288" s="360"/>
      <c r="C288" s="362"/>
      <c r="D288" s="344"/>
      <c r="E288" s="328"/>
      <c r="F288" s="328"/>
      <c r="G288" s="328"/>
      <c r="H288" s="213" t="s">
        <v>368</v>
      </c>
      <c r="I288" s="178"/>
      <c r="J288" s="174"/>
      <c r="K288" s="174"/>
      <c r="L288" s="125" t="str">
        <f>IF(I288&lt;&gt;0,((VLOOKUP(I288,'1. Standard_Cost'!$B$4:$D$11,2)+VLOOKUP(I288,'1. Standard_Cost'!$B$4:$D$11,3))*J288*K288),"0")</f>
        <v>0</v>
      </c>
      <c r="M288" s="125">
        <f>L288*'1. Standard_Cost'!$F$4</f>
        <v>0</v>
      </c>
      <c r="N288" s="174"/>
      <c r="O288" s="174"/>
      <c r="P288" s="174"/>
      <c r="Q288" s="174"/>
      <c r="R288" s="127">
        <f>'1. Standard_Cost'!$B$15*N288*P288</f>
        <v>0</v>
      </c>
      <c r="S288" s="127">
        <f>N288*O288*P288*'1. Standard_Cost'!$C$15</f>
        <v>0</v>
      </c>
      <c r="T288" s="127">
        <f>N288*P288*Q288*'1. Standard_Cost'!$D$15</f>
        <v>0</v>
      </c>
      <c r="U288" s="127">
        <f>N288*O288*'1. Standard_Cost'!$E$15</f>
        <v>0</v>
      </c>
      <c r="V288" s="174"/>
      <c r="W288" s="174"/>
      <c r="X288" s="174"/>
      <c r="Y288" s="127">
        <f>+V288*((X288*'1. Standard_Cost'!$B$19)+(W288*X288*'1. Standard_Cost'!$C$19))</f>
        <v>0</v>
      </c>
      <c r="Z288" s="174"/>
      <c r="AA288" s="174"/>
      <c r="AB288" s="127">
        <f>+Z288*'1. Standard_Cost'!$B$23+AA288*'1. Standard_Cost'!$C$23</f>
        <v>0</v>
      </c>
      <c r="AC288" s="176">
        <f>2300000*30%+5000000*30%+550000*30%</f>
        <v>2355000</v>
      </c>
      <c r="AD288" s="177"/>
      <c r="AE288" s="127"/>
      <c r="AF288" s="127">
        <f>SUM(AE288,AD288,AC288,AB288,Y288,U288,T288,S288,R288)</f>
        <v>2355000</v>
      </c>
      <c r="AG288" s="174"/>
      <c r="AH288" s="174"/>
      <c r="AI288" s="174"/>
      <c r="AJ288" s="178"/>
      <c r="AK288" s="178"/>
      <c r="AL288" s="178"/>
      <c r="AM288" s="127">
        <f>AG288*'1. Standard_Cost'!$B$27+'Incremental_Cost Year 3'!AH288*'1. Standard_Cost'!$C$27+'Incremental_Cost Year 3'!AI288*'1. Standard_Cost'!$D$27+'Incremental_Cost Year 3'!AJ288+'Incremental_Cost Year 3'!AL288+AK288</f>
        <v>0</v>
      </c>
      <c r="AN288" s="127">
        <f>AM288*'1. Standard_Cost'!$C$31</f>
        <v>0</v>
      </c>
      <c r="AO288" s="178"/>
      <c r="AP288" s="256"/>
      <c r="AQ288" s="171">
        <f>L288+M288</f>
        <v>0</v>
      </c>
      <c r="AR288" s="171">
        <f>AF288</f>
        <v>2355000</v>
      </c>
      <c r="AS288" s="171">
        <f>AM288+AN288</f>
        <v>0</v>
      </c>
      <c r="AT288" s="171">
        <f>SUM(AQ288,AR288,AS288)</f>
        <v>2355000</v>
      </c>
      <c r="AU288" s="250"/>
      <c r="AV288" s="250"/>
      <c r="AW288" s="250"/>
      <c r="AX288" s="250"/>
      <c r="AY288" s="250"/>
      <c r="AZ288" s="250">
        <f>AR288</f>
        <v>2355000</v>
      </c>
      <c r="BA288" s="250"/>
      <c r="BB288" s="251">
        <f t="shared" si="192"/>
        <v>0</v>
      </c>
      <c r="BC288" s="169"/>
      <c r="BD288" s="169"/>
      <c r="BE288" s="169"/>
      <c r="BF288" s="169"/>
    </row>
    <row r="289" spans="1:54" ht="31.5" x14ac:dyDescent="0.25">
      <c r="A289" s="167"/>
      <c r="B289" s="168"/>
      <c r="C289" s="204"/>
      <c r="D289" s="212" t="s">
        <v>388</v>
      </c>
      <c r="E289" s="212" t="s">
        <v>359</v>
      </c>
      <c r="F289" s="212">
        <v>2021</v>
      </c>
      <c r="G289" s="212">
        <v>2023</v>
      </c>
      <c r="H289" s="182" t="s">
        <v>360</v>
      </c>
      <c r="I289" s="273"/>
      <c r="J289" s="273"/>
      <c r="K289" s="273"/>
      <c r="L289" s="175">
        <f>SUM(L285:L288)</f>
        <v>5544000</v>
      </c>
      <c r="M289" s="175">
        <f>SUM(M285:M288)</f>
        <v>925848</v>
      </c>
      <c r="N289" s="273"/>
      <c r="O289" s="273"/>
      <c r="P289" s="273"/>
      <c r="Q289" s="273"/>
      <c r="R289" s="175">
        <f>SUM(R285:R288)</f>
        <v>0</v>
      </c>
      <c r="S289" s="175">
        <f>SUM(S285:S288)</f>
        <v>0</v>
      </c>
      <c r="T289" s="175">
        <f>SUM(T285:T288)</f>
        <v>0</v>
      </c>
      <c r="U289" s="175">
        <f>SUM(U285:U288)</f>
        <v>0</v>
      </c>
      <c r="V289" s="273"/>
      <c r="W289" s="273"/>
      <c r="X289" s="273"/>
      <c r="Y289" s="175">
        <f>SUM(Y285:Y288)</f>
        <v>0</v>
      </c>
      <c r="Z289" s="175"/>
      <c r="AA289" s="273"/>
      <c r="AB289" s="175">
        <f>SUM(AB285:AB288)</f>
        <v>2735000</v>
      </c>
      <c r="AC289" s="175">
        <f>SUM(AC285:AC287)</f>
        <v>789000</v>
      </c>
      <c r="AD289" s="175">
        <f>SUM(AD285:AD287)</f>
        <v>0</v>
      </c>
      <c r="AE289" s="175">
        <f>SUM(AE285:AE288)</f>
        <v>704800</v>
      </c>
      <c r="AF289" s="175">
        <f>SUM(AF285:AF288)</f>
        <v>6583800</v>
      </c>
      <c r="AG289" s="273"/>
      <c r="AH289" s="273"/>
      <c r="AI289" s="273"/>
      <c r="AJ289" s="175">
        <f>SUM(AJ285:AJ288)</f>
        <v>0</v>
      </c>
      <c r="AK289" s="175">
        <f>SUM(AK285:AK288)</f>
        <v>0</v>
      </c>
      <c r="AL289" s="175">
        <f>SUM(AL285:AL288)</f>
        <v>0</v>
      </c>
      <c r="AM289" s="175">
        <f>SUM(AM285:AM288)</f>
        <v>0</v>
      </c>
      <c r="AN289" s="175">
        <f>SUM(AN285:AN288)</f>
        <v>0</v>
      </c>
      <c r="AO289" s="274"/>
      <c r="AP289" s="254"/>
      <c r="AQ289" s="175">
        <f t="shared" ref="AQ289:BB289" si="193">SUM(AQ285:AQ288)</f>
        <v>6469848</v>
      </c>
      <c r="AR289" s="175">
        <f t="shared" si="193"/>
        <v>6583800</v>
      </c>
      <c r="AS289" s="175">
        <f t="shared" si="193"/>
        <v>0</v>
      </c>
      <c r="AT289" s="175">
        <f t="shared" si="193"/>
        <v>13053648</v>
      </c>
      <c r="AU289" s="175">
        <f t="shared" si="193"/>
        <v>6463848</v>
      </c>
      <c r="AV289" s="175">
        <f t="shared" si="193"/>
        <v>0</v>
      </c>
      <c r="AW289" s="175">
        <f t="shared" si="193"/>
        <v>0</v>
      </c>
      <c r="AX289" s="175">
        <f t="shared" si="193"/>
        <v>0</v>
      </c>
      <c r="AY289" s="175">
        <f t="shared" si="193"/>
        <v>0</v>
      </c>
      <c r="AZ289" s="175">
        <f t="shared" si="193"/>
        <v>2355000</v>
      </c>
      <c r="BA289" s="175">
        <f t="shared" si="193"/>
        <v>0</v>
      </c>
      <c r="BB289" s="175">
        <f t="shared" si="193"/>
        <v>-4234800</v>
      </c>
    </row>
    <row r="292" spans="1:54" x14ac:dyDescent="0.25">
      <c r="AQ292" s="239">
        <f>AQ5+AQ78+AQ150+AQ197+AQ244</f>
        <v>16198217325.955715</v>
      </c>
      <c r="AR292" s="239">
        <f t="shared" ref="AR292:BB292" si="194">AR5+AR78+AR150+AR197+AR244</f>
        <v>37342882949.599998</v>
      </c>
      <c r="AS292" s="239">
        <f t="shared" si="194"/>
        <v>4394518917.4796753</v>
      </c>
      <c r="AT292" s="239">
        <f t="shared" si="194"/>
        <v>57935619193.035378</v>
      </c>
      <c r="AU292" s="239">
        <f t="shared" si="194"/>
        <v>54104725256.709999</v>
      </c>
      <c r="AV292" s="239">
        <f t="shared" si="194"/>
        <v>100000000</v>
      </c>
      <c r="AW292" s="239">
        <f t="shared" si="194"/>
        <v>818308000</v>
      </c>
      <c r="AX292" s="239">
        <f t="shared" si="194"/>
        <v>0</v>
      </c>
      <c r="AY292" s="239">
        <f t="shared" si="194"/>
        <v>6592800</v>
      </c>
      <c r="AZ292" s="239">
        <f t="shared" si="194"/>
        <v>310004600</v>
      </c>
      <c r="BA292" s="239">
        <f t="shared" si="194"/>
        <v>0</v>
      </c>
      <c r="BB292" s="239">
        <f t="shared" si="194"/>
        <v>-2595988536.325387</v>
      </c>
    </row>
  </sheetData>
  <mergeCells count="38">
    <mergeCell ref="C269:E269"/>
    <mergeCell ref="C277:E277"/>
    <mergeCell ref="C284:E284"/>
    <mergeCell ref="C226:E226"/>
    <mergeCell ref="C232:E232"/>
    <mergeCell ref="C238:E238"/>
    <mergeCell ref="B244:E244"/>
    <mergeCell ref="C245:E245"/>
    <mergeCell ref="B197:E197"/>
    <mergeCell ref="C198:E198"/>
    <mergeCell ref="C213:E213"/>
    <mergeCell ref="C221:E221"/>
    <mergeCell ref="C259:E259"/>
    <mergeCell ref="C140:E140"/>
    <mergeCell ref="B150:E150"/>
    <mergeCell ref="C151:E151"/>
    <mergeCell ref="C163:E163"/>
    <mergeCell ref="C182:E182"/>
    <mergeCell ref="C106:E106"/>
    <mergeCell ref="C111:E111"/>
    <mergeCell ref="C118:E118"/>
    <mergeCell ref="C123:E123"/>
    <mergeCell ref="C134:E134"/>
    <mergeCell ref="C61:E61"/>
    <mergeCell ref="B78:E78"/>
    <mergeCell ref="C79:E79"/>
    <mergeCell ref="C93:E93"/>
    <mergeCell ref="C100:E100"/>
    <mergeCell ref="C6:E6"/>
    <mergeCell ref="C16:E16"/>
    <mergeCell ref="C20:E20"/>
    <mergeCell ref="C40:E40"/>
    <mergeCell ref="C45:E45"/>
    <mergeCell ref="AQ2:BB2"/>
    <mergeCell ref="B1:H1"/>
    <mergeCell ref="B2:E2"/>
    <mergeCell ref="B3:E3"/>
    <mergeCell ref="B5:E5"/>
  </mergeCells>
  <conditionalFormatting sqref="BB203 BB220:BB221 BB235:BB243 BB231:BB233 BB212:BB213 BB225:BB226">
    <cfRule type="cellIs" dxfId="29329" priority="1569" operator="lessThan">
      <formula>0</formula>
    </cfRule>
    <cfRule type="cellIs" dxfId="29328" priority="1570" operator="lessThan">
      <formula>-105575</formula>
    </cfRule>
  </conditionalFormatting>
  <conditionalFormatting sqref="BB220 BB212:BB213 BB235:BB238 BB240:BB243 BB225:BB226 BB231:BB233">
    <cfRule type="cellIs" dxfId="29327" priority="1567" operator="lessThan">
      <formula>0</formula>
    </cfRule>
    <cfRule type="cellIs" dxfId="29326" priority="1568" operator="lessThan">
      <formula>-105575</formula>
    </cfRule>
  </conditionalFormatting>
  <conditionalFormatting sqref="BB220:BB221 BB243 BB226 BB231:BB236 BB238:BB241 BB203 BB213">
    <cfRule type="cellIs" dxfId="29325" priority="1565" operator="lessThan">
      <formula>0</formula>
    </cfRule>
    <cfRule type="cellIs" dxfId="29324" priority="1566" operator="lessThan">
      <formula>-105575</formula>
    </cfRule>
  </conditionalFormatting>
  <conditionalFormatting sqref="BB235:BB243 BB231:BB233 BB220 BB212:BB213 BB225:BB226">
    <cfRule type="cellIs" dxfId="29323" priority="1563" operator="lessThan">
      <formula>0</formula>
    </cfRule>
    <cfRule type="cellIs" dxfId="29322" priority="1564" operator="lessThan">
      <formula>-105575</formula>
    </cfRule>
  </conditionalFormatting>
  <conditionalFormatting sqref="BB220:BB221 BB237:BB243 BB203 BB231:BB235 BB212:BB213 BB225:BB226">
    <cfRule type="cellIs" dxfId="29321" priority="1561" operator="lessThan">
      <formula>0</formula>
    </cfRule>
    <cfRule type="cellIs" dxfId="29320" priority="1562" operator="lessThan">
      <formula>-105575</formula>
    </cfRule>
  </conditionalFormatting>
  <conditionalFormatting sqref="BB220:BB221 BB237:BB240 BB242:BB243 BB225:BB226 BB231:BB235">
    <cfRule type="cellIs" dxfId="29319" priority="1559" operator="lessThan">
      <formula>0</formula>
    </cfRule>
    <cfRule type="cellIs" dxfId="29318" priority="1560" operator="lessThan">
      <formula>-105575</formula>
    </cfRule>
  </conditionalFormatting>
  <conditionalFormatting sqref="BB212 BB231 BB233:BB238 BB240:BB243 BB225">
    <cfRule type="cellIs" dxfId="29317" priority="1557" operator="lessThan">
      <formula>0</formula>
    </cfRule>
    <cfRule type="cellIs" dxfId="29316" priority="1558" operator="lessThan">
      <formula>-105575</formula>
    </cfRule>
  </conditionalFormatting>
  <conditionalFormatting sqref="BB237:BB243 BB231:BB235 BB220:BB221 BB225:BB226">
    <cfRule type="cellIs" dxfId="29315" priority="1555" operator="lessThan">
      <formula>0</formula>
    </cfRule>
    <cfRule type="cellIs" dxfId="29314" priority="1556" operator="lessThan">
      <formula>-105575</formula>
    </cfRule>
  </conditionalFormatting>
  <conditionalFormatting sqref="BB233:BB237 BB231 BB239:BB243">
    <cfRule type="cellIs" dxfId="29313" priority="1553" operator="lessThan">
      <formula>0</formula>
    </cfRule>
    <cfRule type="cellIs" dxfId="29312" priority="1554" operator="lessThan">
      <formula>-105575</formula>
    </cfRule>
  </conditionalFormatting>
  <conditionalFormatting sqref="BB233:BB237 BB231 BB239:BB243">
    <cfRule type="cellIs" dxfId="29311" priority="1551" operator="lessThan">
      <formula>0</formula>
    </cfRule>
    <cfRule type="cellIs" dxfId="29310" priority="1552" operator="lessThan">
      <formula>-105575</formula>
    </cfRule>
  </conditionalFormatting>
  <conditionalFormatting sqref="BB119:BB128 BB106:BB117 BB101:BB104 BB80:BB98">
    <cfRule type="cellIs" dxfId="29309" priority="1549" operator="lessThan">
      <formula>0</formula>
    </cfRule>
    <cfRule type="cellIs" dxfId="29308" priority="1550" operator="lessThan">
      <formula>-105575</formula>
    </cfRule>
  </conditionalFormatting>
  <conditionalFormatting sqref="BB130 BB132 BB134">
    <cfRule type="cellIs" dxfId="29307" priority="1547" operator="lessThan">
      <formula>0</formula>
    </cfRule>
    <cfRule type="cellIs" dxfId="29306" priority="1548" operator="lessThan">
      <formula>-105575</formula>
    </cfRule>
  </conditionalFormatting>
  <conditionalFormatting sqref="BB130 BB132 BB134">
    <cfRule type="cellIs" dxfId="29305" priority="1545" operator="lessThan">
      <formula>0</formula>
    </cfRule>
    <cfRule type="cellIs" dxfId="29304" priority="1546" operator="lessThan">
      <formula>-105575</formula>
    </cfRule>
  </conditionalFormatting>
  <conditionalFormatting sqref="BB129 BB131 BB133 BB135">
    <cfRule type="cellIs" dxfId="29303" priority="1543" operator="lessThan">
      <formula>0</formula>
    </cfRule>
    <cfRule type="cellIs" dxfId="29302" priority="1544" operator="lessThan">
      <formula>-105575</formula>
    </cfRule>
  </conditionalFormatting>
  <conditionalFormatting sqref="BB140 BB145 BB142:BB143 BB137:BB138">
    <cfRule type="cellIs" dxfId="29301" priority="1533" operator="lessThan">
      <formula>0</formula>
    </cfRule>
    <cfRule type="cellIs" dxfId="29300" priority="1534" operator="lessThan">
      <formula>-105575</formula>
    </cfRule>
  </conditionalFormatting>
  <conditionalFormatting sqref="BB149">
    <cfRule type="cellIs" dxfId="29299" priority="1529" operator="lessThan">
      <formula>0</formula>
    </cfRule>
    <cfRule type="cellIs" dxfId="29298" priority="1530" operator="lessThan">
      <formula>-105575</formula>
    </cfRule>
  </conditionalFormatting>
  <conditionalFormatting sqref="BB129:BB138 BB140:BB149">
    <cfRule type="cellIs" dxfId="29297" priority="1527" operator="lessThan">
      <formula>0</formula>
    </cfRule>
    <cfRule type="cellIs" dxfId="29296" priority="1528" operator="lessThan">
      <formula>-105575</formula>
    </cfRule>
  </conditionalFormatting>
  <conditionalFormatting sqref="BB86:BB87 BB89:BB91 BB141:BB149 BB124:BB133 BB107:BB110 BB112:BB117 BB119:BB122 BB135:BB138 BB101:BB104 BB80:BB84 BB94:BB98">
    <cfRule type="cellIs" dxfId="29295" priority="1523" operator="lessThan">
      <formula>0</formula>
    </cfRule>
    <cfRule type="cellIs" dxfId="29294" priority="1524" operator="lessThan">
      <formula>-105575</formula>
    </cfRule>
  </conditionalFormatting>
  <conditionalFormatting sqref="BB129 BB131 BB133 BB135">
    <cfRule type="cellIs" dxfId="29293" priority="1541" operator="lessThan">
      <formula>0</formula>
    </cfRule>
    <cfRule type="cellIs" dxfId="29292" priority="1542" operator="lessThan">
      <formula>-105575</formula>
    </cfRule>
  </conditionalFormatting>
  <conditionalFormatting sqref="BB146 BB144 BB141">
    <cfRule type="cellIs" dxfId="29291" priority="1539" operator="lessThan">
      <formula>0</formula>
    </cfRule>
    <cfRule type="cellIs" dxfId="29290" priority="1540" operator="lessThan">
      <formula>-105575</formula>
    </cfRule>
  </conditionalFormatting>
  <conditionalFormatting sqref="BB146 BB144 BB141">
    <cfRule type="cellIs" dxfId="29289" priority="1537" operator="lessThan">
      <formula>0</formula>
    </cfRule>
    <cfRule type="cellIs" dxfId="29288" priority="1538" operator="lessThan">
      <formula>-105575</formula>
    </cfRule>
  </conditionalFormatting>
  <conditionalFormatting sqref="BB140 BB145 BB142:BB143 BB137:BB138">
    <cfRule type="cellIs" dxfId="29287" priority="1535" operator="lessThan">
      <formula>0</formula>
    </cfRule>
    <cfRule type="cellIs" dxfId="29286" priority="1536" operator="lessThan">
      <formula>-105575</formula>
    </cfRule>
  </conditionalFormatting>
  <conditionalFormatting sqref="BB149">
    <cfRule type="cellIs" dxfId="29285" priority="1531" operator="lessThan">
      <formula>0</formula>
    </cfRule>
    <cfRule type="cellIs" dxfId="29284" priority="1532" operator="lessThan">
      <formula>-105575</formula>
    </cfRule>
  </conditionalFormatting>
  <conditionalFormatting sqref="BB86:BB87 BB89:BB91 BB141:BB149 BB124:BB133 BB107:BB110 BB112:BB117 BB119:BB122 BB135:BB138 BB101:BB104 BB80:BB84 BB94:BB98">
    <cfRule type="cellIs" dxfId="29283" priority="1525" operator="lessThan">
      <formula>0</formula>
    </cfRule>
    <cfRule type="cellIs" dxfId="29282" priority="1526" operator="lessThan">
      <formula>-105575</formula>
    </cfRule>
  </conditionalFormatting>
  <conditionalFormatting sqref="BB246:BB249 BB262 BB267 BB279:BB282 BB285:BB288 BB274:BB275 BB306:BB309 BB311:BB325 BB327:BB330 BB332:BB341 BB344:BB347 BB349:BB353 BB355:BB358 BB360:BB384 BB386:BB389 BB392:BB395 BB397:BB411 BB413:BB416 BB418:BB432 BB434:BB437 BB439:BB453 BB455:BB458 BB460:BB469 BB12:BB14 BB17:BB18 BB21:BB24 BB26:BB28 BB30:BB36 BB38 BB41:BB43 BB46:BB49 BB51:BB55 BB57:BB59 BB62:BB76 BB251:BB253 BB255:BB257 BB293:BB304 BB264:BB265 BB260 BB290:BB291 BB270:BB272 BB7:BB10">
    <cfRule type="cellIs" dxfId="29281" priority="1573" operator="lessThan">
      <formula>0</formula>
    </cfRule>
    <cfRule type="cellIs" dxfId="29280" priority="1574" operator="lessThan">
      <formula>-105575</formula>
    </cfRule>
  </conditionalFormatting>
  <conditionalFormatting sqref="BB41">
    <cfRule type="cellIs" dxfId="29279" priority="1571" operator="lessThan">
      <formula>0</formula>
    </cfRule>
    <cfRule type="cellIs" dxfId="29278" priority="1572" operator="lessThan">
      <formula>-105575</formula>
    </cfRule>
  </conditionalFormatting>
  <conditionalFormatting sqref="BB152:BB155">
    <cfRule type="cellIs" dxfId="29277" priority="1521" operator="lessThan">
      <formula>0</formula>
    </cfRule>
    <cfRule type="cellIs" dxfId="29276" priority="1522" operator="lessThan">
      <formula>-105575</formula>
    </cfRule>
  </conditionalFormatting>
  <conditionalFormatting sqref="BB152:BB155">
    <cfRule type="cellIs" dxfId="29275" priority="1517" operator="lessThan">
      <formula>0</formula>
    </cfRule>
    <cfRule type="cellIs" dxfId="29274" priority="1518" operator="lessThan">
      <formula>-105575</formula>
    </cfRule>
  </conditionalFormatting>
  <conditionalFormatting sqref="BB152:BB155">
    <cfRule type="cellIs" dxfId="29273" priority="1519" operator="lessThan">
      <formula>0</formula>
    </cfRule>
    <cfRule type="cellIs" dxfId="29272" priority="1520" operator="lessThan">
      <formula>-105575</formula>
    </cfRule>
  </conditionalFormatting>
  <conditionalFormatting sqref="BB157:BB158">
    <cfRule type="cellIs" dxfId="29271" priority="1515" operator="lessThan">
      <formula>0</formula>
    </cfRule>
    <cfRule type="cellIs" dxfId="29270" priority="1516" operator="lessThan">
      <formula>-105575</formula>
    </cfRule>
  </conditionalFormatting>
  <conditionalFormatting sqref="BB157:BB158">
    <cfRule type="cellIs" dxfId="29269" priority="1511" operator="lessThan">
      <formula>0</formula>
    </cfRule>
    <cfRule type="cellIs" dxfId="29268" priority="1512" operator="lessThan">
      <formula>-105575</formula>
    </cfRule>
  </conditionalFormatting>
  <conditionalFormatting sqref="BB157:BB158">
    <cfRule type="cellIs" dxfId="29267" priority="1513" operator="lessThan">
      <formula>0</formula>
    </cfRule>
    <cfRule type="cellIs" dxfId="29266" priority="1514" operator="lessThan">
      <formula>-105575</formula>
    </cfRule>
  </conditionalFormatting>
  <conditionalFormatting sqref="BB160:BB161">
    <cfRule type="cellIs" dxfId="29265" priority="1509" operator="lessThan">
      <formula>0</formula>
    </cfRule>
    <cfRule type="cellIs" dxfId="29264" priority="1510" operator="lessThan">
      <formula>-105575</formula>
    </cfRule>
  </conditionalFormatting>
  <conditionalFormatting sqref="BB160:BB161">
    <cfRule type="cellIs" dxfId="29263" priority="1505" operator="lessThan">
      <formula>0</formula>
    </cfRule>
    <cfRule type="cellIs" dxfId="29262" priority="1506" operator="lessThan">
      <formula>-105575</formula>
    </cfRule>
  </conditionalFormatting>
  <conditionalFormatting sqref="BB160:BB161">
    <cfRule type="cellIs" dxfId="29261" priority="1507" operator="lessThan">
      <formula>0</formula>
    </cfRule>
    <cfRule type="cellIs" dxfId="29260" priority="1508" operator="lessThan">
      <formula>-105575</formula>
    </cfRule>
  </conditionalFormatting>
  <conditionalFormatting sqref="BB164:BB167">
    <cfRule type="cellIs" dxfId="29259" priority="1503" operator="lessThan">
      <formula>0</formula>
    </cfRule>
    <cfRule type="cellIs" dxfId="29258" priority="1504" operator="lessThan">
      <formula>-105575</formula>
    </cfRule>
  </conditionalFormatting>
  <conditionalFormatting sqref="BB164:BB167">
    <cfRule type="cellIs" dxfId="29257" priority="1499" operator="lessThan">
      <formula>0</formula>
    </cfRule>
    <cfRule type="cellIs" dxfId="29256" priority="1500" operator="lessThan">
      <formula>-105575</formula>
    </cfRule>
  </conditionalFormatting>
  <conditionalFormatting sqref="BB164:BB167">
    <cfRule type="cellIs" dxfId="29255" priority="1501" operator="lessThan">
      <formula>0</formula>
    </cfRule>
    <cfRule type="cellIs" dxfId="29254" priority="1502" operator="lessThan">
      <formula>-105575</formula>
    </cfRule>
  </conditionalFormatting>
  <conditionalFormatting sqref="BB169:BB177">
    <cfRule type="cellIs" dxfId="29253" priority="1497" operator="lessThan">
      <formula>0</formula>
    </cfRule>
    <cfRule type="cellIs" dxfId="29252" priority="1498" operator="lessThan">
      <formula>-105575</formula>
    </cfRule>
  </conditionalFormatting>
  <conditionalFormatting sqref="BB169:BB177">
    <cfRule type="cellIs" dxfId="29251" priority="1493" operator="lessThan">
      <formula>0</formula>
    </cfRule>
    <cfRule type="cellIs" dxfId="29250" priority="1494" operator="lessThan">
      <formula>-105575</formula>
    </cfRule>
  </conditionalFormatting>
  <conditionalFormatting sqref="BB169:BB177">
    <cfRule type="cellIs" dxfId="29249" priority="1495" operator="lessThan">
      <formula>0</formula>
    </cfRule>
    <cfRule type="cellIs" dxfId="29248" priority="1496" operator="lessThan">
      <formula>-105575</formula>
    </cfRule>
  </conditionalFormatting>
  <conditionalFormatting sqref="BB179:BB180">
    <cfRule type="cellIs" dxfId="29247" priority="1491" operator="lessThan">
      <formula>0</formula>
    </cfRule>
    <cfRule type="cellIs" dxfId="29246" priority="1492" operator="lessThan">
      <formula>-105575</formula>
    </cfRule>
  </conditionalFormatting>
  <conditionalFormatting sqref="BB179:BB180">
    <cfRule type="cellIs" dxfId="29245" priority="1487" operator="lessThan">
      <formula>0</formula>
    </cfRule>
    <cfRule type="cellIs" dxfId="29244" priority="1488" operator="lessThan">
      <formula>-105575</formula>
    </cfRule>
  </conditionalFormatting>
  <conditionalFormatting sqref="BB179:BB180">
    <cfRule type="cellIs" dxfId="29243" priority="1489" operator="lessThan">
      <formula>0</formula>
    </cfRule>
    <cfRule type="cellIs" dxfId="29242" priority="1490" operator="lessThan">
      <formula>-105575</formula>
    </cfRule>
  </conditionalFormatting>
  <conditionalFormatting sqref="BB183:BB189">
    <cfRule type="cellIs" dxfId="29241" priority="1485" operator="lessThan">
      <formula>0</formula>
    </cfRule>
    <cfRule type="cellIs" dxfId="29240" priority="1486" operator="lessThan">
      <formula>-105575</formula>
    </cfRule>
  </conditionalFormatting>
  <conditionalFormatting sqref="BB183:BB189">
    <cfRule type="cellIs" dxfId="29239" priority="1481" operator="lessThan">
      <formula>0</formula>
    </cfRule>
    <cfRule type="cellIs" dxfId="29238" priority="1482" operator="lessThan">
      <formula>-105575</formula>
    </cfRule>
  </conditionalFormatting>
  <conditionalFormatting sqref="BB183:BB189">
    <cfRule type="cellIs" dxfId="29237" priority="1483" operator="lessThan">
      <formula>0</formula>
    </cfRule>
    <cfRule type="cellIs" dxfId="29236" priority="1484" operator="lessThan">
      <formula>-105575</formula>
    </cfRule>
  </conditionalFormatting>
  <conditionalFormatting sqref="BB191:BB192">
    <cfRule type="cellIs" dxfId="29235" priority="1479" operator="lessThan">
      <formula>0</formula>
    </cfRule>
    <cfRule type="cellIs" dxfId="29234" priority="1480" operator="lessThan">
      <formula>-105575</formula>
    </cfRule>
  </conditionalFormatting>
  <conditionalFormatting sqref="BB191:BB192">
    <cfRule type="cellIs" dxfId="29233" priority="1475" operator="lessThan">
      <formula>0</formula>
    </cfRule>
    <cfRule type="cellIs" dxfId="29232" priority="1476" operator="lessThan">
      <formula>-105575</formula>
    </cfRule>
  </conditionalFormatting>
  <conditionalFormatting sqref="BB191:BB192">
    <cfRule type="cellIs" dxfId="29231" priority="1477" operator="lessThan">
      <formula>0</formula>
    </cfRule>
    <cfRule type="cellIs" dxfId="29230" priority="1478" operator="lessThan">
      <formula>-105575</formula>
    </cfRule>
  </conditionalFormatting>
  <conditionalFormatting sqref="BB194:BB195">
    <cfRule type="cellIs" dxfId="29229" priority="1473" operator="lessThan">
      <formula>0</formula>
    </cfRule>
    <cfRule type="cellIs" dxfId="29228" priority="1474" operator="lessThan">
      <formula>-105575</formula>
    </cfRule>
  </conditionalFormatting>
  <conditionalFormatting sqref="BB194:BB195">
    <cfRule type="cellIs" dxfId="29227" priority="1469" operator="lessThan">
      <formula>0</formula>
    </cfRule>
    <cfRule type="cellIs" dxfId="29226" priority="1470" operator="lessThan">
      <formula>-105575</formula>
    </cfRule>
  </conditionalFormatting>
  <conditionalFormatting sqref="BB194:BB195">
    <cfRule type="cellIs" dxfId="29225" priority="1471" operator="lessThan">
      <formula>0</formula>
    </cfRule>
    <cfRule type="cellIs" dxfId="29224" priority="1472" operator="lessThan">
      <formula>-105575</formula>
    </cfRule>
  </conditionalFormatting>
  <conditionalFormatting sqref="BB199:BB202">
    <cfRule type="cellIs" dxfId="29223" priority="1467" operator="lessThan">
      <formula>0</formula>
    </cfRule>
    <cfRule type="cellIs" dxfId="29222" priority="1468" operator="lessThan">
      <formula>-105575</formula>
    </cfRule>
  </conditionalFormatting>
  <conditionalFormatting sqref="BB199:BB202">
    <cfRule type="cellIs" dxfId="29221" priority="1463" operator="lessThan">
      <formula>0</formula>
    </cfRule>
    <cfRule type="cellIs" dxfId="29220" priority="1464" operator="lessThan">
      <formula>-105575</formula>
    </cfRule>
  </conditionalFormatting>
  <conditionalFormatting sqref="BB199:BB202">
    <cfRule type="cellIs" dxfId="29219" priority="1465" operator="lessThan">
      <formula>0</formula>
    </cfRule>
    <cfRule type="cellIs" dxfId="29218" priority="1466" operator="lessThan">
      <formula>-105575</formula>
    </cfRule>
  </conditionalFormatting>
  <conditionalFormatting sqref="BB204:BB208">
    <cfRule type="cellIs" dxfId="29217" priority="1461" operator="lessThan">
      <formula>0</formula>
    </cfRule>
    <cfRule type="cellIs" dxfId="29216" priority="1462" operator="lessThan">
      <formula>-105575</formula>
    </cfRule>
  </conditionalFormatting>
  <conditionalFormatting sqref="BB204:BB208">
    <cfRule type="cellIs" dxfId="29215" priority="1457" operator="lessThan">
      <formula>0</formula>
    </cfRule>
    <cfRule type="cellIs" dxfId="29214" priority="1458" operator="lessThan">
      <formula>-105575</formula>
    </cfRule>
  </conditionalFormatting>
  <conditionalFormatting sqref="BB204:BB208">
    <cfRule type="cellIs" dxfId="29213" priority="1459" operator="lessThan">
      <formula>0</formula>
    </cfRule>
    <cfRule type="cellIs" dxfId="29212" priority="1460" operator="lessThan">
      <formula>-105575</formula>
    </cfRule>
  </conditionalFormatting>
  <conditionalFormatting sqref="BB210:BB211">
    <cfRule type="cellIs" dxfId="29211" priority="1455" operator="lessThan">
      <formula>0</formula>
    </cfRule>
    <cfRule type="cellIs" dxfId="29210" priority="1456" operator="lessThan">
      <formula>-105575</formula>
    </cfRule>
  </conditionalFormatting>
  <conditionalFormatting sqref="BB210:BB211">
    <cfRule type="cellIs" dxfId="29209" priority="1451" operator="lessThan">
      <formula>0</formula>
    </cfRule>
    <cfRule type="cellIs" dxfId="29208" priority="1452" operator="lessThan">
      <formula>-105575</formula>
    </cfRule>
  </conditionalFormatting>
  <conditionalFormatting sqref="BB210:BB211">
    <cfRule type="cellIs" dxfId="29207" priority="1453" operator="lessThan">
      <formula>0</formula>
    </cfRule>
    <cfRule type="cellIs" dxfId="29206" priority="1454" operator="lessThan">
      <formula>-105575</formula>
    </cfRule>
  </conditionalFormatting>
  <conditionalFormatting sqref="BB214:BB219">
    <cfRule type="cellIs" dxfId="29205" priority="1449" operator="lessThan">
      <formula>0</formula>
    </cfRule>
    <cfRule type="cellIs" dxfId="29204" priority="1450" operator="lessThan">
      <formula>-105575</formula>
    </cfRule>
  </conditionalFormatting>
  <conditionalFormatting sqref="BB214:BB219">
    <cfRule type="cellIs" dxfId="29203" priority="1445" operator="lessThan">
      <formula>0</formula>
    </cfRule>
    <cfRule type="cellIs" dxfId="29202" priority="1446" operator="lessThan">
      <formula>-105575</formula>
    </cfRule>
  </conditionalFormatting>
  <conditionalFormatting sqref="BB214:BB219">
    <cfRule type="cellIs" dxfId="29201" priority="1447" operator="lessThan">
      <formula>0</formula>
    </cfRule>
    <cfRule type="cellIs" dxfId="29200" priority="1448" operator="lessThan">
      <formula>-105575</formula>
    </cfRule>
  </conditionalFormatting>
  <conditionalFormatting sqref="BB222:BB224">
    <cfRule type="cellIs" dxfId="29199" priority="1443" operator="lessThan">
      <formula>0</formula>
    </cfRule>
    <cfRule type="cellIs" dxfId="29198" priority="1444" operator="lessThan">
      <formula>-105575</formula>
    </cfRule>
  </conditionalFormatting>
  <conditionalFormatting sqref="BB222:BB224">
    <cfRule type="cellIs" dxfId="29197" priority="1439" operator="lessThan">
      <formula>0</formula>
    </cfRule>
    <cfRule type="cellIs" dxfId="29196" priority="1440" operator="lessThan">
      <formula>-105575</formula>
    </cfRule>
  </conditionalFormatting>
  <conditionalFormatting sqref="BB222:BB224">
    <cfRule type="cellIs" dxfId="29195" priority="1441" operator="lessThan">
      <formula>0</formula>
    </cfRule>
    <cfRule type="cellIs" dxfId="29194" priority="1442" operator="lessThan">
      <formula>-105575</formula>
    </cfRule>
  </conditionalFormatting>
  <conditionalFormatting sqref="BB227:BB230">
    <cfRule type="cellIs" dxfId="29193" priority="1437" operator="lessThan">
      <formula>0</formula>
    </cfRule>
    <cfRule type="cellIs" dxfId="29192" priority="1438" operator="lessThan">
      <formula>-105575</formula>
    </cfRule>
  </conditionalFormatting>
  <conditionalFormatting sqref="BB227:BB230">
    <cfRule type="cellIs" dxfId="29191" priority="1433" operator="lessThan">
      <formula>0</formula>
    </cfRule>
    <cfRule type="cellIs" dxfId="29190" priority="1434" operator="lessThan">
      <formula>-105575</formula>
    </cfRule>
  </conditionalFormatting>
  <conditionalFormatting sqref="BB227:BB230">
    <cfRule type="cellIs" dxfId="29189" priority="1435" operator="lessThan">
      <formula>0</formula>
    </cfRule>
    <cfRule type="cellIs" dxfId="29188" priority="1436" operator="lessThan">
      <formula>-105575</formula>
    </cfRule>
  </conditionalFormatting>
  <conditionalFormatting sqref="BB203 BB220:BB221 BB235:BB243 BB231:BB233 BB212:BB213 BB225:BB226">
    <cfRule type="cellIs" dxfId="29187" priority="1431" operator="lessThan">
      <formula>0</formula>
    </cfRule>
    <cfRule type="cellIs" dxfId="29186" priority="1432" operator="lessThan">
      <formula>-105575</formula>
    </cfRule>
  </conditionalFormatting>
  <conditionalFormatting sqref="BB220 BB212:BB213 BB235:BB238 BB240:BB243 BB225:BB226 BB231:BB233">
    <cfRule type="cellIs" dxfId="29185" priority="1429" operator="lessThan">
      <formula>0</formula>
    </cfRule>
    <cfRule type="cellIs" dxfId="29184" priority="1430" operator="lessThan">
      <formula>-105575</formula>
    </cfRule>
  </conditionalFormatting>
  <conditionalFormatting sqref="BB220:BB221 BB243 BB226 BB231:BB236 BB238:BB241 BB203 BB213">
    <cfRule type="cellIs" dxfId="29183" priority="1427" operator="lessThan">
      <formula>0</formula>
    </cfRule>
    <cfRule type="cellIs" dxfId="29182" priority="1428" operator="lessThan">
      <formula>-105575</formula>
    </cfRule>
  </conditionalFormatting>
  <conditionalFormatting sqref="BB235:BB243 BB231:BB233 BB220 BB212:BB213 BB225:BB226">
    <cfRule type="cellIs" dxfId="29181" priority="1425" operator="lessThan">
      <formula>0</formula>
    </cfRule>
    <cfRule type="cellIs" dxfId="29180" priority="1426" operator="lessThan">
      <formula>-105575</formula>
    </cfRule>
  </conditionalFormatting>
  <conditionalFormatting sqref="BB220:BB221 BB237:BB243 BB203 BB231:BB235 BB212:BB213 BB225:BB226">
    <cfRule type="cellIs" dxfId="29179" priority="1423" operator="lessThan">
      <formula>0</formula>
    </cfRule>
    <cfRule type="cellIs" dxfId="29178" priority="1424" operator="lessThan">
      <formula>-105575</formula>
    </cfRule>
  </conditionalFormatting>
  <conditionalFormatting sqref="BB220:BB221 BB237:BB240 BB242:BB243 BB225:BB226 BB231:BB235">
    <cfRule type="cellIs" dxfId="29177" priority="1421" operator="lessThan">
      <formula>0</formula>
    </cfRule>
    <cfRule type="cellIs" dxfId="29176" priority="1422" operator="lessThan">
      <formula>-105575</formula>
    </cfRule>
  </conditionalFormatting>
  <conditionalFormatting sqref="BB212 BB231 BB233:BB238 BB240:BB243 BB225">
    <cfRule type="cellIs" dxfId="29175" priority="1419" operator="lessThan">
      <formula>0</formula>
    </cfRule>
    <cfRule type="cellIs" dxfId="29174" priority="1420" operator="lessThan">
      <formula>-105575</formula>
    </cfRule>
  </conditionalFormatting>
  <conditionalFormatting sqref="BB237:BB243 BB231:BB235 BB220:BB221 BB225:BB226">
    <cfRule type="cellIs" dxfId="29173" priority="1417" operator="lessThan">
      <formula>0</formula>
    </cfRule>
    <cfRule type="cellIs" dxfId="29172" priority="1418" operator="lessThan">
      <formula>-105575</formula>
    </cfRule>
  </conditionalFormatting>
  <conditionalFormatting sqref="BB233:BB237 BB231 BB239:BB243">
    <cfRule type="cellIs" dxfId="29171" priority="1415" operator="lessThan">
      <formula>0</formula>
    </cfRule>
    <cfRule type="cellIs" dxfId="29170" priority="1416" operator="lessThan">
      <formula>-105575</formula>
    </cfRule>
  </conditionalFormatting>
  <conditionalFormatting sqref="BB233:BB237 BB231 BB239:BB243">
    <cfRule type="cellIs" dxfId="29169" priority="1413" operator="lessThan">
      <formula>0</formula>
    </cfRule>
    <cfRule type="cellIs" dxfId="29168" priority="1414" operator="lessThan">
      <formula>-105575</formula>
    </cfRule>
  </conditionalFormatting>
  <conditionalFormatting sqref="BB119:BB128 BB106:BB117 BB101:BB104 BB80:BB98">
    <cfRule type="cellIs" dxfId="29167" priority="1411" operator="lessThan">
      <formula>0</formula>
    </cfRule>
    <cfRule type="cellIs" dxfId="29166" priority="1412" operator="lessThan">
      <formula>-105575</formula>
    </cfRule>
  </conditionalFormatting>
  <conditionalFormatting sqref="BB130 BB132 BB134">
    <cfRule type="cellIs" dxfId="29165" priority="1409" operator="lessThan">
      <formula>0</formula>
    </cfRule>
    <cfRule type="cellIs" dxfId="29164" priority="1410" operator="lessThan">
      <formula>-105575</formula>
    </cfRule>
  </conditionalFormatting>
  <conditionalFormatting sqref="BB130 BB132 BB134">
    <cfRule type="cellIs" dxfId="29163" priority="1407" operator="lessThan">
      <formula>0</formula>
    </cfRule>
    <cfRule type="cellIs" dxfId="29162" priority="1408" operator="lessThan">
      <formula>-105575</formula>
    </cfRule>
  </conditionalFormatting>
  <conditionalFormatting sqref="BB129 BB131 BB133 BB135">
    <cfRule type="cellIs" dxfId="29161" priority="1405" operator="lessThan">
      <formula>0</formula>
    </cfRule>
    <cfRule type="cellIs" dxfId="29160" priority="1406" operator="lessThan">
      <formula>-105575</formula>
    </cfRule>
  </conditionalFormatting>
  <conditionalFormatting sqref="BB140 BB145 BB142:BB143 BB137:BB138">
    <cfRule type="cellIs" dxfId="29159" priority="1403" operator="lessThan">
      <formula>0</formula>
    </cfRule>
    <cfRule type="cellIs" dxfId="29158" priority="1404" operator="lessThan">
      <formula>-105575</formula>
    </cfRule>
  </conditionalFormatting>
  <conditionalFormatting sqref="BB149">
    <cfRule type="cellIs" dxfId="29157" priority="1401" operator="lessThan">
      <formula>0</formula>
    </cfRule>
    <cfRule type="cellIs" dxfId="29156" priority="1402" operator="lessThan">
      <formula>-105575</formula>
    </cfRule>
  </conditionalFormatting>
  <conditionalFormatting sqref="BB129:BB138 BB140:BB149">
    <cfRule type="cellIs" dxfId="29155" priority="1399" operator="lessThan">
      <formula>0</formula>
    </cfRule>
    <cfRule type="cellIs" dxfId="29154" priority="1400" operator="lessThan">
      <formula>-105575</formula>
    </cfRule>
  </conditionalFormatting>
  <conditionalFormatting sqref="BB86:BB87 BB89:BB91 BB141:BB149 BB124:BB133 BB107:BB110 BB112:BB117 BB119:BB122 BB135:BB138 BB101:BB104 BB80:BB84 BB94:BB98">
    <cfRule type="cellIs" dxfId="29153" priority="1397" operator="lessThan">
      <formula>0</formula>
    </cfRule>
    <cfRule type="cellIs" dxfId="29152" priority="1398" operator="lessThan">
      <formula>-105575</formula>
    </cfRule>
  </conditionalFormatting>
  <conditionalFormatting sqref="BB129 BB131 BB133 BB135">
    <cfRule type="cellIs" dxfId="29151" priority="1395" operator="lessThan">
      <formula>0</formula>
    </cfRule>
    <cfRule type="cellIs" dxfId="29150" priority="1396" operator="lessThan">
      <formula>-105575</formula>
    </cfRule>
  </conditionalFormatting>
  <conditionalFormatting sqref="BB146 BB144 BB141">
    <cfRule type="cellIs" dxfId="29149" priority="1393" operator="lessThan">
      <formula>0</formula>
    </cfRule>
    <cfRule type="cellIs" dxfId="29148" priority="1394" operator="lessThan">
      <formula>-105575</formula>
    </cfRule>
  </conditionalFormatting>
  <conditionalFormatting sqref="BB146 BB144 BB141">
    <cfRule type="cellIs" dxfId="29147" priority="1391" operator="lessThan">
      <formula>0</formula>
    </cfRule>
    <cfRule type="cellIs" dxfId="29146" priority="1392" operator="lessThan">
      <formula>-105575</formula>
    </cfRule>
  </conditionalFormatting>
  <conditionalFormatting sqref="BB140 BB145 BB142:BB143 BB137:BB138">
    <cfRule type="cellIs" dxfId="29145" priority="1389" operator="lessThan">
      <formula>0</formula>
    </cfRule>
    <cfRule type="cellIs" dxfId="29144" priority="1390" operator="lessThan">
      <formula>-105575</formula>
    </cfRule>
  </conditionalFormatting>
  <conditionalFormatting sqref="BB149">
    <cfRule type="cellIs" dxfId="29143" priority="1387" operator="lessThan">
      <formula>0</formula>
    </cfRule>
    <cfRule type="cellIs" dxfId="29142" priority="1388" operator="lessThan">
      <formula>-105575</formula>
    </cfRule>
  </conditionalFormatting>
  <conditionalFormatting sqref="BB86:BB87 BB89:BB91 BB141:BB149 BB124:BB133 BB107:BB110 BB112:BB117 BB119:BB122 BB135:BB138 BB101:BB104 BB80:BB84 BB94:BB98">
    <cfRule type="cellIs" dxfId="29141" priority="1385" operator="lessThan">
      <formula>0</formula>
    </cfRule>
    <cfRule type="cellIs" dxfId="29140" priority="1386" operator="lessThan">
      <formula>-105575</formula>
    </cfRule>
  </conditionalFormatting>
  <conditionalFormatting sqref="BB62:BB76 BB306:BB309 BB311:BB325 BB327:BB330 BB332:BB341 BB344:BB347 BB349:BB353 BB355:BB358 BB360:BB384 BB386:BB389 BB392:BB395 BB397:BB411 BB413:BB416 BB418:BB432 BB434:BB437 BB439:BB453 BB455:BB458 BB460:BB469 BB12:BB14 BB17:BB18 BB21:BB24 BB26:BB28 BB30:BB36 BB38 BB41:BB43 BB46:BB49 BB51:BB55 BB57:BB59 BB290:BB291 BB293:BB304 BB7:BB10">
    <cfRule type="cellIs" dxfId="29139" priority="1383" operator="lessThan">
      <formula>0</formula>
    </cfRule>
    <cfRule type="cellIs" dxfId="29138" priority="1384" operator="lessThan">
      <formula>-105575</formula>
    </cfRule>
  </conditionalFormatting>
  <conditionalFormatting sqref="BB41">
    <cfRule type="cellIs" dxfId="29137" priority="1381" operator="lessThan">
      <formula>0</formula>
    </cfRule>
    <cfRule type="cellIs" dxfId="29136" priority="1382" operator="lessThan">
      <formula>-105575</formula>
    </cfRule>
  </conditionalFormatting>
  <conditionalFormatting sqref="BB152:BB155">
    <cfRule type="cellIs" dxfId="29135" priority="1379" operator="lessThan">
      <formula>0</formula>
    </cfRule>
    <cfRule type="cellIs" dxfId="29134" priority="1380" operator="lessThan">
      <formula>-105575</formula>
    </cfRule>
  </conditionalFormatting>
  <conditionalFormatting sqref="BB152:BB155">
    <cfRule type="cellIs" dxfId="29133" priority="1377" operator="lessThan">
      <formula>0</formula>
    </cfRule>
    <cfRule type="cellIs" dxfId="29132" priority="1378" operator="lessThan">
      <formula>-105575</formula>
    </cfRule>
  </conditionalFormatting>
  <conditionalFormatting sqref="BB152:BB155">
    <cfRule type="cellIs" dxfId="29131" priority="1375" operator="lessThan">
      <formula>0</formula>
    </cfRule>
    <cfRule type="cellIs" dxfId="29130" priority="1376" operator="lessThan">
      <formula>-105575</formula>
    </cfRule>
  </conditionalFormatting>
  <conditionalFormatting sqref="BB157:BB158">
    <cfRule type="cellIs" dxfId="29129" priority="1373" operator="lessThan">
      <formula>0</formula>
    </cfRule>
    <cfRule type="cellIs" dxfId="29128" priority="1374" operator="lessThan">
      <formula>-105575</formula>
    </cfRule>
  </conditionalFormatting>
  <conditionalFormatting sqref="BB157:BB158">
    <cfRule type="cellIs" dxfId="29127" priority="1371" operator="lessThan">
      <formula>0</formula>
    </cfRule>
    <cfRule type="cellIs" dxfId="29126" priority="1372" operator="lessThan">
      <formula>-105575</formula>
    </cfRule>
  </conditionalFormatting>
  <conditionalFormatting sqref="BB157:BB158">
    <cfRule type="cellIs" dxfId="29125" priority="1369" operator="lessThan">
      <formula>0</formula>
    </cfRule>
    <cfRule type="cellIs" dxfId="29124" priority="1370" operator="lessThan">
      <formula>-105575</formula>
    </cfRule>
  </conditionalFormatting>
  <conditionalFormatting sqref="BB160:BB161">
    <cfRule type="cellIs" dxfId="29123" priority="1367" operator="lessThan">
      <formula>0</formula>
    </cfRule>
    <cfRule type="cellIs" dxfId="29122" priority="1368" operator="lessThan">
      <formula>-105575</formula>
    </cfRule>
  </conditionalFormatting>
  <conditionalFormatting sqref="BB160:BB161">
    <cfRule type="cellIs" dxfId="29121" priority="1365" operator="lessThan">
      <formula>0</formula>
    </cfRule>
    <cfRule type="cellIs" dxfId="29120" priority="1366" operator="lessThan">
      <formula>-105575</formula>
    </cfRule>
  </conditionalFormatting>
  <conditionalFormatting sqref="BB160:BB161">
    <cfRule type="cellIs" dxfId="29119" priority="1363" operator="lessThan">
      <formula>0</formula>
    </cfRule>
    <cfRule type="cellIs" dxfId="29118" priority="1364" operator="lessThan">
      <formula>-105575</formula>
    </cfRule>
  </conditionalFormatting>
  <conditionalFormatting sqref="BB164:BB167">
    <cfRule type="cellIs" dxfId="29117" priority="1361" operator="lessThan">
      <formula>0</formula>
    </cfRule>
    <cfRule type="cellIs" dxfId="29116" priority="1362" operator="lessThan">
      <formula>-105575</formula>
    </cfRule>
  </conditionalFormatting>
  <conditionalFormatting sqref="BB164:BB167">
    <cfRule type="cellIs" dxfId="29115" priority="1359" operator="lessThan">
      <formula>0</formula>
    </cfRule>
    <cfRule type="cellIs" dxfId="29114" priority="1360" operator="lessThan">
      <formula>-105575</formula>
    </cfRule>
  </conditionalFormatting>
  <conditionalFormatting sqref="BB164:BB167">
    <cfRule type="cellIs" dxfId="29113" priority="1357" operator="lessThan">
      <formula>0</formula>
    </cfRule>
    <cfRule type="cellIs" dxfId="29112" priority="1358" operator="lessThan">
      <formula>-105575</formula>
    </cfRule>
  </conditionalFormatting>
  <conditionalFormatting sqref="BB169:BB177">
    <cfRule type="cellIs" dxfId="29111" priority="1355" operator="lessThan">
      <formula>0</formula>
    </cfRule>
    <cfRule type="cellIs" dxfId="29110" priority="1356" operator="lessThan">
      <formula>-105575</formula>
    </cfRule>
  </conditionalFormatting>
  <conditionalFormatting sqref="BB169:BB177">
    <cfRule type="cellIs" dxfId="29109" priority="1353" operator="lessThan">
      <formula>0</formula>
    </cfRule>
    <cfRule type="cellIs" dxfId="29108" priority="1354" operator="lessThan">
      <formula>-105575</formula>
    </cfRule>
  </conditionalFormatting>
  <conditionalFormatting sqref="BB169:BB177">
    <cfRule type="cellIs" dxfId="29107" priority="1351" operator="lessThan">
      <formula>0</formula>
    </cfRule>
    <cfRule type="cellIs" dxfId="29106" priority="1352" operator="lessThan">
      <formula>-105575</formula>
    </cfRule>
  </conditionalFormatting>
  <conditionalFormatting sqref="BB179:BB180">
    <cfRule type="cellIs" dxfId="29105" priority="1349" operator="lessThan">
      <formula>0</formula>
    </cfRule>
    <cfRule type="cellIs" dxfId="29104" priority="1350" operator="lessThan">
      <formula>-105575</formula>
    </cfRule>
  </conditionalFormatting>
  <conditionalFormatting sqref="BB179:BB180">
    <cfRule type="cellIs" dxfId="29103" priority="1347" operator="lessThan">
      <formula>0</formula>
    </cfRule>
    <cfRule type="cellIs" dxfId="29102" priority="1348" operator="lessThan">
      <formula>-105575</formula>
    </cfRule>
  </conditionalFormatting>
  <conditionalFormatting sqref="BB179:BB180">
    <cfRule type="cellIs" dxfId="29101" priority="1345" operator="lessThan">
      <formula>0</formula>
    </cfRule>
    <cfRule type="cellIs" dxfId="29100" priority="1346" operator="lessThan">
      <formula>-105575</formula>
    </cfRule>
  </conditionalFormatting>
  <conditionalFormatting sqref="BB183:BB189">
    <cfRule type="cellIs" dxfId="29099" priority="1343" operator="lessThan">
      <formula>0</formula>
    </cfRule>
    <cfRule type="cellIs" dxfId="29098" priority="1344" operator="lessThan">
      <formula>-105575</formula>
    </cfRule>
  </conditionalFormatting>
  <conditionalFormatting sqref="BB183:BB189">
    <cfRule type="cellIs" dxfId="29097" priority="1341" operator="lessThan">
      <formula>0</formula>
    </cfRule>
    <cfRule type="cellIs" dxfId="29096" priority="1342" operator="lessThan">
      <formula>-105575</formula>
    </cfRule>
  </conditionalFormatting>
  <conditionalFormatting sqref="BB183:BB189">
    <cfRule type="cellIs" dxfId="29095" priority="1339" operator="lessThan">
      <formula>0</formula>
    </cfRule>
    <cfRule type="cellIs" dxfId="29094" priority="1340" operator="lessThan">
      <formula>-105575</formula>
    </cfRule>
  </conditionalFormatting>
  <conditionalFormatting sqref="BB191:BB192">
    <cfRule type="cellIs" dxfId="29093" priority="1337" operator="lessThan">
      <formula>0</formula>
    </cfRule>
    <cfRule type="cellIs" dxfId="29092" priority="1338" operator="lessThan">
      <formula>-105575</formula>
    </cfRule>
  </conditionalFormatting>
  <conditionalFormatting sqref="BB191:BB192">
    <cfRule type="cellIs" dxfId="29091" priority="1335" operator="lessThan">
      <formula>0</formula>
    </cfRule>
    <cfRule type="cellIs" dxfId="29090" priority="1336" operator="lessThan">
      <formula>-105575</formula>
    </cfRule>
  </conditionalFormatting>
  <conditionalFormatting sqref="BB191:BB192">
    <cfRule type="cellIs" dxfId="29089" priority="1333" operator="lessThan">
      <formula>0</formula>
    </cfRule>
    <cfRule type="cellIs" dxfId="29088" priority="1334" operator="lessThan">
      <formula>-105575</formula>
    </cfRule>
  </conditionalFormatting>
  <conditionalFormatting sqref="BB194:BB195">
    <cfRule type="cellIs" dxfId="29087" priority="1331" operator="lessThan">
      <formula>0</formula>
    </cfRule>
    <cfRule type="cellIs" dxfId="29086" priority="1332" operator="lessThan">
      <formula>-105575</formula>
    </cfRule>
  </conditionalFormatting>
  <conditionalFormatting sqref="BB194:BB195">
    <cfRule type="cellIs" dxfId="29085" priority="1329" operator="lessThan">
      <formula>0</formula>
    </cfRule>
    <cfRule type="cellIs" dxfId="29084" priority="1330" operator="lessThan">
      <formula>-105575</formula>
    </cfRule>
  </conditionalFormatting>
  <conditionalFormatting sqref="BB194:BB195">
    <cfRule type="cellIs" dxfId="29083" priority="1327" operator="lessThan">
      <formula>0</formula>
    </cfRule>
    <cfRule type="cellIs" dxfId="29082" priority="1328" operator="lessThan">
      <formula>-105575</formula>
    </cfRule>
  </conditionalFormatting>
  <conditionalFormatting sqref="BB199:BB202">
    <cfRule type="cellIs" dxfId="29081" priority="1325" operator="lessThan">
      <formula>0</formula>
    </cfRule>
    <cfRule type="cellIs" dxfId="29080" priority="1326" operator="lessThan">
      <formula>-105575</formula>
    </cfRule>
  </conditionalFormatting>
  <conditionalFormatting sqref="BB199:BB202">
    <cfRule type="cellIs" dxfId="29079" priority="1323" operator="lessThan">
      <formula>0</formula>
    </cfRule>
    <cfRule type="cellIs" dxfId="29078" priority="1324" operator="lessThan">
      <formula>-105575</formula>
    </cfRule>
  </conditionalFormatting>
  <conditionalFormatting sqref="BB199:BB202">
    <cfRule type="cellIs" dxfId="29077" priority="1321" operator="lessThan">
      <formula>0</formula>
    </cfRule>
    <cfRule type="cellIs" dxfId="29076" priority="1322" operator="lessThan">
      <formula>-105575</formula>
    </cfRule>
  </conditionalFormatting>
  <conditionalFormatting sqref="BB204:BB208">
    <cfRule type="cellIs" dxfId="29075" priority="1319" operator="lessThan">
      <formula>0</formula>
    </cfRule>
    <cfRule type="cellIs" dxfId="29074" priority="1320" operator="lessThan">
      <formula>-105575</formula>
    </cfRule>
  </conditionalFormatting>
  <conditionalFormatting sqref="BB204:BB208">
    <cfRule type="cellIs" dxfId="29073" priority="1317" operator="lessThan">
      <formula>0</formula>
    </cfRule>
    <cfRule type="cellIs" dxfId="29072" priority="1318" operator="lessThan">
      <formula>-105575</formula>
    </cfRule>
  </conditionalFormatting>
  <conditionalFormatting sqref="BB204:BB208">
    <cfRule type="cellIs" dxfId="29071" priority="1315" operator="lessThan">
      <formula>0</formula>
    </cfRule>
    <cfRule type="cellIs" dxfId="29070" priority="1316" operator="lessThan">
      <formula>-105575</formula>
    </cfRule>
  </conditionalFormatting>
  <conditionalFormatting sqref="BB210:BB211">
    <cfRule type="cellIs" dxfId="29069" priority="1313" operator="lessThan">
      <formula>0</formula>
    </cfRule>
    <cfRule type="cellIs" dxfId="29068" priority="1314" operator="lessThan">
      <formula>-105575</formula>
    </cfRule>
  </conditionalFormatting>
  <conditionalFormatting sqref="BB210:BB211">
    <cfRule type="cellIs" dxfId="29067" priority="1311" operator="lessThan">
      <formula>0</formula>
    </cfRule>
    <cfRule type="cellIs" dxfId="29066" priority="1312" operator="lessThan">
      <formula>-105575</formula>
    </cfRule>
  </conditionalFormatting>
  <conditionalFormatting sqref="BB210:BB211">
    <cfRule type="cellIs" dxfId="29065" priority="1309" operator="lessThan">
      <formula>0</formula>
    </cfRule>
    <cfRule type="cellIs" dxfId="29064" priority="1310" operator="lessThan">
      <formula>-105575</formula>
    </cfRule>
  </conditionalFormatting>
  <conditionalFormatting sqref="BB214:BB219">
    <cfRule type="cellIs" dxfId="29063" priority="1307" operator="lessThan">
      <formula>0</formula>
    </cfRule>
    <cfRule type="cellIs" dxfId="29062" priority="1308" operator="lessThan">
      <formula>-105575</formula>
    </cfRule>
  </conditionalFormatting>
  <conditionalFormatting sqref="BB214:BB219">
    <cfRule type="cellIs" dxfId="29061" priority="1305" operator="lessThan">
      <formula>0</formula>
    </cfRule>
    <cfRule type="cellIs" dxfId="29060" priority="1306" operator="lessThan">
      <formula>-105575</formula>
    </cfRule>
  </conditionalFormatting>
  <conditionalFormatting sqref="BB214:BB219">
    <cfRule type="cellIs" dxfId="29059" priority="1303" operator="lessThan">
      <formula>0</formula>
    </cfRule>
    <cfRule type="cellIs" dxfId="29058" priority="1304" operator="lessThan">
      <formula>-105575</formula>
    </cfRule>
  </conditionalFormatting>
  <conditionalFormatting sqref="BB222:BB224">
    <cfRule type="cellIs" dxfId="29057" priority="1301" operator="lessThan">
      <formula>0</formula>
    </cfRule>
    <cfRule type="cellIs" dxfId="29056" priority="1302" operator="lessThan">
      <formula>-105575</formula>
    </cfRule>
  </conditionalFormatting>
  <conditionalFormatting sqref="BB222:BB224">
    <cfRule type="cellIs" dxfId="29055" priority="1299" operator="lessThan">
      <formula>0</formula>
    </cfRule>
    <cfRule type="cellIs" dxfId="29054" priority="1300" operator="lessThan">
      <formula>-105575</formula>
    </cfRule>
  </conditionalFormatting>
  <conditionalFormatting sqref="BB222:BB224">
    <cfRule type="cellIs" dxfId="29053" priority="1297" operator="lessThan">
      <formula>0</formula>
    </cfRule>
    <cfRule type="cellIs" dxfId="29052" priority="1298" operator="lessThan">
      <formula>-105575</formula>
    </cfRule>
  </conditionalFormatting>
  <conditionalFormatting sqref="BB227:BB230">
    <cfRule type="cellIs" dxfId="29051" priority="1295" operator="lessThan">
      <formula>0</formula>
    </cfRule>
    <cfRule type="cellIs" dxfId="29050" priority="1296" operator="lessThan">
      <formula>-105575</formula>
    </cfRule>
  </conditionalFormatting>
  <conditionalFormatting sqref="BB227:BB230">
    <cfRule type="cellIs" dxfId="29049" priority="1293" operator="lessThan">
      <formula>0</formula>
    </cfRule>
    <cfRule type="cellIs" dxfId="29048" priority="1294" operator="lessThan">
      <formula>-105575</formula>
    </cfRule>
  </conditionalFormatting>
  <conditionalFormatting sqref="BB227:BB230">
    <cfRule type="cellIs" dxfId="29047" priority="1291" operator="lessThan">
      <formula>0</formula>
    </cfRule>
    <cfRule type="cellIs" dxfId="29046" priority="1292" operator="lessThan">
      <formula>-105575</formula>
    </cfRule>
  </conditionalFormatting>
  <conditionalFormatting sqref="BB246:BB249">
    <cfRule type="cellIs" dxfId="29045" priority="1289" operator="lessThan">
      <formula>0</formula>
    </cfRule>
    <cfRule type="cellIs" dxfId="29044" priority="1290" operator="lessThan">
      <formula>-105575</formula>
    </cfRule>
  </conditionalFormatting>
  <conditionalFormatting sqref="BB246:BB249">
    <cfRule type="cellIs" dxfId="29043" priority="1287" operator="lessThan">
      <formula>0</formula>
    </cfRule>
    <cfRule type="cellIs" dxfId="29042" priority="1288" operator="lessThan">
      <formula>-105575</formula>
    </cfRule>
  </conditionalFormatting>
  <conditionalFormatting sqref="BB246:BB249">
    <cfRule type="cellIs" dxfId="29041" priority="1285" operator="lessThan">
      <formula>0</formula>
    </cfRule>
    <cfRule type="cellIs" dxfId="29040" priority="1286" operator="lessThan">
      <formula>-105575</formula>
    </cfRule>
  </conditionalFormatting>
  <conditionalFormatting sqref="BB246:BB249">
    <cfRule type="cellIs" dxfId="29039" priority="1283" operator="lessThan">
      <formula>0</formula>
    </cfRule>
    <cfRule type="cellIs" dxfId="29038" priority="1284" operator="lessThan">
      <formula>-105575</formula>
    </cfRule>
  </conditionalFormatting>
  <conditionalFormatting sqref="BB246:BB249">
    <cfRule type="cellIs" dxfId="29037" priority="1281" operator="lessThan">
      <formula>0</formula>
    </cfRule>
    <cfRule type="cellIs" dxfId="29036" priority="1282" operator="lessThan">
      <formula>-105575</formula>
    </cfRule>
  </conditionalFormatting>
  <conditionalFormatting sqref="BB246:BB249">
    <cfRule type="cellIs" dxfId="29035" priority="1279" operator="lessThan">
      <formula>0</formula>
    </cfRule>
    <cfRule type="cellIs" dxfId="29034" priority="1280" operator="lessThan">
      <formula>-105575</formula>
    </cfRule>
  </conditionalFormatting>
  <conditionalFormatting sqref="BB246:BB249">
    <cfRule type="cellIs" dxfId="29033" priority="1277" operator="lessThan">
      <formula>0</formula>
    </cfRule>
    <cfRule type="cellIs" dxfId="29032" priority="1278" operator="lessThan">
      <formula>-105575</formula>
    </cfRule>
  </conditionalFormatting>
  <conditionalFormatting sqref="BB246:BB249">
    <cfRule type="cellIs" dxfId="29031" priority="1275" operator="lessThan">
      <formula>0</formula>
    </cfRule>
    <cfRule type="cellIs" dxfId="29030" priority="1276" operator="lessThan">
      <formula>-105575</formula>
    </cfRule>
  </conditionalFormatting>
  <conditionalFormatting sqref="BB246:BB249">
    <cfRule type="cellIs" dxfId="29029" priority="1273" operator="lessThan">
      <formula>0</formula>
    </cfRule>
    <cfRule type="cellIs" dxfId="29028" priority="1274" operator="lessThan">
      <formula>-105575</formula>
    </cfRule>
  </conditionalFormatting>
  <conditionalFormatting sqref="BB251:BB253">
    <cfRule type="cellIs" dxfId="29027" priority="1271" operator="lessThan">
      <formula>0</formula>
    </cfRule>
    <cfRule type="cellIs" dxfId="29026" priority="1272" operator="lessThan">
      <formula>-105575</formula>
    </cfRule>
  </conditionalFormatting>
  <conditionalFormatting sqref="BB251:BB253">
    <cfRule type="cellIs" dxfId="29025" priority="1269" operator="lessThan">
      <formula>0</formula>
    </cfRule>
    <cfRule type="cellIs" dxfId="29024" priority="1270" operator="lessThan">
      <formula>-105575</formula>
    </cfRule>
  </conditionalFormatting>
  <conditionalFormatting sqref="BB251:BB253">
    <cfRule type="cellIs" dxfId="29023" priority="1267" operator="lessThan">
      <formula>0</formula>
    </cfRule>
    <cfRule type="cellIs" dxfId="29022" priority="1268" operator="lessThan">
      <formula>-105575</formula>
    </cfRule>
  </conditionalFormatting>
  <conditionalFormatting sqref="BB251:BB253">
    <cfRule type="cellIs" dxfId="29021" priority="1265" operator="lessThan">
      <formula>0</formula>
    </cfRule>
    <cfRule type="cellIs" dxfId="29020" priority="1266" operator="lessThan">
      <formula>-105575</formula>
    </cfRule>
  </conditionalFormatting>
  <conditionalFormatting sqref="BB251:BB253">
    <cfRule type="cellIs" dxfId="29019" priority="1263" operator="lessThan">
      <formula>0</formula>
    </cfRule>
    <cfRule type="cellIs" dxfId="29018" priority="1264" operator="lessThan">
      <formula>-105575</formula>
    </cfRule>
  </conditionalFormatting>
  <conditionalFormatting sqref="BB251:BB253">
    <cfRule type="cellIs" dxfId="29017" priority="1261" operator="lessThan">
      <formula>0</formula>
    </cfRule>
    <cfRule type="cellIs" dxfId="29016" priority="1262" operator="lessThan">
      <formula>-105575</formula>
    </cfRule>
  </conditionalFormatting>
  <conditionalFormatting sqref="BB251:BB253">
    <cfRule type="cellIs" dxfId="29015" priority="1259" operator="lessThan">
      <formula>0</formula>
    </cfRule>
    <cfRule type="cellIs" dxfId="29014" priority="1260" operator="lessThan">
      <formula>-105575</formula>
    </cfRule>
  </conditionalFormatting>
  <conditionalFormatting sqref="BB251:BB253">
    <cfRule type="cellIs" dxfId="29013" priority="1257" operator="lessThan">
      <formula>0</formula>
    </cfRule>
    <cfRule type="cellIs" dxfId="29012" priority="1258" operator="lessThan">
      <formula>-105575</formula>
    </cfRule>
  </conditionalFormatting>
  <conditionalFormatting sqref="BB251:BB253">
    <cfRule type="cellIs" dxfId="29011" priority="1255" operator="lessThan">
      <formula>0</formula>
    </cfRule>
    <cfRule type="cellIs" dxfId="29010" priority="1256" operator="lessThan">
      <formula>-105575</formula>
    </cfRule>
  </conditionalFormatting>
  <conditionalFormatting sqref="BB255:BB257">
    <cfRule type="cellIs" dxfId="29009" priority="1253" operator="lessThan">
      <formula>0</formula>
    </cfRule>
    <cfRule type="cellIs" dxfId="29008" priority="1254" operator="lessThan">
      <formula>-105575</formula>
    </cfRule>
  </conditionalFormatting>
  <conditionalFormatting sqref="BB255:BB257">
    <cfRule type="cellIs" dxfId="29007" priority="1251" operator="lessThan">
      <formula>0</formula>
    </cfRule>
    <cfRule type="cellIs" dxfId="29006" priority="1252" operator="lessThan">
      <formula>-105575</formula>
    </cfRule>
  </conditionalFormatting>
  <conditionalFormatting sqref="BB255:BB257">
    <cfRule type="cellIs" dxfId="29005" priority="1249" operator="lessThan">
      <formula>0</formula>
    </cfRule>
    <cfRule type="cellIs" dxfId="29004" priority="1250" operator="lessThan">
      <formula>-105575</formula>
    </cfRule>
  </conditionalFormatting>
  <conditionalFormatting sqref="BB255:BB257">
    <cfRule type="cellIs" dxfId="29003" priority="1247" operator="lessThan">
      <formula>0</formula>
    </cfRule>
    <cfRule type="cellIs" dxfId="29002" priority="1248" operator="lessThan">
      <formula>-105575</formula>
    </cfRule>
  </conditionalFormatting>
  <conditionalFormatting sqref="BB255:BB257">
    <cfRule type="cellIs" dxfId="29001" priority="1245" operator="lessThan">
      <formula>0</formula>
    </cfRule>
    <cfRule type="cellIs" dxfId="29000" priority="1246" operator="lessThan">
      <formula>-105575</formula>
    </cfRule>
  </conditionalFormatting>
  <conditionalFormatting sqref="BB255:BB257">
    <cfRule type="cellIs" dxfId="28999" priority="1243" operator="lessThan">
      <formula>0</formula>
    </cfRule>
    <cfRule type="cellIs" dxfId="28998" priority="1244" operator="lessThan">
      <formula>-105575</formula>
    </cfRule>
  </conditionalFormatting>
  <conditionalFormatting sqref="BB255:BB257">
    <cfRule type="cellIs" dxfId="28997" priority="1241" operator="lessThan">
      <formula>0</formula>
    </cfRule>
    <cfRule type="cellIs" dxfId="28996" priority="1242" operator="lessThan">
      <formula>-105575</formula>
    </cfRule>
  </conditionalFormatting>
  <conditionalFormatting sqref="BB255:BB257">
    <cfRule type="cellIs" dxfId="28995" priority="1239" operator="lessThan">
      <formula>0</formula>
    </cfRule>
    <cfRule type="cellIs" dxfId="28994" priority="1240" operator="lessThan">
      <formula>-105575</formula>
    </cfRule>
  </conditionalFormatting>
  <conditionalFormatting sqref="BB255:BB257">
    <cfRule type="cellIs" dxfId="28993" priority="1237" operator="lessThan">
      <formula>0</formula>
    </cfRule>
    <cfRule type="cellIs" dxfId="28992" priority="1238" operator="lessThan">
      <formula>-105575</formula>
    </cfRule>
  </conditionalFormatting>
  <conditionalFormatting sqref="BB260:BB262">
    <cfRule type="cellIs" dxfId="28991" priority="1235" operator="lessThan">
      <formula>0</formula>
    </cfRule>
    <cfRule type="cellIs" dxfId="28990" priority="1236" operator="lessThan">
      <formula>-105575</formula>
    </cfRule>
  </conditionalFormatting>
  <conditionalFormatting sqref="BB260:BB262">
    <cfRule type="cellIs" dxfId="28989" priority="1233" operator="lessThan">
      <formula>0</formula>
    </cfRule>
    <cfRule type="cellIs" dxfId="28988" priority="1234" operator="lessThan">
      <formula>-105575</formula>
    </cfRule>
  </conditionalFormatting>
  <conditionalFormatting sqref="BB260:BB262">
    <cfRule type="cellIs" dxfId="28987" priority="1231" operator="lessThan">
      <formula>0</formula>
    </cfRule>
    <cfRule type="cellIs" dxfId="28986" priority="1232" operator="lessThan">
      <formula>-105575</formula>
    </cfRule>
  </conditionalFormatting>
  <conditionalFormatting sqref="BB260:BB262">
    <cfRule type="cellIs" dxfId="28985" priority="1229" operator="lessThan">
      <formula>0</formula>
    </cfRule>
    <cfRule type="cellIs" dxfId="28984" priority="1230" operator="lessThan">
      <formula>-105575</formula>
    </cfRule>
  </conditionalFormatting>
  <conditionalFormatting sqref="BB260:BB262">
    <cfRule type="cellIs" dxfId="28983" priority="1227" operator="lessThan">
      <formula>0</formula>
    </cfRule>
    <cfRule type="cellIs" dxfId="28982" priority="1228" operator="lessThan">
      <formula>-105575</formula>
    </cfRule>
  </conditionalFormatting>
  <conditionalFormatting sqref="BB260:BB262">
    <cfRule type="cellIs" dxfId="28981" priority="1225" operator="lessThan">
      <formula>0</formula>
    </cfRule>
    <cfRule type="cellIs" dxfId="28980" priority="1226" operator="lessThan">
      <formula>-105575</formula>
    </cfRule>
  </conditionalFormatting>
  <conditionalFormatting sqref="BB260:BB262">
    <cfRule type="cellIs" dxfId="28979" priority="1223" operator="lessThan">
      <formula>0</formula>
    </cfRule>
    <cfRule type="cellIs" dxfId="28978" priority="1224" operator="lessThan">
      <formula>-105575</formula>
    </cfRule>
  </conditionalFormatting>
  <conditionalFormatting sqref="BB260:BB262">
    <cfRule type="cellIs" dxfId="28977" priority="1221" operator="lessThan">
      <formula>0</formula>
    </cfRule>
    <cfRule type="cellIs" dxfId="28976" priority="1222" operator="lessThan">
      <formula>-105575</formula>
    </cfRule>
  </conditionalFormatting>
  <conditionalFormatting sqref="BB260:BB262">
    <cfRule type="cellIs" dxfId="28975" priority="1219" operator="lessThan">
      <formula>0</formula>
    </cfRule>
    <cfRule type="cellIs" dxfId="28974" priority="1220" operator="lessThan">
      <formula>-105575</formula>
    </cfRule>
  </conditionalFormatting>
  <conditionalFormatting sqref="BB264:BB267">
    <cfRule type="cellIs" dxfId="28973" priority="1217" operator="lessThan">
      <formula>0</formula>
    </cfRule>
    <cfRule type="cellIs" dxfId="28972" priority="1218" operator="lessThan">
      <formula>-105575</formula>
    </cfRule>
  </conditionalFormatting>
  <conditionalFormatting sqref="BB264:BB267">
    <cfRule type="cellIs" dxfId="28971" priority="1215" operator="lessThan">
      <formula>0</formula>
    </cfRule>
    <cfRule type="cellIs" dxfId="28970" priority="1216" operator="lessThan">
      <formula>-105575</formula>
    </cfRule>
  </conditionalFormatting>
  <conditionalFormatting sqref="BB264:BB267">
    <cfRule type="cellIs" dxfId="28969" priority="1213" operator="lessThan">
      <formula>0</formula>
    </cfRule>
    <cfRule type="cellIs" dxfId="28968" priority="1214" operator="lessThan">
      <formula>-105575</formula>
    </cfRule>
  </conditionalFormatting>
  <conditionalFormatting sqref="BB264:BB267">
    <cfRule type="cellIs" dxfId="28967" priority="1211" operator="lessThan">
      <formula>0</formula>
    </cfRule>
    <cfRule type="cellIs" dxfId="28966" priority="1212" operator="lessThan">
      <formula>-105575</formula>
    </cfRule>
  </conditionalFormatting>
  <conditionalFormatting sqref="BB264:BB267">
    <cfRule type="cellIs" dxfId="28965" priority="1209" operator="lessThan">
      <formula>0</formula>
    </cfRule>
    <cfRule type="cellIs" dxfId="28964" priority="1210" operator="lessThan">
      <formula>-105575</formula>
    </cfRule>
  </conditionalFormatting>
  <conditionalFormatting sqref="BB264:BB267">
    <cfRule type="cellIs" dxfId="28963" priority="1207" operator="lessThan">
      <formula>0</formula>
    </cfRule>
    <cfRule type="cellIs" dxfId="28962" priority="1208" operator="lessThan">
      <formula>-105575</formula>
    </cfRule>
  </conditionalFormatting>
  <conditionalFormatting sqref="BB264:BB267">
    <cfRule type="cellIs" dxfId="28961" priority="1205" operator="lessThan">
      <formula>0</formula>
    </cfRule>
    <cfRule type="cellIs" dxfId="28960" priority="1206" operator="lessThan">
      <formula>-105575</formula>
    </cfRule>
  </conditionalFormatting>
  <conditionalFormatting sqref="BB264:BB267">
    <cfRule type="cellIs" dxfId="28959" priority="1203" operator="lessThan">
      <formula>0</formula>
    </cfRule>
    <cfRule type="cellIs" dxfId="28958" priority="1204" operator="lessThan">
      <formula>-105575</formula>
    </cfRule>
  </conditionalFormatting>
  <conditionalFormatting sqref="BB264:BB267">
    <cfRule type="cellIs" dxfId="28957" priority="1201" operator="lessThan">
      <formula>0</formula>
    </cfRule>
    <cfRule type="cellIs" dxfId="28956" priority="1202" operator="lessThan">
      <formula>-105575</formula>
    </cfRule>
  </conditionalFormatting>
  <conditionalFormatting sqref="BB270:BB272">
    <cfRule type="cellIs" dxfId="28955" priority="1199" operator="lessThan">
      <formula>0</formula>
    </cfRule>
    <cfRule type="cellIs" dxfId="28954" priority="1200" operator="lessThan">
      <formula>-105575</formula>
    </cfRule>
  </conditionalFormatting>
  <conditionalFormatting sqref="BB270:BB272">
    <cfRule type="cellIs" dxfId="28953" priority="1197" operator="lessThan">
      <formula>0</formula>
    </cfRule>
    <cfRule type="cellIs" dxfId="28952" priority="1198" operator="lessThan">
      <formula>-105575</formula>
    </cfRule>
  </conditionalFormatting>
  <conditionalFormatting sqref="BB270:BB272">
    <cfRule type="cellIs" dxfId="28951" priority="1195" operator="lessThan">
      <formula>0</formula>
    </cfRule>
    <cfRule type="cellIs" dxfId="28950" priority="1196" operator="lessThan">
      <formula>-105575</formula>
    </cfRule>
  </conditionalFormatting>
  <conditionalFormatting sqref="BB270:BB272">
    <cfRule type="cellIs" dxfId="28949" priority="1193" operator="lessThan">
      <formula>0</formula>
    </cfRule>
    <cfRule type="cellIs" dxfId="28948" priority="1194" operator="lessThan">
      <formula>-105575</formula>
    </cfRule>
  </conditionalFormatting>
  <conditionalFormatting sqref="BB270:BB272">
    <cfRule type="cellIs" dxfId="28947" priority="1191" operator="lessThan">
      <formula>0</formula>
    </cfRule>
    <cfRule type="cellIs" dxfId="28946" priority="1192" operator="lessThan">
      <formula>-105575</formula>
    </cfRule>
  </conditionalFormatting>
  <conditionalFormatting sqref="BB270:BB272">
    <cfRule type="cellIs" dxfId="28945" priority="1189" operator="lessThan">
      <formula>0</formula>
    </cfRule>
    <cfRule type="cellIs" dxfId="28944" priority="1190" operator="lessThan">
      <formula>-105575</formula>
    </cfRule>
  </conditionalFormatting>
  <conditionalFormatting sqref="BB270:BB272">
    <cfRule type="cellIs" dxfId="28943" priority="1187" operator="lessThan">
      <formula>0</formula>
    </cfRule>
    <cfRule type="cellIs" dxfId="28942" priority="1188" operator="lessThan">
      <formula>-105575</formula>
    </cfRule>
  </conditionalFormatting>
  <conditionalFormatting sqref="BB270:BB272">
    <cfRule type="cellIs" dxfId="28941" priority="1185" operator="lessThan">
      <formula>0</formula>
    </cfRule>
    <cfRule type="cellIs" dxfId="28940" priority="1186" operator="lessThan">
      <formula>-105575</formula>
    </cfRule>
  </conditionalFormatting>
  <conditionalFormatting sqref="BB270:BB272">
    <cfRule type="cellIs" dxfId="28939" priority="1183" operator="lessThan">
      <formula>0</formula>
    </cfRule>
    <cfRule type="cellIs" dxfId="28938" priority="1184" operator="lessThan">
      <formula>-105575</formula>
    </cfRule>
  </conditionalFormatting>
  <conditionalFormatting sqref="BB274:BB275">
    <cfRule type="cellIs" dxfId="28937" priority="1181" operator="lessThan">
      <formula>0</formula>
    </cfRule>
    <cfRule type="cellIs" dxfId="28936" priority="1182" operator="lessThan">
      <formula>-105575</formula>
    </cfRule>
  </conditionalFormatting>
  <conditionalFormatting sqref="BB274:BB275">
    <cfRule type="cellIs" dxfId="28935" priority="1179" operator="lessThan">
      <formula>0</formula>
    </cfRule>
    <cfRule type="cellIs" dxfId="28934" priority="1180" operator="lessThan">
      <formula>-105575</formula>
    </cfRule>
  </conditionalFormatting>
  <conditionalFormatting sqref="BB274:BB275">
    <cfRule type="cellIs" dxfId="28933" priority="1177" operator="lessThan">
      <formula>0</formula>
    </cfRule>
    <cfRule type="cellIs" dxfId="28932" priority="1178" operator="lessThan">
      <formula>-105575</formula>
    </cfRule>
  </conditionalFormatting>
  <conditionalFormatting sqref="BB274:BB275">
    <cfRule type="cellIs" dxfId="28931" priority="1175" operator="lessThan">
      <formula>0</formula>
    </cfRule>
    <cfRule type="cellIs" dxfId="28930" priority="1176" operator="lessThan">
      <formula>-105575</formula>
    </cfRule>
  </conditionalFormatting>
  <conditionalFormatting sqref="BB274:BB275">
    <cfRule type="cellIs" dxfId="28929" priority="1173" operator="lessThan">
      <formula>0</formula>
    </cfRule>
    <cfRule type="cellIs" dxfId="28928" priority="1174" operator="lessThan">
      <formula>-105575</formula>
    </cfRule>
  </conditionalFormatting>
  <conditionalFormatting sqref="BB274:BB275">
    <cfRule type="cellIs" dxfId="28927" priority="1171" operator="lessThan">
      <formula>0</formula>
    </cfRule>
    <cfRule type="cellIs" dxfId="28926" priority="1172" operator="lessThan">
      <formula>-105575</formula>
    </cfRule>
  </conditionalFormatting>
  <conditionalFormatting sqref="BB274:BB275">
    <cfRule type="cellIs" dxfId="28925" priority="1169" operator="lessThan">
      <formula>0</formula>
    </cfRule>
    <cfRule type="cellIs" dxfId="28924" priority="1170" operator="lessThan">
      <formula>-105575</formula>
    </cfRule>
  </conditionalFormatting>
  <conditionalFormatting sqref="BB274:BB275">
    <cfRule type="cellIs" dxfId="28923" priority="1167" operator="lessThan">
      <formula>0</formula>
    </cfRule>
    <cfRule type="cellIs" dxfId="28922" priority="1168" operator="lessThan">
      <formula>-105575</formula>
    </cfRule>
  </conditionalFormatting>
  <conditionalFormatting sqref="BB274:BB275">
    <cfRule type="cellIs" dxfId="28921" priority="1165" operator="lessThan">
      <formula>0</formula>
    </cfRule>
    <cfRule type="cellIs" dxfId="28920" priority="1166" operator="lessThan">
      <formula>-105575</formula>
    </cfRule>
  </conditionalFormatting>
  <conditionalFormatting sqref="BB278:BB282">
    <cfRule type="cellIs" dxfId="28919" priority="1163" operator="lessThan">
      <formula>0</formula>
    </cfRule>
    <cfRule type="cellIs" dxfId="28918" priority="1164" operator="lessThan">
      <formula>-105575</formula>
    </cfRule>
  </conditionalFormatting>
  <conditionalFormatting sqref="BB278:BB282">
    <cfRule type="cellIs" dxfId="28917" priority="1161" operator="lessThan">
      <formula>0</formula>
    </cfRule>
    <cfRule type="cellIs" dxfId="28916" priority="1162" operator="lessThan">
      <formula>-105575</formula>
    </cfRule>
  </conditionalFormatting>
  <conditionalFormatting sqref="BB278:BB282">
    <cfRule type="cellIs" dxfId="28915" priority="1159" operator="lessThan">
      <formula>0</formula>
    </cfRule>
    <cfRule type="cellIs" dxfId="28914" priority="1160" operator="lessThan">
      <formula>-105575</formula>
    </cfRule>
  </conditionalFormatting>
  <conditionalFormatting sqref="BB278:BB282">
    <cfRule type="cellIs" dxfId="28913" priority="1157" operator="lessThan">
      <formula>0</formula>
    </cfRule>
    <cfRule type="cellIs" dxfId="28912" priority="1158" operator="lessThan">
      <formula>-105575</formula>
    </cfRule>
  </conditionalFormatting>
  <conditionalFormatting sqref="BB278:BB282">
    <cfRule type="cellIs" dxfId="28911" priority="1155" operator="lessThan">
      <formula>0</formula>
    </cfRule>
    <cfRule type="cellIs" dxfId="28910" priority="1156" operator="lessThan">
      <formula>-105575</formula>
    </cfRule>
  </conditionalFormatting>
  <conditionalFormatting sqref="BB278:BB282">
    <cfRule type="cellIs" dxfId="28909" priority="1153" operator="lessThan">
      <formula>0</formula>
    </cfRule>
    <cfRule type="cellIs" dxfId="28908" priority="1154" operator="lessThan">
      <formula>-105575</formula>
    </cfRule>
  </conditionalFormatting>
  <conditionalFormatting sqref="BB278:BB282">
    <cfRule type="cellIs" dxfId="28907" priority="1151" operator="lessThan">
      <formula>0</formula>
    </cfRule>
    <cfRule type="cellIs" dxfId="28906" priority="1152" operator="lessThan">
      <formula>-105575</formula>
    </cfRule>
  </conditionalFormatting>
  <conditionalFormatting sqref="BB278:BB282">
    <cfRule type="cellIs" dxfId="28905" priority="1149" operator="lessThan">
      <formula>0</formula>
    </cfRule>
    <cfRule type="cellIs" dxfId="28904" priority="1150" operator="lessThan">
      <formula>-105575</formula>
    </cfRule>
  </conditionalFormatting>
  <conditionalFormatting sqref="BB278:BB282">
    <cfRule type="cellIs" dxfId="28903" priority="1147" operator="lessThan">
      <formula>0</formula>
    </cfRule>
    <cfRule type="cellIs" dxfId="28902" priority="1148" operator="lessThan">
      <formula>-105575</formula>
    </cfRule>
  </conditionalFormatting>
  <conditionalFormatting sqref="BB285:BB288">
    <cfRule type="cellIs" dxfId="28901" priority="1145" operator="lessThan">
      <formula>0</formula>
    </cfRule>
    <cfRule type="cellIs" dxfId="28900" priority="1146" operator="lessThan">
      <formula>-105575</formula>
    </cfRule>
  </conditionalFormatting>
  <conditionalFormatting sqref="BB285:BB288">
    <cfRule type="cellIs" dxfId="28899" priority="1143" operator="lessThan">
      <formula>0</formula>
    </cfRule>
    <cfRule type="cellIs" dxfId="28898" priority="1144" operator="lessThan">
      <formula>-105575</formula>
    </cfRule>
  </conditionalFormatting>
  <conditionalFormatting sqref="BB285:BB288">
    <cfRule type="cellIs" dxfId="28897" priority="1141" operator="lessThan">
      <formula>0</formula>
    </cfRule>
    <cfRule type="cellIs" dxfId="28896" priority="1142" operator="lessThan">
      <formula>-105575</formula>
    </cfRule>
  </conditionalFormatting>
  <conditionalFormatting sqref="BB285:BB288">
    <cfRule type="cellIs" dxfId="28895" priority="1139" operator="lessThan">
      <formula>0</formula>
    </cfRule>
    <cfRule type="cellIs" dxfId="28894" priority="1140" operator="lessThan">
      <formula>-105575</formula>
    </cfRule>
  </conditionalFormatting>
  <conditionalFormatting sqref="BB285:BB288">
    <cfRule type="cellIs" dxfId="28893" priority="1137" operator="lessThan">
      <formula>0</formula>
    </cfRule>
    <cfRule type="cellIs" dxfId="28892" priority="1138" operator="lessThan">
      <formula>-105575</formula>
    </cfRule>
  </conditionalFormatting>
  <conditionalFormatting sqref="BB285:BB288">
    <cfRule type="cellIs" dxfId="28891" priority="1135" operator="lessThan">
      <formula>0</formula>
    </cfRule>
    <cfRule type="cellIs" dxfId="28890" priority="1136" operator="lessThan">
      <formula>-105575</formula>
    </cfRule>
  </conditionalFormatting>
  <conditionalFormatting sqref="BB285:BB288">
    <cfRule type="cellIs" dxfId="28889" priority="1133" operator="lessThan">
      <formula>0</formula>
    </cfRule>
    <cfRule type="cellIs" dxfId="28888" priority="1134" operator="lessThan">
      <formula>-105575</formula>
    </cfRule>
  </conditionalFormatting>
  <conditionalFormatting sqref="BB285:BB288">
    <cfRule type="cellIs" dxfId="28887" priority="1131" operator="lessThan">
      <formula>0</formula>
    </cfRule>
    <cfRule type="cellIs" dxfId="28886" priority="1132" operator="lessThan">
      <formula>-105575</formula>
    </cfRule>
  </conditionalFormatting>
  <conditionalFormatting sqref="BB285:BB288">
    <cfRule type="cellIs" dxfId="28885" priority="1129" operator="lessThan">
      <formula>0</formula>
    </cfRule>
    <cfRule type="cellIs" dxfId="28884" priority="1130" operator="lessThan">
      <formula>-105575</formula>
    </cfRule>
  </conditionalFormatting>
  <conditionalFormatting sqref="BB203 BB220:BB221 BB235:BB243 BB231:BB233 BB212:BB213 BB225:BB226">
    <cfRule type="cellIs" dxfId="28883" priority="1127" operator="lessThan">
      <formula>0</formula>
    </cfRule>
    <cfRule type="cellIs" dxfId="28882" priority="1128" operator="lessThan">
      <formula>-105575</formula>
    </cfRule>
  </conditionalFormatting>
  <conditionalFormatting sqref="BB220 BB212:BB213 BB235:BB238 BB240:BB243 BB225:BB226 BB231:BB233">
    <cfRule type="cellIs" dxfId="28881" priority="1125" operator="lessThan">
      <formula>0</formula>
    </cfRule>
    <cfRule type="cellIs" dxfId="28880" priority="1126" operator="lessThan">
      <formula>-105575</formula>
    </cfRule>
  </conditionalFormatting>
  <conditionalFormatting sqref="BB220:BB221 BB243 BB226 BB231:BB236 BB238:BB241 BB203 BB213">
    <cfRule type="cellIs" dxfId="28879" priority="1123" operator="lessThan">
      <formula>0</formula>
    </cfRule>
    <cfRule type="cellIs" dxfId="28878" priority="1124" operator="lessThan">
      <formula>-105575</formula>
    </cfRule>
  </conditionalFormatting>
  <conditionalFormatting sqref="BB235:BB243 BB231:BB233 BB220 BB212:BB213 BB225:BB226">
    <cfRule type="cellIs" dxfId="28877" priority="1121" operator="lessThan">
      <formula>0</formula>
    </cfRule>
    <cfRule type="cellIs" dxfId="28876" priority="1122" operator="lessThan">
      <formula>-105575</formula>
    </cfRule>
  </conditionalFormatting>
  <conditionalFormatting sqref="BB220:BB221 BB237:BB243 BB203 BB231:BB235 BB212:BB213 BB225:BB226">
    <cfRule type="cellIs" dxfId="28875" priority="1119" operator="lessThan">
      <formula>0</formula>
    </cfRule>
    <cfRule type="cellIs" dxfId="28874" priority="1120" operator="lessThan">
      <formula>-105575</formula>
    </cfRule>
  </conditionalFormatting>
  <conditionalFormatting sqref="BB220:BB221 BB237:BB240 BB242:BB243 BB225:BB226 BB231:BB235">
    <cfRule type="cellIs" dxfId="28873" priority="1117" operator="lessThan">
      <formula>0</formula>
    </cfRule>
    <cfRule type="cellIs" dxfId="28872" priority="1118" operator="lessThan">
      <formula>-105575</formula>
    </cfRule>
  </conditionalFormatting>
  <conditionalFormatting sqref="BB212 BB231 BB233:BB238 BB240:BB243 BB225">
    <cfRule type="cellIs" dxfId="28871" priority="1115" operator="lessThan">
      <formula>0</formula>
    </cfRule>
    <cfRule type="cellIs" dxfId="28870" priority="1116" operator="lessThan">
      <formula>-105575</formula>
    </cfRule>
  </conditionalFormatting>
  <conditionalFormatting sqref="BB237:BB243 BB231:BB235 BB220:BB221 BB225:BB226">
    <cfRule type="cellIs" dxfId="28869" priority="1113" operator="lessThan">
      <formula>0</formula>
    </cfRule>
    <cfRule type="cellIs" dxfId="28868" priority="1114" operator="lessThan">
      <formula>-105575</formula>
    </cfRule>
  </conditionalFormatting>
  <conditionalFormatting sqref="BB233:BB237 BB231 BB239:BB243">
    <cfRule type="cellIs" dxfId="28867" priority="1111" operator="lessThan">
      <formula>0</formula>
    </cfRule>
    <cfRule type="cellIs" dxfId="28866" priority="1112" operator="lessThan">
      <formula>-105575</formula>
    </cfRule>
  </conditionalFormatting>
  <conditionalFormatting sqref="BB233:BB237 BB231 BB239:BB243">
    <cfRule type="cellIs" dxfId="28865" priority="1109" operator="lessThan">
      <formula>0</formula>
    </cfRule>
    <cfRule type="cellIs" dxfId="28864" priority="1110" operator="lessThan">
      <formula>-105575</formula>
    </cfRule>
  </conditionalFormatting>
  <conditionalFormatting sqref="BB119:BB128 BB106:BB117 BB101:BB104 BB80:BB98">
    <cfRule type="cellIs" dxfId="28863" priority="1107" operator="lessThan">
      <formula>0</formula>
    </cfRule>
    <cfRule type="cellIs" dxfId="28862" priority="1108" operator="lessThan">
      <formula>-105575</formula>
    </cfRule>
  </conditionalFormatting>
  <conditionalFormatting sqref="BB130 BB132 BB134">
    <cfRule type="cellIs" dxfId="28861" priority="1105" operator="lessThan">
      <formula>0</formula>
    </cfRule>
    <cfRule type="cellIs" dxfId="28860" priority="1106" operator="lessThan">
      <formula>-105575</formula>
    </cfRule>
  </conditionalFormatting>
  <conditionalFormatting sqref="BB130 BB132 BB134">
    <cfRule type="cellIs" dxfId="28859" priority="1103" operator="lessThan">
      <formula>0</formula>
    </cfRule>
    <cfRule type="cellIs" dxfId="28858" priority="1104" operator="lessThan">
      <formula>-105575</formula>
    </cfRule>
  </conditionalFormatting>
  <conditionalFormatting sqref="BB129 BB131 BB133 BB135">
    <cfRule type="cellIs" dxfId="28857" priority="1101" operator="lessThan">
      <formula>0</formula>
    </cfRule>
    <cfRule type="cellIs" dxfId="28856" priority="1102" operator="lessThan">
      <formula>-105575</formula>
    </cfRule>
  </conditionalFormatting>
  <conditionalFormatting sqref="BB140 BB145 BB142:BB143 BB137:BB138">
    <cfRule type="cellIs" dxfId="28855" priority="1099" operator="lessThan">
      <formula>0</formula>
    </cfRule>
    <cfRule type="cellIs" dxfId="28854" priority="1100" operator="lessThan">
      <formula>-105575</formula>
    </cfRule>
  </conditionalFormatting>
  <conditionalFormatting sqref="BB149">
    <cfRule type="cellIs" dxfId="28853" priority="1097" operator="lessThan">
      <formula>0</formula>
    </cfRule>
    <cfRule type="cellIs" dxfId="28852" priority="1098" operator="lessThan">
      <formula>-105575</formula>
    </cfRule>
  </conditionalFormatting>
  <conditionalFormatting sqref="BB129:BB138 BB140:BB149">
    <cfRule type="cellIs" dxfId="28851" priority="1095" operator="lessThan">
      <formula>0</formula>
    </cfRule>
    <cfRule type="cellIs" dxfId="28850" priority="1096" operator="lessThan">
      <formula>-105575</formula>
    </cfRule>
  </conditionalFormatting>
  <conditionalFormatting sqref="BB86:BB87 BB89:BB91 BB141:BB149 BB124:BB133 BB107:BB110 BB112:BB117 BB119:BB122 BB135:BB138 BB101:BB104 BB80:BB84 BB94:BB98">
    <cfRule type="cellIs" dxfId="28849" priority="1093" operator="lessThan">
      <formula>0</formula>
    </cfRule>
    <cfRule type="cellIs" dxfId="28848" priority="1094" operator="lessThan">
      <formula>-105575</formula>
    </cfRule>
  </conditionalFormatting>
  <conditionalFormatting sqref="BB129 BB131 BB133 BB135">
    <cfRule type="cellIs" dxfId="28847" priority="1091" operator="lessThan">
      <formula>0</formula>
    </cfRule>
    <cfRule type="cellIs" dxfId="28846" priority="1092" operator="lessThan">
      <formula>-105575</formula>
    </cfRule>
  </conditionalFormatting>
  <conditionalFormatting sqref="BB146 BB144 BB141">
    <cfRule type="cellIs" dxfId="28845" priority="1089" operator="lessThan">
      <formula>0</formula>
    </cfRule>
    <cfRule type="cellIs" dxfId="28844" priority="1090" operator="lessThan">
      <formula>-105575</formula>
    </cfRule>
  </conditionalFormatting>
  <conditionalFormatting sqref="BB146 BB144 BB141">
    <cfRule type="cellIs" dxfId="28843" priority="1087" operator="lessThan">
      <formula>0</formula>
    </cfRule>
    <cfRule type="cellIs" dxfId="28842" priority="1088" operator="lessThan">
      <formula>-105575</formula>
    </cfRule>
  </conditionalFormatting>
  <conditionalFormatting sqref="BB140 BB145 BB142:BB143 BB137:BB138">
    <cfRule type="cellIs" dxfId="28841" priority="1085" operator="lessThan">
      <formula>0</formula>
    </cfRule>
    <cfRule type="cellIs" dxfId="28840" priority="1086" operator="lessThan">
      <formula>-105575</formula>
    </cfRule>
  </conditionalFormatting>
  <conditionalFormatting sqref="BB149">
    <cfRule type="cellIs" dxfId="28839" priority="1083" operator="lessThan">
      <formula>0</formula>
    </cfRule>
    <cfRule type="cellIs" dxfId="28838" priority="1084" operator="lessThan">
      <formula>-105575</formula>
    </cfRule>
  </conditionalFormatting>
  <conditionalFormatting sqref="BB86:BB87 BB89:BB91 BB141:BB149 BB124:BB133 BB107:BB110 BB112:BB117 BB119:BB122 BB135:BB138 BB101:BB104 BB80:BB84 BB94:BB98">
    <cfRule type="cellIs" dxfId="28837" priority="1081" operator="lessThan">
      <formula>0</formula>
    </cfRule>
    <cfRule type="cellIs" dxfId="28836" priority="1082" operator="lessThan">
      <formula>-105575</formula>
    </cfRule>
  </conditionalFormatting>
  <conditionalFormatting sqref="BB246:BB249 BB262 BB267 BB279:BB282 BB285:BB288 BB274:BB275 BB306:BB309 BB311:BB325 BB327:BB330 BB332:BB341 BB344:BB347 BB349:BB353 BB355:BB358 BB360:BB384 BB386:BB389 BB392:BB395 BB397:BB411 BB413:BB416 BB418:BB432 BB434:BB437 BB439:BB453 BB455:BB458 BB460:BB469 BB12:BB14 BB17:BB18 BB21:BB24 BB26:BB28 BB30:BB36 BB38 BB41:BB43 BB46:BB49 BB51:BB55 BB57:BB59 BB62:BB76 BB251:BB253 BB255:BB257 BB293:BB304 BB264:BB265 BB260 BB290:BB291 BB270:BB272 BB7:BB10">
    <cfRule type="cellIs" dxfId="28835" priority="1079" operator="lessThan">
      <formula>0</formula>
    </cfRule>
    <cfRule type="cellIs" dxfId="28834" priority="1080" operator="lessThan">
      <formula>-105575</formula>
    </cfRule>
  </conditionalFormatting>
  <conditionalFormatting sqref="BB41">
    <cfRule type="cellIs" dxfId="28833" priority="1077" operator="lessThan">
      <formula>0</formula>
    </cfRule>
    <cfRule type="cellIs" dxfId="28832" priority="1078" operator="lessThan">
      <formula>-105575</formula>
    </cfRule>
  </conditionalFormatting>
  <conditionalFormatting sqref="BB152:BB155">
    <cfRule type="cellIs" dxfId="28831" priority="1075" operator="lessThan">
      <formula>0</formula>
    </cfRule>
    <cfRule type="cellIs" dxfId="28830" priority="1076" operator="lessThan">
      <formula>-105575</formula>
    </cfRule>
  </conditionalFormatting>
  <conditionalFormatting sqref="BB152:BB155">
    <cfRule type="cellIs" dxfId="28829" priority="1073" operator="lessThan">
      <formula>0</formula>
    </cfRule>
    <cfRule type="cellIs" dxfId="28828" priority="1074" operator="lessThan">
      <formula>-105575</formula>
    </cfRule>
  </conditionalFormatting>
  <conditionalFormatting sqref="BB152:BB155">
    <cfRule type="cellIs" dxfId="28827" priority="1071" operator="lessThan">
      <formula>0</formula>
    </cfRule>
    <cfRule type="cellIs" dxfId="28826" priority="1072" operator="lessThan">
      <formula>-105575</formula>
    </cfRule>
  </conditionalFormatting>
  <conditionalFormatting sqref="BB157:BB158">
    <cfRule type="cellIs" dxfId="28825" priority="1069" operator="lessThan">
      <formula>0</formula>
    </cfRule>
    <cfRule type="cellIs" dxfId="28824" priority="1070" operator="lessThan">
      <formula>-105575</formula>
    </cfRule>
  </conditionalFormatting>
  <conditionalFormatting sqref="BB157:BB158">
    <cfRule type="cellIs" dxfId="28823" priority="1067" operator="lessThan">
      <formula>0</formula>
    </cfRule>
    <cfRule type="cellIs" dxfId="28822" priority="1068" operator="lessThan">
      <formula>-105575</formula>
    </cfRule>
  </conditionalFormatting>
  <conditionalFormatting sqref="BB157:BB158">
    <cfRule type="cellIs" dxfId="28821" priority="1065" operator="lessThan">
      <formula>0</formula>
    </cfRule>
    <cfRule type="cellIs" dxfId="28820" priority="1066" operator="lessThan">
      <formula>-105575</formula>
    </cfRule>
  </conditionalFormatting>
  <conditionalFormatting sqref="BB160:BB161">
    <cfRule type="cellIs" dxfId="28819" priority="1063" operator="lessThan">
      <formula>0</formula>
    </cfRule>
    <cfRule type="cellIs" dxfId="28818" priority="1064" operator="lessThan">
      <formula>-105575</formula>
    </cfRule>
  </conditionalFormatting>
  <conditionalFormatting sqref="BB160:BB161">
    <cfRule type="cellIs" dxfId="28817" priority="1061" operator="lessThan">
      <formula>0</formula>
    </cfRule>
    <cfRule type="cellIs" dxfId="28816" priority="1062" operator="lessThan">
      <formula>-105575</formula>
    </cfRule>
  </conditionalFormatting>
  <conditionalFormatting sqref="BB160:BB161">
    <cfRule type="cellIs" dxfId="28815" priority="1059" operator="lessThan">
      <formula>0</formula>
    </cfRule>
    <cfRule type="cellIs" dxfId="28814" priority="1060" operator="lessThan">
      <formula>-105575</formula>
    </cfRule>
  </conditionalFormatting>
  <conditionalFormatting sqref="BB164:BB167">
    <cfRule type="cellIs" dxfId="28813" priority="1057" operator="lessThan">
      <formula>0</formula>
    </cfRule>
    <cfRule type="cellIs" dxfId="28812" priority="1058" operator="lessThan">
      <formula>-105575</formula>
    </cfRule>
  </conditionalFormatting>
  <conditionalFormatting sqref="BB164:BB167">
    <cfRule type="cellIs" dxfId="28811" priority="1055" operator="lessThan">
      <formula>0</formula>
    </cfRule>
    <cfRule type="cellIs" dxfId="28810" priority="1056" operator="lessThan">
      <formula>-105575</formula>
    </cfRule>
  </conditionalFormatting>
  <conditionalFormatting sqref="BB164:BB167">
    <cfRule type="cellIs" dxfId="28809" priority="1053" operator="lessThan">
      <formula>0</formula>
    </cfRule>
    <cfRule type="cellIs" dxfId="28808" priority="1054" operator="lessThan">
      <formula>-105575</formula>
    </cfRule>
  </conditionalFormatting>
  <conditionalFormatting sqref="BB169:BB177">
    <cfRule type="cellIs" dxfId="28807" priority="1051" operator="lessThan">
      <formula>0</formula>
    </cfRule>
    <cfRule type="cellIs" dxfId="28806" priority="1052" operator="lessThan">
      <formula>-105575</formula>
    </cfRule>
  </conditionalFormatting>
  <conditionalFormatting sqref="BB169:BB177">
    <cfRule type="cellIs" dxfId="28805" priority="1049" operator="lessThan">
      <formula>0</formula>
    </cfRule>
    <cfRule type="cellIs" dxfId="28804" priority="1050" operator="lessThan">
      <formula>-105575</formula>
    </cfRule>
  </conditionalFormatting>
  <conditionalFormatting sqref="BB169:BB177">
    <cfRule type="cellIs" dxfId="28803" priority="1047" operator="lessThan">
      <formula>0</formula>
    </cfRule>
    <cfRule type="cellIs" dxfId="28802" priority="1048" operator="lessThan">
      <formula>-105575</formula>
    </cfRule>
  </conditionalFormatting>
  <conditionalFormatting sqref="BB179:BB180">
    <cfRule type="cellIs" dxfId="28801" priority="1045" operator="lessThan">
      <formula>0</formula>
    </cfRule>
    <cfRule type="cellIs" dxfId="28800" priority="1046" operator="lessThan">
      <formula>-105575</formula>
    </cfRule>
  </conditionalFormatting>
  <conditionalFormatting sqref="BB179:BB180">
    <cfRule type="cellIs" dxfId="28799" priority="1043" operator="lessThan">
      <formula>0</formula>
    </cfRule>
    <cfRule type="cellIs" dxfId="28798" priority="1044" operator="lessThan">
      <formula>-105575</formula>
    </cfRule>
  </conditionalFormatting>
  <conditionalFormatting sqref="BB179:BB180">
    <cfRule type="cellIs" dxfId="28797" priority="1041" operator="lessThan">
      <formula>0</formula>
    </cfRule>
    <cfRule type="cellIs" dxfId="28796" priority="1042" operator="lessThan">
      <formula>-105575</formula>
    </cfRule>
  </conditionalFormatting>
  <conditionalFormatting sqref="BB183:BB189">
    <cfRule type="cellIs" dxfId="28795" priority="1039" operator="lessThan">
      <formula>0</formula>
    </cfRule>
    <cfRule type="cellIs" dxfId="28794" priority="1040" operator="lessThan">
      <formula>-105575</formula>
    </cfRule>
  </conditionalFormatting>
  <conditionalFormatting sqref="BB183:BB189">
    <cfRule type="cellIs" dxfId="28793" priority="1037" operator="lessThan">
      <formula>0</formula>
    </cfRule>
    <cfRule type="cellIs" dxfId="28792" priority="1038" operator="lessThan">
      <formula>-105575</formula>
    </cfRule>
  </conditionalFormatting>
  <conditionalFormatting sqref="BB183:BB189">
    <cfRule type="cellIs" dxfId="28791" priority="1035" operator="lessThan">
      <formula>0</formula>
    </cfRule>
    <cfRule type="cellIs" dxfId="28790" priority="1036" operator="lessThan">
      <formula>-105575</formula>
    </cfRule>
  </conditionalFormatting>
  <conditionalFormatting sqref="BB191:BB192">
    <cfRule type="cellIs" dxfId="28789" priority="1033" operator="lessThan">
      <formula>0</formula>
    </cfRule>
    <cfRule type="cellIs" dxfId="28788" priority="1034" operator="lessThan">
      <formula>-105575</formula>
    </cfRule>
  </conditionalFormatting>
  <conditionalFormatting sqref="BB191:BB192">
    <cfRule type="cellIs" dxfId="28787" priority="1031" operator="lessThan">
      <formula>0</formula>
    </cfRule>
    <cfRule type="cellIs" dxfId="28786" priority="1032" operator="lessThan">
      <formula>-105575</formula>
    </cfRule>
  </conditionalFormatting>
  <conditionalFormatting sqref="BB191:BB192">
    <cfRule type="cellIs" dxfId="28785" priority="1029" operator="lessThan">
      <formula>0</formula>
    </cfRule>
    <cfRule type="cellIs" dxfId="28784" priority="1030" operator="lessThan">
      <formula>-105575</formula>
    </cfRule>
  </conditionalFormatting>
  <conditionalFormatting sqref="BB194:BB195">
    <cfRule type="cellIs" dxfId="28783" priority="1027" operator="lessThan">
      <formula>0</formula>
    </cfRule>
    <cfRule type="cellIs" dxfId="28782" priority="1028" operator="lessThan">
      <formula>-105575</formula>
    </cfRule>
  </conditionalFormatting>
  <conditionalFormatting sqref="BB194:BB195">
    <cfRule type="cellIs" dxfId="28781" priority="1025" operator="lessThan">
      <formula>0</formula>
    </cfRule>
    <cfRule type="cellIs" dxfId="28780" priority="1026" operator="lessThan">
      <formula>-105575</formula>
    </cfRule>
  </conditionalFormatting>
  <conditionalFormatting sqref="BB194:BB195">
    <cfRule type="cellIs" dxfId="28779" priority="1023" operator="lessThan">
      <formula>0</formula>
    </cfRule>
    <cfRule type="cellIs" dxfId="28778" priority="1024" operator="lessThan">
      <formula>-105575</formula>
    </cfRule>
  </conditionalFormatting>
  <conditionalFormatting sqref="BB199:BB202">
    <cfRule type="cellIs" dxfId="28777" priority="1021" operator="lessThan">
      <formula>0</formula>
    </cfRule>
    <cfRule type="cellIs" dxfId="28776" priority="1022" operator="lessThan">
      <formula>-105575</formula>
    </cfRule>
  </conditionalFormatting>
  <conditionalFormatting sqref="BB199:BB202">
    <cfRule type="cellIs" dxfId="28775" priority="1019" operator="lessThan">
      <formula>0</formula>
    </cfRule>
    <cfRule type="cellIs" dxfId="28774" priority="1020" operator="lessThan">
      <formula>-105575</formula>
    </cfRule>
  </conditionalFormatting>
  <conditionalFormatting sqref="BB199:BB202">
    <cfRule type="cellIs" dxfId="28773" priority="1017" operator="lessThan">
      <formula>0</formula>
    </cfRule>
    <cfRule type="cellIs" dxfId="28772" priority="1018" operator="lessThan">
      <formula>-105575</formula>
    </cfRule>
  </conditionalFormatting>
  <conditionalFormatting sqref="BB204:BB208">
    <cfRule type="cellIs" dxfId="28771" priority="1015" operator="lessThan">
      <formula>0</formula>
    </cfRule>
    <cfRule type="cellIs" dxfId="28770" priority="1016" operator="lessThan">
      <formula>-105575</formula>
    </cfRule>
  </conditionalFormatting>
  <conditionalFormatting sqref="BB204:BB208">
    <cfRule type="cellIs" dxfId="28769" priority="1013" operator="lessThan">
      <formula>0</formula>
    </cfRule>
    <cfRule type="cellIs" dxfId="28768" priority="1014" operator="lessThan">
      <formula>-105575</formula>
    </cfRule>
  </conditionalFormatting>
  <conditionalFormatting sqref="BB204:BB208">
    <cfRule type="cellIs" dxfId="28767" priority="1011" operator="lessThan">
      <formula>0</formula>
    </cfRule>
    <cfRule type="cellIs" dxfId="28766" priority="1012" operator="lessThan">
      <formula>-105575</formula>
    </cfRule>
  </conditionalFormatting>
  <conditionalFormatting sqref="BB210:BB211">
    <cfRule type="cellIs" dxfId="28765" priority="1009" operator="lessThan">
      <formula>0</formula>
    </cfRule>
    <cfRule type="cellIs" dxfId="28764" priority="1010" operator="lessThan">
      <formula>-105575</formula>
    </cfRule>
  </conditionalFormatting>
  <conditionalFormatting sqref="BB210:BB211">
    <cfRule type="cellIs" dxfId="28763" priority="1007" operator="lessThan">
      <formula>0</formula>
    </cfRule>
    <cfRule type="cellIs" dxfId="28762" priority="1008" operator="lessThan">
      <formula>-105575</formula>
    </cfRule>
  </conditionalFormatting>
  <conditionalFormatting sqref="BB210:BB211">
    <cfRule type="cellIs" dxfId="28761" priority="1005" operator="lessThan">
      <formula>0</formula>
    </cfRule>
    <cfRule type="cellIs" dxfId="28760" priority="1006" operator="lessThan">
      <formula>-105575</formula>
    </cfRule>
  </conditionalFormatting>
  <conditionalFormatting sqref="BB214:BB219">
    <cfRule type="cellIs" dxfId="28759" priority="1003" operator="lessThan">
      <formula>0</formula>
    </cfRule>
    <cfRule type="cellIs" dxfId="28758" priority="1004" operator="lessThan">
      <formula>-105575</formula>
    </cfRule>
  </conditionalFormatting>
  <conditionalFormatting sqref="BB214:BB219">
    <cfRule type="cellIs" dxfId="28757" priority="1001" operator="lessThan">
      <formula>0</formula>
    </cfRule>
    <cfRule type="cellIs" dxfId="28756" priority="1002" operator="lessThan">
      <formula>-105575</formula>
    </cfRule>
  </conditionalFormatting>
  <conditionalFormatting sqref="BB214:BB219">
    <cfRule type="cellIs" dxfId="28755" priority="999" operator="lessThan">
      <formula>0</formula>
    </cfRule>
    <cfRule type="cellIs" dxfId="28754" priority="1000" operator="lessThan">
      <formula>-105575</formula>
    </cfRule>
  </conditionalFormatting>
  <conditionalFormatting sqref="BB222:BB224">
    <cfRule type="cellIs" dxfId="28753" priority="997" operator="lessThan">
      <formula>0</formula>
    </cfRule>
    <cfRule type="cellIs" dxfId="28752" priority="998" operator="lessThan">
      <formula>-105575</formula>
    </cfRule>
  </conditionalFormatting>
  <conditionalFormatting sqref="BB222:BB224">
    <cfRule type="cellIs" dxfId="28751" priority="995" operator="lessThan">
      <formula>0</formula>
    </cfRule>
    <cfRule type="cellIs" dxfId="28750" priority="996" operator="lessThan">
      <formula>-105575</formula>
    </cfRule>
  </conditionalFormatting>
  <conditionalFormatting sqref="BB222:BB224">
    <cfRule type="cellIs" dxfId="28749" priority="993" operator="lessThan">
      <formula>0</formula>
    </cfRule>
    <cfRule type="cellIs" dxfId="28748" priority="994" operator="lessThan">
      <formula>-105575</formula>
    </cfRule>
  </conditionalFormatting>
  <conditionalFormatting sqref="BB227:BB230">
    <cfRule type="cellIs" dxfId="28747" priority="991" operator="lessThan">
      <formula>0</formula>
    </cfRule>
    <cfRule type="cellIs" dxfId="28746" priority="992" operator="lessThan">
      <formula>-105575</formula>
    </cfRule>
  </conditionalFormatting>
  <conditionalFormatting sqref="BB227:BB230">
    <cfRule type="cellIs" dxfId="28745" priority="989" operator="lessThan">
      <formula>0</formula>
    </cfRule>
    <cfRule type="cellIs" dxfId="28744" priority="990" operator="lessThan">
      <formula>-105575</formula>
    </cfRule>
  </conditionalFormatting>
  <conditionalFormatting sqref="BB227:BB230">
    <cfRule type="cellIs" dxfId="28743" priority="987" operator="lessThan">
      <formula>0</formula>
    </cfRule>
    <cfRule type="cellIs" dxfId="28742" priority="988" operator="lessThan">
      <formula>-105575</formula>
    </cfRule>
  </conditionalFormatting>
  <conditionalFormatting sqref="BB203 BB220:BB221 BB235:BB243 BB231:BB233 BB212:BB213 BB225:BB226">
    <cfRule type="cellIs" dxfId="28741" priority="985" operator="lessThan">
      <formula>0</formula>
    </cfRule>
    <cfRule type="cellIs" dxfId="28740" priority="986" operator="lessThan">
      <formula>-105575</formula>
    </cfRule>
  </conditionalFormatting>
  <conditionalFormatting sqref="BB220 BB212:BB213 BB235:BB238 BB240:BB243 BB225:BB226 BB231:BB233">
    <cfRule type="cellIs" dxfId="28739" priority="983" operator="lessThan">
      <formula>0</formula>
    </cfRule>
    <cfRule type="cellIs" dxfId="28738" priority="984" operator="lessThan">
      <formula>-105575</formula>
    </cfRule>
  </conditionalFormatting>
  <conditionalFormatting sqref="BB220:BB221 BB243 BB226 BB231:BB236 BB238:BB241 BB203 BB213">
    <cfRule type="cellIs" dxfId="28737" priority="981" operator="lessThan">
      <formula>0</formula>
    </cfRule>
    <cfRule type="cellIs" dxfId="28736" priority="982" operator="lessThan">
      <formula>-105575</formula>
    </cfRule>
  </conditionalFormatting>
  <conditionalFormatting sqref="BB235:BB243 BB231:BB233 BB220 BB212:BB213 BB225:BB226">
    <cfRule type="cellIs" dxfId="28735" priority="979" operator="lessThan">
      <formula>0</formula>
    </cfRule>
    <cfRule type="cellIs" dxfId="28734" priority="980" operator="lessThan">
      <formula>-105575</formula>
    </cfRule>
  </conditionalFormatting>
  <conditionalFormatting sqref="BB220:BB221 BB237:BB243 BB203 BB231:BB235 BB212:BB213 BB225:BB226">
    <cfRule type="cellIs" dxfId="28733" priority="977" operator="lessThan">
      <formula>0</formula>
    </cfRule>
    <cfRule type="cellIs" dxfId="28732" priority="978" operator="lessThan">
      <formula>-105575</formula>
    </cfRule>
  </conditionalFormatting>
  <conditionalFormatting sqref="BB220:BB221 BB237:BB240 BB242:BB243 BB225:BB226 BB231:BB235">
    <cfRule type="cellIs" dxfId="28731" priority="975" operator="lessThan">
      <formula>0</formula>
    </cfRule>
    <cfRule type="cellIs" dxfId="28730" priority="976" operator="lessThan">
      <formula>-105575</formula>
    </cfRule>
  </conditionalFormatting>
  <conditionalFormatting sqref="BB212 BB231 BB233:BB238 BB240:BB243 BB225">
    <cfRule type="cellIs" dxfId="28729" priority="973" operator="lessThan">
      <formula>0</formula>
    </cfRule>
    <cfRule type="cellIs" dxfId="28728" priority="974" operator="lessThan">
      <formula>-105575</formula>
    </cfRule>
  </conditionalFormatting>
  <conditionalFormatting sqref="BB237:BB243 BB231:BB235 BB220:BB221 BB225:BB226">
    <cfRule type="cellIs" dxfId="28727" priority="971" operator="lessThan">
      <formula>0</formula>
    </cfRule>
    <cfRule type="cellIs" dxfId="28726" priority="972" operator="lessThan">
      <formula>-105575</formula>
    </cfRule>
  </conditionalFormatting>
  <conditionalFormatting sqref="BB233:BB237 BB231 BB239:BB243">
    <cfRule type="cellIs" dxfId="28725" priority="969" operator="lessThan">
      <formula>0</formula>
    </cfRule>
    <cfRule type="cellIs" dxfId="28724" priority="970" operator="lessThan">
      <formula>-105575</formula>
    </cfRule>
  </conditionalFormatting>
  <conditionalFormatting sqref="BB233:BB237 BB231 BB239:BB243">
    <cfRule type="cellIs" dxfId="28723" priority="967" operator="lessThan">
      <formula>0</formula>
    </cfRule>
    <cfRule type="cellIs" dxfId="28722" priority="968" operator="lessThan">
      <formula>-105575</formula>
    </cfRule>
  </conditionalFormatting>
  <conditionalFormatting sqref="BB119:BB128 BB106:BB117 BB101:BB104 BB80:BB98">
    <cfRule type="cellIs" dxfId="28721" priority="965" operator="lessThan">
      <formula>0</formula>
    </cfRule>
    <cfRule type="cellIs" dxfId="28720" priority="966" operator="lessThan">
      <formula>-105575</formula>
    </cfRule>
  </conditionalFormatting>
  <conditionalFormatting sqref="BB130 BB132 BB134">
    <cfRule type="cellIs" dxfId="28719" priority="963" operator="lessThan">
      <formula>0</formula>
    </cfRule>
    <cfRule type="cellIs" dxfId="28718" priority="964" operator="lessThan">
      <formula>-105575</formula>
    </cfRule>
  </conditionalFormatting>
  <conditionalFormatting sqref="BB130 BB132 BB134">
    <cfRule type="cellIs" dxfId="28717" priority="961" operator="lessThan">
      <formula>0</formula>
    </cfRule>
    <cfRule type="cellIs" dxfId="28716" priority="962" operator="lessThan">
      <formula>-105575</formula>
    </cfRule>
  </conditionalFormatting>
  <conditionalFormatting sqref="BB129 BB131 BB133 BB135">
    <cfRule type="cellIs" dxfId="28715" priority="959" operator="lessThan">
      <formula>0</formula>
    </cfRule>
    <cfRule type="cellIs" dxfId="28714" priority="960" operator="lessThan">
      <formula>-105575</formula>
    </cfRule>
  </conditionalFormatting>
  <conditionalFormatting sqref="BB140 BB145 BB142:BB143 BB137:BB138">
    <cfRule type="cellIs" dxfId="28713" priority="957" operator="lessThan">
      <formula>0</formula>
    </cfRule>
    <cfRule type="cellIs" dxfId="28712" priority="958" operator="lessThan">
      <formula>-105575</formula>
    </cfRule>
  </conditionalFormatting>
  <conditionalFormatting sqref="BB149">
    <cfRule type="cellIs" dxfId="28711" priority="955" operator="lessThan">
      <formula>0</formula>
    </cfRule>
    <cfRule type="cellIs" dxfId="28710" priority="956" operator="lessThan">
      <formula>-105575</formula>
    </cfRule>
  </conditionalFormatting>
  <conditionalFormatting sqref="BB129:BB138 BB140:BB149">
    <cfRule type="cellIs" dxfId="28709" priority="953" operator="lessThan">
      <formula>0</formula>
    </cfRule>
    <cfRule type="cellIs" dxfId="28708" priority="954" operator="lessThan">
      <formula>-105575</formula>
    </cfRule>
  </conditionalFormatting>
  <conditionalFormatting sqref="BB86:BB87 BB89:BB91 BB141:BB149 BB124:BB133 BB107:BB110 BB112:BB117 BB119:BB122 BB135:BB138 BB101:BB104 BB80:BB84 BB94:BB98">
    <cfRule type="cellIs" dxfId="28707" priority="951" operator="lessThan">
      <formula>0</formula>
    </cfRule>
    <cfRule type="cellIs" dxfId="28706" priority="952" operator="lessThan">
      <formula>-105575</formula>
    </cfRule>
  </conditionalFormatting>
  <conditionalFormatting sqref="BB129 BB131 BB133 BB135">
    <cfRule type="cellIs" dxfId="28705" priority="949" operator="lessThan">
      <formula>0</formula>
    </cfRule>
    <cfRule type="cellIs" dxfId="28704" priority="950" operator="lessThan">
      <formula>-105575</formula>
    </cfRule>
  </conditionalFormatting>
  <conditionalFormatting sqref="BB146 BB144 BB141">
    <cfRule type="cellIs" dxfId="28703" priority="947" operator="lessThan">
      <formula>0</formula>
    </cfRule>
    <cfRule type="cellIs" dxfId="28702" priority="948" operator="lessThan">
      <formula>-105575</formula>
    </cfRule>
  </conditionalFormatting>
  <conditionalFormatting sqref="BB146 BB144 BB141">
    <cfRule type="cellIs" dxfId="28701" priority="945" operator="lessThan">
      <formula>0</formula>
    </cfRule>
    <cfRule type="cellIs" dxfId="28700" priority="946" operator="lessThan">
      <formula>-105575</formula>
    </cfRule>
  </conditionalFormatting>
  <conditionalFormatting sqref="BB140 BB145 BB142:BB143 BB137:BB138">
    <cfRule type="cellIs" dxfId="28699" priority="943" operator="lessThan">
      <formula>0</formula>
    </cfRule>
    <cfRule type="cellIs" dxfId="28698" priority="944" operator="lessThan">
      <formula>-105575</formula>
    </cfRule>
  </conditionalFormatting>
  <conditionalFormatting sqref="BB149">
    <cfRule type="cellIs" dxfId="28697" priority="941" operator="lessThan">
      <formula>0</formula>
    </cfRule>
    <cfRule type="cellIs" dxfId="28696" priority="942" operator="lessThan">
      <formula>-105575</formula>
    </cfRule>
  </conditionalFormatting>
  <conditionalFormatting sqref="BB86:BB87 BB89:BB91 BB141:BB149 BB124:BB133 BB107:BB110 BB112:BB117 BB119:BB122 BB135:BB138 BB101:BB104 BB80:BB84 BB94:BB98">
    <cfRule type="cellIs" dxfId="28695" priority="939" operator="lessThan">
      <formula>0</formula>
    </cfRule>
    <cfRule type="cellIs" dxfId="28694" priority="940" operator="lessThan">
      <formula>-105575</formula>
    </cfRule>
  </conditionalFormatting>
  <conditionalFormatting sqref="BB62:BB76 BB306:BB309 BB311:BB325 BB327:BB330 BB332:BB341 BB344:BB347 BB349:BB353 BB355:BB358 BB360:BB384 BB386:BB389 BB392:BB395 BB397:BB411 BB413:BB416 BB418:BB432 BB434:BB437 BB439:BB453 BB455:BB458 BB460:BB469 BB12:BB14 BB17:BB18 BB21:BB24 BB26:BB28 BB30:BB36 BB38 BB41:BB43 BB46:BB49 BB51:BB55 BB57:BB59 BB290:BB291 BB293:BB304 BB7:BB10">
    <cfRule type="cellIs" dxfId="28693" priority="937" operator="lessThan">
      <formula>0</formula>
    </cfRule>
    <cfRule type="cellIs" dxfId="28692" priority="938" operator="lessThan">
      <formula>-105575</formula>
    </cfRule>
  </conditionalFormatting>
  <conditionalFormatting sqref="BB41">
    <cfRule type="cellIs" dxfId="28691" priority="935" operator="lessThan">
      <formula>0</formula>
    </cfRule>
    <cfRule type="cellIs" dxfId="28690" priority="936" operator="lessThan">
      <formula>-105575</formula>
    </cfRule>
  </conditionalFormatting>
  <conditionalFormatting sqref="BB152:BB155">
    <cfRule type="cellIs" dxfId="28689" priority="933" operator="lessThan">
      <formula>0</formula>
    </cfRule>
    <cfRule type="cellIs" dxfId="28688" priority="934" operator="lessThan">
      <formula>-105575</formula>
    </cfRule>
  </conditionalFormatting>
  <conditionalFormatting sqref="BB152:BB155">
    <cfRule type="cellIs" dxfId="28687" priority="931" operator="lessThan">
      <formula>0</formula>
    </cfRule>
    <cfRule type="cellIs" dxfId="28686" priority="932" operator="lessThan">
      <formula>-105575</formula>
    </cfRule>
  </conditionalFormatting>
  <conditionalFormatting sqref="BB152:BB155">
    <cfRule type="cellIs" dxfId="28685" priority="929" operator="lessThan">
      <formula>0</formula>
    </cfRule>
    <cfRule type="cellIs" dxfId="28684" priority="930" operator="lessThan">
      <formula>-105575</formula>
    </cfRule>
  </conditionalFormatting>
  <conditionalFormatting sqref="BB157:BB158">
    <cfRule type="cellIs" dxfId="28683" priority="927" operator="lessThan">
      <formula>0</formula>
    </cfRule>
    <cfRule type="cellIs" dxfId="28682" priority="928" operator="lessThan">
      <formula>-105575</formula>
    </cfRule>
  </conditionalFormatting>
  <conditionalFormatting sqref="BB157:BB158">
    <cfRule type="cellIs" dxfId="28681" priority="925" operator="lessThan">
      <formula>0</formula>
    </cfRule>
    <cfRule type="cellIs" dxfId="28680" priority="926" operator="lessThan">
      <formula>-105575</formula>
    </cfRule>
  </conditionalFormatting>
  <conditionalFormatting sqref="BB157:BB158">
    <cfRule type="cellIs" dxfId="28679" priority="923" operator="lessThan">
      <formula>0</formula>
    </cfRule>
    <cfRule type="cellIs" dxfId="28678" priority="924" operator="lessThan">
      <formula>-105575</formula>
    </cfRule>
  </conditionalFormatting>
  <conditionalFormatting sqref="BB160:BB161">
    <cfRule type="cellIs" dxfId="28677" priority="921" operator="lessThan">
      <formula>0</formula>
    </cfRule>
    <cfRule type="cellIs" dxfId="28676" priority="922" operator="lessThan">
      <formula>-105575</formula>
    </cfRule>
  </conditionalFormatting>
  <conditionalFormatting sqref="BB160:BB161">
    <cfRule type="cellIs" dxfId="28675" priority="919" operator="lessThan">
      <formula>0</formula>
    </cfRule>
    <cfRule type="cellIs" dxfId="28674" priority="920" operator="lessThan">
      <formula>-105575</formula>
    </cfRule>
  </conditionalFormatting>
  <conditionalFormatting sqref="BB160:BB161">
    <cfRule type="cellIs" dxfId="28673" priority="917" operator="lessThan">
      <formula>0</formula>
    </cfRule>
    <cfRule type="cellIs" dxfId="28672" priority="918" operator="lessThan">
      <formula>-105575</formula>
    </cfRule>
  </conditionalFormatting>
  <conditionalFormatting sqref="BB164:BB167">
    <cfRule type="cellIs" dxfId="28671" priority="915" operator="lessThan">
      <formula>0</formula>
    </cfRule>
    <cfRule type="cellIs" dxfId="28670" priority="916" operator="lessThan">
      <formula>-105575</formula>
    </cfRule>
  </conditionalFormatting>
  <conditionalFormatting sqref="BB164:BB167">
    <cfRule type="cellIs" dxfId="28669" priority="913" operator="lessThan">
      <formula>0</formula>
    </cfRule>
    <cfRule type="cellIs" dxfId="28668" priority="914" operator="lessThan">
      <formula>-105575</formula>
    </cfRule>
  </conditionalFormatting>
  <conditionalFormatting sqref="BB164:BB167">
    <cfRule type="cellIs" dxfId="28667" priority="911" operator="lessThan">
      <formula>0</formula>
    </cfRule>
    <cfRule type="cellIs" dxfId="28666" priority="912" operator="lessThan">
      <formula>-105575</formula>
    </cfRule>
  </conditionalFormatting>
  <conditionalFormatting sqref="BB169:BB177">
    <cfRule type="cellIs" dxfId="28665" priority="909" operator="lessThan">
      <formula>0</formula>
    </cfRule>
    <cfRule type="cellIs" dxfId="28664" priority="910" operator="lessThan">
      <formula>-105575</formula>
    </cfRule>
  </conditionalFormatting>
  <conditionalFormatting sqref="BB169:BB177">
    <cfRule type="cellIs" dxfId="28663" priority="907" operator="lessThan">
      <formula>0</formula>
    </cfRule>
    <cfRule type="cellIs" dxfId="28662" priority="908" operator="lessThan">
      <formula>-105575</formula>
    </cfRule>
  </conditionalFormatting>
  <conditionalFormatting sqref="BB169:BB177">
    <cfRule type="cellIs" dxfId="28661" priority="905" operator="lessThan">
      <formula>0</formula>
    </cfRule>
    <cfRule type="cellIs" dxfId="28660" priority="906" operator="lessThan">
      <formula>-105575</formula>
    </cfRule>
  </conditionalFormatting>
  <conditionalFormatting sqref="BB179:BB180">
    <cfRule type="cellIs" dxfId="28659" priority="903" operator="lessThan">
      <formula>0</formula>
    </cfRule>
    <cfRule type="cellIs" dxfId="28658" priority="904" operator="lessThan">
      <formula>-105575</formula>
    </cfRule>
  </conditionalFormatting>
  <conditionalFormatting sqref="BB179:BB180">
    <cfRule type="cellIs" dxfId="28657" priority="901" operator="lessThan">
      <formula>0</formula>
    </cfRule>
    <cfRule type="cellIs" dxfId="28656" priority="902" operator="lessThan">
      <formula>-105575</formula>
    </cfRule>
  </conditionalFormatting>
  <conditionalFormatting sqref="BB179:BB180">
    <cfRule type="cellIs" dxfId="28655" priority="899" operator="lessThan">
      <formula>0</formula>
    </cfRule>
    <cfRule type="cellIs" dxfId="28654" priority="900" operator="lessThan">
      <formula>-105575</formula>
    </cfRule>
  </conditionalFormatting>
  <conditionalFormatting sqref="BB183:BB189">
    <cfRule type="cellIs" dxfId="28653" priority="897" operator="lessThan">
      <formula>0</formula>
    </cfRule>
    <cfRule type="cellIs" dxfId="28652" priority="898" operator="lessThan">
      <formula>-105575</formula>
    </cfRule>
  </conditionalFormatting>
  <conditionalFormatting sqref="BB183:BB189">
    <cfRule type="cellIs" dxfId="28651" priority="895" operator="lessThan">
      <formula>0</formula>
    </cfRule>
    <cfRule type="cellIs" dxfId="28650" priority="896" operator="lessThan">
      <formula>-105575</formula>
    </cfRule>
  </conditionalFormatting>
  <conditionalFormatting sqref="BB183:BB189">
    <cfRule type="cellIs" dxfId="28649" priority="893" operator="lessThan">
      <formula>0</formula>
    </cfRule>
    <cfRule type="cellIs" dxfId="28648" priority="894" operator="lessThan">
      <formula>-105575</formula>
    </cfRule>
  </conditionalFormatting>
  <conditionalFormatting sqref="BB191:BB192">
    <cfRule type="cellIs" dxfId="28647" priority="891" operator="lessThan">
      <formula>0</formula>
    </cfRule>
    <cfRule type="cellIs" dxfId="28646" priority="892" operator="lessThan">
      <formula>-105575</formula>
    </cfRule>
  </conditionalFormatting>
  <conditionalFormatting sqref="BB191:BB192">
    <cfRule type="cellIs" dxfId="28645" priority="889" operator="lessThan">
      <formula>0</formula>
    </cfRule>
    <cfRule type="cellIs" dxfId="28644" priority="890" operator="lessThan">
      <formula>-105575</formula>
    </cfRule>
  </conditionalFormatting>
  <conditionalFormatting sqref="BB191:BB192">
    <cfRule type="cellIs" dxfId="28643" priority="887" operator="lessThan">
      <formula>0</formula>
    </cfRule>
    <cfRule type="cellIs" dxfId="28642" priority="888" operator="lessThan">
      <formula>-105575</formula>
    </cfRule>
  </conditionalFormatting>
  <conditionalFormatting sqref="BB194:BB195">
    <cfRule type="cellIs" dxfId="28641" priority="885" operator="lessThan">
      <formula>0</formula>
    </cfRule>
    <cfRule type="cellIs" dxfId="28640" priority="886" operator="lessThan">
      <formula>-105575</formula>
    </cfRule>
  </conditionalFormatting>
  <conditionalFormatting sqref="BB194:BB195">
    <cfRule type="cellIs" dxfId="28639" priority="883" operator="lessThan">
      <formula>0</formula>
    </cfRule>
    <cfRule type="cellIs" dxfId="28638" priority="884" operator="lessThan">
      <formula>-105575</formula>
    </cfRule>
  </conditionalFormatting>
  <conditionalFormatting sqref="BB194:BB195">
    <cfRule type="cellIs" dxfId="28637" priority="881" operator="lessThan">
      <formula>0</formula>
    </cfRule>
    <cfRule type="cellIs" dxfId="28636" priority="882" operator="lessThan">
      <formula>-105575</formula>
    </cfRule>
  </conditionalFormatting>
  <conditionalFormatting sqref="BB199:BB202">
    <cfRule type="cellIs" dxfId="28635" priority="879" operator="lessThan">
      <formula>0</formula>
    </cfRule>
    <cfRule type="cellIs" dxfId="28634" priority="880" operator="lessThan">
      <formula>-105575</formula>
    </cfRule>
  </conditionalFormatting>
  <conditionalFormatting sqref="BB199:BB202">
    <cfRule type="cellIs" dxfId="28633" priority="877" operator="lessThan">
      <formula>0</formula>
    </cfRule>
    <cfRule type="cellIs" dxfId="28632" priority="878" operator="lessThan">
      <formula>-105575</formula>
    </cfRule>
  </conditionalFormatting>
  <conditionalFormatting sqref="BB199:BB202">
    <cfRule type="cellIs" dxfId="28631" priority="875" operator="lessThan">
      <formula>0</formula>
    </cfRule>
    <cfRule type="cellIs" dxfId="28630" priority="876" operator="lessThan">
      <formula>-105575</formula>
    </cfRule>
  </conditionalFormatting>
  <conditionalFormatting sqref="BB204:BB208">
    <cfRule type="cellIs" dxfId="28629" priority="873" operator="lessThan">
      <formula>0</formula>
    </cfRule>
    <cfRule type="cellIs" dxfId="28628" priority="874" operator="lessThan">
      <formula>-105575</formula>
    </cfRule>
  </conditionalFormatting>
  <conditionalFormatting sqref="BB204:BB208">
    <cfRule type="cellIs" dxfId="28627" priority="871" operator="lessThan">
      <formula>0</formula>
    </cfRule>
    <cfRule type="cellIs" dxfId="28626" priority="872" operator="lessThan">
      <formula>-105575</formula>
    </cfRule>
  </conditionalFormatting>
  <conditionalFormatting sqref="BB204:BB208">
    <cfRule type="cellIs" dxfId="28625" priority="869" operator="lessThan">
      <formula>0</formula>
    </cfRule>
    <cfRule type="cellIs" dxfId="28624" priority="870" operator="lessThan">
      <formula>-105575</formula>
    </cfRule>
  </conditionalFormatting>
  <conditionalFormatting sqref="BB210:BB211">
    <cfRule type="cellIs" dxfId="28623" priority="867" operator="lessThan">
      <formula>0</formula>
    </cfRule>
    <cfRule type="cellIs" dxfId="28622" priority="868" operator="lessThan">
      <formula>-105575</formula>
    </cfRule>
  </conditionalFormatting>
  <conditionalFormatting sqref="BB210:BB211">
    <cfRule type="cellIs" dxfId="28621" priority="865" operator="lessThan">
      <formula>0</formula>
    </cfRule>
    <cfRule type="cellIs" dxfId="28620" priority="866" operator="lessThan">
      <formula>-105575</formula>
    </cfRule>
  </conditionalFormatting>
  <conditionalFormatting sqref="BB210:BB211">
    <cfRule type="cellIs" dxfId="28619" priority="863" operator="lessThan">
      <formula>0</formula>
    </cfRule>
    <cfRule type="cellIs" dxfId="28618" priority="864" operator="lessThan">
      <formula>-105575</formula>
    </cfRule>
  </conditionalFormatting>
  <conditionalFormatting sqref="BB214:BB219">
    <cfRule type="cellIs" dxfId="28617" priority="861" operator="lessThan">
      <formula>0</formula>
    </cfRule>
    <cfRule type="cellIs" dxfId="28616" priority="862" operator="lessThan">
      <formula>-105575</formula>
    </cfRule>
  </conditionalFormatting>
  <conditionalFormatting sqref="BB214:BB219">
    <cfRule type="cellIs" dxfId="28615" priority="859" operator="lessThan">
      <formula>0</formula>
    </cfRule>
    <cfRule type="cellIs" dxfId="28614" priority="860" operator="lessThan">
      <formula>-105575</formula>
    </cfRule>
  </conditionalFormatting>
  <conditionalFormatting sqref="BB214:BB219">
    <cfRule type="cellIs" dxfId="28613" priority="857" operator="lessThan">
      <formula>0</formula>
    </cfRule>
    <cfRule type="cellIs" dxfId="28612" priority="858" operator="lessThan">
      <formula>-105575</formula>
    </cfRule>
  </conditionalFormatting>
  <conditionalFormatting sqref="BB222:BB224">
    <cfRule type="cellIs" dxfId="28611" priority="855" operator="lessThan">
      <formula>0</formula>
    </cfRule>
    <cfRule type="cellIs" dxfId="28610" priority="856" operator="lessThan">
      <formula>-105575</formula>
    </cfRule>
  </conditionalFormatting>
  <conditionalFormatting sqref="BB222:BB224">
    <cfRule type="cellIs" dxfId="28609" priority="853" operator="lessThan">
      <formula>0</formula>
    </cfRule>
    <cfRule type="cellIs" dxfId="28608" priority="854" operator="lessThan">
      <formula>-105575</formula>
    </cfRule>
  </conditionalFormatting>
  <conditionalFormatting sqref="BB222:BB224">
    <cfRule type="cellIs" dxfId="28607" priority="851" operator="lessThan">
      <formula>0</formula>
    </cfRule>
    <cfRule type="cellIs" dxfId="28606" priority="852" operator="lessThan">
      <formula>-105575</formula>
    </cfRule>
  </conditionalFormatting>
  <conditionalFormatting sqref="BB227:BB230">
    <cfRule type="cellIs" dxfId="28605" priority="849" operator="lessThan">
      <formula>0</formula>
    </cfRule>
    <cfRule type="cellIs" dxfId="28604" priority="850" operator="lessThan">
      <formula>-105575</formula>
    </cfRule>
  </conditionalFormatting>
  <conditionalFormatting sqref="BB227:BB230">
    <cfRule type="cellIs" dxfId="28603" priority="847" operator="lessThan">
      <formula>0</formula>
    </cfRule>
    <cfRule type="cellIs" dxfId="28602" priority="848" operator="lessThan">
      <formula>-105575</formula>
    </cfRule>
  </conditionalFormatting>
  <conditionalFormatting sqref="BB227:BB230">
    <cfRule type="cellIs" dxfId="28601" priority="845" operator="lessThan">
      <formula>0</formula>
    </cfRule>
    <cfRule type="cellIs" dxfId="28600" priority="846" operator="lessThan">
      <formula>-105575</formula>
    </cfRule>
  </conditionalFormatting>
  <conditionalFormatting sqref="BB246:BB249">
    <cfRule type="cellIs" dxfId="28599" priority="843" operator="lessThan">
      <formula>0</formula>
    </cfRule>
    <cfRule type="cellIs" dxfId="28598" priority="844" operator="lessThan">
      <formula>-105575</formula>
    </cfRule>
  </conditionalFormatting>
  <conditionalFormatting sqref="BB246:BB249">
    <cfRule type="cellIs" dxfId="28597" priority="841" operator="lessThan">
      <formula>0</formula>
    </cfRule>
    <cfRule type="cellIs" dxfId="28596" priority="842" operator="lessThan">
      <formula>-105575</formula>
    </cfRule>
  </conditionalFormatting>
  <conditionalFormatting sqref="BB246:BB249">
    <cfRule type="cellIs" dxfId="28595" priority="839" operator="lessThan">
      <formula>0</formula>
    </cfRule>
    <cfRule type="cellIs" dxfId="28594" priority="840" operator="lessThan">
      <formula>-105575</formula>
    </cfRule>
  </conditionalFormatting>
  <conditionalFormatting sqref="BB246:BB249">
    <cfRule type="cellIs" dxfId="28593" priority="837" operator="lessThan">
      <formula>0</formula>
    </cfRule>
    <cfRule type="cellIs" dxfId="28592" priority="838" operator="lessThan">
      <formula>-105575</formula>
    </cfRule>
  </conditionalFormatting>
  <conditionalFormatting sqref="BB246:BB249">
    <cfRule type="cellIs" dxfId="28591" priority="835" operator="lessThan">
      <formula>0</formula>
    </cfRule>
    <cfRule type="cellIs" dxfId="28590" priority="836" operator="lessThan">
      <formula>-105575</formula>
    </cfRule>
  </conditionalFormatting>
  <conditionalFormatting sqref="BB246:BB249">
    <cfRule type="cellIs" dxfId="28589" priority="833" operator="lessThan">
      <formula>0</formula>
    </cfRule>
    <cfRule type="cellIs" dxfId="28588" priority="834" operator="lessThan">
      <formula>-105575</formula>
    </cfRule>
  </conditionalFormatting>
  <conditionalFormatting sqref="BB246:BB249">
    <cfRule type="cellIs" dxfId="28587" priority="831" operator="lessThan">
      <formula>0</formula>
    </cfRule>
    <cfRule type="cellIs" dxfId="28586" priority="832" operator="lessThan">
      <formula>-105575</formula>
    </cfRule>
  </conditionalFormatting>
  <conditionalFormatting sqref="BB246:BB249">
    <cfRule type="cellIs" dxfId="28585" priority="829" operator="lessThan">
      <formula>0</formula>
    </cfRule>
    <cfRule type="cellIs" dxfId="28584" priority="830" operator="lessThan">
      <formula>-105575</formula>
    </cfRule>
  </conditionalFormatting>
  <conditionalFormatting sqref="BB246:BB249">
    <cfRule type="cellIs" dxfId="28583" priority="827" operator="lessThan">
      <formula>0</formula>
    </cfRule>
    <cfRule type="cellIs" dxfId="28582" priority="828" operator="lessThan">
      <formula>-105575</formula>
    </cfRule>
  </conditionalFormatting>
  <conditionalFormatting sqref="BB251:BB253">
    <cfRule type="cellIs" dxfId="28581" priority="825" operator="lessThan">
      <formula>0</formula>
    </cfRule>
    <cfRule type="cellIs" dxfId="28580" priority="826" operator="lessThan">
      <formula>-105575</formula>
    </cfRule>
  </conditionalFormatting>
  <conditionalFormatting sqref="BB251:BB253">
    <cfRule type="cellIs" dxfId="28579" priority="823" operator="lessThan">
      <formula>0</formula>
    </cfRule>
    <cfRule type="cellIs" dxfId="28578" priority="824" operator="lessThan">
      <formula>-105575</formula>
    </cfRule>
  </conditionalFormatting>
  <conditionalFormatting sqref="BB251:BB253">
    <cfRule type="cellIs" dxfId="28577" priority="821" operator="lessThan">
      <formula>0</formula>
    </cfRule>
    <cfRule type="cellIs" dxfId="28576" priority="822" operator="lessThan">
      <formula>-105575</formula>
    </cfRule>
  </conditionalFormatting>
  <conditionalFormatting sqref="BB251:BB253">
    <cfRule type="cellIs" dxfId="28575" priority="819" operator="lessThan">
      <formula>0</formula>
    </cfRule>
    <cfRule type="cellIs" dxfId="28574" priority="820" operator="lessThan">
      <formula>-105575</formula>
    </cfRule>
  </conditionalFormatting>
  <conditionalFormatting sqref="BB251:BB253">
    <cfRule type="cellIs" dxfId="28573" priority="817" operator="lessThan">
      <formula>0</formula>
    </cfRule>
    <cfRule type="cellIs" dxfId="28572" priority="818" operator="lessThan">
      <formula>-105575</formula>
    </cfRule>
  </conditionalFormatting>
  <conditionalFormatting sqref="BB251:BB253">
    <cfRule type="cellIs" dxfId="28571" priority="815" operator="lessThan">
      <formula>0</formula>
    </cfRule>
    <cfRule type="cellIs" dxfId="28570" priority="816" operator="lessThan">
      <formula>-105575</formula>
    </cfRule>
  </conditionalFormatting>
  <conditionalFormatting sqref="BB251:BB253">
    <cfRule type="cellIs" dxfId="28569" priority="813" operator="lessThan">
      <formula>0</formula>
    </cfRule>
    <cfRule type="cellIs" dxfId="28568" priority="814" operator="lessThan">
      <formula>-105575</formula>
    </cfRule>
  </conditionalFormatting>
  <conditionalFormatting sqref="BB251:BB253">
    <cfRule type="cellIs" dxfId="28567" priority="811" operator="lessThan">
      <formula>0</formula>
    </cfRule>
    <cfRule type="cellIs" dxfId="28566" priority="812" operator="lessThan">
      <formula>-105575</formula>
    </cfRule>
  </conditionalFormatting>
  <conditionalFormatting sqref="BB251:BB253">
    <cfRule type="cellIs" dxfId="28565" priority="809" operator="lessThan">
      <formula>0</formula>
    </cfRule>
    <cfRule type="cellIs" dxfId="28564" priority="810" operator="lessThan">
      <formula>-105575</formula>
    </cfRule>
  </conditionalFormatting>
  <conditionalFormatting sqref="BB255:BB257">
    <cfRule type="cellIs" dxfId="28563" priority="807" operator="lessThan">
      <formula>0</formula>
    </cfRule>
    <cfRule type="cellIs" dxfId="28562" priority="808" operator="lessThan">
      <formula>-105575</formula>
    </cfRule>
  </conditionalFormatting>
  <conditionalFormatting sqref="BB255:BB257">
    <cfRule type="cellIs" dxfId="28561" priority="805" operator="lessThan">
      <formula>0</formula>
    </cfRule>
    <cfRule type="cellIs" dxfId="28560" priority="806" operator="lessThan">
      <formula>-105575</formula>
    </cfRule>
  </conditionalFormatting>
  <conditionalFormatting sqref="BB255:BB257">
    <cfRule type="cellIs" dxfId="28559" priority="803" operator="lessThan">
      <formula>0</formula>
    </cfRule>
    <cfRule type="cellIs" dxfId="28558" priority="804" operator="lessThan">
      <formula>-105575</formula>
    </cfRule>
  </conditionalFormatting>
  <conditionalFormatting sqref="BB255:BB257">
    <cfRule type="cellIs" dxfId="28557" priority="801" operator="lessThan">
      <formula>0</formula>
    </cfRule>
    <cfRule type="cellIs" dxfId="28556" priority="802" operator="lessThan">
      <formula>-105575</formula>
    </cfRule>
  </conditionalFormatting>
  <conditionalFormatting sqref="BB255:BB257">
    <cfRule type="cellIs" dxfId="28555" priority="799" operator="lessThan">
      <formula>0</formula>
    </cfRule>
    <cfRule type="cellIs" dxfId="28554" priority="800" operator="lessThan">
      <formula>-105575</formula>
    </cfRule>
  </conditionalFormatting>
  <conditionalFormatting sqref="BB255:BB257">
    <cfRule type="cellIs" dxfId="28553" priority="797" operator="lessThan">
      <formula>0</formula>
    </cfRule>
    <cfRule type="cellIs" dxfId="28552" priority="798" operator="lessThan">
      <formula>-105575</formula>
    </cfRule>
  </conditionalFormatting>
  <conditionalFormatting sqref="BB255:BB257">
    <cfRule type="cellIs" dxfId="28551" priority="795" operator="lessThan">
      <formula>0</formula>
    </cfRule>
    <cfRule type="cellIs" dxfId="28550" priority="796" operator="lessThan">
      <formula>-105575</formula>
    </cfRule>
  </conditionalFormatting>
  <conditionalFormatting sqref="BB255:BB257">
    <cfRule type="cellIs" dxfId="28549" priority="793" operator="lessThan">
      <formula>0</formula>
    </cfRule>
    <cfRule type="cellIs" dxfId="28548" priority="794" operator="lessThan">
      <formula>-105575</formula>
    </cfRule>
  </conditionalFormatting>
  <conditionalFormatting sqref="BB255:BB257">
    <cfRule type="cellIs" dxfId="28547" priority="791" operator="lessThan">
      <formula>0</formula>
    </cfRule>
    <cfRule type="cellIs" dxfId="28546" priority="792" operator="lessThan">
      <formula>-105575</formula>
    </cfRule>
  </conditionalFormatting>
  <conditionalFormatting sqref="BB260:BB262">
    <cfRule type="cellIs" dxfId="28545" priority="789" operator="lessThan">
      <formula>0</formula>
    </cfRule>
    <cfRule type="cellIs" dxfId="28544" priority="790" operator="lessThan">
      <formula>-105575</formula>
    </cfRule>
  </conditionalFormatting>
  <conditionalFormatting sqref="BB260:BB262">
    <cfRule type="cellIs" dxfId="28543" priority="787" operator="lessThan">
      <formula>0</formula>
    </cfRule>
    <cfRule type="cellIs" dxfId="28542" priority="788" operator="lessThan">
      <formula>-105575</formula>
    </cfRule>
  </conditionalFormatting>
  <conditionalFormatting sqref="BB260:BB262">
    <cfRule type="cellIs" dxfId="28541" priority="785" operator="lessThan">
      <formula>0</formula>
    </cfRule>
    <cfRule type="cellIs" dxfId="28540" priority="786" operator="lessThan">
      <formula>-105575</formula>
    </cfRule>
  </conditionalFormatting>
  <conditionalFormatting sqref="BB260:BB262">
    <cfRule type="cellIs" dxfId="28539" priority="783" operator="lessThan">
      <formula>0</formula>
    </cfRule>
    <cfRule type="cellIs" dxfId="28538" priority="784" operator="lessThan">
      <formula>-105575</formula>
    </cfRule>
  </conditionalFormatting>
  <conditionalFormatting sqref="BB260:BB262">
    <cfRule type="cellIs" dxfId="28537" priority="781" operator="lessThan">
      <formula>0</formula>
    </cfRule>
    <cfRule type="cellIs" dxfId="28536" priority="782" operator="lessThan">
      <formula>-105575</formula>
    </cfRule>
  </conditionalFormatting>
  <conditionalFormatting sqref="BB260:BB262">
    <cfRule type="cellIs" dxfId="28535" priority="779" operator="lessThan">
      <formula>0</formula>
    </cfRule>
    <cfRule type="cellIs" dxfId="28534" priority="780" operator="lessThan">
      <formula>-105575</formula>
    </cfRule>
  </conditionalFormatting>
  <conditionalFormatting sqref="BB260:BB262">
    <cfRule type="cellIs" dxfId="28533" priority="777" operator="lessThan">
      <formula>0</formula>
    </cfRule>
    <cfRule type="cellIs" dxfId="28532" priority="778" operator="lessThan">
      <formula>-105575</formula>
    </cfRule>
  </conditionalFormatting>
  <conditionalFormatting sqref="BB260:BB262">
    <cfRule type="cellIs" dxfId="28531" priority="775" operator="lessThan">
      <formula>0</formula>
    </cfRule>
    <cfRule type="cellIs" dxfId="28530" priority="776" operator="lessThan">
      <formula>-105575</formula>
    </cfRule>
  </conditionalFormatting>
  <conditionalFormatting sqref="BB260:BB262">
    <cfRule type="cellIs" dxfId="28529" priority="773" operator="lessThan">
      <formula>0</formula>
    </cfRule>
    <cfRule type="cellIs" dxfId="28528" priority="774" operator="lessThan">
      <formula>-105575</formula>
    </cfRule>
  </conditionalFormatting>
  <conditionalFormatting sqref="BB264:BB267">
    <cfRule type="cellIs" dxfId="28527" priority="771" operator="lessThan">
      <formula>0</formula>
    </cfRule>
    <cfRule type="cellIs" dxfId="28526" priority="772" operator="lessThan">
      <formula>-105575</formula>
    </cfRule>
  </conditionalFormatting>
  <conditionalFormatting sqref="BB264:BB267">
    <cfRule type="cellIs" dxfId="28525" priority="769" operator="lessThan">
      <formula>0</formula>
    </cfRule>
    <cfRule type="cellIs" dxfId="28524" priority="770" operator="lessThan">
      <formula>-105575</formula>
    </cfRule>
  </conditionalFormatting>
  <conditionalFormatting sqref="BB264:BB267">
    <cfRule type="cellIs" dxfId="28523" priority="767" operator="lessThan">
      <formula>0</formula>
    </cfRule>
    <cfRule type="cellIs" dxfId="28522" priority="768" operator="lessThan">
      <formula>-105575</formula>
    </cfRule>
  </conditionalFormatting>
  <conditionalFormatting sqref="BB264:BB267">
    <cfRule type="cellIs" dxfId="28521" priority="765" operator="lessThan">
      <formula>0</formula>
    </cfRule>
    <cfRule type="cellIs" dxfId="28520" priority="766" operator="lessThan">
      <formula>-105575</formula>
    </cfRule>
  </conditionalFormatting>
  <conditionalFormatting sqref="BB264:BB267">
    <cfRule type="cellIs" dxfId="28519" priority="763" operator="lessThan">
      <formula>0</formula>
    </cfRule>
    <cfRule type="cellIs" dxfId="28518" priority="764" operator="lessThan">
      <formula>-105575</formula>
    </cfRule>
  </conditionalFormatting>
  <conditionalFormatting sqref="BB264:BB267">
    <cfRule type="cellIs" dxfId="28517" priority="761" operator="lessThan">
      <formula>0</formula>
    </cfRule>
    <cfRule type="cellIs" dxfId="28516" priority="762" operator="lessThan">
      <formula>-105575</formula>
    </cfRule>
  </conditionalFormatting>
  <conditionalFormatting sqref="BB264:BB267">
    <cfRule type="cellIs" dxfId="28515" priority="759" operator="lessThan">
      <formula>0</formula>
    </cfRule>
    <cfRule type="cellIs" dxfId="28514" priority="760" operator="lessThan">
      <formula>-105575</formula>
    </cfRule>
  </conditionalFormatting>
  <conditionalFormatting sqref="BB264:BB267">
    <cfRule type="cellIs" dxfId="28513" priority="757" operator="lessThan">
      <formula>0</formula>
    </cfRule>
    <cfRule type="cellIs" dxfId="28512" priority="758" operator="lessThan">
      <formula>-105575</formula>
    </cfRule>
  </conditionalFormatting>
  <conditionalFormatting sqref="BB264:BB267">
    <cfRule type="cellIs" dxfId="28511" priority="755" operator="lessThan">
      <formula>0</formula>
    </cfRule>
    <cfRule type="cellIs" dxfId="28510" priority="756" operator="lessThan">
      <formula>-105575</formula>
    </cfRule>
  </conditionalFormatting>
  <conditionalFormatting sqref="BB270:BB272">
    <cfRule type="cellIs" dxfId="28509" priority="753" operator="lessThan">
      <formula>0</formula>
    </cfRule>
    <cfRule type="cellIs" dxfId="28508" priority="754" operator="lessThan">
      <formula>-105575</formula>
    </cfRule>
  </conditionalFormatting>
  <conditionalFormatting sqref="BB270:BB272">
    <cfRule type="cellIs" dxfId="28507" priority="751" operator="lessThan">
      <formula>0</formula>
    </cfRule>
    <cfRule type="cellIs" dxfId="28506" priority="752" operator="lessThan">
      <formula>-105575</formula>
    </cfRule>
  </conditionalFormatting>
  <conditionalFormatting sqref="BB270:BB272">
    <cfRule type="cellIs" dxfId="28505" priority="749" operator="lessThan">
      <formula>0</formula>
    </cfRule>
    <cfRule type="cellIs" dxfId="28504" priority="750" operator="lessThan">
      <formula>-105575</formula>
    </cfRule>
  </conditionalFormatting>
  <conditionalFormatting sqref="BB270:BB272">
    <cfRule type="cellIs" dxfId="28503" priority="747" operator="lessThan">
      <formula>0</formula>
    </cfRule>
    <cfRule type="cellIs" dxfId="28502" priority="748" operator="lessThan">
      <formula>-105575</formula>
    </cfRule>
  </conditionalFormatting>
  <conditionalFormatting sqref="BB270:BB272">
    <cfRule type="cellIs" dxfId="28501" priority="745" operator="lessThan">
      <formula>0</formula>
    </cfRule>
    <cfRule type="cellIs" dxfId="28500" priority="746" operator="lessThan">
      <formula>-105575</formula>
    </cfRule>
  </conditionalFormatting>
  <conditionalFormatting sqref="BB270:BB272">
    <cfRule type="cellIs" dxfId="28499" priority="743" operator="lessThan">
      <formula>0</formula>
    </cfRule>
    <cfRule type="cellIs" dxfId="28498" priority="744" operator="lessThan">
      <formula>-105575</formula>
    </cfRule>
  </conditionalFormatting>
  <conditionalFormatting sqref="BB270:BB272">
    <cfRule type="cellIs" dxfId="28497" priority="741" operator="lessThan">
      <formula>0</formula>
    </cfRule>
    <cfRule type="cellIs" dxfId="28496" priority="742" operator="lessThan">
      <formula>-105575</formula>
    </cfRule>
  </conditionalFormatting>
  <conditionalFormatting sqref="BB270:BB272">
    <cfRule type="cellIs" dxfId="28495" priority="739" operator="lessThan">
      <formula>0</formula>
    </cfRule>
    <cfRule type="cellIs" dxfId="28494" priority="740" operator="lessThan">
      <formula>-105575</formula>
    </cfRule>
  </conditionalFormatting>
  <conditionalFormatting sqref="BB270:BB272">
    <cfRule type="cellIs" dxfId="28493" priority="737" operator="lessThan">
      <formula>0</formula>
    </cfRule>
    <cfRule type="cellIs" dxfId="28492" priority="738" operator="lessThan">
      <formula>-105575</formula>
    </cfRule>
  </conditionalFormatting>
  <conditionalFormatting sqref="BB274:BB275">
    <cfRule type="cellIs" dxfId="28491" priority="735" operator="lessThan">
      <formula>0</formula>
    </cfRule>
    <cfRule type="cellIs" dxfId="28490" priority="736" operator="lessThan">
      <formula>-105575</formula>
    </cfRule>
  </conditionalFormatting>
  <conditionalFormatting sqref="BB274:BB275">
    <cfRule type="cellIs" dxfId="28489" priority="733" operator="lessThan">
      <formula>0</formula>
    </cfRule>
    <cfRule type="cellIs" dxfId="28488" priority="734" operator="lessThan">
      <formula>-105575</formula>
    </cfRule>
  </conditionalFormatting>
  <conditionalFormatting sqref="BB274:BB275">
    <cfRule type="cellIs" dxfId="28487" priority="731" operator="lessThan">
      <formula>0</formula>
    </cfRule>
    <cfRule type="cellIs" dxfId="28486" priority="732" operator="lessThan">
      <formula>-105575</formula>
    </cfRule>
  </conditionalFormatting>
  <conditionalFormatting sqref="BB274:BB275">
    <cfRule type="cellIs" dxfId="28485" priority="729" operator="lessThan">
      <formula>0</formula>
    </cfRule>
    <cfRule type="cellIs" dxfId="28484" priority="730" operator="lessThan">
      <formula>-105575</formula>
    </cfRule>
  </conditionalFormatting>
  <conditionalFormatting sqref="BB274:BB275">
    <cfRule type="cellIs" dxfId="28483" priority="727" operator="lessThan">
      <formula>0</formula>
    </cfRule>
    <cfRule type="cellIs" dxfId="28482" priority="728" operator="lessThan">
      <formula>-105575</formula>
    </cfRule>
  </conditionalFormatting>
  <conditionalFormatting sqref="BB274:BB275">
    <cfRule type="cellIs" dxfId="28481" priority="725" operator="lessThan">
      <formula>0</formula>
    </cfRule>
    <cfRule type="cellIs" dxfId="28480" priority="726" operator="lessThan">
      <formula>-105575</formula>
    </cfRule>
  </conditionalFormatting>
  <conditionalFormatting sqref="BB274:BB275">
    <cfRule type="cellIs" dxfId="28479" priority="723" operator="lessThan">
      <formula>0</formula>
    </cfRule>
    <cfRule type="cellIs" dxfId="28478" priority="724" operator="lessThan">
      <formula>-105575</formula>
    </cfRule>
  </conditionalFormatting>
  <conditionalFormatting sqref="BB274:BB275">
    <cfRule type="cellIs" dxfId="28477" priority="721" operator="lessThan">
      <formula>0</formula>
    </cfRule>
    <cfRule type="cellIs" dxfId="28476" priority="722" operator="lessThan">
      <formula>-105575</formula>
    </cfRule>
  </conditionalFormatting>
  <conditionalFormatting sqref="BB274:BB275">
    <cfRule type="cellIs" dxfId="28475" priority="719" operator="lessThan">
      <formula>0</formula>
    </cfRule>
    <cfRule type="cellIs" dxfId="28474" priority="720" operator="lessThan">
      <formula>-105575</formula>
    </cfRule>
  </conditionalFormatting>
  <conditionalFormatting sqref="BB278:BB282">
    <cfRule type="cellIs" dxfId="28473" priority="717" operator="lessThan">
      <formula>0</formula>
    </cfRule>
    <cfRule type="cellIs" dxfId="28472" priority="718" operator="lessThan">
      <formula>-105575</formula>
    </cfRule>
  </conditionalFormatting>
  <conditionalFormatting sqref="BB278:BB282">
    <cfRule type="cellIs" dxfId="28471" priority="715" operator="lessThan">
      <formula>0</formula>
    </cfRule>
    <cfRule type="cellIs" dxfId="28470" priority="716" operator="lessThan">
      <formula>-105575</formula>
    </cfRule>
  </conditionalFormatting>
  <conditionalFormatting sqref="BB278:BB282">
    <cfRule type="cellIs" dxfId="28469" priority="713" operator="lessThan">
      <formula>0</formula>
    </cfRule>
    <cfRule type="cellIs" dxfId="28468" priority="714" operator="lessThan">
      <formula>-105575</formula>
    </cfRule>
  </conditionalFormatting>
  <conditionalFormatting sqref="BB278:BB282">
    <cfRule type="cellIs" dxfId="28467" priority="711" operator="lessThan">
      <formula>0</formula>
    </cfRule>
    <cfRule type="cellIs" dxfId="28466" priority="712" operator="lessThan">
      <formula>-105575</formula>
    </cfRule>
  </conditionalFormatting>
  <conditionalFormatting sqref="BB278:BB282">
    <cfRule type="cellIs" dxfId="28465" priority="709" operator="lessThan">
      <formula>0</formula>
    </cfRule>
    <cfRule type="cellIs" dxfId="28464" priority="710" operator="lessThan">
      <formula>-105575</formula>
    </cfRule>
  </conditionalFormatting>
  <conditionalFormatting sqref="BB278:BB282">
    <cfRule type="cellIs" dxfId="28463" priority="707" operator="lessThan">
      <formula>0</formula>
    </cfRule>
    <cfRule type="cellIs" dxfId="28462" priority="708" operator="lessThan">
      <formula>-105575</formula>
    </cfRule>
  </conditionalFormatting>
  <conditionalFormatting sqref="BB278:BB282">
    <cfRule type="cellIs" dxfId="28461" priority="705" operator="lessThan">
      <formula>0</formula>
    </cfRule>
    <cfRule type="cellIs" dxfId="28460" priority="706" operator="lessThan">
      <formula>-105575</formula>
    </cfRule>
  </conditionalFormatting>
  <conditionalFormatting sqref="BB278:BB282">
    <cfRule type="cellIs" dxfId="28459" priority="703" operator="lessThan">
      <formula>0</formula>
    </cfRule>
    <cfRule type="cellIs" dxfId="28458" priority="704" operator="lessThan">
      <formula>-105575</formula>
    </cfRule>
  </conditionalFormatting>
  <conditionalFormatting sqref="BB278:BB282">
    <cfRule type="cellIs" dxfId="28457" priority="701" operator="lessThan">
      <formula>0</formula>
    </cfRule>
    <cfRule type="cellIs" dxfId="28456" priority="702" operator="lessThan">
      <formula>-105575</formula>
    </cfRule>
  </conditionalFormatting>
  <conditionalFormatting sqref="BB285:BB288">
    <cfRule type="cellIs" dxfId="28455" priority="699" operator="lessThan">
      <formula>0</formula>
    </cfRule>
    <cfRule type="cellIs" dxfId="28454" priority="700" operator="lessThan">
      <formula>-105575</formula>
    </cfRule>
  </conditionalFormatting>
  <conditionalFormatting sqref="BB285:BB288">
    <cfRule type="cellIs" dxfId="28453" priority="697" operator="lessThan">
      <formula>0</formula>
    </cfRule>
    <cfRule type="cellIs" dxfId="28452" priority="698" operator="lessThan">
      <formula>-105575</formula>
    </cfRule>
  </conditionalFormatting>
  <conditionalFormatting sqref="BB285:BB288">
    <cfRule type="cellIs" dxfId="28451" priority="695" operator="lessThan">
      <formula>0</formula>
    </cfRule>
    <cfRule type="cellIs" dxfId="28450" priority="696" operator="lessThan">
      <formula>-105575</formula>
    </cfRule>
  </conditionalFormatting>
  <conditionalFormatting sqref="BB285:BB288">
    <cfRule type="cellIs" dxfId="28449" priority="693" operator="lessThan">
      <formula>0</formula>
    </cfRule>
    <cfRule type="cellIs" dxfId="28448" priority="694" operator="lessThan">
      <formula>-105575</formula>
    </cfRule>
  </conditionalFormatting>
  <conditionalFormatting sqref="BB285:BB288">
    <cfRule type="cellIs" dxfId="28447" priority="691" operator="lessThan">
      <formula>0</formula>
    </cfRule>
    <cfRule type="cellIs" dxfId="28446" priority="692" operator="lessThan">
      <formula>-105575</formula>
    </cfRule>
  </conditionalFormatting>
  <conditionalFormatting sqref="BB285:BB288">
    <cfRule type="cellIs" dxfId="28445" priority="689" operator="lessThan">
      <formula>0</formula>
    </cfRule>
    <cfRule type="cellIs" dxfId="28444" priority="690" operator="lessThan">
      <formula>-105575</formula>
    </cfRule>
  </conditionalFormatting>
  <conditionalFormatting sqref="BB285:BB288">
    <cfRule type="cellIs" dxfId="28443" priority="687" operator="lessThan">
      <formula>0</formula>
    </cfRule>
    <cfRule type="cellIs" dxfId="28442" priority="688" operator="lessThan">
      <formula>-105575</formula>
    </cfRule>
  </conditionalFormatting>
  <conditionalFormatting sqref="BB285:BB288">
    <cfRule type="cellIs" dxfId="28441" priority="685" operator="lessThan">
      <formula>0</formula>
    </cfRule>
    <cfRule type="cellIs" dxfId="28440" priority="686" operator="lessThan">
      <formula>-105575</formula>
    </cfRule>
  </conditionalFormatting>
  <conditionalFormatting sqref="BB285:BB288">
    <cfRule type="cellIs" dxfId="28439" priority="683" operator="lessThan">
      <formula>0</formula>
    </cfRule>
    <cfRule type="cellIs" dxfId="28438" priority="684" operator="lessThan">
      <formula>-105575</formula>
    </cfRule>
  </conditionalFormatting>
  <conditionalFormatting sqref="BB203 BB220:BB221 BB235:BB243 BB231:BB233 BB212:BB213 BB225:BB226">
    <cfRule type="cellIs" dxfId="28437" priority="681" operator="lessThan">
      <formula>0</formula>
    </cfRule>
    <cfRule type="cellIs" dxfId="28436" priority="682" operator="lessThan">
      <formula>-105575</formula>
    </cfRule>
  </conditionalFormatting>
  <conditionalFormatting sqref="BB220 BB212:BB213 BB235:BB238 BB240:BB243 BB225:BB226 BB231:BB233">
    <cfRule type="cellIs" dxfId="28435" priority="679" operator="lessThan">
      <formula>0</formula>
    </cfRule>
    <cfRule type="cellIs" dxfId="28434" priority="680" operator="lessThan">
      <formula>-105575</formula>
    </cfRule>
  </conditionalFormatting>
  <conditionalFormatting sqref="BB220:BB221 BB243 BB226 BB231:BB236 BB238:BB241 BB203 BB213">
    <cfRule type="cellIs" dxfId="28433" priority="677" operator="lessThan">
      <formula>0</formula>
    </cfRule>
    <cfRule type="cellIs" dxfId="28432" priority="678" operator="lessThan">
      <formula>-105575</formula>
    </cfRule>
  </conditionalFormatting>
  <conditionalFormatting sqref="BB235:BB243 BB231:BB233 BB220 BB212:BB213 BB225:BB226">
    <cfRule type="cellIs" dxfId="28431" priority="675" operator="lessThan">
      <formula>0</formula>
    </cfRule>
    <cfRule type="cellIs" dxfId="28430" priority="676" operator="lessThan">
      <formula>-105575</formula>
    </cfRule>
  </conditionalFormatting>
  <conditionalFormatting sqref="BB220:BB221 BB237:BB243 BB203 BB231:BB235 BB212:BB213 BB225:BB226">
    <cfRule type="cellIs" dxfId="28429" priority="673" operator="lessThan">
      <formula>0</formula>
    </cfRule>
    <cfRule type="cellIs" dxfId="28428" priority="674" operator="lessThan">
      <formula>-105575</formula>
    </cfRule>
  </conditionalFormatting>
  <conditionalFormatting sqref="BB220:BB221 BB237:BB240 BB242:BB243 BB225:BB226 BB231:BB235">
    <cfRule type="cellIs" dxfId="28427" priority="671" operator="lessThan">
      <formula>0</formula>
    </cfRule>
    <cfRule type="cellIs" dxfId="28426" priority="672" operator="lessThan">
      <formula>-105575</formula>
    </cfRule>
  </conditionalFormatting>
  <conditionalFormatting sqref="BB212 BB231 BB233:BB238 BB240:BB243 BB225">
    <cfRule type="cellIs" dxfId="28425" priority="669" operator="lessThan">
      <formula>0</formula>
    </cfRule>
    <cfRule type="cellIs" dxfId="28424" priority="670" operator="lessThan">
      <formula>-105575</formula>
    </cfRule>
  </conditionalFormatting>
  <conditionalFormatting sqref="BB237:BB243 BB231:BB235 BB220:BB221 BB225:BB226">
    <cfRule type="cellIs" dxfId="28423" priority="667" operator="lessThan">
      <formula>0</formula>
    </cfRule>
    <cfRule type="cellIs" dxfId="28422" priority="668" operator="lessThan">
      <formula>-105575</formula>
    </cfRule>
  </conditionalFormatting>
  <conditionalFormatting sqref="BB233:BB237 BB231 BB239:BB243">
    <cfRule type="cellIs" dxfId="28421" priority="665" operator="lessThan">
      <formula>0</formula>
    </cfRule>
    <cfRule type="cellIs" dxfId="28420" priority="666" operator="lessThan">
      <formula>-105575</formula>
    </cfRule>
  </conditionalFormatting>
  <conditionalFormatting sqref="BB233:BB237 BB231 BB239:BB243">
    <cfRule type="cellIs" dxfId="28419" priority="663" operator="lessThan">
      <formula>0</formula>
    </cfRule>
    <cfRule type="cellIs" dxfId="28418" priority="664" operator="lessThan">
      <formula>-105575</formula>
    </cfRule>
  </conditionalFormatting>
  <conditionalFormatting sqref="BB119:BB128 BB106:BB117 BB101:BB104 BB80:BB98">
    <cfRule type="cellIs" dxfId="28417" priority="661" operator="lessThan">
      <formula>0</formula>
    </cfRule>
    <cfRule type="cellIs" dxfId="28416" priority="662" operator="lessThan">
      <formula>-105575</formula>
    </cfRule>
  </conditionalFormatting>
  <conditionalFormatting sqref="BB130 BB132 BB134">
    <cfRule type="cellIs" dxfId="28415" priority="659" operator="lessThan">
      <formula>0</formula>
    </cfRule>
    <cfRule type="cellIs" dxfId="28414" priority="660" operator="lessThan">
      <formula>-105575</formula>
    </cfRule>
  </conditionalFormatting>
  <conditionalFormatting sqref="BB130 BB132 BB134">
    <cfRule type="cellIs" dxfId="28413" priority="657" operator="lessThan">
      <formula>0</formula>
    </cfRule>
    <cfRule type="cellIs" dxfId="28412" priority="658" operator="lessThan">
      <formula>-105575</formula>
    </cfRule>
  </conditionalFormatting>
  <conditionalFormatting sqref="BB129 BB131 BB133 BB135">
    <cfRule type="cellIs" dxfId="28411" priority="655" operator="lessThan">
      <formula>0</formula>
    </cfRule>
    <cfRule type="cellIs" dxfId="28410" priority="656" operator="lessThan">
      <formula>-105575</formula>
    </cfRule>
  </conditionalFormatting>
  <conditionalFormatting sqref="BB140 BB145 BB142:BB143 BB137:BB138">
    <cfRule type="cellIs" dxfId="28409" priority="653" operator="lessThan">
      <formula>0</formula>
    </cfRule>
    <cfRule type="cellIs" dxfId="28408" priority="654" operator="lessThan">
      <formula>-105575</formula>
    </cfRule>
  </conditionalFormatting>
  <conditionalFormatting sqref="BB149">
    <cfRule type="cellIs" dxfId="28407" priority="651" operator="lessThan">
      <formula>0</formula>
    </cfRule>
    <cfRule type="cellIs" dxfId="28406" priority="652" operator="lessThan">
      <formula>-105575</formula>
    </cfRule>
  </conditionalFormatting>
  <conditionalFormatting sqref="BB129:BB138 BB140:BB149">
    <cfRule type="cellIs" dxfId="28405" priority="649" operator="lessThan">
      <formula>0</formula>
    </cfRule>
    <cfRule type="cellIs" dxfId="28404" priority="650" operator="lessThan">
      <formula>-105575</formula>
    </cfRule>
  </conditionalFormatting>
  <conditionalFormatting sqref="BB86:BB87 BB89:BB91 BB141:BB149 BB124:BB133 BB107:BB110 BB112:BB117 BB119:BB122 BB135:BB138 BB101:BB104 BB80:BB84 BB94:BB98">
    <cfRule type="cellIs" dxfId="28403" priority="647" operator="lessThan">
      <formula>0</formula>
    </cfRule>
    <cfRule type="cellIs" dxfId="28402" priority="648" operator="lessThan">
      <formula>-105575</formula>
    </cfRule>
  </conditionalFormatting>
  <conditionalFormatting sqref="BB129 BB131 BB133 BB135">
    <cfRule type="cellIs" dxfId="28401" priority="645" operator="lessThan">
      <formula>0</formula>
    </cfRule>
    <cfRule type="cellIs" dxfId="28400" priority="646" operator="lessThan">
      <formula>-105575</formula>
    </cfRule>
  </conditionalFormatting>
  <conditionalFormatting sqref="BB146 BB144 BB141">
    <cfRule type="cellIs" dxfId="28399" priority="643" operator="lessThan">
      <formula>0</formula>
    </cfRule>
    <cfRule type="cellIs" dxfId="28398" priority="644" operator="lessThan">
      <formula>-105575</formula>
    </cfRule>
  </conditionalFormatting>
  <conditionalFormatting sqref="BB146 BB144 BB141">
    <cfRule type="cellIs" dxfId="28397" priority="641" operator="lessThan">
      <formula>0</formula>
    </cfRule>
    <cfRule type="cellIs" dxfId="28396" priority="642" operator="lessThan">
      <formula>-105575</formula>
    </cfRule>
  </conditionalFormatting>
  <conditionalFormatting sqref="BB140 BB145 BB142:BB143 BB137:BB138">
    <cfRule type="cellIs" dxfId="28395" priority="639" operator="lessThan">
      <formula>0</formula>
    </cfRule>
    <cfRule type="cellIs" dxfId="28394" priority="640" operator="lessThan">
      <formula>-105575</formula>
    </cfRule>
  </conditionalFormatting>
  <conditionalFormatting sqref="BB149">
    <cfRule type="cellIs" dxfId="28393" priority="637" operator="lessThan">
      <formula>0</formula>
    </cfRule>
    <cfRule type="cellIs" dxfId="28392" priority="638" operator="lessThan">
      <formula>-105575</formula>
    </cfRule>
  </conditionalFormatting>
  <conditionalFormatting sqref="BB86:BB87 BB89:BB91 BB141:BB149 BB124:BB133 BB107:BB110 BB112:BB117 BB119:BB122 BB135:BB138 BB101:BB104 BB80:BB84 BB94:BB98">
    <cfRule type="cellIs" dxfId="28391" priority="635" operator="lessThan">
      <formula>0</formula>
    </cfRule>
    <cfRule type="cellIs" dxfId="28390" priority="636" operator="lessThan">
      <formula>-105575</formula>
    </cfRule>
  </conditionalFormatting>
  <conditionalFormatting sqref="BB62:BB76 BB306:BB309 BB311:BB325 BB327:BB330 BB332:BB341 BB344:BB347 BB349:BB353 BB355:BB358 BB360:BB384 BB386:BB389 BB392:BB395 BB397:BB411 BB413:BB416 BB418:BB432 BB434:BB437 BB439:BB453 BB455:BB458 BB460:BB469 BB12:BB14 BB17:BB18 BB21:BB24 BB26:BB28 BB30:BB36 BB38 BB41:BB43 BB46:BB49 BB51:BB55 BB57:BB59 BB290:BB291 BB293:BB304 BB7:BB10">
    <cfRule type="cellIs" dxfId="28389" priority="633" operator="lessThan">
      <formula>0</formula>
    </cfRule>
    <cfRule type="cellIs" dxfId="28388" priority="634" operator="lessThan">
      <formula>-105575</formula>
    </cfRule>
  </conditionalFormatting>
  <conditionalFormatting sqref="BB41">
    <cfRule type="cellIs" dxfId="28387" priority="631" operator="lessThan">
      <formula>0</formula>
    </cfRule>
    <cfRule type="cellIs" dxfId="28386" priority="632" operator="lessThan">
      <formula>-105575</formula>
    </cfRule>
  </conditionalFormatting>
  <conditionalFormatting sqref="BB152:BB155">
    <cfRule type="cellIs" dxfId="28385" priority="629" operator="lessThan">
      <formula>0</formula>
    </cfRule>
    <cfRule type="cellIs" dxfId="28384" priority="630" operator="lessThan">
      <formula>-105575</formula>
    </cfRule>
  </conditionalFormatting>
  <conditionalFormatting sqref="BB152:BB155">
    <cfRule type="cellIs" dxfId="28383" priority="627" operator="lessThan">
      <formula>0</formula>
    </cfRule>
    <cfRule type="cellIs" dxfId="28382" priority="628" operator="lessThan">
      <formula>-105575</formula>
    </cfRule>
  </conditionalFormatting>
  <conditionalFormatting sqref="BB152:BB155">
    <cfRule type="cellIs" dxfId="28381" priority="625" operator="lessThan">
      <formula>0</formula>
    </cfRule>
    <cfRule type="cellIs" dxfId="28380" priority="626" operator="lessThan">
      <formula>-105575</formula>
    </cfRule>
  </conditionalFormatting>
  <conditionalFormatting sqref="BB157:BB158">
    <cfRule type="cellIs" dxfId="28379" priority="623" operator="lessThan">
      <formula>0</formula>
    </cfRule>
    <cfRule type="cellIs" dxfId="28378" priority="624" operator="lessThan">
      <formula>-105575</formula>
    </cfRule>
  </conditionalFormatting>
  <conditionalFormatting sqref="BB157:BB158">
    <cfRule type="cellIs" dxfId="28377" priority="621" operator="lessThan">
      <formula>0</formula>
    </cfRule>
    <cfRule type="cellIs" dxfId="28376" priority="622" operator="lessThan">
      <formula>-105575</formula>
    </cfRule>
  </conditionalFormatting>
  <conditionalFormatting sqref="BB157:BB158">
    <cfRule type="cellIs" dxfId="28375" priority="619" operator="lessThan">
      <formula>0</formula>
    </cfRule>
    <cfRule type="cellIs" dxfId="28374" priority="620" operator="lessThan">
      <formula>-105575</formula>
    </cfRule>
  </conditionalFormatting>
  <conditionalFormatting sqref="BB160:BB161">
    <cfRule type="cellIs" dxfId="28373" priority="617" operator="lessThan">
      <formula>0</formula>
    </cfRule>
    <cfRule type="cellIs" dxfId="28372" priority="618" operator="lessThan">
      <formula>-105575</formula>
    </cfRule>
  </conditionalFormatting>
  <conditionalFormatting sqref="BB160:BB161">
    <cfRule type="cellIs" dxfId="28371" priority="615" operator="lessThan">
      <formula>0</formula>
    </cfRule>
    <cfRule type="cellIs" dxfId="28370" priority="616" operator="lessThan">
      <formula>-105575</formula>
    </cfRule>
  </conditionalFormatting>
  <conditionalFormatting sqref="BB160:BB161">
    <cfRule type="cellIs" dxfId="28369" priority="613" operator="lessThan">
      <formula>0</formula>
    </cfRule>
    <cfRule type="cellIs" dxfId="28368" priority="614" operator="lessThan">
      <formula>-105575</formula>
    </cfRule>
  </conditionalFormatting>
  <conditionalFormatting sqref="BB164:BB167">
    <cfRule type="cellIs" dxfId="28367" priority="611" operator="lessThan">
      <formula>0</formula>
    </cfRule>
    <cfRule type="cellIs" dxfId="28366" priority="612" operator="lessThan">
      <formula>-105575</formula>
    </cfRule>
  </conditionalFormatting>
  <conditionalFormatting sqref="BB164:BB167">
    <cfRule type="cellIs" dxfId="28365" priority="609" operator="lessThan">
      <formula>0</formula>
    </cfRule>
    <cfRule type="cellIs" dxfId="28364" priority="610" operator="lessThan">
      <formula>-105575</formula>
    </cfRule>
  </conditionalFormatting>
  <conditionalFormatting sqref="BB164:BB167">
    <cfRule type="cellIs" dxfId="28363" priority="607" operator="lessThan">
      <formula>0</formula>
    </cfRule>
    <cfRule type="cellIs" dxfId="28362" priority="608" operator="lessThan">
      <formula>-105575</formula>
    </cfRule>
  </conditionalFormatting>
  <conditionalFormatting sqref="BB169:BB177">
    <cfRule type="cellIs" dxfId="28361" priority="605" operator="lessThan">
      <formula>0</formula>
    </cfRule>
    <cfRule type="cellIs" dxfId="28360" priority="606" operator="lessThan">
      <formula>-105575</formula>
    </cfRule>
  </conditionalFormatting>
  <conditionalFormatting sqref="BB169:BB177">
    <cfRule type="cellIs" dxfId="28359" priority="603" operator="lessThan">
      <formula>0</formula>
    </cfRule>
    <cfRule type="cellIs" dxfId="28358" priority="604" operator="lessThan">
      <formula>-105575</formula>
    </cfRule>
  </conditionalFormatting>
  <conditionalFormatting sqref="BB169:BB177">
    <cfRule type="cellIs" dxfId="28357" priority="601" operator="lessThan">
      <formula>0</formula>
    </cfRule>
    <cfRule type="cellIs" dxfId="28356" priority="602" operator="lessThan">
      <formula>-105575</formula>
    </cfRule>
  </conditionalFormatting>
  <conditionalFormatting sqref="BB179:BB180">
    <cfRule type="cellIs" dxfId="28355" priority="599" operator="lessThan">
      <formula>0</formula>
    </cfRule>
    <cfRule type="cellIs" dxfId="28354" priority="600" operator="lessThan">
      <formula>-105575</formula>
    </cfRule>
  </conditionalFormatting>
  <conditionalFormatting sqref="BB179:BB180">
    <cfRule type="cellIs" dxfId="28353" priority="597" operator="lessThan">
      <formula>0</formula>
    </cfRule>
    <cfRule type="cellIs" dxfId="28352" priority="598" operator="lessThan">
      <formula>-105575</formula>
    </cfRule>
  </conditionalFormatting>
  <conditionalFormatting sqref="BB179:BB180">
    <cfRule type="cellIs" dxfId="28351" priority="595" operator="lessThan">
      <formula>0</formula>
    </cfRule>
    <cfRule type="cellIs" dxfId="28350" priority="596" operator="lessThan">
      <formula>-105575</formula>
    </cfRule>
  </conditionalFormatting>
  <conditionalFormatting sqref="BB183:BB189">
    <cfRule type="cellIs" dxfId="28349" priority="593" operator="lessThan">
      <formula>0</formula>
    </cfRule>
    <cfRule type="cellIs" dxfId="28348" priority="594" operator="lessThan">
      <formula>-105575</formula>
    </cfRule>
  </conditionalFormatting>
  <conditionalFormatting sqref="BB183:BB189">
    <cfRule type="cellIs" dxfId="28347" priority="591" operator="lessThan">
      <formula>0</formula>
    </cfRule>
    <cfRule type="cellIs" dxfId="28346" priority="592" operator="lessThan">
      <formula>-105575</formula>
    </cfRule>
  </conditionalFormatting>
  <conditionalFormatting sqref="BB183:BB189">
    <cfRule type="cellIs" dxfId="28345" priority="589" operator="lessThan">
      <formula>0</formula>
    </cfRule>
    <cfRule type="cellIs" dxfId="28344" priority="590" operator="lessThan">
      <formula>-105575</formula>
    </cfRule>
  </conditionalFormatting>
  <conditionalFormatting sqref="BB191:BB192">
    <cfRule type="cellIs" dxfId="28343" priority="587" operator="lessThan">
      <formula>0</formula>
    </cfRule>
    <cfRule type="cellIs" dxfId="28342" priority="588" operator="lessThan">
      <formula>-105575</formula>
    </cfRule>
  </conditionalFormatting>
  <conditionalFormatting sqref="BB191:BB192">
    <cfRule type="cellIs" dxfId="28341" priority="585" operator="lessThan">
      <formula>0</formula>
    </cfRule>
    <cfRule type="cellIs" dxfId="28340" priority="586" operator="lessThan">
      <formula>-105575</formula>
    </cfRule>
  </conditionalFormatting>
  <conditionalFormatting sqref="BB191:BB192">
    <cfRule type="cellIs" dxfId="28339" priority="583" operator="lessThan">
      <formula>0</formula>
    </cfRule>
    <cfRule type="cellIs" dxfId="28338" priority="584" operator="lessThan">
      <formula>-105575</formula>
    </cfRule>
  </conditionalFormatting>
  <conditionalFormatting sqref="BB194:BB195">
    <cfRule type="cellIs" dxfId="28337" priority="581" operator="lessThan">
      <formula>0</formula>
    </cfRule>
    <cfRule type="cellIs" dxfId="28336" priority="582" operator="lessThan">
      <formula>-105575</formula>
    </cfRule>
  </conditionalFormatting>
  <conditionalFormatting sqref="BB194:BB195">
    <cfRule type="cellIs" dxfId="28335" priority="579" operator="lessThan">
      <formula>0</formula>
    </cfRule>
    <cfRule type="cellIs" dxfId="28334" priority="580" operator="lessThan">
      <formula>-105575</formula>
    </cfRule>
  </conditionalFormatting>
  <conditionalFormatting sqref="BB194:BB195">
    <cfRule type="cellIs" dxfId="28333" priority="577" operator="lessThan">
      <formula>0</formula>
    </cfRule>
    <cfRule type="cellIs" dxfId="28332" priority="578" operator="lessThan">
      <formula>-105575</formula>
    </cfRule>
  </conditionalFormatting>
  <conditionalFormatting sqref="BB199:BB202">
    <cfRule type="cellIs" dxfId="28331" priority="575" operator="lessThan">
      <formula>0</formula>
    </cfRule>
    <cfRule type="cellIs" dxfId="28330" priority="576" operator="lessThan">
      <formula>-105575</formula>
    </cfRule>
  </conditionalFormatting>
  <conditionalFormatting sqref="BB199:BB202">
    <cfRule type="cellIs" dxfId="28329" priority="573" operator="lessThan">
      <formula>0</formula>
    </cfRule>
    <cfRule type="cellIs" dxfId="28328" priority="574" operator="lessThan">
      <formula>-105575</formula>
    </cfRule>
  </conditionalFormatting>
  <conditionalFormatting sqref="BB199:BB202">
    <cfRule type="cellIs" dxfId="28327" priority="571" operator="lessThan">
      <formula>0</formula>
    </cfRule>
    <cfRule type="cellIs" dxfId="28326" priority="572" operator="lessThan">
      <formula>-105575</formula>
    </cfRule>
  </conditionalFormatting>
  <conditionalFormatting sqref="BB204:BB208">
    <cfRule type="cellIs" dxfId="28325" priority="569" operator="lessThan">
      <formula>0</formula>
    </cfRule>
    <cfRule type="cellIs" dxfId="28324" priority="570" operator="lessThan">
      <formula>-105575</formula>
    </cfRule>
  </conditionalFormatting>
  <conditionalFormatting sqref="BB204:BB208">
    <cfRule type="cellIs" dxfId="28323" priority="567" operator="lessThan">
      <formula>0</formula>
    </cfRule>
    <cfRule type="cellIs" dxfId="28322" priority="568" operator="lessThan">
      <formula>-105575</formula>
    </cfRule>
  </conditionalFormatting>
  <conditionalFormatting sqref="BB204:BB208">
    <cfRule type="cellIs" dxfId="28321" priority="565" operator="lessThan">
      <formula>0</formula>
    </cfRule>
    <cfRule type="cellIs" dxfId="28320" priority="566" operator="lessThan">
      <formula>-105575</formula>
    </cfRule>
  </conditionalFormatting>
  <conditionalFormatting sqref="BB210:BB211">
    <cfRule type="cellIs" dxfId="28319" priority="563" operator="lessThan">
      <formula>0</formula>
    </cfRule>
    <cfRule type="cellIs" dxfId="28318" priority="564" operator="lessThan">
      <formula>-105575</formula>
    </cfRule>
  </conditionalFormatting>
  <conditionalFormatting sqref="BB210:BB211">
    <cfRule type="cellIs" dxfId="28317" priority="561" operator="lessThan">
      <formula>0</formula>
    </cfRule>
    <cfRule type="cellIs" dxfId="28316" priority="562" operator="lessThan">
      <formula>-105575</formula>
    </cfRule>
  </conditionalFormatting>
  <conditionalFormatting sqref="BB210:BB211">
    <cfRule type="cellIs" dxfId="28315" priority="559" operator="lessThan">
      <formula>0</formula>
    </cfRule>
    <cfRule type="cellIs" dxfId="28314" priority="560" operator="lessThan">
      <formula>-105575</formula>
    </cfRule>
  </conditionalFormatting>
  <conditionalFormatting sqref="BB214:BB219">
    <cfRule type="cellIs" dxfId="28313" priority="557" operator="lessThan">
      <formula>0</formula>
    </cfRule>
    <cfRule type="cellIs" dxfId="28312" priority="558" operator="lessThan">
      <formula>-105575</formula>
    </cfRule>
  </conditionalFormatting>
  <conditionalFormatting sqref="BB214:BB219">
    <cfRule type="cellIs" dxfId="28311" priority="555" operator="lessThan">
      <formula>0</formula>
    </cfRule>
    <cfRule type="cellIs" dxfId="28310" priority="556" operator="lessThan">
      <formula>-105575</formula>
    </cfRule>
  </conditionalFormatting>
  <conditionalFormatting sqref="BB214:BB219">
    <cfRule type="cellIs" dxfId="28309" priority="553" operator="lessThan">
      <formula>0</formula>
    </cfRule>
    <cfRule type="cellIs" dxfId="28308" priority="554" operator="lessThan">
      <formula>-105575</formula>
    </cfRule>
  </conditionalFormatting>
  <conditionalFormatting sqref="BB222:BB224">
    <cfRule type="cellIs" dxfId="28307" priority="551" operator="lessThan">
      <formula>0</formula>
    </cfRule>
    <cfRule type="cellIs" dxfId="28306" priority="552" operator="lessThan">
      <formula>-105575</formula>
    </cfRule>
  </conditionalFormatting>
  <conditionalFormatting sqref="BB222:BB224">
    <cfRule type="cellIs" dxfId="28305" priority="549" operator="lessThan">
      <formula>0</formula>
    </cfRule>
    <cfRule type="cellIs" dxfId="28304" priority="550" operator="lessThan">
      <formula>-105575</formula>
    </cfRule>
  </conditionalFormatting>
  <conditionalFormatting sqref="BB222:BB224">
    <cfRule type="cellIs" dxfId="28303" priority="547" operator="lessThan">
      <formula>0</formula>
    </cfRule>
    <cfRule type="cellIs" dxfId="28302" priority="548" operator="lessThan">
      <formula>-105575</formula>
    </cfRule>
  </conditionalFormatting>
  <conditionalFormatting sqref="BB227:BB230">
    <cfRule type="cellIs" dxfId="28301" priority="545" operator="lessThan">
      <formula>0</formula>
    </cfRule>
    <cfRule type="cellIs" dxfId="28300" priority="546" operator="lessThan">
      <formula>-105575</formula>
    </cfRule>
  </conditionalFormatting>
  <conditionalFormatting sqref="BB227:BB230">
    <cfRule type="cellIs" dxfId="28299" priority="543" operator="lessThan">
      <formula>0</formula>
    </cfRule>
    <cfRule type="cellIs" dxfId="28298" priority="544" operator="lessThan">
      <formula>-105575</formula>
    </cfRule>
  </conditionalFormatting>
  <conditionalFormatting sqref="BB227:BB230">
    <cfRule type="cellIs" dxfId="28297" priority="541" operator="lessThan">
      <formula>0</formula>
    </cfRule>
    <cfRule type="cellIs" dxfId="28296" priority="542" operator="lessThan">
      <formula>-105575</formula>
    </cfRule>
  </conditionalFormatting>
  <conditionalFormatting sqref="BB246:BB249">
    <cfRule type="cellIs" dxfId="28295" priority="539" operator="lessThan">
      <formula>0</formula>
    </cfRule>
    <cfRule type="cellIs" dxfId="28294" priority="540" operator="lessThan">
      <formula>-105575</formula>
    </cfRule>
  </conditionalFormatting>
  <conditionalFormatting sqref="BB246:BB249">
    <cfRule type="cellIs" dxfId="28293" priority="537" operator="lessThan">
      <formula>0</formula>
    </cfRule>
    <cfRule type="cellIs" dxfId="28292" priority="538" operator="lessThan">
      <formula>-105575</formula>
    </cfRule>
  </conditionalFormatting>
  <conditionalFormatting sqref="BB246:BB249">
    <cfRule type="cellIs" dxfId="28291" priority="535" operator="lessThan">
      <formula>0</formula>
    </cfRule>
    <cfRule type="cellIs" dxfId="28290" priority="536" operator="lessThan">
      <formula>-105575</formula>
    </cfRule>
  </conditionalFormatting>
  <conditionalFormatting sqref="BB246:BB249">
    <cfRule type="cellIs" dxfId="28289" priority="533" operator="lessThan">
      <formula>0</formula>
    </cfRule>
    <cfRule type="cellIs" dxfId="28288" priority="534" operator="lessThan">
      <formula>-105575</formula>
    </cfRule>
  </conditionalFormatting>
  <conditionalFormatting sqref="BB246:BB249">
    <cfRule type="cellIs" dxfId="28287" priority="531" operator="lessThan">
      <formula>0</formula>
    </cfRule>
    <cfRule type="cellIs" dxfId="28286" priority="532" operator="lessThan">
      <formula>-105575</formula>
    </cfRule>
  </conditionalFormatting>
  <conditionalFormatting sqref="BB246:BB249">
    <cfRule type="cellIs" dxfId="28285" priority="529" operator="lessThan">
      <formula>0</formula>
    </cfRule>
    <cfRule type="cellIs" dxfId="28284" priority="530" operator="lessThan">
      <formula>-105575</formula>
    </cfRule>
  </conditionalFormatting>
  <conditionalFormatting sqref="BB246:BB249">
    <cfRule type="cellIs" dxfId="28283" priority="527" operator="lessThan">
      <formula>0</formula>
    </cfRule>
    <cfRule type="cellIs" dxfId="28282" priority="528" operator="lessThan">
      <formula>-105575</formula>
    </cfRule>
  </conditionalFormatting>
  <conditionalFormatting sqref="BB246:BB249">
    <cfRule type="cellIs" dxfId="28281" priority="525" operator="lessThan">
      <formula>0</formula>
    </cfRule>
    <cfRule type="cellIs" dxfId="28280" priority="526" operator="lessThan">
      <formula>-105575</formula>
    </cfRule>
  </conditionalFormatting>
  <conditionalFormatting sqref="BB246:BB249">
    <cfRule type="cellIs" dxfId="28279" priority="523" operator="lessThan">
      <formula>0</formula>
    </cfRule>
    <cfRule type="cellIs" dxfId="28278" priority="524" operator="lessThan">
      <formula>-105575</formula>
    </cfRule>
  </conditionalFormatting>
  <conditionalFormatting sqref="BB251:BB253">
    <cfRule type="cellIs" dxfId="28277" priority="521" operator="lessThan">
      <formula>0</formula>
    </cfRule>
    <cfRule type="cellIs" dxfId="28276" priority="522" operator="lessThan">
      <formula>-105575</formula>
    </cfRule>
  </conditionalFormatting>
  <conditionalFormatting sqref="BB251:BB253">
    <cfRule type="cellIs" dxfId="28275" priority="519" operator="lessThan">
      <formula>0</formula>
    </cfRule>
    <cfRule type="cellIs" dxfId="28274" priority="520" operator="lessThan">
      <formula>-105575</formula>
    </cfRule>
  </conditionalFormatting>
  <conditionalFormatting sqref="BB251:BB253">
    <cfRule type="cellIs" dxfId="28273" priority="517" operator="lessThan">
      <formula>0</formula>
    </cfRule>
    <cfRule type="cellIs" dxfId="28272" priority="518" operator="lessThan">
      <formula>-105575</formula>
    </cfRule>
  </conditionalFormatting>
  <conditionalFormatting sqref="BB251:BB253">
    <cfRule type="cellIs" dxfId="28271" priority="515" operator="lessThan">
      <formula>0</formula>
    </cfRule>
    <cfRule type="cellIs" dxfId="28270" priority="516" operator="lessThan">
      <formula>-105575</formula>
    </cfRule>
  </conditionalFormatting>
  <conditionalFormatting sqref="BB251:BB253">
    <cfRule type="cellIs" dxfId="28269" priority="513" operator="lessThan">
      <formula>0</formula>
    </cfRule>
    <cfRule type="cellIs" dxfId="28268" priority="514" operator="lessThan">
      <formula>-105575</formula>
    </cfRule>
  </conditionalFormatting>
  <conditionalFormatting sqref="BB251:BB253">
    <cfRule type="cellIs" dxfId="28267" priority="511" operator="lessThan">
      <formula>0</formula>
    </cfRule>
    <cfRule type="cellIs" dxfId="28266" priority="512" operator="lessThan">
      <formula>-105575</formula>
    </cfRule>
  </conditionalFormatting>
  <conditionalFormatting sqref="BB251:BB253">
    <cfRule type="cellIs" dxfId="28265" priority="509" operator="lessThan">
      <formula>0</formula>
    </cfRule>
    <cfRule type="cellIs" dxfId="28264" priority="510" operator="lessThan">
      <formula>-105575</formula>
    </cfRule>
  </conditionalFormatting>
  <conditionalFormatting sqref="BB251:BB253">
    <cfRule type="cellIs" dxfId="28263" priority="507" operator="lessThan">
      <formula>0</formula>
    </cfRule>
    <cfRule type="cellIs" dxfId="28262" priority="508" operator="lessThan">
      <formula>-105575</formula>
    </cfRule>
  </conditionalFormatting>
  <conditionalFormatting sqref="BB251:BB253">
    <cfRule type="cellIs" dxfId="28261" priority="505" operator="lessThan">
      <formula>0</formula>
    </cfRule>
    <cfRule type="cellIs" dxfId="28260" priority="506" operator="lessThan">
      <formula>-105575</formula>
    </cfRule>
  </conditionalFormatting>
  <conditionalFormatting sqref="BB255:BB257">
    <cfRule type="cellIs" dxfId="28259" priority="503" operator="lessThan">
      <formula>0</formula>
    </cfRule>
    <cfRule type="cellIs" dxfId="28258" priority="504" operator="lessThan">
      <formula>-105575</formula>
    </cfRule>
  </conditionalFormatting>
  <conditionalFormatting sqref="BB255:BB257">
    <cfRule type="cellIs" dxfId="28257" priority="501" operator="lessThan">
      <formula>0</formula>
    </cfRule>
    <cfRule type="cellIs" dxfId="28256" priority="502" operator="lessThan">
      <formula>-105575</formula>
    </cfRule>
  </conditionalFormatting>
  <conditionalFormatting sqref="BB255:BB257">
    <cfRule type="cellIs" dxfId="28255" priority="499" operator="lessThan">
      <formula>0</formula>
    </cfRule>
    <cfRule type="cellIs" dxfId="28254" priority="500" operator="lessThan">
      <formula>-105575</formula>
    </cfRule>
  </conditionalFormatting>
  <conditionalFormatting sqref="BB255:BB257">
    <cfRule type="cellIs" dxfId="28253" priority="497" operator="lessThan">
      <formula>0</formula>
    </cfRule>
    <cfRule type="cellIs" dxfId="28252" priority="498" operator="lessThan">
      <formula>-105575</formula>
    </cfRule>
  </conditionalFormatting>
  <conditionalFormatting sqref="BB255:BB257">
    <cfRule type="cellIs" dxfId="28251" priority="495" operator="lessThan">
      <formula>0</formula>
    </cfRule>
    <cfRule type="cellIs" dxfId="28250" priority="496" operator="lessThan">
      <formula>-105575</formula>
    </cfRule>
  </conditionalFormatting>
  <conditionalFormatting sqref="BB255:BB257">
    <cfRule type="cellIs" dxfId="28249" priority="493" operator="lessThan">
      <formula>0</formula>
    </cfRule>
    <cfRule type="cellIs" dxfId="28248" priority="494" operator="lessThan">
      <formula>-105575</formula>
    </cfRule>
  </conditionalFormatting>
  <conditionalFormatting sqref="BB255:BB257">
    <cfRule type="cellIs" dxfId="28247" priority="491" operator="lessThan">
      <formula>0</formula>
    </cfRule>
    <cfRule type="cellIs" dxfId="28246" priority="492" operator="lessThan">
      <formula>-105575</formula>
    </cfRule>
  </conditionalFormatting>
  <conditionalFormatting sqref="BB255:BB257">
    <cfRule type="cellIs" dxfId="28245" priority="489" operator="lessThan">
      <formula>0</formula>
    </cfRule>
    <cfRule type="cellIs" dxfId="28244" priority="490" operator="lessThan">
      <formula>-105575</formula>
    </cfRule>
  </conditionalFormatting>
  <conditionalFormatting sqref="BB255:BB257">
    <cfRule type="cellIs" dxfId="28243" priority="487" operator="lessThan">
      <formula>0</formula>
    </cfRule>
    <cfRule type="cellIs" dxfId="28242" priority="488" operator="lessThan">
      <formula>-105575</formula>
    </cfRule>
  </conditionalFormatting>
  <conditionalFormatting sqref="BB260:BB262">
    <cfRule type="cellIs" dxfId="28241" priority="485" operator="lessThan">
      <formula>0</formula>
    </cfRule>
    <cfRule type="cellIs" dxfId="28240" priority="486" operator="lessThan">
      <formula>-105575</formula>
    </cfRule>
  </conditionalFormatting>
  <conditionalFormatting sqref="BB260:BB262">
    <cfRule type="cellIs" dxfId="28239" priority="483" operator="lessThan">
      <formula>0</formula>
    </cfRule>
    <cfRule type="cellIs" dxfId="28238" priority="484" operator="lessThan">
      <formula>-105575</formula>
    </cfRule>
  </conditionalFormatting>
  <conditionalFormatting sqref="BB260:BB262">
    <cfRule type="cellIs" dxfId="28237" priority="481" operator="lessThan">
      <formula>0</formula>
    </cfRule>
    <cfRule type="cellIs" dxfId="28236" priority="482" operator="lessThan">
      <formula>-105575</formula>
    </cfRule>
  </conditionalFormatting>
  <conditionalFormatting sqref="BB260:BB262">
    <cfRule type="cellIs" dxfId="28235" priority="479" operator="lessThan">
      <formula>0</formula>
    </cfRule>
    <cfRule type="cellIs" dxfId="28234" priority="480" operator="lessThan">
      <formula>-105575</formula>
    </cfRule>
  </conditionalFormatting>
  <conditionalFormatting sqref="BB260:BB262">
    <cfRule type="cellIs" dxfId="28233" priority="477" operator="lessThan">
      <formula>0</formula>
    </cfRule>
    <cfRule type="cellIs" dxfId="28232" priority="478" operator="lessThan">
      <formula>-105575</formula>
    </cfRule>
  </conditionalFormatting>
  <conditionalFormatting sqref="BB260:BB262">
    <cfRule type="cellIs" dxfId="28231" priority="475" operator="lessThan">
      <formula>0</formula>
    </cfRule>
    <cfRule type="cellIs" dxfId="28230" priority="476" operator="lessThan">
      <formula>-105575</formula>
    </cfRule>
  </conditionalFormatting>
  <conditionalFormatting sqref="BB260:BB262">
    <cfRule type="cellIs" dxfId="28229" priority="473" operator="lessThan">
      <formula>0</formula>
    </cfRule>
    <cfRule type="cellIs" dxfId="28228" priority="474" operator="lessThan">
      <formula>-105575</formula>
    </cfRule>
  </conditionalFormatting>
  <conditionalFormatting sqref="BB260:BB262">
    <cfRule type="cellIs" dxfId="28227" priority="471" operator="lessThan">
      <formula>0</formula>
    </cfRule>
    <cfRule type="cellIs" dxfId="28226" priority="472" operator="lessThan">
      <formula>-105575</formula>
    </cfRule>
  </conditionalFormatting>
  <conditionalFormatting sqref="BB260:BB262">
    <cfRule type="cellIs" dxfId="28225" priority="469" operator="lessThan">
      <formula>0</formula>
    </cfRule>
    <cfRule type="cellIs" dxfId="28224" priority="470" operator="lessThan">
      <formula>-105575</formula>
    </cfRule>
  </conditionalFormatting>
  <conditionalFormatting sqref="BB264:BB267">
    <cfRule type="cellIs" dxfId="28223" priority="467" operator="lessThan">
      <formula>0</formula>
    </cfRule>
    <cfRule type="cellIs" dxfId="28222" priority="468" operator="lessThan">
      <formula>-105575</formula>
    </cfRule>
  </conditionalFormatting>
  <conditionalFormatting sqref="BB264:BB267">
    <cfRule type="cellIs" dxfId="28221" priority="465" operator="lessThan">
      <formula>0</formula>
    </cfRule>
    <cfRule type="cellIs" dxfId="28220" priority="466" operator="lessThan">
      <formula>-105575</formula>
    </cfRule>
  </conditionalFormatting>
  <conditionalFormatting sqref="BB264:BB267">
    <cfRule type="cellIs" dxfId="28219" priority="463" operator="lessThan">
      <formula>0</formula>
    </cfRule>
    <cfRule type="cellIs" dxfId="28218" priority="464" operator="lessThan">
      <formula>-105575</formula>
    </cfRule>
  </conditionalFormatting>
  <conditionalFormatting sqref="BB264:BB267">
    <cfRule type="cellIs" dxfId="28217" priority="461" operator="lessThan">
      <formula>0</formula>
    </cfRule>
    <cfRule type="cellIs" dxfId="28216" priority="462" operator="lessThan">
      <formula>-105575</formula>
    </cfRule>
  </conditionalFormatting>
  <conditionalFormatting sqref="BB264:BB267">
    <cfRule type="cellIs" dxfId="28215" priority="459" operator="lessThan">
      <formula>0</formula>
    </cfRule>
    <cfRule type="cellIs" dxfId="28214" priority="460" operator="lessThan">
      <formula>-105575</formula>
    </cfRule>
  </conditionalFormatting>
  <conditionalFormatting sqref="BB264:BB267">
    <cfRule type="cellIs" dxfId="28213" priority="457" operator="lessThan">
      <formula>0</formula>
    </cfRule>
    <cfRule type="cellIs" dxfId="28212" priority="458" operator="lessThan">
      <formula>-105575</formula>
    </cfRule>
  </conditionalFormatting>
  <conditionalFormatting sqref="BB264:BB267">
    <cfRule type="cellIs" dxfId="28211" priority="455" operator="lessThan">
      <formula>0</formula>
    </cfRule>
    <cfRule type="cellIs" dxfId="28210" priority="456" operator="lessThan">
      <formula>-105575</formula>
    </cfRule>
  </conditionalFormatting>
  <conditionalFormatting sqref="BB264:BB267">
    <cfRule type="cellIs" dxfId="28209" priority="453" operator="lessThan">
      <formula>0</formula>
    </cfRule>
    <cfRule type="cellIs" dxfId="28208" priority="454" operator="lessThan">
      <formula>-105575</formula>
    </cfRule>
  </conditionalFormatting>
  <conditionalFormatting sqref="BB264:BB267">
    <cfRule type="cellIs" dxfId="28207" priority="451" operator="lessThan">
      <formula>0</formula>
    </cfRule>
    <cfRule type="cellIs" dxfId="28206" priority="452" operator="lessThan">
      <formula>-105575</formula>
    </cfRule>
  </conditionalFormatting>
  <conditionalFormatting sqref="BB270:BB272">
    <cfRule type="cellIs" dxfId="28205" priority="449" operator="lessThan">
      <formula>0</formula>
    </cfRule>
    <cfRule type="cellIs" dxfId="28204" priority="450" operator="lessThan">
      <formula>-105575</formula>
    </cfRule>
  </conditionalFormatting>
  <conditionalFormatting sqref="BB270:BB272">
    <cfRule type="cellIs" dxfId="28203" priority="447" operator="lessThan">
      <formula>0</formula>
    </cfRule>
    <cfRule type="cellIs" dxfId="28202" priority="448" operator="lessThan">
      <formula>-105575</formula>
    </cfRule>
  </conditionalFormatting>
  <conditionalFormatting sqref="BB270:BB272">
    <cfRule type="cellIs" dxfId="28201" priority="445" operator="lessThan">
      <formula>0</formula>
    </cfRule>
    <cfRule type="cellIs" dxfId="28200" priority="446" operator="lessThan">
      <formula>-105575</formula>
    </cfRule>
  </conditionalFormatting>
  <conditionalFormatting sqref="BB270:BB272">
    <cfRule type="cellIs" dxfId="28199" priority="443" operator="lessThan">
      <formula>0</formula>
    </cfRule>
    <cfRule type="cellIs" dxfId="28198" priority="444" operator="lessThan">
      <formula>-105575</formula>
    </cfRule>
  </conditionalFormatting>
  <conditionalFormatting sqref="BB270:BB272">
    <cfRule type="cellIs" dxfId="28197" priority="441" operator="lessThan">
      <formula>0</formula>
    </cfRule>
    <cfRule type="cellIs" dxfId="28196" priority="442" operator="lessThan">
      <formula>-105575</formula>
    </cfRule>
  </conditionalFormatting>
  <conditionalFormatting sqref="BB270:BB272">
    <cfRule type="cellIs" dxfId="28195" priority="439" operator="lessThan">
      <formula>0</formula>
    </cfRule>
    <cfRule type="cellIs" dxfId="28194" priority="440" operator="lessThan">
      <formula>-105575</formula>
    </cfRule>
  </conditionalFormatting>
  <conditionalFormatting sqref="BB270:BB272">
    <cfRule type="cellIs" dxfId="28193" priority="437" operator="lessThan">
      <formula>0</formula>
    </cfRule>
    <cfRule type="cellIs" dxfId="28192" priority="438" operator="lessThan">
      <formula>-105575</formula>
    </cfRule>
  </conditionalFormatting>
  <conditionalFormatting sqref="BB270:BB272">
    <cfRule type="cellIs" dxfId="28191" priority="435" operator="lessThan">
      <formula>0</formula>
    </cfRule>
    <cfRule type="cellIs" dxfId="28190" priority="436" operator="lessThan">
      <formula>-105575</formula>
    </cfRule>
  </conditionalFormatting>
  <conditionalFormatting sqref="BB270:BB272">
    <cfRule type="cellIs" dxfId="28189" priority="433" operator="lessThan">
      <formula>0</formula>
    </cfRule>
    <cfRule type="cellIs" dxfId="28188" priority="434" operator="lessThan">
      <formula>-105575</formula>
    </cfRule>
  </conditionalFormatting>
  <conditionalFormatting sqref="BB274:BB275">
    <cfRule type="cellIs" dxfId="28187" priority="431" operator="lessThan">
      <formula>0</formula>
    </cfRule>
    <cfRule type="cellIs" dxfId="28186" priority="432" operator="lessThan">
      <formula>-105575</formula>
    </cfRule>
  </conditionalFormatting>
  <conditionalFormatting sqref="BB274:BB275">
    <cfRule type="cellIs" dxfId="28185" priority="429" operator="lessThan">
      <formula>0</formula>
    </cfRule>
    <cfRule type="cellIs" dxfId="28184" priority="430" operator="lessThan">
      <formula>-105575</formula>
    </cfRule>
  </conditionalFormatting>
  <conditionalFormatting sqref="BB274:BB275">
    <cfRule type="cellIs" dxfId="28183" priority="427" operator="lessThan">
      <formula>0</formula>
    </cfRule>
    <cfRule type="cellIs" dxfId="28182" priority="428" operator="lessThan">
      <formula>-105575</formula>
    </cfRule>
  </conditionalFormatting>
  <conditionalFormatting sqref="BB274:BB275">
    <cfRule type="cellIs" dxfId="28181" priority="425" operator="lessThan">
      <formula>0</formula>
    </cfRule>
    <cfRule type="cellIs" dxfId="28180" priority="426" operator="lessThan">
      <formula>-105575</formula>
    </cfRule>
  </conditionalFormatting>
  <conditionalFormatting sqref="BB274:BB275">
    <cfRule type="cellIs" dxfId="28179" priority="423" operator="lessThan">
      <formula>0</formula>
    </cfRule>
    <cfRule type="cellIs" dxfId="28178" priority="424" operator="lessThan">
      <formula>-105575</formula>
    </cfRule>
  </conditionalFormatting>
  <conditionalFormatting sqref="BB274:BB275">
    <cfRule type="cellIs" dxfId="28177" priority="421" operator="lessThan">
      <formula>0</formula>
    </cfRule>
    <cfRule type="cellIs" dxfId="28176" priority="422" operator="lessThan">
      <formula>-105575</formula>
    </cfRule>
  </conditionalFormatting>
  <conditionalFormatting sqref="BB274:BB275">
    <cfRule type="cellIs" dxfId="28175" priority="419" operator="lessThan">
      <formula>0</formula>
    </cfRule>
    <cfRule type="cellIs" dxfId="28174" priority="420" operator="lessThan">
      <formula>-105575</formula>
    </cfRule>
  </conditionalFormatting>
  <conditionalFormatting sqref="BB274:BB275">
    <cfRule type="cellIs" dxfId="28173" priority="417" operator="lessThan">
      <formula>0</formula>
    </cfRule>
    <cfRule type="cellIs" dxfId="28172" priority="418" operator="lessThan">
      <formula>-105575</formula>
    </cfRule>
  </conditionalFormatting>
  <conditionalFormatting sqref="BB274:BB275">
    <cfRule type="cellIs" dxfId="28171" priority="415" operator="lessThan">
      <formula>0</formula>
    </cfRule>
    <cfRule type="cellIs" dxfId="28170" priority="416" operator="lessThan">
      <formula>-105575</formula>
    </cfRule>
  </conditionalFormatting>
  <conditionalFormatting sqref="BB278:BB282">
    <cfRule type="cellIs" dxfId="28169" priority="413" operator="lessThan">
      <formula>0</formula>
    </cfRule>
    <cfRule type="cellIs" dxfId="28168" priority="414" operator="lessThan">
      <formula>-105575</formula>
    </cfRule>
  </conditionalFormatting>
  <conditionalFormatting sqref="BB278:BB282">
    <cfRule type="cellIs" dxfId="28167" priority="411" operator="lessThan">
      <formula>0</formula>
    </cfRule>
    <cfRule type="cellIs" dxfId="28166" priority="412" operator="lessThan">
      <formula>-105575</formula>
    </cfRule>
  </conditionalFormatting>
  <conditionalFormatting sqref="BB278:BB282">
    <cfRule type="cellIs" dxfId="28165" priority="409" operator="lessThan">
      <formula>0</formula>
    </cfRule>
    <cfRule type="cellIs" dxfId="28164" priority="410" operator="lessThan">
      <formula>-105575</formula>
    </cfRule>
  </conditionalFormatting>
  <conditionalFormatting sqref="BB278:BB282">
    <cfRule type="cellIs" dxfId="28163" priority="407" operator="lessThan">
      <formula>0</formula>
    </cfRule>
    <cfRule type="cellIs" dxfId="28162" priority="408" operator="lessThan">
      <formula>-105575</formula>
    </cfRule>
  </conditionalFormatting>
  <conditionalFormatting sqref="BB278:BB282">
    <cfRule type="cellIs" dxfId="28161" priority="405" operator="lessThan">
      <formula>0</formula>
    </cfRule>
    <cfRule type="cellIs" dxfId="28160" priority="406" operator="lessThan">
      <formula>-105575</formula>
    </cfRule>
  </conditionalFormatting>
  <conditionalFormatting sqref="BB278:BB282">
    <cfRule type="cellIs" dxfId="28159" priority="403" operator="lessThan">
      <formula>0</formula>
    </cfRule>
    <cfRule type="cellIs" dxfId="28158" priority="404" operator="lessThan">
      <formula>-105575</formula>
    </cfRule>
  </conditionalFormatting>
  <conditionalFormatting sqref="BB278:BB282">
    <cfRule type="cellIs" dxfId="28157" priority="401" operator="lessThan">
      <formula>0</formula>
    </cfRule>
    <cfRule type="cellIs" dxfId="28156" priority="402" operator="lessThan">
      <formula>-105575</formula>
    </cfRule>
  </conditionalFormatting>
  <conditionalFormatting sqref="BB278:BB282">
    <cfRule type="cellIs" dxfId="28155" priority="399" operator="lessThan">
      <formula>0</formula>
    </cfRule>
    <cfRule type="cellIs" dxfId="28154" priority="400" operator="lessThan">
      <formula>-105575</formula>
    </cfRule>
  </conditionalFormatting>
  <conditionalFormatting sqref="BB278:BB282">
    <cfRule type="cellIs" dxfId="28153" priority="397" operator="lessThan">
      <formula>0</formula>
    </cfRule>
    <cfRule type="cellIs" dxfId="28152" priority="398" operator="lessThan">
      <formula>-105575</formula>
    </cfRule>
  </conditionalFormatting>
  <conditionalFormatting sqref="BB285:BB288">
    <cfRule type="cellIs" dxfId="28151" priority="395" operator="lessThan">
      <formula>0</formula>
    </cfRule>
    <cfRule type="cellIs" dxfId="28150" priority="396" operator="lessThan">
      <formula>-105575</formula>
    </cfRule>
  </conditionalFormatting>
  <conditionalFormatting sqref="BB285:BB288">
    <cfRule type="cellIs" dxfId="28149" priority="393" operator="lessThan">
      <formula>0</formula>
    </cfRule>
    <cfRule type="cellIs" dxfId="28148" priority="394" operator="lessThan">
      <formula>-105575</formula>
    </cfRule>
  </conditionalFormatting>
  <conditionalFormatting sqref="BB285:BB288">
    <cfRule type="cellIs" dxfId="28147" priority="391" operator="lessThan">
      <formula>0</formula>
    </cfRule>
    <cfRule type="cellIs" dxfId="28146" priority="392" operator="lessThan">
      <formula>-105575</formula>
    </cfRule>
  </conditionalFormatting>
  <conditionalFormatting sqref="BB285:BB288">
    <cfRule type="cellIs" dxfId="28145" priority="389" operator="lessThan">
      <formula>0</formula>
    </cfRule>
    <cfRule type="cellIs" dxfId="28144" priority="390" operator="lessThan">
      <formula>-105575</formula>
    </cfRule>
  </conditionalFormatting>
  <conditionalFormatting sqref="BB285:BB288">
    <cfRule type="cellIs" dxfId="28143" priority="387" operator="lessThan">
      <formula>0</formula>
    </cfRule>
    <cfRule type="cellIs" dxfId="28142" priority="388" operator="lessThan">
      <formula>-105575</formula>
    </cfRule>
  </conditionalFormatting>
  <conditionalFormatting sqref="BB285:BB288">
    <cfRule type="cellIs" dxfId="28141" priority="385" operator="lessThan">
      <formula>0</formula>
    </cfRule>
    <cfRule type="cellIs" dxfId="28140" priority="386" operator="lessThan">
      <formula>-105575</formula>
    </cfRule>
  </conditionalFormatting>
  <conditionalFormatting sqref="BB285:BB288">
    <cfRule type="cellIs" dxfId="28139" priority="383" operator="lessThan">
      <formula>0</formula>
    </cfRule>
    <cfRule type="cellIs" dxfId="28138" priority="384" operator="lessThan">
      <formula>-105575</formula>
    </cfRule>
  </conditionalFormatting>
  <conditionalFormatting sqref="BB285:BB288">
    <cfRule type="cellIs" dxfId="28137" priority="381" operator="lessThan">
      <formula>0</formula>
    </cfRule>
    <cfRule type="cellIs" dxfId="28136" priority="382" operator="lessThan">
      <formula>-105575</formula>
    </cfRule>
  </conditionalFormatting>
  <conditionalFormatting sqref="BB285:BB288">
    <cfRule type="cellIs" dxfId="28135" priority="379" operator="lessThan">
      <formula>0</formula>
    </cfRule>
    <cfRule type="cellIs" dxfId="28134" priority="380" operator="lessThan">
      <formula>-105575</formula>
    </cfRule>
  </conditionalFormatting>
  <conditionalFormatting sqref="BB203 BB220:BB221 BB235:BB243 BB231:BB233 BB212:BB213 BB225:BB226">
    <cfRule type="cellIs" dxfId="28133" priority="377" operator="lessThan">
      <formula>0</formula>
    </cfRule>
    <cfRule type="cellIs" dxfId="28132" priority="378" operator="lessThan">
      <formula>-105575</formula>
    </cfRule>
  </conditionalFormatting>
  <conditionalFormatting sqref="BB220 BB212:BB213 BB235:BB238 BB240:BB243 BB225:BB226 BB231:BB233">
    <cfRule type="cellIs" dxfId="28131" priority="375" operator="lessThan">
      <formula>0</formula>
    </cfRule>
    <cfRule type="cellIs" dxfId="28130" priority="376" operator="lessThan">
      <formula>-105575</formula>
    </cfRule>
  </conditionalFormatting>
  <conditionalFormatting sqref="BB220:BB221 BB243 BB226 BB231:BB236 BB238:BB241 BB203 BB213">
    <cfRule type="cellIs" dxfId="28129" priority="373" operator="lessThan">
      <formula>0</formula>
    </cfRule>
    <cfRule type="cellIs" dxfId="28128" priority="374" operator="lessThan">
      <formula>-105575</formula>
    </cfRule>
  </conditionalFormatting>
  <conditionalFormatting sqref="BB235:BB243 BB231:BB233 BB220 BB212:BB213 BB225:BB226">
    <cfRule type="cellIs" dxfId="28127" priority="371" operator="lessThan">
      <formula>0</formula>
    </cfRule>
    <cfRule type="cellIs" dxfId="28126" priority="372" operator="lessThan">
      <formula>-105575</formula>
    </cfRule>
  </conditionalFormatting>
  <conditionalFormatting sqref="BB220:BB221 BB237:BB243 BB203 BB231:BB235 BB212:BB213 BB225:BB226">
    <cfRule type="cellIs" dxfId="28125" priority="369" operator="lessThan">
      <formula>0</formula>
    </cfRule>
    <cfRule type="cellIs" dxfId="28124" priority="370" operator="lessThan">
      <formula>-105575</formula>
    </cfRule>
  </conditionalFormatting>
  <conditionalFormatting sqref="BB220:BB221 BB237:BB240 BB242:BB243 BB225:BB226 BB231:BB235">
    <cfRule type="cellIs" dxfId="28123" priority="367" operator="lessThan">
      <formula>0</formula>
    </cfRule>
    <cfRule type="cellIs" dxfId="28122" priority="368" operator="lessThan">
      <formula>-105575</formula>
    </cfRule>
  </conditionalFormatting>
  <conditionalFormatting sqref="BB212 BB231 BB233:BB238 BB240:BB243 BB225">
    <cfRule type="cellIs" dxfId="28121" priority="365" operator="lessThan">
      <formula>0</formula>
    </cfRule>
    <cfRule type="cellIs" dxfId="28120" priority="366" operator="lessThan">
      <formula>-105575</formula>
    </cfRule>
  </conditionalFormatting>
  <conditionalFormatting sqref="BB237:BB243 BB231:BB235 BB220:BB221 BB225:BB226">
    <cfRule type="cellIs" dxfId="28119" priority="363" operator="lessThan">
      <formula>0</formula>
    </cfRule>
    <cfRule type="cellIs" dxfId="28118" priority="364" operator="lessThan">
      <formula>-105575</formula>
    </cfRule>
  </conditionalFormatting>
  <conditionalFormatting sqref="BB233:BB237 BB231 BB239:BB243">
    <cfRule type="cellIs" dxfId="28117" priority="361" operator="lessThan">
      <formula>0</formula>
    </cfRule>
    <cfRule type="cellIs" dxfId="28116" priority="362" operator="lessThan">
      <formula>-105575</formula>
    </cfRule>
  </conditionalFormatting>
  <conditionalFormatting sqref="BB233:BB237 BB231 BB239:BB243">
    <cfRule type="cellIs" dxfId="28115" priority="359" operator="lessThan">
      <formula>0</formula>
    </cfRule>
    <cfRule type="cellIs" dxfId="28114" priority="360" operator="lessThan">
      <formula>-105575</formula>
    </cfRule>
  </conditionalFormatting>
  <conditionalFormatting sqref="BB119:BB128 BB106:BB117 BB101:BB104 BB80:BB99">
    <cfRule type="cellIs" dxfId="28113" priority="357" operator="lessThan">
      <formula>0</formula>
    </cfRule>
    <cfRule type="cellIs" dxfId="28112" priority="358" operator="lessThan">
      <formula>-105575</formula>
    </cfRule>
  </conditionalFormatting>
  <conditionalFormatting sqref="BB130 BB132 BB134">
    <cfRule type="cellIs" dxfId="28111" priority="355" operator="lessThan">
      <formula>0</formula>
    </cfRule>
    <cfRule type="cellIs" dxfId="28110" priority="356" operator="lessThan">
      <formula>-105575</formula>
    </cfRule>
  </conditionalFormatting>
  <conditionalFormatting sqref="BB130 BB132 BB134">
    <cfRule type="cellIs" dxfId="28109" priority="353" operator="lessThan">
      <formula>0</formula>
    </cfRule>
    <cfRule type="cellIs" dxfId="28108" priority="354" operator="lessThan">
      <formula>-105575</formula>
    </cfRule>
  </conditionalFormatting>
  <conditionalFormatting sqref="BB129 BB131 BB133 BB135">
    <cfRule type="cellIs" dxfId="28107" priority="351" operator="lessThan">
      <formula>0</formula>
    </cfRule>
    <cfRule type="cellIs" dxfId="28106" priority="352" operator="lessThan">
      <formula>-105575</formula>
    </cfRule>
  </conditionalFormatting>
  <conditionalFormatting sqref="BB140 BB145 BB142:BB143 BB137:BB138">
    <cfRule type="cellIs" dxfId="28105" priority="349" operator="lessThan">
      <formula>0</formula>
    </cfRule>
    <cfRule type="cellIs" dxfId="28104" priority="350" operator="lessThan">
      <formula>-105575</formula>
    </cfRule>
  </conditionalFormatting>
  <conditionalFormatting sqref="BB149">
    <cfRule type="cellIs" dxfId="28103" priority="347" operator="lessThan">
      <formula>0</formula>
    </cfRule>
    <cfRule type="cellIs" dxfId="28102" priority="348" operator="lessThan">
      <formula>-105575</formula>
    </cfRule>
  </conditionalFormatting>
  <conditionalFormatting sqref="BB129:BB138 BB140:BB149">
    <cfRule type="cellIs" dxfId="28101" priority="345" operator="lessThan">
      <formula>0</formula>
    </cfRule>
    <cfRule type="cellIs" dxfId="28100" priority="346" operator="lessThan">
      <formula>-105575</formula>
    </cfRule>
  </conditionalFormatting>
  <conditionalFormatting sqref="BB86:BB87 BB89:BB91 BB141:BB149 BB124:BB133 BB107:BB110 BB112:BB117 BB119:BB122 BB135:BB138 BB101:BB104 BB80:BB84 BB94:BB99">
    <cfRule type="cellIs" dxfId="28099" priority="343" operator="lessThan">
      <formula>0</formula>
    </cfRule>
    <cfRule type="cellIs" dxfId="28098" priority="344" operator="lessThan">
      <formula>-105575</formula>
    </cfRule>
  </conditionalFormatting>
  <conditionalFormatting sqref="BB129 BB131 BB133 BB135">
    <cfRule type="cellIs" dxfId="28097" priority="341" operator="lessThan">
      <formula>0</formula>
    </cfRule>
    <cfRule type="cellIs" dxfId="28096" priority="342" operator="lessThan">
      <formula>-105575</formula>
    </cfRule>
  </conditionalFormatting>
  <conditionalFormatting sqref="BB146 BB144 BB141">
    <cfRule type="cellIs" dxfId="28095" priority="339" operator="lessThan">
      <formula>0</formula>
    </cfRule>
    <cfRule type="cellIs" dxfId="28094" priority="340" operator="lessThan">
      <formula>-105575</formula>
    </cfRule>
  </conditionalFormatting>
  <conditionalFormatting sqref="BB146 BB144 BB141">
    <cfRule type="cellIs" dxfId="28093" priority="337" operator="lessThan">
      <formula>0</formula>
    </cfRule>
    <cfRule type="cellIs" dxfId="28092" priority="338" operator="lessThan">
      <formula>-105575</formula>
    </cfRule>
  </conditionalFormatting>
  <conditionalFormatting sqref="BB140 BB145 BB142:BB143 BB137:BB138">
    <cfRule type="cellIs" dxfId="28091" priority="335" operator="lessThan">
      <formula>0</formula>
    </cfRule>
    <cfRule type="cellIs" dxfId="28090" priority="336" operator="lessThan">
      <formula>-105575</formula>
    </cfRule>
  </conditionalFormatting>
  <conditionalFormatting sqref="BB149">
    <cfRule type="cellIs" dxfId="28089" priority="333" operator="lessThan">
      <formula>0</formula>
    </cfRule>
    <cfRule type="cellIs" dxfId="28088" priority="334" operator="lessThan">
      <formula>-105575</formula>
    </cfRule>
  </conditionalFormatting>
  <conditionalFormatting sqref="BB86:BB87 BB89:BB91 BB141:BB149 BB124:BB133 BB107:BB110 BB112:BB117 BB119:BB122 BB135:BB138 BB101:BB104 BB80:BB84 BB94:BB99">
    <cfRule type="cellIs" dxfId="28087" priority="331" operator="lessThan">
      <formula>0</formula>
    </cfRule>
    <cfRule type="cellIs" dxfId="28086" priority="332" operator="lessThan">
      <formula>-105575</formula>
    </cfRule>
  </conditionalFormatting>
  <conditionalFormatting sqref="BB306:BB309 BB311:BB325 BB327:BB330 BB332:BB341 BB344:BB347 BB349:BB353 BB355:BB358 BB360:BB384 BB386:BB389 BB392:BB395 BB397:BB411 BB413:BB416 BB418:BB432 BB434:BB437 BB439:BB453 BB455:BB458 BB460:BB469 BB290:BB291 BB293:BB304 BB7:BB10 BB12:BB14 BB17:BB18 BB21:BB24 BB26:BB28 BB30:BB36 BB38 BB41:BB43 BB46:BB49 BB51:BB55 BB57:BB59 BB62:BB76">
    <cfRule type="cellIs" dxfId="28085" priority="329" operator="lessThan">
      <formula>0</formula>
    </cfRule>
    <cfRule type="cellIs" dxfId="28084" priority="330" operator="lessThan">
      <formula>-105575</formula>
    </cfRule>
  </conditionalFormatting>
  <conditionalFormatting sqref="BB41">
    <cfRule type="cellIs" dxfId="28083" priority="327" operator="lessThan">
      <formula>0</formula>
    </cfRule>
    <cfRule type="cellIs" dxfId="28082" priority="328" operator="lessThan">
      <formula>-105575</formula>
    </cfRule>
  </conditionalFormatting>
  <conditionalFormatting sqref="BB152:BB155">
    <cfRule type="cellIs" dxfId="28081" priority="325" operator="lessThan">
      <formula>0</formula>
    </cfRule>
    <cfRule type="cellIs" dxfId="28080" priority="326" operator="lessThan">
      <formula>-105575</formula>
    </cfRule>
  </conditionalFormatting>
  <conditionalFormatting sqref="BB152:BB155">
    <cfRule type="cellIs" dxfId="28079" priority="323" operator="lessThan">
      <formula>0</formula>
    </cfRule>
    <cfRule type="cellIs" dxfId="28078" priority="324" operator="lessThan">
      <formula>-105575</formula>
    </cfRule>
  </conditionalFormatting>
  <conditionalFormatting sqref="BB152:BB155">
    <cfRule type="cellIs" dxfId="28077" priority="321" operator="lessThan">
      <formula>0</formula>
    </cfRule>
    <cfRule type="cellIs" dxfId="28076" priority="322" operator="lessThan">
      <formula>-105575</formula>
    </cfRule>
  </conditionalFormatting>
  <conditionalFormatting sqref="BB157:BB158">
    <cfRule type="cellIs" dxfId="28075" priority="319" operator="lessThan">
      <formula>0</formula>
    </cfRule>
    <cfRule type="cellIs" dxfId="28074" priority="320" operator="lessThan">
      <formula>-105575</formula>
    </cfRule>
  </conditionalFormatting>
  <conditionalFormatting sqref="BB157:BB158">
    <cfRule type="cellIs" dxfId="28073" priority="317" operator="lessThan">
      <formula>0</formula>
    </cfRule>
    <cfRule type="cellIs" dxfId="28072" priority="318" operator="lessThan">
      <formula>-105575</formula>
    </cfRule>
  </conditionalFormatting>
  <conditionalFormatting sqref="BB157:BB158">
    <cfRule type="cellIs" dxfId="28071" priority="315" operator="lessThan">
      <formula>0</formula>
    </cfRule>
    <cfRule type="cellIs" dxfId="28070" priority="316" operator="lessThan">
      <formula>-105575</formula>
    </cfRule>
  </conditionalFormatting>
  <conditionalFormatting sqref="BB160:BB161">
    <cfRule type="cellIs" dxfId="28069" priority="313" operator="lessThan">
      <formula>0</formula>
    </cfRule>
    <cfRule type="cellIs" dxfId="28068" priority="314" operator="lessThan">
      <formula>-105575</formula>
    </cfRule>
  </conditionalFormatting>
  <conditionalFormatting sqref="BB160:BB161">
    <cfRule type="cellIs" dxfId="28067" priority="311" operator="lessThan">
      <formula>0</formula>
    </cfRule>
    <cfRule type="cellIs" dxfId="28066" priority="312" operator="lessThan">
      <formula>-105575</formula>
    </cfRule>
  </conditionalFormatting>
  <conditionalFormatting sqref="BB160:BB161">
    <cfRule type="cellIs" dxfId="28065" priority="309" operator="lessThan">
      <formula>0</formula>
    </cfRule>
    <cfRule type="cellIs" dxfId="28064" priority="310" operator="lessThan">
      <formula>-105575</formula>
    </cfRule>
  </conditionalFormatting>
  <conditionalFormatting sqref="BB164:BB167">
    <cfRule type="cellIs" dxfId="28063" priority="307" operator="lessThan">
      <formula>0</formula>
    </cfRule>
    <cfRule type="cellIs" dxfId="28062" priority="308" operator="lessThan">
      <formula>-105575</formula>
    </cfRule>
  </conditionalFormatting>
  <conditionalFormatting sqref="BB164:BB167">
    <cfRule type="cellIs" dxfId="28061" priority="305" operator="lessThan">
      <formula>0</formula>
    </cfRule>
    <cfRule type="cellIs" dxfId="28060" priority="306" operator="lessThan">
      <formula>-105575</formula>
    </cfRule>
  </conditionalFormatting>
  <conditionalFormatting sqref="BB164:BB167">
    <cfRule type="cellIs" dxfId="28059" priority="303" operator="lessThan">
      <formula>0</formula>
    </cfRule>
    <cfRule type="cellIs" dxfId="28058" priority="304" operator="lessThan">
      <formula>-105575</formula>
    </cfRule>
  </conditionalFormatting>
  <conditionalFormatting sqref="BB169:BB177">
    <cfRule type="cellIs" dxfId="28057" priority="301" operator="lessThan">
      <formula>0</formula>
    </cfRule>
    <cfRule type="cellIs" dxfId="28056" priority="302" operator="lessThan">
      <formula>-105575</formula>
    </cfRule>
  </conditionalFormatting>
  <conditionalFormatting sqref="BB169:BB177">
    <cfRule type="cellIs" dxfId="28055" priority="299" operator="lessThan">
      <formula>0</formula>
    </cfRule>
    <cfRule type="cellIs" dxfId="28054" priority="300" operator="lessThan">
      <formula>-105575</formula>
    </cfRule>
  </conditionalFormatting>
  <conditionalFormatting sqref="BB169:BB177">
    <cfRule type="cellIs" dxfId="28053" priority="297" operator="lessThan">
      <formula>0</formula>
    </cfRule>
    <cfRule type="cellIs" dxfId="28052" priority="298" operator="lessThan">
      <formula>-105575</formula>
    </cfRule>
  </conditionalFormatting>
  <conditionalFormatting sqref="BB179:BB180">
    <cfRule type="cellIs" dxfId="28051" priority="295" operator="lessThan">
      <formula>0</formula>
    </cfRule>
    <cfRule type="cellIs" dxfId="28050" priority="296" operator="lessThan">
      <formula>-105575</formula>
    </cfRule>
  </conditionalFormatting>
  <conditionalFormatting sqref="BB179:BB180">
    <cfRule type="cellIs" dxfId="28049" priority="293" operator="lessThan">
      <formula>0</formula>
    </cfRule>
    <cfRule type="cellIs" dxfId="28048" priority="294" operator="lessThan">
      <formula>-105575</formula>
    </cfRule>
  </conditionalFormatting>
  <conditionalFormatting sqref="BB179:BB180">
    <cfRule type="cellIs" dxfId="28047" priority="291" operator="lessThan">
      <formula>0</formula>
    </cfRule>
    <cfRule type="cellIs" dxfId="28046" priority="292" operator="lessThan">
      <formula>-105575</formula>
    </cfRule>
  </conditionalFormatting>
  <conditionalFormatting sqref="BB183:BB189">
    <cfRule type="cellIs" dxfId="28045" priority="289" operator="lessThan">
      <formula>0</formula>
    </cfRule>
    <cfRule type="cellIs" dxfId="28044" priority="290" operator="lessThan">
      <formula>-105575</formula>
    </cfRule>
  </conditionalFormatting>
  <conditionalFormatting sqref="BB183:BB189">
    <cfRule type="cellIs" dxfId="28043" priority="287" operator="lessThan">
      <formula>0</formula>
    </cfRule>
    <cfRule type="cellIs" dxfId="28042" priority="288" operator="lessThan">
      <formula>-105575</formula>
    </cfRule>
  </conditionalFormatting>
  <conditionalFormatting sqref="BB183:BB189">
    <cfRule type="cellIs" dxfId="28041" priority="285" operator="lessThan">
      <formula>0</formula>
    </cfRule>
    <cfRule type="cellIs" dxfId="28040" priority="286" operator="lessThan">
      <formula>-105575</formula>
    </cfRule>
  </conditionalFormatting>
  <conditionalFormatting sqref="BB191:BB192">
    <cfRule type="cellIs" dxfId="28039" priority="283" operator="lessThan">
      <formula>0</formula>
    </cfRule>
    <cfRule type="cellIs" dxfId="28038" priority="284" operator="lessThan">
      <formula>-105575</formula>
    </cfRule>
  </conditionalFormatting>
  <conditionalFormatting sqref="BB191:BB192">
    <cfRule type="cellIs" dxfId="28037" priority="281" operator="lessThan">
      <formula>0</formula>
    </cfRule>
    <cfRule type="cellIs" dxfId="28036" priority="282" operator="lessThan">
      <formula>-105575</formula>
    </cfRule>
  </conditionalFormatting>
  <conditionalFormatting sqref="BB191:BB192">
    <cfRule type="cellIs" dxfId="28035" priority="279" operator="lessThan">
      <formula>0</formula>
    </cfRule>
    <cfRule type="cellIs" dxfId="28034" priority="280" operator="lessThan">
      <formula>-105575</formula>
    </cfRule>
  </conditionalFormatting>
  <conditionalFormatting sqref="BB194:BB195">
    <cfRule type="cellIs" dxfId="28033" priority="277" operator="lessThan">
      <formula>0</formula>
    </cfRule>
    <cfRule type="cellIs" dxfId="28032" priority="278" operator="lessThan">
      <formula>-105575</formula>
    </cfRule>
  </conditionalFormatting>
  <conditionalFormatting sqref="BB194:BB195">
    <cfRule type="cellIs" dxfId="28031" priority="275" operator="lessThan">
      <formula>0</formula>
    </cfRule>
    <cfRule type="cellIs" dxfId="28030" priority="276" operator="lessThan">
      <formula>-105575</formula>
    </cfRule>
  </conditionalFormatting>
  <conditionalFormatting sqref="BB194:BB195">
    <cfRule type="cellIs" dxfId="28029" priority="273" operator="lessThan">
      <formula>0</formula>
    </cfRule>
    <cfRule type="cellIs" dxfId="28028" priority="274" operator="lessThan">
      <formula>-105575</formula>
    </cfRule>
  </conditionalFormatting>
  <conditionalFormatting sqref="BB199:BB202">
    <cfRule type="cellIs" dxfId="28027" priority="271" operator="lessThan">
      <formula>0</formula>
    </cfRule>
    <cfRule type="cellIs" dxfId="28026" priority="272" operator="lessThan">
      <formula>-105575</formula>
    </cfRule>
  </conditionalFormatting>
  <conditionalFormatting sqref="BB199:BB202">
    <cfRule type="cellIs" dxfId="28025" priority="269" operator="lessThan">
      <formula>0</formula>
    </cfRule>
    <cfRule type="cellIs" dxfId="28024" priority="270" operator="lessThan">
      <formula>-105575</formula>
    </cfRule>
  </conditionalFormatting>
  <conditionalFormatting sqref="BB199:BB202">
    <cfRule type="cellIs" dxfId="28023" priority="267" operator="lessThan">
      <formula>0</formula>
    </cfRule>
    <cfRule type="cellIs" dxfId="28022" priority="268" operator="lessThan">
      <formula>-105575</formula>
    </cfRule>
  </conditionalFormatting>
  <conditionalFormatting sqref="BB204:BB208">
    <cfRule type="cellIs" dxfId="28021" priority="265" operator="lessThan">
      <formula>0</formula>
    </cfRule>
    <cfRule type="cellIs" dxfId="28020" priority="266" operator="lessThan">
      <formula>-105575</formula>
    </cfRule>
  </conditionalFormatting>
  <conditionalFormatting sqref="BB204:BB208">
    <cfRule type="cellIs" dxfId="28019" priority="263" operator="lessThan">
      <formula>0</formula>
    </cfRule>
    <cfRule type="cellIs" dxfId="28018" priority="264" operator="lessThan">
      <formula>-105575</formula>
    </cfRule>
  </conditionalFormatting>
  <conditionalFormatting sqref="BB204:BB208">
    <cfRule type="cellIs" dxfId="28017" priority="261" operator="lessThan">
      <formula>0</formula>
    </cfRule>
    <cfRule type="cellIs" dxfId="28016" priority="262" operator="lessThan">
      <formula>-105575</formula>
    </cfRule>
  </conditionalFormatting>
  <conditionalFormatting sqref="BB210:BB211">
    <cfRule type="cellIs" dxfId="28015" priority="259" operator="lessThan">
      <formula>0</formula>
    </cfRule>
    <cfRule type="cellIs" dxfId="28014" priority="260" operator="lessThan">
      <formula>-105575</formula>
    </cfRule>
  </conditionalFormatting>
  <conditionalFormatting sqref="BB210:BB211">
    <cfRule type="cellIs" dxfId="28013" priority="257" operator="lessThan">
      <formula>0</formula>
    </cfRule>
    <cfRule type="cellIs" dxfId="28012" priority="258" operator="lessThan">
      <formula>-105575</formula>
    </cfRule>
  </conditionalFormatting>
  <conditionalFormatting sqref="BB210:BB211">
    <cfRule type="cellIs" dxfId="28011" priority="255" operator="lessThan">
      <formula>0</formula>
    </cfRule>
    <cfRule type="cellIs" dxfId="28010" priority="256" operator="lessThan">
      <formula>-105575</formula>
    </cfRule>
  </conditionalFormatting>
  <conditionalFormatting sqref="BB214:BB219">
    <cfRule type="cellIs" dxfId="28009" priority="253" operator="lessThan">
      <formula>0</formula>
    </cfRule>
    <cfRule type="cellIs" dxfId="28008" priority="254" operator="lessThan">
      <formula>-105575</formula>
    </cfRule>
  </conditionalFormatting>
  <conditionalFormatting sqref="BB214:BB219">
    <cfRule type="cellIs" dxfId="28007" priority="251" operator="lessThan">
      <formula>0</formula>
    </cfRule>
    <cfRule type="cellIs" dxfId="28006" priority="252" operator="lessThan">
      <formula>-105575</formula>
    </cfRule>
  </conditionalFormatting>
  <conditionalFormatting sqref="BB214:BB219">
    <cfRule type="cellIs" dxfId="28005" priority="249" operator="lessThan">
      <formula>0</formula>
    </cfRule>
    <cfRule type="cellIs" dxfId="28004" priority="250" operator="lessThan">
      <formula>-105575</formula>
    </cfRule>
  </conditionalFormatting>
  <conditionalFormatting sqref="BB222:BB224">
    <cfRule type="cellIs" dxfId="28003" priority="247" operator="lessThan">
      <formula>0</formula>
    </cfRule>
    <cfRule type="cellIs" dxfId="28002" priority="248" operator="lessThan">
      <formula>-105575</formula>
    </cfRule>
  </conditionalFormatting>
  <conditionalFormatting sqref="BB222:BB224">
    <cfRule type="cellIs" dxfId="28001" priority="245" operator="lessThan">
      <formula>0</formula>
    </cfRule>
    <cfRule type="cellIs" dxfId="28000" priority="246" operator="lessThan">
      <formula>-105575</formula>
    </cfRule>
  </conditionalFormatting>
  <conditionalFormatting sqref="BB222:BB224">
    <cfRule type="cellIs" dxfId="27999" priority="243" operator="lessThan">
      <formula>0</formula>
    </cfRule>
    <cfRule type="cellIs" dxfId="27998" priority="244" operator="lessThan">
      <formula>-105575</formula>
    </cfRule>
  </conditionalFormatting>
  <conditionalFormatting sqref="BB227:BB230">
    <cfRule type="cellIs" dxfId="27997" priority="241" operator="lessThan">
      <formula>0</formula>
    </cfRule>
    <cfRule type="cellIs" dxfId="27996" priority="242" operator="lessThan">
      <formula>-105575</formula>
    </cfRule>
  </conditionalFormatting>
  <conditionalFormatting sqref="BB227:BB230">
    <cfRule type="cellIs" dxfId="27995" priority="239" operator="lessThan">
      <formula>0</formula>
    </cfRule>
    <cfRule type="cellIs" dxfId="27994" priority="240" operator="lessThan">
      <formula>-105575</formula>
    </cfRule>
  </conditionalFormatting>
  <conditionalFormatting sqref="BB227:BB230">
    <cfRule type="cellIs" dxfId="27993" priority="237" operator="lessThan">
      <formula>0</formula>
    </cfRule>
    <cfRule type="cellIs" dxfId="27992" priority="238" operator="lessThan">
      <formula>-105575</formula>
    </cfRule>
  </conditionalFormatting>
  <conditionalFormatting sqref="BB246:BB249">
    <cfRule type="cellIs" dxfId="27991" priority="235" operator="lessThan">
      <formula>0</formula>
    </cfRule>
    <cfRule type="cellIs" dxfId="27990" priority="236" operator="lessThan">
      <formula>-105575</formula>
    </cfRule>
  </conditionalFormatting>
  <conditionalFormatting sqref="BB246:BB249">
    <cfRule type="cellIs" dxfId="27989" priority="233" operator="lessThan">
      <formula>0</formula>
    </cfRule>
    <cfRule type="cellIs" dxfId="27988" priority="234" operator="lessThan">
      <formula>-105575</formula>
    </cfRule>
  </conditionalFormatting>
  <conditionalFormatting sqref="BB246:BB249">
    <cfRule type="cellIs" dxfId="27987" priority="231" operator="lessThan">
      <formula>0</formula>
    </cfRule>
    <cfRule type="cellIs" dxfId="27986" priority="232" operator="lessThan">
      <formula>-105575</formula>
    </cfRule>
  </conditionalFormatting>
  <conditionalFormatting sqref="BB246:BB249">
    <cfRule type="cellIs" dxfId="27985" priority="229" operator="lessThan">
      <formula>0</formula>
    </cfRule>
    <cfRule type="cellIs" dxfId="27984" priority="230" operator="lessThan">
      <formula>-105575</formula>
    </cfRule>
  </conditionalFormatting>
  <conditionalFormatting sqref="BB246:BB249">
    <cfRule type="cellIs" dxfId="27983" priority="227" operator="lessThan">
      <formula>0</formula>
    </cfRule>
    <cfRule type="cellIs" dxfId="27982" priority="228" operator="lessThan">
      <formula>-105575</formula>
    </cfRule>
  </conditionalFormatting>
  <conditionalFormatting sqref="BB246:BB249">
    <cfRule type="cellIs" dxfId="27981" priority="225" operator="lessThan">
      <formula>0</formula>
    </cfRule>
    <cfRule type="cellIs" dxfId="27980" priority="226" operator="lessThan">
      <formula>-105575</formula>
    </cfRule>
  </conditionalFormatting>
  <conditionalFormatting sqref="BB246:BB249">
    <cfRule type="cellIs" dxfId="27979" priority="223" operator="lessThan">
      <formula>0</formula>
    </cfRule>
    <cfRule type="cellIs" dxfId="27978" priority="224" operator="lessThan">
      <formula>-105575</formula>
    </cfRule>
  </conditionalFormatting>
  <conditionalFormatting sqref="BB246:BB249">
    <cfRule type="cellIs" dxfId="27977" priority="221" operator="lessThan">
      <formula>0</formula>
    </cfRule>
    <cfRule type="cellIs" dxfId="27976" priority="222" operator="lessThan">
      <formula>-105575</formula>
    </cfRule>
  </conditionalFormatting>
  <conditionalFormatting sqref="BB246:BB249">
    <cfRule type="cellIs" dxfId="27975" priority="219" operator="lessThan">
      <formula>0</formula>
    </cfRule>
    <cfRule type="cellIs" dxfId="27974" priority="220" operator="lessThan">
      <formula>-105575</formula>
    </cfRule>
  </conditionalFormatting>
  <conditionalFormatting sqref="BB251:BB253">
    <cfRule type="cellIs" dxfId="27973" priority="217" operator="lessThan">
      <formula>0</formula>
    </cfRule>
    <cfRule type="cellIs" dxfId="27972" priority="218" operator="lessThan">
      <formula>-105575</formula>
    </cfRule>
  </conditionalFormatting>
  <conditionalFormatting sqref="BB251:BB253">
    <cfRule type="cellIs" dxfId="27971" priority="215" operator="lessThan">
      <formula>0</formula>
    </cfRule>
    <cfRule type="cellIs" dxfId="27970" priority="216" operator="lessThan">
      <formula>-105575</formula>
    </cfRule>
  </conditionalFormatting>
  <conditionalFormatting sqref="BB251:BB253">
    <cfRule type="cellIs" dxfId="27969" priority="213" operator="lessThan">
      <formula>0</formula>
    </cfRule>
    <cfRule type="cellIs" dxfId="27968" priority="214" operator="lessThan">
      <formula>-105575</formula>
    </cfRule>
  </conditionalFormatting>
  <conditionalFormatting sqref="BB251:BB253">
    <cfRule type="cellIs" dxfId="27967" priority="211" operator="lessThan">
      <formula>0</formula>
    </cfRule>
    <cfRule type="cellIs" dxfId="27966" priority="212" operator="lessThan">
      <formula>-105575</formula>
    </cfRule>
  </conditionalFormatting>
  <conditionalFormatting sqref="BB251:BB253">
    <cfRule type="cellIs" dxfId="27965" priority="209" operator="lessThan">
      <formula>0</formula>
    </cfRule>
    <cfRule type="cellIs" dxfId="27964" priority="210" operator="lessThan">
      <formula>-105575</formula>
    </cfRule>
  </conditionalFormatting>
  <conditionalFormatting sqref="BB251:BB253">
    <cfRule type="cellIs" dxfId="27963" priority="207" operator="lessThan">
      <formula>0</formula>
    </cfRule>
    <cfRule type="cellIs" dxfId="27962" priority="208" operator="lessThan">
      <formula>-105575</formula>
    </cfRule>
  </conditionalFormatting>
  <conditionalFormatting sqref="BB251:BB253">
    <cfRule type="cellIs" dxfId="27961" priority="205" operator="lessThan">
      <formula>0</formula>
    </cfRule>
    <cfRule type="cellIs" dxfId="27960" priority="206" operator="lessThan">
      <formula>-105575</formula>
    </cfRule>
  </conditionalFormatting>
  <conditionalFormatting sqref="BB251:BB253">
    <cfRule type="cellIs" dxfId="27959" priority="203" operator="lessThan">
      <formula>0</formula>
    </cfRule>
    <cfRule type="cellIs" dxfId="27958" priority="204" operator="lessThan">
      <formula>-105575</formula>
    </cfRule>
  </conditionalFormatting>
  <conditionalFormatting sqref="BB251:BB253">
    <cfRule type="cellIs" dxfId="27957" priority="201" operator="lessThan">
      <formula>0</formula>
    </cfRule>
    <cfRule type="cellIs" dxfId="27956" priority="202" operator="lessThan">
      <formula>-105575</formula>
    </cfRule>
  </conditionalFormatting>
  <conditionalFormatting sqref="BB255:BB257">
    <cfRule type="cellIs" dxfId="27955" priority="199" operator="lessThan">
      <formula>0</formula>
    </cfRule>
    <cfRule type="cellIs" dxfId="27954" priority="200" operator="lessThan">
      <formula>-105575</formula>
    </cfRule>
  </conditionalFormatting>
  <conditionalFormatting sqref="BB255:BB257">
    <cfRule type="cellIs" dxfId="27953" priority="197" operator="lessThan">
      <formula>0</formula>
    </cfRule>
    <cfRule type="cellIs" dxfId="27952" priority="198" operator="lessThan">
      <formula>-105575</formula>
    </cfRule>
  </conditionalFormatting>
  <conditionalFormatting sqref="BB255:BB257">
    <cfRule type="cellIs" dxfId="27951" priority="195" operator="lessThan">
      <formula>0</formula>
    </cfRule>
    <cfRule type="cellIs" dxfId="27950" priority="196" operator="lessThan">
      <formula>-105575</formula>
    </cfRule>
  </conditionalFormatting>
  <conditionalFormatting sqref="BB255:BB257">
    <cfRule type="cellIs" dxfId="27949" priority="193" operator="lessThan">
      <formula>0</formula>
    </cfRule>
    <cfRule type="cellIs" dxfId="27948" priority="194" operator="lessThan">
      <formula>-105575</formula>
    </cfRule>
  </conditionalFormatting>
  <conditionalFormatting sqref="BB255:BB257">
    <cfRule type="cellIs" dxfId="27947" priority="191" operator="lessThan">
      <formula>0</formula>
    </cfRule>
    <cfRule type="cellIs" dxfId="27946" priority="192" operator="lessThan">
      <formula>-105575</formula>
    </cfRule>
  </conditionalFormatting>
  <conditionalFormatting sqref="BB255:BB257">
    <cfRule type="cellIs" dxfId="27945" priority="189" operator="lessThan">
      <formula>0</formula>
    </cfRule>
    <cfRule type="cellIs" dxfId="27944" priority="190" operator="lessThan">
      <formula>-105575</formula>
    </cfRule>
  </conditionalFormatting>
  <conditionalFormatting sqref="BB255:BB257">
    <cfRule type="cellIs" dxfId="27943" priority="187" operator="lessThan">
      <formula>0</formula>
    </cfRule>
    <cfRule type="cellIs" dxfId="27942" priority="188" operator="lessThan">
      <formula>-105575</formula>
    </cfRule>
  </conditionalFormatting>
  <conditionalFormatting sqref="BB255:BB257">
    <cfRule type="cellIs" dxfId="27941" priority="185" operator="lessThan">
      <formula>0</formula>
    </cfRule>
    <cfRule type="cellIs" dxfId="27940" priority="186" operator="lessThan">
      <formula>-105575</formula>
    </cfRule>
  </conditionalFormatting>
  <conditionalFormatting sqref="BB255:BB257">
    <cfRule type="cellIs" dxfId="27939" priority="183" operator="lessThan">
      <formula>0</formula>
    </cfRule>
    <cfRule type="cellIs" dxfId="27938" priority="184" operator="lessThan">
      <formula>-105575</formula>
    </cfRule>
  </conditionalFormatting>
  <conditionalFormatting sqref="BB260:BB262">
    <cfRule type="cellIs" dxfId="27937" priority="181" operator="lessThan">
      <formula>0</formula>
    </cfRule>
    <cfRule type="cellIs" dxfId="27936" priority="182" operator="lessThan">
      <formula>-105575</formula>
    </cfRule>
  </conditionalFormatting>
  <conditionalFormatting sqref="BB260:BB262">
    <cfRule type="cellIs" dxfId="27935" priority="179" operator="lessThan">
      <formula>0</formula>
    </cfRule>
    <cfRule type="cellIs" dxfId="27934" priority="180" operator="lessThan">
      <formula>-105575</formula>
    </cfRule>
  </conditionalFormatting>
  <conditionalFormatting sqref="BB260:BB262">
    <cfRule type="cellIs" dxfId="27933" priority="177" operator="lessThan">
      <formula>0</formula>
    </cfRule>
    <cfRule type="cellIs" dxfId="27932" priority="178" operator="lessThan">
      <formula>-105575</formula>
    </cfRule>
  </conditionalFormatting>
  <conditionalFormatting sqref="BB260:BB262">
    <cfRule type="cellIs" dxfId="27931" priority="175" operator="lessThan">
      <formula>0</formula>
    </cfRule>
    <cfRule type="cellIs" dxfId="27930" priority="176" operator="lessThan">
      <formula>-105575</formula>
    </cfRule>
  </conditionalFormatting>
  <conditionalFormatting sqref="BB260:BB262">
    <cfRule type="cellIs" dxfId="27929" priority="173" operator="lessThan">
      <formula>0</formula>
    </cfRule>
    <cfRule type="cellIs" dxfId="27928" priority="174" operator="lessThan">
      <formula>-105575</formula>
    </cfRule>
  </conditionalFormatting>
  <conditionalFormatting sqref="BB260:BB262">
    <cfRule type="cellIs" dxfId="27927" priority="171" operator="lessThan">
      <formula>0</formula>
    </cfRule>
    <cfRule type="cellIs" dxfId="27926" priority="172" operator="lessThan">
      <formula>-105575</formula>
    </cfRule>
  </conditionalFormatting>
  <conditionalFormatting sqref="BB260:BB262">
    <cfRule type="cellIs" dxfId="27925" priority="169" operator="lessThan">
      <formula>0</formula>
    </cfRule>
    <cfRule type="cellIs" dxfId="27924" priority="170" operator="lessThan">
      <formula>-105575</formula>
    </cfRule>
  </conditionalFormatting>
  <conditionalFormatting sqref="BB260:BB262">
    <cfRule type="cellIs" dxfId="27923" priority="167" operator="lessThan">
      <formula>0</formula>
    </cfRule>
    <cfRule type="cellIs" dxfId="27922" priority="168" operator="lessThan">
      <formula>-105575</formula>
    </cfRule>
  </conditionalFormatting>
  <conditionalFormatting sqref="BB260:BB262">
    <cfRule type="cellIs" dxfId="27921" priority="165" operator="lessThan">
      <formula>0</formula>
    </cfRule>
    <cfRule type="cellIs" dxfId="27920" priority="166" operator="lessThan">
      <formula>-105575</formula>
    </cfRule>
  </conditionalFormatting>
  <conditionalFormatting sqref="BB264:BB267">
    <cfRule type="cellIs" dxfId="27919" priority="163" operator="lessThan">
      <formula>0</formula>
    </cfRule>
    <cfRule type="cellIs" dxfId="27918" priority="164" operator="lessThan">
      <formula>-105575</formula>
    </cfRule>
  </conditionalFormatting>
  <conditionalFormatting sqref="BB264:BB267">
    <cfRule type="cellIs" dxfId="27917" priority="161" operator="lessThan">
      <formula>0</formula>
    </cfRule>
    <cfRule type="cellIs" dxfId="27916" priority="162" operator="lessThan">
      <formula>-105575</formula>
    </cfRule>
  </conditionalFormatting>
  <conditionalFormatting sqref="BB264:BB267">
    <cfRule type="cellIs" dxfId="27915" priority="159" operator="lessThan">
      <formula>0</formula>
    </cfRule>
    <cfRule type="cellIs" dxfId="27914" priority="160" operator="lessThan">
      <formula>-105575</formula>
    </cfRule>
  </conditionalFormatting>
  <conditionalFormatting sqref="BB264:BB267">
    <cfRule type="cellIs" dxfId="27913" priority="157" operator="lessThan">
      <formula>0</formula>
    </cfRule>
    <cfRule type="cellIs" dxfId="27912" priority="158" operator="lessThan">
      <formula>-105575</formula>
    </cfRule>
  </conditionalFormatting>
  <conditionalFormatting sqref="BB264:BB267">
    <cfRule type="cellIs" dxfId="27911" priority="155" operator="lessThan">
      <formula>0</formula>
    </cfRule>
    <cfRule type="cellIs" dxfId="27910" priority="156" operator="lessThan">
      <formula>-105575</formula>
    </cfRule>
  </conditionalFormatting>
  <conditionalFormatting sqref="BB264:BB267">
    <cfRule type="cellIs" dxfId="27909" priority="153" operator="lessThan">
      <formula>0</formula>
    </cfRule>
    <cfRule type="cellIs" dxfId="27908" priority="154" operator="lessThan">
      <formula>-105575</formula>
    </cfRule>
  </conditionalFormatting>
  <conditionalFormatting sqref="BB264:BB267">
    <cfRule type="cellIs" dxfId="27907" priority="151" operator="lessThan">
      <formula>0</formula>
    </cfRule>
    <cfRule type="cellIs" dxfId="27906" priority="152" operator="lessThan">
      <formula>-105575</formula>
    </cfRule>
  </conditionalFormatting>
  <conditionalFormatting sqref="BB264:BB267">
    <cfRule type="cellIs" dxfId="27905" priority="149" operator="lessThan">
      <formula>0</formula>
    </cfRule>
    <cfRule type="cellIs" dxfId="27904" priority="150" operator="lessThan">
      <formula>-105575</formula>
    </cfRule>
  </conditionalFormatting>
  <conditionalFormatting sqref="BB264:BB267">
    <cfRule type="cellIs" dxfId="27903" priority="147" operator="lessThan">
      <formula>0</formula>
    </cfRule>
    <cfRule type="cellIs" dxfId="27902" priority="148" operator="lessThan">
      <formula>-105575</formula>
    </cfRule>
  </conditionalFormatting>
  <conditionalFormatting sqref="BB270:BB272">
    <cfRule type="cellIs" dxfId="27901" priority="145" operator="lessThan">
      <formula>0</formula>
    </cfRule>
    <cfRule type="cellIs" dxfId="27900" priority="146" operator="lessThan">
      <formula>-105575</formula>
    </cfRule>
  </conditionalFormatting>
  <conditionalFormatting sqref="BB270:BB272">
    <cfRule type="cellIs" dxfId="27899" priority="143" operator="lessThan">
      <formula>0</formula>
    </cfRule>
    <cfRule type="cellIs" dxfId="27898" priority="144" operator="lessThan">
      <formula>-105575</formula>
    </cfRule>
  </conditionalFormatting>
  <conditionalFormatting sqref="BB270:BB272">
    <cfRule type="cellIs" dxfId="27897" priority="141" operator="lessThan">
      <formula>0</formula>
    </cfRule>
    <cfRule type="cellIs" dxfId="27896" priority="142" operator="lessThan">
      <formula>-105575</formula>
    </cfRule>
  </conditionalFormatting>
  <conditionalFormatting sqref="BB270:BB272">
    <cfRule type="cellIs" dxfId="27895" priority="139" operator="lessThan">
      <formula>0</formula>
    </cfRule>
    <cfRule type="cellIs" dxfId="27894" priority="140" operator="lessThan">
      <formula>-105575</formula>
    </cfRule>
  </conditionalFormatting>
  <conditionalFormatting sqref="BB270:BB272">
    <cfRule type="cellIs" dxfId="27893" priority="137" operator="lessThan">
      <formula>0</formula>
    </cfRule>
    <cfRule type="cellIs" dxfId="27892" priority="138" operator="lessThan">
      <formula>-105575</formula>
    </cfRule>
  </conditionalFormatting>
  <conditionalFormatting sqref="BB270:BB272">
    <cfRule type="cellIs" dxfId="27891" priority="135" operator="lessThan">
      <formula>0</formula>
    </cfRule>
    <cfRule type="cellIs" dxfId="27890" priority="136" operator="lessThan">
      <formula>-105575</formula>
    </cfRule>
  </conditionalFormatting>
  <conditionalFormatting sqref="BB270:BB272">
    <cfRule type="cellIs" dxfId="27889" priority="133" operator="lessThan">
      <formula>0</formula>
    </cfRule>
    <cfRule type="cellIs" dxfId="27888" priority="134" operator="lessThan">
      <formula>-105575</formula>
    </cfRule>
  </conditionalFormatting>
  <conditionalFormatting sqref="BB270:BB272">
    <cfRule type="cellIs" dxfId="27887" priority="131" operator="lessThan">
      <formula>0</formula>
    </cfRule>
    <cfRule type="cellIs" dxfId="27886" priority="132" operator="lessThan">
      <formula>-105575</formula>
    </cfRule>
  </conditionalFormatting>
  <conditionalFormatting sqref="BB270:BB272">
    <cfRule type="cellIs" dxfId="27885" priority="129" operator="lessThan">
      <formula>0</formula>
    </cfRule>
    <cfRule type="cellIs" dxfId="27884" priority="130" operator="lessThan">
      <formula>-105575</formula>
    </cfRule>
  </conditionalFormatting>
  <conditionalFormatting sqref="BB274:BB275">
    <cfRule type="cellIs" dxfId="27883" priority="127" operator="lessThan">
      <formula>0</formula>
    </cfRule>
    <cfRule type="cellIs" dxfId="27882" priority="128" operator="lessThan">
      <formula>-105575</formula>
    </cfRule>
  </conditionalFormatting>
  <conditionalFormatting sqref="BB274:BB275">
    <cfRule type="cellIs" dxfId="27881" priority="125" operator="lessThan">
      <formula>0</formula>
    </cfRule>
    <cfRule type="cellIs" dxfId="27880" priority="126" operator="lessThan">
      <formula>-105575</formula>
    </cfRule>
  </conditionalFormatting>
  <conditionalFormatting sqref="BB274:BB275">
    <cfRule type="cellIs" dxfId="27879" priority="123" operator="lessThan">
      <formula>0</formula>
    </cfRule>
    <cfRule type="cellIs" dxfId="27878" priority="124" operator="lessThan">
      <formula>-105575</formula>
    </cfRule>
  </conditionalFormatting>
  <conditionalFormatting sqref="BB274:BB275">
    <cfRule type="cellIs" dxfId="27877" priority="121" operator="lessThan">
      <formula>0</formula>
    </cfRule>
    <cfRule type="cellIs" dxfId="27876" priority="122" operator="lessThan">
      <formula>-105575</formula>
    </cfRule>
  </conditionalFormatting>
  <conditionalFormatting sqref="BB274:BB275">
    <cfRule type="cellIs" dxfId="27875" priority="119" operator="lessThan">
      <formula>0</formula>
    </cfRule>
    <cfRule type="cellIs" dxfId="27874" priority="120" operator="lessThan">
      <formula>-105575</formula>
    </cfRule>
  </conditionalFormatting>
  <conditionalFormatting sqref="BB274:BB275">
    <cfRule type="cellIs" dxfId="27873" priority="117" operator="lessThan">
      <formula>0</formula>
    </cfRule>
    <cfRule type="cellIs" dxfId="27872" priority="118" operator="lessThan">
      <formula>-105575</formula>
    </cfRule>
  </conditionalFormatting>
  <conditionalFormatting sqref="BB274:BB275">
    <cfRule type="cellIs" dxfId="27871" priority="115" operator="lessThan">
      <formula>0</formula>
    </cfRule>
    <cfRule type="cellIs" dxfId="27870" priority="116" operator="lessThan">
      <formula>-105575</formula>
    </cfRule>
  </conditionalFormatting>
  <conditionalFormatting sqref="BB274:BB275">
    <cfRule type="cellIs" dxfId="27869" priority="113" operator="lessThan">
      <formula>0</formula>
    </cfRule>
    <cfRule type="cellIs" dxfId="27868" priority="114" operator="lessThan">
      <formula>-105575</formula>
    </cfRule>
  </conditionalFormatting>
  <conditionalFormatting sqref="BB274:BB275">
    <cfRule type="cellIs" dxfId="27867" priority="111" operator="lessThan">
      <formula>0</formula>
    </cfRule>
    <cfRule type="cellIs" dxfId="27866" priority="112" operator="lessThan">
      <formula>-105575</formula>
    </cfRule>
  </conditionalFormatting>
  <conditionalFormatting sqref="BB278:BB282">
    <cfRule type="cellIs" dxfId="27865" priority="109" operator="lessThan">
      <formula>0</formula>
    </cfRule>
    <cfRule type="cellIs" dxfId="27864" priority="110" operator="lessThan">
      <formula>-105575</formula>
    </cfRule>
  </conditionalFormatting>
  <conditionalFormatting sqref="BB278:BB282">
    <cfRule type="cellIs" dxfId="27863" priority="107" operator="lessThan">
      <formula>0</formula>
    </cfRule>
    <cfRule type="cellIs" dxfId="27862" priority="108" operator="lessThan">
      <formula>-105575</formula>
    </cfRule>
  </conditionalFormatting>
  <conditionalFormatting sqref="BB278:BB282">
    <cfRule type="cellIs" dxfId="27861" priority="105" operator="lessThan">
      <formula>0</formula>
    </cfRule>
    <cfRule type="cellIs" dxfId="27860" priority="106" operator="lessThan">
      <formula>-105575</formula>
    </cfRule>
  </conditionalFormatting>
  <conditionalFormatting sqref="BB278:BB282">
    <cfRule type="cellIs" dxfId="27859" priority="103" operator="lessThan">
      <formula>0</formula>
    </cfRule>
    <cfRule type="cellIs" dxfId="27858" priority="104" operator="lessThan">
      <formula>-105575</formula>
    </cfRule>
  </conditionalFormatting>
  <conditionalFormatting sqref="BB278:BB282">
    <cfRule type="cellIs" dxfId="27857" priority="101" operator="lessThan">
      <formula>0</formula>
    </cfRule>
    <cfRule type="cellIs" dxfId="27856" priority="102" operator="lessThan">
      <formula>-105575</formula>
    </cfRule>
  </conditionalFormatting>
  <conditionalFormatting sqref="BB278:BB282">
    <cfRule type="cellIs" dxfId="27855" priority="99" operator="lessThan">
      <formula>0</formula>
    </cfRule>
    <cfRule type="cellIs" dxfId="27854" priority="100" operator="lessThan">
      <formula>-105575</formula>
    </cfRule>
  </conditionalFormatting>
  <conditionalFormatting sqref="BB278:BB282">
    <cfRule type="cellIs" dxfId="27853" priority="97" operator="lessThan">
      <formula>0</formula>
    </cfRule>
    <cfRule type="cellIs" dxfId="27852" priority="98" operator="lessThan">
      <formula>-105575</formula>
    </cfRule>
  </conditionalFormatting>
  <conditionalFormatting sqref="BB278:BB282">
    <cfRule type="cellIs" dxfId="27851" priority="95" operator="lessThan">
      <formula>0</formula>
    </cfRule>
    <cfRule type="cellIs" dxfId="27850" priority="96" operator="lessThan">
      <formula>-105575</formula>
    </cfRule>
  </conditionalFormatting>
  <conditionalFormatting sqref="BB278:BB282">
    <cfRule type="cellIs" dxfId="27849" priority="93" operator="lessThan">
      <formula>0</formula>
    </cfRule>
    <cfRule type="cellIs" dxfId="27848" priority="94" operator="lessThan">
      <formula>-105575</formula>
    </cfRule>
  </conditionalFormatting>
  <conditionalFormatting sqref="BB285:BB288">
    <cfRule type="cellIs" dxfId="27847" priority="91" operator="lessThan">
      <formula>0</formula>
    </cfRule>
    <cfRule type="cellIs" dxfId="27846" priority="92" operator="lessThan">
      <formula>-105575</formula>
    </cfRule>
  </conditionalFormatting>
  <conditionalFormatting sqref="BB285:BB288">
    <cfRule type="cellIs" dxfId="27845" priority="89" operator="lessThan">
      <formula>0</formula>
    </cfRule>
    <cfRule type="cellIs" dxfId="27844" priority="90" operator="lessThan">
      <formula>-105575</formula>
    </cfRule>
  </conditionalFormatting>
  <conditionalFormatting sqref="BB285:BB288">
    <cfRule type="cellIs" dxfId="27843" priority="87" operator="lessThan">
      <formula>0</formula>
    </cfRule>
    <cfRule type="cellIs" dxfId="27842" priority="88" operator="lessThan">
      <formula>-105575</formula>
    </cfRule>
  </conditionalFormatting>
  <conditionalFormatting sqref="BB285:BB288">
    <cfRule type="cellIs" dxfId="27841" priority="85" operator="lessThan">
      <formula>0</formula>
    </cfRule>
    <cfRule type="cellIs" dxfId="27840" priority="86" operator="lessThan">
      <formula>-105575</formula>
    </cfRule>
  </conditionalFormatting>
  <conditionalFormatting sqref="BB285:BB288">
    <cfRule type="cellIs" dxfId="27839" priority="83" operator="lessThan">
      <formula>0</formula>
    </cfRule>
    <cfRule type="cellIs" dxfId="27838" priority="84" operator="lessThan">
      <formula>-105575</formula>
    </cfRule>
  </conditionalFormatting>
  <conditionalFormatting sqref="BB285:BB288">
    <cfRule type="cellIs" dxfId="27837" priority="81" operator="lessThan">
      <formula>0</formula>
    </cfRule>
    <cfRule type="cellIs" dxfId="27836" priority="82" operator="lessThan">
      <formula>-105575</formula>
    </cfRule>
  </conditionalFormatting>
  <conditionalFormatting sqref="BB285:BB288">
    <cfRule type="cellIs" dxfId="27835" priority="79" operator="lessThan">
      <formula>0</formula>
    </cfRule>
    <cfRule type="cellIs" dxfId="27834" priority="80" operator="lessThan">
      <formula>-105575</formula>
    </cfRule>
  </conditionalFormatting>
  <conditionalFormatting sqref="BB285:BB288">
    <cfRule type="cellIs" dxfId="27833" priority="77" operator="lessThan">
      <formula>0</formula>
    </cfRule>
    <cfRule type="cellIs" dxfId="27832" priority="78" operator="lessThan">
      <formula>-105575</formula>
    </cfRule>
  </conditionalFormatting>
  <conditionalFormatting sqref="BB285:BB288">
    <cfRule type="cellIs" dxfId="27831" priority="75" operator="lessThan">
      <formula>0</formula>
    </cfRule>
    <cfRule type="cellIs" dxfId="27830" priority="76" operator="lessThan">
      <formula>-105575</formula>
    </cfRule>
  </conditionalFormatting>
  <conditionalFormatting sqref="BB80:BB84">
    <cfRule type="cellIs" dxfId="27829" priority="73" operator="lessThan">
      <formula>0</formula>
    </cfRule>
    <cfRule type="cellIs" dxfId="27828" priority="74" operator="lessThan">
      <formula>-105575</formula>
    </cfRule>
  </conditionalFormatting>
  <conditionalFormatting sqref="BB86:BB87">
    <cfRule type="cellIs" dxfId="27827" priority="71" operator="lessThan">
      <formula>0</formula>
    </cfRule>
    <cfRule type="cellIs" dxfId="27826" priority="72" operator="lessThan">
      <formula>-105575</formula>
    </cfRule>
  </conditionalFormatting>
  <conditionalFormatting sqref="BB89:BB91">
    <cfRule type="cellIs" dxfId="27825" priority="69" operator="lessThan">
      <formula>0</formula>
    </cfRule>
    <cfRule type="cellIs" dxfId="27824" priority="70" operator="lessThan">
      <formula>-105575</formula>
    </cfRule>
  </conditionalFormatting>
  <conditionalFormatting sqref="BB94:BB98">
    <cfRule type="cellIs" dxfId="27823" priority="67" operator="lessThan">
      <formula>0</formula>
    </cfRule>
    <cfRule type="cellIs" dxfId="27822" priority="68" operator="lessThan">
      <formula>-105575</formula>
    </cfRule>
  </conditionalFormatting>
  <conditionalFormatting sqref="BB101:BB104">
    <cfRule type="cellIs" dxfId="27821" priority="65" operator="lessThan">
      <formula>0</formula>
    </cfRule>
    <cfRule type="cellIs" dxfId="27820" priority="66" operator="lessThan">
      <formula>-105575</formula>
    </cfRule>
  </conditionalFormatting>
  <conditionalFormatting sqref="BB107:BB109">
    <cfRule type="cellIs" dxfId="27819" priority="63" operator="lessThan">
      <formula>0</formula>
    </cfRule>
    <cfRule type="cellIs" dxfId="27818" priority="64" operator="lessThan">
      <formula>-105575</formula>
    </cfRule>
  </conditionalFormatting>
  <conditionalFormatting sqref="BB112:BB116">
    <cfRule type="cellIs" dxfId="27817" priority="61" operator="lessThan">
      <formula>0</formula>
    </cfRule>
    <cfRule type="cellIs" dxfId="27816" priority="62" operator="lessThan">
      <formula>-105575</formula>
    </cfRule>
  </conditionalFormatting>
  <conditionalFormatting sqref="BB119:BB121">
    <cfRule type="cellIs" dxfId="27815" priority="59" operator="lessThan">
      <formula>0</formula>
    </cfRule>
    <cfRule type="cellIs" dxfId="27814" priority="60" operator="lessThan">
      <formula>-105575</formula>
    </cfRule>
  </conditionalFormatting>
  <conditionalFormatting sqref="BB124:BB132">
    <cfRule type="cellIs" dxfId="27813" priority="57" operator="lessThan">
      <formula>0</formula>
    </cfRule>
    <cfRule type="cellIs" dxfId="27812" priority="58" operator="lessThan">
      <formula>-105575</formula>
    </cfRule>
  </conditionalFormatting>
  <conditionalFormatting sqref="BB135:BB138">
    <cfRule type="cellIs" dxfId="27811" priority="55" operator="lessThan">
      <formula>0</formula>
    </cfRule>
    <cfRule type="cellIs" dxfId="27810" priority="56" operator="lessThan">
      <formula>-105575</formula>
    </cfRule>
  </conditionalFormatting>
  <conditionalFormatting sqref="BB141:BB148">
    <cfRule type="cellIs" dxfId="27809" priority="53" operator="lessThan">
      <formula>0</formula>
    </cfRule>
    <cfRule type="cellIs" dxfId="27808" priority="54" operator="lessThan">
      <formula>-105575</formula>
    </cfRule>
  </conditionalFormatting>
  <conditionalFormatting sqref="BB152:BB155">
    <cfRule type="cellIs" dxfId="27807" priority="51" operator="lessThan">
      <formula>0</formula>
    </cfRule>
    <cfRule type="cellIs" dxfId="27806" priority="52" operator="lessThan">
      <formula>-105575</formula>
    </cfRule>
  </conditionalFormatting>
  <conditionalFormatting sqref="BB157:BB158">
    <cfRule type="cellIs" dxfId="27805" priority="49" operator="lessThan">
      <formula>0</formula>
    </cfRule>
    <cfRule type="cellIs" dxfId="27804" priority="50" operator="lessThan">
      <formula>-105575</formula>
    </cfRule>
  </conditionalFormatting>
  <conditionalFormatting sqref="BB160:BB161">
    <cfRule type="cellIs" dxfId="27803" priority="47" operator="lessThan">
      <formula>0</formula>
    </cfRule>
    <cfRule type="cellIs" dxfId="27802" priority="48" operator="lessThan">
      <formula>-105575</formula>
    </cfRule>
  </conditionalFormatting>
  <conditionalFormatting sqref="BB164:BB167">
    <cfRule type="cellIs" dxfId="27801" priority="45" operator="lessThan">
      <formula>0</formula>
    </cfRule>
    <cfRule type="cellIs" dxfId="27800" priority="46" operator="lessThan">
      <formula>-105575</formula>
    </cfRule>
  </conditionalFormatting>
  <conditionalFormatting sqref="BB169:BB177">
    <cfRule type="cellIs" dxfId="27799" priority="43" operator="lessThan">
      <formula>0</formula>
    </cfRule>
    <cfRule type="cellIs" dxfId="27798" priority="44" operator="lessThan">
      <formula>-105575</formula>
    </cfRule>
  </conditionalFormatting>
  <conditionalFormatting sqref="BB179:BB180">
    <cfRule type="cellIs" dxfId="27797" priority="41" operator="lessThan">
      <formula>0</formula>
    </cfRule>
    <cfRule type="cellIs" dxfId="27796" priority="42" operator="lessThan">
      <formula>-105575</formula>
    </cfRule>
  </conditionalFormatting>
  <conditionalFormatting sqref="BB183:BB189">
    <cfRule type="cellIs" dxfId="27795" priority="39" operator="lessThan">
      <formula>0</formula>
    </cfRule>
    <cfRule type="cellIs" dxfId="27794" priority="40" operator="lessThan">
      <formula>-105575</formula>
    </cfRule>
  </conditionalFormatting>
  <conditionalFormatting sqref="BB191:BB192">
    <cfRule type="cellIs" dxfId="27793" priority="37" operator="lessThan">
      <formula>0</formula>
    </cfRule>
    <cfRule type="cellIs" dxfId="27792" priority="38" operator="lessThan">
      <formula>-105575</formula>
    </cfRule>
  </conditionalFormatting>
  <conditionalFormatting sqref="BB194:BB195">
    <cfRule type="cellIs" dxfId="27791" priority="35" operator="lessThan">
      <formula>0</formula>
    </cfRule>
    <cfRule type="cellIs" dxfId="27790" priority="36" operator="lessThan">
      <formula>-105575</formula>
    </cfRule>
  </conditionalFormatting>
  <conditionalFormatting sqref="BB199:BB202">
    <cfRule type="cellIs" dxfId="27789" priority="33" operator="lessThan">
      <formula>0</formula>
    </cfRule>
    <cfRule type="cellIs" dxfId="27788" priority="34" operator="lessThan">
      <formula>-105575</formula>
    </cfRule>
  </conditionalFormatting>
  <conditionalFormatting sqref="BB204:BB208">
    <cfRule type="cellIs" dxfId="27787" priority="31" operator="lessThan">
      <formula>0</formula>
    </cfRule>
    <cfRule type="cellIs" dxfId="27786" priority="32" operator="lessThan">
      <formula>-105575</formula>
    </cfRule>
  </conditionalFormatting>
  <conditionalFormatting sqref="BB210:BB211">
    <cfRule type="cellIs" dxfId="27785" priority="29" operator="lessThan">
      <formula>0</formula>
    </cfRule>
    <cfRule type="cellIs" dxfId="27784" priority="30" operator="lessThan">
      <formula>-105575</formula>
    </cfRule>
  </conditionalFormatting>
  <conditionalFormatting sqref="BB214:BB219">
    <cfRule type="cellIs" dxfId="27783" priority="27" operator="lessThan">
      <formula>0</formula>
    </cfRule>
    <cfRule type="cellIs" dxfId="27782" priority="28" operator="lessThan">
      <formula>-105575</formula>
    </cfRule>
  </conditionalFormatting>
  <conditionalFormatting sqref="BB222:BB224">
    <cfRule type="cellIs" dxfId="27781" priority="25" operator="lessThan">
      <formula>0</formula>
    </cfRule>
    <cfRule type="cellIs" dxfId="27780" priority="26" operator="lessThan">
      <formula>-105575</formula>
    </cfRule>
  </conditionalFormatting>
  <conditionalFormatting sqref="BB227:BB230">
    <cfRule type="cellIs" dxfId="27779" priority="23" operator="lessThan">
      <formula>0</formula>
    </cfRule>
    <cfRule type="cellIs" dxfId="27778" priority="24" operator="lessThan">
      <formula>-105575</formula>
    </cfRule>
  </conditionalFormatting>
  <conditionalFormatting sqref="BB233:BB236">
    <cfRule type="cellIs" dxfId="27777" priority="21" operator="lessThan">
      <formula>0</formula>
    </cfRule>
    <cfRule type="cellIs" dxfId="27776" priority="22" operator="lessThan">
      <formula>-105575</formula>
    </cfRule>
  </conditionalFormatting>
  <conditionalFormatting sqref="BB239:BB242">
    <cfRule type="cellIs" dxfId="27775" priority="19" operator="lessThan">
      <formula>0</formula>
    </cfRule>
    <cfRule type="cellIs" dxfId="27774" priority="20" operator="lessThan">
      <formula>-105575</formula>
    </cfRule>
  </conditionalFormatting>
  <conditionalFormatting sqref="BB246:BB249">
    <cfRule type="cellIs" dxfId="27773" priority="17" operator="lessThan">
      <formula>0</formula>
    </cfRule>
    <cfRule type="cellIs" dxfId="27772" priority="18" operator="lessThan">
      <formula>-105575</formula>
    </cfRule>
  </conditionalFormatting>
  <conditionalFormatting sqref="BB251:BB253">
    <cfRule type="cellIs" dxfId="27771" priority="15" operator="lessThan">
      <formula>0</formula>
    </cfRule>
    <cfRule type="cellIs" dxfId="27770" priority="16" operator="lessThan">
      <formula>-105575</formula>
    </cfRule>
  </conditionalFormatting>
  <conditionalFormatting sqref="BB255:BB257">
    <cfRule type="cellIs" dxfId="27769" priority="13" operator="lessThan">
      <formula>0</formula>
    </cfRule>
    <cfRule type="cellIs" dxfId="27768" priority="14" operator="lessThan">
      <formula>-105575</formula>
    </cfRule>
  </conditionalFormatting>
  <conditionalFormatting sqref="BB260:BB262">
    <cfRule type="cellIs" dxfId="27767" priority="11" operator="lessThan">
      <formula>0</formula>
    </cfRule>
    <cfRule type="cellIs" dxfId="27766" priority="12" operator="lessThan">
      <formula>-105575</formula>
    </cfRule>
  </conditionalFormatting>
  <conditionalFormatting sqref="BB264:BB267">
    <cfRule type="cellIs" dxfId="27765" priority="9" operator="lessThan">
      <formula>0</formula>
    </cfRule>
    <cfRule type="cellIs" dxfId="27764" priority="10" operator="lessThan">
      <formula>-105575</formula>
    </cfRule>
  </conditionalFormatting>
  <conditionalFormatting sqref="BB270:BB272">
    <cfRule type="cellIs" dxfId="27763" priority="7" operator="lessThan">
      <formula>0</formula>
    </cfRule>
    <cfRule type="cellIs" dxfId="27762" priority="8" operator="lessThan">
      <formula>-105575</formula>
    </cfRule>
  </conditionalFormatting>
  <conditionalFormatting sqref="BB274:BB275">
    <cfRule type="cellIs" dxfId="27761" priority="5" operator="lessThan">
      <formula>0</formula>
    </cfRule>
    <cfRule type="cellIs" dxfId="27760" priority="6" operator="lessThan">
      <formula>-105575</formula>
    </cfRule>
  </conditionalFormatting>
  <conditionalFormatting sqref="BB278:BB282">
    <cfRule type="cellIs" dxfId="27759" priority="3" operator="lessThan">
      <formula>0</formula>
    </cfRule>
    <cfRule type="cellIs" dxfId="27758" priority="4" operator="lessThan">
      <formula>-105575</formula>
    </cfRule>
  </conditionalFormatting>
  <conditionalFormatting sqref="BB285:BB288">
    <cfRule type="cellIs" dxfId="27757" priority="1" operator="lessThan">
      <formula>0</formula>
    </cfRule>
    <cfRule type="cellIs" dxfId="27756" priority="2" operator="lessThan">
      <formula>-105575</formula>
    </cfRule>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BF292"/>
  <sheetViews>
    <sheetView zoomScale="60" zoomScaleNormal="60" workbookViewId="0">
      <pane xSplit="8" ySplit="5" topLeftCell="AW64" activePane="bottomRight" state="frozen"/>
      <selection pane="topRight" activeCell="I1" sqref="I1"/>
      <selection pane="bottomLeft" activeCell="A6" sqref="A6"/>
      <selection pane="bottomRight" activeCell="AZ68" sqref="AZ68"/>
    </sheetView>
  </sheetViews>
  <sheetFormatPr defaultColWidth="8.85546875" defaultRowHeight="15" outlineLevelRow="2" outlineLevelCol="2" x14ac:dyDescent="0.25"/>
  <cols>
    <col min="1" max="1" width="4.140625" style="183" bestFit="1" customWidth="1"/>
    <col min="2" max="2" width="3.28515625" style="183" customWidth="1"/>
    <col min="3" max="3" width="2.42578125" style="101" customWidth="1"/>
    <col min="4" max="4" width="24.7109375" style="101" customWidth="1"/>
    <col min="5" max="5" width="41.42578125" style="102" customWidth="1" outlineLevel="1"/>
    <col min="6" max="6" width="12.140625" style="101" customWidth="1" outlineLevel="1"/>
    <col min="7" max="7" width="12.7109375" style="101" customWidth="1" outlineLevel="1"/>
    <col min="8" max="8" width="97.85546875" style="101" customWidth="1" outlineLevel="2"/>
    <col min="9" max="9" width="16.140625" style="239" customWidth="1" outlineLevel="2"/>
    <col min="10" max="10" width="8.42578125" style="239" bestFit="1" customWidth="1" outlineLevel="2"/>
    <col min="11" max="11" width="12" style="239" bestFit="1" customWidth="1" outlineLevel="2"/>
    <col min="12" max="12" width="21.42578125" style="239" customWidth="1" outlineLevel="1"/>
    <col min="13" max="13" width="19.140625" style="239" customWidth="1" outlineLevel="1"/>
    <col min="14" max="14" width="10.5703125" style="239" customWidth="1" outlineLevel="2"/>
    <col min="15" max="15" width="11" style="239" customWidth="1" outlineLevel="2"/>
    <col min="16" max="16" width="13.28515625" style="239" customWidth="1" outlineLevel="2"/>
    <col min="17" max="17" width="14.140625" style="239" customWidth="1" outlineLevel="2"/>
    <col min="18" max="21" width="12.140625" style="239" customWidth="1" outlineLevel="2"/>
    <col min="22" max="23" width="8.42578125" style="239" bestFit="1" customWidth="1" outlineLevel="2"/>
    <col min="24" max="24" width="7.5703125" style="239" customWidth="1" outlineLevel="2"/>
    <col min="25" max="25" width="12" style="239" bestFit="1" customWidth="1" outlineLevel="1"/>
    <col min="26" max="26" width="8.42578125" style="239" bestFit="1" customWidth="1" outlineLevel="2"/>
    <col min="27" max="27" width="9" style="239" bestFit="1" customWidth="1" outlineLevel="2"/>
    <col min="28" max="28" width="14.42578125" style="239" customWidth="1" outlineLevel="1"/>
    <col min="29" max="29" width="24.140625" style="239" customWidth="1" outlineLevel="1"/>
    <col min="30" max="30" width="12.85546875" style="239" customWidth="1" outlineLevel="2"/>
    <col min="31" max="31" width="22.28515625" style="239" customWidth="1" outlineLevel="2"/>
    <col min="32" max="32" width="20.7109375" style="239" customWidth="1" outlineLevel="1"/>
    <col min="33" max="34" width="9" style="239" bestFit="1" customWidth="1" outlineLevel="2"/>
    <col min="35" max="35" width="7.28515625" style="239" customWidth="1" outlineLevel="2"/>
    <col min="36" max="36" width="18" style="239" customWidth="1" outlineLevel="2"/>
    <col min="37" max="37" width="13.28515625" style="239" customWidth="1" outlineLevel="2"/>
    <col min="38" max="38" width="17.5703125" style="239" customWidth="1" outlineLevel="2"/>
    <col min="39" max="39" width="20.28515625" style="239" customWidth="1" outlineLevel="1"/>
    <col min="40" max="40" width="17" style="239" customWidth="1" outlineLevel="1"/>
    <col min="41" max="41" width="39.85546875" style="239" customWidth="1" outlineLevel="2"/>
    <col min="42" max="42" width="2.7109375" style="239" customWidth="1"/>
    <col min="43" max="43" width="19.5703125" style="239" customWidth="1"/>
    <col min="44" max="44" width="26" style="239" customWidth="1"/>
    <col min="45" max="45" width="20.28515625" style="239" customWidth="1"/>
    <col min="46" max="46" width="25.7109375" style="239" customWidth="1"/>
    <col min="47" max="47" width="24" style="235" customWidth="1"/>
    <col min="48" max="48" width="21.42578125" style="235" customWidth="1"/>
    <col min="49" max="49" width="17.28515625" style="235" customWidth="1"/>
    <col min="50" max="51" width="15" style="235" customWidth="1"/>
    <col min="52" max="52" width="21.42578125" style="235" customWidth="1"/>
    <col min="53" max="53" width="15" style="235" customWidth="1"/>
    <col min="54" max="54" width="26.28515625" style="235" customWidth="1"/>
    <col min="55" max="58" width="9.140625" style="167" customWidth="1"/>
    <col min="59" max="16384" width="8.85546875" style="169"/>
  </cols>
  <sheetData>
    <row r="1" spans="1:58" s="183" customFormat="1" ht="15.75" customHeight="1" x14ac:dyDescent="0.25">
      <c r="A1" s="115"/>
      <c r="B1" s="395" t="s">
        <v>230</v>
      </c>
      <c r="C1" s="395"/>
      <c r="D1" s="395"/>
      <c r="E1" s="395"/>
      <c r="F1" s="395"/>
      <c r="G1" s="395"/>
      <c r="H1" s="395"/>
      <c r="I1" s="373"/>
      <c r="J1" s="373"/>
      <c r="K1" s="373"/>
      <c r="L1" s="373"/>
      <c r="M1" s="232"/>
      <c r="N1" s="233"/>
      <c r="O1" s="233"/>
      <c r="P1" s="233"/>
      <c r="Q1" s="233"/>
      <c r="R1" s="233"/>
      <c r="S1" s="233"/>
      <c r="T1" s="233"/>
      <c r="U1" s="233"/>
      <c r="V1" s="233"/>
      <c r="W1" s="233"/>
      <c r="X1" s="233"/>
      <c r="Y1" s="233"/>
      <c r="Z1" s="233"/>
      <c r="AA1" s="233"/>
      <c r="AB1" s="233"/>
      <c r="AC1" s="233"/>
      <c r="AD1" s="233"/>
      <c r="AE1" s="233"/>
      <c r="AF1" s="233"/>
      <c r="AG1" s="233"/>
      <c r="AH1" s="233"/>
      <c r="AI1" s="233"/>
      <c r="AJ1" s="233"/>
      <c r="AK1" s="233"/>
      <c r="AL1" s="233"/>
      <c r="AM1" s="233"/>
      <c r="AN1" s="233"/>
      <c r="AO1" s="233"/>
      <c r="AP1" s="234"/>
      <c r="AQ1" s="234"/>
      <c r="AR1" s="234"/>
      <c r="AS1" s="234"/>
      <c r="AT1" s="234"/>
      <c r="AU1" s="235"/>
      <c r="AV1" s="235"/>
      <c r="AW1" s="235"/>
      <c r="AX1" s="235"/>
      <c r="AY1" s="235"/>
      <c r="AZ1" s="235"/>
      <c r="BA1" s="235"/>
      <c r="BB1" s="235"/>
    </row>
    <row r="2" spans="1:58" ht="78.75" customHeight="1" x14ac:dyDescent="0.25">
      <c r="A2" s="115" t="s">
        <v>55</v>
      </c>
      <c r="B2" s="385" t="s">
        <v>120</v>
      </c>
      <c r="C2" s="386"/>
      <c r="D2" s="386"/>
      <c r="E2" s="387"/>
      <c r="F2" s="296" t="s">
        <v>133</v>
      </c>
      <c r="G2" s="296" t="s">
        <v>134</v>
      </c>
      <c r="H2" s="116" t="s">
        <v>54</v>
      </c>
      <c r="I2" s="236" t="s">
        <v>0</v>
      </c>
      <c r="J2" s="236" t="s">
        <v>14</v>
      </c>
      <c r="K2" s="236" t="s">
        <v>15</v>
      </c>
      <c r="L2" s="237" t="s">
        <v>11</v>
      </c>
      <c r="M2" s="237" t="s">
        <v>82</v>
      </c>
      <c r="N2" s="236" t="s">
        <v>16</v>
      </c>
      <c r="O2" s="236" t="s">
        <v>7</v>
      </c>
      <c r="P2" s="236" t="s">
        <v>6</v>
      </c>
      <c r="Q2" s="236" t="s">
        <v>8</v>
      </c>
      <c r="R2" s="237" t="s">
        <v>57</v>
      </c>
      <c r="S2" s="237" t="s">
        <v>65</v>
      </c>
      <c r="T2" s="237" t="s">
        <v>64</v>
      </c>
      <c r="U2" s="237" t="s">
        <v>63</v>
      </c>
      <c r="V2" s="236" t="s">
        <v>17</v>
      </c>
      <c r="W2" s="236" t="s">
        <v>67</v>
      </c>
      <c r="X2" s="236" t="s">
        <v>6</v>
      </c>
      <c r="Y2" s="237" t="s">
        <v>71</v>
      </c>
      <c r="Z2" s="236" t="s">
        <v>10</v>
      </c>
      <c r="AA2" s="236" t="s">
        <v>9</v>
      </c>
      <c r="AB2" s="237" t="s">
        <v>70</v>
      </c>
      <c r="AC2" s="238" t="s">
        <v>18</v>
      </c>
      <c r="AD2" s="237" t="s">
        <v>79</v>
      </c>
      <c r="AE2" s="237" t="s">
        <v>23</v>
      </c>
      <c r="AF2" s="237" t="s">
        <v>80</v>
      </c>
      <c r="AG2" s="236" t="s">
        <v>20</v>
      </c>
      <c r="AH2" s="236" t="s">
        <v>21</v>
      </c>
      <c r="AI2" s="236" t="s">
        <v>22</v>
      </c>
      <c r="AJ2" s="236" t="s">
        <v>99</v>
      </c>
      <c r="AK2" s="236" t="s">
        <v>101</v>
      </c>
      <c r="AL2" s="236" t="s">
        <v>90</v>
      </c>
      <c r="AM2" s="237" t="s">
        <v>92</v>
      </c>
      <c r="AN2" s="237" t="s">
        <v>13</v>
      </c>
      <c r="AO2" s="236"/>
      <c r="AQ2" s="402" t="s">
        <v>534</v>
      </c>
      <c r="AR2" s="403"/>
      <c r="AS2" s="403"/>
      <c r="AT2" s="403"/>
      <c r="AU2" s="403"/>
      <c r="AV2" s="403"/>
      <c r="AW2" s="403"/>
      <c r="AX2" s="403"/>
      <c r="AY2" s="403"/>
      <c r="AZ2" s="403"/>
      <c r="BA2" s="403"/>
      <c r="BB2" s="404"/>
      <c r="BC2" s="169"/>
      <c r="BD2" s="169"/>
      <c r="BE2" s="169"/>
      <c r="BF2" s="169"/>
    </row>
    <row r="3" spans="1:58" s="79" customFormat="1" ht="110.25" customHeight="1" x14ac:dyDescent="0.25">
      <c r="A3" s="118" t="s">
        <v>56</v>
      </c>
      <c r="B3" s="385" t="s">
        <v>121</v>
      </c>
      <c r="C3" s="386"/>
      <c r="D3" s="386"/>
      <c r="E3" s="387"/>
      <c r="F3" s="296" t="s">
        <v>135</v>
      </c>
      <c r="G3" s="296" t="s">
        <v>135</v>
      </c>
      <c r="H3" s="119" t="s">
        <v>45</v>
      </c>
      <c r="I3" s="236" t="s">
        <v>51</v>
      </c>
      <c r="J3" s="236" t="s">
        <v>52</v>
      </c>
      <c r="K3" s="236" t="s">
        <v>53</v>
      </c>
      <c r="L3" s="237" t="s">
        <v>117</v>
      </c>
      <c r="M3" s="237" t="s">
        <v>116</v>
      </c>
      <c r="N3" s="236" t="s">
        <v>73</v>
      </c>
      <c r="O3" s="236" t="s">
        <v>72</v>
      </c>
      <c r="P3" s="236" t="s">
        <v>74</v>
      </c>
      <c r="Q3" s="236" t="s">
        <v>75</v>
      </c>
      <c r="R3" s="237" t="s">
        <v>115</v>
      </c>
      <c r="S3" s="237" t="s">
        <v>114</v>
      </c>
      <c r="T3" s="237" t="s">
        <v>113</v>
      </c>
      <c r="U3" s="237" t="s">
        <v>112</v>
      </c>
      <c r="V3" s="236" t="s">
        <v>76</v>
      </c>
      <c r="W3" s="236" t="s">
        <v>77</v>
      </c>
      <c r="X3" s="236" t="s">
        <v>78</v>
      </c>
      <c r="Y3" s="237" t="s">
        <v>111</v>
      </c>
      <c r="Z3" s="236" t="s">
        <v>68</v>
      </c>
      <c r="AA3" s="236" t="s">
        <v>69</v>
      </c>
      <c r="AB3" s="237" t="s">
        <v>110</v>
      </c>
      <c r="AC3" s="238" t="s">
        <v>109</v>
      </c>
      <c r="AD3" s="237" t="s">
        <v>108</v>
      </c>
      <c r="AE3" s="237" t="s">
        <v>107</v>
      </c>
      <c r="AF3" s="237" t="s">
        <v>106</v>
      </c>
      <c r="AG3" s="236" t="s">
        <v>87</v>
      </c>
      <c r="AH3" s="236" t="s">
        <v>89</v>
      </c>
      <c r="AI3" s="236" t="s">
        <v>88</v>
      </c>
      <c r="AJ3" s="237" t="s">
        <v>100</v>
      </c>
      <c r="AK3" s="237" t="s">
        <v>102</v>
      </c>
      <c r="AL3" s="237" t="s">
        <v>96</v>
      </c>
      <c r="AM3" s="237" t="s">
        <v>104</v>
      </c>
      <c r="AN3" s="237" t="s">
        <v>105</v>
      </c>
      <c r="AO3" s="236"/>
      <c r="AP3" s="240"/>
      <c r="AQ3" s="370" t="s">
        <v>123</v>
      </c>
      <c r="AR3" s="370" t="s">
        <v>24</v>
      </c>
      <c r="AS3" s="370" t="s">
        <v>12</v>
      </c>
      <c r="AT3" s="370" t="s">
        <v>19</v>
      </c>
      <c r="AU3" s="371" t="s">
        <v>124</v>
      </c>
      <c r="AV3" s="371" t="s">
        <v>125</v>
      </c>
      <c r="AW3" s="371" t="s">
        <v>222</v>
      </c>
      <c r="AX3" s="371" t="s">
        <v>136</v>
      </c>
      <c r="AY3" s="371" t="s">
        <v>546</v>
      </c>
      <c r="AZ3" s="371" t="s">
        <v>565</v>
      </c>
      <c r="BA3" s="372" t="s">
        <v>126</v>
      </c>
      <c r="BB3" s="371" t="s">
        <v>25</v>
      </c>
    </row>
    <row r="4" spans="1:58" s="81" customFormat="1" ht="63" x14ac:dyDescent="0.25">
      <c r="A4" s="120"/>
      <c r="B4" s="121"/>
      <c r="C4" s="122"/>
      <c r="D4" s="122"/>
      <c r="E4" s="123"/>
      <c r="F4" s="123" t="s">
        <v>131</v>
      </c>
      <c r="G4" s="123" t="s">
        <v>132</v>
      </c>
      <c r="H4" s="116" t="s">
        <v>119</v>
      </c>
      <c r="I4" s="241" t="s">
        <v>118</v>
      </c>
      <c r="J4" s="241">
        <v>2</v>
      </c>
      <c r="K4" s="241">
        <v>3</v>
      </c>
      <c r="L4" s="241" t="s">
        <v>81</v>
      </c>
      <c r="M4" s="241" t="s">
        <v>83</v>
      </c>
      <c r="N4" s="241">
        <v>6</v>
      </c>
      <c r="O4" s="241">
        <v>7</v>
      </c>
      <c r="P4" s="241">
        <v>8</v>
      </c>
      <c r="Q4" s="241">
        <v>9</v>
      </c>
      <c r="R4" s="241" t="s">
        <v>26</v>
      </c>
      <c r="S4" s="241" t="s">
        <v>27</v>
      </c>
      <c r="T4" s="241" t="s">
        <v>28</v>
      </c>
      <c r="U4" s="241" t="s">
        <v>29</v>
      </c>
      <c r="V4" s="241">
        <v>14</v>
      </c>
      <c r="W4" s="241">
        <v>15</v>
      </c>
      <c r="X4" s="241">
        <v>16</v>
      </c>
      <c r="Y4" s="241" t="s">
        <v>84</v>
      </c>
      <c r="Z4" s="241">
        <v>18</v>
      </c>
      <c r="AA4" s="241">
        <v>19</v>
      </c>
      <c r="AB4" s="241" t="s">
        <v>85</v>
      </c>
      <c r="AC4" s="241">
        <v>21</v>
      </c>
      <c r="AD4" s="241">
        <v>22</v>
      </c>
      <c r="AE4" s="241" t="s">
        <v>94</v>
      </c>
      <c r="AF4" s="241" t="s">
        <v>86</v>
      </c>
      <c r="AG4" s="241">
        <v>25</v>
      </c>
      <c r="AH4" s="241">
        <v>26</v>
      </c>
      <c r="AI4" s="241">
        <v>27</v>
      </c>
      <c r="AJ4" s="241">
        <v>28</v>
      </c>
      <c r="AK4" s="241">
        <v>29</v>
      </c>
      <c r="AL4" s="241">
        <v>30</v>
      </c>
      <c r="AM4" s="241" t="s">
        <v>95</v>
      </c>
      <c r="AN4" s="241" t="s">
        <v>103</v>
      </c>
      <c r="AO4" s="241"/>
      <c r="AP4" s="242"/>
      <c r="AQ4" s="241" t="s">
        <v>127</v>
      </c>
      <c r="AR4" s="241" t="s">
        <v>128</v>
      </c>
      <c r="AS4" s="241" t="s">
        <v>129</v>
      </c>
      <c r="AT4" s="241" t="s">
        <v>130</v>
      </c>
      <c r="AU4" s="377">
        <v>37</v>
      </c>
      <c r="AV4" s="377">
        <v>38</v>
      </c>
      <c r="AW4" s="377">
        <v>39</v>
      </c>
      <c r="AX4" s="377">
        <v>40</v>
      </c>
      <c r="AY4" s="377"/>
      <c r="AZ4" s="377">
        <v>41</v>
      </c>
      <c r="BA4" s="377">
        <v>42</v>
      </c>
      <c r="BB4" s="377" t="s">
        <v>142</v>
      </c>
    </row>
    <row r="5" spans="1:58" s="170" customFormat="1" ht="15.75" customHeight="1" x14ac:dyDescent="0.25">
      <c r="A5" s="120"/>
      <c r="B5" s="388" t="s">
        <v>312</v>
      </c>
      <c r="C5" s="389"/>
      <c r="D5" s="389"/>
      <c r="E5" s="390"/>
      <c r="F5" s="339"/>
      <c r="G5" s="339"/>
      <c r="H5" s="113" t="s">
        <v>58</v>
      </c>
      <c r="I5" s="243"/>
      <c r="J5" s="243"/>
      <c r="K5" s="243"/>
      <c r="L5" s="243">
        <f>SUM(L6+L16+L20+L40+L45+L61)</f>
        <v>2011597575.7142859</v>
      </c>
      <c r="M5" s="243">
        <f>SUM(M6+M16+M20+M40+M45+M61)</f>
        <v>335936795.14428568</v>
      </c>
      <c r="N5" s="243"/>
      <c r="O5" s="243"/>
      <c r="P5" s="243"/>
      <c r="Q5" s="243"/>
      <c r="R5" s="243">
        <f>SUM(R6+R16+R20+R40+R45+R61)</f>
        <v>930000</v>
      </c>
      <c r="S5" s="243">
        <f>SUM(S6+S16+S20+S40+S45+S61)</f>
        <v>907500</v>
      </c>
      <c r="T5" s="243">
        <f>SUM(T6+T16+T20+T40+T45+T61)</f>
        <v>0</v>
      </c>
      <c r="U5" s="243">
        <f>SUM(U6+U16+U20+U40+U45+U61)</f>
        <v>1160000</v>
      </c>
      <c r="V5" s="243"/>
      <c r="W5" s="243"/>
      <c r="X5" s="243"/>
      <c r="Y5" s="243">
        <f>SUM(Y6+Y16+Y20+Y40+Y45+Y61)</f>
        <v>0</v>
      </c>
      <c r="Z5" s="243">
        <f t="shared" ref="Z5:AF5" si="0">SUM(Z6+Z16+Z20+Z40+Z45+Z61)</f>
        <v>0</v>
      </c>
      <c r="AA5" s="243">
        <f t="shared" si="0"/>
        <v>0</v>
      </c>
      <c r="AB5" s="243">
        <f t="shared" si="0"/>
        <v>8083000</v>
      </c>
      <c r="AC5" s="243">
        <f t="shared" si="0"/>
        <v>1448835902</v>
      </c>
      <c r="AD5" s="243">
        <f t="shared" si="0"/>
        <v>0</v>
      </c>
      <c r="AE5" s="243">
        <f t="shared" si="0"/>
        <v>86316600</v>
      </c>
      <c r="AF5" s="243">
        <f t="shared" si="0"/>
        <v>1544723002</v>
      </c>
      <c r="AG5" s="243"/>
      <c r="AH5" s="243"/>
      <c r="AI5" s="243"/>
      <c r="AJ5" s="243">
        <f>SUM(AJ6+AJ16+AJ20+AJ40+AJ45+AJ61)</f>
        <v>0</v>
      </c>
      <c r="AK5" s="243">
        <f>SUM(AK6+AK16+AK20+AK40+AK45+AK61)</f>
        <v>0</v>
      </c>
      <c r="AL5" s="243">
        <f>SUM(AL6+AL16+AL20+AL40+AL45+AL61)</f>
        <v>665000000</v>
      </c>
      <c r="AM5" s="243">
        <f>SUM(AM6+AM16+AM20+AM40+AM45+AM61)</f>
        <v>665000000</v>
      </c>
      <c r="AN5" s="243">
        <f>SUM(AN6+AN16+AN20+AN40+AN45+AN61)</f>
        <v>99750000</v>
      </c>
      <c r="AO5" s="243"/>
      <c r="AP5" s="244"/>
      <c r="AQ5" s="245">
        <f>SUM(AQ6+AQ16+AQ20+AQ40+AQ45+AQ61)</f>
        <v>2347534370.8585711</v>
      </c>
      <c r="AR5" s="245">
        <f>SUM(AR6+AR16+AR20+AR40+AR45+AR61)</f>
        <v>1547156602</v>
      </c>
      <c r="AS5" s="245">
        <f>SUM(AS6+AS16+AS20+AS40+AS45+AS61)</f>
        <v>764750000</v>
      </c>
      <c r="AT5" s="245">
        <f>SUM(AT6+AT16+AT20+AT40+AT45+AT61)</f>
        <v>4659440972.858572</v>
      </c>
      <c r="AU5" s="245">
        <f t="shared" ref="AU5:BB5" si="1">SUM(AU6+AU16+AU20+AU40+AU45+AU61)</f>
        <v>3751070762.8585715</v>
      </c>
      <c r="AV5" s="245">
        <f t="shared" si="1"/>
        <v>0</v>
      </c>
      <c r="AW5" s="245">
        <f>SUM(AW6+AW16+AW20+AW40+AW45+AW61)</f>
        <v>0</v>
      </c>
      <c r="AX5" s="245">
        <f t="shared" si="1"/>
        <v>0</v>
      </c>
      <c r="AY5" s="245">
        <f t="shared" si="1"/>
        <v>3739200</v>
      </c>
      <c r="AZ5" s="245">
        <f t="shared" si="1"/>
        <v>249600</v>
      </c>
      <c r="BA5" s="245">
        <f t="shared" si="1"/>
        <v>0</v>
      </c>
      <c r="BB5" s="245">
        <f t="shared" si="1"/>
        <v>-904381410</v>
      </c>
    </row>
    <row r="6" spans="1:58" s="170" customFormat="1" ht="15.75" customHeight="1" x14ac:dyDescent="0.25">
      <c r="A6" s="120"/>
      <c r="B6" s="290"/>
      <c r="C6" s="391" t="s">
        <v>191</v>
      </c>
      <c r="D6" s="391"/>
      <c r="E6" s="392"/>
      <c r="F6" s="289"/>
      <c r="G6" s="288"/>
      <c r="H6" s="114" t="s">
        <v>59</v>
      </c>
      <c r="I6" s="246"/>
      <c r="J6" s="246"/>
      <c r="K6" s="246"/>
      <c r="L6" s="247">
        <f>SUM(L11+L15)</f>
        <v>4188700</v>
      </c>
      <c r="M6" s="247">
        <f>SUM(M11+M15)</f>
        <v>699512.9</v>
      </c>
      <c r="N6" s="247"/>
      <c r="O6" s="247"/>
      <c r="P6" s="247"/>
      <c r="Q6" s="247"/>
      <c r="R6" s="247">
        <f>SUM(R11+R15)</f>
        <v>150000</v>
      </c>
      <c r="S6" s="247">
        <f>SUM(S11+S15)</f>
        <v>112500</v>
      </c>
      <c r="T6" s="247">
        <f>SUM(T11+T15)</f>
        <v>0</v>
      </c>
      <c r="U6" s="247">
        <f>SUM(U11+U15)</f>
        <v>200000</v>
      </c>
      <c r="V6" s="247"/>
      <c r="W6" s="247"/>
      <c r="X6" s="247"/>
      <c r="Y6" s="247">
        <f>SUM(Y11+Y15)</f>
        <v>0</v>
      </c>
      <c r="Z6" s="247">
        <f t="shared" ref="Z6:AF6" si="2">SUM(Z11+Z15)</f>
        <v>0</v>
      </c>
      <c r="AA6" s="247">
        <f t="shared" si="2"/>
        <v>0</v>
      </c>
      <c r="AB6" s="247">
        <f t="shared" si="2"/>
        <v>3704000</v>
      </c>
      <c r="AC6" s="247">
        <f t="shared" si="2"/>
        <v>548500</v>
      </c>
      <c r="AD6" s="247">
        <f t="shared" si="2"/>
        <v>0</v>
      </c>
      <c r="AE6" s="247">
        <f t="shared" si="2"/>
        <v>641000</v>
      </c>
      <c r="AF6" s="247">
        <f t="shared" si="2"/>
        <v>3846000</v>
      </c>
      <c r="AG6" s="247"/>
      <c r="AH6" s="247"/>
      <c r="AI6" s="247"/>
      <c r="AJ6" s="247">
        <f>SUM(AJ11+AJ15)</f>
        <v>0</v>
      </c>
      <c r="AK6" s="247">
        <f>SUM(AK11+AK15)</f>
        <v>0</v>
      </c>
      <c r="AL6" s="247">
        <f>SUM(AL11+AL15)</f>
        <v>0</v>
      </c>
      <c r="AM6" s="247">
        <f>SUM(AM11+AM15)</f>
        <v>0</v>
      </c>
      <c r="AN6" s="247">
        <f>SUM(AN11+AN15)</f>
        <v>0</v>
      </c>
      <c r="AO6" s="247"/>
      <c r="AP6" s="244"/>
      <c r="AQ6" s="248">
        <f>SUM(AQ11+AQ15)</f>
        <v>4888212.9000000004</v>
      </c>
      <c r="AR6" s="248">
        <f>SUM(AR11+AR15)</f>
        <v>6279600</v>
      </c>
      <c r="AS6" s="248">
        <f>SUM(AS11+AS15)</f>
        <v>0</v>
      </c>
      <c r="AT6" s="248">
        <f>SUM(AT11+AT15)</f>
        <v>11167812.9</v>
      </c>
      <c r="AU6" s="248">
        <f t="shared" ref="AU6:BB6" si="3">SUM(AU11+AU15)</f>
        <v>4888212.9000000004</v>
      </c>
      <c r="AV6" s="248">
        <f t="shared" si="3"/>
        <v>0</v>
      </c>
      <c r="AW6" s="248">
        <f>SUM(AW11+AW15)</f>
        <v>0</v>
      </c>
      <c r="AX6" s="248">
        <f t="shared" si="3"/>
        <v>0</v>
      </c>
      <c r="AY6" s="248">
        <f t="shared" si="3"/>
        <v>0</v>
      </c>
      <c r="AZ6" s="248">
        <f t="shared" si="3"/>
        <v>0</v>
      </c>
      <c r="BA6" s="248">
        <f t="shared" si="3"/>
        <v>0</v>
      </c>
      <c r="BB6" s="248">
        <f t="shared" si="3"/>
        <v>-6279600</v>
      </c>
    </row>
    <row r="7" spans="1:58" ht="78.75" outlineLevel="2" x14ac:dyDescent="0.25">
      <c r="A7" s="115"/>
      <c r="B7" s="200"/>
      <c r="C7" s="201"/>
      <c r="D7" s="138"/>
      <c r="E7" s="295"/>
      <c r="F7" s="295"/>
      <c r="G7" s="296"/>
      <c r="H7" s="199" t="s">
        <v>369</v>
      </c>
      <c r="I7" s="130"/>
      <c r="J7" s="126"/>
      <c r="K7" s="126"/>
      <c r="L7" s="125" t="str">
        <f>IF(I7&lt;&gt;0,((VLOOKUP(I7,'1. Standard_Cost'!$B$4:$D$11,2)+VLOOKUP(I7,'1. Standard_Cost'!$B$4:$D$11,3))*J7*K7),"0")</f>
        <v>0</v>
      </c>
      <c r="M7" s="125">
        <f>L7*'1. Standard_Cost'!$F$4</f>
        <v>0</v>
      </c>
      <c r="N7" s="126"/>
      <c r="O7" s="126"/>
      <c r="P7" s="126"/>
      <c r="Q7" s="126"/>
      <c r="R7" s="127">
        <f>'1. Standard_Cost'!$B$15*N7*P7</f>
        <v>0</v>
      </c>
      <c r="S7" s="127">
        <f>N7*O7*P7*'1. Standard_Cost'!$C$15</f>
        <v>0</v>
      </c>
      <c r="T7" s="127">
        <f>N7*P7*Q7*'1. Standard_Cost'!$D$15</f>
        <v>0</v>
      </c>
      <c r="U7" s="127">
        <f>N7*O7*'1. Standard_Cost'!$E$15</f>
        <v>0</v>
      </c>
      <c r="V7" s="126"/>
      <c r="W7" s="126"/>
      <c r="X7" s="126"/>
      <c r="Y7" s="127">
        <f>+V7*((X7*'1. Standard_Cost'!$B$19)+(W7*X7*'1. Standard_Cost'!$C$19))</f>
        <v>0</v>
      </c>
      <c r="Z7" s="126"/>
      <c r="AA7" s="126"/>
      <c r="AB7" s="127">
        <f>+Z7*'1. Standard_Cost'!$B$23+AA7*'1. Standard_Cost'!$C$23</f>
        <v>0</v>
      </c>
      <c r="AC7" s="128"/>
      <c r="AD7" s="129"/>
      <c r="AE7" s="127">
        <f>SUM(AD7,AC7,AB7,Y7,U7,T7,S7,R7)*'1. Standard_Cost'!$B$31</f>
        <v>0</v>
      </c>
      <c r="AF7" s="127">
        <f>SUM(AE7,AD7,AC7,AB7,Y7,U7,T7,S7,R7)</f>
        <v>0</v>
      </c>
      <c r="AG7" s="126"/>
      <c r="AH7" s="126"/>
      <c r="AI7" s="126"/>
      <c r="AJ7" s="130"/>
      <c r="AK7" s="130"/>
      <c r="AL7" s="130"/>
      <c r="AM7" s="127">
        <f>AG7*'1. Standard_Cost'!$B$27+'Incremental_Cost Year 4'!AH7*'1. Standard_Cost'!$C$27+'Incremental_Cost Year 4'!AI7*'1. Standard_Cost'!$D$27+'Incremental_Cost Year 4'!AJ7+'Incremental_Cost Year 4'!AL7+AK7</f>
        <v>0</v>
      </c>
      <c r="AN7" s="127">
        <f>AM7*'1. Standard_Cost'!$C$31</f>
        <v>0</v>
      </c>
      <c r="AO7" s="249"/>
      <c r="AQ7" s="171">
        <f>L7+M7</f>
        <v>0</v>
      </c>
      <c r="AR7" s="171">
        <f>AF7</f>
        <v>0</v>
      </c>
      <c r="AS7" s="171">
        <f>AM7+AN7</f>
        <v>0</v>
      </c>
      <c r="AT7" s="171">
        <f>SUM(AQ7,AR7,AS7)</f>
        <v>0</v>
      </c>
      <c r="AU7" s="250">
        <f>AQ7</f>
        <v>0</v>
      </c>
      <c r="AV7" s="250"/>
      <c r="AW7" s="250"/>
      <c r="AX7" s="250"/>
      <c r="AY7" s="250"/>
      <c r="AZ7" s="250"/>
      <c r="BA7" s="250"/>
      <c r="BB7" s="251">
        <f>SUM(AU7:BA7)-AT7</f>
        <v>0</v>
      </c>
      <c r="BC7" s="169"/>
      <c r="BD7" s="169"/>
      <c r="BE7" s="169"/>
      <c r="BF7" s="169"/>
    </row>
    <row r="8" spans="1:58" ht="126" outlineLevel="2" x14ac:dyDescent="0.25">
      <c r="A8" s="115"/>
      <c r="B8" s="200"/>
      <c r="C8" s="201"/>
      <c r="D8" s="135"/>
      <c r="E8" s="219"/>
      <c r="F8" s="219"/>
      <c r="G8" s="313"/>
      <c r="H8" s="199" t="s">
        <v>370</v>
      </c>
      <c r="I8" s="130" t="s">
        <v>4</v>
      </c>
      <c r="J8" s="126">
        <v>2</v>
      </c>
      <c r="K8" s="126">
        <v>5</v>
      </c>
      <c r="L8" s="125">
        <f>IF(I8&lt;&gt;0,((VLOOKUP(I8,'1. Standard_Cost'!$B$4:$D$11,2)+VLOOKUP(I8,'1. Standard_Cost'!$B$4:$D$11,3))*J8*K8),"0")</f>
        <v>807500</v>
      </c>
      <c r="M8" s="125">
        <f>L8*'1. Standard_Cost'!$F$4</f>
        <v>134852.5</v>
      </c>
      <c r="N8" s="126"/>
      <c r="O8" s="126"/>
      <c r="P8" s="126"/>
      <c r="Q8" s="126"/>
      <c r="R8" s="127">
        <f>'1. Standard_Cost'!$B$15*N8*P8</f>
        <v>0</v>
      </c>
      <c r="S8" s="127">
        <f>N8*O8*P8*'1. Standard_Cost'!$C$15</f>
        <v>0</v>
      </c>
      <c r="T8" s="127">
        <f>N8*P8*Q8*'1. Standard_Cost'!$D$15</f>
        <v>0</v>
      </c>
      <c r="U8" s="127">
        <f>N8*O8*'1. Standard_Cost'!$E$15</f>
        <v>0</v>
      </c>
      <c r="V8" s="126"/>
      <c r="W8" s="126"/>
      <c r="X8" s="126"/>
      <c r="Y8" s="127">
        <f>+V8*((X8*'1. Standard_Cost'!$B$19)+(W8*X8*'1. Standard_Cost'!$C$19))</f>
        <v>0</v>
      </c>
      <c r="Z8" s="126"/>
      <c r="AA8" s="126">
        <v>30</v>
      </c>
      <c r="AB8" s="127">
        <f>+Z8*'1. Standard_Cost'!$B$23+AA8*'1. Standard_Cost'!$C$23</f>
        <v>570000</v>
      </c>
      <c r="AC8" s="128">
        <f>4*15*300+15000+500*500</f>
        <v>283000</v>
      </c>
      <c r="AD8" s="129"/>
      <c r="AE8" s="127">
        <f>SUM(AD8,AC8,AB8,Y8,U8,T8,S8,R8)*'1. Standard_Cost'!$B$31</f>
        <v>170600</v>
      </c>
      <c r="AF8" s="127">
        <f>SUM(AE8,AD8,AC8,AB8,Y8,U8,T8,S8,R8)</f>
        <v>1023600</v>
      </c>
      <c r="AG8" s="126"/>
      <c r="AH8" s="126"/>
      <c r="AI8" s="126"/>
      <c r="AJ8" s="130"/>
      <c r="AK8" s="130"/>
      <c r="AL8" s="130"/>
      <c r="AM8" s="127">
        <f>AG8*'1. Standard_Cost'!$B$27+'Incremental_Cost Year 4'!AH8*'1. Standard_Cost'!$C$27+'Incremental_Cost Year 4'!AI8*'1. Standard_Cost'!$D$27+'Incremental_Cost Year 4'!AJ8+'Incremental_Cost Year 4'!AL8+AK8</f>
        <v>0</v>
      </c>
      <c r="AN8" s="127">
        <f>AM8*'1. Standard_Cost'!$C$31</f>
        <v>0</v>
      </c>
      <c r="AO8" s="130"/>
      <c r="AQ8" s="171">
        <f>L8+M8</f>
        <v>942352.5</v>
      </c>
      <c r="AR8" s="171">
        <f>AF8</f>
        <v>1023600</v>
      </c>
      <c r="AS8" s="171">
        <f>AM8+AN8</f>
        <v>0</v>
      </c>
      <c r="AT8" s="171">
        <f>SUM(AQ8,AR8,AS8)</f>
        <v>1965952.5</v>
      </c>
      <c r="AU8" s="250">
        <f>AQ8</f>
        <v>942352.5</v>
      </c>
      <c r="AV8" s="250"/>
      <c r="AW8" s="250"/>
      <c r="AX8" s="250"/>
      <c r="AY8" s="250"/>
      <c r="AZ8" s="250"/>
      <c r="BA8" s="250"/>
      <c r="BB8" s="251">
        <f t="shared" ref="BB8:BB14" si="4">SUM(AU8:BA8)-AT8</f>
        <v>-1023600</v>
      </c>
      <c r="BC8" s="169"/>
      <c r="BD8" s="169"/>
      <c r="BE8" s="169"/>
      <c r="BF8" s="169"/>
    </row>
    <row r="9" spans="1:58" ht="141.75" outlineLevel="2" x14ac:dyDescent="0.25">
      <c r="A9" s="115"/>
      <c r="B9" s="200"/>
      <c r="C9" s="201"/>
      <c r="D9" s="135"/>
      <c r="E9" s="219"/>
      <c r="F9" s="219"/>
      <c r="G9" s="313"/>
      <c r="H9" s="199" t="s">
        <v>371</v>
      </c>
      <c r="I9" s="130">
        <v>0</v>
      </c>
      <c r="J9" s="126">
        <v>0</v>
      </c>
      <c r="K9" s="126">
        <v>0</v>
      </c>
      <c r="L9" s="125" t="str">
        <f>IF(I9&lt;&gt;0,((VLOOKUP(I9,'1. Standard_Cost'!$B$4:$D$11,2)+VLOOKUP(I9,'1. Standard_Cost'!$B$4:$D$11,3))*J9*K9),"0")</f>
        <v>0</v>
      </c>
      <c r="M9" s="125">
        <f>L9*'1. Standard_Cost'!$F$4</f>
        <v>0</v>
      </c>
      <c r="N9" s="126"/>
      <c r="O9" s="126"/>
      <c r="P9" s="126"/>
      <c r="Q9" s="126"/>
      <c r="R9" s="127">
        <f>'1. Standard_Cost'!$B$15*N9*P9</f>
        <v>0</v>
      </c>
      <c r="S9" s="127">
        <f>N9*O9*P9*'1. Standard_Cost'!$C$15</f>
        <v>0</v>
      </c>
      <c r="T9" s="127">
        <f>N9*P9*Q9*'1. Standard_Cost'!$D$15</f>
        <v>0</v>
      </c>
      <c r="U9" s="127">
        <f>N9*O9*'1. Standard_Cost'!$E$15</f>
        <v>0</v>
      </c>
      <c r="V9" s="126"/>
      <c r="W9" s="126"/>
      <c r="X9" s="126"/>
      <c r="Y9" s="127">
        <f>+V9*((X9*'1. Standard_Cost'!$B$19)+(W9*X9*'1. Standard_Cost'!$C$19))</f>
        <v>0</v>
      </c>
      <c r="Z9" s="126"/>
      <c r="AA9" s="126">
        <v>0</v>
      </c>
      <c r="AB9" s="127">
        <f>+Z9*'1. Standard_Cost'!$B$23+AA9*'1. Standard_Cost'!$C$23</f>
        <v>0</v>
      </c>
      <c r="AC9" s="128">
        <v>0</v>
      </c>
      <c r="AD9" s="129"/>
      <c r="AE9" s="127">
        <f>SUM(AD9,AC9,AB9,Y9,U9,T9,S9,R9)*'1. Standard_Cost'!$B$31</f>
        <v>0</v>
      </c>
      <c r="AF9" s="127">
        <f>SUM(AE9,AD9,AC9,AB9,Y9,U9,T9,S9,R9)</f>
        <v>0</v>
      </c>
      <c r="AG9" s="126"/>
      <c r="AH9" s="126"/>
      <c r="AI9" s="126"/>
      <c r="AJ9" s="130"/>
      <c r="AK9" s="130"/>
      <c r="AL9" s="130"/>
      <c r="AM9" s="127">
        <f>AG9*'1. Standard_Cost'!$B$27+'Incremental_Cost Year 4'!AH9*'1. Standard_Cost'!$C$27+'Incremental_Cost Year 4'!AI9*'1. Standard_Cost'!$D$27+'Incremental_Cost Year 4'!AJ9+'Incremental_Cost Year 4'!AL9+AK9</f>
        <v>0</v>
      </c>
      <c r="AN9" s="127">
        <f>AM9*'1. Standard_Cost'!$C$31</f>
        <v>0</v>
      </c>
      <c r="AO9" s="130"/>
      <c r="AQ9" s="171">
        <f>L9+M9</f>
        <v>0</v>
      </c>
      <c r="AR9" s="171">
        <f>AF9</f>
        <v>0</v>
      </c>
      <c r="AS9" s="171">
        <f>AM9+AN9</f>
        <v>0</v>
      </c>
      <c r="AT9" s="171">
        <f>SUM(AQ9,AR9,AS9)</f>
        <v>0</v>
      </c>
      <c r="AU9" s="250">
        <f>AQ9</f>
        <v>0</v>
      </c>
      <c r="AV9" s="250"/>
      <c r="AW9" s="250"/>
      <c r="AX9" s="250"/>
      <c r="AY9" s="250"/>
      <c r="AZ9" s="250"/>
      <c r="BA9" s="250"/>
      <c r="BB9" s="251">
        <f t="shared" si="4"/>
        <v>0</v>
      </c>
      <c r="BC9" s="169"/>
      <c r="BD9" s="169"/>
      <c r="BE9" s="169"/>
      <c r="BF9" s="169"/>
    </row>
    <row r="10" spans="1:58" ht="141.75" outlineLevel="2" x14ac:dyDescent="0.25">
      <c r="A10" s="115"/>
      <c r="B10" s="200"/>
      <c r="C10" s="201"/>
      <c r="D10" s="223"/>
      <c r="E10" s="219"/>
      <c r="F10" s="122"/>
      <c r="G10" s="123"/>
      <c r="H10" s="199" t="s">
        <v>372</v>
      </c>
      <c r="I10" s="130" t="s">
        <v>4</v>
      </c>
      <c r="J10" s="126">
        <v>1</v>
      </c>
      <c r="K10" s="126">
        <v>20</v>
      </c>
      <c r="L10" s="125">
        <f>IF(I10&lt;&gt;0,((VLOOKUP(I10,'1. Standard_Cost'!$B$4:$D$11,2)+VLOOKUP(I10,'1. Standard_Cost'!$B$4:$D$11,3))*J10*K10),"0")</f>
        <v>1615000</v>
      </c>
      <c r="M10" s="125">
        <f>L10*'1. Standard_Cost'!$F$4</f>
        <v>269705</v>
      </c>
      <c r="N10" s="126"/>
      <c r="O10" s="126"/>
      <c r="P10" s="126"/>
      <c r="Q10" s="126"/>
      <c r="R10" s="127">
        <f>'1. Standard_Cost'!$B$15*N10*P10</f>
        <v>0</v>
      </c>
      <c r="S10" s="127">
        <f>N10*O10*P10*'1. Standard_Cost'!$C$15</f>
        <v>0</v>
      </c>
      <c r="T10" s="127">
        <f>N10*P10*Q10*'1. Standard_Cost'!$D$15</f>
        <v>0</v>
      </c>
      <c r="U10" s="127">
        <f>N10*O10*'1. Standard_Cost'!$E$15</f>
        <v>0</v>
      </c>
      <c r="V10" s="126"/>
      <c r="W10" s="126"/>
      <c r="X10" s="126"/>
      <c r="Y10" s="127">
        <f>+V10*((X10*'1. Standard_Cost'!$B$19)+(W10*X10*'1. Standard_Cost'!$C$19))</f>
        <v>0</v>
      </c>
      <c r="Z10" s="126">
        <v>5</v>
      </c>
      <c r="AA10" s="126">
        <v>60</v>
      </c>
      <c r="AB10" s="127">
        <f>+Z10*'1. Standard_Cost'!$B$23+AA10*'1. Standard_Cost'!$C$23</f>
        <v>1510000</v>
      </c>
      <c r="AC10" s="128">
        <f>60*300+1000*500</f>
        <v>518000</v>
      </c>
      <c r="AD10" s="129"/>
      <c r="AE10" s="127">
        <f>SUM(AD10,AC10,AB10,Y10,U10,T10,S10,R10)*'1. Standard_Cost'!$B$31</f>
        <v>405600</v>
      </c>
      <c r="AF10" s="127">
        <f>SUM(AE10,AD10,AC10,AB10,Y10,U10,T10,S10,R10)</f>
        <v>2433600</v>
      </c>
      <c r="AG10" s="126"/>
      <c r="AH10" s="126"/>
      <c r="AI10" s="126"/>
      <c r="AJ10" s="130"/>
      <c r="AK10" s="130"/>
      <c r="AL10" s="130"/>
      <c r="AM10" s="127">
        <f>AG10*'1. Standard_Cost'!$B$27+'Incremental_Cost Year 4'!AH10*'1. Standard_Cost'!$C$27+'Incremental_Cost Year 4'!AI10*'1. Standard_Cost'!$D$27+'Incremental_Cost Year 4'!AJ10+'Incremental_Cost Year 4'!AL10+AK10</f>
        <v>0</v>
      </c>
      <c r="AN10" s="127">
        <f>AM10*'1. Standard_Cost'!$C$31</f>
        <v>0</v>
      </c>
      <c r="AO10" s="130"/>
      <c r="AQ10" s="171">
        <f>L10+M10</f>
        <v>1884705</v>
      </c>
      <c r="AR10" s="171">
        <f>AF10</f>
        <v>2433600</v>
      </c>
      <c r="AS10" s="171">
        <f>AM10+AN10</f>
        <v>0</v>
      </c>
      <c r="AT10" s="171">
        <f>SUM(AQ10,AR10,AS10)</f>
        <v>4318305</v>
      </c>
      <c r="AU10" s="250">
        <f>AQ10</f>
        <v>1884705</v>
      </c>
      <c r="AV10" s="250"/>
      <c r="AW10" s="250"/>
      <c r="AX10" s="250"/>
      <c r="AY10" s="250"/>
      <c r="AZ10" s="250"/>
      <c r="BA10" s="250"/>
      <c r="BB10" s="251">
        <f t="shared" si="4"/>
        <v>-2433600</v>
      </c>
      <c r="BC10" s="169"/>
      <c r="BD10" s="169"/>
      <c r="BE10" s="169"/>
      <c r="BF10" s="169"/>
    </row>
    <row r="11" spans="1:58" ht="78.75" outlineLevel="1" x14ac:dyDescent="0.25">
      <c r="A11" s="115"/>
      <c r="B11" s="142"/>
      <c r="C11" s="297"/>
      <c r="D11" s="116" t="s">
        <v>373</v>
      </c>
      <c r="E11" s="209" t="s">
        <v>374</v>
      </c>
      <c r="F11" s="117">
        <v>2022</v>
      </c>
      <c r="G11" s="117">
        <v>2024</v>
      </c>
      <c r="H11" s="298" t="s">
        <v>46</v>
      </c>
      <c r="I11" s="252"/>
      <c r="J11" s="252"/>
      <c r="K11" s="252"/>
      <c r="L11" s="127">
        <f>SUM(L7:L10)</f>
        <v>2422500</v>
      </c>
      <c r="M11" s="127">
        <f>SUM(M7:M10)</f>
        <v>404557.5</v>
      </c>
      <c r="N11" s="127"/>
      <c r="O11" s="252"/>
      <c r="P11" s="252"/>
      <c r="Q11" s="252"/>
      <c r="R11" s="127">
        <f>SUM(R7:R10)</f>
        <v>0</v>
      </c>
      <c r="S11" s="127">
        <f>SUM(S7:S10)</f>
        <v>0</v>
      </c>
      <c r="T11" s="127">
        <f>SUM(T7:T10)</f>
        <v>0</v>
      </c>
      <c r="U11" s="127">
        <f>SUM(U7:U10)</f>
        <v>0</v>
      </c>
      <c r="V11" s="252"/>
      <c r="W11" s="252"/>
      <c r="X11" s="252"/>
      <c r="Y11" s="127">
        <f>SUM(Y7:Y10)</f>
        <v>0</v>
      </c>
      <c r="Z11" s="252"/>
      <c r="AA11" s="252"/>
      <c r="AB11" s="127">
        <f>SUM(AB7:AB10)</f>
        <v>2080000</v>
      </c>
      <c r="AC11" s="127">
        <f>SUM(AC7:AC9)</f>
        <v>283000</v>
      </c>
      <c r="AD11" s="127">
        <f>SUM(AD7:AD9)</f>
        <v>0</v>
      </c>
      <c r="AE11" s="127">
        <f>SUM(AE7:AE9)</f>
        <v>170600</v>
      </c>
      <c r="AF11" s="127">
        <f>SUM(AF7:AF9)</f>
        <v>1023600</v>
      </c>
      <c r="AG11" s="252"/>
      <c r="AH11" s="252"/>
      <c r="AI11" s="252"/>
      <c r="AJ11" s="127">
        <f>SUM(AJ7:AJ9)</f>
        <v>0</v>
      </c>
      <c r="AK11" s="127">
        <f>SUM(AK7:AK9)</f>
        <v>0</v>
      </c>
      <c r="AL11" s="127">
        <f>SUM(AL7:AL9)</f>
        <v>0</v>
      </c>
      <c r="AM11" s="127">
        <f>SUM(AM7:AM9)</f>
        <v>0</v>
      </c>
      <c r="AN11" s="127">
        <f>SUM(AN7:AN9)</f>
        <v>0</v>
      </c>
      <c r="AO11" s="253"/>
      <c r="AP11" s="254"/>
      <c r="AQ11" s="175">
        <f>SUM(AQ7:AQ10)</f>
        <v>2827057.5</v>
      </c>
      <c r="AR11" s="175">
        <f t="shared" ref="AR11:BA11" si="5">SUM(AR7:AR10)</f>
        <v>3457200</v>
      </c>
      <c r="AS11" s="175">
        <f t="shared" si="5"/>
        <v>0</v>
      </c>
      <c r="AT11" s="175">
        <f t="shared" si="5"/>
        <v>6284257.5</v>
      </c>
      <c r="AU11" s="175">
        <f t="shared" si="5"/>
        <v>2827057.5</v>
      </c>
      <c r="AV11" s="175">
        <f t="shared" si="5"/>
        <v>0</v>
      </c>
      <c r="AW11" s="175">
        <f t="shared" si="5"/>
        <v>0</v>
      </c>
      <c r="AX11" s="175">
        <f t="shared" si="5"/>
        <v>0</v>
      </c>
      <c r="AY11" s="175">
        <f t="shared" si="5"/>
        <v>0</v>
      </c>
      <c r="AZ11" s="175">
        <f t="shared" si="5"/>
        <v>0</v>
      </c>
      <c r="BA11" s="175">
        <f t="shared" si="5"/>
        <v>0</v>
      </c>
      <c r="BB11" s="175">
        <f>SUM(BB7:BB10)</f>
        <v>-3457200</v>
      </c>
      <c r="BC11" s="169"/>
      <c r="BD11" s="169"/>
      <c r="BE11" s="169"/>
      <c r="BF11" s="169"/>
    </row>
    <row r="12" spans="1:58" ht="189" outlineLevel="2" x14ac:dyDescent="0.25">
      <c r="A12" s="115"/>
      <c r="B12" s="200"/>
      <c r="C12" s="201"/>
      <c r="D12" s="138"/>
      <c r="E12" s="295"/>
      <c r="F12" s="295"/>
      <c r="G12" s="296"/>
      <c r="H12" s="299" t="s">
        <v>375</v>
      </c>
      <c r="I12" s="130" t="s">
        <v>4</v>
      </c>
      <c r="J12" s="126">
        <v>1</v>
      </c>
      <c r="K12" s="126">
        <v>20</v>
      </c>
      <c r="L12" s="125">
        <f>IF(I12&lt;&gt;0,((VLOOKUP(I12,'1. Standard_Cost'!$B$4:$D$11,2)+VLOOKUP(I12,'1. Standard_Cost'!$B$4:$D$11,3))*J12*K12),"0")</f>
        <v>1615000</v>
      </c>
      <c r="M12" s="125">
        <f>L12*'1. Standard_Cost'!$F$4</f>
        <v>269705</v>
      </c>
      <c r="N12" s="126"/>
      <c r="O12" s="126"/>
      <c r="P12" s="126"/>
      <c r="Q12" s="126"/>
      <c r="R12" s="127">
        <f>'1. Standard_Cost'!$B$15*N12*P12</f>
        <v>0</v>
      </c>
      <c r="S12" s="127">
        <f>N12*O12*P12*'1. Standard_Cost'!$C$15</f>
        <v>0</v>
      </c>
      <c r="T12" s="127">
        <f>N12*P12*Q12*'1. Standard_Cost'!$D$15</f>
        <v>0</v>
      </c>
      <c r="U12" s="127">
        <f>N12*O12*'1. Standard_Cost'!$E$15</f>
        <v>0</v>
      </c>
      <c r="V12" s="126"/>
      <c r="W12" s="126"/>
      <c r="X12" s="126"/>
      <c r="Y12" s="127">
        <f>+V12*((X12*'1. Standard_Cost'!$B$19)+(W12*X12*'1. Standard_Cost'!$C$19))</f>
        <v>0</v>
      </c>
      <c r="Z12" s="126">
        <v>5</v>
      </c>
      <c r="AA12" s="126">
        <v>60</v>
      </c>
      <c r="AB12" s="127">
        <f>+Z12*'1. Standard_Cost'!$B$23+AA12*'1. Standard_Cost'!$C$23</f>
        <v>1510000</v>
      </c>
      <c r="AC12" s="128">
        <f>60*300</f>
        <v>18000</v>
      </c>
      <c r="AD12" s="129"/>
      <c r="AE12" s="127">
        <f>SUM(AD12,AC12,AB12,Y12,U12,T12,S12,R12)*'1. Standard_Cost'!$B$31</f>
        <v>305600</v>
      </c>
      <c r="AF12" s="127">
        <f>SUM(AE12,AD12,AC12,AB12,Y12,U12,T12,S12,R12)</f>
        <v>1833600</v>
      </c>
      <c r="AG12" s="126"/>
      <c r="AH12" s="126"/>
      <c r="AI12" s="126"/>
      <c r="AJ12" s="130"/>
      <c r="AK12" s="130"/>
      <c r="AL12" s="130"/>
      <c r="AM12" s="127">
        <f>AG12*'1. Standard_Cost'!$B$27+'Incremental_Cost Year 4'!AH12*'1. Standard_Cost'!$C$27+'Incremental_Cost Year 4'!AI12*'1. Standard_Cost'!$D$27+'Incremental_Cost Year 4'!AJ12+'Incremental_Cost Year 4'!AL12+AK12</f>
        <v>0</v>
      </c>
      <c r="AN12" s="127">
        <f>AM12*'1. Standard_Cost'!$C$31</f>
        <v>0</v>
      </c>
      <c r="AO12" s="130"/>
      <c r="AQ12" s="171">
        <f>L12+M12</f>
        <v>1884705</v>
      </c>
      <c r="AR12" s="171">
        <f>AF12</f>
        <v>1833600</v>
      </c>
      <c r="AS12" s="171">
        <f>AM12+AN12</f>
        <v>0</v>
      </c>
      <c r="AT12" s="171">
        <f>SUM(AQ12,AR12,AS12)</f>
        <v>3718305</v>
      </c>
      <c r="AU12" s="250">
        <f>AQ12</f>
        <v>1884705</v>
      </c>
      <c r="AV12" s="250"/>
      <c r="AW12" s="250"/>
      <c r="AX12" s="250"/>
      <c r="AY12" s="250"/>
      <c r="AZ12" s="250"/>
      <c r="BA12" s="250"/>
      <c r="BB12" s="251">
        <f t="shared" si="4"/>
        <v>-1833600</v>
      </c>
      <c r="BC12" s="169"/>
      <c r="BD12" s="169"/>
      <c r="BE12" s="169"/>
      <c r="BF12" s="169"/>
    </row>
    <row r="13" spans="1:58" ht="94.5" outlineLevel="2" x14ac:dyDescent="0.25">
      <c r="A13" s="115"/>
      <c r="B13" s="200"/>
      <c r="C13" s="201"/>
      <c r="D13" s="135"/>
      <c r="E13" s="219"/>
      <c r="F13" s="219"/>
      <c r="G13" s="313"/>
      <c r="H13" s="213" t="s">
        <v>376</v>
      </c>
      <c r="I13" s="130"/>
      <c r="J13" s="126"/>
      <c r="K13" s="126"/>
      <c r="L13" s="125" t="str">
        <f>IF(I13&lt;&gt;0,((VLOOKUP(I13,'1. Standard_Cost'!$B$4:$D$11,2)+VLOOKUP(I13,'1. Standard_Cost'!$B$4:$D$11,3))*J13*K13),"0")</f>
        <v>0</v>
      </c>
      <c r="M13" s="125">
        <f>L13*'1. Standard_Cost'!$F$4</f>
        <v>0</v>
      </c>
      <c r="N13" s="126"/>
      <c r="O13" s="126"/>
      <c r="P13" s="126"/>
      <c r="Q13" s="126"/>
      <c r="R13" s="127">
        <f>'1. Standard_Cost'!$B$15*N13*P13</f>
        <v>0</v>
      </c>
      <c r="S13" s="127">
        <f>N13*O13*P13*'1. Standard_Cost'!$C$15</f>
        <v>0</v>
      </c>
      <c r="T13" s="127">
        <f>N13*P13*Q13*'1. Standard_Cost'!$D$15</f>
        <v>0</v>
      </c>
      <c r="U13" s="127">
        <f>N13*O13*'1. Standard_Cost'!$E$15</f>
        <v>0</v>
      </c>
      <c r="V13" s="126"/>
      <c r="W13" s="126"/>
      <c r="X13" s="126"/>
      <c r="Y13" s="127">
        <f>+V13*((X13*'1. Standard_Cost'!$B$19)+(W13*X13*'1. Standard_Cost'!$C$19))</f>
        <v>0</v>
      </c>
      <c r="Z13" s="126">
        <v>0</v>
      </c>
      <c r="AA13" s="126">
        <v>0</v>
      </c>
      <c r="AB13" s="127">
        <f>+Z13*'1. Standard_Cost'!$B$23+AA13*'1. Standard_Cost'!$C$23</f>
        <v>0</v>
      </c>
      <c r="AC13" s="128">
        <v>0</v>
      </c>
      <c r="AD13" s="129"/>
      <c r="AE13" s="127">
        <f>SUM(AD13,AC13,AB13,Y13,U13,T13,S13,R13)*'1. Standard_Cost'!$B$31</f>
        <v>0</v>
      </c>
      <c r="AF13" s="127">
        <f>SUM(AE13,AD13,AC13,AB13,Y13,U13,T13,S13,R13)</f>
        <v>0</v>
      </c>
      <c r="AG13" s="126"/>
      <c r="AH13" s="126"/>
      <c r="AI13" s="126"/>
      <c r="AJ13" s="130"/>
      <c r="AK13" s="130"/>
      <c r="AL13" s="130"/>
      <c r="AM13" s="127">
        <f>AG13*'1. Standard_Cost'!$B$27+'Incremental_Cost Year 4'!AH13*'1. Standard_Cost'!$C$27+'Incremental_Cost Year 4'!AI13*'1. Standard_Cost'!$D$27+'Incremental_Cost Year 4'!AJ13+'Incremental_Cost Year 4'!AL13+AK13</f>
        <v>0</v>
      </c>
      <c r="AN13" s="127">
        <f>AM13*'1. Standard_Cost'!$C$31</f>
        <v>0</v>
      </c>
      <c r="AO13" s="130"/>
      <c r="AQ13" s="171">
        <f>L13+M13</f>
        <v>0</v>
      </c>
      <c r="AR13" s="171">
        <f>AF13</f>
        <v>0</v>
      </c>
      <c r="AS13" s="171">
        <f>AM13+AN13</f>
        <v>0</v>
      </c>
      <c r="AT13" s="171">
        <f>SUM(AQ13,AR13,AS13)</f>
        <v>0</v>
      </c>
      <c r="AU13" s="250">
        <f>AQ13</f>
        <v>0</v>
      </c>
      <c r="AV13" s="250"/>
      <c r="AW13" s="250"/>
      <c r="AX13" s="250"/>
      <c r="AY13" s="250"/>
      <c r="AZ13" s="250"/>
      <c r="BA13" s="250"/>
      <c r="BB13" s="251">
        <f t="shared" si="4"/>
        <v>0</v>
      </c>
      <c r="BC13" s="169"/>
      <c r="BD13" s="169"/>
      <c r="BE13" s="169"/>
      <c r="BF13" s="169"/>
    </row>
    <row r="14" spans="1:58" ht="141.75" outlineLevel="2" x14ac:dyDescent="0.25">
      <c r="A14" s="115"/>
      <c r="B14" s="200"/>
      <c r="C14" s="201"/>
      <c r="D14" s="223"/>
      <c r="E14" s="219"/>
      <c r="F14" s="219"/>
      <c r="G14" s="313"/>
      <c r="H14" s="213" t="s">
        <v>377</v>
      </c>
      <c r="I14" s="130" t="s">
        <v>3</v>
      </c>
      <c r="J14" s="126">
        <v>0.5</v>
      </c>
      <c r="K14" s="126">
        <v>3</v>
      </c>
      <c r="L14" s="125">
        <f>IF(I14&lt;&gt;0,((VLOOKUP(I14,'1. Standard_Cost'!$B$4:$D$11,2)+VLOOKUP(I14,'1. Standard_Cost'!$B$4:$D$11,3))*J14*K14),"0")</f>
        <v>151200</v>
      </c>
      <c r="M14" s="125">
        <f>L14*'1. Standard_Cost'!$F$4</f>
        <v>25250.400000000001</v>
      </c>
      <c r="N14" s="126">
        <v>5</v>
      </c>
      <c r="O14" s="126">
        <v>1</v>
      </c>
      <c r="P14" s="126">
        <v>15</v>
      </c>
      <c r="Q14" s="126"/>
      <c r="R14" s="127">
        <f>'1. Standard_Cost'!$B$15*N14*P14</f>
        <v>150000</v>
      </c>
      <c r="S14" s="127">
        <f>N14*O14*P14*'1. Standard_Cost'!$C$15</f>
        <v>112500</v>
      </c>
      <c r="T14" s="127">
        <f>N14*P14*Q14*'1. Standard_Cost'!$D$15</f>
        <v>0</v>
      </c>
      <c r="U14" s="127">
        <f>N14*O14*'1. Standard_Cost'!$E$15</f>
        <v>200000</v>
      </c>
      <c r="V14" s="126"/>
      <c r="W14" s="126"/>
      <c r="X14" s="126"/>
      <c r="Y14" s="127">
        <f>+V14*((X14*'1. Standard_Cost'!$B$19)+(W14*X14*'1. Standard_Cost'!$C$19))</f>
        <v>0</v>
      </c>
      <c r="Z14" s="126"/>
      <c r="AA14" s="126">
        <v>6</v>
      </c>
      <c r="AB14" s="127">
        <f>+Z14*'1. Standard_Cost'!$B$23+AA14*'1. Standard_Cost'!$C$23</f>
        <v>114000</v>
      </c>
      <c r="AC14" s="128">
        <f>75*3300</f>
        <v>247500</v>
      </c>
      <c r="AD14" s="129"/>
      <c r="AE14" s="127">
        <f>SUM(AD14,AC14,AB14,Y14,U14,T14,S14,R14)*'1. Standard_Cost'!$B$31</f>
        <v>164800</v>
      </c>
      <c r="AF14" s="127">
        <f>SUM(AE14,AD14,AC14,AB14,Y14,U14,T14,S14,R14)</f>
        <v>988800</v>
      </c>
      <c r="AG14" s="126"/>
      <c r="AH14" s="126"/>
      <c r="AI14" s="126"/>
      <c r="AJ14" s="130"/>
      <c r="AK14" s="130"/>
      <c r="AL14" s="130"/>
      <c r="AM14" s="127">
        <f>AG14*'1. Standard_Cost'!$B$27+'Incremental_Cost Year 4'!AH14*'1. Standard_Cost'!$C$27+'Incremental_Cost Year 4'!AI14*'1. Standard_Cost'!$D$27+'Incremental_Cost Year 4'!AJ14+'Incremental_Cost Year 4'!AL14+AK14</f>
        <v>0</v>
      </c>
      <c r="AN14" s="127">
        <f>AM14*'1. Standard_Cost'!$C$31</f>
        <v>0</v>
      </c>
      <c r="AO14" s="130"/>
      <c r="AQ14" s="171">
        <f>L14+M14</f>
        <v>176450.4</v>
      </c>
      <c r="AR14" s="171">
        <f>AF14</f>
        <v>988800</v>
      </c>
      <c r="AS14" s="171">
        <f>AM14+AN14</f>
        <v>0</v>
      </c>
      <c r="AT14" s="171">
        <f>SUM(AQ14,AR14,AS14)</f>
        <v>1165250.3999999999</v>
      </c>
      <c r="AU14" s="250">
        <f>AQ14</f>
        <v>176450.4</v>
      </c>
      <c r="AV14" s="250"/>
      <c r="AW14" s="250"/>
      <c r="AX14" s="250"/>
      <c r="AY14" s="250"/>
      <c r="AZ14" s="250"/>
      <c r="BA14" s="250"/>
      <c r="BB14" s="251">
        <f t="shared" si="4"/>
        <v>-988799.99999999988</v>
      </c>
      <c r="BC14" s="169"/>
      <c r="BD14" s="169"/>
      <c r="BE14" s="169"/>
      <c r="BF14" s="169"/>
    </row>
    <row r="15" spans="1:58" ht="63" outlineLevel="1" x14ac:dyDescent="0.25">
      <c r="A15" s="115"/>
      <c r="B15" s="165"/>
      <c r="C15" s="166"/>
      <c r="D15" s="110" t="s">
        <v>378</v>
      </c>
      <c r="E15" s="116" t="s">
        <v>379</v>
      </c>
      <c r="F15" s="209">
        <v>2021</v>
      </c>
      <c r="G15" s="117">
        <v>2030</v>
      </c>
      <c r="H15" s="110" t="s">
        <v>47</v>
      </c>
      <c r="I15" s="252"/>
      <c r="J15" s="252"/>
      <c r="K15" s="252"/>
      <c r="L15" s="127">
        <f>SUM(L12:L14)</f>
        <v>1766200</v>
      </c>
      <c r="M15" s="127">
        <f>SUM(M12:M14)</f>
        <v>294955.40000000002</v>
      </c>
      <c r="N15" s="252"/>
      <c r="O15" s="252"/>
      <c r="P15" s="252"/>
      <c r="Q15" s="252"/>
      <c r="R15" s="127">
        <f>SUM(R12:R14)</f>
        <v>150000</v>
      </c>
      <c r="S15" s="127">
        <f>SUM(S12:S14)</f>
        <v>112500</v>
      </c>
      <c r="T15" s="127">
        <f>SUM(T12:T14)</f>
        <v>0</v>
      </c>
      <c r="U15" s="127">
        <f>SUM(U12:U14)</f>
        <v>200000</v>
      </c>
      <c r="V15" s="252"/>
      <c r="W15" s="252"/>
      <c r="X15" s="252"/>
      <c r="Y15" s="127">
        <f>SUM(Y12:Y14)</f>
        <v>0</v>
      </c>
      <c r="Z15" s="252"/>
      <c r="AA15" s="252"/>
      <c r="AB15" s="127">
        <f>SUM(AB12:AB14)</f>
        <v>1624000</v>
      </c>
      <c r="AC15" s="127">
        <f>SUM(AC12:AC14)</f>
        <v>265500</v>
      </c>
      <c r="AD15" s="127">
        <f>SUM(AD12:AD14)</f>
        <v>0</v>
      </c>
      <c r="AE15" s="127">
        <f>SUM(AE12:AE14)</f>
        <v>470400</v>
      </c>
      <c r="AF15" s="127">
        <f>SUM(AF12:AF14)</f>
        <v>2822400</v>
      </c>
      <c r="AG15" s="252"/>
      <c r="AH15" s="252"/>
      <c r="AI15" s="252"/>
      <c r="AJ15" s="127">
        <f>SUM(AJ12:AJ12)</f>
        <v>0</v>
      </c>
      <c r="AK15" s="127">
        <f>SUM(AK12:AK14)</f>
        <v>0</v>
      </c>
      <c r="AL15" s="127">
        <f>SUM(AL12:AL14)</f>
        <v>0</v>
      </c>
      <c r="AM15" s="127">
        <f>SUM(AM12:AM14)</f>
        <v>0</v>
      </c>
      <c r="AN15" s="127">
        <f>SUM(AN12:AN14)</f>
        <v>0</v>
      </c>
      <c r="AO15" s="253"/>
      <c r="AP15" s="254"/>
      <c r="AQ15" s="175">
        <f>SUM(AQ12:AQ14)</f>
        <v>2061155.4</v>
      </c>
      <c r="AR15" s="175">
        <f>SUM(AR12:AR14)</f>
        <v>2822400</v>
      </c>
      <c r="AS15" s="175">
        <f>SUM(AS12:AS14)</f>
        <v>0</v>
      </c>
      <c r="AT15" s="175">
        <f>SUM(AT12:AT14)</f>
        <v>4883555.4000000004</v>
      </c>
      <c r="AU15" s="175">
        <f t="shared" ref="AU15:BB15" si="6">SUM(AU12:AU14)</f>
        <v>2061155.4</v>
      </c>
      <c r="AV15" s="175">
        <f t="shared" si="6"/>
        <v>0</v>
      </c>
      <c r="AW15" s="175">
        <f>SUM(AW12:AW14)</f>
        <v>0</v>
      </c>
      <c r="AX15" s="175">
        <f t="shared" si="6"/>
        <v>0</v>
      </c>
      <c r="AY15" s="175">
        <f t="shared" si="6"/>
        <v>0</v>
      </c>
      <c r="AZ15" s="175">
        <f t="shared" si="6"/>
        <v>0</v>
      </c>
      <c r="BA15" s="175">
        <f t="shared" si="6"/>
        <v>0</v>
      </c>
      <c r="BB15" s="175">
        <f t="shared" si="6"/>
        <v>-2822400</v>
      </c>
      <c r="BC15" s="169"/>
      <c r="BD15" s="169"/>
      <c r="BE15" s="169"/>
      <c r="BF15" s="169"/>
    </row>
    <row r="16" spans="1:58" s="170" customFormat="1" ht="15.75" customHeight="1" x14ac:dyDescent="0.25">
      <c r="A16" s="120"/>
      <c r="B16" s="290"/>
      <c r="C16" s="391" t="s">
        <v>192</v>
      </c>
      <c r="D16" s="391"/>
      <c r="E16" s="392"/>
      <c r="F16" s="288"/>
      <c r="G16" s="288"/>
      <c r="H16" s="114" t="s">
        <v>209</v>
      </c>
      <c r="I16" s="246"/>
      <c r="J16" s="246"/>
      <c r="K16" s="246"/>
      <c r="L16" s="247">
        <f>SUM(L19)</f>
        <v>3230000</v>
      </c>
      <c r="M16" s="247">
        <f>SUM(M19)</f>
        <v>539410</v>
      </c>
      <c r="N16" s="247"/>
      <c r="O16" s="247"/>
      <c r="P16" s="247"/>
      <c r="Q16" s="247"/>
      <c r="R16" s="247">
        <f>SUM(R19)</f>
        <v>0</v>
      </c>
      <c r="S16" s="247">
        <f>SUM(S19)</f>
        <v>0</v>
      </c>
      <c r="T16" s="247">
        <f>SUM(T19)</f>
        <v>0</v>
      </c>
      <c r="U16" s="247">
        <f>SUM(U19)</f>
        <v>0</v>
      </c>
      <c r="V16" s="247"/>
      <c r="W16" s="247"/>
      <c r="X16" s="247"/>
      <c r="Y16" s="247">
        <f>SUM(Y19)</f>
        <v>0</v>
      </c>
      <c r="Z16" s="247">
        <f t="shared" ref="Z16:AA16" si="7">SUM(Z19)</f>
        <v>0</v>
      </c>
      <c r="AA16" s="247">
        <f t="shared" si="7"/>
        <v>0</v>
      </c>
      <c r="AB16" s="247">
        <f t="shared" ref="AB16:AF16" si="8">SUM(AB19)</f>
        <v>1510000</v>
      </c>
      <c r="AC16" s="247">
        <f t="shared" si="8"/>
        <v>18000</v>
      </c>
      <c r="AD16" s="247">
        <f t="shared" si="8"/>
        <v>0</v>
      </c>
      <c r="AE16" s="247">
        <f t="shared" si="8"/>
        <v>305600</v>
      </c>
      <c r="AF16" s="247">
        <f t="shared" si="8"/>
        <v>1833600</v>
      </c>
      <c r="AG16" s="247"/>
      <c r="AH16" s="247"/>
      <c r="AI16" s="247"/>
      <c r="AJ16" s="247">
        <f>SUM(AJ19)</f>
        <v>0</v>
      </c>
      <c r="AK16" s="247">
        <f>SUM(AK19)</f>
        <v>0</v>
      </c>
      <c r="AL16" s="247">
        <f>SUM(AL19)</f>
        <v>0</v>
      </c>
      <c r="AM16" s="247">
        <f>SUM(AM19)</f>
        <v>0</v>
      </c>
      <c r="AN16" s="247">
        <f>SUM(AN19)</f>
        <v>0</v>
      </c>
      <c r="AO16" s="247"/>
      <c r="AP16" s="244"/>
      <c r="AQ16" s="248">
        <f>SUM(AQ19)</f>
        <v>3769410</v>
      </c>
      <c r="AR16" s="248">
        <f>SUM(AR19)</f>
        <v>1833600</v>
      </c>
      <c r="AS16" s="248">
        <f>SUM(AS19)</f>
        <v>0</v>
      </c>
      <c r="AT16" s="248">
        <f>SUM(AT19)</f>
        <v>5603010</v>
      </c>
      <c r="AU16" s="248">
        <f t="shared" ref="AU16:BB16" si="9">SUM(AU19)</f>
        <v>0</v>
      </c>
      <c r="AV16" s="248">
        <f t="shared" si="9"/>
        <v>0</v>
      </c>
      <c r="AW16" s="248">
        <f>SUM(AW19)</f>
        <v>0</v>
      </c>
      <c r="AX16" s="248">
        <f t="shared" si="9"/>
        <v>0</v>
      </c>
      <c r="AY16" s="248">
        <f t="shared" si="9"/>
        <v>0</v>
      </c>
      <c r="AZ16" s="248">
        <f t="shared" si="9"/>
        <v>0</v>
      </c>
      <c r="BA16" s="248">
        <f t="shared" si="9"/>
        <v>0</v>
      </c>
      <c r="BB16" s="248">
        <f t="shared" si="9"/>
        <v>-5603010</v>
      </c>
    </row>
    <row r="17" spans="1:58" ht="110.25" outlineLevel="2" x14ac:dyDescent="0.25">
      <c r="A17" s="115"/>
      <c r="B17" s="200"/>
      <c r="C17" s="201"/>
      <c r="D17" s="220"/>
      <c r="E17" s="294"/>
      <c r="F17" s="295"/>
      <c r="G17" s="296"/>
      <c r="H17" s="199" t="s">
        <v>380</v>
      </c>
      <c r="I17" s="130" t="s">
        <v>4</v>
      </c>
      <c r="J17" s="126">
        <v>2</v>
      </c>
      <c r="K17" s="126">
        <v>20</v>
      </c>
      <c r="L17" s="125">
        <f>IF(I17&lt;&gt;0,((VLOOKUP(I17,'1. Standard_Cost'!$B$4:$D$11,2)+VLOOKUP(I17,'1. Standard_Cost'!$B$4:$D$11,3))*J17*K17),"0")</f>
        <v>3230000</v>
      </c>
      <c r="M17" s="125">
        <f>L17*'1. Standard_Cost'!$F$4</f>
        <v>539410</v>
      </c>
      <c r="N17" s="126"/>
      <c r="O17" s="126"/>
      <c r="P17" s="126"/>
      <c r="Q17" s="126"/>
      <c r="R17" s="127">
        <f>'1. Standard_Cost'!$B$15*N17*P17</f>
        <v>0</v>
      </c>
      <c r="S17" s="127">
        <f>N17*O17*P17*'1. Standard_Cost'!$C$15</f>
        <v>0</v>
      </c>
      <c r="T17" s="127">
        <f>N17*P17*Q17*'1. Standard_Cost'!$D$15</f>
        <v>0</v>
      </c>
      <c r="U17" s="127">
        <f>N17*O17*'1. Standard_Cost'!$E$15</f>
        <v>0</v>
      </c>
      <c r="V17" s="126"/>
      <c r="W17" s="126"/>
      <c r="X17" s="126"/>
      <c r="Y17" s="127">
        <f>+V17*((X17*'1. Standard_Cost'!$B$19)+(W17*X17*'1. Standard_Cost'!$C$19))</f>
        <v>0</v>
      </c>
      <c r="Z17" s="126">
        <v>5</v>
      </c>
      <c r="AA17" s="126">
        <v>60</v>
      </c>
      <c r="AB17" s="127">
        <f>+Z17*'1. Standard_Cost'!$B$23+AA17*'1. Standard_Cost'!$C$23</f>
        <v>1510000</v>
      </c>
      <c r="AC17" s="128">
        <f>10*6*300</f>
        <v>18000</v>
      </c>
      <c r="AD17" s="129"/>
      <c r="AE17" s="127">
        <f>SUM(AD17,AC17,AB17,Y17,U17,T17,S17,R17)*'1. Standard_Cost'!$B$31</f>
        <v>305600</v>
      </c>
      <c r="AF17" s="127">
        <f>SUM(AE17,AD17,AC17,AB17,Y17,U17,T17,S17,R17)</f>
        <v>1833600</v>
      </c>
      <c r="AG17" s="126"/>
      <c r="AH17" s="126"/>
      <c r="AI17" s="126"/>
      <c r="AJ17" s="130"/>
      <c r="AK17" s="130"/>
      <c r="AL17" s="130"/>
      <c r="AM17" s="127">
        <f>AG17*'1. Standard_Cost'!$B$27+'Incremental_Cost Year 4'!AH17*'1. Standard_Cost'!$C$27+'Incremental_Cost Year 4'!AI17*'1. Standard_Cost'!$D$27+'Incremental_Cost Year 4'!AJ17+'Incremental_Cost Year 4'!AL17+AK17</f>
        <v>0</v>
      </c>
      <c r="AN17" s="127">
        <f>AM17*'1. Standard_Cost'!$C$31</f>
        <v>0</v>
      </c>
      <c r="AO17" s="249"/>
      <c r="AQ17" s="171">
        <f>L17+M17</f>
        <v>3769410</v>
      </c>
      <c r="AR17" s="171">
        <f>AF17</f>
        <v>1833600</v>
      </c>
      <c r="AS17" s="171">
        <f>AM17+AN17</f>
        <v>0</v>
      </c>
      <c r="AT17" s="171">
        <f>SUM(AQ17,AR17,AS17)</f>
        <v>5603010</v>
      </c>
      <c r="AU17" s="250"/>
      <c r="AV17" s="250"/>
      <c r="AW17" s="250"/>
      <c r="AX17" s="250"/>
      <c r="AY17" s="250"/>
      <c r="AZ17" s="250"/>
      <c r="BA17" s="250"/>
      <c r="BB17" s="251">
        <f t="shared" ref="BB17:BB18" si="10">SUM(AU17:BA17)-AT17</f>
        <v>-5603010</v>
      </c>
      <c r="BC17" s="169"/>
      <c r="BD17" s="169"/>
      <c r="BE17" s="169"/>
      <c r="BF17" s="169"/>
    </row>
    <row r="18" spans="1:58" ht="109.15" customHeight="1" outlineLevel="2" x14ac:dyDescent="0.25">
      <c r="A18" s="115"/>
      <c r="B18" s="200"/>
      <c r="C18" s="201"/>
      <c r="D18" s="221"/>
      <c r="E18" s="121"/>
      <c r="F18" s="122"/>
      <c r="G18" s="123"/>
      <c r="H18" s="199" t="s">
        <v>381</v>
      </c>
      <c r="I18" s="130"/>
      <c r="J18" s="126"/>
      <c r="K18" s="126"/>
      <c r="L18" s="125" t="str">
        <f>IF(I18&lt;&gt;0,((VLOOKUP(I18,'1. Standard_Cost'!$B$4:$D$11,2)+VLOOKUP(I18,'1. Standard_Cost'!$B$4:$D$11,3))*J18*K18),"0")</f>
        <v>0</v>
      </c>
      <c r="M18" s="125">
        <f>L18*'1. Standard_Cost'!$F$4</f>
        <v>0</v>
      </c>
      <c r="N18" s="126"/>
      <c r="O18" s="126"/>
      <c r="P18" s="126"/>
      <c r="Q18" s="126"/>
      <c r="R18" s="127">
        <f>'1. Standard_Cost'!$B$15*N18*P18</f>
        <v>0</v>
      </c>
      <c r="S18" s="127">
        <f>N18*O18*P18*'1. Standard_Cost'!$C$15</f>
        <v>0</v>
      </c>
      <c r="T18" s="127">
        <f>N18*P18*Q18*'1. Standard_Cost'!$D$15</f>
        <v>0</v>
      </c>
      <c r="U18" s="127">
        <f>N18*O18*'1. Standard_Cost'!$E$15</f>
        <v>0</v>
      </c>
      <c r="V18" s="126"/>
      <c r="W18" s="126"/>
      <c r="X18" s="126"/>
      <c r="Y18" s="127">
        <f>+V18*((X18*'1. Standard_Cost'!$B$19)+(W18*X18*'1. Standard_Cost'!$C$19))</f>
        <v>0</v>
      </c>
      <c r="Z18" s="126"/>
      <c r="AA18" s="126"/>
      <c r="AB18" s="127">
        <f>+Z18*'1. Standard_Cost'!$B$23+AA18*'1. Standard_Cost'!$C$23</f>
        <v>0</v>
      </c>
      <c r="AC18" s="128"/>
      <c r="AD18" s="129"/>
      <c r="AE18" s="127">
        <f>SUM(AD18,AC18,AB18,Y18,U18,T18,S18,R18)*'1. Standard_Cost'!$B$31</f>
        <v>0</v>
      </c>
      <c r="AF18" s="127">
        <f>SUM(AE18,AD18,AC18,AB18,Y18,U18,T18,S18,R18)</f>
        <v>0</v>
      </c>
      <c r="AG18" s="126"/>
      <c r="AH18" s="126"/>
      <c r="AI18" s="126"/>
      <c r="AJ18" s="130"/>
      <c r="AK18" s="130"/>
      <c r="AL18" s="130"/>
      <c r="AM18" s="127">
        <f>AG18*'1. Standard_Cost'!$B$27+'Incremental_Cost Year 4'!AH18*'1. Standard_Cost'!$C$27+'Incremental_Cost Year 4'!AI18*'1. Standard_Cost'!$D$27+'Incremental_Cost Year 4'!AJ18+'Incremental_Cost Year 4'!AL18+AK18</f>
        <v>0</v>
      </c>
      <c r="AN18" s="127">
        <f>AM18*'1. Standard_Cost'!$C$31</f>
        <v>0</v>
      </c>
      <c r="AO18" s="130"/>
      <c r="AQ18" s="171">
        <f>L18+M18</f>
        <v>0</v>
      </c>
      <c r="AR18" s="171">
        <f>AF18</f>
        <v>0</v>
      </c>
      <c r="AS18" s="171">
        <f>AM18+AN18</f>
        <v>0</v>
      </c>
      <c r="AT18" s="171">
        <f>SUM(AQ18,AR18,AS18)</f>
        <v>0</v>
      </c>
      <c r="AU18" s="250"/>
      <c r="AV18" s="250"/>
      <c r="AW18" s="250"/>
      <c r="AX18" s="250"/>
      <c r="AY18" s="250"/>
      <c r="AZ18" s="250"/>
      <c r="BA18" s="250"/>
      <c r="BB18" s="251">
        <f t="shared" si="10"/>
        <v>0</v>
      </c>
      <c r="BC18" s="169"/>
      <c r="BD18" s="169"/>
      <c r="BE18" s="169"/>
      <c r="BF18" s="169"/>
    </row>
    <row r="19" spans="1:58" ht="63" outlineLevel="1" x14ac:dyDescent="0.25">
      <c r="A19" s="115"/>
      <c r="B19" s="200"/>
      <c r="C19" s="201"/>
      <c r="D19" s="107" t="s">
        <v>240</v>
      </c>
      <c r="E19" s="139" t="s">
        <v>193</v>
      </c>
      <c r="F19" s="136">
        <v>2024</v>
      </c>
      <c r="G19" s="117">
        <v>2027</v>
      </c>
      <c r="H19" s="134" t="s">
        <v>194</v>
      </c>
      <c r="I19" s="252"/>
      <c r="J19" s="252"/>
      <c r="K19" s="252"/>
      <c r="L19" s="127">
        <f>SUM(L17:L18)</f>
        <v>3230000</v>
      </c>
      <c r="M19" s="127">
        <f>SUM(M17:M18)</f>
        <v>539410</v>
      </c>
      <c r="N19" s="127"/>
      <c r="O19" s="252"/>
      <c r="P19" s="252"/>
      <c r="Q19" s="252"/>
      <c r="R19" s="127">
        <f>SUM(R17:R18)</f>
        <v>0</v>
      </c>
      <c r="S19" s="127">
        <f>SUM(S17:S18)</f>
        <v>0</v>
      </c>
      <c r="T19" s="127">
        <f>SUM(T17:T18)</f>
        <v>0</v>
      </c>
      <c r="U19" s="127">
        <f>SUM(U17:U18)</f>
        <v>0</v>
      </c>
      <c r="V19" s="252"/>
      <c r="W19" s="252"/>
      <c r="X19" s="252"/>
      <c r="Y19" s="127">
        <f>SUM(Y17:Y18)</f>
        <v>0</v>
      </c>
      <c r="Z19" s="252"/>
      <c r="AA19" s="252"/>
      <c r="AB19" s="127">
        <f>SUM(AB17:AB18)</f>
        <v>1510000</v>
      </c>
      <c r="AC19" s="127">
        <f>SUM(AC17:AC18)</f>
        <v>18000</v>
      </c>
      <c r="AD19" s="127">
        <f>SUM(AD17:AD18)</f>
        <v>0</v>
      </c>
      <c r="AE19" s="127">
        <f>SUM(AE17:AE18)</f>
        <v>305600</v>
      </c>
      <c r="AF19" s="127">
        <f>SUM(AF17:AF18)</f>
        <v>1833600</v>
      </c>
      <c r="AG19" s="252"/>
      <c r="AH19" s="252"/>
      <c r="AI19" s="252"/>
      <c r="AJ19" s="127">
        <f>SUM(AJ17:AJ18)</f>
        <v>0</v>
      </c>
      <c r="AK19" s="127">
        <f>SUM(AK17:AK18)</f>
        <v>0</v>
      </c>
      <c r="AL19" s="127">
        <f>SUM(AL17:AL18)</f>
        <v>0</v>
      </c>
      <c r="AM19" s="127">
        <f>SUM(AM17:AM18)</f>
        <v>0</v>
      </c>
      <c r="AN19" s="127">
        <f>SUM(AN17:AN18)</f>
        <v>0</v>
      </c>
      <c r="AO19" s="253"/>
      <c r="AP19" s="254"/>
      <c r="AQ19" s="175">
        <f>SUM(AQ17:AQ18)</f>
        <v>3769410</v>
      </c>
      <c r="AR19" s="175">
        <f>SUM(AR17:AR18)</f>
        <v>1833600</v>
      </c>
      <c r="AS19" s="175">
        <f>SUM(AS17:AS18)</f>
        <v>0</v>
      </c>
      <c r="AT19" s="175">
        <f>SUM(AT17:AT18)</f>
        <v>5603010</v>
      </c>
      <c r="AU19" s="175">
        <f t="shared" ref="AU19:BB19" si="11">SUM(AU17:AU18)</f>
        <v>0</v>
      </c>
      <c r="AV19" s="175">
        <f t="shared" si="11"/>
        <v>0</v>
      </c>
      <c r="AW19" s="175">
        <f>SUM(AW17:AW18)</f>
        <v>0</v>
      </c>
      <c r="AX19" s="175">
        <f t="shared" si="11"/>
        <v>0</v>
      </c>
      <c r="AY19" s="175">
        <f t="shared" si="11"/>
        <v>0</v>
      </c>
      <c r="AZ19" s="175">
        <f t="shared" si="11"/>
        <v>0</v>
      </c>
      <c r="BA19" s="175">
        <f t="shared" si="11"/>
        <v>0</v>
      </c>
      <c r="BB19" s="175">
        <f t="shared" si="11"/>
        <v>-5603010</v>
      </c>
      <c r="BC19" s="169"/>
      <c r="BD19" s="169"/>
      <c r="BE19" s="169"/>
      <c r="BF19" s="169"/>
    </row>
    <row r="20" spans="1:58" s="170" customFormat="1" ht="15.75" customHeight="1" x14ac:dyDescent="0.25">
      <c r="A20" s="120"/>
      <c r="B20" s="290"/>
      <c r="C20" s="391" t="s">
        <v>195</v>
      </c>
      <c r="D20" s="391"/>
      <c r="E20" s="392"/>
      <c r="F20" s="288"/>
      <c r="G20" s="288"/>
      <c r="H20" s="114" t="s">
        <v>208</v>
      </c>
      <c r="I20" s="246"/>
      <c r="J20" s="246"/>
      <c r="K20" s="246"/>
      <c r="L20" s="247">
        <f>SUM(L25+L29+L37+L39)</f>
        <v>279312600</v>
      </c>
      <c r="M20" s="247">
        <f>SUM(M25+M29+M37+M39)</f>
        <v>46645204.200000003</v>
      </c>
      <c r="N20" s="247"/>
      <c r="O20" s="247"/>
      <c r="P20" s="247"/>
      <c r="Q20" s="247"/>
      <c r="R20" s="247">
        <f>SUM(R25+R29+R37+R39)</f>
        <v>0</v>
      </c>
      <c r="S20" s="247">
        <f>SUM(S25+S29+S37+S39)</f>
        <v>0</v>
      </c>
      <c r="T20" s="247">
        <f>SUM(T25+T29+T37+T39)</f>
        <v>0</v>
      </c>
      <c r="U20" s="247">
        <f>SUM(U25+U29+U37+U39)</f>
        <v>0</v>
      </c>
      <c r="V20" s="247"/>
      <c r="W20" s="247"/>
      <c r="X20" s="247"/>
      <c r="Y20" s="247">
        <f>SUM(Y25+Y29+Y37+Y39)</f>
        <v>0</v>
      </c>
      <c r="Z20" s="247">
        <f t="shared" ref="Z20:AA20" si="12">SUM(Z25+Z29+Z37+Z39)</f>
        <v>0</v>
      </c>
      <c r="AA20" s="247">
        <f t="shared" si="12"/>
        <v>0</v>
      </c>
      <c r="AB20" s="247">
        <f t="shared" ref="AB20:AF20" si="13">SUM(AB25+AB29+AB37+AB39)</f>
        <v>0</v>
      </c>
      <c r="AC20" s="247">
        <f t="shared" si="13"/>
        <v>884973402</v>
      </c>
      <c r="AD20" s="247">
        <f t="shared" si="13"/>
        <v>0</v>
      </c>
      <c r="AE20" s="247">
        <f t="shared" si="13"/>
        <v>570000</v>
      </c>
      <c r="AF20" s="247">
        <f t="shared" si="13"/>
        <v>885543402</v>
      </c>
      <c r="AG20" s="247"/>
      <c r="AH20" s="247"/>
      <c r="AI20" s="247"/>
      <c r="AJ20" s="247">
        <f>SUM(AJ25+AJ29+AJ37+AJ39)</f>
        <v>0</v>
      </c>
      <c r="AK20" s="247">
        <f>SUM(AK25+AK29+AK37+AK39)</f>
        <v>0</v>
      </c>
      <c r="AL20" s="247">
        <f>SUM(AL25+AL29+AL37+AL39)</f>
        <v>0</v>
      </c>
      <c r="AM20" s="247">
        <f>SUM(AM25+AM29+AM37+AM39)</f>
        <v>0</v>
      </c>
      <c r="AN20" s="247">
        <f>SUM(AN25+AN29+AN37+AN39)</f>
        <v>0</v>
      </c>
      <c r="AO20" s="247"/>
      <c r="AP20" s="244"/>
      <c r="AQ20" s="248">
        <f>SUM(AQ25+AQ29+AQ37+AQ39)</f>
        <v>325957804.19999999</v>
      </c>
      <c r="AR20" s="248">
        <f>SUM(AR25+AR29+AR37+AR39)</f>
        <v>885543402</v>
      </c>
      <c r="AS20" s="248">
        <f>SUM(AS25+AS29+AS37+AS39)</f>
        <v>0</v>
      </c>
      <c r="AT20" s="248">
        <f>SUM(AT25+AT29+AT37+AT39)</f>
        <v>1211501206.1999998</v>
      </c>
      <c r="AU20" s="248">
        <f t="shared" ref="AU20:BB20" si="14">SUM(AU25+AU29+AU37+AU39)</f>
        <v>1211501206.1999998</v>
      </c>
      <c r="AV20" s="248">
        <f t="shared" si="14"/>
        <v>0</v>
      </c>
      <c r="AW20" s="248">
        <f>SUM(AW25+AW29+AW37+AW39)</f>
        <v>0</v>
      </c>
      <c r="AX20" s="248">
        <f t="shared" si="14"/>
        <v>0</v>
      </c>
      <c r="AY20" s="248">
        <f t="shared" si="14"/>
        <v>0</v>
      </c>
      <c r="AZ20" s="248">
        <f t="shared" si="14"/>
        <v>0</v>
      </c>
      <c r="BA20" s="248">
        <f t="shared" si="14"/>
        <v>0</v>
      </c>
      <c r="BB20" s="248">
        <f t="shared" si="14"/>
        <v>0</v>
      </c>
    </row>
    <row r="21" spans="1:58" ht="189" outlineLevel="2" x14ac:dyDescent="0.25">
      <c r="A21" s="115"/>
      <c r="B21" s="200"/>
      <c r="C21" s="201"/>
      <c r="D21" s="135"/>
      <c r="E21" s="219"/>
      <c r="F21" s="219"/>
      <c r="G21" s="313"/>
      <c r="H21" s="199" t="s">
        <v>382</v>
      </c>
      <c r="I21" s="130"/>
      <c r="J21" s="126"/>
      <c r="K21" s="126"/>
      <c r="L21" s="125" t="str">
        <f>IF(I21&lt;&gt;0,((VLOOKUP(I21,'1. Standard_Cost'!$B$4:$D$11,2)+VLOOKUP(I21,'1. Standard_Cost'!$B$4:$D$11,3))*J21*K21),"0")</f>
        <v>0</v>
      </c>
      <c r="M21" s="125">
        <f>L21*'1. Standard_Cost'!$F$4</f>
        <v>0</v>
      </c>
      <c r="N21" s="126"/>
      <c r="O21" s="126"/>
      <c r="P21" s="126"/>
      <c r="Q21" s="126"/>
      <c r="R21" s="127">
        <f>'1. Standard_Cost'!$B$15*N21*P21</f>
        <v>0</v>
      </c>
      <c r="S21" s="127">
        <f>N21*O21*P21*'1. Standard_Cost'!$C$15</f>
        <v>0</v>
      </c>
      <c r="T21" s="127">
        <f>N21*P21*Q21*'1. Standard_Cost'!$D$15</f>
        <v>0</v>
      </c>
      <c r="U21" s="127">
        <f>N21*O21*'1. Standard_Cost'!$E$15</f>
        <v>0</v>
      </c>
      <c r="V21" s="126"/>
      <c r="W21" s="126"/>
      <c r="X21" s="126"/>
      <c r="Y21" s="127">
        <f>+V21*((X21*'1. Standard_Cost'!$B$19)+(W21*X21*'1. Standard_Cost'!$C$19))</f>
        <v>0</v>
      </c>
      <c r="Z21" s="126"/>
      <c r="AA21" s="126"/>
      <c r="AB21" s="127">
        <f>+Z21*'1. Standard_Cost'!$B$23+AA21*'1. Standard_Cost'!$C$23</f>
        <v>0</v>
      </c>
      <c r="AC21" s="128">
        <v>246692202</v>
      </c>
      <c r="AD21" s="129"/>
      <c r="AE21" s="127">
        <v>0</v>
      </c>
      <c r="AF21" s="127">
        <f>SUM(AE21,AD21,AC21,AB21,Y21,U21,T21,S21,R21)</f>
        <v>246692202</v>
      </c>
      <c r="AG21" s="126"/>
      <c r="AH21" s="126"/>
      <c r="AI21" s="126"/>
      <c r="AJ21" s="130"/>
      <c r="AK21" s="130"/>
      <c r="AL21" s="130"/>
      <c r="AM21" s="127">
        <f>AG21*'1. Standard_Cost'!$B$27+'Incremental_Cost Year 4'!AH21*'1. Standard_Cost'!$C$27+'Incremental_Cost Year 4'!AI21*'1. Standard_Cost'!$D$27+'Incremental_Cost Year 4'!AJ21+'Incremental_Cost Year 4'!AL21+AK21</f>
        <v>0</v>
      </c>
      <c r="AN21" s="127">
        <f>AM21*'1. Standard_Cost'!$C$31</f>
        <v>0</v>
      </c>
      <c r="AO21" s="249"/>
      <c r="AQ21" s="171">
        <f>L21+M21</f>
        <v>0</v>
      </c>
      <c r="AR21" s="171">
        <f>AF21</f>
        <v>246692202</v>
      </c>
      <c r="AS21" s="171">
        <f>AM21+AN21</f>
        <v>0</v>
      </c>
      <c r="AT21" s="171">
        <f>SUM(AQ21,AR21,AS21)</f>
        <v>246692202</v>
      </c>
      <c r="AU21" s="250">
        <f>AT21</f>
        <v>246692202</v>
      </c>
      <c r="AV21" s="250"/>
      <c r="AW21" s="250"/>
      <c r="AX21" s="250"/>
      <c r="AY21" s="250"/>
      <c r="AZ21" s="250"/>
      <c r="BA21" s="250"/>
      <c r="BB21" s="251">
        <f t="shared" ref="BB21:BB24" si="15">SUM(AU21:BA21)-AT21</f>
        <v>0</v>
      </c>
      <c r="BC21" s="169"/>
      <c r="BD21" s="169"/>
      <c r="BE21" s="169"/>
      <c r="BF21" s="169"/>
    </row>
    <row r="22" spans="1:58" ht="47.25" outlineLevel="2" x14ac:dyDescent="0.25">
      <c r="A22" s="115"/>
      <c r="B22" s="200"/>
      <c r="C22" s="201"/>
      <c r="D22" s="135"/>
      <c r="E22" s="219"/>
      <c r="F22" s="219"/>
      <c r="G22" s="313"/>
      <c r="H22" s="199" t="s">
        <v>225</v>
      </c>
      <c r="I22" s="130" t="s">
        <v>3</v>
      </c>
      <c r="J22" s="126">
        <v>12</v>
      </c>
      <c r="K22" s="126">
        <v>10</v>
      </c>
      <c r="L22" s="125">
        <f>IF(I22&lt;&gt;0,((VLOOKUP(I22,'1. Standard_Cost'!$B$4:$D$11,2)+VLOOKUP(I22,'1. Standard_Cost'!$B$4:$D$11,3))*J22*K22),"0")</f>
        <v>12096000</v>
      </c>
      <c r="M22" s="125">
        <f>L22*'1. Standard_Cost'!$F$4</f>
        <v>2020032</v>
      </c>
      <c r="N22" s="126"/>
      <c r="O22" s="126"/>
      <c r="P22" s="126"/>
      <c r="Q22" s="126"/>
      <c r="R22" s="127">
        <f>'1. Standard_Cost'!$B$15*N22*P22</f>
        <v>0</v>
      </c>
      <c r="S22" s="127">
        <f>N22*O22*P22*'1. Standard_Cost'!$C$15</f>
        <v>0</v>
      </c>
      <c r="T22" s="127">
        <f>N22*P22*Q22*'1. Standard_Cost'!$D$15</f>
        <v>0</v>
      </c>
      <c r="U22" s="127">
        <f>N22*O22*'1. Standard_Cost'!$E$15</f>
        <v>0</v>
      </c>
      <c r="V22" s="126"/>
      <c r="W22" s="126"/>
      <c r="X22" s="126"/>
      <c r="Y22" s="127">
        <f>+V22*((X22*'1. Standard_Cost'!$B$19)+(W22*X22*'1. Standard_Cost'!$C$19))</f>
        <v>0</v>
      </c>
      <c r="Z22" s="126"/>
      <c r="AA22" s="126"/>
      <c r="AB22" s="127">
        <f>+Z22*'1. Standard_Cost'!$B$23+AA22*'1. Standard_Cost'!$C$23</f>
        <v>0</v>
      </c>
      <c r="AC22" s="128">
        <v>50000</v>
      </c>
      <c r="AD22" s="129"/>
      <c r="AE22" s="127">
        <f>SUM(AD22,AC22,AB22,Y22,U22,T22,S22,R22)*'1. Standard_Cost'!$B$31</f>
        <v>10000</v>
      </c>
      <c r="AF22" s="127">
        <f>SUM(AE22,AD22,AC22,AB22,Y22,U22,T22,S22,R22)</f>
        <v>60000</v>
      </c>
      <c r="AG22" s="126"/>
      <c r="AH22" s="126"/>
      <c r="AI22" s="126"/>
      <c r="AJ22" s="130"/>
      <c r="AK22" s="130"/>
      <c r="AL22" s="130"/>
      <c r="AM22" s="127">
        <f>AG22*'1. Standard_Cost'!$B$27+'Incremental_Cost Year 4'!AH22*'1. Standard_Cost'!$C$27+'Incremental_Cost Year 4'!AI22*'1. Standard_Cost'!$D$27+'Incremental_Cost Year 4'!AJ22+'Incremental_Cost Year 4'!AL22+AK22</f>
        <v>0</v>
      </c>
      <c r="AN22" s="127">
        <f>AM22*'1. Standard_Cost'!$C$31</f>
        <v>0</v>
      </c>
      <c r="AO22" s="249"/>
      <c r="AQ22" s="171">
        <f>L22+M22</f>
        <v>14116032</v>
      </c>
      <c r="AR22" s="171">
        <f>AF22</f>
        <v>60000</v>
      </c>
      <c r="AS22" s="171">
        <f>AM22+AN22</f>
        <v>0</v>
      </c>
      <c r="AT22" s="171">
        <f>SUM(AQ22,AR22,AS22)</f>
        <v>14176032</v>
      </c>
      <c r="AU22" s="250">
        <f>AT22</f>
        <v>14176032</v>
      </c>
      <c r="AV22" s="250"/>
      <c r="AW22" s="250"/>
      <c r="AX22" s="250"/>
      <c r="AY22" s="250"/>
      <c r="AZ22" s="250"/>
      <c r="BA22" s="250"/>
      <c r="BB22" s="251">
        <f t="shared" si="15"/>
        <v>0</v>
      </c>
      <c r="BC22" s="169"/>
      <c r="BD22" s="169"/>
      <c r="BE22" s="169"/>
      <c r="BF22" s="169"/>
    </row>
    <row r="23" spans="1:58" ht="47.25" outlineLevel="2" x14ac:dyDescent="0.25">
      <c r="A23" s="115"/>
      <c r="B23" s="200"/>
      <c r="C23" s="201"/>
      <c r="D23" s="135"/>
      <c r="E23" s="219"/>
      <c r="F23" s="219"/>
      <c r="G23" s="313"/>
      <c r="H23" s="199" t="s">
        <v>383</v>
      </c>
      <c r="I23" s="130" t="s">
        <v>5</v>
      </c>
      <c r="J23" s="126">
        <v>12</v>
      </c>
      <c r="K23" s="126">
        <v>36</v>
      </c>
      <c r="L23" s="125">
        <f>IF(I23&lt;&gt;0,((VLOOKUP(I23,'1. Standard_Cost'!$B$4:$D$11,2)+VLOOKUP(I23,'1. Standard_Cost'!$B$4:$D$11,3))*J23*K23),"0")</f>
        <v>30542400</v>
      </c>
      <c r="M23" s="125">
        <f>L23*'1. Standard_Cost'!$F$4</f>
        <v>5100580.8000000007</v>
      </c>
      <c r="N23" s="126"/>
      <c r="O23" s="126"/>
      <c r="P23" s="126"/>
      <c r="Q23" s="126"/>
      <c r="R23" s="127">
        <f>'1. Standard_Cost'!$B$15*N23*P23</f>
        <v>0</v>
      </c>
      <c r="S23" s="127">
        <f>N23*O23*P23*'1. Standard_Cost'!$C$15</f>
        <v>0</v>
      </c>
      <c r="T23" s="127">
        <f>N23*P23*Q23*'1. Standard_Cost'!$D$15</f>
        <v>0</v>
      </c>
      <c r="U23" s="127">
        <f>N23*O23*'1. Standard_Cost'!$E$15</f>
        <v>0</v>
      </c>
      <c r="V23" s="126"/>
      <c r="W23" s="126"/>
      <c r="X23" s="126"/>
      <c r="Y23" s="127">
        <f>+V23*((X23*'1. Standard_Cost'!$B$19)+(W23*X23*'1. Standard_Cost'!$C$19))</f>
        <v>0</v>
      </c>
      <c r="Z23" s="126"/>
      <c r="AA23" s="126"/>
      <c r="AB23" s="127">
        <f>+Z23*'1. Standard_Cost'!$B$23+AA23*'1. Standard_Cost'!$C$23</f>
        <v>0</v>
      </c>
      <c r="AC23" s="128">
        <f>50000*36</f>
        <v>1800000</v>
      </c>
      <c r="AD23" s="129"/>
      <c r="AE23" s="127">
        <f>SUM(AD23,AC23,AB23,Y23,U23,T23,S23,R23)*'1. Standard_Cost'!$B$31</f>
        <v>360000</v>
      </c>
      <c r="AF23" s="127">
        <f>SUM(AE23,AD23,AC23,AB23,Y23,U23,T23,S23,R23)</f>
        <v>2160000</v>
      </c>
      <c r="AG23" s="126"/>
      <c r="AH23" s="126"/>
      <c r="AI23" s="126"/>
      <c r="AJ23" s="130"/>
      <c r="AK23" s="130"/>
      <c r="AL23" s="130"/>
      <c r="AM23" s="127">
        <f>AG23*'1. Standard_Cost'!$B$27+'Incremental_Cost Year 4'!AH23*'1. Standard_Cost'!$C$27+'Incremental_Cost Year 4'!AI23*'1. Standard_Cost'!$D$27+'Incremental_Cost Year 4'!AJ23+'Incremental_Cost Year 4'!AL23+AK23</f>
        <v>0</v>
      </c>
      <c r="AN23" s="127">
        <f>AM23*'1. Standard_Cost'!$C$31</f>
        <v>0</v>
      </c>
      <c r="AO23" s="249"/>
      <c r="AQ23" s="171">
        <f>L23+M23</f>
        <v>35642980.799999997</v>
      </c>
      <c r="AR23" s="171">
        <f>AF23</f>
        <v>2160000</v>
      </c>
      <c r="AS23" s="171">
        <f>AM23+AN23</f>
        <v>0</v>
      </c>
      <c r="AT23" s="171">
        <f>SUM(AQ23,AR23,AS23)</f>
        <v>37802980.799999997</v>
      </c>
      <c r="AU23" s="250">
        <f>AT23</f>
        <v>37802980.799999997</v>
      </c>
      <c r="AV23" s="250"/>
      <c r="AW23" s="250"/>
      <c r="AX23" s="250"/>
      <c r="AY23" s="250"/>
      <c r="AZ23" s="250"/>
      <c r="BA23" s="250"/>
      <c r="BB23" s="251">
        <f t="shared" si="15"/>
        <v>0</v>
      </c>
      <c r="BC23" s="169"/>
      <c r="BD23" s="169"/>
      <c r="BE23" s="169"/>
      <c r="BF23" s="169"/>
    </row>
    <row r="24" spans="1:58" ht="15.75" outlineLevel="2" x14ac:dyDescent="0.25">
      <c r="A24" s="115"/>
      <c r="B24" s="200"/>
      <c r="C24" s="201"/>
      <c r="D24" s="211"/>
      <c r="E24" s="124"/>
      <c r="F24" s="140"/>
      <c r="G24" s="351"/>
      <c r="H24" s="199"/>
      <c r="I24" s="130"/>
      <c r="J24" s="126"/>
      <c r="K24" s="126"/>
      <c r="L24" s="125" t="str">
        <f>IF(I24&lt;&gt;0,((VLOOKUP(I24,'1. Standard_Cost'!$B$4:$D$11,2)+VLOOKUP(I24,'1. Standard_Cost'!$B$4:$D$11,3))*J24*K24),"0")</f>
        <v>0</v>
      </c>
      <c r="M24" s="125">
        <f>L24*'1. Standard_Cost'!$F$4</f>
        <v>0</v>
      </c>
      <c r="N24" s="126"/>
      <c r="O24" s="126"/>
      <c r="P24" s="126"/>
      <c r="Q24" s="126"/>
      <c r="R24" s="127">
        <f>'1. Standard_Cost'!$B$15*N24*P24</f>
        <v>0</v>
      </c>
      <c r="S24" s="127">
        <f>N24*O24*P24*'1. Standard_Cost'!$C$15</f>
        <v>0</v>
      </c>
      <c r="T24" s="127">
        <f>N24*P24*Q24*'1. Standard_Cost'!$D$15</f>
        <v>0</v>
      </c>
      <c r="U24" s="127">
        <f>N24*O24*'1. Standard_Cost'!$E$15</f>
        <v>0</v>
      </c>
      <c r="V24" s="126"/>
      <c r="W24" s="126"/>
      <c r="X24" s="126"/>
      <c r="Y24" s="127">
        <f>+V24*((X24*'1. Standard_Cost'!$B$19)+(W24*X24*'1. Standard_Cost'!$C$19))</f>
        <v>0</v>
      </c>
      <c r="Z24" s="126"/>
      <c r="AA24" s="126"/>
      <c r="AB24" s="127">
        <f>+Z24*'1. Standard_Cost'!$B$23+AA24*'1. Standard_Cost'!$C$23</f>
        <v>0</v>
      </c>
      <c r="AC24" s="128"/>
      <c r="AD24" s="129"/>
      <c r="AE24" s="127">
        <f>SUM(AD24,AC24,AB24,Y24,U24,T24,S24,R24)*'1. Standard_Cost'!$B$31</f>
        <v>0</v>
      </c>
      <c r="AF24" s="127">
        <f>SUM(AE24,AD24,AC24,AB24,Y24,U24,T24,S24,R24)</f>
        <v>0</v>
      </c>
      <c r="AG24" s="126"/>
      <c r="AH24" s="126"/>
      <c r="AI24" s="126"/>
      <c r="AJ24" s="130"/>
      <c r="AK24" s="130"/>
      <c r="AL24" s="130"/>
      <c r="AM24" s="127">
        <f>AG24*'1. Standard_Cost'!$B$27+'Incremental_Cost Year 4'!AH24*'1. Standard_Cost'!$C$27+'Incremental_Cost Year 4'!AI24*'1. Standard_Cost'!$D$27+'Incremental_Cost Year 4'!AJ24+'Incremental_Cost Year 4'!AL24+AK24</f>
        <v>0</v>
      </c>
      <c r="AN24" s="127">
        <f>AM24*'1. Standard_Cost'!$C$31</f>
        <v>0</v>
      </c>
      <c r="AO24" s="130"/>
      <c r="AQ24" s="171">
        <f>L24+M24</f>
        <v>0</v>
      </c>
      <c r="AR24" s="171">
        <f>AF24</f>
        <v>0</v>
      </c>
      <c r="AS24" s="171">
        <f>AM24+AN24</f>
        <v>0</v>
      </c>
      <c r="AT24" s="171">
        <f>SUM(AQ24,AR24,AS24)</f>
        <v>0</v>
      </c>
      <c r="AU24" s="250">
        <f>AT24</f>
        <v>0</v>
      </c>
      <c r="AV24" s="250"/>
      <c r="AW24" s="250"/>
      <c r="AX24" s="250"/>
      <c r="AY24" s="250"/>
      <c r="AZ24" s="250"/>
      <c r="BA24" s="250"/>
      <c r="BB24" s="251">
        <f t="shared" si="15"/>
        <v>0</v>
      </c>
      <c r="BC24" s="169"/>
      <c r="BD24" s="169"/>
      <c r="BE24" s="169"/>
      <c r="BF24" s="169"/>
    </row>
    <row r="25" spans="1:58" ht="63" outlineLevel="1" x14ac:dyDescent="0.25">
      <c r="A25" s="115"/>
      <c r="B25" s="165"/>
      <c r="C25" s="166"/>
      <c r="D25" s="150" t="s">
        <v>384</v>
      </c>
      <c r="E25" s="139" t="s">
        <v>196</v>
      </c>
      <c r="F25" s="222">
        <v>2021</v>
      </c>
      <c r="G25" s="117">
        <v>2030</v>
      </c>
      <c r="H25" s="134" t="s">
        <v>197</v>
      </c>
      <c r="I25" s="252"/>
      <c r="J25" s="252"/>
      <c r="K25" s="252"/>
      <c r="L25" s="127">
        <f>SUM(L21:L24)</f>
        <v>42638400</v>
      </c>
      <c r="M25" s="127">
        <f>SUM(M21:M24)</f>
        <v>7120612.8000000007</v>
      </c>
      <c r="N25" s="127"/>
      <c r="O25" s="252"/>
      <c r="P25" s="252"/>
      <c r="Q25" s="252"/>
      <c r="R25" s="127">
        <f>SUM(R21:R24)</f>
        <v>0</v>
      </c>
      <c r="S25" s="127">
        <f>SUM(S21:S24)</f>
        <v>0</v>
      </c>
      <c r="T25" s="127">
        <f>SUM(T21:T24)</f>
        <v>0</v>
      </c>
      <c r="U25" s="127">
        <f>SUM(U21:U24)</f>
        <v>0</v>
      </c>
      <c r="V25" s="252"/>
      <c r="W25" s="252"/>
      <c r="X25" s="252"/>
      <c r="Y25" s="127">
        <f>SUM(Y21:Y24)</f>
        <v>0</v>
      </c>
      <c r="Z25" s="252"/>
      <c r="AA25" s="252"/>
      <c r="AB25" s="127">
        <f>SUM(AB21:AB24)</f>
        <v>0</v>
      </c>
      <c r="AC25" s="127">
        <f>SUM(AC21:AC24)</f>
        <v>248542202</v>
      </c>
      <c r="AD25" s="127">
        <f>SUM(AD21:AD24)</f>
        <v>0</v>
      </c>
      <c r="AE25" s="127">
        <f>SUM(AE21:AE24)</f>
        <v>370000</v>
      </c>
      <c r="AF25" s="127">
        <f>SUM(AF21:AF24)</f>
        <v>248912202</v>
      </c>
      <c r="AG25" s="252"/>
      <c r="AH25" s="252"/>
      <c r="AI25" s="252"/>
      <c r="AJ25" s="127">
        <f>SUM(AJ21:AJ24)</f>
        <v>0</v>
      </c>
      <c r="AK25" s="127">
        <f>SUM(AK21:AK24)</f>
        <v>0</v>
      </c>
      <c r="AL25" s="127">
        <f>SUM(AL21:AL24)</f>
        <v>0</v>
      </c>
      <c r="AM25" s="127">
        <f>SUM(AM21:AM24)</f>
        <v>0</v>
      </c>
      <c r="AN25" s="127">
        <f>SUM(AN21:AN24)</f>
        <v>0</v>
      </c>
      <c r="AO25" s="253"/>
      <c r="AP25" s="254"/>
      <c r="AQ25" s="175">
        <f>SUM(AQ21:AQ24)</f>
        <v>49759012.799999997</v>
      </c>
      <c r="AR25" s="175">
        <f>SUM(AR21:AR24)</f>
        <v>248912202</v>
      </c>
      <c r="AS25" s="175">
        <f>SUM(AS21:AS24)</f>
        <v>0</v>
      </c>
      <c r="AT25" s="175">
        <f>SUM(AT21:AT24)</f>
        <v>298671214.80000001</v>
      </c>
      <c r="AU25" s="175">
        <f t="shared" ref="AU25:BB25" si="16">SUM(AU21:AU24)</f>
        <v>298671214.80000001</v>
      </c>
      <c r="AV25" s="175">
        <f t="shared" si="16"/>
        <v>0</v>
      </c>
      <c r="AW25" s="175">
        <f>SUM(AW21:AW24)</f>
        <v>0</v>
      </c>
      <c r="AX25" s="175">
        <f t="shared" si="16"/>
        <v>0</v>
      </c>
      <c r="AY25" s="175">
        <f t="shared" si="16"/>
        <v>0</v>
      </c>
      <c r="AZ25" s="175">
        <f t="shared" si="16"/>
        <v>0</v>
      </c>
      <c r="BA25" s="175">
        <f t="shared" si="16"/>
        <v>0</v>
      </c>
      <c r="BB25" s="175">
        <f t="shared" si="16"/>
        <v>0</v>
      </c>
      <c r="BC25" s="169"/>
      <c r="BD25" s="169"/>
      <c r="BE25" s="169"/>
      <c r="BF25" s="169"/>
    </row>
    <row r="26" spans="1:58" ht="157.5" outlineLevel="2" x14ac:dyDescent="0.25">
      <c r="A26" s="115"/>
      <c r="B26" s="200"/>
      <c r="C26" s="201"/>
      <c r="D26" s="138"/>
      <c r="E26" s="219"/>
      <c r="F26" s="219"/>
      <c r="G26" s="313"/>
      <c r="H26" s="199" t="s">
        <v>385</v>
      </c>
      <c r="I26" s="130"/>
      <c r="J26" s="126"/>
      <c r="K26" s="126"/>
      <c r="L26" s="125" t="str">
        <f>IF(I26&lt;&gt;0,((VLOOKUP(I26,'1. Standard_Cost'!$B$4:$D$11,2)+VLOOKUP(I26,'1. Standard_Cost'!$B$4:$D$11,3))*J26*K26),"0")</f>
        <v>0</v>
      </c>
      <c r="M26" s="125">
        <f>L26*'1. Standard_Cost'!$F$4</f>
        <v>0</v>
      </c>
      <c r="N26" s="126"/>
      <c r="O26" s="126"/>
      <c r="P26" s="126"/>
      <c r="Q26" s="126"/>
      <c r="R26" s="127">
        <f>'1. Standard_Cost'!$B$15*N26*P26</f>
        <v>0</v>
      </c>
      <c r="S26" s="127">
        <f>N26*O26*P26*'1. Standard_Cost'!$C$15</f>
        <v>0</v>
      </c>
      <c r="T26" s="127">
        <f>N26*P26*Q26*'1. Standard_Cost'!$D$15</f>
        <v>0</v>
      </c>
      <c r="U26" s="127">
        <f>N26*O26*'1. Standard_Cost'!$E$15</f>
        <v>0</v>
      </c>
      <c r="V26" s="126"/>
      <c r="W26" s="126"/>
      <c r="X26" s="126"/>
      <c r="Y26" s="127">
        <f>+V26*((X26*'1. Standard_Cost'!$B$19)+(W26*X26*'1. Standard_Cost'!$C$19))</f>
        <v>0</v>
      </c>
      <c r="Z26" s="126"/>
      <c r="AA26" s="126"/>
      <c r="AB26" s="127">
        <f>+Z26*'1. Standard_Cost'!$B$23+AA26*'1. Standard_Cost'!$C$23</f>
        <v>0</v>
      </c>
      <c r="AC26" s="128">
        <v>207715600</v>
      </c>
      <c r="AD26" s="129"/>
      <c r="AE26" s="127">
        <v>0</v>
      </c>
      <c r="AF26" s="127">
        <f>SUM(AE26,AD26,AC26,AB26,Y26,U26,T26,S26,R26)</f>
        <v>207715600</v>
      </c>
      <c r="AG26" s="126"/>
      <c r="AH26" s="126"/>
      <c r="AI26" s="126"/>
      <c r="AJ26" s="130"/>
      <c r="AK26" s="130"/>
      <c r="AL26" s="130"/>
      <c r="AM26" s="127">
        <f>AG26*'1. Standard_Cost'!$B$27+'Incremental_Cost Year 4'!AH26*'1. Standard_Cost'!$C$27+'Incremental_Cost Year 4'!AI26*'1. Standard_Cost'!$D$27+'Incremental_Cost Year 4'!AJ26+'Incremental_Cost Year 4'!AL26+AK26</f>
        <v>0</v>
      </c>
      <c r="AN26" s="127">
        <f>AM26*'1. Standard_Cost'!$C$31</f>
        <v>0</v>
      </c>
      <c r="AO26" s="249"/>
      <c r="AQ26" s="171">
        <f>L26+M26</f>
        <v>0</v>
      </c>
      <c r="AR26" s="171">
        <f>AF26</f>
        <v>207715600</v>
      </c>
      <c r="AS26" s="171">
        <f>AM26+AN26</f>
        <v>0</v>
      </c>
      <c r="AT26" s="171">
        <f>SUM(AQ26,AR26,AS26)</f>
        <v>207715600</v>
      </c>
      <c r="AU26" s="250">
        <f>AT26</f>
        <v>207715600</v>
      </c>
      <c r="AV26" s="250"/>
      <c r="AW26" s="250"/>
      <c r="AX26" s="250"/>
      <c r="AY26" s="250"/>
      <c r="AZ26" s="250"/>
      <c r="BA26" s="250"/>
      <c r="BB26" s="251">
        <f t="shared" ref="BB26:BB28" si="17">SUM(AU26:BA26)-AT26</f>
        <v>0</v>
      </c>
      <c r="BC26" s="169"/>
      <c r="BD26" s="169"/>
      <c r="BE26" s="169"/>
      <c r="BF26" s="169"/>
    </row>
    <row r="27" spans="1:58" ht="141.75" outlineLevel="2" x14ac:dyDescent="0.25">
      <c r="A27" s="115"/>
      <c r="B27" s="200"/>
      <c r="C27" s="201"/>
      <c r="D27" s="135"/>
      <c r="E27" s="219"/>
      <c r="F27" s="219"/>
      <c r="G27" s="313"/>
      <c r="H27" s="199" t="s">
        <v>386</v>
      </c>
      <c r="I27" s="130"/>
      <c r="J27" s="126"/>
      <c r="K27" s="126"/>
      <c r="L27" s="125" t="str">
        <f>IF(I27&lt;&gt;0,((VLOOKUP(I27,'1. Standard_Cost'!$B$4:$D$11,2)+VLOOKUP(I27,'1. Standard_Cost'!$B$4:$D$11,3))*J27*K27),"0")</f>
        <v>0</v>
      </c>
      <c r="M27" s="125">
        <f>L27*'1. Standard_Cost'!$F$4</f>
        <v>0</v>
      </c>
      <c r="N27" s="126"/>
      <c r="O27" s="126"/>
      <c r="P27" s="126"/>
      <c r="Q27" s="126"/>
      <c r="R27" s="127">
        <f>'1. Standard_Cost'!$B$15*N27*P27</f>
        <v>0</v>
      </c>
      <c r="S27" s="127">
        <f>N27*O27*P27*'1. Standard_Cost'!$C$15</f>
        <v>0</v>
      </c>
      <c r="T27" s="127">
        <f>N27*P27*Q27*'1. Standard_Cost'!$D$15</f>
        <v>0</v>
      </c>
      <c r="U27" s="127">
        <f>N27*O27*'1. Standard_Cost'!$E$15</f>
        <v>0</v>
      </c>
      <c r="V27" s="126"/>
      <c r="W27" s="126"/>
      <c r="X27" s="126"/>
      <c r="Y27" s="127">
        <f>+V27*((X27*'1. Standard_Cost'!$B$19)+(W27*X27*'1. Standard_Cost'!$C$19))</f>
        <v>0</v>
      </c>
      <c r="Z27" s="126"/>
      <c r="AA27" s="126"/>
      <c r="AB27" s="127">
        <f>+Z27*'1. Standard_Cost'!$B$23+AA27*'1. Standard_Cost'!$C$23</f>
        <v>0</v>
      </c>
      <c r="AC27" s="128">
        <v>207715600</v>
      </c>
      <c r="AD27" s="129"/>
      <c r="AE27" s="127">
        <v>0</v>
      </c>
      <c r="AF27" s="127">
        <f>SUM(AE27,AD27,AC27,AB27,Y27,U27,T27,S27,R27)</f>
        <v>207715600</v>
      </c>
      <c r="AG27" s="126"/>
      <c r="AH27" s="126"/>
      <c r="AI27" s="126"/>
      <c r="AJ27" s="130"/>
      <c r="AK27" s="130"/>
      <c r="AL27" s="130"/>
      <c r="AM27" s="127">
        <f>AG27*'1. Standard_Cost'!$B$27+'Incremental_Cost Year 4'!AH27*'1. Standard_Cost'!$C$27+'Incremental_Cost Year 4'!AI27*'1. Standard_Cost'!$D$27+'Incremental_Cost Year 4'!AJ27+'Incremental_Cost Year 4'!AL27+AK27</f>
        <v>0</v>
      </c>
      <c r="AN27" s="127">
        <f>AM27*'1. Standard_Cost'!$C$31</f>
        <v>0</v>
      </c>
      <c r="AO27" s="130"/>
      <c r="AQ27" s="171">
        <f>L27+M27</f>
        <v>0</v>
      </c>
      <c r="AR27" s="171">
        <f>AF27</f>
        <v>207715600</v>
      </c>
      <c r="AS27" s="171">
        <f>AM27+AN27</f>
        <v>0</v>
      </c>
      <c r="AT27" s="171">
        <f>SUM(AQ27,AR27,AS27)</f>
        <v>207715600</v>
      </c>
      <c r="AU27" s="250">
        <f>AT27</f>
        <v>207715600</v>
      </c>
      <c r="AV27" s="250"/>
      <c r="AW27" s="250"/>
      <c r="AX27" s="250"/>
      <c r="AY27" s="250"/>
      <c r="AZ27" s="250"/>
      <c r="BA27" s="250"/>
      <c r="BB27" s="251">
        <f t="shared" si="17"/>
        <v>0</v>
      </c>
      <c r="BC27" s="169"/>
      <c r="BD27" s="169"/>
      <c r="BE27" s="169"/>
      <c r="BF27" s="169"/>
    </row>
    <row r="28" spans="1:58" ht="189" outlineLevel="2" x14ac:dyDescent="0.25">
      <c r="A28" s="115"/>
      <c r="B28" s="200"/>
      <c r="C28" s="201"/>
      <c r="D28" s="223"/>
      <c r="E28" s="219"/>
      <c r="F28" s="219"/>
      <c r="G28" s="313"/>
      <c r="H28" s="103" t="s">
        <v>387</v>
      </c>
      <c r="I28" s="130"/>
      <c r="J28" s="126"/>
      <c r="K28" s="126"/>
      <c r="L28" s="125" t="str">
        <f>IF(I28&lt;&gt;0,((VLOOKUP(I28,'1. Standard_Cost'!$B$4:$D$11,2)+VLOOKUP(I28,'1. Standard_Cost'!$B$4:$D$11,3))*J28*K28),"0")</f>
        <v>0</v>
      </c>
      <c r="M28" s="125">
        <f>L28*'1. Standard_Cost'!$F$4</f>
        <v>0</v>
      </c>
      <c r="N28" s="126"/>
      <c r="O28" s="126"/>
      <c r="P28" s="126"/>
      <c r="Q28" s="126"/>
      <c r="R28" s="127">
        <f>'1. Standard_Cost'!$B$15*N28*P28</f>
        <v>0</v>
      </c>
      <c r="S28" s="127">
        <f>N28*O28*P28*'1. Standard_Cost'!$C$15</f>
        <v>0</v>
      </c>
      <c r="T28" s="127">
        <f>N28*P28*Q28*'1. Standard_Cost'!$D$15</f>
        <v>0</v>
      </c>
      <c r="U28" s="127">
        <f>N28*O28*'1. Standard_Cost'!$E$15</f>
        <v>0</v>
      </c>
      <c r="V28" s="126"/>
      <c r="W28" s="126"/>
      <c r="X28" s="126"/>
      <c r="Y28" s="127">
        <f>+V28*((X28*'1. Standard_Cost'!$B$19)+(W28*X28*'1. Standard_Cost'!$C$19))</f>
        <v>0</v>
      </c>
      <c r="Z28" s="126"/>
      <c r="AA28" s="126"/>
      <c r="AB28" s="127">
        <f>+Z28*'1. Standard_Cost'!$B$23+AA28*'1. Standard_Cost'!$C$23</f>
        <v>0</v>
      </c>
      <c r="AC28" s="128">
        <v>220000000</v>
      </c>
      <c r="AD28" s="129"/>
      <c r="AE28" s="127">
        <v>0</v>
      </c>
      <c r="AF28" s="127">
        <f>SUM(AE28,AD28,AC28,AB28,Y28,U28,T28,S28,R28)</f>
        <v>220000000</v>
      </c>
      <c r="AG28" s="126"/>
      <c r="AH28" s="126"/>
      <c r="AI28" s="126"/>
      <c r="AJ28" s="130"/>
      <c r="AK28" s="130"/>
      <c r="AL28" s="130"/>
      <c r="AM28" s="127">
        <f>AG28*'1. Standard_Cost'!$B$27+'Incremental_Cost Year 4'!AH28*'1. Standard_Cost'!$C$27+'Incremental_Cost Year 4'!AI28*'1. Standard_Cost'!$D$27+'Incremental_Cost Year 4'!AJ28+'Incremental_Cost Year 4'!AL28+AK28</f>
        <v>0</v>
      </c>
      <c r="AN28" s="127">
        <f>AM28*'1. Standard_Cost'!$C$31</f>
        <v>0</v>
      </c>
      <c r="AO28" s="130"/>
      <c r="AQ28" s="171">
        <f>L28+M28</f>
        <v>0</v>
      </c>
      <c r="AR28" s="171">
        <f>AF28</f>
        <v>220000000</v>
      </c>
      <c r="AS28" s="171">
        <f>AM28+AN28</f>
        <v>0</v>
      </c>
      <c r="AT28" s="171">
        <f>SUM(AQ28,AR28,AS28)</f>
        <v>220000000</v>
      </c>
      <c r="AU28" s="250">
        <f>AT28</f>
        <v>220000000</v>
      </c>
      <c r="AV28" s="250"/>
      <c r="AW28" s="250"/>
      <c r="AX28" s="250"/>
      <c r="AY28" s="250"/>
      <c r="AZ28" s="250"/>
      <c r="BA28" s="250"/>
      <c r="BB28" s="251">
        <f t="shared" si="17"/>
        <v>0</v>
      </c>
      <c r="BC28" s="169"/>
      <c r="BD28" s="169"/>
      <c r="BE28" s="169"/>
      <c r="BF28" s="169"/>
    </row>
    <row r="29" spans="1:58" ht="63" outlineLevel="1" x14ac:dyDescent="0.25">
      <c r="A29" s="115"/>
      <c r="B29" s="165"/>
      <c r="C29" s="301"/>
      <c r="D29" s="150" t="s">
        <v>388</v>
      </c>
      <c r="E29" s="139" t="s">
        <v>198</v>
      </c>
      <c r="F29" s="300">
        <v>2021</v>
      </c>
      <c r="G29" s="209">
        <v>2030</v>
      </c>
      <c r="H29" s="134" t="s">
        <v>199</v>
      </c>
      <c r="I29" s="252"/>
      <c r="J29" s="252"/>
      <c r="K29" s="252"/>
      <c r="L29" s="127">
        <f>SUM(L26:L28)</f>
        <v>0</v>
      </c>
      <c r="M29" s="127">
        <f>SUM(M26:M28)</f>
        <v>0</v>
      </c>
      <c r="N29" s="127"/>
      <c r="O29" s="252"/>
      <c r="P29" s="252"/>
      <c r="Q29" s="252"/>
      <c r="R29" s="127">
        <f>SUM(R26:R28)</f>
        <v>0</v>
      </c>
      <c r="S29" s="127">
        <f>SUM(S26:S28)</f>
        <v>0</v>
      </c>
      <c r="T29" s="127">
        <f>SUM(T26:T28)</f>
        <v>0</v>
      </c>
      <c r="U29" s="127">
        <f>SUM(U26:U28)</f>
        <v>0</v>
      </c>
      <c r="V29" s="252"/>
      <c r="W29" s="252"/>
      <c r="X29" s="252"/>
      <c r="Y29" s="127">
        <f>SUM(Y26:Y28)</f>
        <v>0</v>
      </c>
      <c r="Z29" s="252"/>
      <c r="AA29" s="252"/>
      <c r="AB29" s="127">
        <f>SUM(AB26:AB28)</f>
        <v>0</v>
      </c>
      <c r="AC29" s="127">
        <f>SUM(AC26:AC28)</f>
        <v>635431200</v>
      </c>
      <c r="AD29" s="127">
        <f>SUM(AD26:AD28)</f>
        <v>0</v>
      </c>
      <c r="AE29" s="127">
        <f>SUM(AE26:AE28)</f>
        <v>0</v>
      </c>
      <c r="AF29" s="127">
        <f>SUM(AF26:AF28)</f>
        <v>635431200</v>
      </c>
      <c r="AG29" s="252"/>
      <c r="AH29" s="252"/>
      <c r="AI29" s="252"/>
      <c r="AJ29" s="127">
        <f>SUM(AJ26:AJ28)</f>
        <v>0</v>
      </c>
      <c r="AK29" s="127">
        <f>SUM(AK26:AK28)</f>
        <v>0</v>
      </c>
      <c r="AL29" s="127">
        <f>SUM(AL26:AL28)</f>
        <v>0</v>
      </c>
      <c r="AM29" s="127">
        <f>SUM(AM26:AM28)</f>
        <v>0</v>
      </c>
      <c r="AN29" s="127">
        <f>SUM(AN26:AN28)</f>
        <v>0</v>
      </c>
      <c r="AO29" s="253"/>
      <c r="AP29" s="254"/>
      <c r="AQ29" s="175">
        <f>SUM(AQ26:AQ28)</f>
        <v>0</v>
      </c>
      <c r="AR29" s="175">
        <f>SUM(AR26:AR28)</f>
        <v>635431200</v>
      </c>
      <c r="AS29" s="175">
        <f>SUM(AS26:AS28)</f>
        <v>0</v>
      </c>
      <c r="AT29" s="175">
        <f>SUM(AT26:AT28)</f>
        <v>635431200</v>
      </c>
      <c r="AU29" s="175">
        <f t="shared" ref="AU29:BB29" si="18">SUM(AU26:AU28)</f>
        <v>635431200</v>
      </c>
      <c r="AV29" s="175">
        <f t="shared" si="18"/>
        <v>0</v>
      </c>
      <c r="AW29" s="175">
        <f t="shared" si="18"/>
        <v>0</v>
      </c>
      <c r="AX29" s="175">
        <f t="shared" si="18"/>
        <v>0</v>
      </c>
      <c r="AY29" s="175">
        <f t="shared" si="18"/>
        <v>0</v>
      </c>
      <c r="AZ29" s="175">
        <f t="shared" si="18"/>
        <v>0</v>
      </c>
      <c r="BA29" s="175">
        <f t="shared" si="18"/>
        <v>0</v>
      </c>
      <c r="BB29" s="175">
        <f t="shared" si="18"/>
        <v>0</v>
      </c>
      <c r="BC29" s="169"/>
      <c r="BD29" s="169"/>
      <c r="BE29" s="169"/>
      <c r="BF29" s="169"/>
    </row>
    <row r="30" spans="1:58" ht="78.75" outlineLevel="2" x14ac:dyDescent="0.25">
      <c r="A30" s="115"/>
      <c r="B30" s="200"/>
      <c r="C30" s="201"/>
      <c r="D30" s="138"/>
      <c r="E30" s="295"/>
      <c r="F30" s="295"/>
      <c r="G30" s="296"/>
      <c r="H30" s="299" t="s">
        <v>305</v>
      </c>
      <c r="I30" s="130" t="s">
        <v>3</v>
      </c>
      <c r="J30" s="126">
        <v>12</v>
      </c>
      <c r="K30" s="126">
        <v>4</v>
      </c>
      <c r="L30" s="125">
        <f>IF(I30&lt;&gt;0,((VLOOKUP(I30,'1. Standard_Cost'!$B$4:$D$11,2)+VLOOKUP(I30,'1. Standard_Cost'!$B$4:$D$11,3))*J30*K30),"0")</f>
        <v>4838400</v>
      </c>
      <c r="M30" s="125">
        <f>L30*'1. Standard_Cost'!$F$4</f>
        <v>808012.80000000005</v>
      </c>
      <c r="N30" s="126"/>
      <c r="O30" s="126"/>
      <c r="P30" s="126"/>
      <c r="Q30" s="126"/>
      <c r="R30" s="127">
        <f>'1. Standard_Cost'!$B$15*N30*P30</f>
        <v>0</v>
      </c>
      <c r="S30" s="127">
        <f>N30*O30*P30*'1. Standard_Cost'!$C$15</f>
        <v>0</v>
      </c>
      <c r="T30" s="127">
        <f>N30*P30*Q30*'1. Standard_Cost'!$D$15</f>
        <v>0</v>
      </c>
      <c r="U30" s="127">
        <f>N30*O30*'1. Standard_Cost'!$E$15</f>
        <v>0</v>
      </c>
      <c r="V30" s="126"/>
      <c r="W30" s="126"/>
      <c r="X30" s="126"/>
      <c r="Y30" s="127">
        <f>+V30*((X30*'1. Standard_Cost'!$B$19)+(W30*X30*'1. Standard_Cost'!$C$19))</f>
        <v>0</v>
      </c>
      <c r="Z30" s="126"/>
      <c r="AA30" s="126"/>
      <c r="AB30" s="127">
        <f>+Z30*'1. Standard_Cost'!$B$23+AA30*'1. Standard_Cost'!$C$23</f>
        <v>0</v>
      </c>
      <c r="AC30" s="128"/>
      <c r="AD30" s="129"/>
      <c r="AE30" s="127">
        <f>SUM(AD30,AC30,AB30,Y30,U30,T30,S30,R30)*'1. Standard_Cost'!$B$31</f>
        <v>0</v>
      </c>
      <c r="AF30" s="127">
        <f t="shared" ref="AF30:AF36" si="19">SUM(AE30,AD30,AC30,AB30,Y30,U30,T30,S30,R30)</f>
        <v>0</v>
      </c>
      <c r="AG30" s="126"/>
      <c r="AH30" s="126"/>
      <c r="AI30" s="126"/>
      <c r="AJ30" s="130"/>
      <c r="AK30" s="130"/>
      <c r="AL30" s="130"/>
      <c r="AM30" s="127">
        <f>AG30*'1. Standard_Cost'!$B$27+'Incremental_Cost Year 4'!AH30*'1. Standard_Cost'!$C$27+'Incremental_Cost Year 4'!AI30*'1. Standard_Cost'!$D$27+'Incremental_Cost Year 4'!AJ30+'Incremental_Cost Year 4'!AL30+AK30</f>
        <v>0</v>
      </c>
      <c r="AN30" s="127">
        <f>AM30*'1. Standard_Cost'!$C$31</f>
        <v>0</v>
      </c>
      <c r="AO30" s="249"/>
      <c r="AQ30" s="171">
        <f t="shared" ref="AQ30:AQ36" si="20">L30+M30</f>
        <v>5646412.7999999998</v>
      </c>
      <c r="AR30" s="171">
        <f t="shared" ref="AR30:AR36" si="21">AF30</f>
        <v>0</v>
      </c>
      <c r="AS30" s="171">
        <f t="shared" ref="AS30:AS36" si="22">AM30+AN30</f>
        <v>0</v>
      </c>
      <c r="AT30" s="171">
        <f t="shared" ref="AT30:AT36" si="23">SUM(AQ30,AR30,AS30)</f>
        <v>5646412.7999999998</v>
      </c>
      <c r="AU30" s="250">
        <f>AT30</f>
        <v>5646412.7999999998</v>
      </c>
      <c r="AV30" s="250"/>
      <c r="AW30" s="250"/>
      <c r="AX30" s="250"/>
      <c r="AY30" s="250"/>
      <c r="AZ30" s="250"/>
      <c r="BA30" s="250"/>
      <c r="BB30" s="251">
        <f t="shared" ref="BB30" si="24">SUM(AU30:BA30)-AT30</f>
        <v>0</v>
      </c>
      <c r="BC30" s="169"/>
      <c r="BD30" s="169"/>
      <c r="BE30" s="169"/>
      <c r="BF30" s="169"/>
    </row>
    <row r="31" spans="1:58" ht="78.75" outlineLevel="2" x14ac:dyDescent="0.25">
      <c r="A31" s="115"/>
      <c r="B31" s="200"/>
      <c r="C31" s="201"/>
      <c r="D31" s="135"/>
      <c r="E31" s="219"/>
      <c r="F31" s="219"/>
      <c r="G31" s="313"/>
      <c r="H31" s="213" t="s">
        <v>226</v>
      </c>
      <c r="I31" s="130" t="s">
        <v>5</v>
      </c>
      <c r="J31" s="126">
        <v>6</v>
      </c>
      <c r="K31" s="126">
        <v>420</v>
      </c>
      <c r="L31" s="125">
        <f>IF(I31&lt;&gt;0,((VLOOKUP(I31,'1. Standard_Cost'!$B$4:$D$11,2)+VLOOKUP(I31,'1. Standard_Cost'!$B$4:$D$11,3))*J31*K31),"0")</f>
        <v>178164000</v>
      </c>
      <c r="M31" s="125">
        <f>L31*'1. Standard_Cost'!$F$4</f>
        <v>29753388</v>
      </c>
      <c r="N31" s="126"/>
      <c r="O31" s="126"/>
      <c r="P31" s="126"/>
      <c r="Q31" s="126"/>
      <c r="R31" s="127">
        <f>'1. Standard_Cost'!$B$15*N31*P31</f>
        <v>0</v>
      </c>
      <c r="S31" s="127">
        <f>N31*O31*P31*'1. Standard_Cost'!$C$15</f>
        <v>0</v>
      </c>
      <c r="T31" s="127">
        <f>N31*P31*Q31*'1. Standard_Cost'!$D$15</f>
        <v>0</v>
      </c>
      <c r="U31" s="127">
        <f>N31*O31*'1. Standard_Cost'!$E$15</f>
        <v>0</v>
      </c>
      <c r="V31" s="126"/>
      <c r="W31" s="126"/>
      <c r="X31" s="126"/>
      <c r="Y31" s="127">
        <f>+V31*((X31*'1. Standard_Cost'!$B$19)+(W31*X31*'1. Standard_Cost'!$C$19))</f>
        <v>0</v>
      </c>
      <c r="Z31" s="126"/>
      <c r="AA31" s="126"/>
      <c r="AB31" s="127">
        <f>+Z31*'1. Standard_Cost'!$B$23+AA31*'1. Standard_Cost'!$C$23</f>
        <v>0</v>
      </c>
      <c r="AC31" s="128"/>
      <c r="AD31" s="129"/>
      <c r="AE31" s="127">
        <f>SUM(AD31,AC31,AB31,Y31,U31,T31,S31,R31)*'1. Standard_Cost'!$B$31</f>
        <v>0</v>
      </c>
      <c r="AF31" s="127">
        <f t="shared" si="19"/>
        <v>0</v>
      </c>
      <c r="AG31" s="126"/>
      <c r="AH31" s="126"/>
      <c r="AI31" s="126"/>
      <c r="AJ31" s="130"/>
      <c r="AK31" s="130"/>
      <c r="AL31" s="130"/>
      <c r="AM31" s="127">
        <f>AG31*'1. Standard_Cost'!$B$27+'Incremental_Cost Year 4'!AH31*'1. Standard_Cost'!$C$27+'Incremental_Cost Year 4'!AI31*'1. Standard_Cost'!$D$27+'Incremental_Cost Year 4'!AJ31+'Incremental_Cost Year 4'!AL31+AK31</f>
        <v>0</v>
      </c>
      <c r="AN31" s="127">
        <f>AM31*'1. Standard_Cost'!$C$31</f>
        <v>0</v>
      </c>
      <c r="AO31" s="249"/>
      <c r="AQ31" s="171">
        <f t="shared" si="20"/>
        <v>207917388</v>
      </c>
      <c r="AR31" s="171">
        <f t="shared" si="21"/>
        <v>0</v>
      </c>
      <c r="AS31" s="171">
        <f t="shared" si="22"/>
        <v>0</v>
      </c>
      <c r="AT31" s="171">
        <f t="shared" si="23"/>
        <v>207917388</v>
      </c>
      <c r="AU31" s="250">
        <f>AT31</f>
        <v>207917388</v>
      </c>
      <c r="AV31" s="250"/>
      <c r="AW31" s="250"/>
      <c r="AX31" s="250"/>
      <c r="AY31" s="250"/>
      <c r="AZ31" s="250"/>
      <c r="BA31" s="250"/>
      <c r="BB31" s="251">
        <f t="shared" ref="BB31:BB36" si="25">SUM(AU31:BA31)-AT31</f>
        <v>0</v>
      </c>
      <c r="BC31" s="169"/>
      <c r="BD31" s="169"/>
      <c r="BE31" s="169"/>
      <c r="BF31" s="169"/>
    </row>
    <row r="32" spans="1:58" ht="78.75" outlineLevel="2" x14ac:dyDescent="0.25">
      <c r="A32" s="115"/>
      <c r="B32" s="200"/>
      <c r="C32" s="201"/>
      <c r="D32" s="135"/>
      <c r="E32" s="219"/>
      <c r="F32" s="219"/>
      <c r="G32" s="313"/>
      <c r="H32" s="213" t="s">
        <v>306</v>
      </c>
      <c r="I32" s="130" t="s">
        <v>4</v>
      </c>
      <c r="J32" s="126">
        <v>6</v>
      </c>
      <c r="K32" s="126">
        <v>36</v>
      </c>
      <c r="L32" s="125">
        <f>IF(I32&lt;&gt;0,((VLOOKUP(I32,'1. Standard_Cost'!$B$4:$D$11,2)+VLOOKUP(I32,'1. Standard_Cost'!$B$4:$D$11,3))*J32*K32),"0")</f>
        <v>17442000</v>
      </c>
      <c r="M32" s="125">
        <f>L32*'1. Standard_Cost'!$F$4</f>
        <v>2912814</v>
      </c>
      <c r="N32" s="126"/>
      <c r="O32" s="126"/>
      <c r="P32" s="126"/>
      <c r="Q32" s="126"/>
      <c r="R32" s="127">
        <f>'1. Standard_Cost'!$B$15*N32*P32</f>
        <v>0</v>
      </c>
      <c r="S32" s="127">
        <f>N32*O32*P32*'1. Standard_Cost'!$C$15</f>
        <v>0</v>
      </c>
      <c r="T32" s="127">
        <f>N32*P32*Q32*'1. Standard_Cost'!$D$15</f>
        <v>0</v>
      </c>
      <c r="U32" s="127">
        <f>N32*O32*'1. Standard_Cost'!$E$15</f>
        <v>0</v>
      </c>
      <c r="V32" s="126"/>
      <c r="W32" s="126"/>
      <c r="X32" s="126"/>
      <c r="Y32" s="127">
        <f>+V32*((X32*'1. Standard_Cost'!$B$19)+(W32*X32*'1. Standard_Cost'!$C$19))</f>
        <v>0</v>
      </c>
      <c r="Z32" s="126"/>
      <c r="AA32" s="126"/>
      <c r="AB32" s="127">
        <f>+Z32*'1. Standard_Cost'!$B$23+AA32*'1. Standard_Cost'!$C$23</f>
        <v>0</v>
      </c>
      <c r="AC32" s="128"/>
      <c r="AD32" s="129"/>
      <c r="AE32" s="127">
        <f>SUM(AD32,AC32,AB32,Y32,U32,T32,S32,R32)*'1. Standard_Cost'!$B$31</f>
        <v>0</v>
      </c>
      <c r="AF32" s="127">
        <f t="shared" si="19"/>
        <v>0</v>
      </c>
      <c r="AG32" s="126"/>
      <c r="AH32" s="126"/>
      <c r="AI32" s="126"/>
      <c r="AJ32" s="130"/>
      <c r="AK32" s="130"/>
      <c r="AL32" s="130"/>
      <c r="AM32" s="127">
        <f>AG32*'1. Standard_Cost'!$B$27+'Incremental_Cost Year 4'!AH32*'1. Standard_Cost'!$C$27+'Incremental_Cost Year 4'!AI32*'1. Standard_Cost'!$D$27+'Incremental_Cost Year 4'!AJ32+'Incremental_Cost Year 4'!AL32+AK32</f>
        <v>0</v>
      </c>
      <c r="AN32" s="127">
        <f>AM32*'1. Standard_Cost'!$C$31</f>
        <v>0</v>
      </c>
      <c r="AO32" s="249"/>
      <c r="AQ32" s="171">
        <f t="shared" si="20"/>
        <v>20354814</v>
      </c>
      <c r="AR32" s="171">
        <f t="shared" si="21"/>
        <v>0</v>
      </c>
      <c r="AS32" s="171">
        <f t="shared" si="22"/>
        <v>0</v>
      </c>
      <c r="AT32" s="171">
        <f t="shared" si="23"/>
        <v>20354814</v>
      </c>
      <c r="AU32" s="250">
        <f>AT32</f>
        <v>20354814</v>
      </c>
      <c r="AV32" s="250"/>
      <c r="AW32" s="250"/>
      <c r="AX32" s="250"/>
      <c r="AY32" s="250"/>
      <c r="AZ32" s="250"/>
      <c r="BA32" s="250"/>
      <c r="BB32" s="251">
        <f t="shared" si="25"/>
        <v>0</v>
      </c>
      <c r="BC32" s="169"/>
      <c r="BD32" s="169"/>
      <c r="BE32" s="169"/>
      <c r="BF32" s="169"/>
    </row>
    <row r="33" spans="1:58" ht="63" outlineLevel="2" x14ac:dyDescent="0.25">
      <c r="A33" s="115"/>
      <c r="B33" s="200"/>
      <c r="C33" s="201"/>
      <c r="D33" s="135"/>
      <c r="E33" s="219"/>
      <c r="F33" s="219"/>
      <c r="G33" s="313"/>
      <c r="H33" s="213" t="s">
        <v>389</v>
      </c>
      <c r="I33" s="130"/>
      <c r="J33" s="126"/>
      <c r="K33" s="126"/>
      <c r="L33" s="125" t="str">
        <f>IF(I33&lt;&gt;0,((VLOOKUP(I33,'1. Standard_Cost'!$B$4:$D$11,2)+VLOOKUP(I33,'1. Standard_Cost'!$B$4:$D$11,3))*J33*K33),"0")</f>
        <v>0</v>
      </c>
      <c r="M33" s="125">
        <f>L33*'1. Standard_Cost'!$F$4</f>
        <v>0</v>
      </c>
      <c r="N33" s="126"/>
      <c r="O33" s="126"/>
      <c r="P33" s="126"/>
      <c r="Q33" s="126"/>
      <c r="R33" s="127">
        <f>'1. Standard_Cost'!$B$15*N33*P33</f>
        <v>0</v>
      </c>
      <c r="S33" s="127">
        <f>N33*O33*P33*'1. Standard_Cost'!$C$15</f>
        <v>0</v>
      </c>
      <c r="T33" s="127">
        <f>N33*P33*Q33*'1. Standard_Cost'!$D$15</f>
        <v>0</v>
      </c>
      <c r="U33" s="127">
        <f>N33*O33*'1. Standard_Cost'!$E$15</f>
        <v>0</v>
      </c>
      <c r="V33" s="126"/>
      <c r="W33" s="126"/>
      <c r="X33" s="126"/>
      <c r="Y33" s="127">
        <f>+V33*((X33*'1. Standard_Cost'!$B$19)+(W33*X33*'1. Standard_Cost'!$C$19))</f>
        <v>0</v>
      </c>
      <c r="Z33" s="126"/>
      <c r="AA33" s="126"/>
      <c r="AB33" s="127">
        <f>+Z33*'1. Standard_Cost'!$B$23+AA33*'1. Standard_Cost'!$C$23</f>
        <v>0</v>
      </c>
      <c r="AC33" s="128"/>
      <c r="AD33" s="129"/>
      <c r="AE33" s="127">
        <f>SUM(AD33,AC33,AB33,Y33,U33,T33,S33,R33)*'1. Standard_Cost'!$B$31</f>
        <v>0</v>
      </c>
      <c r="AF33" s="127">
        <f t="shared" si="19"/>
        <v>0</v>
      </c>
      <c r="AG33" s="126"/>
      <c r="AH33" s="126"/>
      <c r="AI33" s="126"/>
      <c r="AJ33" s="130"/>
      <c r="AK33" s="130"/>
      <c r="AL33" s="130"/>
      <c r="AM33" s="127">
        <f>AG33*'1. Standard_Cost'!$B$27+'Incremental_Cost Year 4'!AH33*'1. Standard_Cost'!$C$27+'Incremental_Cost Year 4'!AI33*'1. Standard_Cost'!$D$27+'Incremental_Cost Year 4'!AJ33+'Incremental_Cost Year 4'!AL33+AK33</f>
        <v>0</v>
      </c>
      <c r="AN33" s="127">
        <f>AM33*'1. Standard_Cost'!$C$31</f>
        <v>0</v>
      </c>
      <c r="AO33" s="130"/>
      <c r="AQ33" s="171">
        <f t="shared" si="20"/>
        <v>0</v>
      </c>
      <c r="AR33" s="171">
        <f t="shared" si="21"/>
        <v>0</v>
      </c>
      <c r="AS33" s="171">
        <f t="shared" si="22"/>
        <v>0</v>
      </c>
      <c r="AT33" s="171">
        <f t="shared" si="23"/>
        <v>0</v>
      </c>
      <c r="AU33" s="250"/>
      <c r="AV33" s="250"/>
      <c r="AW33" s="250"/>
      <c r="AX33" s="250"/>
      <c r="AY33" s="250"/>
      <c r="AZ33" s="250"/>
      <c r="BA33" s="250"/>
      <c r="BB33" s="251">
        <f t="shared" si="25"/>
        <v>0</v>
      </c>
      <c r="BC33" s="169"/>
      <c r="BD33" s="169"/>
      <c r="BE33" s="169"/>
      <c r="BF33" s="169"/>
    </row>
    <row r="34" spans="1:58" ht="110.25" outlineLevel="2" x14ac:dyDescent="0.25">
      <c r="A34" s="115"/>
      <c r="B34" s="200"/>
      <c r="C34" s="201"/>
      <c r="D34" s="135"/>
      <c r="E34" s="219"/>
      <c r="F34" s="219"/>
      <c r="G34" s="313"/>
      <c r="H34" s="213" t="s">
        <v>390</v>
      </c>
      <c r="I34" s="130" t="s">
        <v>3</v>
      </c>
      <c r="J34" s="126">
        <v>12</v>
      </c>
      <c r="K34" s="126">
        <v>3</v>
      </c>
      <c r="L34" s="125">
        <f>IF(I34&lt;&gt;0,((VLOOKUP(I34,'1. Standard_Cost'!$B$4:$D$11,2)+VLOOKUP(I34,'1. Standard_Cost'!$B$4:$D$11,3))*J34*K34),"0")</f>
        <v>3628800</v>
      </c>
      <c r="M34" s="125">
        <f>L34*'1. Standard_Cost'!$F$4</f>
        <v>606009.59999999998</v>
      </c>
      <c r="N34" s="126"/>
      <c r="O34" s="126"/>
      <c r="P34" s="126"/>
      <c r="Q34" s="126"/>
      <c r="R34" s="127">
        <f>'1. Standard_Cost'!$B$15*N34*P34</f>
        <v>0</v>
      </c>
      <c r="S34" s="127">
        <f>N34*O34*P34*'1. Standard_Cost'!$C$15</f>
        <v>0</v>
      </c>
      <c r="T34" s="127">
        <f>N34*P34*Q34*'1. Standard_Cost'!$D$15</f>
        <v>0</v>
      </c>
      <c r="U34" s="127">
        <f>N34*O34*'1. Standard_Cost'!$E$15</f>
        <v>0</v>
      </c>
      <c r="V34" s="126"/>
      <c r="W34" s="126"/>
      <c r="X34" s="126"/>
      <c r="Y34" s="127">
        <f>+V34*((X34*'1. Standard_Cost'!$B$19)+(W34*X34*'1. Standard_Cost'!$C$19))</f>
        <v>0</v>
      </c>
      <c r="Z34" s="126"/>
      <c r="AA34" s="126"/>
      <c r="AB34" s="127">
        <f>+Z34*'1. Standard_Cost'!$B$23+AA34*'1. Standard_Cost'!$C$23</f>
        <v>0</v>
      </c>
      <c r="AC34" s="128">
        <v>1000000</v>
      </c>
      <c r="AD34" s="129"/>
      <c r="AE34" s="127">
        <f>SUM(AD34,AC34,AB34,Y34,U34,T34,S34,R34)*'1. Standard_Cost'!$B$31</f>
        <v>200000</v>
      </c>
      <c r="AF34" s="127">
        <f t="shared" si="19"/>
        <v>1200000</v>
      </c>
      <c r="AG34" s="126"/>
      <c r="AH34" s="126"/>
      <c r="AI34" s="126"/>
      <c r="AJ34" s="130"/>
      <c r="AK34" s="130"/>
      <c r="AL34" s="130"/>
      <c r="AM34" s="127">
        <f>AG34*'1. Standard_Cost'!$B$27+'Incremental_Cost Year 4'!AH34*'1. Standard_Cost'!$C$27+'Incremental_Cost Year 4'!AI34*'1. Standard_Cost'!$D$27+'Incremental_Cost Year 4'!AJ34+'Incremental_Cost Year 4'!AL34+AK34</f>
        <v>0</v>
      </c>
      <c r="AN34" s="127">
        <f>AM34*'1. Standard_Cost'!$C$31</f>
        <v>0</v>
      </c>
      <c r="AO34" s="130"/>
      <c r="AQ34" s="171">
        <f t="shared" si="20"/>
        <v>4234809.5999999996</v>
      </c>
      <c r="AR34" s="171">
        <f t="shared" si="21"/>
        <v>1200000</v>
      </c>
      <c r="AS34" s="171">
        <f t="shared" si="22"/>
        <v>0</v>
      </c>
      <c r="AT34" s="171">
        <f t="shared" si="23"/>
        <v>5434809.5999999996</v>
      </c>
      <c r="AU34" s="250">
        <f>AT34</f>
        <v>5434809.5999999996</v>
      </c>
      <c r="AV34" s="250"/>
      <c r="AW34" s="250"/>
      <c r="AX34" s="250"/>
      <c r="AY34" s="250"/>
      <c r="AZ34" s="250"/>
      <c r="BA34" s="250"/>
      <c r="BB34" s="251">
        <f t="shared" si="25"/>
        <v>0</v>
      </c>
      <c r="BC34" s="169"/>
      <c r="BD34" s="169"/>
      <c r="BE34" s="169"/>
      <c r="BF34" s="169"/>
    </row>
    <row r="35" spans="1:58" ht="78.75" outlineLevel="2" x14ac:dyDescent="0.25">
      <c r="A35" s="115"/>
      <c r="B35" s="200"/>
      <c r="C35" s="201"/>
      <c r="D35" s="135"/>
      <c r="E35" s="219"/>
      <c r="F35" s="219"/>
      <c r="G35" s="313"/>
      <c r="H35" s="213" t="s">
        <v>391</v>
      </c>
      <c r="I35" s="130" t="s">
        <v>5</v>
      </c>
      <c r="J35" s="126">
        <v>1</v>
      </c>
      <c r="K35" s="126">
        <v>420</v>
      </c>
      <c r="L35" s="125">
        <f>IF(I35&lt;&gt;0,((VLOOKUP(I35,'1. Standard_Cost'!$B$4:$D$11,2)+VLOOKUP(I35,'1. Standard_Cost'!$B$4:$D$11,3))*J35*K35),"0")</f>
        <v>29694000</v>
      </c>
      <c r="M35" s="125">
        <f>L35*'1. Standard_Cost'!$F$4</f>
        <v>4958898</v>
      </c>
      <c r="N35" s="126"/>
      <c r="O35" s="126"/>
      <c r="P35" s="126"/>
      <c r="Q35" s="126"/>
      <c r="R35" s="127">
        <f>'1. Standard_Cost'!$B$15*N35*P35</f>
        <v>0</v>
      </c>
      <c r="S35" s="127">
        <f>N35*O35*P35*'1. Standard_Cost'!$C$15</f>
        <v>0</v>
      </c>
      <c r="T35" s="127">
        <f>N35*P35*Q35*'1. Standard_Cost'!$D$15</f>
        <v>0</v>
      </c>
      <c r="U35" s="127">
        <f>N35*O35*'1. Standard_Cost'!$E$15</f>
        <v>0</v>
      </c>
      <c r="V35" s="126"/>
      <c r="W35" s="126"/>
      <c r="X35" s="126"/>
      <c r="Y35" s="127">
        <f>+V35*((X35*'1. Standard_Cost'!$B$19)+(W35*X35*'1. Standard_Cost'!$C$19))</f>
        <v>0</v>
      </c>
      <c r="Z35" s="126"/>
      <c r="AA35" s="126"/>
      <c r="AB35" s="127">
        <f>+Z35*'1. Standard_Cost'!$B$23+AA35*'1. Standard_Cost'!$C$23</f>
        <v>0</v>
      </c>
      <c r="AC35" s="128"/>
      <c r="AD35" s="129"/>
      <c r="AE35" s="127">
        <f>SUM(AD35,AC35,AB35,Y35,U35,T35,S35,R35)*'1. Standard_Cost'!$B$31</f>
        <v>0</v>
      </c>
      <c r="AF35" s="127">
        <f t="shared" si="19"/>
        <v>0</v>
      </c>
      <c r="AG35" s="126"/>
      <c r="AH35" s="126"/>
      <c r="AI35" s="126"/>
      <c r="AJ35" s="130"/>
      <c r="AK35" s="130"/>
      <c r="AL35" s="130"/>
      <c r="AM35" s="127">
        <f>AG35*'1. Standard_Cost'!$B$27+'Incremental_Cost Year 4'!AH35*'1. Standard_Cost'!$C$27+'Incremental_Cost Year 4'!AI35*'1. Standard_Cost'!$D$27+'Incremental_Cost Year 4'!AJ35+'Incremental_Cost Year 4'!AL35+AK35</f>
        <v>0</v>
      </c>
      <c r="AN35" s="127">
        <f>AM35*'1. Standard_Cost'!$C$31</f>
        <v>0</v>
      </c>
      <c r="AO35" s="130"/>
      <c r="AQ35" s="171">
        <f t="shared" si="20"/>
        <v>34652898</v>
      </c>
      <c r="AR35" s="171">
        <f t="shared" si="21"/>
        <v>0</v>
      </c>
      <c r="AS35" s="171">
        <f t="shared" si="22"/>
        <v>0</v>
      </c>
      <c r="AT35" s="171">
        <f t="shared" si="23"/>
        <v>34652898</v>
      </c>
      <c r="AU35" s="250">
        <f>AT35</f>
        <v>34652898</v>
      </c>
      <c r="AV35" s="250"/>
      <c r="AW35" s="250"/>
      <c r="AX35" s="250"/>
      <c r="AY35" s="250"/>
      <c r="AZ35" s="250"/>
      <c r="BA35" s="250"/>
      <c r="BB35" s="251">
        <f t="shared" si="25"/>
        <v>0</v>
      </c>
      <c r="BC35" s="169"/>
      <c r="BD35" s="169"/>
      <c r="BE35" s="169"/>
      <c r="BF35" s="169"/>
    </row>
    <row r="36" spans="1:58" ht="78.75" outlineLevel="2" x14ac:dyDescent="0.25">
      <c r="A36" s="115"/>
      <c r="B36" s="200"/>
      <c r="C36" s="201"/>
      <c r="D36" s="223"/>
      <c r="E36" s="122"/>
      <c r="F36" s="122"/>
      <c r="G36" s="123"/>
      <c r="H36" s="213" t="s">
        <v>392</v>
      </c>
      <c r="I36" s="130" t="s">
        <v>4</v>
      </c>
      <c r="J36" s="126">
        <v>1</v>
      </c>
      <c r="K36" s="126">
        <v>36</v>
      </c>
      <c r="L36" s="125">
        <f>IF(I36&lt;&gt;0,((VLOOKUP(I36,'1. Standard_Cost'!$B$4:$D$11,2)+VLOOKUP(I36,'1. Standard_Cost'!$B$4:$D$11,3))*J36*K36),"0")</f>
        <v>2907000</v>
      </c>
      <c r="M36" s="125">
        <f>L36*'1. Standard_Cost'!$F$4</f>
        <v>485469</v>
      </c>
      <c r="N36" s="126"/>
      <c r="O36" s="126"/>
      <c r="P36" s="126"/>
      <c r="Q36" s="126"/>
      <c r="R36" s="127">
        <f>'1. Standard_Cost'!$B$15*N36*P36</f>
        <v>0</v>
      </c>
      <c r="S36" s="127">
        <f>N36*O36*P36*'1. Standard_Cost'!$C$15</f>
        <v>0</v>
      </c>
      <c r="T36" s="127">
        <f>N36*P36*Q36*'1. Standard_Cost'!$D$15</f>
        <v>0</v>
      </c>
      <c r="U36" s="127">
        <f>N36*O36*'1. Standard_Cost'!$E$15</f>
        <v>0</v>
      </c>
      <c r="V36" s="126"/>
      <c r="W36" s="126"/>
      <c r="X36" s="126"/>
      <c r="Y36" s="127">
        <f>+V36*((X36*'1. Standard_Cost'!$B$19)+(W36*X36*'1. Standard_Cost'!$C$19))</f>
        <v>0</v>
      </c>
      <c r="Z36" s="126"/>
      <c r="AA36" s="126"/>
      <c r="AB36" s="127">
        <f>+Z36*'1. Standard_Cost'!$B$23+AA36*'1. Standard_Cost'!$C$23</f>
        <v>0</v>
      </c>
      <c r="AC36" s="128"/>
      <c r="AD36" s="129"/>
      <c r="AE36" s="127">
        <f>SUM(AD36,AC36,AB36,Y36,U36,T36,S36,R36)*'1. Standard_Cost'!$B$31</f>
        <v>0</v>
      </c>
      <c r="AF36" s="127">
        <f t="shared" si="19"/>
        <v>0</v>
      </c>
      <c r="AG36" s="126"/>
      <c r="AH36" s="126"/>
      <c r="AI36" s="126"/>
      <c r="AJ36" s="130"/>
      <c r="AK36" s="130"/>
      <c r="AL36" s="130"/>
      <c r="AM36" s="127">
        <f>AG36*'1. Standard_Cost'!$B$27+'Incremental_Cost Year 4'!AH36*'1. Standard_Cost'!$C$27+'Incremental_Cost Year 4'!AI36*'1. Standard_Cost'!$D$27+'Incremental_Cost Year 4'!AJ36+'Incremental_Cost Year 4'!AL36+AK36</f>
        <v>0</v>
      </c>
      <c r="AN36" s="127">
        <f>AM36*'1. Standard_Cost'!$C$31</f>
        <v>0</v>
      </c>
      <c r="AO36" s="130"/>
      <c r="AQ36" s="171">
        <f t="shared" si="20"/>
        <v>3392469</v>
      </c>
      <c r="AR36" s="171">
        <f t="shared" si="21"/>
        <v>0</v>
      </c>
      <c r="AS36" s="171">
        <f t="shared" si="22"/>
        <v>0</v>
      </c>
      <c r="AT36" s="171">
        <f t="shared" si="23"/>
        <v>3392469</v>
      </c>
      <c r="AU36" s="250">
        <f>AT36</f>
        <v>3392469</v>
      </c>
      <c r="AV36" s="250"/>
      <c r="AW36" s="250"/>
      <c r="AX36" s="250"/>
      <c r="AY36" s="250"/>
      <c r="AZ36" s="250"/>
      <c r="BA36" s="250"/>
      <c r="BB36" s="251">
        <f t="shared" si="25"/>
        <v>0</v>
      </c>
      <c r="BC36" s="169"/>
      <c r="BD36" s="169"/>
      <c r="BE36" s="169"/>
      <c r="BF36" s="169"/>
    </row>
    <row r="37" spans="1:58" ht="63" outlineLevel="1" x14ac:dyDescent="0.25">
      <c r="A37" s="115"/>
      <c r="B37" s="165"/>
      <c r="C37" s="166"/>
      <c r="D37" s="150" t="s">
        <v>384</v>
      </c>
      <c r="E37" s="139" t="s">
        <v>200</v>
      </c>
      <c r="F37" s="222">
        <v>2021</v>
      </c>
      <c r="G37" s="117">
        <v>2030</v>
      </c>
      <c r="H37" s="134" t="s">
        <v>201</v>
      </c>
      <c r="I37" s="252"/>
      <c r="J37" s="252"/>
      <c r="K37" s="252"/>
      <c r="L37" s="127">
        <f>SUM(L30:L36)</f>
        <v>236674200</v>
      </c>
      <c r="M37" s="127">
        <f>SUM(M30:M36)</f>
        <v>39524591.399999999</v>
      </c>
      <c r="N37" s="127"/>
      <c r="O37" s="252"/>
      <c r="P37" s="252"/>
      <c r="Q37" s="252"/>
      <c r="R37" s="127">
        <f>SUM(R30:R36)</f>
        <v>0</v>
      </c>
      <c r="S37" s="127">
        <f>SUM(S30:S36)</f>
        <v>0</v>
      </c>
      <c r="T37" s="127">
        <f>SUM(T30:T36)</f>
        <v>0</v>
      </c>
      <c r="U37" s="127">
        <f>SUM(U30:U36)</f>
        <v>0</v>
      </c>
      <c r="V37" s="252"/>
      <c r="W37" s="252"/>
      <c r="X37" s="252"/>
      <c r="Y37" s="127">
        <f>SUM(Y30:Y36)</f>
        <v>0</v>
      </c>
      <c r="Z37" s="252"/>
      <c r="AA37" s="252"/>
      <c r="AB37" s="127">
        <f>SUM(AB30:AB36)</f>
        <v>0</v>
      </c>
      <c r="AC37" s="127">
        <f>SUM(AC30:AC36)</f>
        <v>1000000</v>
      </c>
      <c r="AD37" s="127">
        <f>SUM(AD30:AD36)</f>
        <v>0</v>
      </c>
      <c r="AE37" s="127">
        <f>SUM(AE30:AE36)</f>
        <v>200000</v>
      </c>
      <c r="AF37" s="127">
        <f>SUM(AF30:AF36)</f>
        <v>1200000</v>
      </c>
      <c r="AG37" s="252"/>
      <c r="AH37" s="252"/>
      <c r="AI37" s="252"/>
      <c r="AJ37" s="127">
        <f>SUM(AJ30:AJ36)</f>
        <v>0</v>
      </c>
      <c r="AK37" s="127">
        <f>SUM(AK30:AK36)</f>
        <v>0</v>
      </c>
      <c r="AL37" s="127">
        <f>SUM(AL30:AL36)</f>
        <v>0</v>
      </c>
      <c r="AM37" s="127">
        <f>SUM(AM30:AM36)</f>
        <v>0</v>
      </c>
      <c r="AN37" s="127">
        <f>SUM(AN30:AN36)</f>
        <v>0</v>
      </c>
      <c r="AO37" s="253"/>
      <c r="AP37" s="254"/>
      <c r="AQ37" s="175">
        <f>SUM(AQ30:AQ36)</f>
        <v>276198791.39999998</v>
      </c>
      <c r="AR37" s="175">
        <f>SUM(AR30:AR36)</f>
        <v>1200000</v>
      </c>
      <c r="AS37" s="175">
        <f>SUM(AS30:AS36)</f>
        <v>0</v>
      </c>
      <c r="AT37" s="175">
        <f>SUM(AT30:AT36)</f>
        <v>277398791.39999998</v>
      </c>
      <c r="AU37" s="175">
        <f t="shared" ref="AU37:BB37" si="26">SUM(AU30:AU36)</f>
        <v>277398791.39999998</v>
      </c>
      <c r="AV37" s="175">
        <f t="shared" si="26"/>
        <v>0</v>
      </c>
      <c r="AW37" s="175">
        <f t="shared" si="26"/>
        <v>0</v>
      </c>
      <c r="AX37" s="175">
        <f t="shared" si="26"/>
        <v>0</v>
      </c>
      <c r="AY37" s="175">
        <f t="shared" si="26"/>
        <v>0</v>
      </c>
      <c r="AZ37" s="175">
        <f t="shared" si="26"/>
        <v>0</v>
      </c>
      <c r="BA37" s="175">
        <f t="shared" si="26"/>
        <v>0</v>
      </c>
      <c r="BB37" s="175">
        <f t="shared" si="26"/>
        <v>0</v>
      </c>
      <c r="BC37" s="169"/>
      <c r="BD37" s="169"/>
      <c r="BE37" s="169"/>
      <c r="BF37" s="169"/>
    </row>
    <row r="38" spans="1:58" ht="63" outlineLevel="2" x14ac:dyDescent="0.25">
      <c r="A38" s="115"/>
      <c r="B38" s="200"/>
      <c r="C38" s="201"/>
      <c r="D38" s="224"/>
      <c r="E38" s="135" t="s">
        <v>393</v>
      </c>
      <c r="F38" s="302">
        <v>2021</v>
      </c>
      <c r="G38" s="302">
        <v>2023</v>
      </c>
      <c r="H38" s="199" t="s">
        <v>394</v>
      </c>
      <c r="I38" s="130"/>
      <c r="J38" s="126"/>
      <c r="K38" s="126"/>
      <c r="L38" s="125" t="str">
        <f>IF(I38&lt;&gt;0,((VLOOKUP(I38,'1. Standard_Cost'!$B$4:$D$11,2)+VLOOKUP(I38,'1. Standard_Cost'!$B$4:$D$11,3))*J38*K38),"0")</f>
        <v>0</v>
      </c>
      <c r="M38" s="125">
        <f>L38*'1. Standard_Cost'!$F$4</f>
        <v>0</v>
      </c>
      <c r="N38" s="126"/>
      <c r="O38" s="126"/>
      <c r="P38" s="126"/>
      <c r="Q38" s="126"/>
      <c r="R38" s="127">
        <f>'1. Standard_Cost'!$B$15*N38*P38</f>
        <v>0</v>
      </c>
      <c r="S38" s="127">
        <f>N38*O38*P38*'1. Standard_Cost'!$C$15</f>
        <v>0</v>
      </c>
      <c r="T38" s="127">
        <f>N38*P38*Q38*'1. Standard_Cost'!$D$15</f>
        <v>0</v>
      </c>
      <c r="U38" s="127">
        <f>N38*O38*'1. Standard_Cost'!$E$15</f>
        <v>0</v>
      </c>
      <c r="V38" s="126"/>
      <c r="W38" s="126"/>
      <c r="X38" s="126"/>
      <c r="Y38" s="127">
        <f>+V38*((X38*'1. Standard_Cost'!$B$19)+(W38*X38*'1. Standard_Cost'!$C$19))</f>
        <v>0</v>
      </c>
      <c r="Z38" s="126"/>
      <c r="AA38" s="126"/>
      <c r="AB38" s="127">
        <f>+Z38*'1. Standard_Cost'!$B$23+AA38*'1. Standard_Cost'!$C$23</f>
        <v>0</v>
      </c>
      <c r="AC38" s="128"/>
      <c r="AD38" s="129"/>
      <c r="AE38" s="127"/>
      <c r="AF38" s="127">
        <f>SUM(AE38,AD38,AC38,AB38,Y38,U38,T38,S38,R38)</f>
        <v>0</v>
      </c>
      <c r="AG38" s="126"/>
      <c r="AH38" s="126"/>
      <c r="AI38" s="126"/>
      <c r="AJ38" s="130"/>
      <c r="AK38" s="130"/>
      <c r="AL38" s="130"/>
      <c r="AM38" s="127">
        <f>AG38*'1. Standard_Cost'!$B$27+'Incremental_Cost Year 4'!AH38*'1. Standard_Cost'!$C$27+'Incremental_Cost Year 4'!AI38*'1. Standard_Cost'!$D$27+'Incremental_Cost Year 4'!AJ38+'Incremental_Cost Year 4'!AL38+AK38</f>
        <v>0</v>
      </c>
      <c r="AN38" s="127">
        <f>AM38*'1. Standard_Cost'!$C$31</f>
        <v>0</v>
      </c>
      <c r="AO38" s="249"/>
      <c r="AQ38" s="171">
        <f>L38+M38</f>
        <v>0</v>
      </c>
      <c r="AR38" s="171">
        <f>AF38</f>
        <v>0</v>
      </c>
      <c r="AS38" s="171">
        <f>AM38+AN38</f>
        <v>0</v>
      </c>
      <c r="AT38" s="171">
        <f>SUM(AQ38,AR38,AS38)</f>
        <v>0</v>
      </c>
      <c r="AU38" s="250">
        <f>AT38</f>
        <v>0</v>
      </c>
      <c r="AV38" s="250"/>
      <c r="AW38" s="250"/>
      <c r="AX38" s="250"/>
      <c r="AY38" s="250"/>
      <c r="AZ38" s="250"/>
      <c r="BA38" s="250"/>
      <c r="BB38" s="251">
        <f t="shared" ref="BB38" si="27">SUM(AU38:BA38)-AT38</f>
        <v>0</v>
      </c>
      <c r="BC38" s="169"/>
      <c r="BD38" s="169"/>
      <c r="BE38" s="169"/>
      <c r="BF38" s="169"/>
    </row>
    <row r="39" spans="1:58" ht="31.5" outlineLevel="1" x14ac:dyDescent="0.25">
      <c r="A39" s="115"/>
      <c r="B39" s="303"/>
      <c r="C39" s="304"/>
      <c r="D39" s="107" t="s">
        <v>388</v>
      </c>
      <c r="E39" s="139" t="s">
        <v>202</v>
      </c>
      <c r="F39" s="122">
        <v>2021</v>
      </c>
      <c r="G39" s="223">
        <v>2030</v>
      </c>
      <c r="H39" s="134" t="s">
        <v>203</v>
      </c>
      <c r="I39" s="252"/>
      <c r="J39" s="252"/>
      <c r="K39" s="252"/>
      <c r="L39" s="127">
        <f>SUM(L38:L38)</f>
        <v>0</v>
      </c>
      <c r="M39" s="127">
        <f>SUM(M38:M38)</f>
        <v>0</v>
      </c>
      <c r="N39" s="127"/>
      <c r="O39" s="252"/>
      <c r="P39" s="252"/>
      <c r="Q39" s="252"/>
      <c r="R39" s="127">
        <f>SUM(R38:R38)</f>
        <v>0</v>
      </c>
      <c r="S39" s="127">
        <f>SUM(S38:S38)</f>
        <v>0</v>
      </c>
      <c r="T39" s="127">
        <f>SUM(T38:T38)</f>
        <v>0</v>
      </c>
      <c r="U39" s="127">
        <f>SUM(U38:U38)</f>
        <v>0</v>
      </c>
      <c r="V39" s="252"/>
      <c r="W39" s="252"/>
      <c r="X39" s="252"/>
      <c r="Y39" s="127">
        <f>SUM(Y38:Y38)</f>
        <v>0</v>
      </c>
      <c r="Z39" s="252"/>
      <c r="AA39" s="252"/>
      <c r="AB39" s="127">
        <f>SUM(AB38:AB38)</f>
        <v>0</v>
      </c>
      <c r="AC39" s="127">
        <f>SUM(AC38:AC38)</f>
        <v>0</v>
      </c>
      <c r="AD39" s="127">
        <f>SUM(AD38:AD38)</f>
        <v>0</v>
      </c>
      <c r="AE39" s="127">
        <f>SUM(AE38:AE38)</f>
        <v>0</v>
      </c>
      <c r="AF39" s="127">
        <f>SUM(AF38:AF38)</f>
        <v>0</v>
      </c>
      <c r="AG39" s="252"/>
      <c r="AH39" s="252"/>
      <c r="AI39" s="252"/>
      <c r="AJ39" s="127">
        <f>SUM(AJ38:AJ38)</f>
        <v>0</v>
      </c>
      <c r="AK39" s="127">
        <f>SUM(AK38:AK38)</f>
        <v>0</v>
      </c>
      <c r="AL39" s="127">
        <f>SUM(AL38:AL38)</f>
        <v>0</v>
      </c>
      <c r="AM39" s="127">
        <f>SUM(AM38:AM38)</f>
        <v>0</v>
      </c>
      <c r="AN39" s="127">
        <f>SUM(AN38:AN38)</f>
        <v>0</v>
      </c>
      <c r="AO39" s="253"/>
      <c r="AP39" s="254"/>
      <c r="AQ39" s="175">
        <f>SUM(AQ38:AQ38)</f>
        <v>0</v>
      </c>
      <c r="AR39" s="175">
        <f>SUM(AR38:AR38)</f>
        <v>0</v>
      </c>
      <c r="AS39" s="175">
        <f>SUM(AS38:AS38)</f>
        <v>0</v>
      </c>
      <c r="AT39" s="175">
        <f>SUM(AT38:AT38)</f>
        <v>0</v>
      </c>
      <c r="AU39" s="175">
        <f t="shared" ref="AU39:BB39" si="28">SUM(AU38:AU38)</f>
        <v>0</v>
      </c>
      <c r="AV39" s="175">
        <f t="shared" si="28"/>
        <v>0</v>
      </c>
      <c r="AW39" s="175">
        <f t="shared" si="28"/>
        <v>0</v>
      </c>
      <c r="AX39" s="175">
        <f t="shared" si="28"/>
        <v>0</v>
      </c>
      <c r="AY39" s="175">
        <f t="shared" si="28"/>
        <v>0</v>
      </c>
      <c r="AZ39" s="175">
        <f t="shared" si="28"/>
        <v>0</v>
      </c>
      <c r="BA39" s="175">
        <f t="shared" si="28"/>
        <v>0</v>
      </c>
      <c r="BB39" s="175">
        <f t="shared" si="28"/>
        <v>0</v>
      </c>
      <c r="BC39" s="169"/>
      <c r="BD39" s="169"/>
      <c r="BE39" s="169"/>
      <c r="BF39" s="169"/>
    </row>
    <row r="40" spans="1:58" s="170" customFormat="1" ht="15.75" customHeight="1" x14ac:dyDescent="0.25">
      <c r="A40" s="120"/>
      <c r="B40" s="290"/>
      <c r="C40" s="391" t="s">
        <v>204</v>
      </c>
      <c r="D40" s="391"/>
      <c r="E40" s="392"/>
      <c r="F40" s="289"/>
      <c r="G40" s="288"/>
      <c r="H40" s="114" t="s">
        <v>207</v>
      </c>
      <c r="I40" s="246"/>
      <c r="J40" s="246"/>
      <c r="K40" s="246"/>
      <c r="L40" s="247">
        <f>SUM(L44)</f>
        <v>201875</v>
      </c>
      <c r="M40" s="247">
        <f>SUM(M44)</f>
        <v>33713.125</v>
      </c>
      <c r="N40" s="247"/>
      <c r="O40" s="247"/>
      <c r="P40" s="247"/>
      <c r="Q40" s="247"/>
      <c r="R40" s="247">
        <f>SUM(R44)</f>
        <v>500000</v>
      </c>
      <c r="S40" s="247">
        <f>SUM(S44)</f>
        <v>375000</v>
      </c>
      <c r="T40" s="247">
        <f>SUM(T44)</f>
        <v>0</v>
      </c>
      <c r="U40" s="247">
        <f>SUM(U44)</f>
        <v>400000</v>
      </c>
      <c r="V40" s="247"/>
      <c r="W40" s="247"/>
      <c r="X40" s="247"/>
      <c r="Y40" s="247">
        <f>SUM(Y44)</f>
        <v>0</v>
      </c>
      <c r="Z40" s="247">
        <f t="shared" ref="Z40:AA40" si="29">SUM(Z44)</f>
        <v>0</v>
      </c>
      <c r="AA40" s="247">
        <f t="shared" si="29"/>
        <v>0</v>
      </c>
      <c r="AB40" s="247">
        <f t="shared" ref="AB40:AF40" si="30">SUM(AB44)</f>
        <v>228000</v>
      </c>
      <c r="AC40" s="247">
        <f t="shared" si="30"/>
        <v>3325000</v>
      </c>
      <c r="AD40" s="247">
        <f t="shared" si="30"/>
        <v>0</v>
      </c>
      <c r="AE40" s="247">
        <f t="shared" si="30"/>
        <v>465600</v>
      </c>
      <c r="AF40" s="247">
        <f t="shared" si="30"/>
        <v>5293600</v>
      </c>
      <c r="AG40" s="247"/>
      <c r="AH40" s="247"/>
      <c r="AI40" s="247"/>
      <c r="AJ40" s="247">
        <f>SUM(AJ44)</f>
        <v>0</v>
      </c>
      <c r="AK40" s="247">
        <f>SUM(AK44)</f>
        <v>0</v>
      </c>
      <c r="AL40" s="247">
        <f>SUM(AL44)</f>
        <v>0</v>
      </c>
      <c r="AM40" s="247">
        <f>SUM(AM44)</f>
        <v>0</v>
      </c>
      <c r="AN40" s="247">
        <f>SUM(AN44)</f>
        <v>0</v>
      </c>
      <c r="AO40" s="247"/>
      <c r="AP40" s="244"/>
      <c r="AQ40" s="248">
        <f>SUM(AQ44)</f>
        <v>235588.125</v>
      </c>
      <c r="AR40" s="248">
        <f>SUM(AR44)</f>
        <v>5293600</v>
      </c>
      <c r="AS40" s="248">
        <f>SUM(AS44)</f>
        <v>0</v>
      </c>
      <c r="AT40" s="248">
        <f>SUM(AT44)</f>
        <v>5529188.125</v>
      </c>
      <c r="AU40" s="248">
        <f t="shared" ref="AU40:BB40" si="31">SUM(AU44)</f>
        <v>235588.125</v>
      </c>
      <c r="AV40" s="248">
        <f t="shared" si="31"/>
        <v>0</v>
      </c>
      <c r="AW40" s="248">
        <f t="shared" si="31"/>
        <v>0</v>
      </c>
      <c r="AX40" s="248">
        <f t="shared" si="31"/>
        <v>0</v>
      </c>
      <c r="AY40" s="248">
        <f t="shared" si="31"/>
        <v>0</v>
      </c>
      <c r="AZ40" s="248">
        <f t="shared" si="31"/>
        <v>0</v>
      </c>
      <c r="BA40" s="248">
        <f t="shared" si="31"/>
        <v>0</v>
      </c>
      <c r="BB40" s="248">
        <f t="shared" si="31"/>
        <v>-5293600</v>
      </c>
    </row>
    <row r="41" spans="1:58" ht="94.5" outlineLevel="2" x14ac:dyDescent="0.25">
      <c r="A41" s="115"/>
      <c r="B41" s="200"/>
      <c r="C41" s="201"/>
      <c r="D41" s="138"/>
      <c r="E41" s="295"/>
      <c r="F41" s="295"/>
      <c r="G41" s="296"/>
      <c r="H41" s="213" t="s">
        <v>395</v>
      </c>
      <c r="I41" s="130"/>
      <c r="J41" s="126"/>
      <c r="K41" s="126"/>
      <c r="L41" s="125" t="str">
        <f>IF(I41&lt;&gt;0,((VLOOKUP(I41,'1. Standard_Cost'!$B$4:$D$11,2)+VLOOKUP(I41,'1. Standard_Cost'!$B$4:$D$11,3))*J41*K41),"0")</f>
        <v>0</v>
      </c>
      <c r="M41" s="125">
        <f>L41*'1. Standard_Cost'!$F$4</f>
        <v>0</v>
      </c>
      <c r="N41" s="126"/>
      <c r="O41" s="126"/>
      <c r="P41" s="126"/>
      <c r="Q41" s="126"/>
      <c r="R41" s="127">
        <f>'1. Standard_Cost'!$B$15*N41*P41</f>
        <v>0</v>
      </c>
      <c r="S41" s="127">
        <f>N41*O41*P41*'1. Standard_Cost'!$C$15</f>
        <v>0</v>
      </c>
      <c r="T41" s="127">
        <f>N41*P41*Q41*'1. Standard_Cost'!$D$15</f>
        <v>0</v>
      </c>
      <c r="U41" s="127">
        <f>N41*O41*'1. Standard_Cost'!$E$15</f>
        <v>0</v>
      </c>
      <c r="V41" s="126"/>
      <c r="W41" s="126"/>
      <c r="X41" s="126"/>
      <c r="Y41" s="127">
        <f>+V41*((X41*'1. Standard_Cost'!$B$19)+(W41*X41*'1. Standard_Cost'!$C$19))</f>
        <v>0</v>
      </c>
      <c r="Z41" s="126"/>
      <c r="AA41" s="126"/>
      <c r="AB41" s="127">
        <f>+Z41*'1. Standard_Cost'!$B$23+AA41*'1. Standard_Cost'!$C$23</f>
        <v>0</v>
      </c>
      <c r="AC41" s="128">
        <v>0</v>
      </c>
      <c r="AD41" s="129"/>
      <c r="AE41" s="127"/>
      <c r="AF41" s="127">
        <f>SUM(AE41,AD41,AC41,AB41,Y41,U41,T41,S41,R41)</f>
        <v>0</v>
      </c>
      <c r="AG41" s="126"/>
      <c r="AH41" s="126"/>
      <c r="AI41" s="126"/>
      <c r="AJ41" s="130"/>
      <c r="AK41" s="130"/>
      <c r="AL41" s="130"/>
      <c r="AM41" s="127">
        <f>AG41*'1. Standard_Cost'!$B$27+'Incremental_Cost Year 4'!AH41*'1. Standard_Cost'!$C$27+'Incremental_Cost Year 4'!AI41*'1. Standard_Cost'!$D$27+'Incremental_Cost Year 4'!AJ41+'Incremental_Cost Year 4'!AL41+AK41</f>
        <v>0</v>
      </c>
      <c r="AN41" s="127">
        <f>AM41*'1. Standard_Cost'!$C$31</f>
        <v>0</v>
      </c>
      <c r="AO41" s="249"/>
      <c r="AQ41" s="171">
        <f>L41+M41</f>
        <v>0</v>
      </c>
      <c r="AR41" s="171">
        <f>AF41</f>
        <v>0</v>
      </c>
      <c r="AS41" s="171">
        <f>AM41+AN41</f>
        <v>0</v>
      </c>
      <c r="AT41" s="171">
        <f>SUM(AQ41,AR41,AS41)</f>
        <v>0</v>
      </c>
      <c r="AU41" s="250">
        <f>AQ41</f>
        <v>0</v>
      </c>
      <c r="AV41" s="250"/>
      <c r="AW41" s="250"/>
      <c r="AX41" s="250">
        <v>0</v>
      </c>
      <c r="AY41" s="250"/>
      <c r="AZ41" s="250">
        <f>AT41</f>
        <v>0</v>
      </c>
      <c r="BA41" s="250"/>
      <c r="BB41" s="251">
        <f t="shared" ref="BB41:BB43" si="32">SUM(AU41:BA41)-AT41</f>
        <v>0</v>
      </c>
      <c r="BC41" s="169"/>
      <c r="BD41" s="169"/>
      <c r="BE41" s="169"/>
      <c r="BF41" s="169"/>
    </row>
    <row r="42" spans="1:58" ht="157.5" outlineLevel="2" x14ac:dyDescent="0.25">
      <c r="A42" s="115"/>
      <c r="B42" s="200"/>
      <c r="C42" s="201"/>
      <c r="D42" s="135"/>
      <c r="E42" s="219"/>
      <c r="F42" s="219"/>
      <c r="G42" s="313"/>
      <c r="H42" s="213" t="s">
        <v>538</v>
      </c>
      <c r="I42" s="130" t="s">
        <v>4</v>
      </c>
      <c r="J42" s="126">
        <v>0.5</v>
      </c>
      <c r="K42" s="126">
        <v>5</v>
      </c>
      <c r="L42" s="125">
        <f>IF(I42&lt;&gt;0,((VLOOKUP(I42,'1. Standard_Cost'!$B$4:$D$11,2)+VLOOKUP(I42,'1. Standard_Cost'!$B$4:$D$11,3))*J42*K42),"0")</f>
        <v>201875</v>
      </c>
      <c r="M42" s="125">
        <f>L42*'1. Standard_Cost'!$F$4</f>
        <v>33713.125</v>
      </c>
      <c r="N42" s="126">
        <v>10</v>
      </c>
      <c r="O42" s="126">
        <v>1</v>
      </c>
      <c r="P42" s="126">
        <v>25</v>
      </c>
      <c r="Q42" s="126"/>
      <c r="R42" s="127">
        <f>'1. Standard_Cost'!$B$15*N42*P42</f>
        <v>500000</v>
      </c>
      <c r="S42" s="127">
        <f>N42*O42*P42*'1. Standard_Cost'!$C$15</f>
        <v>375000</v>
      </c>
      <c r="T42" s="127">
        <f>N42*P42*Q42*'1. Standard_Cost'!$D$15</f>
        <v>0</v>
      </c>
      <c r="U42" s="127">
        <f>N42*O42*'1. Standard_Cost'!$E$15</f>
        <v>400000</v>
      </c>
      <c r="V42" s="126"/>
      <c r="W42" s="126"/>
      <c r="X42" s="126"/>
      <c r="Y42" s="127">
        <f>+V42*((X42*'1. Standard_Cost'!$B$19)+(W42*X42*'1. Standard_Cost'!$C$19))</f>
        <v>0</v>
      </c>
      <c r="Z42" s="126"/>
      <c r="AA42" s="126">
        <v>12</v>
      </c>
      <c r="AB42" s="127">
        <f>+Z42*'1. Standard_Cost'!$B$23+AA42*'1. Standard_Cost'!$C$23</f>
        <v>228000</v>
      </c>
      <c r="AC42" s="128">
        <f>250*300+250*3000</f>
        <v>825000</v>
      </c>
      <c r="AD42" s="129"/>
      <c r="AE42" s="127">
        <f>SUM(AD42,AC42,AB42,Y42,U42,T42,S42,R42)*'1. Standard_Cost'!$B$31</f>
        <v>465600</v>
      </c>
      <c r="AF42" s="127">
        <f>SUM(AE42,AD42,AC42,AB42,Y42,U42,T42,S42,R42)</f>
        <v>2793600</v>
      </c>
      <c r="AG42" s="126"/>
      <c r="AH42" s="126"/>
      <c r="AI42" s="126"/>
      <c r="AJ42" s="130"/>
      <c r="AK42" s="130"/>
      <c r="AL42" s="130"/>
      <c r="AM42" s="127">
        <f>AG42*'1. Standard_Cost'!$B$27+'Incremental_Cost Year 4'!AH42*'1. Standard_Cost'!$C$27+'Incremental_Cost Year 4'!AI42*'1. Standard_Cost'!$D$27+'Incremental_Cost Year 4'!AJ42+'Incremental_Cost Year 4'!AL42+AK42</f>
        <v>0</v>
      </c>
      <c r="AN42" s="127">
        <f>AM42*'1. Standard_Cost'!$C$31</f>
        <v>0</v>
      </c>
      <c r="AO42" s="130"/>
      <c r="AQ42" s="171">
        <f>L42+M42</f>
        <v>235588.125</v>
      </c>
      <c r="AR42" s="171">
        <f>AF42</f>
        <v>2793600</v>
      </c>
      <c r="AS42" s="171">
        <f>AM42+AN42</f>
        <v>0</v>
      </c>
      <c r="AT42" s="171">
        <f>SUM(AQ42,AR42,AS42)</f>
        <v>3029188.125</v>
      </c>
      <c r="AU42" s="250">
        <f>AQ42</f>
        <v>235588.125</v>
      </c>
      <c r="AV42" s="250"/>
      <c r="AW42" s="250"/>
      <c r="AX42" s="250"/>
      <c r="AY42" s="250"/>
      <c r="AZ42" s="250"/>
      <c r="BA42" s="250"/>
      <c r="BB42" s="251">
        <f t="shared" si="32"/>
        <v>-2793600</v>
      </c>
      <c r="BC42" s="169"/>
      <c r="BD42" s="169"/>
      <c r="BE42" s="169"/>
      <c r="BF42" s="169"/>
    </row>
    <row r="43" spans="1:58" ht="47.25" outlineLevel="2" x14ac:dyDescent="0.25">
      <c r="A43" s="115"/>
      <c r="B43" s="200"/>
      <c r="C43" s="201"/>
      <c r="D43" s="223"/>
      <c r="E43" s="219"/>
      <c r="F43" s="219"/>
      <c r="G43" s="313"/>
      <c r="H43" s="199" t="s">
        <v>223</v>
      </c>
      <c r="I43" s="130"/>
      <c r="J43" s="126"/>
      <c r="K43" s="126"/>
      <c r="L43" s="125" t="str">
        <f>IF(I43&lt;&gt;0,((VLOOKUP(I43,'1. Standard_Cost'!$B$4:$D$11,2)+VLOOKUP(I43,'1. Standard_Cost'!$B$4:$D$11,3))*J43*K43),"0")</f>
        <v>0</v>
      </c>
      <c r="M43" s="125">
        <f>L43*'1. Standard_Cost'!$F$4</f>
        <v>0</v>
      </c>
      <c r="N43" s="126"/>
      <c r="O43" s="126"/>
      <c r="P43" s="126"/>
      <c r="Q43" s="126"/>
      <c r="R43" s="127">
        <f>'1. Standard_Cost'!$B$15*N43*P43</f>
        <v>0</v>
      </c>
      <c r="S43" s="127">
        <f>N43*O43*P43*'1. Standard_Cost'!$C$15</f>
        <v>0</v>
      </c>
      <c r="T43" s="127">
        <f>N43*P43*Q43*'1. Standard_Cost'!$D$15</f>
        <v>0</v>
      </c>
      <c r="U43" s="127">
        <f>N43*O43*'1. Standard_Cost'!$E$15</f>
        <v>0</v>
      </c>
      <c r="V43" s="126"/>
      <c r="W43" s="126"/>
      <c r="X43" s="126"/>
      <c r="Y43" s="127">
        <f>+V43*((X43*'1. Standard_Cost'!$B$19)+(W43*X43*'1. Standard_Cost'!$C$19))</f>
        <v>0</v>
      </c>
      <c r="Z43" s="126"/>
      <c r="AA43" s="126"/>
      <c r="AB43" s="127">
        <f>+Z43*'1. Standard_Cost'!$B$23+AA43*'1. Standard_Cost'!$C$23</f>
        <v>0</v>
      </c>
      <c r="AC43" s="128">
        <v>2500000</v>
      </c>
      <c r="AD43" s="129"/>
      <c r="AE43" s="127">
        <v>0</v>
      </c>
      <c r="AF43" s="127">
        <f>SUM(AE43,AD43,AC43,AB43,Y43,U43,T43,S43,R43)</f>
        <v>2500000</v>
      </c>
      <c r="AG43" s="126"/>
      <c r="AH43" s="126"/>
      <c r="AI43" s="126"/>
      <c r="AJ43" s="130"/>
      <c r="AK43" s="130"/>
      <c r="AL43" s="130"/>
      <c r="AM43" s="127">
        <f>AG43*'1. Standard_Cost'!$B$27+'Incremental_Cost Year 4'!AH43*'1. Standard_Cost'!$C$27+'Incremental_Cost Year 4'!AI43*'1. Standard_Cost'!$D$27+'Incremental_Cost Year 4'!AJ43+'Incremental_Cost Year 4'!AL43+AK43</f>
        <v>0</v>
      </c>
      <c r="AN43" s="127">
        <f>AM43*'1. Standard_Cost'!$C$31</f>
        <v>0</v>
      </c>
      <c r="AO43" s="130"/>
      <c r="AQ43" s="171">
        <f>L43+M43</f>
        <v>0</v>
      </c>
      <c r="AR43" s="171">
        <f>AF43</f>
        <v>2500000</v>
      </c>
      <c r="AS43" s="171">
        <f>AM43+AN43</f>
        <v>0</v>
      </c>
      <c r="AT43" s="171">
        <f>SUM(AQ43,AR43,AS43)</f>
        <v>2500000</v>
      </c>
      <c r="AU43" s="250"/>
      <c r="AV43" s="250"/>
      <c r="AW43" s="250"/>
      <c r="AX43" s="250"/>
      <c r="AY43" s="250"/>
      <c r="AZ43" s="250"/>
      <c r="BA43" s="250"/>
      <c r="BB43" s="251">
        <f t="shared" si="32"/>
        <v>-2500000</v>
      </c>
      <c r="BC43" s="169"/>
      <c r="BD43" s="169"/>
      <c r="BE43" s="169"/>
      <c r="BF43" s="169"/>
    </row>
    <row r="44" spans="1:58" ht="63" outlineLevel="1" x14ac:dyDescent="0.25">
      <c r="A44" s="115"/>
      <c r="B44" s="165"/>
      <c r="C44" s="166"/>
      <c r="D44" s="150" t="s">
        <v>396</v>
      </c>
      <c r="E44" s="139" t="s">
        <v>205</v>
      </c>
      <c r="F44" s="222">
        <v>2022</v>
      </c>
      <c r="G44" s="117">
        <v>2030</v>
      </c>
      <c r="H44" s="134" t="s">
        <v>206</v>
      </c>
      <c r="I44" s="252"/>
      <c r="J44" s="252"/>
      <c r="K44" s="252"/>
      <c r="L44" s="127">
        <f>SUM(L41:L43)</f>
        <v>201875</v>
      </c>
      <c r="M44" s="127">
        <f>SUM(M41:M43)</f>
        <v>33713.125</v>
      </c>
      <c r="N44" s="127"/>
      <c r="O44" s="252"/>
      <c r="P44" s="252"/>
      <c r="Q44" s="252"/>
      <c r="R44" s="127">
        <f>SUM(R41:R43)</f>
        <v>500000</v>
      </c>
      <c r="S44" s="127">
        <f>SUM(S41:S43)</f>
        <v>375000</v>
      </c>
      <c r="T44" s="127">
        <f>SUM(T41:T43)</f>
        <v>0</v>
      </c>
      <c r="U44" s="127">
        <f>SUM(U41:U43)</f>
        <v>400000</v>
      </c>
      <c r="V44" s="252"/>
      <c r="W44" s="252"/>
      <c r="X44" s="252"/>
      <c r="Y44" s="127">
        <f>SUM(Y41:Y43)</f>
        <v>0</v>
      </c>
      <c r="Z44" s="252"/>
      <c r="AA44" s="252"/>
      <c r="AB44" s="127">
        <f>SUM(AB41:AB43)</f>
        <v>228000</v>
      </c>
      <c r="AC44" s="127">
        <f>SUM(AC41:AC43)</f>
        <v>3325000</v>
      </c>
      <c r="AD44" s="127">
        <f>SUM(AD41:AD43)</f>
        <v>0</v>
      </c>
      <c r="AE44" s="127">
        <f>SUM(AE41:AE43)</f>
        <v>465600</v>
      </c>
      <c r="AF44" s="127">
        <f>SUM(AF41:AF43)</f>
        <v>5293600</v>
      </c>
      <c r="AG44" s="252"/>
      <c r="AH44" s="252"/>
      <c r="AI44" s="252"/>
      <c r="AJ44" s="127">
        <f>SUM(AJ41:AJ43)</f>
        <v>0</v>
      </c>
      <c r="AK44" s="127">
        <f>SUM(AK41:AK43)</f>
        <v>0</v>
      </c>
      <c r="AL44" s="127">
        <f>SUM(AL41:AL43)</f>
        <v>0</v>
      </c>
      <c r="AM44" s="127">
        <f>SUM(AM41:AM43)</f>
        <v>0</v>
      </c>
      <c r="AN44" s="127">
        <f>SUM(AN41:AN43)</f>
        <v>0</v>
      </c>
      <c r="AO44" s="253"/>
      <c r="AP44" s="254"/>
      <c r="AQ44" s="175">
        <f>SUM(AQ41:AQ43)</f>
        <v>235588.125</v>
      </c>
      <c r="AR44" s="175">
        <f>SUM(AR41:AR43)</f>
        <v>5293600</v>
      </c>
      <c r="AS44" s="175">
        <f>SUM(AS41:AS43)</f>
        <v>0</v>
      </c>
      <c r="AT44" s="175">
        <f>SUM(AT41:AT43)</f>
        <v>5529188.125</v>
      </c>
      <c r="AU44" s="175">
        <f t="shared" ref="AU44:BB44" si="33">SUM(AU41:AU43)</f>
        <v>235588.125</v>
      </c>
      <c r="AV44" s="175">
        <f t="shared" si="33"/>
        <v>0</v>
      </c>
      <c r="AW44" s="175">
        <f t="shared" si="33"/>
        <v>0</v>
      </c>
      <c r="AX44" s="175">
        <f t="shared" si="33"/>
        <v>0</v>
      </c>
      <c r="AY44" s="175">
        <f t="shared" si="33"/>
        <v>0</v>
      </c>
      <c r="AZ44" s="175">
        <f t="shared" si="33"/>
        <v>0</v>
      </c>
      <c r="BA44" s="175">
        <f t="shared" si="33"/>
        <v>0</v>
      </c>
      <c r="BB44" s="175">
        <f t="shared" si="33"/>
        <v>-5293600</v>
      </c>
      <c r="BC44" s="169"/>
      <c r="BD44" s="169"/>
      <c r="BE44" s="169"/>
      <c r="BF44" s="169"/>
    </row>
    <row r="45" spans="1:58" s="170" customFormat="1" ht="15.75" customHeight="1" x14ac:dyDescent="0.25">
      <c r="A45" s="120"/>
      <c r="B45" s="290"/>
      <c r="C45" s="391" t="s">
        <v>210</v>
      </c>
      <c r="D45" s="391"/>
      <c r="E45" s="392"/>
      <c r="F45" s="289"/>
      <c r="G45" s="288"/>
      <c r="H45" s="114" t="s">
        <v>213</v>
      </c>
      <c r="I45" s="246"/>
      <c r="J45" s="246"/>
      <c r="K45" s="246"/>
      <c r="L45" s="247">
        <f>SUM(L50+L56+L60)</f>
        <v>1076131818.5714285</v>
      </c>
      <c r="M45" s="247">
        <f>SUM(M50+M56+M60)</f>
        <v>179714013.70142856</v>
      </c>
      <c r="N45" s="247"/>
      <c r="O45" s="247"/>
      <c r="P45" s="247"/>
      <c r="Q45" s="247"/>
      <c r="R45" s="247">
        <f>SUM(R50+R56+R60)</f>
        <v>0</v>
      </c>
      <c r="S45" s="247">
        <f>SUM(S50+S56+S60)</f>
        <v>0</v>
      </c>
      <c r="T45" s="247">
        <f>SUM(T50+T56+T60)</f>
        <v>0</v>
      </c>
      <c r="U45" s="247">
        <f>SUM(U50+U56+U60)</f>
        <v>0</v>
      </c>
      <c r="V45" s="247"/>
      <c r="W45" s="247"/>
      <c r="X45" s="247"/>
      <c r="Y45" s="247">
        <f>SUM(Y50+Y56+Y60)</f>
        <v>0</v>
      </c>
      <c r="Z45" s="247">
        <f t="shared" ref="Z45:AA45" si="34">SUM(Z50+Z56+Z60)</f>
        <v>0</v>
      </c>
      <c r="AA45" s="247">
        <f t="shared" si="34"/>
        <v>0</v>
      </c>
      <c r="AB45" s="247">
        <f t="shared" ref="AB45:AF45" si="35">SUM(AB50+AB56+AB60)</f>
        <v>1140000</v>
      </c>
      <c r="AC45" s="247">
        <f t="shared" si="35"/>
        <v>10071000</v>
      </c>
      <c r="AD45" s="247">
        <f t="shared" si="35"/>
        <v>0</v>
      </c>
      <c r="AE45" s="247">
        <f t="shared" si="35"/>
        <v>2242200</v>
      </c>
      <c r="AF45" s="247">
        <f t="shared" si="35"/>
        <v>13453200</v>
      </c>
      <c r="AG45" s="247"/>
      <c r="AH45" s="247"/>
      <c r="AI45" s="247"/>
      <c r="AJ45" s="247">
        <f>SUM(AJ50+AJ56+AJ60)</f>
        <v>0</v>
      </c>
      <c r="AK45" s="247">
        <f>SUM(AK50+AK56+AK60)</f>
        <v>0</v>
      </c>
      <c r="AL45" s="247">
        <f>SUM(AL50+AL56+AL60)</f>
        <v>0</v>
      </c>
      <c r="AM45" s="247">
        <f>SUM(AM50+AM56+AM60)</f>
        <v>0</v>
      </c>
      <c r="AN45" s="247">
        <f>SUM(AN50+AN56+AN60)</f>
        <v>0</v>
      </c>
      <c r="AO45" s="247"/>
      <c r="AP45" s="244"/>
      <c r="AQ45" s="248">
        <f>SUM(AQ50+AQ56+AQ60)</f>
        <v>1255845832.272857</v>
      </c>
      <c r="AR45" s="248">
        <f>SUM(AR50+AR56+AR60)</f>
        <v>13453200</v>
      </c>
      <c r="AS45" s="248">
        <f>SUM(AS50+AS56+AS60)</f>
        <v>0</v>
      </c>
      <c r="AT45" s="248">
        <f>SUM(AT50+AT56+AT60)</f>
        <v>1269299032.272857</v>
      </c>
      <c r="AU45" s="248">
        <f t="shared" ref="AU45:BB45" si="36">SUM(AU50+AU56+AU60)</f>
        <v>1267905832.272857</v>
      </c>
      <c r="AV45" s="248">
        <f t="shared" si="36"/>
        <v>0</v>
      </c>
      <c r="AW45" s="248">
        <f t="shared" si="36"/>
        <v>0</v>
      </c>
      <c r="AX45" s="248">
        <f t="shared" si="36"/>
        <v>0</v>
      </c>
      <c r="AY45" s="248">
        <f t="shared" si="36"/>
        <v>1393200</v>
      </c>
      <c r="AZ45" s="248">
        <f t="shared" si="36"/>
        <v>0</v>
      </c>
      <c r="BA45" s="248">
        <f t="shared" si="36"/>
        <v>0</v>
      </c>
      <c r="BB45" s="248">
        <f t="shared" si="36"/>
        <v>0</v>
      </c>
    </row>
    <row r="46" spans="1:58" ht="78.75" outlineLevel="2" x14ac:dyDescent="0.25">
      <c r="A46" s="115"/>
      <c r="B46" s="200"/>
      <c r="C46" s="201"/>
      <c r="D46" s="138"/>
      <c r="E46" s="295"/>
      <c r="F46" s="295"/>
      <c r="G46" s="296"/>
      <c r="H46" s="199" t="s">
        <v>397</v>
      </c>
      <c r="I46" s="130"/>
      <c r="J46" s="126"/>
      <c r="K46" s="126"/>
      <c r="L46" s="125" t="str">
        <f>IF(I46&lt;&gt;0,((VLOOKUP(I46,'1. Standard_Cost'!$B$4:$D$11,2)+VLOOKUP(I46,'1. Standard_Cost'!$B$4:$D$11,3))*J46*K46),"0")</f>
        <v>0</v>
      </c>
      <c r="M46" s="125">
        <f>L46*'1. Standard_Cost'!$F$4</f>
        <v>0</v>
      </c>
      <c r="N46" s="126"/>
      <c r="O46" s="126"/>
      <c r="P46" s="126"/>
      <c r="Q46" s="126"/>
      <c r="R46" s="127">
        <f>'1. Standard_Cost'!$B$15*N46*P46</f>
        <v>0</v>
      </c>
      <c r="S46" s="127">
        <f>N46*O46*P46*'1. Standard_Cost'!$C$15</f>
        <v>0</v>
      </c>
      <c r="T46" s="127">
        <f>N46*P46*Q46*'1. Standard_Cost'!$D$15</f>
        <v>0</v>
      </c>
      <c r="U46" s="127">
        <f>N46*O46*'1. Standard_Cost'!$E$15</f>
        <v>0</v>
      </c>
      <c r="V46" s="126"/>
      <c r="W46" s="126"/>
      <c r="X46" s="126"/>
      <c r="Y46" s="127">
        <f>+V46*((X46*'1. Standard_Cost'!$B$19)+(W46*X46*'1. Standard_Cost'!$C$19))</f>
        <v>0</v>
      </c>
      <c r="Z46" s="126"/>
      <c r="AA46" s="126"/>
      <c r="AB46" s="127">
        <f>+Z46*'1. Standard_Cost'!$B$23+AA46*'1. Standard_Cost'!$C$23</f>
        <v>0</v>
      </c>
      <c r="AC46" s="128"/>
      <c r="AD46" s="129"/>
      <c r="AE46" s="127">
        <f>SUM(AD46,AC46,AB46,Y46,U46,T46,S46,R46)*'1. Standard_Cost'!$B$31</f>
        <v>0</v>
      </c>
      <c r="AF46" s="127">
        <f>SUM(AE46,AD46,AC46,AB46,Y46,U46,T46,S46,R46)</f>
        <v>0</v>
      </c>
      <c r="AG46" s="126"/>
      <c r="AH46" s="126"/>
      <c r="AI46" s="126"/>
      <c r="AJ46" s="130"/>
      <c r="AK46" s="130"/>
      <c r="AL46" s="130"/>
      <c r="AM46" s="127">
        <f>AG46*'1. Standard_Cost'!$B$27+'Incremental_Cost Year 4'!AH46*'1. Standard_Cost'!$C$27+'Incremental_Cost Year 4'!AI46*'1. Standard_Cost'!$D$27+'Incremental_Cost Year 4'!AJ46+'Incremental_Cost Year 4'!AL46+AK46</f>
        <v>0</v>
      </c>
      <c r="AN46" s="127">
        <f>AM46*'1. Standard_Cost'!$C$31</f>
        <v>0</v>
      </c>
      <c r="AO46" s="249"/>
      <c r="AQ46" s="171">
        <f>L46+M46</f>
        <v>0</v>
      </c>
      <c r="AR46" s="171">
        <f>AF46</f>
        <v>0</v>
      </c>
      <c r="AS46" s="171">
        <f>AM46+AN46</f>
        <v>0</v>
      </c>
      <c r="AT46" s="171">
        <f>SUM(AQ46,AR46,AS46)</f>
        <v>0</v>
      </c>
      <c r="AU46" s="250">
        <f>AQ46</f>
        <v>0</v>
      </c>
      <c r="AV46" s="250"/>
      <c r="AW46" s="250"/>
      <c r="AX46" s="250"/>
      <c r="AY46" s="250"/>
      <c r="AZ46" s="250"/>
      <c r="BA46" s="250"/>
      <c r="BB46" s="251">
        <f t="shared" ref="BB46:BB49" si="37">SUM(AU46:BA46)-AT46</f>
        <v>0</v>
      </c>
      <c r="BC46" s="169"/>
      <c r="BD46" s="169"/>
      <c r="BE46" s="169"/>
      <c r="BF46" s="169"/>
    </row>
    <row r="47" spans="1:58" ht="47.25" outlineLevel="2" x14ac:dyDescent="0.25">
      <c r="A47" s="115"/>
      <c r="B47" s="200"/>
      <c r="C47" s="201"/>
      <c r="D47" s="135"/>
      <c r="E47" s="219"/>
      <c r="F47" s="219"/>
      <c r="G47" s="313"/>
      <c r="H47" s="199" t="s">
        <v>307</v>
      </c>
      <c r="I47" s="130"/>
      <c r="J47" s="126"/>
      <c r="K47" s="126"/>
      <c r="L47" s="125" t="str">
        <f>IF(I47&lt;&gt;0,((VLOOKUP(I47,'1. Standard_Cost'!$B$4:$D$11,2)+VLOOKUP(I47,'1. Standard_Cost'!$B$4:$D$11,3))*J47*K47),"0")</f>
        <v>0</v>
      </c>
      <c r="M47" s="125">
        <f>L47*'1. Standard_Cost'!$F$4</f>
        <v>0</v>
      </c>
      <c r="N47" s="126"/>
      <c r="O47" s="126"/>
      <c r="P47" s="126"/>
      <c r="Q47" s="126"/>
      <c r="R47" s="127">
        <f>'1. Standard_Cost'!$B$15*N47*P47</f>
        <v>0</v>
      </c>
      <c r="S47" s="127">
        <f>N47*O47*P47*'1. Standard_Cost'!$C$15</f>
        <v>0</v>
      </c>
      <c r="T47" s="127">
        <f>N47*P47*Q47*'1. Standard_Cost'!$D$15</f>
        <v>0</v>
      </c>
      <c r="U47" s="127">
        <f>N47*O47*'1. Standard_Cost'!$E$15</f>
        <v>0</v>
      </c>
      <c r="V47" s="126"/>
      <c r="W47" s="126"/>
      <c r="X47" s="126"/>
      <c r="Y47" s="127">
        <f>+V47*((X47*'1. Standard_Cost'!$B$19)+(W47*X47*'1. Standard_Cost'!$C$19))</f>
        <v>0</v>
      </c>
      <c r="Z47" s="126"/>
      <c r="AA47" s="126"/>
      <c r="AB47" s="127">
        <f>+Z47*'1. Standard_Cost'!$B$23+AA47*'1. Standard_Cost'!$C$23</f>
        <v>0</v>
      </c>
      <c r="AC47" s="128"/>
      <c r="AD47" s="129"/>
      <c r="AE47" s="127">
        <f>SUM(AD47,AC47,AB47,Y47,U47,T47,S47,R47)*'1. Standard_Cost'!$B$31</f>
        <v>0</v>
      </c>
      <c r="AF47" s="127">
        <f>SUM(AE47,AD47,AC47,AB47,Y47,U47,T47,S47,R47)</f>
        <v>0</v>
      </c>
      <c r="AG47" s="126"/>
      <c r="AH47" s="126"/>
      <c r="AI47" s="126"/>
      <c r="AJ47" s="130"/>
      <c r="AK47" s="130"/>
      <c r="AL47" s="130"/>
      <c r="AM47" s="127">
        <f>AG47*'1. Standard_Cost'!$B$27+'Incremental_Cost Year 4'!AH47*'1. Standard_Cost'!$C$27+'Incremental_Cost Year 4'!AI47*'1. Standard_Cost'!$D$27+'Incremental_Cost Year 4'!AJ47+'Incremental_Cost Year 4'!AL47+AK47</f>
        <v>0</v>
      </c>
      <c r="AN47" s="127">
        <f>AM47*'1. Standard_Cost'!$C$31</f>
        <v>0</v>
      </c>
      <c r="AO47" s="130"/>
      <c r="AQ47" s="171">
        <f>L47+M47</f>
        <v>0</v>
      </c>
      <c r="AR47" s="171">
        <f>AF47</f>
        <v>0</v>
      </c>
      <c r="AS47" s="171">
        <f>AM47+AN47</f>
        <v>0</v>
      </c>
      <c r="AT47" s="171">
        <f>SUM(AQ47,AR47,AS47)</f>
        <v>0</v>
      </c>
      <c r="AU47" s="250"/>
      <c r="AV47" s="250"/>
      <c r="AW47" s="250"/>
      <c r="AX47" s="250"/>
      <c r="AY47" s="250"/>
      <c r="AZ47" s="250"/>
      <c r="BA47" s="250"/>
      <c r="BB47" s="251">
        <f t="shared" si="37"/>
        <v>0</v>
      </c>
      <c r="BC47" s="169"/>
      <c r="BD47" s="169"/>
      <c r="BE47" s="169"/>
      <c r="BF47" s="169"/>
    </row>
    <row r="48" spans="1:58" ht="63" outlineLevel="2" x14ac:dyDescent="0.25">
      <c r="A48" s="115"/>
      <c r="B48" s="200"/>
      <c r="C48" s="201"/>
      <c r="D48" s="135"/>
      <c r="E48" s="219"/>
      <c r="F48" s="219"/>
      <c r="G48" s="313"/>
      <c r="H48" s="199" t="s">
        <v>308</v>
      </c>
      <c r="I48" s="130"/>
      <c r="J48" s="126"/>
      <c r="K48" s="126"/>
      <c r="L48" s="125" t="str">
        <f>IF(I48&lt;&gt;0,((VLOOKUP(I48,'1. Standard_Cost'!$B$4:$D$11,2)+VLOOKUP(I48,'1. Standard_Cost'!$B$4:$D$11,3))*J48*K48),"0")</f>
        <v>0</v>
      </c>
      <c r="M48" s="125">
        <f>L48*'1. Standard_Cost'!$F$4</f>
        <v>0</v>
      </c>
      <c r="N48" s="126"/>
      <c r="O48" s="126"/>
      <c r="P48" s="126"/>
      <c r="Q48" s="126"/>
      <c r="R48" s="127">
        <f>'1. Standard_Cost'!$B$15*N48*P48</f>
        <v>0</v>
      </c>
      <c r="S48" s="127">
        <f>N48*O48*P48*'1. Standard_Cost'!$C$15</f>
        <v>0</v>
      </c>
      <c r="T48" s="127">
        <f>N48*P48*Q48*'1. Standard_Cost'!$D$15</f>
        <v>0</v>
      </c>
      <c r="U48" s="127">
        <f>N48*O48*'1. Standard_Cost'!$E$15</f>
        <v>0</v>
      </c>
      <c r="V48" s="126"/>
      <c r="W48" s="126"/>
      <c r="X48" s="126"/>
      <c r="Y48" s="127">
        <f>+V48*((X48*'1. Standard_Cost'!$B$19)+(W48*X48*'1. Standard_Cost'!$C$19))</f>
        <v>0</v>
      </c>
      <c r="Z48" s="126"/>
      <c r="AA48" s="126"/>
      <c r="AB48" s="127">
        <f>+Z48*'1. Standard_Cost'!$B$23+AA48*'1. Standard_Cost'!$C$23</f>
        <v>0</v>
      </c>
      <c r="AC48" s="128"/>
      <c r="AD48" s="129"/>
      <c r="AE48" s="127">
        <f>SUM(AD48,AC48,AB48,Y48,U48,T48,S48,R48)*'1. Standard_Cost'!$B$31</f>
        <v>0</v>
      </c>
      <c r="AF48" s="127">
        <f>SUM(AE48,AD48,AC48,AB48,Y48,U48,T48,S48,R48)</f>
        <v>0</v>
      </c>
      <c r="AG48" s="126"/>
      <c r="AH48" s="126"/>
      <c r="AI48" s="126"/>
      <c r="AJ48" s="130"/>
      <c r="AK48" s="130"/>
      <c r="AL48" s="130"/>
      <c r="AM48" s="127">
        <f>AG48*'1. Standard_Cost'!$B$27+'Incremental_Cost Year 4'!AH48*'1. Standard_Cost'!$C$27+'Incremental_Cost Year 4'!AI48*'1. Standard_Cost'!$D$27+'Incremental_Cost Year 4'!AJ48+'Incremental_Cost Year 4'!AL48+AK48</f>
        <v>0</v>
      </c>
      <c r="AN48" s="127">
        <f>AM48*'1. Standard_Cost'!$C$31</f>
        <v>0</v>
      </c>
      <c r="AO48" s="249"/>
      <c r="AQ48" s="171">
        <f>L48+M48</f>
        <v>0</v>
      </c>
      <c r="AR48" s="171">
        <f>AF48</f>
        <v>0</v>
      </c>
      <c r="AS48" s="171">
        <f>AM48+AN48</f>
        <v>0</v>
      </c>
      <c r="AT48" s="171">
        <f>SUM(AQ48,AR48,AS48)</f>
        <v>0</v>
      </c>
      <c r="AU48" s="250"/>
      <c r="AV48" s="250"/>
      <c r="AW48" s="250"/>
      <c r="AX48" s="250"/>
      <c r="AY48" s="250"/>
      <c r="AZ48" s="250"/>
      <c r="BA48" s="250"/>
      <c r="BB48" s="251">
        <f t="shared" si="37"/>
        <v>0</v>
      </c>
      <c r="BC48" s="169"/>
      <c r="BD48" s="169"/>
      <c r="BE48" s="169"/>
      <c r="BF48" s="169"/>
    </row>
    <row r="49" spans="1:58" ht="94.5" outlineLevel="2" x14ac:dyDescent="0.25">
      <c r="A49" s="115"/>
      <c r="B49" s="200"/>
      <c r="C49" s="201"/>
      <c r="D49" s="223"/>
      <c r="E49" s="219"/>
      <c r="F49" s="219"/>
      <c r="G49" s="313"/>
      <c r="H49" s="199" t="s">
        <v>398</v>
      </c>
      <c r="I49" s="130"/>
      <c r="J49" s="126"/>
      <c r="K49" s="126"/>
      <c r="L49" s="125" t="str">
        <f>IF(I49&lt;&gt;0,((VLOOKUP(I49,'1. Standard_Cost'!$B$4:$D$11,2)+VLOOKUP(I49,'1. Standard_Cost'!$B$4:$D$11,3))*J49*K49),"0")</f>
        <v>0</v>
      </c>
      <c r="M49" s="125">
        <f>L49*'1. Standard_Cost'!$F$4</f>
        <v>0</v>
      </c>
      <c r="N49" s="126"/>
      <c r="O49" s="126"/>
      <c r="P49" s="126"/>
      <c r="Q49" s="126"/>
      <c r="R49" s="127">
        <f>'1. Standard_Cost'!$B$15*N49*P49</f>
        <v>0</v>
      </c>
      <c r="S49" s="127">
        <f>N49*O49*P49*'1. Standard_Cost'!$C$15</f>
        <v>0</v>
      </c>
      <c r="T49" s="127">
        <f>N49*P49*Q49*'1. Standard_Cost'!$D$15</f>
        <v>0</v>
      </c>
      <c r="U49" s="127">
        <f>N49*O49*'1. Standard_Cost'!$E$15</f>
        <v>0</v>
      </c>
      <c r="V49" s="126"/>
      <c r="W49" s="126"/>
      <c r="X49" s="126"/>
      <c r="Y49" s="127">
        <f>+V49*((X49*'1. Standard_Cost'!$B$19)+(W49*X49*'1. Standard_Cost'!$C$19))</f>
        <v>0</v>
      </c>
      <c r="Z49" s="126"/>
      <c r="AA49" s="126"/>
      <c r="AB49" s="127">
        <f>+Z49*'1. Standard_Cost'!$B$23+AA49*'1. Standard_Cost'!$C$23</f>
        <v>0</v>
      </c>
      <c r="AC49" s="128">
        <v>0</v>
      </c>
      <c r="AD49" s="129"/>
      <c r="AE49" s="127">
        <f>SUM(AD49,AC49,AB49,Y49,U49,T49,S49,R49)*'1. Standard_Cost'!$B$31</f>
        <v>0</v>
      </c>
      <c r="AF49" s="127">
        <f>SUM(AE49,AD49,AC49,AB49,Y49,U49,T49,S49,R49)</f>
        <v>0</v>
      </c>
      <c r="AG49" s="126"/>
      <c r="AH49" s="126"/>
      <c r="AI49" s="126"/>
      <c r="AJ49" s="130"/>
      <c r="AK49" s="130"/>
      <c r="AL49" s="130"/>
      <c r="AM49" s="127">
        <f>AG49*'1. Standard_Cost'!$B$27+'Incremental_Cost Year 4'!AH49*'1. Standard_Cost'!$C$27+'Incremental_Cost Year 4'!AI49*'1. Standard_Cost'!$D$27+'Incremental_Cost Year 4'!AJ49+'Incremental_Cost Year 4'!AL49+AK49</f>
        <v>0</v>
      </c>
      <c r="AN49" s="127">
        <f>AM49*'1. Standard_Cost'!$C$31</f>
        <v>0</v>
      </c>
      <c r="AO49" s="130"/>
      <c r="AQ49" s="171">
        <f>L49+M49</f>
        <v>0</v>
      </c>
      <c r="AR49" s="171">
        <f>AF49</f>
        <v>0</v>
      </c>
      <c r="AS49" s="171">
        <f>AM49+AN49</f>
        <v>0</v>
      </c>
      <c r="AT49" s="171">
        <f>SUM(AQ49,AR49,AS49)</f>
        <v>0</v>
      </c>
      <c r="AU49" s="250"/>
      <c r="AV49" s="250"/>
      <c r="AW49" s="250"/>
      <c r="AX49" s="250"/>
      <c r="AY49" s="250"/>
      <c r="AZ49" s="250"/>
      <c r="BA49" s="250"/>
      <c r="BB49" s="251">
        <f t="shared" si="37"/>
        <v>0</v>
      </c>
      <c r="BC49" s="169"/>
      <c r="BD49" s="169"/>
      <c r="BE49" s="169"/>
      <c r="BF49" s="169"/>
    </row>
    <row r="50" spans="1:58" ht="47.25" outlineLevel="1" x14ac:dyDescent="0.25">
      <c r="A50" s="115"/>
      <c r="B50" s="165"/>
      <c r="C50" s="166"/>
      <c r="D50" s="107" t="s">
        <v>388</v>
      </c>
      <c r="E50" s="139" t="s">
        <v>211</v>
      </c>
      <c r="F50" s="222">
        <v>2021</v>
      </c>
      <c r="G50" s="117">
        <v>2023</v>
      </c>
      <c r="H50" s="134" t="s">
        <v>212</v>
      </c>
      <c r="I50" s="252"/>
      <c r="J50" s="252"/>
      <c r="K50" s="252"/>
      <c r="L50" s="127">
        <f>SUM(L46:L49)</f>
        <v>0</v>
      </c>
      <c r="M50" s="127">
        <f>SUM(M46:M49)</f>
        <v>0</v>
      </c>
      <c r="N50" s="127"/>
      <c r="O50" s="252"/>
      <c r="P50" s="252"/>
      <c r="Q50" s="252"/>
      <c r="R50" s="127">
        <f>SUM(R46:R49)</f>
        <v>0</v>
      </c>
      <c r="S50" s="127">
        <f>SUM(S46:S49)</f>
        <v>0</v>
      </c>
      <c r="T50" s="127">
        <f>SUM(T46:T49)</f>
        <v>0</v>
      </c>
      <c r="U50" s="127">
        <f>SUM(U46:U49)</f>
        <v>0</v>
      </c>
      <c r="V50" s="252"/>
      <c r="W50" s="252"/>
      <c r="X50" s="252"/>
      <c r="Y50" s="127">
        <f>SUM(Y46:Y49)</f>
        <v>0</v>
      </c>
      <c r="Z50" s="252"/>
      <c r="AA50" s="252"/>
      <c r="AB50" s="127">
        <f>SUM(AB46:AB49)</f>
        <v>0</v>
      </c>
      <c r="AC50" s="127">
        <f>SUM(AC46:AC49)</f>
        <v>0</v>
      </c>
      <c r="AD50" s="127">
        <f>SUM(AD46:AD49)</f>
        <v>0</v>
      </c>
      <c r="AE50" s="127">
        <f>SUM(AE46:AE49)</f>
        <v>0</v>
      </c>
      <c r="AF50" s="127">
        <f>SUM(AF46:AF49)</f>
        <v>0</v>
      </c>
      <c r="AG50" s="252"/>
      <c r="AH50" s="252"/>
      <c r="AI50" s="252"/>
      <c r="AJ50" s="127">
        <f>SUM(AJ46:AJ49)</f>
        <v>0</v>
      </c>
      <c r="AK50" s="127">
        <f>SUM(AK46:AK49)</f>
        <v>0</v>
      </c>
      <c r="AL50" s="127">
        <f>SUM(AL46:AL49)</f>
        <v>0</v>
      </c>
      <c r="AM50" s="127">
        <f>SUM(AM46:AM49)</f>
        <v>0</v>
      </c>
      <c r="AN50" s="127">
        <f>SUM(AN46:AN49)</f>
        <v>0</v>
      </c>
      <c r="AO50" s="253"/>
      <c r="AP50" s="254"/>
      <c r="AQ50" s="175">
        <f>SUM(AQ46:AQ49)</f>
        <v>0</v>
      </c>
      <c r="AR50" s="175">
        <f>SUM(AR46:AR49)</f>
        <v>0</v>
      </c>
      <c r="AS50" s="175">
        <f>SUM(AS46:AS49)</f>
        <v>0</v>
      </c>
      <c r="AT50" s="175">
        <f>SUM(AT46:AT49)</f>
        <v>0</v>
      </c>
      <c r="AU50" s="175">
        <f t="shared" ref="AU50:BB50" si="38">SUM(AU46:AU49)</f>
        <v>0</v>
      </c>
      <c r="AV50" s="175">
        <f t="shared" si="38"/>
        <v>0</v>
      </c>
      <c r="AW50" s="175">
        <f t="shared" si="38"/>
        <v>0</v>
      </c>
      <c r="AX50" s="175">
        <f t="shared" si="38"/>
        <v>0</v>
      </c>
      <c r="AY50" s="175">
        <f t="shared" si="38"/>
        <v>0</v>
      </c>
      <c r="AZ50" s="175">
        <f t="shared" si="38"/>
        <v>0</v>
      </c>
      <c r="BA50" s="175">
        <f t="shared" si="38"/>
        <v>0</v>
      </c>
      <c r="BB50" s="175">
        <f t="shared" si="38"/>
        <v>0</v>
      </c>
      <c r="BC50" s="169"/>
      <c r="BD50" s="169"/>
      <c r="BE50" s="169"/>
      <c r="BF50" s="169"/>
    </row>
    <row r="51" spans="1:58" ht="94.5" outlineLevel="2" x14ac:dyDescent="0.25">
      <c r="A51" s="115"/>
      <c r="B51" s="200"/>
      <c r="C51" s="201"/>
      <c r="D51" s="138"/>
      <c r="E51" s="295"/>
      <c r="F51" s="295"/>
      <c r="G51" s="296"/>
      <c r="H51" s="199" t="s">
        <v>399</v>
      </c>
      <c r="I51" s="130" t="s">
        <v>4</v>
      </c>
      <c r="J51" s="126">
        <v>1</v>
      </c>
      <c r="K51" s="126">
        <v>3</v>
      </c>
      <c r="L51" s="125">
        <f>IF(I51&lt;&gt;0,((VLOOKUP(I51,'1. Standard_Cost'!$B$4:$D$11,2)+VLOOKUP(I51,'1. Standard_Cost'!$B$4:$D$11,3))*J51*K51),"0")</f>
        <v>242250</v>
      </c>
      <c r="M51" s="125">
        <f>L51*'1. Standard_Cost'!$F$4</f>
        <v>40455.75</v>
      </c>
      <c r="N51" s="126"/>
      <c r="O51" s="126"/>
      <c r="P51" s="126"/>
      <c r="Q51" s="126"/>
      <c r="R51" s="127">
        <f>'1. Standard_Cost'!$B$15*N51*P51</f>
        <v>0</v>
      </c>
      <c r="S51" s="127">
        <f>N51*O51*P51*'1. Standard_Cost'!$C$15</f>
        <v>0</v>
      </c>
      <c r="T51" s="127">
        <f>N51*P51*Q51*'1. Standard_Cost'!$D$15</f>
        <v>0</v>
      </c>
      <c r="U51" s="127">
        <f>N51*O51*'1. Standard_Cost'!$E$15</f>
        <v>0</v>
      </c>
      <c r="V51" s="126"/>
      <c r="W51" s="126"/>
      <c r="X51" s="126"/>
      <c r="Y51" s="127">
        <f>+V51*((X51*'1. Standard_Cost'!$B$19)+(W51*X51*'1. Standard_Cost'!$C$19))</f>
        <v>0</v>
      </c>
      <c r="Z51" s="126"/>
      <c r="AA51" s="126">
        <v>60</v>
      </c>
      <c r="AB51" s="127">
        <f>+Z51*'1. Standard_Cost'!$B$23+AA51*'1. Standard_Cost'!$C$23</f>
        <v>1140000</v>
      </c>
      <c r="AC51" s="128">
        <f>2*10*300+15000</f>
        <v>21000</v>
      </c>
      <c r="AD51" s="129"/>
      <c r="AE51" s="127">
        <f>SUM(AD51,AC51,AB51,Y51,U51,T51,S51,R51)*'1. Standard_Cost'!$B$31</f>
        <v>232200</v>
      </c>
      <c r="AF51" s="127">
        <f>SUM(AE51,AD51,AC51,AB51,Y51,U51,T51,S51,R51)</f>
        <v>1393200</v>
      </c>
      <c r="AG51" s="126"/>
      <c r="AH51" s="126"/>
      <c r="AI51" s="126"/>
      <c r="AJ51" s="130"/>
      <c r="AK51" s="130"/>
      <c r="AL51" s="130"/>
      <c r="AM51" s="127">
        <f>AG51*'1. Standard_Cost'!$B$27+'Incremental_Cost Year 4'!AH51*'1. Standard_Cost'!$C$27+'Incremental_Cost Year 4'!AI51*'1. Standard_Cost'!$D$27+'Incremental_Cost Year 4'!AJ51+'Incremental_Cost Year 4'!AL51+AK51</f>
        <v>0</v>
      </c>
      <c r="AN51" s="127">
        <f>AM51*'1. Standard_Cost'!$C$31</f>
        <v>0</v>
      </c>
      <c r="AO51" s="249"/>
      <c r="AQ51" s="171">
        <f>L51+M51</f>
        <v>282705.75</v>
      </c>
      <c r="AR51" s="171">
        <f>AF51</f>
        <v>1393200</v>
      </c>
      <c r="AS51" s="171">
        <f>AM51+AN51</f>
        <v>0</v>
      </c>
      <c r="AT51" s="171">
        <f>SUM(AQ51,AR51,AS51)</f>
        <v>1675905.75</v>
      </c>
      <c r="AU51" s="250">
        <f>AQ51</f>
        <v>282705.75</v>
      </c>
      <c r="AV51" s="250"/>
      <c r="AW51" s="250"/>
      <c r="AX51" s="250"/>
      <c r="AY51" s="250">
        <f>AR51</f>
        <v>1393200</v>
      </c>
      <c r="AZ51" s="250"/>
      <c r="BA51" s="250"/>
      <c r="BB51" s="251">
        <f t="shared" ref="BB51:BB55" si="39">SUM(AU51:BA51)-AT51</f>
        <v>0</v>
      </c>
      <c r="BC51" s="169"/>
      <c r="BD51" s="169"/>
      <c r="BE51" s="169"/>
      <c r="BF51" s="169"/>
    </row>
    <row r="52" spans="1:58" ht="63" outlineLevel="2" x14ac:dyDescent="0.25">
      <c r="A52" s="115"/>
      <c r="B52" s="200"/>
      <c r="C52" s="201"/>
      <c r="D52" s="135"/>
      <c r="E52" s="219"/>
      <c r="F52" s="219"/>
      <c r="G52" s="313"/>
      <c r="H52" s="213" t="s">
        <v>400</v>
      </c>
      <c r="I52" s="130" t="s">
        <v>1</v>
      </c>
      <c r="J52" s="126">
        <v>12</v>
      </c>
      <c r="K52" s="126">
        <f>416*3</f>
        <v>1248</v>
      </c>
      <c r="L52" s="125">
        <f>IF(I52&lt;&gt;0,((VLOOKUP(I52,'1. Standard_Cost'!$B$4:$D$11,2)+VLOOKUP(I52,'1. Standard_Cost'!$B$4:$D$11,3))*J52*K52),"0")</f>
        <v>1075169828.5714285</v>
      </c>
      <c r="M52" s="125">
        <f>L52*'1. Standard_Cost'!$F$4</f>
        <v>179553361.37142858</v>
      </c>
      <c r="N52" s="126"/>
      <c r="O52" s="126"/>
      <c r="P52" s="126"/>
      <c r="Q52" s="126"/>
      <c r="R52" s="127">
        <f>'1. Standard_Cost'!$B$15*N52*P52</f>
        <v>0</v>
      </c>
      <c r="S52" s="127">
        <f>N52*O52*P52*'1. Standard_Cost'!$C$15</f>
        <v>0</v>
      </c>
      <c r="T52" s="127">
        <f>N52*P52*Q52*'1. Standard_Cost'!$D$15</f>
        <v>0</v>
      </c>
      <c r="U52" s="127">
        <f>N52*O52*'1. Standard_Cost'!$E$15</f>
        <v>0</v>
      </c>
      <c r="V52" s="126"/>
      <c r="W52" s="126"/>
      <c r="X52" s="126"/>
      <c r="Y52" s="127">
        <f>+V52*((X52*'1. Standard_Cost'!$B$19)+(W52*X52*'1. Standard_Cost'!$C$19))</f>
        <v>0</v>
      </c>
      <c r="Z52" s="126"/>
      <c r="AA52" s="126"/>
      <c r="AB52" s="127">
        <f>+Z52*'1. Standard_Cost'!$B$23+AA52*'1. Standard_Cost'!$C$23</f>
        <v>0</v>
      </c>
      <c r="AC52" s="128">
        <f>100000/12*3*402</f>
        <v>10050000</v>
      </c>
      <c r="AD52" s="129"/>
      <c r="AE52" s="127">
        <f>SUM(AD52,AC52,AB52,Y52,U52,T52,S52,R52)*'1. Standard_Cost'!$B$31</f>
        <v>2010000</v>
      </c>
      <c r="AF52" s="127">
        <f>SUM(AE52,AD52,AC52,AB52,Y52,U52,T52,S52,R52)</f>
        <v>12060000</v>
      </c>
      <c r="AG52" s="126"/>
      <c r="AH52" s="126"/>
      <c r="AI52" s="126"/>
      <c r="AJ52" s="130"/>
      <c r="AK52" s="130"/>
      <c r="AL52" s="130"/>
      <c r="AM52" s="127">
        <f>AG52*'1. Standard_Cost'!$B$27+'Incremental_Cost Year 4'!AH52*'1. Standard_Cost'!$C$27+'Incremental_Cost Year 4'!AI52*'1. Standard_Cost'!$D$27+'Incremental_Cost Year 4'!AJ52+'Incremental_Cost Year 4'!AL52+AK52</f>
        <v>0</v>
      </c>
      <c r="AN52" s="127">
        <f>AM52*'1. Standard_Cost'!$C$31</f>
        <v>0</v>
      </c>
      <c r="AO52" s="130"/>
      <c r="AQ52" s="171">
        <f>L52+M52</f>
        <v>1254723189.942857</v>
      </c>
      <c r="AR52" s="171">
        <f>AF52</f>
        <v>12060000</v>
      </c>
      <c r="AS52" s="171">
        <f>AM52+AN52</f>
        <v>0</v>
      </c>
      <c r="AT52" s="171">
        <f>SUM(AQ52,AR52,AS52)</f>
        <v>1266783189.942857</v>
      </c>
      <c r="AU52" s="250">
        <f>AT52</f>
        <v>1266783189.942857</v>
      </c>
      <c r="AV52" s="250"/>
      <c r="AW52" s="250"/>
      <c r="AX52" s="250"/>
      <c r="AY52" s="250"/>
      <c r="AZ52" s="250"/>
      <c r="BA52" s="250"/>
      <c r="BB52" s="251">
        <f t="shared" si="39"/>
        <v>0</v>
      </c>
      <c r="BC52" s="169"/>
      <c r="BD52" s="169"/>
      <c r="BE52" s="169"/>
      <c r="BF52" s="169"/>
    </row>
    <row r="53" spans="1:58" ht="94.5" outlineLevel="2" x14ac:dyDescent="0.25">
      <c r="A53" s="115"/>
      <c r="B53" s="200"/>
      <c r="C53" s="201"/>
      <c r="D53" s="135"/>
      <c r="E53" s="219"/>
      <c r="F53" s="219"/>
      <c r="G53" s="313"/>
      <c r="H53" s="199" t="s">
        <v>227</v>
      </c>
      <c r="I53" s="130" t="s">
        <v>3</v>
      </c>
      <c r="J53" s="126">
        <v>6</v>
      </c>
      <c r="K53" s="126">
        <v>1</v>
      </c>
      <c r="L53" s="125">
        <f>IF(I53&lt;&gt;0,((VLOOKUP(I53,'1. Standard_Cost'!$B$4:$D$11,2)+VLOOKUP(I53,'1. Standard_Cost'!$B$4:$D$11,3))*J53*K53),"0")</f>
        <v>604800</v>
      </c>
      <c r="M53" s="125">
        <f>L53*'1. Standard_Cost'!$F$4</f>
        <v>101001.60000000001</v>
      </c>
      <c r="N53" s="126"/>
      <c r="O53" s="126"/>
      <c r="P53" s="126"/>
      <c r="Q53" s="126"/>
      <c r="R53" s="127">
        <f>'1. Standard_Cost'!$B$15*N53*P53</f>
        <v>0</v>
      </c>
      <c r="S53" s="127">
        <f>N53*O53*P53*'1. Standard_Cost'!$C$15</f>
        <v>0</v>
      </c>
      <c r="T53" s="127">
        <f>N53*P53*Q53*'1. Standard_Cost'!$D$15</f>
        <v>0</v>
      </c>
      <c r="U53" s="127">
        <f>N53*O53*'1. Standard_Cost'!$E$15</f>
        <v>0</v>
      </c>
      <c r="V53" s="126"/>
      <c r="W53" s="126"/>
      <c r="X53" s="126"/>
      <c r="Y53" s="127">
        <f>+V53*((X53*'1. Standard_Cost'!$B$19)+(W53*X53*'1. Standard_Cost'!$C$19))</f>
        <v>0</v>
      </c>
      <c r="Z53" s="126"/>
      <c r="AA53" s="126"/>
      <c r="AB53" s="127">
        <f>+Z53*'1. Standard_Cost'!$B$23+AA53*'1. Standard_Cost'!$C$23</f>
        <v>0</v>
      </c>
      <c r="AC53" s="128"/>
      <c r="AD53" s="129"/>
      <c r="AE53" s="127">
        <f>SUM(AD53,AC53,AB53,Y53,U53,T53,S53,R53)*'1. Standard_Cost'!$B$31</f>
        <v>0</v>
      </c>
      <c r="AF53" s="127">
        <f>SUM(AE53,AD53,AC53,AB53,Y53,U53,T53,S53,R53)</f>
        <v>0</v>
      </c>
      <c r="AG53" s="126"/>
      <c r="AH53" s="126"/>
      <c r="AI53" s="126"/>
      <c r="AJ53" s="130"/>
      <c r="AK53" s="130"/>
      <c r="AL53" s="130"/>
      <c r="AM53" s="127">
        <f>AG53*'1. Standard_Cost'!$B$27+'Incremental_Cost Year 4'!AH53*'1. Standard_Cost'!$C$27+'Incremental_Cost Year 4'!AI53*'1. Standard_Cost'!$D$27+'Incremental_Cost Year 4'!AJ53+'Incremental_Cost Year 4'!AL53+AK53</f>
        <v>0</v>
      </c>
      <c r="AN53" s="127">
        <f>AM53*'1. Standard_Cost'!$C$31</f>
        <v>0</v>
      </c>
      <c r="AO53" s="130"/>
      <c r="AQ53" s="171">
        <f>L53+M53</f>
        <v>705801.6</v>
      </c>
      <c r="AR53" s="171">
        <f>AF53</f>
        <v>0</v>
      </c>
      <c r="AS53" s="171">
        <f>AM53+AN53</f>
        <v>0</v>
      </c>
      <c r="AT53" s="171">
        <f>SUM(AQ53,AR53,AS53)</f>
        <v>705801.6</v>
      </c>
      <c r="AU53" s="250">
        <f>AQ53</f>
        <v>705801.6</v>
      </c>
      <c r="AV53" s="250"/>
      <c r="AW53" s="250"/>
      <c r="AX53" s="250"/>
      <c r="AY53" s="250"/>
      <c r="AZ53" s="250"/>
      <c r="BA53" s="250"/>
      <c r="BB53" s="251">
        <f t="shared" si="39"/>
        <v>0</v>
      </c>
      <c r="BC53" s="169"/>
      <c r="BD53" s="169"/>
      <c r="BE53" s="169"/>
      <c r="BF53" s="169"/>
    </row>
    <row r="54" spans="1:58" ht="78.75" outlineLevel="2" x14ac:dyDescent="0.25">
      <c r="A54" s="115"/>
      <c r="B54" s="200"/>
      <c r="C54" s="201"/>
      <c r="D54" s="135"/>
      <c r="E54" s="219"/>
      <c r="F54" s="219"/>
      <c r="G54" s="313"/>
      <c r="H54" s="199" t="s">
        <v>228</v>
      </c>
      <c r="I54" s="130" t="s">
        <v>5</v>
      </c>
      <c r="J54" s="126">
        <v>0.2</v>
      </c>
      <c r="K54" s="126">
        <v>1</v>
      </c>
      <c r="L54" s="125">
        <f>IF(I54&lt;&gt;0,((VLOOKUP(I54,'1. Standard_Cost'!$B$4:$D$11,2)+VLOOKUP(I54,'1. Standard_Cost'!$B$4:$D$11,3))*J54*K54),"0")</f>
        <v>14140</v>
      </c>
      <c r="M54" s="125">
        <f>L54*'1. Standard_Cost'!$F$4</f>
        <v>2361.38</v>
      </c>
      <c r="N54" s="126"/>
      <c r="O54" s="126"/>
      <c r="P54" s="126"/>
      <c r="Q54" s="126"/>
      <c r="R54" s="127">
        <f>'1. Standard_Cost'!$B$15*N54*P54</f>
        <v>0</v>
      </c>
      <c r="S54" s="127">
        <f>N54*O54*P54*'1. Standard_Cost'!$C$15</f>
        <v>0</v>
      </c>
      <c r="T54" s="127">
        <f>N54*P54*Q54*'1. Standard_Cost'!$D$15</f>
        <v>0</v>
      </c>
      <c r="U54" s="127">
        <f>N54*O54*'1. Standard_Cost'!$E$15</f>
        <v>0</v>
      </c>
      <c r="V54" s="126"/>
      <c r="W54" s="126"/>
      <c r="X54" s="126"/>
      <c r="Y54" s="127">
        <f>+V54*((X54*'1. Standard_Cost'!$B$19)+(W54*X54*'1. Standard_Cost'!$C$19))</f>
        <v>0</v>
      </c>
      <c r="Z54" s="126"/>
      <c r="AA54" s="126"/>
      <c r="AB54" s="127">
        <f>+Z54*'1. Standard_Cost'!$B$23+AA54*'1. Standard_Cost'!$C$23</f>
        <v>0</v>
      </c>
      <c r="AC54" s="128"/>
      <c r="AD54" s="129"/>
      <c r="AE54" s="127">
        <f>SUM(AD54,AC54,AB54,Y54,U54,T54,S54,R54)*'1. Standard_Cost'!$B$31</f>
        <v>0</v>
      </c>
      <c r="AF54" s="127">
        <f>SUM(AE54,AD54,AC54,AB54,Y54,U54,T54,S54,R54)</f>
        <v>0</v>
      </c>
      <c r="AG54" s="126"/>
      <c r="AH54" s="126"/>
      <c r="AI54" s="126"/>
      <c r="AJ54" s="130"/>
      <c r="AK54" s="130"/>
      <c r="AL54" s="130"/>
      <c r="AM54" s="127">
        <f>AG54*'1. Standard_Cost'!$B$27+'Incremental_Cost Year 4'!AH54*'1. Standard_Cost'!$C$27+'Incremental_Cost Year 4'!AI54*'1. Standard_Cost'!$D$27+'Incremental_Cost Year 4'!AJ54+'Incremental_Cost Year 4'!AL54+AK54</f>
        <v>0</v>
      </c>
      <c r="AN54" s="127">
        <f>AM54*'1. Standard_Cost'!$C$31</f>
        <v>0</v>
      </c>
      <c r="AO54" s="130"/>
      <c r="AQ54" s="171">
        <f>L54+M54</f>
        <v>16501.38</v>
      </c>
      <c r="AR54" s="171">
        <f>AF54</f>
        <v>0</v>
      </c>
      <c r="AS54" s="171">
        <f>AM54+AN54</f>
        <v>0</v>
      </c>
      <c r="AT54" s="171">
        <f>SUM(AQ54,AR54,AS54)</f>
        <v>16501.38</v>
      </c>
      <c r="AU54" s="250">
        <f>AQ54</f>
        <v>16501.38</v>
      </c>
      <c r="AV54" s="250"/>
      <c r="AW54" s="250"/>
      <c r="AX54" s="250"/>
      <c r="AY54" s="250"/>
      <c r="AZ54" s="250"/>
      <c r="BA54" s="250"/>
      <c r="BB54" s="251">
        <f t="shared" si="39"/>
        <v>0</v>
      </c>
      <c r="BC54" s="169"/>
      <c r="BD54" s="169"/>
      <c r="BE54" s="169"/>
      <c r="BF54" s="169"/>
    </row>
    <row r="55" spans="1:58" ht="63" outlineLevel="2" x14ac:dyDescent="0.25">
      <c r="A55" s="115"/>
      <c r="B55" s="200"/>
      <c r="C55" s="201"/>
      <c r="D55" s="223"/>
      <c r="E55" s="219"/>
      <c r="F55" s="219"/>
      <c r="G55" s="313"/>
      <c r="H55" s="199" t="s">
        <v>229</v>
      </c>
      <c r="I55" s="130" t="s">
        <v>3</v>
      </c>
      <c r="J55" s="126">
        <v>1</v>
      </c>
      <c r="K55" s="126">
        <v>1</v>
      </c>
      <c r="L55" s="125">
        <f>IF(I55&lt;&gt;0,((VLOOKUP(I55,'1. Standard_Cost'!$B$4:$D$11,2)+VLOOKUP(I55,'1. Standard_Cost'!$B$4:$D$11,3))*J55*K55),"0")</f>
        <v>100800</v>
      </c>
      <c r="M55" s="125">
        <f>L55*'1. Standard_Cost'!$F$4</f>
        <v>16833.600000000002</v>
      </c>
      <c r="N55" s="126"/>
      <c r="O55" s="126"/>
      <c r="P55" s="126"/>
      <c r="Q55" s="126"/>
      <c r="R55" s="127">
        <f>'1. Standard_Cost'!$B$15*N55*P55</f>
        <v>0</v>
      </c>
      <c r="S55" s="127">
        <f>N55*O55*P55*'1. Standard_Cost'!$C$15</f>
        <v>0</v>
      </c>
      <c r="T55" s="127">
        <f>N55*P55*Q55*'1. Standard_Cost'!$D$15</f>
        <v>0</v>
      </c>
      <c r="U55" s="127">
        <f>N55*O55*'1. Standard_Cost'!$E$15</f>
        <v>0</v>
      </c>
      <c r="V55" s="126"/>
      <c r="W55" s="126"/>
      <c r="X55" s="126"/>
      <c r="Y55" s="127">
        <f>+V55*((X55*'1. Standard_Cost'!$B$19)+(W55*X55*'1. Standard_Cost'!$C$19))</f>
        <v>0</v>
      </c>
      <c r="Z55" s="126"/>
      <c r="AA55" s="126"/>
      <c r="AB55" s="127">
        <f>+Z55*'1. Standard_Cost'!$B$23+AA55*'1. Standard_Cost'!$C$23</f>
        <v>0</v>
      </c>
      <c r="AC55" s="128"/>
      <c r="AD55" s="129"/>
      <c r="AE55" s="127">
        <f>SUM(AD55,AC55,AB55,Y55,U55,T55,S55,R55)*'1. Standard_Cost'!$B$31</f>
        <v>0</v>
      </c>
      <c r="AF55" s="127">
        <f>SUM(AE55,AD55,AC55,AB55,Y55,U55,T55,S55,R55)</f>
        <v>0</v>
      </c>
      <c r="AG55" s="126"/>
      <c r="AH55" s="126"/>
      <c r="AI55" s="126"/>
      <c r="AJ55" s="130"/>
      <c r="AK55" s="130"/>
      <c r="AL55" s="130"/>
      <c r="AM55" s="127">
        <f>AG55*'1. Standard_Cost'!$B$27+'Incremental_Cost Year 4'!AH55*'1. Standard_Cost'!$C$27+'Incremental_Cost Year 4'!AI55*'1. Standard_Cost'!$D$27+'Incremental_Cost Year 4'!AJ55+'Incremental_Cost Year 4'!AL55+AK55</f>
        <v>0</v>
      </c>
      <c r="AN55" s="127">
        <f>AM55*'1. Standard_Cost'!$C$31</f>
        <v>0</v>
      </c>
      <c r="AO55" s="130"/>
      <c r="AQ55" s="171">
        <f>L55+M55</f>
        <v>117633.60000000001</v>
      </c>
      <c r="AR55" s="171">
        <f>AF55</f>
        <v>0</v>
      </c>
      <c r="AS55" s="171">
        <f>AM55+AN55</f>
        <v>0</v>
      </c>
      <c r="AT55" s="171">
        <f>SUM(AQ55,AR55,AS55)</f>
        <v>117633.60000000001</v>
      </c>
      <c r="AU55" s="250">
        <f>AQ55</f>
        <v>117633.60000000001</v>
      </c>
      <c r="AV55" s="250"/>
      <c r="AW55" s="250"/>
      <c r="AX55" s="250"/>
      <c r="AY55" s="250"/>
      <c r="AZ55" s="250"/>
      <c r="BA55" s="250"/>
      <c r="BB55" s="251">
        <f t="shared" si="39"/>
        <v>0</v>
      </c>
      <c r="BC55" s="169"/>
      <c r="BD55" s="169"/>
      <c r="BE55" s="169"/>
      <c r="BF55" s="169"/>
    </row>
    <row r="56" spans="1:58" ht="94.5" outlineLevel="1" x14ac:dyDescent="0.25">
      <c r="A56" s="115"/>
      <c r="B56" s="165"/>
      <c r="C56" s="166"/>
      <c r="D56" s="107" t="s">
        <v>401</v>
      </c>
      <c r="E56" s="139" t="s">
        <v>214</v>
      </c>
      <c r="F56" s="222">
        <v>2021</v>
      </c>
      <c r="G56" s="117">
        <v>2030</v>
      </c>
      <c r="H56" s="134" t="s">
        <v>215</v>
      </c>
      <c r="I56" s="252"/>
      <c r="J56" s="252"/>
      <c r="K56" s="252"/>
      <c r="L56" s="127">
        <f>SUM(L51:L55)</f>
        <v>1076131818.5714285</v>
      </c>
      <c r="M56" s="127">
        <f>SUM(M51:M55)</f>
        <v>179714013.70142856</v>
      </c>
      <c r="N56" s="127"/>
      <c r="O56" s="252"/>
      <c r="P56" s="252"/>
      <c r="Q56" s="252"/>
      <c r="R56" s="127">
        <f>SUM(R51:R55)</f>
        <v>0</v>
      </c>
      <c r="S56" s="127">
        <f>SUM(S51:S55)</f>
        <v>0</v>
      </c>
      <c r="T56" s="127">
        <f>SUM(T51:T55)</f>
        <v>0</v>
      </c>
      <c r="U56" s="127">
        <f>SUM(U51:U55)</f>
        <v>0</v>
      </c>
      <c r="V56" s="252"/>
      <c r="W56" s="252"/>
      <c r="X56" s="252"/>
      <c r="Y56" s="127">
        <f>SUM(Y51:Y55)</f>
        <v>0</v>
      </c>
      <c r="Z56" s="252"/>
      <c r="AA56" s="252"/>
      <c r="AB56" s="127">
        <f>SUM(AB51:AB55)</f>
        <v>1140000</v>
      </c>
      <c r="AC56" s="127">
        <f>SUM(AC51:AC55)</f>
        <v>10071000</v>
      </c>
      <c r="AD56" s="127">
        <f>SUM(AD51:AD55)</f>
        <v>0</v>
      </c>
      <c r="AE56" s="127">
        <f>SUM(AE51:AE55)</f>
        <v>2242200</v>
      </c>
      <c r="AF56" s="127">
        <f>SUM(AF51:AF55)</f>
        <v>13453200</v>
      </c>
      <c r="AG56" s="252"/>
      <c r="AH56" s="252"/>
      <c r="AI56" s="252"/>
      <c r="AJ56" s="127">
        <f>SUM(AJ51:AJ55)</f>
        <v>0</v>
      </c>
      <c r="AK56" s="127">
        <f>SUM(AK51:AK55)</f>
        <v>0</v>
      </c>
      <c r="AL56" s="127">
        <f>SUM(AL51:AL55)</f>
        <v>0</v>
      </c>
      <c r="AM56" s="127">
        <f>SUM(AM51:AM55)</f>
        <v>0</v>
      </c>
      <c r="AN56" s="127">
        <f>SUM(AN51:AN55)</f>
        <v>0</v>
      </c>
      <c r="AO56" s="253"/>
      <c r="AP56" s="254"/>
      <c r="AQ56" s="175">
        <f>SUM(AQ51:AQ55)</f>
        <v>1255845832.272857</v>
      </c>
      <c r="AR56" s="175">
        <f>SUM(AR51:AR55)</f>
        <v>13453200</v>
      </c>
      <c r="AS56" s="175">
        <f>SUM(AS51:AS55)</f>
        <v>0</v>
      </c>
      <c r="AT56" s="175">
        <f>SUM(AT51:AT55)</f>
        <v>1269299032.272857</v>
      </c>
      <c r="AU56" s="175">
        <f t="shared" ref="AU56:BB56" si="40">SUM(AU51:AU55)</f>
        <v>1267905832.272857</v>
      </c>
      <c r="AV56" s="175">
        <f t="shared" si="40"/>
        <v>0</v>
      </c>
      <c r="AW56" s="175">
        <f t="shared" si="40"/>
        <v>0</v>
      </c>
      <c r="AX56" s="175">
        <f t="shared" si="40"/>
        <v>0</v>
      </c>
      <c r="AY56" s="175">
        <f t="shared" si="40"/>
        <v>1393200</v>
      </c>
      <c r="AZ56" s="175">
        <f t="shared" si="40"/>
        <v>0</v>
      </c>
      <c r="BA56" s="175">
        <f t="shared" si="40"/>
        <v>0</v>
      </c>
      <c r="BB56" s="175">
        <f t="shared" si="40"/>
        <v>0</v>
      </c>
      <c r="BC56" s="169"/>
      <c r="BD56" s="169"/>
      <c r="BE56" s="169"/>
      <c r="BF56" s="169"/>
    </row>
    <row r="57" spans="1:58" ht="110.25" outlineLevel="2" x14ac:dyDescent="0.25">
      <c r="A57" s="115"/>
      <c r="B57" s="200"/>
      <c r="C57" s="201"/>
      <c r="D57" s="138"/>
      <c r="E57" s="219"/>
      <c r="F57" s="219"/>
      <c r="G57" s="313"/>
      <c r="H57" s="199" t="s">
        <v>402</v>
      </c>
      <c r="I57" s="130"/>
      <c r="J57" s="126"/>
      <c r="K57" s="126"/>
      <c r="L57" s="125" t="str">
        <f>IF(I57&lt;&gt;0,((VLOOKUP(I57,'1. Standard_Cost'!$B$4:$D$11,2)+VLOOKUP(I57,'1. Standard_Cost'!$B$4:$D$11,3))*J57*K57),"0")</f>
        <v>0</v>
      </c>
      <c r="M57" s="125">
        <f>L57*'1. Standard_Cost'!$F$4</f>
        <v>0</v>
      </c>
      <c r="N57" s="126"/>
      <c r="O57" s="126"/>
      <c r="P57" s="126"/>
      <c r="Q57" s="126"/>
      <c r="R57" s="127">
        <f>'1. Standard_Cost'!$B$15*N57*P57</f>
        <v>0</v>
      </c>
      <c r="S57" s="127">
        <f>N57*O57*P57*'1. Standard_Cost'!$C$15</f>
        <v>0</v>
      </c>
      <c r="T57" s="127">
        <f>N57*P57*Q57*'1. Standard_Cost'!$D$15</f>
        <v>0</v>
      </c>
      <c r="U57" s="127">
        <f>N57*O57*'1. Standard_Cost'!$E$15</f>
        <v>0</v>
      </c>
      <c r="V57" s="126"/>
      <c r="W57" s="126"/>
      <c r="X57" s="126"/>
      <c r="Y57" s="127">
        <f>+V57*((X57*'1. Standard_Cost'!$B$19)+(W57*X57*'1. Standard_Cost'!$C$19))</f>
        <v>0</v>
      </c>
      <c r="Z57" s="126"/>
      <c r="AA57" s="126"/>
      <c r="AB57" s="127">
        <f>+Z57*'1. Standard_Cost'!$B$23+AA57*'1. Standard_Cost'!$C$23</f>
        <v>0</v>
      </c>
      <c r="AC57" s="128"/>
      <c r="AD57" s="129"/>
      <c r="AE57" s="127">
        <f>SUM(AD57,AC57,AB57,Y57,U57,T57,S57,R57)*'1. Standard_Cost'!$B$31</f>
        <v>0</v>
      </c>
      <c r="AF57" s="127">
        <f>SUM(AE57,AD57,AC57,AB57,Y57,U57,T57,S57,R57)</f>
        <v>0</v>
      </c>
      <c r="AG57" s="126"/>
      <c r="AH57" s="126"/>
      <c r="AI57" s="126"/>
      <c r="AJ57" s="130"/>
      <c r="AK57" s="130"/>
      <c r="AL57" s="130"/>
      <c r="AM57" s="127">
        <f>AG57*'1. Standard_Cost'!$B$27+'Incremental_Cost Year 4'!AH57*'1. Standard_Cost'!$C$27+'Incremental_Cost Year 4'!AI57*'1. Standard_Cost'!$D$27+'Incremental_Cost Year 4'!AJ57+'Incremental_Cost Year 4'!AL57+AK57</f>
        <v>0</v>
      </c>
      <c r="AN57" s="127">
        <f>AM57*'1. Standard_Cost'!$C$31</f>
        <v>0</v>
      </c>
      <c r="AO57" s="249"/>
      <c r="AQ57" s="171">
        <f>L57+M57</f>
        <v>0</v>
      </c>
      <c r="AR57" s="171">
        <f>AF57</f>
        <v>0</v>
      </c>
      <c r="AS57" s="171">
        <f>AM57+AN57</f>
        <v>0</v>
      </c>
      <c r="AT57" s="171">
        <f>SUM(AQ57,AR57,AS57)</f>
        <v>0</v>
      </c>
      <c r="AU57" s="250"/>
      <c r="AV57" s="250"/>
      <c r="AW57" s="250"/>
      <c r="AX57" s="250"/>
      <c r="AY57" s="250"/>
      <c r="AZ57" s="250"/>
      <c r="BA57" s="250"/>
      <c r="BB57" s="251">
        <f t="shared" ref="BB57:BB59" si="41">SUM(AU57:BA57)-AT57</f>
        <v>0</v>
      </c>
      <c r="BC57" s="169"/>
      <c r="BD57" s="169"/>
      <c r="BE57" s="169"/>
      <c r="BF57" s="169"/>
    </row>
    <row r="58" spans="1:58" ht="63" outlineLevel="2" x14ac:dyDescent="0.25">
      <c r="A58" s="115"/>
      <c r="B58" s="200"/>
      <c r="C58" s="201"/>
      <c r="D58" s="135"/>
      <c r="E58" s="219"/>
      <c r="F58" s="219"/>
      <c r="G58" s="313"/>
      <c r="H58" s="199" t="s">
        <v>403</v>
      </c>
      <c r="I58" s="130"/>
      <c r="J58" s="126"/>
      <c r="K58" s="126"/>
      <c r="L58" s="125" t="str">
        <f>IF(I58&lt;&gt;0,((VLOOKUP(I58,'1. Standard_Cost'!$B$4:$D$11,2)+VLOOKUP(I58,'1. Standard_Cost'!$B$4:$D$11,3))*J58*K58),"0")</f>
        <v>0</v>
      </c>
      <c r="M58" s="125">
        <f>L58*'1. Standard_Cost'!$F$4</f>
        <v>0</v>
      </c>
      <c r="N58" s="126"/>
      <c r="O58" s="126"/>
      <c r="P58" s="126"/>
      <c r="Q58" s="126"/>
      <c r="R58" s="127">
        <f>'1. Standard_Cost'!$B$15*N58*P58</f>
        <v>0</v>
      </c>
      <c r="S58" s="127">
        <f>N58*O58*P58*'1. Standard_Cost'!$C$15</f>
        <v>0</v>
      </c>
      <c r="T58" s="127">
        <f>N58*P58*Q58*'1. Standard_Cost'!$D$15</f>
        <v>0</v>
      </c>
      <c r="U58" s="127">
        <f>N58*O58*'1. Standard_Cost'!$E$15</f>
        <v>0</v>
      </c>
      <c r="V58" s="126"/>
      <c r="W58" s="126"/>
      <c r="X58" s="126"/>
      <c r="Y58" s="127">
        <f>+V58*((X58*'1. Standard_Cost'!$B$19)+(W58*X58*'1. Standard_Cost'!$C$19))</f>
        <v>0</v>
      </c>
      <c r="Z58" s="126"/>
      <c r="AA58" s="126"/>
      <c r="AB58" s="127">
        <f>+Z58*'1. Standard_Cost'!$B$23+AA58*'1. Standard_Cost'!$C$23</f>
        <v>0</v>
      </c>
      <c r="AC58" s="128"/>
      <c r="AD58" s="129"/>
      <c r="AE58" s="127">
        <f>SUM(AD58,AC58,AB58,Y58,U58,T58,S58,R58)*'1. Standard_Cost'!$B$31</f>
        <v>0</v>
      </c>
      <c r="AF58" s="127">
        <f>SUM(AE58,AD58,AC58,AB58,Y58,U58,T58,S58,R58)</f>
        <v>0</v>
      </c>
      <c r="AG58" s="126"/>
      <c r="AH58" s="126"/>
      <c r="AI58" s="126"/>
      <c r="AJ58" s="130"/>
      <c r="AK58" s="130"/>
      <c r="AL58" s="130"/>
      <c r="AM58" s="127">
        <f>AG58*'1. Standard_Cost'!$B$27+'Incremental_Cost Year 4'!AH58*'1. Standard_Cost'!$C$27+'Incremental_Cost Year 4'!AI58*'1. Standard_Cost'!$D$27+'Incremental_Cost Year 4'!AJ58+'Incremental_Cost Year 4'!AL58+AK58</f>
        <v>0</v>
      </c>
      <c r="AN58" s="127">
        <f>AM58*'1. Standard_Cost'!$C$31</f>
        <v>0</v>
      </c>
      <c r="AO58" s="130"/>
      <c r="AQ58" s="171">
        <f>L58+M58</f>
        <v>0</v>
      </c>
      <c r="AR58" s="171">
        <f>AF58</f>
        <v>0</v>
      </c>
      <c r="AS58" s="171">
        <f>AM58+AN58</f>
        <v>0</v>
      </c>
      <c r="AT58" s="171">
        <f>SUM(AQ58,AR58,AS58)</f>
        <v>0</v>
      </c>
      <c r="AU58" s="250"/>
      <c r="AV58" s="250"/>
      <c r="AW58" s="250"/>
      <c r="AX58" s="250"/>
      <c r="AY58" s="250"/>
      <c r="AZ58" s="250"/>
      <c r="BA58" s="250"/>
      <c r="BB58" s="251">
        <f t="shared" si="41"/>
        <v>0</v>
      </c>
      <c r="BC58" s="169"/>
      <c r="BD58" s="169"/>
      <c r="BE58" s="169"/>
      <c r="BF58" s="169"/>
    </row>
    <row r="59" spans="1:58" ht="78.75" outlineLevel="2" x14ac:dyDescent="0.25">
      <c r="A59" s="115"/>
      <c r="B59" s="147"/>
      <c r="C59" s="314"/>
      <c r="D59" s="223"/>
      <c r="E59" s="122"/>
      <c r="F59" s="122"/>
      <c r="G59" s="123"/>
      <c r="H59" s="199" t="s">
        <v>309</v>
      </c>
      <c r="I59" s="130"/>
      <c r="J59" s="126"/>
      <c r="K59" s="126"/>
      <c r="L59" s="125" t="str">
        <f>IF(I59&lt;&gt;0,((VLOOKUP(I59,'1. Standard_Cost'!$B$4:$D$11,2)+VLOOKUP(I59,'1. Standard_Cost'!$B$4:$D$11,3))*J59*K59),"0")</f>
        <v>0</v>
      </c>
      <c r="M59" s="125">
        <f>L59*'1. Standard_Cost'!$F$4</f>
        <v>0</v>
      </c>
      <c r="N59" s="126"/>
      <c r="O59" s="126"/>
      <c r="P59" s="126"/>
      <c r="Q59" s="126"/>
      <c r="R59" s="127">
        <f>'1. Standard_Cost'!$B$15*N59*P59</f>
        <v>0</v>
      </c>
      <c r="S59" s="127">
        <f>N59*O59*P59*'1. Standard_Cost'!$C$15</f>
        <v>0</v>
      </c>
      <c r="T59" s="127">
        <f>N59*P59*Q59*'1. Standard_Cost'!$D$15</f>
        <v>0</v>
      </c>
      <c r="U59" s="127">
        <f>N59*O59*'1. Standard_Cost'!$E$15</f>
        <v>0</v>
      </c>
      <c r="V59" s="126"/>
      <c r="W59" s="126"/>
      <c r="X59" s="126"/>
      <c r="Y59" s="127">
        <f>+V59*((X59*'1. Standard_Cost'!$B$19)+(W59*X59*'1. Standard_Cost'!$C$19))</f>
        <v>0</v>
      </c>
      <c r="Z59" s="126"/>
      <c r="AA59" s="126"/>
      <c r="AB59" s="127">
        <f>+Z59*'1. Standard_Cost'!$B$23+AA59*'1. Standard_Cost'!$C$23</f>
        <v>0</v>
      </c>
      <c r="AC59" s="128"/>
      <c r="AD59" s="129"/>
      <c r="AE59" s="127">
        <f>SUM(AD59,AC59,AB59,Y59,U59,T59,S59,R59)*'1. Standard_Cost'!$B$31</f>
        <v>0</v>
      </c>
      <c r="AF59" s="127">
        <f>SUM(AE59,AD59,AC59,AB59,Y59,U59,T59,S59,R59)</f>
        <v>0</v>
      </c>
      <c r="AG59" s="126"/>
      <c r="AH59" s="126"/>
      <c r="AI59" s="126"/>
      <c r="AJ59" s="130"/>
      <c r="AK59" s="130"/>
      <c r="AL59" s="130"/>
      <c r="AM59" s="127">
        <f>AG59*'1. Standard_Cost'!$B$27+'Incremental_Cost Year 4'!AH59*'1. Standard_Cost'!$C$27+'Incremental_Cost Year 4'!AI59*'1. Standard_Cost'!$D$27+'Incremental_Cost Year 4'!AJ59+'Incremental_Cost Year 4'!AL59+AK59</f>
        <v>0</v>
      </c>
      <c r="AN59" s="127">
        <f>AM59*'1. Standard_Cost'!$C$31</f>
        <v>0</v>
      </c>
      <c r="AO59" s="130"/>
      <c r="AQ59" s="171">
        <f>L59+M59</f>
        <v>0</v>
      </c>
      <c r="AR59" s="171">
        <f>AF59</f>
        <v>0</v>
      </c>
      <c r="AS59" s="171">
        <f>AM59+AN59</f>
        <v>0</v>
      </c>
      <c r="AT59" s="171">
        <f>SUM(AQ59,AR59,AS59)</f>
        <v>0</v>
      </c>
      <c r="AU59" s="250"/>
      <c r="AV59" s="250"/>
      <c r="AW59" s="250"/>
      <c r="AX59" s="250"/>
      <c r="AY59" s="250"/>
      <c r="AZ59" s="250"/>
      <c r="BA59" s="250"/>
      <c r="BB59" s="251">
        <f t="shared" si="41"/>
        <v>0</v>
      </c>
      <c r="BC59" s="169"/>
      <c r="BD59" s="169"/>
      <c r="BE59" s="169"/>
      <c r="BF59" s="169"/>
    </row>
    <row r="60" spans="1:58" ht="31.5" outlineLevel="1" x14ac:dyDescent="0.25">
      <c r="A60" s="115"/>
      <c r="B60" s="200"/>
      <c r="C60" s="201"/>
      <c r="D60" s="132" t="s">
        <v>388</v>
      </c>
      <c r="E60" s="133" t="s">
        <v>216</v>
      </c>
      <c r="F60" s="122">
        <v>2021</v>
      </c>
      <c r="G60" s="223">
        <v>2030</v>
      </c>
      <c r="H60" s="134" t="s">
        <v>217</v>
      </c>
      <c r="I60" s="252"/>
      <c r="J60" s="252"/>
      <c r="K60" s="252"/>
      <c r="L60" s="127">
        <f>SUM(L57:L59)</f>
        <v>0</v>
      </c>
      <c r="M60" s="127">
        <f>SUM(M57:M59)</f>
        <v>0</v>
      </c>
      <c r="N60" s="127"/>
      <c r="O60" s="252"/>
      <c r="P60" s="252"/>
      <c r="Q60" s="252"/>
      <c r="R60" s="127">
        <f>SUM(R57:R59)</f>
        <v>0</v>
      </c>
      <c r="S60" s="127">
        <f>SUM(S57:S59)</f>
        <v>0</v>
      </c>
      <c r="T60" s="127">
        <f>SUM(T57:T59)</f>
        <v>0</v>
      </c>
      <c r="U60" s="127">
        <f>SUM(U57:U59)</f>
        <v>0</v>
      </c>
      <c r="V60" s="252"/>
      <c r="W60" s="252"/>
      <c r="X60" s="252"/>
      <c r="Y60" s="127">
        <f>SUM(Y57:Y59)</f>
        <v>0</v>
      </c>
      <c r="Z60" s="252"/>
      <c r="AA60" s="252"/>
      <c r="AB60" s="127">
        <f>SUM(AB57:AB59)</f>
        <v>0</v>
      </c>
      <c r="AC60" s="127">
        <f>SUM(AC57:AC59)</f>
        <v>0</v>
      </c>
      <c r="AD60" s="127">
        <f>SUM(AD57:AD59)</f>
        <v>0</v>
      </c>
      <c r="AE60" s="127">
        <f>SUM(AE57:AE59)</f>
        <v>0</v>
      </c>
      <c r="AF60" s="127">
        <f>SUM(AF57:AF59)</f>
        <v>0</v>
      </c>
      <c r="AG60" s="252"/>
      <c r="AH60" s="252"/>
      <c r="AI60" s="252"/>
      <c r="AJ60" s="127">
        <f>SUM(AJ57:AJ59)</f>
        <v>0</v>
      </c>
      <c r="AK60" s="127">
        <f>SUM(AK57:AK59)</f>
        <v>0</v>
      </c>
      <c r="AL60" s="127">
        <f>SUM(AL57:AL59)</f>
        <v>0</v>
      </c>
      <c r="AM60" s="127">
        <f>SUM(AM57:AM59)</f>
        <v>0</v>
      </c>
      <c r="AN60" s="127">
        <f>SUM(AN57:AN59)</f>
        <v>0</v>
      </c>
      <c r="AO60" s="253"/>
      <c r="AP60" s="254"/>
      <c r="AQ60" s="175">
        <f>SUM(AQ57:AQ59)</f>
        <v>0</v>
      </c>
      <c r="AR60" s="175">
        <f>SUM(AR57:AR59)</f>
        <v>0</v>
      </c>
      <c r="AS60" s="175">
        <f>SUM(AS57:AS59)</f>
        <v>0</v>
      </c>
      <c r="AT60" s="175">
        <f>SUM(AT57:AT59)</f>
        <v>0</v>
      </c>
      <c r="AU60" s="175">
        <f t="shared" ref="AU60:BB60" si="42">SUM(AU57:AU59)</f>
        <v>0</v>
      </c>
      <c r="AV60" s="175">
        <f t="shared" si="42"/>
        <v>0</v>
      </c>
      <c r="AW60" s="175">
        <f t="shared" si="42"/>
        <v>0</v>
      </c>
      <c r="AX60" s="175">
        <f t="shared" si="42"/>
        <v>0</v>
      </c>
      <c r="AY60" s="175">
        <f t="shared" si="42"/>
        <v>0</v>
      </c>
      <c r="AZ60" s="175">
        <f t="shared" si="42"/>
        <v>0</v>
      </c>
      <c r="BA60" s="175">
        <f t="shared" si="42"/>
        <v>0</v>
      </c>
      <c r="BB60" s="175">
        <f t="shared" si="42"/>
        <v>0</v>
      </c>
      <c r="BC60" s="169"/>
      <c r="BD60" s="169"/>
      <c r="BE60" s="169"/>
      <c r="BF60" s="169"/>
    </row>
    <row r="61" spans="1:58" s="170" customFormat="1" ht="15.75" customHeight="1" x14ac:dyDescent="0.25">
      <c r="A61" s="120"/>
      <c r="B61" s="290"/>
      <c r="C61" s="391" t="s">
        <v>218</v>
      </c>
      <c r="D61" s="391"/>
      <c r="E61" s="392"/>
      <c r="F61" s="289"/>
      <c r="G61" s="288"/>
      <c r="H61" s="114" t="s">
        <v>219</v>
      </c>
      <c r="I61" s="246"/>
      <c r="J61" s="246"/>
      <c r="K61" s="246"/>
      <c r="L61" s="247">
        <f>SUM(L77)</f>
        <v>648532582.14285719</v>
      </c>
      <c r="M61" s="247">
        <f>SUM(M77)</f>
        <v>108304941.21785715</v>
      </c>
      <c r="N61" s="247"/>
      <c r="O61" s="247"/>
      <c r="P61" s="247"/>
      <c r="Q61" s="247"/>
      <c r="R61" s="247">
        <f>SUM(R77)</f>
        <v>280000</v>
      </c>
      <c r="S61" s="247">
        <f>SUM(S77)</f>
        <v>420000</v>
      </c>
      <c r="T61" s="247">
        <f>SUM(T77)</f>
        <v>0</v>
      </c>
      <c r="U61" s="247">
        <f>SUM(U77)</f>
        <v>560000</v>
      </c>
      <c r="V61" s="247"/>
      <c r="W61" s="247"/>
      <c r="X61" s="247"/>
      <c r="Y61" s="247">
        <f>SUM(Y77)</f>
        <v>0</v>
      </c>
      <c r="Z61" s="247">
        <f t="shared" ref="Z61:AA61" si="43">SUM(Z77)</f>
        <v>0</v>
      </c>
      <c r="AA61" s="247">
        <f t="shared" si="43"/>
        <v>0</v>
      </c>
      <c r="AB61" s="247">
        <f t="shared" ref="AB61:AF61" si="44">SUM(AB77)</f>
        <v>1501000</v>
      </c>
      <c r="AC61" s="247">
        <f t="shared" si="44"/>
        <v>549900000</v>
      </c>
      <c r="AD61" s="247">
        <f t="shared" si="44"/>
        <v>0</v>
      </c>
      <c r="AE61" s="247">
        <f t="shared" si="44"/>
        <v>82092200</v>
      </c>
      <c r="AF61" s="247">
        <f t="shared" si="44"/>
        <v>634753200</v>
      </c>
      <c r="AG61" s="247"/>
      <c r="AH61" s="247"/>
      <c r="AI61" s="247"/>
      <c r="AJ61" s="247">
        <f>SUM(AJ77)</f>
        <v>0</v>
      </c>
      <c r="AK61" s="247">
        <f>SUM(AK77)</f>
        <v>0</v>
      </c>
      <c r="AL61" s="247">
        <f>SUM(AL77)</f>
        <v>665000000</v>
      </c>
      <c r="AM61" s="247">
        <f>SUM(AM77)</f>
        <v>665000000</v>
      </c>
      <c r="AN61" s="247">
        <f>SUM(AN77)</f>
        <v>99750000</v>
      </c>
      <c r="AO61" s="247"/>
      <c r="AP61" s="244"/>
      <c r="AQ61" s="248">
        <f>SUM(AQ77)</f>
        <v>756837523.36071432</v>
      </c>
      <c r="AR61" s="248">
        <f>SUM(AR77)</f>
        <v>634753200</v>
      </c>
      <c r="AS61" s="248">
        <f>SUM(AS77)</f>
        <v>764750000</v>
      </c>
      <c r="AT61" s="248">
        <f>SUM(AT77)</f>
        <v>2156340723.3607144</v>
      </c>
      <c r="AU61" s="248">
        <f t="shared" ref="AU61:BB61" si="45">SUM(AU77)</f>
        <v>1266539923.3607144</v>
      </c>
      <c r="AV61" s="248">
        <f t="shared" si="45"/>
        <v>0</v>
      </c>
      <c r="AW61" s="248">
        <f t="shared" si="45"/>
        <v>0</v>
      </c>
      <c r="AX61" s="248">
        <f t="shared" si="45"/>
        <v>0</v>
      </c>
      <c r="AY61" s="248">
        <f>SUM(AY77)</f>
        <v>2346000</v>
      </c>
      <c r="AZ61" s="248">
        <f t="shared" si="45"/>
        <v>249600</v>
      </c>
      <c r="BA61" s="248">
        <f t="shared" si="45"/>
        <v>0</v>
      </c>
      <c r="BB61" s="248">
        <f t="shared" si="45"/>
        <v>-887205200</v>
      </c>
    </row>
    <row r="62" spans="1:58" ht="126" outlineLevel="2" x14ac:dyDescent="0.25">
      <c r="A62" s="115"/>
      <c r="B62" s="200"/>
      <c r="C62" s="201"/>
      <c r="D62" s="350"/>
      <c r="E62" s="315"/>
      <c r="F62" s="316"/>
      <c r="G62" s="317"/>
      <c r="H62" s="199" t="s">
        <v>404</v>
      </c>
      <c r="I62" s="130"/>
      <c r="J62" s="126"/>
      <c r="K62" s="126"/>
      <c r="L62" s="125" t="str">
        <f>IF(I62&lt;&gt;0,((VLOOKUP(I62,'1. Standard_Cost'!$B$4:$D$11,2)+VLOOKUP(I62,'1. Standard_Cost'!$B$4:$D$11,3))*J62*K62),"0")</f>
        <v>0</v>
      </c>
      <c r="M62" s="125">
        <f>L62*'1. Standard_Cost'!$F$4</f>
        <v>0</v>
      </c>
      <c r="N62" s="126"/>
      <c r="O62" s="126"/>
      <c r="P62" s="126"/>
      <c r="Q62" s="126"/>
      <c r="R62" s="127">
        <f>'1. Standard_Cost'!$B$15*N62*P62</f>
        <v>0</v>
      </c>
      <c r="S62" s="127">
        <f>N62*O62*P62*'1. Standard_Cost'!$C$15</f>
        <v>0</v>
      </c>
      <c r="T62" s="127">
        <f>N62*P62*Q62*'1. Standard_Cost'!$D$15</f>
        <v>0</v>
      </c>
      <c r="U62" s="127">
        <f>N62*O62*'1. Standard_Cost'!$E$15</f>
        <v>0</v>
      </c>
      <c r="V62" s="126"/>
      <c r="W62" s="126"/>
      <c r="X62" s="126"/>
      <c r="Y62" s="127">
        <f>+V62*((X62*'1. Standard_Cost'!$B$19)+(W62*X62*'1. Standard_Cost'!$C$19))</f>
        <v>0</v>
      </c>
      <c r="Z62" s="126"/>
      <c r="AA62" s="126"/>
      <c r="AB62" s="127">
        <f>+Z62*'1. Standard_Cost'!$B$23+AA62*'1. Standard_Cost'!$C$23</f>
        <v>0</v>
      </c>
      <c r="AC62" s="128"/>
      <c r="AD62" s="129"/>
      <c r="AE62" s="127">
        <f>SUM(AD62,AC62,AB62,Y62,U62,T62,S62,R62)*'1. Standard_Cost'!$B$31</f>
        <v>0</v>
      </c>
      <c r="AF62" s="127">
        <f t="shared" ref="AF62:AF67" si="46">SUM(AE62,AD62,AC62,AB62,Y62,U62,T62,S62,R62)</f>
        <v>0</v>
      </c>
      <c r="AG62" s="126"/>
      <c r="AH62" s="126"/>
      <c r="AI62" s="126"/>
      <c r="AJ62" s="130"/>
      <c r="AK62" s="130"/>
      <c r="AL62" s="130"/>
      <c r="AM62" s="127">
        <f>AG62*'1. Standard_Cost'!$B$27+'Incremental_Cost Year 4'!AH62*'1. Standard_Cost'!$C$27+'Incremental_Cost Year 4'!AI62*'1. Standard_Cost'!$D$27+'Incremental_Cost Year 4'!AJ62+'Incremental_Cost Year 4'!AL62+AK62</f>
        <v>0</v>
      </c>
      <c r="AN62" s="127">
        <f>AM62*'1. Standard_Cost'!$C$31</f>
        <v>0</v>
      </c>
      <c r="AO62" s="249"/>
      <c r="AQ62" s="171">
        <f t="shared" ref="AQ62:AQ76" si="47">L62+M62</f>
        <v>0</v>
      </c>
      <c r="AR62" s="171">
        <f t="shared" ref="AR62:AR76" si="48">AF62</f>
        <v>0</v>
      </c>
      <c r="AS62" s="171">
        <f t="shared" ref="AS62:AS76" si="49">AM62+AN62</f>
        <v>0</v>
      </c>
      <c r="AT62" s="171">
        <f t="shared" ref="AT62:AT76" si="50">SUM(AQ62,AR62,AS62)</f>
        <v>0</v>
      </c>
      <c r="AU62" s="250">
        <f>AQ62</f>
        <v>0</v>
      </c>
      <c r="AV62" s="250"/>
      <c r="AW62" s="250"/>
      <c r="AX62" s="250"/>
      <c r="AY62" s="250">
        <f>AR62</f>
        <v>0</v>
      </c>
      <c r="AZ62" s="250"/>
      <c r="BA62" s="250"/>
      <c r="BB62" s="251">
        <f t="shared" ref="BB62" si="51">SUM(AU62:BA62)-AT62</f>
        <v>0</v>
      </c>
      <c r="BC62" s="169"/>
      <c r="BD62" s="169"/>
      <c r="BE62" s="169"/>
      <c r="BF62" s="169"/>
    </row>
    <row r="63" spans="1:58" ht="141.75" outlineLevel="2" x14ac:dyDescent="0.25">
      <c r="A63" s="115"/>
      <c r="B63" s="200"/>
      <c r="C63" s="201"/>
      <c r="D63" s="141"/>
      <c r="E63" s="318"/>
      <c r="F63" s="219"/>
      <c r="G63" s="313"/>
      <c r="H63" s="199" t="s">
        <v>405</v>
      </c>
      <c r="I63" s="130"/>
      <c r="J63" s="126"/>
      <c r="K63" s="126"/>
      <c r="L63" s="125" t="str">
        <f>IF(I63&lt;&gt;0,((VLOOKUP(I63,'1. Standard_Cost'!$B$4:$D$11,2)+VLOOKUP(I63,'1. Standard_Cost'!$B$4:$D$11,3))*J63*K63),"0")</f>
        <v>0</v>
      </c>
      <c r="M63" s="125">
        <f>L63*'1. Standard_Cost'!$F$4</f>
        <v>0</v>
      </c>
      <c r="N63" s="126"/>
      <c r="O63" s="126"/>
      <c r="P63" s="126"/>
      <c r="Q63" s="126"/>
      <c r="R63" s="127">
        <f>'1. Standard_Cost'!$B$15*N63*P63</f>
        <v>0</v>
      </c>
      <c r="S63" s="127">
        <f>N63*O63*P63*'1. Standard_Cost'!$C$15</f>
        <v>0</v>
      </c>
      <c r="T63" s="127">
        <f>N63*P63*Q63*'1. Standard_Cost'!$D$15</f>
        <v>0</v>
      </c>
      <c r="U63" s="127">
        <f>N63*O63*'1. Standard_Cost'!$E$15</f>
        <v>0</v>
      </c>
      <c r="V63" s="126"/>
      <c r="W63" s="126"/>
      <c r="X63" s="126"/>
      <c r="Y63" s="127">
        <f>+V63*((X63*'1. Standard_Cost'!$B$19)+(W63*X63*'1. Standard_Cost'!$C$19))</f>
        <v>0</v>
      </c>
      <c r="Z63" s="126"/>
      <c r="AA63" s="126"/>
      <c r="AB63" s="127">
        <f>+Z63*'1. Standard_Cost'!$B$23+AA63*'1. Standard_Cost'!$C$23</f>
        <v>0</v>
      </c>
      <c r="AC63" s="128"/>
      <c r="AD63" s="129"/>
      <c r="AE63" s="127">
        <f>SUM(AD63,AC63,AB63,Y63,U63,T63,S63,R63)*'1. Standard_Cost'!$B$31</f>
        <v>0</v>
      </c>
      <c r="AF63" s="127">
        <f t="shared" si="46"/>
        <v>0</v>
      </c>
      <c r="AG63" s="126"/>
      <c r="AH63" s="126"/>
      <c r="AI63" s="126"/>
      <c r="AJ63" s="130"/>
      <c r="AK63" s="130"/>
      <c r="AL63" s="130"/>
      <c r="AM63" s="127">
        <f>AG63*'1. Standard_Cost'!$B$27+'Incremental_Cost Year 4'!AH63*'1. Standard_Cost'!$C$27+'Incremental_Cost Year 4'!AI63*'1. Standard_Cost'!$D$27+'Incremental_Cost Year 4'!AJ63+'Incremental_Cost Year 4'!AL63+AK63</f>
        <v>0</v>
      </c>
      <c r="AN63" s="127">
        <f>AM63*'1. Standard_Cost'!$C$31</f>
        <v>0</v>
      </c>
      <c r="AO63" s="249"/>
      <c r="AQ63" s="171">
        <f t="shared" si="47"/>
        <v>0</v>
      </c>
      <c r="AR63" s="171">
        <f t="shared" si="48"/>
        <v>0</v>
      </c>
      <c r="AS63" s="171">
        <f t="shared" si="49"/>
        <v>0</v>
      </c>
      <c r="AT63" s="171">
        <f t="shared" si="50"/>
        <v>0</v>
      </c>
      <c r="AU63" s="250"/>
      <c r="AV63" s="250"/>
      <c r="AW63" s="250"/>
      <c r="AX63" s="250"/>
      <c r="AY63" s="250"/>
      <c r="AZ63" s="250"/>
      <c r="BA63" s="250"/>
      <c r="BB63" s="251">
        <f t="shared" ref="BB63:BB76" si="52">SUM(AU63:BA63)-AT63</f>
        <v>0</v>
      </c>
      <c r="BC63" s="169"/>
      <c r="BD63" s="169"/>
      <c r="BE63" s="169"/>
      <c r="BF63" s="169"/>
    </row>
    <row r="64" spans="1:58" ht="63" outlineLevel="2" x14ac:dyDescent="0.25">
      <c r="A64" s="115"/>
      <c r="B64" s="200"/>
      <c r="C64" s="201"/>
      <c r="D64" s="131"/>
      <c r="E64" s="319"/>
      <c r="F64" s="219"/>
      <c r="G64" s="313"/>
      <c r="H64" s="199" t="s">
        <v>406</v>
      </c>
      <c r="I64" s="130" t="s">
        <v>1</v>
      </c>
      <c r="J64" s="126">
        <v>12</v>
      </c>
      <c r="K64" s="126">
        <v>130</v>
      </c>
      <c r="L64" s="125">
        <f>IF(I64&lt;&gt;0,((VLOOKUP(I64,'1. Standard_Cost'!$B$4:$D$11,2)+VLOOKUP(I64,'1. Standard_Cost'!$B$4:$D$11,3))*J64*K64),"0")</f>
        <v>111996857.14285713</v>
      </c>
      <c r="M64" s="125">
        <f>L64*'1. Standard_Cost'!$F$4</f>
        <v>18703475.142857142</v>
      </c>
      <c r="N64" s="126"/>
      <c r="O64" s="126"/>
      <c r="P64" s="126"/>
      <c r="Q64" s="126"/>
      <c r="R64" s="127">
        <f>'1. Standard_Cost'!$B$15*N64*P64</f>
        <v>0</v>
      </c>
      <c r="S64" s="127">
        <f>N64*O64*P64*'1. Standard_Cost'!$C$15</f>
        <v>0</v>
      </c>
      <c r="T64" s="127">
        <f>N64*P64*Q64*'1. Standard_Cost'!$D$15</f>
        <v>0</v>
      </c>
      <c r="U64" s="127">
        <f>N64*O64*'1. Standard_Cost'!$E$15</f>
        <v>0</v>
      </c>
      <c r="V64" s="126"/>
      <c r="W64" s="126"/>
      <c r="X64" s="126"/>
      <c r="Y64" s="127">
        <f>+V64*((X64*'1. Standard_Cost'!$B$19)+(W64*X64*'1. Standard_Cost'!$C$19))</f>
        <v>0</v>
      </c>
      <c r="Z64" s="126"/>
      <c r="AA64" s="126"/>
      <c r="AB64" s="127">
        <f>+Z64*'1. Standard_Cost'!$B$23+AA64*'1. Standard_Cost'!$C$23</f>
        <v>0</v>
      </c>
      <c r="AC64" s="128">
        <f>10*500000</f>
        <v>5000000</v>
      </c>
      <c r="AD64" s="129"/>
      <c r="AE64" s="127">
        <v>0</v>
      </c>
      <c r="AF64" s="127">
        <f t="shared" si="46"/>
        <v>5000000</v>
      </c>
      <c r="AG64" s="126"/>
      <c r="AH64" s="126"/>
      <c r="AI64" s="126"/>
      <c r="AJ64" s="130"/>
      <c r="AK64" s="130"/>
      <c r="AL64" s="130"/>
      <c r="AM64" s="127">
        <f>AG64*'1. Standard_Cost'!$B$27+'Incremental_Cost Year 4'!AH64*'1. Standard_Cost'!$C$27+'Incremental_Cost Year 4'!AI64*'1. Standard_Cost'!$D$27+'Incremental_Cost Year 4'!AJ64+'Incremental_Cost Year 4'!AL64+AK64</f>
        <v>0</v>
      </c>
      <c r="AN64" s="127">
        <f>AM64*'1. Standard_Cost'!$C$31</f>
        <v>0</v>
      </c>
      <c r="AO64" s="130"/>
      <c r="AQ64" s="171">
        <f t="shared" si="47"/>
        <v>130700332.28571427</v>
      </c>
      <c r="AR64" s="171">
        <f t="shared" si="48"/>
        <v>5000000</v>
      </c>
      <c r="AS64" s="171">
        <f t="shared" si="49"/>
        <v>0</v>
      </c>
      <c r="AT64" s="171">
        <f t="shared" si="50"/>
        <v>135700332.28571427</v>
      </c>
      <c r="AU64" s="250">
        <f>AT64</f>
        <v>135700332.28571427</v>
      </c>
      <c r="AV64" s="250"/>
      <c r="AW64" s="250"/>
      <c r="AX64" s="250"/>
      <c r="AY64" s="250"/>
      <c r="AZ64" s="250"/>
      <c r="BA64" s="250"/>
      <c r="BB64" s="251">
        <f t="shared" si="52"/>
        <v>0</v>
      </c>
      <c r="BC64" s="169"/>
      <c r="BD64" s="169"/>
      <c r="BE64" s="169"/>
      <c r="BF64" s="169"/>
    </row>
    <row r="65" spans="1:58" ht="31.5" outlineLevel="2" x14ac:dyDescent="0.25">
      <c r="A65" s="115"/>
      <c r="B65" s="200"/>
      <c r="C65" s="201"/>
      <c r="D65" s="131"/>
      <c r="E65" s="318"/>
      <c r="F65" s="219"/>
      <c r="G65" s="313"/>
      <c r="H65" s="199" t="s">
        <v>407</v>
      </c>
      <c r="I65" s="130" t="s">
        <v>1</v>
      </c>
      <c r="J65" s="126">
        <v>12</v>
      </c>
      <c r="K65" s="126">
        <v>93</v>
      </c>
      <c r="L65" s="125">
        <f>IF(I65&lt;&gt;0,((VLOOKUP(I65,'1. Standard_Cost'!$B$4:$D$11,2)+VLOOKUP(I65,'1. Standard_Cost'!$B$4:$D$11,3))*J65*K65),"0")</f>
        <v>80120828.571428567</v>
      </c>
      <c r="M65" s="125">
        <f>L65*'1. Standard_Cost'!$F$4</f>
        <v>13380178.371428572</v>
      </c>
      <c r="N65" s="126"/>
      <c r="O65" s="126"/>
      <c r="P65" s="126"/>
      <c r="Q65" s="126"/>
      <c r="R65" s="127">
        <f>'1. Standard_Cost'!$B$15*N65*P65</f>
        <v>0</v>
      </c>
      <c r="S65" s="127">
        <f>N65*O65*P65*'1. Standard_Cost'!$C$15</f>
        <v>0</v>
      </c>
      <c r="T65" s="127">
        <f>N65*P65*Q65*'1. Standard_Cost'!$D$15</f>
        <v>0</v>
      </c>
      <c r="U65" s="127">
        <f>N65*O65*'1. Standard_Cost'!$E$15</f>
        <v>0</v>
      </c>
      <c r="V65" s="126"/>
      <c r="W65" s="126"/>
      <c r="X65" s="126"/>
      <c r="Y65" s="127">
        <f>+V65*((X65*'1. Standard_Cost'!$B$19)+(W65*X65*'1. Standard_Cost'!$C$19))</f>
        <v>0</v>
      </c>
      <c r="Z65" s="126"/>
      <c r="AA65" s="126"/>
      <c r="AB65" s="127">
        <f>+Z65*'1. Standard_Cost'!$B$23+AA65*'1. Standard_Cost'!$C$23</f>
        <v>0</v>
      </c>
      <c r="AC65" s="128">
        <f>300000*14</f>
        <v>4200000</v>
      </c>
      <c r="AD65" s="129"/>
      <c r="AE65" s="127">
        <v>0</v>
      </c>
      <c r="AF65" s="127">
        <f t="shared" si="46"/>
        <v>4200000</v>
      </c>
      <c r="AG65" s="126"/>
      <c r="AH65" s="126"/>
      <c r="AI65" s="126"/>
      <c r="AJ65" s="130"/>
      <c r="AK65" s="130"/>
      <c r="AL65" s="130"/>
      <c r="AM65" s="127">
        <f>AG65*'1. Standard_Cost'!$B$27+'Incremental_Cost Year 4'!AH65*'1. Standard_Cost'!$C$27+'Incremental_Cost Year 4'!AI65*'1. Standard_Cost'!$D$27+'Incremental_Cost Year 4'!AJ65+'Incremental_Cost Year 4'!AL65+AK65</f>
        <v>0</v>
      </c>
      <c r="AN65" s="127">
        <f>AM65*'1. Standard_Cost'!$C$31</f>
        <v>0</v>
      </c>
      <c r="AO65" s="130"/>
      <c r="AQ65" s="171">
        <f t="shared" si="47"/>
        <v>93501006.942857146</v>
      </c>
      <c r="AR65" s="171">
        <f t="shared" si="48"/>
        <v>4200000</v>
      </c>
      <c r="AS65" s="171">
        <f t="shared" si="49"/>
        <v>0</v>
      </c>
      <c r="AT65" s="171">
        <f t="shared" si="50"/>
        <v>97701006.942857146</v>
      </c>
      <c r="AU65" s="250">
        <f>AT65</f>
        <v>97701006.942857146</v>
      </c>
      <c r="AV65" s="250"/>
      <c r="AW65" s="250"/>
      <c r="AX65" s="250"/>
      <c r="AY65" s="250"/>
      <c r="AZ65" s="250"/>
      <c r="BA65" s="250"/>
      <c r="BB65" s="251">
        <f t="shared" si="52"/>
        <v>0</v>
      </c>
      <c r="BC65" s="169"/>
      <c r="BD65" s="169"/>
      <c r="BE65" s="169"/>
      <c r="BF65" s="169"/>
    </row>
    <row r="66" spans="1:58" ht="94.5" outlineLevel="2" x14ac:dyDescent="0.25">
      <c r="A66" s="115"/>
      <c r="B66" s="200"/>
      <c r="C66" s="201"/>
      <c r="D66" s="131"/>
      <c r="E66" s="318"/>
      <c r="F66" s="219"/>
      <c r="G66" s="313"/>
      <c r="H66" s="199" t="s">
        <v>548</v>
      </c>
      <c r="I66" s="130" t="s">
        <v>1</v>
      </c>
      <c r="J66" s="126">
        <v>12</v>
      </c>
      <c r="K66" s="126">
        <f>14*2+14*2</f>
        <v>56</v>
      </c>
      <c r="L66" s="125">
        <f>IF(I66&lt;&gt;0,((VLOOKUP(I66,'1. Standard_Cost'!$B$4:$D$11,2)+VLOOKUP(I66,'1. Standard_Cost'!$B$4:$D$11,3))*J66*K66),"0")</f>
        <v>48244800</v>
      </c>
      <c r="M66" s="125">
        <f>L66*'1. Standard_Cost'!$F$4</f>
        <v>8056881.6000000006</v>
      </c>
      <c r="N66" s="126"/>
      <c r="O66" s="126"/>
      <c r="P66" s="126"/>
      <c r="Q66" s="126"/>
      <c r="R66" s="127">
        <f>'1. Standard_Cost'!$B$15*N66*P66</f>
        <v>0</v>
      </c>
      <c r="S66" s="127">
        <f>N66*O66*P66*'1. Standard_Cost'!$C$15</f>
        <v>0</v>
      </c>
      <c r="T66" s="127">
        <f>N66*P66*Q66*'1. Standard_Cost'!$D$15</f>
        <v>0</v>
      </c>
      <c r="U66" s="127">
        <f>N66*O66*'1. Standard_Cost'!$E$15</f>
        <v>0</v>
      </c>
      <c r="V66" s="126"/>
      <c r="W66" s="126"/>
      <c r="X66" s="126"/>
      <c r="Y66" s="127">
        <f>+V66*((X66*'1. Standard_Cost'!$B$19)+(W66*X66*'1. Standard_Cost'!$C$19))</f>
        <v>0</v>
      </c>
      <c r="Z66" s="126"/>
      <c r="AA66" s="126"/>
      <c r="AB66" s="127">
        <f>+Z66*'1. Standard_Cost'!$B$23+AA66*'1. Standard_Cost'!$C$23</f>
        <v>0</v>
      </c>
      <c r="AC66" s="128">
        <f>30000000*4</f>
        <v>120000000</v>
      </c>
      <c r="AD66" s="129"/>
      <c r="AE66" s="127"/>
      <c r="AF66" s="127">
        <f t="shared" si="46"/>
        <v>120000000</v>
      </c>
      <c r="AG66" s="126"/>
      <c r="AH66" s="126"/>
      <c r="AI66" s="126"/>
      <c r="AJ66" s="130"/>
      <c r="AK66" s="130"/>
      <c r="AL66" s="130"/>
      <c r="AM66" s="127">
        <f>AG66*'1. Standard_Cost'!$B$27+'Incremental_Cost Year 4'!AH66*'1. Standard_Cost'!$C$27+'Incremental_Cost Year 4'!AI66*'1. Standard_Cost'!$D$27+'Incremental_Cost Year 4'!AJ66+'Incremental_Cost Year 4'!AL66+AK66</f>
        <v>0</v>
      </c>
      <c r="AN66" s="127">
        <f>AM66*'1. Standard_Cost'!$C$31</f>
        <v>0</v>
      </c>
      <c r="AO66" s="130"/>
      <c r="AQ66" s="171">
        <f t="shared" si="47"/>
        <v>56301681.600000001</v>
      </c>
      <c r="AR66" s="171">
        <f t="shared" si="48"/>
        <v>120000000</v>
      </c>
      <c r="AS66" s="171">
        <f t="shared" si="49"/>
        <v>0</v>
      </c>
      <c r="AT66" s="171">
        <f t="shared" si="50"/>
        <v>176301681.59999999</v>
      </c>
      <c r="AU66" s="250">
        <f>AQ66</f>
        <v>56301681.600000001</v>
      </c>
      <c r="AV66" s="250"/>
      <c r="AW66" s="250"/>
      <c r="AX66" s="250"/>
      <c r="AY66" s="250"/>
      <c r="AZ66" s="250"/>
      <c r="BA66" s="250"/>
      <c r="BB66" s="251">
        <f t="shared" si="52"/>
        <v>-120000000</v>
      </c>
      <c r="BC66" s="169"/>
      <c r="BD66" s="169"/>
      <c r="BE66" s="169"/>
      <c r="BF66" s="169"/>
    </row>
    <row r="67" spans="1:58" ht="31.5" outlineLevel="2" x14ac:dyDescent="0.25">
      <c r="A67" s="115"/>
      <c r="B67" s="200"/>
      <c r="C67" s="201"/>
      <c r="D67" s="131"/>
      <c r="E67" s="318"/>
      <c r="F67" s="219"/>
      <c r="G67" s="313"/>
      <c r="H67" s="199" t="s">
        <v>408</v>
      </c>
      <c r="I67" s="130" t="s">
        <v>1</v>
      </c>
      <c r="J67" s="126">
        <v>12</v>
      </c>
      <c r="K67" s="126">
        <v>400</v>
      </c>
      <c r="L67" s="125">
        <f>IF(I67&lt;&gt;0,((VLOOKUP(I67,'1. Standard_Cost'!$B$4:$D$11,2)+VLOOKUP(I67,'1. Standard_Cost'!$B$4:$D$11,3))*J67*K67),"0")</f>
        <v>344605714.28571427</v>
      </c>
      <c r="M67" s="125">
        <f>L67*'1. Standard_Cost'!$F$4</f>
        <v>57549154.285714284</v>
      </c>
      <c r="N67" s="126"/>
      <c r="O67" s="126"/>
      <c r="P67" s="126"/>
      <c r="Q67" s="126"/>
      <c r="R67" s="127">
        <f>'1. Standard_Cost'!$B$15*N67*P67</f>
        <v>0</v>
      </c>
      <c r="S67" s="127">
        <f>N67*O67*P67*'1. Standard_Cost'!$C$15</f>
        <v>0</v>
      </c>
      <c r="T67" s="127">
        <f>N67*P67*Q67*'1. Standard_Cost'!$D$15</f>
        <v>0</v>
      </c>
      <c r="U67" s="127">
        <f>N67*O67*'1. Standard_Cost'!$E$15</f>
        <v>0</v>
      </c>
      <c r="V67" s="126"/>
      <c r="W67" s="126"/>
      <c r="X67" s="126"/>
      <c r="Y67" s="127">
        <f>+V67*((X67*'1. Standard_Cost'!$B$19)+(W67*X67*'1. Standard_Cost'!$C$19))</f>
        <v>0</v>
      </c>
      <c r="Z67" s="126"/>
      <c r="AA67" s="126"/>
      <c r="AB67" s="127">
        <f>+Z67*'1. Standard_Cost'!$B$23+AA67*'1. Standard_Cost'!$C$23</f>
        <v>0</v>
      </c>
      <c r="AC67" s="128">
        <v>406252000</v>
      </c>
      <c r="AD67" s="129"/>
      <c r="AE67" s="127">
        <f>SUM(AD67,AC67,AB67,Y67,U67,T67,S67,R67)*'1. Standard_Cost'!$B$31</f>
        <v>81250400</v>
      </c>
      <c r="AF67" s="127">
        <f t="shared" si="46"/>
        <v>487502400</v>
      </c>
      <c r="AG67" s="126"/>
      <c r="AH67" s="126"/>
      <c r="AI67" s="126"/>
      <c r="AJ67" s="130"/>
      <c r="AK67" s="130"/>
      <c r="AL67" s="130"/>
      <c r="AM67" s="127">
        <f>AG67*'1. Standard_Cost'!$B$27+'Incremental_Cost Year 4'!AH67*'1. Standard_Cost'!$C$27+'Incremental_Cost Year 4'!AI67*'1. Standard_Cost'!$D$27+'Incremental_Cost Year 4'!AJ67+'Incremental_Cost Year 4'!AL67+AK67</f>
        <v>0</v>
      </c>
      <c r="AN67" s="127">
        <f>AM67*'1. Standard_Cost'!$C$31</f>
        <v>0</v>
      </c>
      <c r="AO67" s="130"/>
      <c r="AQ67" s="171">
        <f t="shared" si="47"/>
        <v>402154868.57142854</v>
      </c>
      <c r="AR67" s="171">
        <f t="shared" si="48"/>
        <v>487502400</v>
      </c>
      <c r="AS67" s="171">
        <f t="shared" si="49"/>
        <v>0</v>
      </c>
      <c r="AT67" s="171">
        <f t="shared" si="50"/>
        <v>889657268.57142854</v>
      </c>
      <c r="AU67" s="250">
        <f>AT67</f>
        <v>889657268.57142854</v>
      </c>
      <c r="AV67" s="250"/>
      <c r="AW67" s="250"/>
      <c r="AX67" s="250"/>
      <c r="AY67" s="250"/>
      <c r="AZ67" s="250"/>
      <c r="BA67" s="250"/>
      <c r="BB67" s="251">
        <f t="shared" si="52"/>
        <v>0</v>
      </c>
      <c r="BC67" s="169"/>
      <c r="BD67" s="169"/>
      <c r="BE67" s="169"/>
      <c r="BF67" s="169"/>
    </row>
    <row r="68" spans="1:58" ht="94.5" outlineLevel="2" x14ac:dyDescent="0.25">
      <c r="A68" s="115"/>
      <c r="B68" s="200"/>
      <c r="C68" s="201"/>
      <c r="D68" s="131"/>
      <c r="E68" s="318"/>
      <c r="F68" s="219"/>
      <c r="G68" s="313"/>
      <c r="H68" s="199" t="s">
        <v>409</v>
      </c>
      <c r="I68" s="130" t="s">
        <v>1</v>
      </c>
      <c r="J68" s="126">
        <v>2</v>
      </c>
      <c r="K68" s="126">
        <v>3</v>
      </c>
      <c r="L68" s="125">
        <f>IF(I68&lt;&gt;0,((VLOOKUP(I68,'1. Standard_Cost'!$B$4:$D$11,2)+VLOOKUP(I68,'1. Standard_Cost'!$B$4:$D$11,3))*J68*K68),"0")</f>
        <v>430757.14285714284</v>
      </c>
      <c r="M68" s="125">
        <f>L68*'1. Standard_Cost'!$F$4</f>
        <v>71936.442857142858</v>
      </c>
      <c r="N68" s="126"/>
      <c r="O68" s="126"/>
      <c r="P68" s="126"/>
      <c r="Q68" s="126"/>
      <c r="R68" s="127">
        <f>'1. Standard_Cost'!$B$15*N68*P68</f>
        <v>0</v>
      </c>
      <c r="S68" s="127">
        <f>N68*O68*P68*'1. Standard_Cost'!$C$15</f>
        <v>0</v>
      </c>
      <c r="T68" s="127">
        <f>N68*P68*Q68*'1. Standard_Cost'!$D$15</f>
        <v>0</v>
      </c>
      <c r="U68" s="127">
        <f>N68*O68*'1. Standard_Cost'!$E$15</f>
        <v>0</v>
      </c>
      <c r="V68" s="126"/>
      <c r="W68" s="126"/>
      <c r="X68" s="126"/>
      <c r="Y68" s="127">
        <f>+V68*((X68*'1. Standard_Cost'!$B$19)+(W68*X68*'1. Standard_Cost'!$C$19))</f>
        <v>0</v>
      </c>
      <c r="Z68" s="126"/>
      <c r="AA68" s="126">
        <v>10</v>
      </c>
      <c r="AB68" s="127">
        <f>+Z68*'1. Standard_Cost'!$B$23+AA68*'1. Standard_Cost'!$C$23</f>
        <v>190000</v>
      </c>
      <c r="AC68" s="128">
        <f>60*300</f>
        <v>18000</v>
      </c>
      <c r="AD68" s="129"/>
      <c r="AE68" s="127">
        <f>SUM(AD68,AC68,AB68,Y68,U68,T68,S68,R68)*'1. Standard_Cost'!$B$31</f>
        <v>41600</v>
      </c>
      <c r="AF68" s="127">
        <f>SUM(AE68,AD68,AC68,AB68,Y68,U68,T68,S68,R68)</f>
        <v>249600</v>
      </c>
      <c r="AG68" s="126"/>
      <c r="AH68" s="126"/>
      <c r="AI68" s="126"/>
      <c r="AJ68" s="130"/>
      <c r="AK68" s="130"/>
      <c r="AL68" s="130"/>
      <c r="AM68" s="127">
        <f>AG68*'1. Standard_Cost'!$B$27+'Incremental_Cost Year 4'!AH68*'1. Standard_Cost'!$C$27+'Incremental_Cost Year 4'!AI68*'1. Standard_Cost'!$D$27+'Incremental_Cost Year 4'!AJ68+'Incremental_Cost Year 4'!AL68+AK68</f>
        <v>0</v>
      </c>
      <c r="AN68" s="127">
        <f>AM68*'1. Standard_Cost'!$C$31</f>
        <v>0</v>
      </c>
      <c r="AO68" s="130"/>
      <c r="AQ68" s="171">
        <f t="shared" si="47"/>
        <v>502693.58571428573</v>
      </c>
      <c r="AR68" s="171">
        <f t="shared" si="48"/>
        <v>249600</v>
      </c>
      <c r="AS68" s="171">
        <f t="shared" si="49"/>
        <v>0</v>
      </c>
      <c r="AT68" s="171">
        <f t="shared" si="50"/>
        <v>752293.58571428573</v>
      </c>
      <c r="AU68" s="250">
        <v>502693.58571428573</v>
      </c>
      <c r="AV68" s="250"/>
      <c r="AW68" s="250"/>
      <c r="AX68" s="250"/>
      <c r="AY68" s="250"/>
      <c r="AZ68" s="250">
        <v>249600</v>
      </c>
      <c r="BA68" s="250"/>
      <c r="BB68" s="251">
        <f t="shared" si="52"/>
        <v>0</v>
      </c>
      <c r="BC68" s="169"/>
      <c r="BD68" s="169"/>
      <c r="BE68" s="169"/>
      <c r="BF68" s="169"/>
    </row>
    <row r="69" spans="1:58" ht="47.25" outlineLevel="2" x14ac:dyDescent="0.25">
      <c r="A69" s="115"/>
      <c r="B69" s="200"/>
      <c r="C69" s="201"/>
      <c r="D69" s="131"/>
      <c r="E69" s="318"/>
      <c r="F69" s="219"/>
      <c r="G69" s="313"/>
      <c r="H69" s="199" t="s">
        <v>224</v>
      </c>
      <c r="I69" s="130"/>
      <c r="J69" s="126"/>
      <c r="K69" s="126"/>
      <c r="L69" s="125" t="str">
        <f>IF(I69&lt;&gt;0,((VLOOKUP(I69,'1. Standard_Cost'!$B$4:$D$11,2)+VLOOKUP(I69,'1. Standard_Cost'!$B$4:$D$11,3))*J69*K69),"0")</f>
        <v>0</v>
      </c>
      <c r="M69" s="125">
        <f>L69*'1. Standard_Cost'!$F$4</f>
        <v>0</v>
      </c>
      <c r="N69" s="126"/>
      <c r="O69" s="126"/>
      <c r="P69" s="126"/>
      <c r="Q69" s="126"/>
      <c r="R69" s="127">
        <f>'1. Standard_Cost'!$B$15*N69*P69</f>
        <v>0</v>
      </c>
      <c r="S69" s="127">
        <f>N69*O69*P69*'1. Standard_Cost'!$C$15</f>
        <v>0</v>
      </c>
      <c r="T69" s="127">
        <f>N69*P69*Q69*'1. Standard_Cost'!$D$15</f>
        <v>0</v>
      </c>
      <c r="U69" s="127">
        <f>N69*O69*'1. Standard_Cost'!$E$15</f>
        <v>0</v>
      </c>
      <c r="V69" s="126"/>
      <c r="W69" s="126"/>
      <c r="X69" s="126"/>
      <c r="Y69" s="127">
        <f>+V69*((X69*'1. Standard_Cost'!$B$19)+(W69*X69*'1. Standard_Cost'!$C$19))</f>
        <v>0</v>
      </c>
      <c r="Z69" s="126"/>
      <c r="AA69" s="126"/>
      <c r="AB69" s="127">
        <f>+Z69*'1. Standard_Cost'!$B$23+AA69*'1. Standard_Cost'!$C$23</f>
        <v>0</v>
      </c>
      <c r="AC69" s="128"/>
      <c r="AD69" s="129"/>
      <c r="AE69" s="127">
        <f>SUM(AD69,AC69,AB69,Y69,U69,T69,S69,R69)*'1. Standard_Cost'!$B$31</f>
        <v>0</v>
      </c>
      <c r="AF69" s="127"/>
      <c r="AG69" s="126"/>
      <c r="AH69" s="126"/>
      <c r="AI69" s="126"/>
      <c r="AJ69" s="130"/>
      <c r="AK69" s="130"/>
      <c r="AL69" s="130">
        <v>665000000</v>
      </c>
      <c r="AM69" s="127">
        <f>AG69*'1. Standard_Cost'!$B$27+'Incremental_Cost Year 4'!AH69*'1. Standard_Cost'!$C$27+'Incremental_Cost Year 4'!AI69*'1. Standard_Cost'!$D$27+'Incremental_Cost Year 4'!AJ69+'Incremental_Cost Year 4'!AL69+AK69</f>
        <v>665000000</v>
      </c>
      <c r="AN69" s="127">
        <f>AM69*'1. Standard_Cost'!$C$31</f>
        <v>99750000</v>
      </c>
      <c r="AO69" s="130"/>
      <c r="AQ69" s="171">
        <f t="shared" si="47"/>
        <v>0</v>
      </c>
      <c r="AR69" s="171">
        <f t="shared" si="48"/>
        <v>0</v>
      </c>
      <c r="AS69" s="171">
        <f t="shared" si="49"/>
        <v>764750000</v>
      </c>
      <c r="AT69" s="171">
        <f t="shared" si="50"/>
        <v>764750000</v>
      </c>
      <c r="AU69" s="250"/>
      <c r="AV69" s="250"/>
      <c r="AW69" s="250"/>
      <c r="AX69" s="250"/>
      <c r="AY69" s="250"/>
      <c r="AZ69" s="250"/>
      <c r="BA69" s="250"/>
      <c r="BB69" s="251">
        <f t="shared" si="52"/>
        <v>-764750000</v>
      </c>
      <c r="BC69" s="169"/>
      <c r="BD69" s="169"/>
      <c r="BE69" s="169"/>
      <c r="BF69" s="169"/>
    </row>
    <row r="70" spans="1:58" ht="189" outlineLevel="2" x14ac:dyDescent="0.25">
      <c r="A70" s="115"/>
      <c r="B70" s="200"/>
      <c r="C70" s="201"/>
      <c r="D70" s="131"/>
      <c r="E70" s="318"/>
      <c r="F70" s="219"/>
      <c r="G70" s="313"/>
      <c r="H70" s="111" t="s">
        <v>410</v>
      </c>
      <c r="I70" s="130"/>
      <c r="J70" s="126"/>
      <c r="K70" s="126"/>
      <c r="L70" s="125" t="str">
        <f>IF(I70&lt;&gt;0,((VLOOKUP(I70,'1. Standard_Cost'!$B$4:$D$11,2)+VLOOKUP(I70,'1. Standard_Cost'!$B$4:$D$11,3))*J70*K70),"0")</f>
        <v>0</v>
      </c>
      <c r="M70" s="125">
        <f>L70*'1. Standard_Cost'!$F$4</f>
        <v>0</v>
      </c>
      <c r="N70" s="126"/>
      <c r="O70" s="126"/>
      <c r="P70" s="126"/>
      <c r="Q70" s="126"/>
      <c r="R70" s="127">
        <f>'1. Standard_Cost'!$B$15*N70*P70</f>
        <v>0</v>
      </c>
      <c r="S70" s="127">
        <f>N70*O70*P70*'1. Standard_Cost'!$C$15</f>
        <v>0</v>
      </c>
      <c r="T70" s="127">
        <f>N70*P70*Q70*'1. Standard_Cost'!$D$15</f>
        <v>0</v>
      </c>
      <c r="U70" s="127">
        <f>N70*O70*'1. Standard_Cost'!$E$15</f>
        <v>0</v>
      </c>
      <c r="V70" s="126"/>
      <c r="W70" s="126"/>
      <c r="X70" s="126"/>
      <c r="Y70" s="127">
        <f>+V70*((X70*'1. Standard_Cost'!$B$19)+(W70*X70*'1. Standard_Cost'!$C$19))</f>
        <v>0</v>
      </c>
      <c r="Z70" s="126"/>
      <c r="AA70" s="126"/>
      <c r="AB70" s="127">
        <f>+Z70*'1. Standard_Cost'!$B$23+AA70*'1. Standard_Cost'!$C$23</f>
        <v>0</v>
      </c>
      <c r="AC70" s="128"/>
      <c r="AD70" s="129"/>
      <c r="AE70" s="127">
        <f>SUM(AD70,AC70,AB70,Y70,U70,T70,S70,R70)*'1. Standard_Cost'!$B$31</f>
        <v>0</v>
      </c>
      <c r="AF70" s="127">
        <f t="shared" ref="AF70:AF76" si="53">SUM(AE70,AD70,AC70,AB70,Y70,U70,T70,S70,R70)</f>
        <v>0</v>
      </c>
      <c r="AG70" s="126"/>
      <c r="AH70" s="126"/>
      <c r="AI70" s="126"/>
      <c r="AJ70" s="130"/>
      <c r="AK70" s="130"/>
      <c r="AL70" s="130"/>
      <c r="AM70" s="127">
        <f>AG70*'1. Standard_Cost'!$B$27+'Incremental_Cost Year 4'!AH70*'1. Standard_Cost'!$C$27+'Incremental_Cost Year 4'!AI70*'1. Standard_Cost'!$D$27+'Incremental_Cost Year 4'!AJ70+'Incremental_Cost Year 4'!AL70+AK70</f>
        <v>0</v>
      </c>
      <c r="AN70" s="127">
        <f>AM70*'1. Standard_Cost'!$C$31</f>
        <v>0</v>
      </c>
      <c r="AO70" s="130"/>
      <c r="AQ70" s="171">
        <f t="shared" si="47"/>
        <v>0</v>
      </c>
      <c r="AR70" s="171">
        <f t="shared" si="48"/>
        <v>0</v>
      </c>
      <c r="AS70" s="171">
        <f t="shared" si="49"/>
        <v>0</v>
      </c>
      <c r="AT70" s="171">
        <f t="shared" si="50"/>
        <v>0</v>
      </c>
      <c r="AU70" s="250">
        <f>AQ70</f>
        <v>0</v>
      </c>
      <c r="AV70" s="250"/>
      <c r="AW70" s="250"/>
      <c r="AX70" s="250"/>
      <c r="AY70" s="250">
        <f>AR70</f>
        <v>0</v>
      </c>
      <c r="AZ70" s="250"/>
      <c r="BA70" s="250"/>
      <c r="BB70" s="251">
        <f t="shared" si="52"/>
        <v>0</v>
      </c>
      <c r="BC70" s="169"/>
      <c r="BD70" s="169"/>
      <c r="BE70" s="169"/>
      <c r="BF70" s="169"/>
    </row>
    <row r="71" spans="1:58" ht="157.5" outlineLevel="2" x14ac:dyDescent="0.25">
      <c r="A71" s="115"/>
      <c r="B71" s="200"/>
      <c r="C71" s="201"/>
      <c r="D71" s="131"/>
      <c r="E71" s="318"/>
      <c r="F71" s="219"/>
      <c r="G71" s="313"/>
      <c r="H71" s="111" t="s">
        <v>411</v>
      </c>
      <c r="I71" s="130" t="s">
        <v>4</v>
      </c>
      <c r="J71" s="126">
        <v>2</v>
      </c>
      <c r="K71" s="126">
        <v>10</v>
      </c>
      <c r="L71" s="125">
        <f>IF(I71&lt;&gt;0,((VLOOKUP(I71,'1. Standard_Cost'!$B$4:$D$11,2)+VLOOKUP(I71,'1. Standard_Cost'!$B$4:$D$11,3))*J71*K71),"0")</f>
        <v>1615000</v>
      </c>
      <c r="M71" s="125">
        <f>L71*'1. Standard_Cost'!$F$4</f>
        <v>269705</v>
      </c>
      <c r="N71" s="126"/>
      <c r="O71" s="126"/>
      <c r="P71" s="126"/>
      <c r="Q71" s="126"/>
      <c r="R71" s="127">
        <f>'1. Standard_Cost'!$B$15*N71*P71</f>
        <v>0</v>
      </c>
      <c r="S71" s="127">
        <f>N71*O71*P71*'1. Standard_Cost'!$C$15</f>
        <v>0</v>
      </c>
      <c r="T71" s="127">
        <f>N71*P71*Q71*'1. Standard_Cost'!$D$15</f>
        <v>0</v>
      </c>
      <c r="U71" s="127">
        <f>N71*O71*'1. Standard_Cost'!$E$15</f>
        <v>0</v>
      </c>
      <c r="V71" s="126"/>
      <c r="W71" s="126"/>
      <c r="X71" s="126"/>
      <c r="Y71" s="127">
        <f>+V71*((X71*'1. Standard_Cost'!$B$19)+(W71*X71*'1. Standard_Cost'!$C$19))</f>
        <v>0</v>
      </c>
      <c r="Z71" s="126"/>
      <c r="AA71" s="126">
        <v>60</v>
      </c>
      <c r="AB71" s="127">
        <f>+Z71*'1. Standard_Cost'!$B$23+AA71*'1. Standard_Cost'!$C$23</f>
        <v>1140000</v>
      </c>
      <c r="AC71" s="128">
        <f>20*300</f>
        <v>6000</v>
      </c>
      <c r="AD71" s="129"/>
      <c r="AE71" s="127">
        <f>SUM(AD71,AC71,AB71,Y71,U71,T71,S71,R71)*'1. Standard_Cost'!$B$31</f>
        <v>229200</v>
      </c>
      <c r="AF71" s="127">
        <f t="shared" si="53"/>
        <v>1375200</v>
      </c>
      <c r="AG71" s="126"/>
      <c r="AH71" s="126"/>
      <c r="AI71" s="126"/>
      <c r="AJ71" s="130"/>
      <c r="AK71" s="130"/>
      <c r="AL71" s="130"/>
      <c r="AM71" s="127">
        <f>AG71*'1. Standard_Cost'!$B$27+'Incremental_Cost Year 4'!AH71*'1. Standard_Cost'!$C$27+'Incremental_Cost Year 4'!AI71*'1. Standard_Cost'!$D$27+'Incremental_Cost Year 4'!AJ71+'Incremental_Cost Year 4'!AL71+AK71</f>
        <v>0</v>
      </c>
      <c r="AN71" s="127">
        <f>AM71*'1. Standard_Cost'!$C$31</f>
        <v>0</v>
      </c>
      <c r="AO71" s="130"/>
      <c r="AQ71" s="171">
        <f t="shared" si="47"/>
        <v>1884705</v>
      </c>
      <c r="AR71" s="171">
        <f t="shared" si="48"/>
        <v>1375200</v>
      </c>
      <c r="AS71" s="171">
        <f t="shared" si="49"/>
        <v>0</v>
      </c>
      <c r="AT71" s="171">
        <f t="shared" si="50"/>
        <v>3259905</v>
      </c>
      <c r="AU71" s="250">
        <f>AQ71</f>
        <v>1884705</v>
      </c>
      <c r="AV71" s="250"/>
      <c r="AW71" s="250"/>
      <c r="AX71" s="250"/>
      <c r="AY71" s="250"/>
      <c r="AZ71" s="250"/>
      <c r="BA71" s="250"/>
      <c r="BB71" s="251">
        <f t="shared" si="52"/>
        <v>-1375200</v>
      </c>
      <c r="BC71" s="169"/>
      <c r="BD71" s="169"/>
      <c r="BE71" s="169"/>
      <c r="BF71" s="169"/>
    </row>
    <row r="72" spans="1:58" ht="173.25" outlineLevel="2" x14ac:dyDescent="0.25">
      <c r="A72" s="115"/>
      <c r="B72" s="200"/>
      <c r="C72" s="201"/>
      <c r="D72" s="131"/>
      <c r="E72" s="318"/>
      <c r="F72" s="219"/>
      <c r="G72" s="313"/>
      <c r="H72" s="199" t="s">
        <v>412</v>
      </c>
      <c r="I72" s="130" t="s">
        <v>4</v>
      </c>
      <c r="J72" s="126">
        <v>0.5</v>
      </c>
      <c r="K72" s="126">
        <v>5</v>
      </c>
      <c r="L72" s="125">
        <f>IF(I72&lt;&gt;0,((VLOOKUP(I72,'1. Standard_Cost'!$B$4:$D$11,2)+VLOOKUP(I72,'1. Standard_Cost'!$B$4:$D$11,3))*J72*K72),"0")</f>
        <v>201875</v>
      </c>
      <c r="M72" s="125">
        <f>L72*'1. Standard_Cost'!$F$4</f>
        <v>33713.125</v>
      </c>
      <c r="N72" s="126">
        <v>5</v>
      </c>
      <c r="O72" s="126">
        <v>2</v>
      </c>
      <c r="P72" s="126">
        <v>20</v>
      </c>
      <c r="Q72" s="126"/>
      <c r="R72" s="127">
        <f>'1. Standard_Cost'!$B$15*N72*P72</f>
        <v>200000</v>
      </c>
      <c r="S72" s="127">
        <f>N72*O72*P72*'1. Standard_Cost'!$C$15</f>
        <v>300000</v>
      </c>
      <c r="T72" s="127">
        <f>N72*P72*Q72*'1. Standard_Cost'!$D$15</f>
        <v>0</v>
      </c>
      <c r="U72" s="127">
        <f>N72*O72*'1. Standard_Cost'!$E$15</f>
        <v>400000</v>
      </c>
      <c r="V72" s="126"/>
      <c r="W72" s="126"/>
      <c r="X72" s="126"/>
      <c r="Y72" s="127">
        <f>+V72*((X72*'1. Standard_Cost'!$B$19)+(W72*X72*'1. Standard_Cost'!$C$19))</f>
        <v>0</v>
      </c>
      <c r="Z72" s="126"/>
      <c r="AA72" s="126">
        <v>6</v>
      </c>
      <c r="AB72" s="127">
        <f>+Z72*'1. Standard_Cost'!$B$23+AA72*'1. Standard_Cost'!$C$23</f>
        <v>114000</v>
      </c>
      <c r="AC72" s="128">
        <f>100*300*2+100*3000*2</f>
        <v>660000</v>
      </c>
      <c r="AD72" s="129"/>
      <c r="AE72" s="127">
        <f>SUM(AD72,AC72,AB72,Y72,U72,T72,S72,R72)*'1. Standard_Cost'!$B$31</f>
        <v>334800</v>
      </c>
      <c r="AF72" s="127">
        <f t="shared" si="53"/>
        <v>2008800</v>
      </c>
      <c r="AG72" s="126"/>
      <c r="AH72" s="126"/>
      <c r="AI72" s="126"/>
      <c r="AJ72" s="130"/>
      <c r="AK72" s="130"/>
      <c r="AL72" s="130"/>
      <c r="AM72" s="127">
        <f>AG72*'1. Standard_Cost'!$B$27+'Incremental_Cost Year 4'!AH72*'1. Standard_Cost'!$C$27+'Incremental_Cost Year 4'!AI72*'1. Standard_Cost'!$D$27+'Incremental_Cost Year 4'!AJ72+'Incremental_Cost Year 4'!AL72+AK72</f>
        <v>0</v>
      </c>
      <c r="AN72" s="127">
        <f>AM72*'1. Standard_Cost'!$C$31</f>
        <v>0</v>
      </c>
      <c r="AO72" s="249"/>
      <c r="AQ72" s="171">
        <f t="shared" si="47"/>
        <v>235588.125</v>
      </c>
      <c r="AR72" s="171">
        <f t="shared" si="48"/>
        <v>2008800</v>
      </c>
      <c r="AS72" s="171">
        <f t="shared" si="49"/>
        <v>0</v>
      </c>
      <c r="AT72" s="171">
        <f t="shared" si="50"/>
        <v>2244388.125</v>
      </c>
      <c r="AU72" s="250">
        <f>AQ72</f>
        <v>235588.125</v>
      </c>
      <c r="AV72" s="250"/>
      <c r="AW72" s="250"/>
      <c r="AX72" s="250"/>
      <c r="AY72" s="250">
        <f>928800</f>
        <v>928800</v>
      </c>
      <c r="AZ72" s="250"/>
      <c r="BA72" s="250"/>
      <c r="BB72" s="251">
        <f t="shared" si="52"/>
        <v>-1080000</v>
      </c>
      <c r="BC72" s="169"/>
      <c r="BD72" s="169"/>
      <c r="BE72" s="169"/>
      <c r="BF72" s="169"/>
    </row>
    <row r="73" spans="1:58" ht="157.5" outlineLevel="2" x14ac:dyDescent="0.25">
      <c r="A73" s="115"/>
      <c r="B73" s="200"/>
      <c r="C73" s="201"/>
      <c r="D73" s="131"/>
      <c r="E73" s="318"/>
      <c r="F73" s="219"/>
      <c r="G73" s="313"/>
      <c r="H73" s="199" t="s">
        <v>413</v>
      </c>
      <c r="I73" s="130" t="s">
        <v>4</v>
      </c>
      <c r="J73" s="126">
        <v>0.2</v>
      </c>
      <c r="K73" s="126">
        <v>5</v>
      </c>
      <c r="L73" s="125">
        <f>IF(I73&lt;&gt;0,((VLOOKUP(I73,'1. Standard_Cost'!$B$4:$D$11,2)+VLOOKUP(I73,'1. Standard_Cost'!$B$4:$D$11,3))*J73*K73),"0")</f>
        <v>80750</v>
      </c>
      <c r="M73" s="125">
        <f>L73*'1. Standard_Cost'!$F$4</f>
        <v>13485.25</v>
      </c>
      <c r="N73" s="126">
        <v>2</v>
      </c>
      <c r="O73" s="126">
        <v>2</v>
      </c>
      <c r="P73" s="126">
        <v>20</v>
      </c>
      <c r="Q73" s="126"/>
      <c r="R73" s="127">
        <f>'1. Standard_Cost'!$B$15*N73*P73</f>
        <v>80000</v>
      </c>
      <c r="S73" s="127">
        <f>N73*O73*P73*'1. Standard_Cost'!$C$15</f>
        <v>120000</v>
      </c>
      <c r="T73" s="127">
        <f>N73*P73*Q73*'1. Standard_Cost'!$D$15</f>
        <v>0</v>
      </c>
      <c r="U73" s="127">
        <f>N73*O73*'1. Standard_Cost'!$E$15</f>
        <v>160000</v>
      </c>
      <c r="V73" s="126"/>
      <c r="W73" s="126"/>
      <c r="X73" s="126"/>
      <c r="Y73" s="127">
        <f>+V73*((X73*'1. Standard_Cost'!$B$19)+(W73*X73*'1. Standard_Cost'!$C$19))</f>
        <v>0</v>
      </c>
      <c r="Z73" s="126"/>
      <c r="AA73" s="126">
        <v>3</v>
      </c>
      <c r="AB73" s="127">
        <f>+Z73*'1. Standard_Cost'!$B$23+AA73*'1. Standard_Cost'!$C$23</f>
        <v>57000</v>
      </c>
      <c r="AC73" s="128">
        <f>40*3300*2</f>
        <v>264000</v>
      </c>
      <c r="AD73" s="129"/>
      <c r="AE73" s="127">
        <f>SUM(AD73,AC73,AB73,Y73,U73,T73,S73,R73)*'1. Standard_Cost'!$B$31</f>
        <v>136200</v>
      </c>
      <c r="AF73" s="127">
        <f t="shared" si="53"/>
        <v>817200</v>
      </c>
      <c r="AG73" s="126"/>
      <c r="AH73" s="126"/>
      <c r="AI73" s="126"/>
      <c r="AJ73" s="130"/>
      <c r="AK73" s="130"/>
      <c r="AL73" s="130"/>
      <c r="AM73" s="127">
        <f>AG73*'1. Standard_Cost'!$B$27+'Incremental_Cost Year 4'!AH73*'1. Standard_Cost'!$C$27+'Incremental_Cost Year 4'!AI73*'1. Standard_Cost'!$D$27+'Incremental_Cost Year 4'!AJ73+'Incremental_Cost Year 4'!AL73+AK73</f>
        <v>0</v>
      </c>
      <c r="AN73" s="127">
        <f>AM73*'1. Standard_Cost'!$C$31</f>
        <v>0</v>
      </c>
      <c r="AO73" s="249"/>
      <c r="AQ73" s="171">
        <f t="shared" si="47"/>
        <v>94235.25</v>
      </c>
      <c r="AR73" s="171">
        <f t="shared" si="48"/>
        <v>817200</v>
      </c>
      <c r="AS73" s="171">
        <f t="shared" si="49"/>
        <v>0</v>
      </c>
      <c r="AT73" s="171">
        <f t="shared" si="50"/>
        <v>911435.25</v>
      </c>
      <c r="AU73" s="250">
        <f>AQ73</f>
        <v>94235.25</v>
      </c>
      <c r="AV73" s="250"/>
      <c r="AW73" s="250"/>
      <c r="AX73" s="250"/>
      <c r="AY73" s="250">
        <f>AR73</f>
        <v>817200</v>
      </c>
      <c r="AZ73" s="250"/>
      <c r="BA73" s="250"/>
      <c r="BB73" s="251">
        <f t="shared" si="52"/>
        <v>0</v>
      </c>
      <c r="BC73" s="169"/>
      <c r="BD73" s="169"/>
      <c r="BE73" s="169"/>
      <c r="BF73" s="169"/>
    </row>
    <row r="74" spans="1:58" ht="47.25" outlineLevel="2" x14ac:dyDescent="0.25">
      <c r="A74" s="115"/>
      <c r="B74" s="200"/>
      <c r="C74" s="201"/>
      <c r="D74" s="131"/>
      <c r="E74" s="318"/>
      <c r="F74" s="219"/>
      <c r="G74" s="313"/>
      <c r="H74" s="199" t="s">
        <v>310</v>
      </c>
      <c r="I74" s="130"/>
      <c r="J74" s="126"/>
      <c r="K74" s="126"/>
      <c r="L74" s="125" t="str">
        <f>IF(I74&lt;&gt;0,((VLOOKUP(I74,'1. Standard_Cost'!$B$4:$D$11,2)+VLOOKUP(I74,'1. Standard_Cost'!$B$4:$D$11,3))*J74*K74),"0")</f>
        <v>0</v>
      </c>
      <c r="M74" s="125">
        <f>L74*'1. Standard_Cost'!$F$4</f>
        <v>0</v>
      </c>
      <c r="N74" s="126"/>
      <c r="O74" s="126"/>
      <c r="P74" s="126"/>
      <c r="Q74" s="126"/>
      <c r="R74" s="127">
        <f>'1. Standard_Cost'!$B$15*N74*P74</f>
        <v>0</v>
      </c>
      <c r="S74" s="127">
        <f>N74*O74*P74*'1. Standard_Cost'!$C$15</f>
        <v>0</v>
      </c>
      <c r="T74" s="127">
        <f>N74*P74*Q74*'1. Standard_Cost'!$D$15</f>
        <v>0</v>
      </c>
      <c r="U74" s="127">
        <f>N74*O74*'1. Standard_Cost'!$E$15</f>
        <v>0</v>
      </c>
      <c r="V74" s="126"/>
      <c r="W74" s="126"/>
      <c r="X74" s="126"/>
      <c r="Y74" s="127">
        <f>+V74*((X74*'1. Standard_Cost'!$B$19)+(W74*X74*'1. Standard_Cost'!$C$19))</f>
        <v>0</v>
      </c>
      <c r="Z74" s="126"/>
      <c r="AA74" s="126"/>
      <c r="AB74" s="127">
        <f>+Z74*'1. Standard_Cost'!$B$23+AA74*'1. Standard_Cost'!$C$23</f>
        <v>0</v>
      </c>
      <c r="AC74" s="128"/>
      <c r="AD74" s="129"/>
      <c r="AE74" s="127">
        <f>SUM(AD74,AC74,AB74,Y74,U74,T74,S74,R74)*'1. Standard_Cost'!$B$31</f>
        <v>0</v>
      </c>
      <c r="AF74" s="127">
        <f t="shared" si="53"/>
        <v>0</v>
      </c>
      <c r="AG74" s="126"/>
      <c r="AH74" s="126"/>
      <c r="AI74" s="126"/>
      <c r="AJ74" s="130"/>
      <c r="AK74" s="130"/>
      <c r="AL74" s="130"/>
      <c r="AM74" s="127">
        <f>AG74*'1. Standard_Cost'!$B$27+'Incremental_Cost Year 4'!AH74*'1. Standard_Cost'!$C$27+'Incremental_Cost Year 4'!AI74*'1. Standard_Cost'!$D$27+'Incremental_Cost Year 4'!AJ74+'Incremental_Cost Year 4'!AL74+AK74</f>
        <v>0</v>
      </c>
      <c r="AN74" s="127">
        <f>AM74*'1. Standard_Cost'!$C$31</f>
        <v>0</v>
      </c>
      <c r="AO74" s="130"/>
      <c r="AQ74" s="171">
        <f t="shared" si="47"/>
        <v>0</v>
      </c>
      <c r="AR74" s="171">
        <f t="shared" si="48"/>
        <v>0</v>
      </c>
      <c r="AS74" s="171">
        <f t="shared" si="49"/>
        <v>0</v>
      </c>
      <c r="AT74" s="171">
        <f t="shared" si="50"/>
        <v>0</v>
      </c>
      <c r="AU74" s="250"/>
      <c r="AV74" s="250"/>
      <c r="AW74" s="250"/>
      <c r="AX74" s="250"/>
      <c r="AY74" s="250"/>
      <c r="AZ74" s="250"/>
      <c r="BA74" s="250"/>
      <c r="BB74" s="251">
        <f t="shared" si="52"/>
        <v>0</v>
      </c>
      <c r="BC74" s="169"/>
      <c r="BD74" s="169"/>
      <c r="BE74" s="169"/>
      <c r="BF74" s="169"/>
    </row>
    <row r="75" spans="1:58" ht="126" outlineLevel="2" x14ac:dyDescent="0.25">
      <c r="A75" s="115"/>
      <c r="B75" s="200"/>
      <c r="C75" s="201"/>
      <c r="D75" s="131"/>
      <c r="E75" s="219"/>
      <c r="F75" s="219"/>
      <c r="G75" s="313"/>
      <c r="H75" s="112" t="s">
        <v>414</v>
      </c>
      <c r="I75" s="130" t="s">
        <v>5</v>
      </c>
      <c r="J75" s="126">
        <v>12</v>
      </c>
      <c r="K75" s="126">
        <v>72</v>
      </c>
      <c r="L75" s="125">
        <f>IF(I75&lt;&gt;0,((VLOOKUP(I75,'1. Standard_Cost'!$B$4:$D$11,2)+VLOOKUP(I75,'1. Standard_Cost'!$B$4:$D$11,3))*J75*K75),"0")</f>
        <v>61084800</v>
      </c>
      <c r="M75" s="125">
        <f>L75*'1. Standard_Cost'!$F$4</f>
        <v>10201161.600000001</v>
      </c>
      <c r="N75" s="126"/>
      <c r="O75" s="126"/>
      <c r="P75" s="126"/>
      <c r="Q75" s="126"/>
      <c r="R75" s="127">
        <f>'1. Standard_Cost'!$B$15*N75*P75</f>
        <v>0</v>
      </c>
      <c r="S75" s="127">
        <f>N75*O75*P75*'1. Standard_Cost'!$C$15</f>
        <v>0</v>
      </c>
      <c r="T75" s="127">
        <f>N75*P75*Q75*'1. Standard_Cost'!$D$15</f>
        <v>0</v>
      </c>
      <c r="U75" s="127">
        <f>N75*O75*'1. Standard_Cost'!$E$15</f>
        <v>0</v>
      </c>
      <c r="V75" s="126"/>
      <c r="W75" s="126"/>
      <c r="X75" s="126"/>
      <c r="Y75" s="127">
        <f>+V75*((X75*'1. Standard_Cost'!$B$19)+(W75*X75*'1. Standard_Cost'!$C$19))</f>
        <v>0</v>
      </c>
      <c r="Z75" s="126"/>
      <c r="AA75" s="126"/>
      <c r="AB75" s="127">
        <f>+Z75*'1. Standard_Cost'!$B$23+AA75*'1. Standard_Cost'!$C$23</f>
        <v>0</v>
      </c>
      <c r="AC75" s="128">
        <v>13000000</v>
      </c>
      <c r="AD75" s="129"/>
      <c r="AE75" s="127"/>
      <c r="AF75" s="127">
        <f t="shared" si="53"/>
        <v>13000000</v>
      </c>
      <c r="AG75" s="126"/>
      <c r="AH75" s="126"/>
      <c r="AI75" s="126"/>
      <c r="AJ75" s="130"/>
      <c r="AK75" s="130"/>
      <c r="AL75" s="130"/>
      <c r="AM75" s="127">
        <f>AG75*'1. Standard_Cost'!$B$27+'Incremental_Cost Year 4'!AH75*'1. Standard_Cost'!$C$27+'Incremental_Cost Year 4'!AI75*'1. Standard_Cost'!$D$27+'Incremental_Cost Year 4'!AJ75+'Incremental_Cost Year 4'!AL75+AK75</f>
        <v>0</v>
      </c>
      <c r="AN75" s="127">
        <f>AM75*'1. Standard_Cost'!$C$31</f>
        <v>0</v>
      </c>
      <c r="AO75" s="130"/>
      <c r="AQ75" s="171">
        <f t="shared" si="47"/>
        <v>71285961.599999994</v>
      </c>
      <c r="AR75" s="171">
        <f t="shared" si="48"/>
        <v>13000000</v>
      </c>
      <c r="AS75" s="171">
        <f t="shared" si="49"/>
        <v>0</v>
      </c>
      <c r="AT75" s="171">
        <f t="shared" si="50"/>
        <v>84285961.599999994</v>
      </c>
      <c r="AU75" s="250">
        <f>AT75</f>
        <v>84285961.599999994</v>
      </c>
      <c r="AV75" s="250"/>
      <c r="AW75" s="250"/>
      <c r="AX75" s="250"/>
      <c r="AY75" s="250"/>
      <c r="AZ75" s="250"/>
      <c r="BA75" s="250"/>
      <c r="BB75" s="251">
        <f t="shared" si="52"/>
        <v>0</v>
      </c>
      <c r="BC75" s="169"/>
      <c r="BD75" s="169"/>
      <c r="BE75" s="169"/>
      <c r="BF75" s="169"/>
    </row>
    <row r="76" spans="1:58" ht="78.75" outlineLevel="2" x14ac:dyDescent="0.25">
      <c r="A76" s="115"/>
      <c r="B76" s="200"/>
      <c r="C76" s="201"/>
      <c r="D76" s="305"/>
      <c r="E76" s="320"/>
      <c r="F76" s="122"/>
      <c r="G76" s="123"/>
      <c r="H76" s="199" t="s">
        <v>415</v>
      </c>
      <c r="I76" s="130" t="s">
        <v>3</v>
      </c>
      <c r="J76" s="126">
        <v>0.5</v>
      </c>
      <c r="K76" s="126">
        <v>3</v>
      </c>
      <c r="L76" s="125">
        <f>IF(I76&lt;&gt;0,((VLOOKUP(I76,'1. Standard_Cost'!$B$4:$D$11,2)+VLOOKUP(I76,'1. Standard_Cost'!$B$4:$D$11,3))*J76*K76),"0")</f>
        <v>151200</v>
      </c>
      <c r="M76" s="125">
        <f>L76*'1. Standard_Cost'!$F$4</f>
        <v>25250.400000000001</v>
      </c>
      <c r="N76" s="126"/>
      <c r="O76" s="126"/>
      <c r="P76" s="126"/>
      <c r="Q76" s="126"/>
      <c r="R76" s="127">
        <f>'1. Standard_Cost'!$B$15*N76*P76</f>
        <v>0</v>
      </c>
      <c r="S76" s="127">
        <f>N76*O76*P76*'1. Standard_Cost'!$C$15</f>
        <v>0</v>
      </c>
      <c r="T76" s="127">
        <f>N76*P76*Q76*'1. Standard_Cost'!$D$15</f>
        <v>0</v>
      </c>
      <c r="U76" s="127">
        <f>N76*O76*'1. Standard_Cost'!$E$15</f>
        <v>0</v>
      </c>
      <c r="V76" s="126"/>
      <c r="W76" s="126"/>
      <c r="X76" s="126"/>
      <c r="Y76" s="127">
        <f>+V76*((X76*'1. Standard_Cost'!$B$19)+(W76*X76*'1. Standard_Cost'!$C$19))</f>
        <v>0</v>
      </c>
      <c r="Z76" s="126"/>
      <c r="AA76" s="126"/>
      <c r="AB76" s="127">
        <f>+Z76*'1. Standard_Cost'!$B$23+AA76*'1. Standard_Cost'!$C$23</f>
        <v>0</v>
      </c>
      <c r="AC76" s="128">
        <v>500000</v>
      </c>
      <c r="AD76" s="129"/>
      <c r="AE76" s="127">
        <f>SUM(AD76,AC76,AB76,Y76,U76,T76,S76,R76)*'1. Standard_Cost'!$B$31</f>
        <v>100000</v>
      </c>
      <c r="AF76" s="127">
        <f t="shared" si="53"/>
        <v>600000</v>
      </c>
      <c r="AG76" s="126"/>
      <c r="AH76" s="126"/>
      <c r="AI76" s="126"/>
      <c r="AJ76" s="130"/>
      <c r="AK76" s="130"/>
      <c r="AL76" s="130"/>
      <c r="AM76" s="127">
        <f>AG76*'1. Standard_Cost'!$B$27+'Incremental_Cost Year 4'!AH76*'1. Standard_Cost'!$C$27+'Incremental_Cost Year 4'!AI76*'1. Standard_Cost'!$D$27+'Incremental_Cost Year 4'!AJ76+'Incremental_Cost Year 4'!AL76+AK76</f>
        <v>0</v>
      </c>
      <c r="AN76" s="127">
        <f>AM76*'1. Standard_Cost'!$C$31</f>
        <v>0</v>
      </c>
      <c r="AO76" s="130"/>
      <c r="AQ76" s="171">
        <f t="shared" si="47"/>
        <v>176450.4</v>
      </c>
      <c r="AR76" s="171">
        <f t="shared" si="48"/>
        <v>600000</v>
      </c>
      <c r="AS76" s="171">
        <f t="shared" si="49"/>
        <v>0</v>
      </c>
      <c r="AT76" s="171">
        <f t="shared" si="50"/>
        <v>776450.4</v>
      </c>
      <c r="AU76" s="250">
        <f>AQ76</f>
        <v>176450.4</v>
      </c>
      <c r="AV76" s="250"/>
      <c r="AW76" s="250"/>
      <c r="AX76" s="250"/>
      <c r="AY76" s="250">
        <v>600000</v>
      </c>
      <c r="AZ76" s="250"/>
      <c r="BA76" s="250"/>
      <c r="BB76" s="251">
        <f t="shared" si="52"/>
        <v>0</v>
      </c>
      <c r="BC76" s="169"/>
      <c r="BD76" s="169"/>
      <c r="BE76" s="169"/>
      <c r="BF76" s="169"/>
    </row>
    <row r="77" spans="1:58" ht="141.75" outlineLevel="1" x14ac:dyDescent="0.25">
      <c r="A77" s="115"/>
      <c r="B77" s="165"/>
      <c r="C77" s="166"/>
      <c r="D77" s="107" t="s">
        <v>416</v>
      </c>
      <c r="E77" s="139" t="s">
        <v>221</v>
      </c>
      <c r="F77" s="222">
        <v>2021</v>
      </c>
      <c r="G77" s="117">
        <v>2030</v>
      </c>
      <c r="H77" s="134" t="s">
        <v>220</v>
      </c>
      <c r="I77" s="252"/>
      <c r="J77" s="252"/>
      <c r="K77" s="252"/>
      <c r="L77" s="127">
        <f>SUM(L62:L76)</f>
        <v>648532582.14285719</v>
      </c>
      <c r="M77" s="127">
        <f>SUM(M62:M76)</f>
        <v>108304941.21785715</v>
      </c>
      <c r="N77" s="127"/>
      <c r="O77" s="252"/>
      <c r="P77" s="252"/>
      <c r="Q77" s="252"/>
      <c r="R77" s="127">
        <f>SUM(R62:R76)</f>
        <v>280000</v>
      </c>
      <c r="S77" s="127">
        <f>SUM(S62:S76)</f>
        <v>420000</v>
      </c>
      <c r="T77" s="127">
        <f>SUM(T62:T76)</f>
        <v>0</v>
      </c>
      <c r="U77" s="127">
        <f>SUM(U62:U76)</f>
        <v>560000</v>
      </c>
      <c r="V77" s="252"/>
      <c r="W77" s="252"/>
      <c r="X77" s="252"/>
      <c r="Y77" s="127">
        <f>SUM(Y62:Y76)</f>
        <v>0</v>
      </c>
      <c r="Z77" s="252"/>
      <c r="AA77" s="252"/>
      <c r="AB77" s="127">
        <f>SUM(AB62:AB76)</f>
        <v>1501000</v>
      </c>
      <c r="AC77" s="127">
        <f>SUM(AC62:AC76)</f>
        <v>549900000</v>
      </c>
      <c r="AD77" s="127">
        <f>SUM(AD62:AD76)</f>
        <v>0</v>
      </c>
      <c r="AE77" s="127">
        <f>SUM(AE62:AE76)</f>
        <v>82092200</v>
      </c>
      <c r="AF77" s="127">
        <f>SUM(AF62:AF76)</f>
        <v>634753200</v>
      </c>
      <c r="AG77" s="252"/>
      <c r="AH77" s="252"/>
      <c r="AI77" s="252"/>
      <c r="AJ77" s="127">
        <f>SUM(AJ62:AJ76)</f>
        <v>0</v>
      </c>
      <c r="AK77" s="127">
        <f>SUM(AK62:AK76)</f>
        <v>0</v>
      </c>
      <c r="AL77" s="127">
        <f>SUM(AL62:AL76)</f>
        <v>665000000</v>
      </c>
      <c r="AM77" s="127">
        <f>SUM(AM62:AM76)</f>
        <v>665000000</v>
      </c>
      <c r="AN77" s="127">
        <f>SUM(AN62:AN76)</f>
        <v>99750000</v>
      </c>
      <c r="AO77" s="253"/>
      <c r="AP77" s="254"/>
      <c r="AQ77" s="175">
        <f>SUM(AQ62:AQ76)</f>
        <v>756837523.36071432</v>
      </c>
      <c r="AR77" s="175">
        <f>SUM(AR62:AR76)</f>
        <v>634753200</v>
      </c>
      <c r="AS77" s="175">
        <f>SUM(AS62:AS76)</f>
        <v>764750000</v>
      </c>
      <c r="AT77" s="175">
        <f>SUM(AT62:AT76)</f>
        <v>2156340723.3607144</v>
      </c>
      <c r="AU77" s="175">
        <f t="shared" ref="AU77:BB77" si="54">SUM(AU62:AU76)</f>
        <v>1266539923.3607144</v>
      </c>
      <c r="AV77" s="175">
        <f t="shared" si="54"/>
        <v>0</v>
      </c>
      <c r="AW77" s="175">
        <f t="shared" si="54"/>
        <v>0</v>
      </c>
      <c r="AX77" s="175">
        <f t="shared" si="54"/>
        <v>0</v>
      </c>
      <c r="AY77" s="175">
        <f t="shared" si="54"/>
        <v>2346000</v>
      </c>
      <c r="AZ77" s="175">
        <f t="shared" si="54"/>
        <v>249600</v>
      </c>
      <c r="BA77" s="175">
        <f t="shared" si="54"/>
        <v>0</v>
      </c>
      <c r="BB77" s="175">
        <f t="shared" si="54"/>
        <v>-887205200</v>
      </c>
      <c r="BC77" s="169"/>
      <c r="BD77" s="169"/>
      <c r="BE77" s="169"/>
      <c r="BF77" s="169"/>
    </row>
    <row r="78" spans="1:58" s="170" customFormat="1" ht="15.75" customHeight="1" x14ac:dyDescent="0.25">
      <c r="A78" s="120"/>
      <c r="B78" s="396" t="s">
        <v>298</v>
      </c>
      <c r="C78" s="389"/>
      <c r="D78" s="389"/>
      <c r="E78" s="390"/>
      <c r="F78" s="339"/>
      <c r="G78" s="339"/>
      <c r="H78" s="113" t="s">
        <v>60</v>
      </c>
      <c r="I78" s="243"/>
      <c r="J78" s="243"/>
      <c r="K78" s="243"/>
      <c r="L78" s="243">
        <f>SUM(L79,L93,L100,L106,L111,L118,L123,L134,L140)</f>
        <v>38979107.142857149</v>
      </c>
      <c r="M78" s="243">
        <f>SUM(M79,M93,M100,M106,M111,M118,M123,M134,M140)</f>
        <v>6509510.8928571427</v>
      </c>
      <c r="N78" s="243"/>
      <c r="O78" s="243"/>
      <c r="P78" s="243"/>
      <c r="Q78" s="243"/>
      <c r="R78" s="243">
        <f>SUM(R79,R93,R100,R106,R111,R118,R123,R134,R140)</f>
        <v>0</v>
      </c>
      <c r="S78" s="243">
        <f>SUM(S79,S93,S100,S106,S111,S118,S123,S134,S140)</f>
        <v>0</v>
      </c>
      <c r="T78" s="243">
        <f>SUM(T79,T93,T100,T106,T111,T118,T123,T134,T140)</f>
        <v>0</v>
      </c>
      <c r="U78" s="243">
        <f>SUM(U79,U93,U100,U106,U111,U118,U123,U134,U140)</f>
        <v>0</v>
      </c>
      <c r="V78" s="243"/>
      <c r="W78" s="243"/>
      <c r="X78" s="243"/>
      <c r="Y78" s="243">
        <f>SUM(Y79,Y93,Y100,Y106,Y111,Y118,Y123,Y134,Y140)</f>
        <v>255000</v>
      </c>
      <c r="Z78" s="243"/>
      <c r="AA78" s="243"/>
      <c r="AB78" s="243">
        <f>SUM(AB79,AB93,AB100,AB106,AB111,AB118,AB123,AB134,AB140)</f>
        <v>6790000</v>
      </c>
      <c r="AC78" s="243">
        <f>SUM(AC79,AC93,AC100,AC106,AC111,AC118,AC123,AC134,AC140)</f>
        <v>15458939979</v>
      </c>
      <c r="AD78" s="243">
        <f>SUM(AD79,AD93,AD100,AD106,AD111,AD118,AD123,AD134,AD140)</f>
        <v>0</v>
      </c>
      <c r="AE78" s="243">
        <f>SUM(AE79,AE93,AE100,AE106,AE111,AE118,AE123,AE134,AE140)</f>
        <v>2703995.8000000003</v>
      </c>
      <c r="AF78" s="243">
        <f>SUM(AF79,AF93,AF100,AF106,AF111,AF118,AF123,AF134,AF140)</f>
        <v>15480928974.800001</v>
      </c>
      <c r="AG78" s="243"/>
      <c r="AH78" s="243"/>
      <c r="AI78" s="243"/>
      <c r="AJ78" s="243">
        <f>SUM(AJ79,AJ93,AJ100,AJ106,AJ111,AJ118,AJ123,AJ134,AJ140)</f>
        <v>0</v>
      </c>
      <c r="AK78" s="243">
        <f>SUM(AK79,AK93,AK100,AK106,AK111,AK118,AK123,AK134,AK140)</f>
        <v>0</v>
      </c>
      <c r="AL78" s="243">
        <f>SUM(AL79,AL93,AL100,AL106,AL111,AL118,AL123,AL134,AL140)</f>
        <v>0</v>
      </c>
      <c r="AM78" s="243">
        <f>SUM(AM79,AM93,AM100,AM106,AM111,AM118,AM123,AM134,AM140)</f>
        <v>0</v>
      </c>
      <c r="AN78" s="243">
        <f>SUM(AN79,AN93,AN100,AN106,AN111,AN118,AN123,AN134,AN140)</f>
        <v>0</v>
      </c>
      <c r="AO78" s="243"/>
      <c r="AP78" s="244"/>
      <c r="AQ78" s="245">
        <f>SUM(AQ79,AQ93,AQ100,AQ106,AQ111,AQ118,AQ123,AQ134,AQ140)</f>
        <v>45488618.035714284</v>
      </c>
      <c r="AR78" s="245">
        <f>SUM(AR79,AR93,AR100,AR106,AR111,AR118,AR123,AR134,AR140)</f>
        <v>15480928974.800001</v>
      </c>
      <c r="AS78" s="245">
        <f>SUM(AS79,AS93,AS100,AS106,AS111,AS118,AS123,AS134,AS140)</f>
        <v>0</v>
      </c>
      <c r="AT78" s="245">
        <f>SUM(AT79,AT93,AT100,AT106,AT111,AT118,AT123,AT134,AT140)</f>
        <v>15526417592.835714</v>
      </c>
      <c r="AU78" s="245">
        <f t="shared" ref="AU78:BB78" si="55">SUM(AU79,AU93,AU100,AU106,AU111,AU118,AU123,AU134,AU140)</f>
        <v>15517673591</v>
      </c>
      <c r="AV78" s="245">
        <f t="shared" si="55"/>
        <v>0</v>
      </c>
      <c r="AW78" s="245">
        <f t="shared" si="55"/>
        <v>0</v>
      </c>
      <c r="AX78" s="245">
        <f t="shared" si="55"/>
        <v>0</v>
      </c>
      <c r="AY78" s="245">
        <f t="shared" si="55"/>
        <v>0</v>
      </c>
      <c r="AZ78" s="245">
        <f t="shared" si="55"/>
        <v>0</v>
      </c>
      <c r="BA78" s="245">
        <f t="shared" si="55"/>
        <v>0</v>
      </c>
      <c r="BB78" s="245">
        <f t="shared" si="55"/>
        <v>-8744001.8357142843</v>
      </c>
    </row>
    <row r="79" spans="1:58" s="170" customFormat="1" ht="15.75" customHeight="1" x14ac:dyDescent="0.25">
      <c r="A79" s="120"/>
      <c r="B79" s="290"/>
      <c r="C79" s="391" t="s">
        <v>313</v>
      </c>
      <c r="D79" s="391"/>
      <c r="E79" s="392"/>
      <c r="F79" s="293"/>
      <c r="G79" s="293"/>
      <c r="H79" s="114" t="s">
        <v>163</v>
      </c>
      <c r="I79" s="246"/>
      <c r="J79" s="246"/>
      <c r="K79" s="246"/>
      <c r="L79" s="247">
        <f>SUM(L85,L88,L92)</f>
        <v>6322700</v>
      </c>
      <c r="M79" s="247">
        <f>SUM(M85,M88,M92)</f>
        <v>1055890.8999999999</v>
      </c>
      <c r="N79" s="247"/>
      <c r="O79" s="247"/>
      <c r="P79" s="247"/>
      <c r="Q79" s="247"/>
      <c r="R79" s="247">
        <f>SUM(R85,R88,R92)</f>
        <v>0</v>
      </c>
      <c r="S79" s="247">
        <f>SUM(S85,S88,S92)</f>
        <v>0</v>
      </c>
      <c r="T79" s="247">
        <f>SUM(T85,T88,T92)</f>
        <v>0</v>
      </c>
      <c r="U79" s="247">
        <f>SUM(U85,U88,U92)</f>
        <v>0</v>
      </c>
      <c r="V79" s="247"/>
      <c r="W79" s="247"/>
      <c r="X79" s="247"/>
      <c r="Y79" s="247">
        <f>SUM(Y85,Y88,Y92)</f>
        <v>255000</v>
      </c>
      <c r="Z79" s="247"/>
      <c r="AA79" s="247"/>
      <c r="AB79" s="247">
        <f>SUM(AB85,AB88,AB92)</f>
        <v>2375000</v>
      </c>
      <c r="AC79" s="247">
        <f>SUM(AC85,AC88,AC92)</f>
        <v>3314184314</v>
      </c>
      <c r="AD79" s="247">
        <f>SUM(AD85,AD88,AD92)</f>
        <v>0</v>
      </c>
      <c r="AE79" s="247">
        <f>SUM(AE85,AE88,AE92)</f>
        <v>869862.8</v>
      </c>
      <c r="AF79" s="247">
        <f>SUM(AF85,AF88,AF92)</f>
        <v>3317684176.7999997</v>
      </c>
      <c r="AG79" s="247"/>
      <c r="AH79" s="247"/>
      <c r="AI79" s="247"/>
      <c r="AJ79" s="247">
        <f>SUM(AJ85,AJ88,AJ92)</f>
        <v>0</v>
      </c>
      <c r="AK79" s="247">
        <f>SUM(AK85,AK88,AK92)</f>
        <v>0</v>
      </c>
      <c r="AL79" s="247">
        <f>SUM(AL85,AL88,AL92)</f>
        <v>0</v>
      </c>
      <c r="AM79" s="247">
        <f>SUM(AM85,AM88,AM92)</f>
        <v>0</v>
      </c>
      <c r="AN79" s="247">
        <f>SUM(AN85,AN88,AN92)</f>
        <v>0</v>
      </c>
      <c r="AO79" s="247"/>
      <c r="AP79" s="255"/>
      <c r="AQ79" s="248">
        <f>SUM(AQ85,AQ88,AQ92)</f>
        <v>7378590.9000000004</v>
      </c>
      <c r="AR79" s="248">
        <f>SUM(AR85,AR88,AR92)</f>
        <v>3317684176.7999997</v>
      </c>
      <c r="AS79" s="248">
        <f>SUM(AS85,AS88,AS92)</f>
        <v>0</v>
      </c>
      <c r="AT79" s="248">
        <f>SUM(AT85,AT88,AT92)</f>
        <v>3325062767.6999998</v>
      </c>
      <c r="AU79" s="248">
        <f t="shared" ref="AU79:BB79" si="56">SUM(AU85,AU88,AU92)</f>
        <v>3321832767</v>
      </c>
      <c r="AV79" s="248">
        <f t="shared" si="56"/>
        <v>0</v>
      </c>
      <c r="AW79" s="248">
        <f t="shared" si="56"/>
        <v>0</v>
      </c>
      <c r="AX79" s="248">
        <f t="shared" si="56"/>
        <v>0</v>
      </c>
      <c r="AY79" s="248">
        <f t="shared" si="56"/>
        <v>0</v>
      </c>
      <c r="AZ79" s="248">
        <f t="shared" si="56"/>
        <v>0</v>
      </c>
      <c r="BA79" s="248">
        <f t="shared" si="56"/>
        <v>0</v>
      </c>
      <c r="BB79" s="248">
        <f t="shared" si="56"/>
        <v>-3230000.6999999997</v>
      </c>
    </row>
    <row r="80" spans="1:58" ht="31.5" outlineLevel="2" x14ac:dyDescent="0.25">
      <c r="A80" s="115"/>
      <c r="B80" s="200"/>
      <c r="C80" s="201"/>
      <c r="D80" s="202"/>
      <c r="E80" s="226"/>
      <c r="F80" s="306"/>
      <c r="G80" s="307"/>
      <c r="H80" s="164" t="s">
        <v>417</v>
      </c>
      <c r="I80" s="130"/>
      <c r="J80" s="126"/>
      <c r="K80" s="126"/>
      <c r="L80" s="125" t="str">
        <f>IF(I80&lt;&gt;0,((VLOOKUP(I80,'1. Standard_Cost'!$B$4:$D$11,2)+VLOOKUP(I80,'1. Standard_Cost'!$B$4:$D$11,3))*J80*K80),"0")</f>
        <v>0</v>
      </c>
      <c r="M80" s="125">
        <f>L80*'1. Standard_Cost'!$F$4</f>
        <v>0</v>
      </c>
      <c r="N80" s="126"/>
      <c r="O80" s="126"/>
      <c r="P80" s="126"/>
      <c r="Q80" s="126"/>
      <c r="R80" s="127">
        <f>'1. Standard_Cost'!$B$15*N80*P80</f>
        <v>0</v>
      </c>
      <c r="S80" s="127">
        <f>N80*O80*P80*'1. Standard_Cost'!$C$15</f>
        <v>0</v>
      </c>
      <c r="T80" s="127">
        <f>N80*P80*Q80*'1. Standard_Cost'!$D$15</f>
        <v>0</v>
      </c>
      <c r="U80" s="127">
        <f>N80*O80*'1. Standard_Cost'!$E$15</f>
        <v>0</v>
      </c>
      <c r="V80" s="126"/>
      <c r="W80" s="126"/>
      <c r="X80" s="126"/>
      <c r="Y80" s="127">
        <f>+V80*((X80*'1. Standard_Cost'!$B$19)+(W80*X80*'1. Standard_Cost'!$C$19))</f>
        <v>0</v>
      </c>
      <c r="Z80" s="126"/>
      <c r="AA80" s="126"/>
      <c r="AB80" s="127">
        <f>+Z80*'1. Standard_Cost'!$B$23+AA80*'1. Standard_Cost'!$C$23</f>
        <v>0</v>
      </c>
      <c r="AC80" s="128">
        <v>876090000</v>
      </c>
      <c r="AD80" s="129"/>
      <c r="AE80" s="127">
        <f>0</f>
        <v>0</v>
      </c>
      <c r="AF80" s="127">
        <f>SUM(AE80,AD80,AC80,AB80,Y80,U80,T80,S80,R80)</f>
        <v>876090000</v>
      </c>
      <c r="AG80" s="126"/>
      <c r="AH80" s="126"/>
      <c r="AI80" s="126"/>
      <c r="AJ80" s="130"/>
      <c r="AK80" s="130"/>
      <c r="AL80" s="130"/>
      <c r="AM80" s="127">
        <f>AG80*'1. Standard_Cost'!$B$27+'Incremental_Cost Year 4'!AH80*'1. Standard_Cost'!$C$27+'Incremental_Cost Year 4'!AI80*'1. Standard_Cost'!$D$27+'Incremental_Cost Year 4'!AJ80+'Incremental_Cost Year 4'!AL80+AK80</f>
        <v>0</v>
      </c>
      <c r="AN80" s="127">
        <f>AM80*'1. Standard_Cost'!$C$31</f>
        <v>0</v>
      </c>
      <c r="AO80" s="130"/>
      <c r="AP80" s="256"/>
      <c r="AQ80" s="171">
        <f>L80+M80</f>
        <v>0</v>
      </c>
      <c r="AR80" s="171">
        <f>AF80</f>
        <v>876090000</v>
      </c>
      <c r="AS80" s="171">
        <f>AM80+AN80</f>
        <v>0</v>
      </c>
      <c r="AT80" s="171">
        <f>SUM(AQ80,AR80,AS80)</f>
        <v>876090000</v>
      </c>
      <c r="AU80" s="250">
        <v>876090000</v>
      </c>
      <c r="AV80" s="250"/>
      <c r="AW80" s="250"/>
      <c r="AX80" s="250"/>
      <c r="AY80" s="250"/>
      <c r="AZ80" s="250"/>
      <c r="BA80" s="250"/>
      <c r="BB80" s="251">
        <f t="shared" ref="BB80:BB84" si="57">SUM(AU80:BA80)-AT80</f>
        <v>0</v>
      </c>
      <c r="BC80" s="169"/>
      <c r="BD80" s="169"/>
      <c r="BE80" s="169"/>
      <c r="BF80" s="169"/>
    </row>
    <row r="81" spans="1:58" ht="31.5" outlineLevel="2" x14ac:dyDescent="0.25">
      <c r="A81" s="115"/>
      <c r="B81" s="200"/>
      <c r="C81" s="201"/>
      <c r="D81" s="202"/>
      <c r="E81" s="202"/>
      <c r="F81" s="308"/>
      <c r="G81" s="309"/>
      <c r="H81" s="164" t="s">
        <v>418</v>
      </c>
      <c r="I81" s="130"/>
      <c r="J81" s="126"/>
      <c r="K81" s="126"/>
      <c r="L81" s="125" t="str">
        <f>IF(I81&lt;&gt;0,((VLOOKUP(I81,'1. Standard_Cost'!$B$4:$D$11,2)+VLOOKUP(I81,'1. Standard_Cost'!$B$4:$D$11,3))*J81*K81),"0")</f>
        <v>0</v>
      </c>
      <c r="M81" s="125">
        <f>L81*'1. Standard_Cost'!$F$4</f>
        <v>0</v>
      </c>
      <c r="N81" s="126"/>
      <c r="O81" s="126"/>
      <c r="P81" s="126"/>
      <c r="Q81" s="126"/>
      <c r="R81" s="127">
        <f>'1. Standard_Cost'!$B$15*N81*P81</f>
        <v>0</v>
      </c>
      <c r="S81" s="127">
        <f>N81*O81*P81*'1. Standard_Cost'!$C$15</f>
        <v>0</v>
      </c>
      <c r="T81" s="127">
        <f>N81*P81*Q81*'1. Standard_Cost'!$D$15</f>
        <v>0</v>
      </c>
      <c r="U81" s="127">
        <f>N81*O81*'1. Standard_Cost'!$E$15</f>
        <v>0</v>
      </c>
      <c r="V81" s="126"/>
      <c r="W81" s="126"/>
      <c r="X81" s="126"/>
      <c r="Y81" s="127">
        <f>+V81*((X81*'1. Standard_Cost'!$B$19)+(W81*X81*'1. Standard_Cost'!$C$19))</f>
        <v>0</v>
      </c>
      <c r="Z81" s="126"/>
      <c r="AA81" s="126"/>
      <c r="AB81" s="127">
        <f>+Z81*'1. Standard_Cost'!$B$23+AA81*'1. Standard_Cost'!$C$23</f>
        <v>0</v>
      </c>
      <c r="AC81" s="128">
        <v>56520000</v>
      </c>
      <c r="AD81" s="129"/>
      <c r="AE81" s="127">
        <f>0</f>
        <v>0</v>
      </c>
      <c r="AF81" s="127">
        <f>SUM(AE81,AD81,AC81,AB81,Y81,U81,T81,S81,R81)</f>
        <v>56520000</v>
      </c>
      <c r="AG81" s="126"/>
      <c r="AH81" s="126"/>
      <c r="AI81" s="126"/>
      <c r="AJ81" s="130"/>
      <c r="AK81" s="130"/>
      <c r="AL81" s="130"/>
      <c r="AM81" s="127">
        <f>AG81*'1. Standard_Cost'!$B$27+'Incremental_Cost Year 4'!AH81*'1. Standard_Cost'!$C$27+'Incremental_Cost Year 4'!AI81*'1. Standard_Cost'!$D$27+'Incremental_Cost Year 4'!AJ81+'Incremental_Cost Year 4'!AL81+AK81</f>
        <v>0</v>
      </c>
      <c r="AN81" s="127">
        <f>AM81*'1. Standard_Cost'!$C$31</f>
        <v>0</v>
      </c>
      <c r="AO81" s="130"/>
      <c r="AP81" s="256"/>
      <c r="AQ81" s="171">
        <f>L81+M81</f>
        <v>0</v>
      </c>
      <c r="AR81" s="171">
        <f>AF81</f>
        <v>56520000</v>
      </c>
      <c r="AS81" s="171">
        <f>AM81+AN81</f>
        <v>0</v>
      </c>
      <c r="AT81" s="171">
        <f>SUM(AQ81,AR81,AS81)</f>
        <v>56520000</v>
      </c>
      <c r="AU81" s="250">
        <v>56520000</v>
      </c>
      <c r="AV81" s="250"/>
      <c r="AW81" s="250"/>
      <c r="AX81" s="250"/>
      <c r="AY81" s="250"/>
      <c r="AZ81" s="250"/>
      <c r="BA81" s="250"/>
      <c r="BB81" s="251">
        <f t="shared" si="57"/>
        <v>0</v>
      </c>
      <c r="BC81" s="169"/>
      <c r="BD81" s="169"/>
      <c r="BE81" s="169"/>
      <c r="BF81" s="169"/>
    </row>
    <row r="82" spans="1:58" ht="31.5" outlineLevel="2" x14ac:dyDescent="0.25">
      <c r="A82" s="115"/>
      <c r="B82" s="200"/>
      <c r="C82" s="201"/>
      <c r="D82" s="202"/>
      <c r="E82" s="202"/>
      <c r="F82" s="308"/>
      <c r="G82" s="309"/>
      <c r="H82" s="164" t="s">
        <v>419</v>
      </c>
      <c r="I82" s="130"/>
      <c r="J82" s="126"/>
      <c r="K82" s="126"/>
      <c r="L82" s="125" t="str">
        <f>IF(I82&lt;&gt;0,((VLOOKUP(I82,'1. Standard_Cost'!$B$4:$D$11,2)+VLOOKUP(I82,'1. Standard_Cost'!$B$4:$D$11,3))*J82*K82),"0")</f>
        <v>0</v>
      </c>
      <c r="M82" s="125">
        <f>L82*'1. Standard_Cost'!$F$4</f>
        <v>0</v>
      </c>
      <c r="N82" s="126"/>
      <c r="O82" s="126"/>
      <c r="P82" s="126"/>
      <c r="Q82" s="126"/>
      <c r="R82" s="127">
        <f>'1. Standard_Cost'!$B$15*N82*P82</f>
        <v>0</v>
      </c>
      <c r="S82" s="127">
        <f>N82*O82*P82*'1. Standard_Cost'!$C$15</f>
        <v>0</v>
      </c>
      <c r="T82" s="127">
        <f>N82*P82*Q82*'1. Standard_Cost'!$D$15</f>
        <v>0</v>
      </c>
      <c r="U82" s="127">
        <f>N82*O82*'1. Standard_Cost'!$E$15</f>
        <v>0</v>
      </c>
      <c r="V82" s="126"/>
      <c r="W82" s="126"/>
      <c r="X82" s="126"/>
      <c r="Y82" s="127">
        <f>+V82*((X82*'1. Standard_Cost'!$B$19)+(W82*X82*'1. Standard_Cost'!$C$19))</f>
        <v>0</v>
      </c>
      <c r="Z82" s="126"/>
      <c r="AA82" s="126"/>
      <c r="AB82" s="127">
        <f>+Z82*'1. Standard_Cost'!$B$23+AA82*'1. Standard_Cost'!$C$23</f>
        <v>0</v>
      </c>
      <c r="AC82" s="128">
        <v>12625000</v>
      </c>
      <c r="AD82" s="129"/>
      <c r="AE82" s="127">
        <f>0</f>
        <v>0</v>
      </c>
      <c r="AF82" s="127">
        <f>SUM(AE82,AD82,AC82,AB82,Y82,U82,T82,S82,R82)</f>
        <v>12625000</v>
      </c>
      <c r="AG82" s="126"/>
      <c r="AH82" s="126"/>
      <c r="AI82" s="126"/>
      <c r="AJ82" s="130"/>
      <c r="AK82" s="130"/>
      <c r="AL82" s="130"/>
      <c r="AM82" s="127">
        <f>AG82*'1. Standard_Cost'!$B$27+'Incremental_Cost Year 4'!AH82*'1. Standard_Cost'!$C$27+'Incremental_Cost Year 4'!AI82*'1. Standard_Cost'!$D$27+'Incremental_Cost Year 4'!AJ82+'Incremental_Cost Year 4'!AL82+AK82</f>
        <v>0</v>
      </c>
      <c r="AN82" s="127">
        <f>AM82*'1. Standard_Cost'!$C$31</f>
        <v>0</v>
      </c>
      <c r="AO82" s="130"/>
      <c r="AP82" s="256"/>
      <c r="AQ82" s="171">
        <f>L82+M82</f>
        <v>0</v>
      </c>
      <c r="AR82" s="171">
        <f>AF82</f>
        <v>12625000</v>
      </c>
      <c r="AS82" s="171">
        <f>AM82+AN82</f>
        <v>0</v>
      </c>
      <c r="AT82" s="171">
        <f>SUM(AQ82,AR82,AS82)</f>
        <v>12625000</v>
      </c>
      <c r="AU82" s="250">
        <v>12625000</v>
      </c>
      <c r="AV82" s="250"/>
      <c r="AW82" s="250"/>
      <c r="AX82" s="250"/>
      <c r="AY82" s="250"/>
      <c r="AZ82" s="250"/>
      <c r="BA82" s="250"/>
      <c r="BB82" s="251">
        <f t="shared" si="57"/>
        <v>0</v>
      </c>
      <c r="BC82" s="169"/>
      <c r="BD82" s="169"/>
      <c r="BE82" s="169"/>
      <c r="BF82" s="169"/>
    </row>
    <row r="83" spans="1:58" ht="78.75" outlineLevel="2" x14ac:dyDescent="0.25">
      <c r="A83" s="115"/>
      <c r="B83" s="200"/>
      <c r="C83" s="201"/>
      <c r="D83" s="137"/>
      <c r="E83" s="105"/>
      <c r="F83" s="308"/>
      <c r="G83" s="309"/>
      <c r="H83" s="199" t="s">
        <v>539</v>
      </c>
      <c r="I83" s="130"/>
      <c r="J83" s="126"/>
      <c r="K83" s="126"/>
      <c r="L83" s="125" t="str">
        <f>IF(I83&lt;&gt;0,((VLOOKUP(I83,'1. Standard_Cost'!$B$4:$D$11,2)+VLOOKUP(I83,'1. Standard_Cost'!$B$4:$D$11,3))*J83*K83),"0")</f>
        <v>0</v>
      </c>
      <c r="M83" s="125">
        <f>L83*'1. Standard_Cost'!$F$4</f>
        <v>0</v>
      </c>
      <c r="N83" s="126"/>
      <c r="O83" s="126"/>
      <c r="P83" s="126"/>
      <c r="Q83" s="126"/>
      <c r="R83" s="127">
        <f>'1. Standard_Cost'!$B$15*N83*P83</f>
        <v>0</v>
      </c>
      <c r="S83" s="127">
        <f>N83*O83*P83*'1. Standard_Cost'!$C$15</f>
        <v>0</v>
      </c>
      <c r="T83" s="127">
        <f>N83*P83*Q83*'1. Standard_Cost'!$D$15</f>
        <v>0</v>
      </c>
      <c r="U83" s="127">
        <f>N83*O83*'1. Standard_Cost'!$E$15</f>
        <v>0</v>
      </c>
      <c r="V83" s="126"/>
      <c r="W83" s="126"/>
      <c r="X83" s="126"/>
      <c r="Y83" s="127">
        <f>+V83*((X83*'1. Standard_Cost'!$B$19)+(W83*X83*'1. Standard_Cost'!$C$19))</f>
        <v>0</v>
      </c>
      <c r="Z83" s="126"/>
      <c r="AA83" s="126"/>
      <c r="AB83" s="127">
        <f>+Z83*'1. Standard_Cost'!$B$23+AA83*'1. Standard_Cost'!$C$23</f>
        <v>0</v>
      </c>
      <c r="AC83" s="128">
        <v>1567230000</v>
      </c>
      <c r="AD83" s="129"/>
      <c r="AE83" s="127">
        <f>0</f>
        <v>0</v>
      </c>
      <c r="AF83" s="127">
        <f>SUM(AE83,AD83,AC83,AB83,Y83,U83,T83,S83,R83)</f>
        <v>1567230000</v>
      </c>
      <c r="AG83" s="126"/>
      <c r="AH83" s="126"/>
      <c r="AI83" s="126"/>
      <c r="AJ83" s="130"/>
      <c r="AK83" s="130"/>
      <c r="AL83" s="130"/>
      <c r="AM83" s="127">
        <f>AG83*'1. Standard_Cost'!$B$27+'Incremental_Cost Year 4'!AH83*'1. Standard_Cost'!$C$27+'Incremental_Cost Year 4'!AI83*'1. Standard_Cost'!$D$27+'Incremental_Cost Year 4'!AJ83+'Incremental_Cost Year 4'!AL83+AK83</f>
        <v>0</v>
      </c>
      <c r="AN83" s="127">
        <f>AM83*'1. Standard_Cost'!$C$31</f>
        <v>0</v>
      </c>
      <c r="AO83" s="130"/>
      <c r="AP83" s="256"/>
      <c r="AQ83" s="171">
        <f>L83+M83</f>
        <v>0</v>
      </c>
      <c r="AR83" s="171">
        <f>AF83</f>
        <v>1567230000</v>
      </c>
      <c r="AS83" s="171">
        <f>AM83+AN83</f>
        <v>0</v>
      </c>
      <c r="AT83" s="171">
        <f>SUM(AQ83,AR83,AS83)</f>
        <v>1567230000</v>
      </c>
      <c r="AU83" s="250">
        <v>1567230000</v>
      </c>
      <c r="AV83" s="250"/>
      <c r="AW83" s="250"/>
      <c r="AX83" s="250"/>
      <c r="AY83" s="250"/>
      <c r="AZ83" s="250"/>
      <c r="BA83" s="250"/>
      <c r="BB83" s="251">
        <f t="shared" si="57"/>
        <v>0</v>
      </c>
      <c r="BC83" s="169"/>
      <c r="BD83" s="169"/>
      <c r="BE83" s="169"/>
      <c r="BF83" s="169"/>
    </row>
    <row r="84" spans="1:58" ht="31.5" outlineLevel="2" x14ac:dyDescent="0.25">
      <c r="A84" s="115"/>
      <c r="B84" s="200"/>
      <c r="C84" s="201"/>
      <c r="D84" s="137"/>
      <c r="E84" s="202"/>
      <c r="F84" s="308"/>
      <c r="G84" s="309"/>
      <c r="H84" s="164" t="s">
        <v>420</v>
      </c>
      <c r="I84" s="130"/>
      <c r="J84" s="126"/>
      <c r="K84" s="126"/>
      <c r="L84" s="125" t="str">
        <f>IF(I84&lt;&gt;0,((VLOOKUP(I84,'1. Standard_Cost'!$B$4:$D$11,2)+VLOOKUP(I84,'1. Standard_Cost'!$B$4:$D$11,3))*J84*K84),"0")</f>
        <v>0</v>
      </c>
      <c r="M84" s="125">
        <f>L84*'1. Standard_Cost'!$F$4</f>
        <v>0</v>
      </c>
      <c r="N84" s="126"/>
      <c r="O84" s="126"/>
      <c r="P84" s="126"/>
      <c r="Q84" s="126"/>
      <c r="R84" s="127">
        <f>'1. Standard_Cost'!$B$15*N84*P84</f>
        <v>0</v>
      </c>
      <c r="S84" s="127">
        <f>N84*O84*P84*'1. Standard_Cost'!$C$15</f>
        <v>0</v>
      </c>
      <c r="T84" s="127">
        <f>N84*P84*Q84*'1. Standard_Cost'!$D$15</f>
        <v>0</v>
      </c>
      <c r="U84" s="127">
        <f>N84*O84*'1. Standard_Cost'!$E$15</f>
        <v>0</v>
      </c>
      <c r="V84" s="126"/>
      <c r="W84" s="126"/>
      <c r="X84" s="126"/>
      <c r="Y84" s="127">
        <f>+V84*((X84*'1. Standard_Cost'!$B$19)+(W84*X84*'1. Standard_Cost'!$C$19))</f>
        <v>0</v>
      </c>
      <c r="Z84" s="126"/>
      <c r="AA84" s="126"/>
      <c r="AB84" s="127">
        <f>+Z84*'1. Standard_Cost'!$B$23+AA84*'1. Standard_Cost'!$C$23</f>
        <v>0</v>
      </c>
      <c r="AC84" s="128">
        <v>800000000</v>
      </c>
      <c r="AD84" s="129"/>
      <c r="AE84" s="127">
        <f>0</f>
        <v>0</v>
      </c>
      <c r="AF84" s="127">
        <f>SUM(AE84,AD84,AC84,AB84,Y84,U84,T84,S84,R84)</f>
        <v>800000000</v>
      </c>
      <c r="AG84" s="126"/>
      <c r="AH84" s="126"/>
      <c r="AI84" s="126"/>
      <c r="AJ84" s="130"/>
      <c r="AK84" s="130"/>
      <c r="AL84" s="130"/>
      <c r="AM84" s="127">
        <f>AG84*'1. Standard_Cost'!$B$27+'Incremental_Cost Year 4'!AH84*'1. Standard_Cost'!$C$27+'Incremental_Cost Year 4'!AI84*'1. Standard_Cost'!$D$27+'Incremental_Cost Year 4'!AJ84+'Incremental_Cost Year 4'!AL84+AK84</f>
        <v>0</v>
      </c>
      <c r="AN84" s="127">
        <f>AM84*'1. Standard_Cost'!$C$31</f>
        <v>0</v>
      </c>
      <c r="AO84" s="130"/>
      <c r="AP84" s="256"/>
      <c r="AQ84" s="171">
        <f>L84+M84</f>
        <v>0</v>
      </c>
      <c r="AR84" s="171">
        <f>AF84</f>
        <v>800000000</v>
      </c>
      <c r="AS84" s="171">
        <f>AM84+AN84</f>
        <v>0</v>
      </c>
      <c r="AT84" s="171">
        <f>SUM(AQ84,AR84,AS84)</f>
        <v>800000000</v>
      </c>
      <c r="AU84" s="250">
        <v>800000000</v>
      </c>
      <c r="AV84" s="250"/>
      <c r="AW84" s="250"/>
      <c r="AX84" s="250"/>
      <c r="AY84" s="250"/>
      <c r="AZ84" s="250"/>
      <c r="BA84" s="250"/>
      <c r="BB84" s="251">
        <f t="shared" si="57"/>
        <v>0</v>
      </c>
      <c r="BC84" s="169"/>
      <c r="BD84" s="169"/>
      <c r="BE84" s="169"/>
      <c r="BF84" s="169"/>
    </row>
    <row r="85" spans="1:58" ht="110.25" outlineLevel="1" x14ac:dyDescent="0.25">
      <c r="A85" s="115"/>
      <c r="B85" s="165"/>
      <c r="C85" s="166"/>
      <c r="D85" s="139" t="s">
        <v>421</v>
      </c>
      <c r="E85" s="212" t="s">
        <v>273</v>
      </c>
      <c r="F85" s="136">
        <v>2021</v>
      </c>
      <c r="G85" s="117">
        <v>2030</v>
      </c>
      <c r="H85" s="110" t="s">
        <v>175</v>
      </c>
      <c r="I85" s="252"/>
      <c r="J85" s="252"/>
      <c r="K85" s="252"/>
      <c r="L85" s="127">
        <f>SUM(L80:L84)</f>
        <v>0</v>
      </c>
      <c r="M85" s="127">
        <f>SUM(M80:M84)</f>
        <v>0</v>
      </c>
      <c r="N85" s="252"/>
      <c r="O85" s="252"/>
      <c r="P85" s="252"/>
      <c r="Q85" s="252"/>
      <c r="R85" s="127">
        <f>SUM(R80:R84)</f>
        <v>0</v>
      </c>
      <c r="S85" s="127">
        <f>SUM(S80:S84)</f>
        <v>0</v>
      </c>
      <c r="T85" s="127">
        <f>SUM(T80:T84)</f>
        <v>0</v>
      </c>
      <c r="U85" s="127">
        <f>SUM(U80:U84)</f>
        <v>0</v>
      </c>
      <c r="V85" s="252"/>
      <c r="W85" s="252"/>
      <c r="X85" s="252"/>
      <c r="Y85" s="127">
        <f>SUM(Y80:Y84)</f>
        <v>0</v>
      </c>
      <c r="Z85" s="252"/>
      <c r="AA85" s="252"/>
      <c r="AB85" s="127">
        <f>SUM(AB80:AB84)</f>
        <v>0</v>
      </c>
      <c r="AC85" s="127">
        <f>SUM(AC80:AC84)</f>
        <v>3312465000</v>
      </c>
      <c r="AD85" s="127">
        <f>SUM(AD80:AD84)</f>
        <v>0</v>
      </c>
      <c r="AE85" s="127">
        <f>SUM(AE80:AE84)</f>
        <v>0</v>
      </c>
      <c r="AF85" s="127">
        <f>SUM(AF80:AF84)</f>
        <v>3312465000</v>
      </c>
      <c r="AG85" s="252"/>
      <c r="AH85" s="252"/>
      <c r="AI85" s="252"/>
      <c r="AJ85" s="127">
        <f>SUM(AJ80:AJ84)</f>
        <v>0</v>
      </c>
      <c r="AK85" s="127">
        <f>SUM(AK80:AK84)</f>
        <v>0</v>
      </c>
      <c r="AL85" s="127">
        <f>SUM(AL80:AL84)</f>
        <v>0</v>
      </c>
      <c r="AM85" s="127">
        <f>SUM(AM80:AM84)</f>
        <v>0</v>
      </c>
      <c r="AN85" s="127">
        <f>SUM(AN80:AN84)</f>
        <v>0</v>
      </c>
      <c r="AO85" s="253"/>
      <c r="AP85" s="254"/>
      <c r="AQ85" s="175">
        <f>SUM(AQ80:AQ84)</f>
        <v>0</v>
      </c>
      <c r="AR85" s="175">
        <f>SUM(AR80:AR84)</f>
        <v>3312465000</v>
      </c>
      <c r="AS85" s="175">
        <f>SUM(AS80:AS84)</f>
        <v>0</v>
      </c>
      <c r="AT85" s="175">
        <f>SUM(AT80:AT84)</f>
        <v>3312465000</v>
      </c>
      <c r="AU85" s="175">
        <f t="shared" ref="AU85:BB85" si="58">SUM(AU80:AU84)</f>
        <v>3312465000</v>
      </c>
      <c r="AV85" s="175">
        <f t="shared" si="58"/>
        <v>0</v>
      </c>
      <c r="AW85" s="175">
        <f t="shared" si="58"/>
        <v>0</v>
      </c>
      <c r="AX85" s="175">
        <f t="shared" si="58"/>
        <v>0</v>
      </c>
      <c r="AY85" s="175">
        <f t="shared" si="58"/>
        <v>0</v>
      </c>
      <c r="AZ85" s="175">
        <f t="shared" si="58"/>
        <v>0</v>
      </c>
      <c r="BA85" s="175">
        <f t="shared" si="58"/>
        <v>0</v>
      </c>
      <c r="BB85" s="175">
        <f t="shared" si="58"/>
        <v>0</v>
      </c>
      <c r="BC85" s="169"/>
      <c r="BD85" s="169"/>
      <c r="BE85" s="169"/>
      <c r="BF85" s="169"/>
    </row>
    <row r="86" spans="1:58" ht="94.5" outlineLevel="2" x14ac:dyDescent="0.25">
      <c r="A86" s="115"/>
      <c r="B86" s="200"/>
      <c r="C86" s="201"/>
      <c r="D86" s="346"/>
      <c r="E86" s="321"/>
      <c r="F86" s="295"/>
      <c r="G86" s="296"/>
      <c r="H86" s="164" t="s">
        <v>422</v>
      </c>
      <c r="I86" s="130" t="s">
        <v>3</v>
      </c>
      <c r="J86" s="126">
        <v>0.5</v>
      </c>
      <c r="K86" s="126">
        <v>5</v>
      </c>
      <c r="L86" s="125">
        <f>IF(I86&lt;&gt;0,((VLOOKUP(I86,'1. Standard_Cost'!$B$4:$D$11,2)+VLOOKUP(I86,'1. Standard_Cost'!$B$4:$D$11,3))*J86*K86),"0")</f>
        <v>252000</v>
      </c>
      <c r="M86" s="125">
        <f>L86*'1. Standard_Cost'!$F$4</f>
        <v>42084</v>
      </c>
      <c r="N86" s="126"/>
      <c r="O86" s="126"/>
      <c r="P86" s="126"/>
      <c r="Q86" s="126"/>
      <c r="R86" s="127">
        <f>'1. Standard_Cost'!$B$15*N86*P86</f>
        <v>0</v>
      </c>
      <c r="S86" s="127">
        <f>N86*O86*P86*'1. Standard_Cost'!$C$15</f>
        <v>0</v>
      </c>
      <c r="T86" s="127">
        <f>N86*P86*Q86*'1. Standard_Cost'!$D$15</f>
        <v>0</v>
      </c>
      <c r="U86" s="127">
        <f>N86*O86*'1. Standard_Cost'!$E$15</f>
        <v>0</v>
      </c>
      <c r="V86" s="126"/>
      <c r="W86" s="126"/>
      <c r="X86" s="126"/>
      <c r="Y86" s="127">
        <f>+V86*((X86*'1. Standard_Cost'!$B$19)+(W86*X86*'1. Standard_Cost'!$C$19))</f>
        <v>0</v>
      </c>
      <c r="Z86" s="126"/>
      <c r="AA86" s="126"/>
      <c r="AB86" s="127">
        <f>+Z86*'1. Standard_Cost'!$B$23+AA86*'1. Standard_Cost'!$C$23</f>
        <v>0</v>
      </c>
      <c r="AC86" s="128">
        <v>40000</v>
      </c>
      <c r="AD86" s="129"/>
      <c r="AE86" s="127">
        <f>SUM(AD86,AC86,AB86,Y86,U86,T86,S86,R86)*'1. Standard_Cost'!$B$31</f>
        <v>8000</v>
      </c>
      <c r="AF86" s="127">
        <f>SUM(AE86,AD86,AC86,AB86,Y86,U86,T86,S86,R86)</f>
        <v>48000</v>
      </c>
      <c r="AG86" s="126"/>
      <c r="AH86" s="126"/>
      <c r="AI86" s="126"/>
      <c r="AJ86" s="130"/>
      <c r="AK86" s="130"/>
      <c r="AL86" s="130"/>
      <c r="AM86" s="127">
        <f>AG86*'1. Standard_Cost'!$B$27+'Incremental_Cost Year 4'!AH86*'1. Standard_Cost'!$C$27+'Incremental_Cost Year 4'!AI86*'1. Standard_Cost'!$D$27+'Incremental_Cost Year 4'!AJ86+'Incremental_Cost Year 4'!AL86+AK86</f>
        <v>0</v>
      </c>
      <c r="AN86" s="127">
        <f>AM86*'1. Standard_Cost'!$C$31</f>
        <v>0</v>
      </c>
      <c r="AO86" s="130"/>
      <c r="AQ86" s="171">
        <f>L86+M86</f>
        <v>294084</v>
      </c>
      <c r="AR86" s="171">
        <f>AF86</f>
        <v>48000</v>
      </c>
      <c r="AS86" s="171">
        <f>AM86+AN86</f>
        <v>0</v>
      </c>
      <c r="AT86" s="171">
        <f>SUM(AQ86,AR86,AS86)</f>
        <v>342084</v>
      </c>
      <c r="AU86" s="250">
        <v>342084</v>
      </c>
      <c r="AV86" s="250"/>
      <c r="AW86" s="250"/>
      <c r="AX86" s="250"/>
      <c r="AY86" s="250"/>
      <c r="AZ86" s="250"/>
      <c r="BA86" s="250"/>
      <c r="BB86" s="251">
        <f t="shared" ref="BB86:BB87" si="59">SUM(AU86:BA86)-AT86</f>
        <v>0</v>
      </c>
      <c r="BC86" s="169"/>
      <c r="BD86" s="169"/>
      <c r="BE86" s="169"/>
      <c r="BF86" s="169"/>
    </row>
    <row r="87" spans="1:58" ht="189" outlineLevel="2" x14ac:dyDescent="0.25">
      <c r="A87" s="115"/>
      <c r="B87" s="200"/>
      <c r="C87" s="201"/>
      <c r="D87" s="133"/>
      <c r="E87" s="322"/>
      <c r="F87" s="122"/>
      <c r="G87" s="123"/>
      <c r="H87" s="199" t="s">
        <v>423</v>
      </c>
      <c r="I87" s="130" t="s">
        <v>4</v>
      </c>
      <c r="J87" s="126">
        <v>2</v>
      </c>
      <c r="K87" s="126">
        <v>5</v>
      </c>
      <c r="L87" s="125">
        <f>IF(I87&lt;&gt;0,((VLOOKUP(I87,'1. Standard_Cost'!$B$4:$D$11,2)+VLOOKUP(I87,'1. Standard_Cost'!$B$4:$D$11,3))*J87*K87),"0")</f>
        <v>807500</v>
      </c>
      <c r="M87" s="125">
        <f>L87*'1. Standard_Cost'!$F$4</f>
        <v>134852.5</v>
      </c>
      <c r="N87" s="126"/>
      <c r="O87" s="126"/>
      <c r="P87" s="126"/>
      <c r="Q87" s="126"/>
      <c r="R87" s="127">
        <f>'1. Standard_Cost'!$B$15*N87*P87</f>
        <v>0</v>
      </c>
      <c r="S87" s="127">
        <f>N87*O87*P87*'1. Standard_Cost'!$C$15</f>
        <v>0</v>
      </c>
      <c r="T87" s="127">
        <f>N87*P87*Q87*'1. Standard_Cost'!$D$15</f>
        <v>0</v>
      </c>
      <c r="U87" s="127">
        <f>N87*O87*'1. Standard_Cost'!$E$15</f>
        <v>0</v>
      </c>
      <c r="V87" s="126"/>
      <c r="W87" s="126"/>
      <c r="X87" s="126"/>
      <c r="Y87" s="127">
        <f>+V87*((X87*'1. Standard_Cost'!$B$19)+(W87*X87*'1. Standard_Cost'!$C$19))</f>
        <v>0</v>
      </c>
      <c r="Z87" s="126"/>
      <c r="AA87" s="126">
        <v>100</v>
      </c>
      <c r="AB87" s="127">
        <f>+Z87*'1. Standard_Cost'!$B$23+AA87*'1. Standard_Cost'!$C$23</f>
        <v>1900000</v>
      </c>
      <c r="AC87" s="128">
        <v>942353</v>
      </c>
      <c r="AD87" s="129"/>
      <c r="AE87" s="127">
        <f>SUM(AD87,AC87,AB87,Y87,U87,T87,S87,R87)*'1. Standard_Cost'!$B$31</f>
        <v>568470.6</v>
      </c>
      <c r="AF87" s="127">
        <f>SUM(AE87,AD87,AC87,AB87,Y87,U87,T87,S87,R87)</f>
        <v>3410823.6</v>
      </c>
      <c r="AG87" s="126"/>
      <c r="AH87" s="126"/>
      <c r="AI87" s="126"/>
      <c r="AJ87" s="130"/>
      <c r="AK87" s="130"/>
      <c r="AL87" s="130"/>
      <c r="AM87" s="127">
        <f>AG87*'1. Standard_Cost'!$B$27+'Incremental_Cost Year 4'!AH87*'1. Standard_Cost'!$C$27+'Incremental_Cost Year 4'!AI87*'1. Standard_Cost'!$D$27+'Incremental_Cost Year 4'!AJ87+'Incremental_Cost Year 4'!AL87+AK87</f>
        <v>0</v>
      </c>
      <c r="AN87" s="127">
        <f>AM87*'1. Standard_Cost'!$C$31</f>
        <v>0</v>
      </c>
      <c r="AO87" s="130"/>
      <c r="AQ87" s="171">
        <f>L87+M87</f>
        <v>942352.5</v>
      </c>
      <c r="AR87" s="171">
        <f>AF87</f>
        <v>3410823.6</v>
      </c>
      <c r="AS87" s="171">
        <f>AM87+AN87</f>
        <v>0</v>
      </c>
      <c r="AT87" s="171">
        <f>SUM(AQ87,AR87,AS87)</f>
        <v>4353176.0999999996</v>
      </c>
      <c r="AU87" s="250">
        <v>1693176</v>
      </c>
      <c r="AV87" s="250"/>
      <c r="AW87" s="250"/>
      <c r="AX87" s="250"/>
      <c r="AY87" s="250"/>
      <c r="AZ87" s="250"/>
      <c r="BA87" s="250"/>
      <c r="BB87" s="251">
        <f t="shared" si="59"/>
        <v>-2660000.0999999996</v>
      </c>
      <c r="BC87" s="169"/>
      <c r="BD87" s="169"/>
      <c r="BE87" s="169"/>
      <c r="BF87" s="169"/>
    </row>
    <row r="88" spans="1:58" ht="63" outlineLevel="1" x14ac:dyDescent="0.25">
      <c r="A88" s="115"/>
      <c r="B88" s="165"/>
      <c r="C88" s="166"/>
      <c r="D88" s="212" t="s">
        <v>240</v>
      </c>
      <c r="E88" s="212" t="s">
        <v>269</v>
      </c>
      <c r="F88" s="117">
        <v>2024</v>
      </c>
      <c r="G88" s="117">
        <v>2030</v>
      </c>
      <c r="H88" s="110" t="s">
        <v>270</v>
      </c>
      <c r="I88" s="252"/>
      <c r="J88" s="252"/>
      <c r="K88" s="252"/>
      <c r="L88" s="127">
        <f>SUM(L86:L87)</f>
        <v>1059500</v>
      </c>
      <c r="M88" s="127">
        <f>SUM(M86:M87)</f>
        <v>176936.5</v>
      </c>
      <c r="N88" s="252"/>
      <c r="O88" s="252"/>
      <c r="P88" s="252"/>
      <c r="Q88" s="252"/>
      <c r="R88" s="127">
        <f>SUM(R86:R87)</f>
        <v>0</v>
      </c>
      <c r="S88" s="127">
        <f>SUM(S86:S87)</f>
        <v>0</v>
      </c>
      <c r="T88" s="127">
        <f>SUM(T86:T87)</f>
        <v>0</v>
      </c>
      <c r="U88" s="127">
        <f>SUM(U86:U87)</f>
        <v>0</v>
      </c>
      <c r="V88" s="252"/>
      <c r="W88" s="252"/>
      <c r="X88" s="252"/>
      <c r="Y88" s="127">
        <f>SUM(Y86:Y87)</f>
        <v>0</v>
      </c>
      <c r="Z88" s="252"/>
      <c r="AA88" s="252"/>
      <c r="AB88" s="127">
        <f>SUM(AB86:AB87)</f>
        <v>1900000</v>
      </c>
      <c r="AC88" s="127">
        <f>SUM(AC86:AC87)</f>
        <v>982353</v>
      </c>
      <c r="AD88" s="127">
        <f>SUM(AD86:AD87)</f>
        <v>0</v>
      </c>
      <c r="AE88" s="127">
        <f>SUM(AE86:AE87)</f>
        <v>576470.6</v>
      </c>
      <c r="AF88" s="127">
        <f>SUM(AF86:AF87)</f>
        <v>3458823.6</v>
      </c>
      <c r="AG88" s="252"/>
      <c r="AH88" s="252"/>
      <c r="AI88" s="252"/>
      <c r="AJ88" s="127">
        <f>SUM(AJ86:AJ87)</f>
        <v>0</v>
      </c>
      <c r="AK88" s="127">
        <f>SUM(AK86:AK87)</f>
        <v>0</v>
      </c>
      <c r="AL88" s="127">
        <f>SUM(AL86:AL87)</f>
        <v>0</v>
      </c>
      <c r="AM88" s="127">
        <f>SUM(AM86:AM87)</f>
        <v>0</v>
      </c>
      <c r="AN88" s="127">
        <f>SUM(AN86:AN87)</f>
        <v>0</v>
      </c>
      <c r="AO88" s="253"/>
      <c r="AP88" s="254"/>
      <c r="AQ88" s="175">
        <f>SUM(AQ86:AQ87)</f>
        <v>1236436.5</v>
      </c>
      <c r="AR88" s="175">
        <f>SUM(AR86:AR87)</f>
        <v>3458823.6</v>
      </c>
      <c r="AS88" s="175">
        <f>SUM(AS86:AS87)</f>
        <v>0</v>
      </c>
      <c r="AT88" s="175">
        <f>SUM(AT86:AT87)</f>
        <v>4695260.0999999996</v>
      </c>
      <c r="AU88" s="175">
        <f t="shared" ref="AU88:BB88" si="60">SUM(AU86:AU87)</f>
        <v>2035260</v>
      </c>
      <c r="AV88" s="175">
        <f t="shared" si="60"/>
        <v>0</v>
      </c>
      <c r="AW88" s="175">
        <f t="shared" si="60"/>
        <v>0</v>
      </c>
      <c r="AX88" s="175">
        <f t="shared" si="60"/>
        <v>0</v>
      </c>
      <c r="AY88" s="175">
        <f t="shared" si="60"/>
        <v>0</v>
      </c>
      <c r="AZ88" s="175">
        <f t="shared" si="60"/>
        <v>0</v>
      </c>
      <c r="BA88" s="175">
        <f t="shared" si="60"/>
        <v>0</v>
      </c>
      <c r="BB88" s="175">
        <f t="shared" si="60"/>
        <v>-2660000.0999999996</v>
      </c>
      <c r="BC88" s="169"/>
      <c r="BD88" s="169"/>
      <c r="BE88" s="169"/>
      <c r="BF88" s="169"/>
    </row>
    <row r="89" spans="1:58" ht="63" outlineLevel="2" x14ac:dyDescent="0.25">
      <c r="A89" s="115"/>
      <c r="B89" s="200"/>
      <c r="C89" s="201"/>
      <c r="D89" s="346"/>
      <c r="E89" s="321"/>
      <c r="F89" s="306"/>
      <c r="G89" s="307"/>
      <c r="H89" s="199" t="s">
        <v>424</v>
      </c>
      <c r="I89" s="130" t="s">
        <v>2</v>
      </c>
      <c r="J89" s="126">
        <v>12</v>
      </c>
      <c r="K89" s="126">
        <v>2</v>
      </c>
      <c r="L89" s="125">
        <f>IF(I89&lt;&gt;0,((VLOOKUP(I89,'1. Standard_Cost'!$B$4:$D$11,2)+VLOOKUP(I89,'1. Standard_Cost'!$B$4:$D$11,3))*J89*K89),"0")</f>
        <v>2904000</v>
      </c>
      <c r="M89" s="125">
        <f>L89*'1. Standard_Cost'!$F$4</f>
        <v>484968</v>
      </c>
      <c r="N89" s="126"/>
      <c r="O89" s="126"/>
      <c r="P89" s="126"/>
      <c r="Q89" s="126"/>
      <c r="R89" s="127">
        <f>'1. Standard_Cost'!$B$15*N89*P89</f>
        <v>0</v>
      </c>
      <c r="S89" s="127">
        <f>N89*O89*P89*'1. Standard_Cost'!$C$15</f>
        <v>0</v>
      </c>
      <c r="T89" s="127">
        <f>N89*P89*Q89*'1. Standard_Cost'!$D$15</f>
        <v>0</v>
      </c>
      <c r="U89" s="127">
        <f>N89*O89*'1. Standard_Cost'!$E$15</f>
        <v>0</v>
      </c>
      <c r="V89" s="126"/>
      <c r="W89" s="126"/>
      <c r="X89" s="126"/>
      <c r="Y89" s="127">
        <f>+V89*((X89*'1. Standard_Cost'!$B$19)+(W89*X89*'1. Standard_Cost'!$C$19))</f>
        <v>0</v>
      </c>
      <c r="Z89" s="126"/>
      <c r="AA89" s="126"/>
      <c r="AB89" s="127">
        <f>+Z89*'1. Standard_Cost'!$B$23+AA89*'1. Standard_Cost'!$C$23</f>
        <v>0</v>
      </c>
      <c r="AC89" s="128">
        <v>406676</v>
      </c>
      <c r="AD89" s="129"/>
      <c r="AE89" s="127">
        <f>SUM(AD89,AC89,AB89,Y89,U89,T89,S89,R89)*'1. Standard_Cost'!$B$31</f>
        <v>81335.200000000012</v>
      </c>
      <c r="AF89" s="127">
        <f>SUM(AE89,AD89,AC89,AB89,Y89,U89,T89,S89,R89)</f>
        <v>488011.2</v>
      </c>
      <c r="AG89" s="126"/>
      <c r="AH89" s="126"/>
      <c r="AI89" s="126"/>
      <c r="AJ89" s="130"/>
      <c r="AK89" s="130"/>
      <c r="AL89" s="130"/>
      <c r="AM89" s="127">
        <f>AG89*'1. Standard_Cost'!$B$27+'Incremental_Cost Year 4'!AH89*'1. Standard_Cost'!$C$27+'Incremental_Cost Year 4'!AI89*'1. Standard_Cost'!$D$27+'Incremental_Cost Year 4'!AJ89+'Incremental_Cost Year 4'!AL89+AK89</f>
        <v>0</v>
      </c>
      <c r="AN89" s="127">
        <f>AM89*'1. Standard_Cost'!$C$31</f>
        <v>0</v>
      </c>
      <c r="AO89" s="130"/>
      <c r="AQ89" s="171">
        <f>L89+M89</f>
        <v>3388968</v>
      </c>
      <c r="AR89" s="171">
        <f>AF89</f>
        <v>488011.2</v>
      </c>
      <c r="AS89" s="171">
        <f>AM89+AN89</f>
        <v>0</v>
      </c>
      <c r="AT89" s="171">
        <f>SUM(AQ89,AR89,AS89)</f>
        <v>3876979.2</v>
      </c>
      <c r="AU89" s="250">
        <v>3876979</v>
      </c>
      <c r="AV89" s="250"/>
      <c r="AW89" s="250"/>
      <c r="AX89" s="250"/>
      <c r="AY89" s="250"/>
      <c r="AZ89" s="250"/>
      <c r="BA89" s="250"/>
      <c r="BB89" s="251">
        <f t="shared" ref="BB89:BB91" si="61">SUM(AU89:BA89)-AT89</f>
        <v>-0.20000000018626451</v>
      </c>
      <c r="BC89" s="169"/>
      <c r="BD89" s="169"/>
      <c r="BE89" s="169"/>
      <c r="BF89" s="169"/>
    </row>
    <row r="90" spans="1:58" ht="94.5" outlineLevel="2" x14ac:dyDescent="0.25">
      <c r="A90" s="115"/>
      <c r="B90" s="200"/>
      <c r="C90" s="201"/>
      <c r="D90" s="203"/>
      <c r="E90" s="323"/>
      <c r="F90" s="308"/>
      <c r="G90" s="309"/>
      <c r="H90" s="199" t="s">
        <v>425</v>
      </c>
      <c r="I90" s="130" t="s">
        <v>2</v>
      </c>
      <c r="J90" s="126">
        <v>12</v>
      </c>
      <c r="K90" s="126">
        <v>1</v>
      </c>
      <c r="L90" s="125">
        <f>IF(I90&lt;&gt;0,((VLOOKUP(I90,'1. Standard_Cost'!$B$4:$D$11,2)+VLOOKUP(I90,'1. Standard_Cost'!$B$4:$D$11,3))*J90*K90),"0")</f>
        <v>1452000</v>
      </c>
      <c r="M90" s="125">
        <f>L90*'1. Standard_Cost'!$F$4</f>
        <v>242484</v>
      </c>
      <c r="N90" s="126"/>
      <c r="O90" s="126"/>
      <c r="P90" s="126"/>
      <c r="Q90" s="126"/>
      <c r="R90" s="127">
        <f>'1. Standard_Cost'!$B$15*N90*P90</f>
        <v>0</v>
      </c>
      <c r="S90" s="127">
        <f>N90*O90*P90*'1. Standard_Cost'!$C$15</f>
        <v>0</v>
      </c>
      <c r="T90" s="127">
        <f>N90*P90*Q90*'1. Standard_Cost'!$D$15</f>
        <v>0</v>
      </c>
      <c r="U90" s="127">
        <f>N90*O90*'1. Standard_Cost'!$E$15</f>
        <v>0</v>
      </c>
      <c r="V90" s="126"/>
      <c r="W90" s="126"/>
      <c r="X90" s="126"/>
      <c r="Y90" s="127">
        <f>+V90*((X90*'1. Standard_Cost'!$B$19)+(W90*X90*'1. Standard_Cost'!$C$19))</f>
        <v>0</v>
      </c>
      <c r="Z90" s="126"/>
      <c r="AA90" s="126">
        <v>25</v>
      </c>
      <c r="AB90" s="127">
        <f>+Z90*'1. Standard_Cost'!$B$23+AA90*'1. Standard_Cost'!$C$23</f>
        <v>475000</v>
      </c>
      <c r="AC90" s="128">
        <v>203240</v>
      </c>
      <c r="AD90" s="129"/>
      <c r="AE90" s="127">
        <f>SUM(AD90,AC90,AB90,Y90,U90,T90,S90,R90)*'1. Standard_Cost'!$B$31</f>
        <v>135648</v>
      </c>
      <c r="AF90" s="127">
        <f>SUM(AE90,AD90,AC90,AB90,Y90,U90,T90,S90,R90)</f>
        <v>813888</v>
      </c>
      <c r="AG90" s="126"/>
      <c r="AH90" s="126"/>
      <c r="AI90" s="126"/>
      <c r="AJ90" s="130"/>
      <c r="AK90" s="130"/>
      <c r="AL90" s="130"/>
      <c r="AM90" s="127">
        <f>AG90*'1. Standard_Cost'!$B$27+'Incremental_Cost Year 4'!AH90*'1. Standard_Cost'!$C$27+'Incremental_Cost Year 4'!AI90*'1. Standard_Cost'!$D$27+'Incremental_Cost Year 4'!AJ90+'Incremental_Cost Year 4'!AL90+AK90</f>
        <v>0</v>
      </c>
      <c r="AN90" s="127">
        <f>AM90*'1. Standard_Cost'!$C$31</f>
        <v>0</v>
      </c>
      <c r="AO90" s="130"/>
      <c r="AQ90" s="171">
        <f>L90+M90</f>
        <v>1694484</v>
      </c>
      <c r="AR90" s="171">
        <f>AF90</f>
        <v>813888</v>
      </c>
      <c r="AS90" s="171">
        <f>AM90+AN90</f>
        <v>0</v>
      </c>
      <c r="AT90" s="171">
        <f>SUM(AQ90,AR90,AS90)</f>
        <v>2508372</v>
      </c>
      <c r="AU90" s="250">
        <v>1938372</v>
      </c>
      <c r="AV90" s="250"/>
      <c r="AW90" s="250"/>
      <c r="AX90" s="250"/>
      <c r="AY90" s="250"/>
      <c r="AZ90" s="250"/>
      <c r="BA90" s="250"/>
      <c r="BB90" s="251">
        <f t="shared" si="61"/>
        <v>-570000</v>
      </c>
      <c r="BC90" s="169"/>
      <c r="BD90" s="169"/>
      <c r="BE90" s="169"/>
      <c r="BF90" s="169"/>
    </row>
    <row r="91" spans="1:58" ht="78.75" outlineLevel="2" x14ac:dyDescent="0.25">
      <c r="A91" s="115"/>
      <c r="B91" s="200"/>
      <c r="C91" s="201"/>
      <c r="D91" s="133"/>
      <c r="E91" s="322"/>
      <c r="F91" s="324"/>
      <c r="G91" s="325"/>
      <c r="H91" s="109" t="s">
        <v>426</v>
      </c>
      <c r="I91" s="130" t="s">
        <v>3</v>
      </c>
      <c r="J91" s="126">
        <v>3</v>
      </c>
      <c r="K91" s="126">
        <v>3</v>
      </c>
      <c r="L91" s="125">
        <f>IF(I91&lt;&gt;0,((VLOOKUP(I91,'1. Standard_Cost'!$B$4:$D$11,2)+VLOOKUP(I91,'1. Standard_Cost'!$B$4:$D$11,3))*J91*K91),"0")</f>
        <v>907200</v>
      </c>
      <c r="M91" s="125">
        <f>L91*'1. Standard_Cost'!$F$4</f>
        <v>151502.39999999999</v>
      </c>
      <c r="N91" s="126"/>
      <c r="O91" s="126"/>
      <c r="P91" s="126"/>
      <c r="Q91" s="126"/>
      <c r="R91" s="127">
        <f>'1. Standard_Cost'!$B$15*N91*P91</f>
        <v>0</v>
      </c>
      <c r="S91" s="127">
        <f>N91*O91*P91*'1. Standard_Cost'!$C$15</f>
        <v>0</v>
      </c>
      <c r="T91" s="127">
        <f>N91*P91*Q91*'1. Standard_Cost'!$D$15</f>
        <v>0</v>
      </c>
      <c r="U91" s="127">
        <f>N91*O91*'1. Standard_Cost'!$E$15</f>
        <v>0</v>
      </c>
      <c r="V91" s="126">
        <v>1</v>
      </c>
      <c r="W91" s="126">
        <v>5</v>
      </c>
      <c r="X91" s="126">
        <v>3</v>
      </c>
      <c r="Y91" s="127">
        <f>+V91*((X91*'1. Standard_Cost'!$B$19)+(W91*X91*'1. Standard_Cost'!$C$19))</f>
        <v>255000</v>
      </c>
      <c r="Z91" s="126"/>
      <c r="AA91" s="126"/>
      <c r="AB91" s="127">
        <f>+Z91*'1. Standard_Cost'!$B$23+AA91*'1. Standard_Cost'!$C$23</f>
        <v>0</v>
      </c>
      <c r="AC91" s="128">
        <v>127045</v>
      </c>
      <c r="AD91" s="129"/>
      <c r="AE91" s="127">
        <f>SUM(AD91,AC91,AB91,Y91,U91,T91,S91,R91)*'1. Standard_Cost'!$B$31</f>
        <v>76409</v>
      </c>
      <c r="AF91" s="127">
        <f>SUM(AE91,AD91,AC91,AB91,Y91,U91,T91,S91,R91)</f>
        <v>458454</v>
      </c>
      <c r="AG91" s="126"/>
      <c r="AH91" s="126"/>
      <c r="AI91" s="126"/>
      <c r="AJ91" s="130"/>
      <c r="AK91" s="130"/>
      <c r="AL91" s="130"/>
      <c r="AM91" s="127">
        <f>AG91*'1. Standard_Cost'!$B$27+'Incremental_Cost Year 4'!AH91*'1. Standard_Cost'!$C$27+'Incremental_Cost Year 4'!AI91*'1. Standard_Cost'!$D$27+'Incremental_Cost Year 4'!AJ91+'Incremental_Cost Year 4'!AL91+AK91</f>
        <v>0</v>
      </c>
      <c r="AN91" s="127">
        <f>AM91*'1. Standard_Cost'!$C$31</f>
        <v>0</v>
      </c>
      <c r="AO91" s="130"/>
      <c r="AQ91" s="171">
        <f>L91+M91</f>
        <v>1058702.3999999999</v>
      </c>
      <c r="AR91" s="171">
        <f>AF91</f>
        <v>458454</v>
      </c>
      <c r="AS91" s="171">
        <f>AM91+AN91</f>
        <v>0</v>
      </c>
      <c r="AT91" s="171">
        <f>SUM(AQ91,AR91,AS91)</f>
        <v>1517156.4</v>
      </c>
      <c r="AU91" s="250">
        <v>1517156</v>
      </c>
      <c r="AV91" s="250"/>
      <c r="AW91" s="250"/>
      <c r="AX91" s="250"/>
      <c r="AY91" s="250"/>
      <c r="AZ91" s="250"/>
      <c r="BA91" s="250"/>
      <c r="BB91" s="251">
        <f t="shared" si="61"/>
        <v>-0.39999999990686774</v>
      </c>
      <c r="BC91" s="169"/>
      <c r="BD91" s="169"/>
      <c r="BE91" s="169"/>
      <c r="BF91" s="169"/>
    </row>
    <row r="92" spans="1:58" ht="78.75" outlineLevel="1" x14ac:dyDescent="0.25">
      <c r="A92" s="115"/>
      <c r="B92" s="165"/>
      <c r="C92" s="166"/>
      <c r="D92" s="150" t="s">
        <v>240</v>
      </c>
      <c r="E92" s="212" t="s">
        <v>271</v>
      </c>
      <c r="F92" s="104">
        <v>2021</v>
      </c>
      <c r="G92" s="104">
        <v>2030</v>
      </c>
      <c r="H92" s="110" t="s">
        <v>272</v>
      </c>
      <c r="I92" s="252"/>
      <c r="J92" s="252"/>
      <c r="K92" s="252"/>
      <c r="L92" s="127">
        <f>SUM(L89:L91)</f>
        <v>5263200</v>
      </c>
      <c r="M92" s="127">
        <f>SUM(M89:M91)</f>
        <v>878954.4</v>
      </c>
      <c r="N92" s="252"/>
      <c r="O92" s="252"/>
      <c r="P92" s="252"/>
      <c r="Q92" s="252"/>
      <c r="R92" s="127">
        <f>SUM(R89:R91)</f>
        <v>0</v>
      </c>
      <c r="S92" s="127">
        <f>SUM(S89:S91)</f>
        <v>0</v>
      </c>
      <c r="T92" s="127">
        <f>SUM(T89:T91)</f>
        <v>0</v>
      </c>
      <c r="U92" s="127">
        <f>SUM(U89:U91)</f>
        <v>0</v>
      </c>
      <c r="V92" s="252"/>
      <c r="W92" s="252"/>
      <c r="X92" s="252"/>
      <c r="Y92" s="127">
        <f>SUM(Y89:Y91)</f>
        <v>255000</v>
      </c>
      <c r="Z92" s="252"/>
      <c r="AA92" s="252"/>
      <c r="AB92" s="127">
        <f>SUM(AB89:AB91)</f>
        <v>475000</v>
      </c>
      <c r="AC92" s="127">
        <f>SUM(AC89:AC91)</f>
        <v>736961</v>
      </c>
      <c r="AD92" s="127">
        <f>SUM(AD89:AD91)</f>
        <v>0</v>
      </c>
      <c r="AE92" s="127">
        <f>SUM(AE89:AE91)</f>
        <v>293392.2</v>
      </c>
      <c r="AF92" s="127">
        <f>SUM(AF89:AF91)</f>
        <v>1760353.2</v>
      </c>
      <c r="AG92" s="252"/>
      <c r="AH92" s="252"/>
      <c r="AI92" s="252"/>
      <c r="AJ92" s="127">
        <f>SUM(AJ89:AJ91)</f>
        <v>0</v>
      </c>
      <c r="AK92" s="127">
        <f>SUM(AK89:AK91)</f>
        <v>0</v>
      </c>
      <c r="AL92" s="127">
        <f>SUM(AL89:AL91)</f>
        <v>0</v>
      </c>
      <c r="AM92" s="127">
        <f>SUM(AM89:AM91)</f>
        <v>0</v>
      </c>
      <c r="AN92" s="127">
        <f>SUM(AN89:AN91)</f>
        <v>0</v>
      </c>
      <c r="AO92" s="253"/>
      <c r="AP92" s="254"/>
      <c r="AQ92" s="175">
        <f>SUM(AQ89:AQ91)</f>
        <v>6142154.4000000004</v>
      </c>
      <c r="AR92" s="175">
        <f>SUM(AR89:AR91)</f>
        <v>1760353.2</v>
      </c>
      <c r="AS92" s="175">
        <f>SUM(AS89:AS91)</f>
        <v>0</v>
      </c>
      <c r="AT92" s="175">
        <f>SUM(AT89:AT91)</f>
        <v>7902507.5999999996</v>
      </c>
      <c r="AU92" s="175">
        <f t="shared" ref="AU92:BB92" si="62">SUM(AU89:AU91)</f>
        <v>7332507</v>
      </c>
      <c r="AV92" s="175">
        <f t="shared" si="62"/>
        <v>0</v>
      </c>
      <c r="AW92" s="175">
        <f t="shared" si="62"/>
        <v>0</v>
      </c>
      <c r="AX92" s="175">
        <f t="shared" si="62"/>
        <v>0</v>
      </c>
      <c r="AY92" s="175">
        <f t="shared" si="62"/>
        <v>0</v>
      </c>
      <c r="AZ92" s="175">
        <f t="shared" si="62"/>
        <v>0</v>
      </c>
      <c r="BA92" s="175">
        <f t="shared" si="62"/>
        <v>0</v>
      </c>
      <c r="BB92" s="175">
        <f t="shared" si="62"/>
        <v>-570000.60000000009</v>
      </c>
      <c r="BC92" s="169"/>
      <c r="BD92" s="169"/>
      <c r="BE92" s="169"/>
      <c r="BF92" s="169"/>
    </row>
    <row r="93" spans="1:58" s="184" customFormat="1" ht="15.75" customHeight="1" x14ac:dyDescent="0.25">
      <c r="A93" s="143"/>
      <c r="B93" s="290"/>
      <c r="C93" s="391" t="s">
        <v>537</v>
      </c>
      <c r="D93" s="391"/>
      <c r="E93" s="392"/>
      <c r="F93" s="291"/>
      <c r="G93" s="291"/>
      <c r="H93" s="144" t="s">
        <v>165</v>
      </c>
      <c r="I93" s="257"/>
      <c r="J93" s="257"/>
      <c r="K93" s="257"/>
      <c r="L93" s="258">
        <f>SUM(L99)</f>
        <v>106050</v>
      </c>
      <c r="M93" s="258">
        <f>SUM(M99)</f>
        <v>17710.350000000002</v>
      </c>
      <c r="N93" s="257"/>
      <c r="O93" s="257"/>
      <c r="P93" s="257"/>
      <c r="Q93" s="257"/>
      <c r="R93" s="258">
        <f>SUM(R99)</f>
        <v>0</v>
      </c>
      <c r="S93" s="258">
        <f>SUM(S99)</f>
        <v>0</v>
      </c>
      <c r="T93" s="258">
        <f>SUM(T99)</f>
        <v>0</v>
      </c>
      <c r="U93" s="258">
        <f>SUM(U99)</f>
        <v>0</v>
      </c>
      <c r="V93" s="257"/>
      <c r="W93" s="257"/>
      <c r="X93" s="257"/>
      <c r="Y93" s="258">
        <f>SUM(Y99)</f>
        <v>0</v>
      </c>
      <c r="Z93" s="257"/>
      <c r="AA93" s="257"/>
      <c r="AB93" s="258">
        <f>SUM(AB99)</f>
        <v>0</v>
      </c>
      <c r="AC93" s="258">
        <f>SUM(AC99)</f>
        <v>219000</v>
      </c>
      <c r="AD93" s="258">
        <f>SUM(AD99)</f>
        <v>0</v>
      </c>
      <c r="AE93" s="258">
        <f>SUM(AE99)</f>
        <v>43800</v>
      </c>
      <c r="AF93" s="258">
        <f>SUM(AF99)</f>
        <v>262800</v>
      </c>
      <c r="AG93" s="257"/>
      <c r="AH93" s="257"/>
      <c r="AI93" s="257"/>
      <c r="AJ93" s="258">
        <f>SUM(AJ99)</f>
        <v>0</v>
      </c>
      <c r="AK93" s="258">
        <f>SUM(AK99)</f>
        <v>0</v>
      </c>
      <c r="AL93" s="258">
        <f>SUM(AL99)</f>
        <v>0</v>
      </c>
      <c r="AM93" s="258">
        <f>SUM(AM99)</f>
        <v>0</v>
      </c>
      <c r="AN93" s="258">
        <f>SUM(AN99)</f>
        <v>0</v>
      </c>
      <c r="AO93" s="259"/>
      <c r="AP93" s="260"/>
      <c r="AQ93" s="261">
        <f>SUM(AQ99)</f>
        <v>123760.34999999999</v>
      </c>
      <c r="AR93" s="261">
        <f>SUM(AR99)</f>
        <v>262800</v>
      </c>
      <c r="AS93" s="261">
        <f>SUM(AS99)</f>
        <v>0</v>
      </c>
      <c r="AT93" s="261">
        <f>SUM(AT99)</f>
        <v>386560.35000000003</v>
      </c>
      <c r="AU93" s="261">
        <f t="shared" ref="AU93:BA93" si="63">SUM(AU99)</f>
        <v>170560</v>
      </c>
      <c r="AV93" s="261">
        <f t="shared" si="63"/>
        <v>0</v>
      </c>
      <c r="AW93" s="261">
        <f t="shared" si="63"/>
        <v>0</v>
      </c>
      <c r="AX93" s="261">
        <f t="shared" si="63"/>
        <v>0</v>
      </c>
      <c r="AY93" s="261">
        <f t="shared" si="63"/>
        <v>0</v>
      </c>
      <c r="AZ93" s="261">
        <f t="shared" si="63"/>
        <v>0</v>
      </c>
      <c r="BA93" s="261">
        <f t="shared" si="63"/>
        <v>0</v>
      </c>
      <c r="BB93" s="261">
        <f>SUM(BB99)</f>
        <v>-216000.35000000003</v>
      </c>
    </row>
    <row r="94" spans="1:58" ht="94.5" outlineLevel="2" x14ac:dyDescent="0.25">
      <c r="A94" s="115"/>
      <c r="B94" s="200"/>
      <c r="C94" s="201"/>
      <c r="D94" s="346"/>
      <c r="E94" s="321"/>
      <c r="F94" s="306"/>
      <c r="G94" s="307"/>
      <c r="H94" s="109" t="s">
        <v>427</v>
      </c>
      <c r="I94" s="130" t="s">
        <v>5</v>
      </c>
      <c r="J94" s="126">
        <v>1</v>
      </c>
      <c r="K94" s="126">
        <v>1</v>
      </c>
      <c r="L94" s="125">
        <f>IF(I94&lt;&gt;0,((VLOOKUP(I94,'1. Standard_Cost'!$B$4:$D$11,2)+VLOOKUP(I94,'1. Standard_Cost'!$B$4:$D$11,3))*J94*K94),"0")</f>
        <v>70700</v>
      </c>
      <c r="M94" s="125">
        <f>L94*'1. Standard_Cost'!$F$4</f>
        <v>11806.900000000001</v>
      </c>
      <c r="N94" s="126"/>
      <c r="O94" s="126"/>
      <c r="P94" s="126"/>
      <c r="Q94" s="126"/>
      <c r="R94" s="127">
        <f>'1. Standard_Cost'!$B$15*N94*P94</f>
        <v>0</v>
      </c>
      <c r="S94" s="127">
        <f>N94*O94*P94*'1. Standard_Cost'!$C$15</f>
        <v>0</v>
      </c>
      <c r="T94" s="127">
        <f>N94*P94*Q94*'1. Standard_Cost'!$D$15</f>
        <v>0</v>
      </c>
      <c r="U94" s="127">
        <f>N94*O94*'1. Standard_Cost'!$E$15</f>
        <v>0</v>
      </c>
      <c r="V94" s="126"/>
      <c r="W94" s="126"/>
      <c r="X94" s="126"/>
      <c r="Y94" s="127">
        <f>+V94*((X94*'1. Standard_Cost'!$B$19)+(W94*X94*'1. Standard_Cost'!$C$19))</f>
        <v>0</v>
      </c>
      <c r="Z94" s="126"/>
      <c r="AA94" s="126"/>
      <c r="AB94" s="127">
        <f>+Z94*'1. Standard_Cost'!$B$23+AA94*'1. Standard_Cost'!$C$23</f>
        <v>0</v>
      </c>
      <c r="AC94" s="128">
        <v>189000</v>
      </c>
      <c r="AD94" s="129"/>
      <c r="AE94" s="127">
        <f>SUM(AD94,AC94,AB94,Y94,U94,T94,S94,R94)*'1. Standard_Cost'!$B$31</f>
        <v>37800</v>
      </c>
      <c r="AF94" s="127">
        <f>SUM(AE94,AD94,AC94,AB94,Y94,U94,T94,S94,R94)</f>
        <v>226800</v>
      </c>
      <c r="AG94" s="126"/>
      <c r="AH94" s="126"/>
      <c r="AI94" s="126"/>
      <c r="AJ94" s="130"/>
      <c r="AK94" s="130"/>
      <c r="AL94" s="130"/>
      <c r="AM94" s="127">
        <f>AG94*'1. Standard_Cost'!$B$27+'Incremental_Cost Year 4'!AH94*'1. Standard_Cost'!$C$27+'Incremental_Cost Year 4'!AI94*'1. Standard_Cost'!$D$27+'Incremental_Cost Year 4'!AJ94+'Incremental_Cost Year 4'!AL94+AK94</f>
        <v>0</v>
      </c>
      <c r="AN94" s="127">
        <f>AM94*'1. Standard_Cost'!$C$31</f>
        <v>0</v>
      </c>
      <c r="AO94" s="130"/>
      <c r="AQ94" s="171">
        <f>L94+M94</f>
        <v>82506.899999999994</v>
      </c>
      <c r="AR94" s="171">
        <f>AF94</f>
        <v>226800</v>
      </c>
      <c r="AS94" s="171">
        <f>AM94+AN94</f>
        <v>0</v>
      </c>
      <c r="AT94" s="171">
        <f>SUM(AQ94,AR94,AS94)</f>
        <v>309306.90000000002</v>
      </c>
      <c r="AU94" s="250">
        <v>93307</v>
      </c>
      <c r="AV94" s="250"/>
      <c r="AW94" s="250"/>
      <c r="AX94" s="250"/>
      <c r="AY94" s="250"/>
      <c r="AZ94" s="250"/>
      <c r="BA94" s="250"/>
      <c r="BB94" s="251">
        <f t="shared" ref="BB94:BB98" si="64">SUM(AU94:BA94)-AT94</f>
        <v>-215999.90000000002</v>
      </c>
      <c r="BC94" s="169"/>
      <c r="BD94" s="169"/>
      <c r="BE94" s="169"/>
      <c r="BF94" s="169"/>
    </row>
    <row r="95" spans="1:58" ht="63" outlineLevel="2" x14ac:dyDescent="0.25">
      <c r="A95" s="115"/>
      <c r="B95" s="200"/>
      <c r="C95" s="201"/>
      <c r="D95" s="203"/>
      <c r="E95" s="323"/>
      <c r="F95" s="308"/>
      <c r="G95" s="309"/>
      <c r="H95" s="109" t="s">
        <v>428</v>
      </c>
      <c r="I95" s="130"/>
      <c r="J95" s="126"/>
      <c r="K95" s="126"/>
      <c r="L95" s="125" t="str">
        <f>IF(I95&lt;&gt;0,((VLOOKUP(I95,'1. Standard_Cost'!$B$4:$D$11,2)+VLOOKUP(I95,'1. Standard_Cost'!$B$4:$D$11,3))*J95*K95),"0")</f>
        <v>0</v>
      </c>
      <c r="M95" s="125">
        <f>L95*'1. Standard_Cost'!$F$4</f>
        <v>0</v>
      </c>
      <c r="N95" s="126"/>
      <c r="O95" s="126"/>
      <c r="P95" s="126"/>
      <c r="Q95" s="126"/>
      <c r="R95" s="127">
        <f>'1. Standard_Cost'!$B$15*N95*P95</f>
        <v>0</v>
      </c>
      <c r="S95" s="127">
        <f>N95*O95*P95*'1. Standard_Cost'!$C$15</f>
        <v>0</v>
      </c>
      <c r="T95" s="127">
        <f>N95*P95*Q95*'1. Standard_Cost'!$D$15</f>
        <v>0</v>
      </c>
      <c r="U95" s="127">
        <f>N95*O95*'1. Standard_Cost'!$E$15</f>
        <v>0</v>
      </c>
      <c r="V95" s="126"/>
      <c r="W95" s="126"/>
      <c r="X95" s="126"/>
      <c r="Y95" s="127">
        <f>+V95*((X95*'1. Standard_Cost'!$B$19)+(W95*X95*'1. Standard_Cost'!$C$19))</f>
        <v>0</v>
      </c>
      <c r="Z95" s="126"/>
      <c r="AA95" s="126"/>
      <c r="AB95" s="127">
        <f>+Z95*'1. Standard_Cost'!$B$23+AA95*'1. Standard_Cost'!$C$23</f>
        <v>0</v>
      </c>
      <c r="AC95" s="128"/>
      <c r="AD95" s="129"/>
      <c r="AE95" s="127">
        <f>SUM(AD95,AC95,AB95,Y95,U95,T95,S95,R95)*'1. Standard_Cost'!$B$31</f>
        <v>0</v>
      </c>
      <c r="AF95" s="127">
        <f>SUM(AE95,AD95,AC95,AB95,Y95,U95,T95,S95,R95)</f>
        <v>0</v>
      </c>
      <c r="AG95" s="126"/>
      <c r="AH95" s="126"/>
      <c r="AI95" s="126"/>
      <c r="AJ95" s="130"/>
      <c r="AK95" s="130"/>
      <c r="AL95" s="130"/>
      <c r="AM95" s="127">
        <f>AG95*'1. Standard_Cost'!$B$27+'Incremental_Cost Year 4'!AH95*'1. Standard_Cost'!$C$27+'Incremental_Cost Year 4'!AI95*'1. Standard_Cost'!$D$27+'Incremental_Cost Year 4'!AJ95+'Incremental_Cost Year 4'!AL95+AK95</f>
        <v>0</v>
      </c>
      <c r="AN95" s="127">
        <f>AM95*'1. Standard_Cost'!$C$31</f>
        <v>0</v>
      </c>
      <c r="AO95" s="130"/>
      <c r="AQ95" s="171">
        <f>L95+M95</f>
        <v>0</v>
      </c>
      <c r="AR95" s="171">
        <f>AF95</f>
        <v>0</v>
      </c>
      <c r="AS95" s="171">
        <f>AM95+AN95</f>
        <v>0</v>
      </c>
      <c r="AT95" s="171">
        <f>SUM(AQ95,AR95,AS95)</f>
        <v>0</v>
      </c>
      <c r="AU95" s="250"/>
      <c r="AV95" s="250"/>
      <c r="AW95" s="250"/>
      <c r="AX95" s="250"/>
      <c r="AY95" s="250"/>
      <c r="AZ95" s="250"/>
      <c r="BA95" s="250"/>
      <c r="BB95" s="251">
        <f t="shared" si="64"/>
        <v>0</v>
      </c>
      <c r="BC95" s="169"/>
      <c r="BD95" s="169"/>
      <c r="BE95" s="169"/>
      <c r="BF95" s="169"/>
    </row>
    <row r="96" spans="1:58" ht="78.75" outlineLevel="2" x14ac:dyDescent="0.25">
      <c r="A96" s="115"/>
      <c r="B96" s="200"/>
      <c r="C96" s="201"/>
      <c r="D96" s="203"/>
      <c r="E96" s="323"/>
      <c r="F96" s="326"/>
      <c r="G96" s="327"/>
      <c r="H96" s="109" t="s">
        <v>429</v>
      </c>
      <c r="I96" s="130"/>
      <c r="J96" s="126"/>
      <c r="K96" s="126"/>
      <c r="L96" s="125" t="str">
        <f>IF(I96&lt;&gt;0,((VLOOKUP(I96,'1. Standard_Cost'!$B$4:$D$11,2)+VLOOKUP(I96,'1. Standard_Cost'!$B$4:$D$11,3))*J96*K96),"0")</f>
        <v>0</v>
      </c>
      <c r="M96" s="125">
        <f>L96*'1. Standard_Cost'!$F$4</f>
        <v>0</v>
      </c>
      <c r="N96" s="126"/>
      <c r="O96" s="126"/>
      <c r="P96" s="126"/>
      <c r="Q96" s="126"/>
      <c r="R96" s="127">
        <f>'1. Standard_Cost'!$B$15*N96*P96</f>
        <v>0</v>
      </c>
      <c r="S96" s="127">
        <f>N96*O96*P96*'1. Standard_Cost'!$C$15</f>
        <v>0</v>
      </c>
      <c r="T96" s="127">
        <f>N96*P96*Q96*'1. Standard_Cost'!$D$15</f>
        <v>0</v>
      </c>
      <c r="U96" s="127">
        <f>N96*O96*'1. Standard_Cost'!$E$15</f>
        <v>0</v>
      </c>
      <c r="V96" s="126"/>
      <c r="W96" s="126"/>
      <c r="X96" s="126"/>
      <c r="Y96" s="127">
        <f>+V96*((X96*'1. Standard_Cost'!$B$19)+(W96*X96*'1. Standard_Cost'!$C$19))</f>
        <v>0</v>
      </c>
      <c r="Z96" s="126"/>
      <c r="AA96" s="126"/>
      <c r="AB96" s="127">
        <f>+Z96*'1. Standard_Cost'!$B$23+AA96*'1. Standard_Cost'!$C$23</f>
        <v>0</v>
      </c>
      <c r="AC96" s="128"/>
      <c r="AD96" s="129"/>
      <c r="AE96" s="127">
        <f>SUM(AD96,AC96,AB96,Y96,U96,T96,S96,R96)*'1. Standard_Cost'!$B$31</f>
        <v>0</v>
      </c>
      <c r="AF96" s="127">
        <f>SUM(AE96,AD96,AC96,AB96,Y96,U96,T96,S96,R96)</f>
        <v>0</v>
      </c>
      <c r="AG96" s="126"/>
      <c r="AH96" s="126"/>
      <c r="AI96" s="126"/>
      <c r="AJ96" s="130"/>
      <c r="AK96" s="130"/>
      <c r="AL96" s="130"/>
      <c r="AM96" s="127">
        <f>AG96*'1. Standard_Cost'!$B$27+'Incremental_Cost Year 4'!AH96*'1. Standard_Cost'!$C$27+'Incremental_Cost Year 4'!AI96*'1. Standard_Cost'!$D$27+'Incremental_Cost Year 4'!AJ96+'Incremental_Cost Year 4'!AL96+AK96</f>
        <v>0</v>
      </c>
      <c r="AN96" s="127">
        <f>AM96*'1. Standard_Cost'!$C$31</f>
        <v>0</v>
      </c>
      <c r="AO96" s="130"/>
      <c r="AQ96" s="171">
        <f>L96+M96</f>
        <v>0</v>
      </c>
      <c r="AR96" s="171">
        <f>AF96</f>
        <v>0</v>
      </c>
      <c r="AS96" s="171">
        <f>AM96+AN96</f>
        <v>0</v>
      </c>
      <c r="AT96" s="171">
        <f>SUM(AQ96,AR96,AS96)</f>
        <v>0</v>
      </c>
      <c r="AU96" s="250"/>
      <c r="AV96" s="250"/>
      <c r="AW96" s="250"/>
      <c r="AX96" s="250"/>
      <c r="AY96" s="250"/>
      <c r="AZ96" s="250"/>
      <c r="BA96" s="250"/>
      <c r="BB96" s="251">
        <f t="shared" si="64"/>
        <v>0</v>
      </c>
      <c r="BC96" s="169"/>
      <c r="BD96" s="169"/>
      <c r="BE96" s="169"/>
      <c r="BF96" s="169"/>
    </row>
    <row r="97" spans="1:58" ht="126" outlineLevel="2" x14ac:dyDescent="0.25">
      <c r="A97" s="115"/>
      <c r="B97" s="200"/>
      <c r="C97" s="201"/>
      <c r="D97" s="203"/>
      <c r="E97" s="323"/>
      <c r="F97" s="308"/>
      <c r="G97" s="309"/>
      <c r="H97" s="225" t="s">
        <v>430</v>
      </c>
      <c r="I97" s="130"/>
      <c r="J97" s="126"/>
      <c r="K97" s="126"/>
      <c r="L97" s="125" t="str">
        <f>IF(I97&lt;&gt;0,((VLOOKUP(I97,'1. Standard_Cost'!$B$4:$D$11,2)+VLOOKUP(I97,'1. Standard_Cost'!$B$4:$D$11,3))*J97*K97),"0")</f>
        <v>0</v>
      </c>
      <c r="M97" s="125">
        <f>L97*'1. Standard_Cost'!$F$4</f>
        <v>0</v>
      </c>
      <c r="N97" s="126"/>
      <c r="O97" s="126"/>
      <c r="P97" s="126"/>
      <c r="Q97" s="126"/>
      <c r="R97" s="127">
        <f>'1. Standard_Cost'!$B$15*N97*P97</f>
        <v>0</v>
      </c>
      <c r="S97" s="127">
        <f>N97*O97*P97*'1. Standard_Cost'!$C$15</f>
        <v>0</v>
      </c>
      <c r="T97" s="127">
        <f>N97*P97*Q97*'1. Standard_Cost'!$D$15</f>
        <v>0</v>
      </c>
      <c r="U97" s="127">
        <f>N97*O97*'1. Standard_Cost'!$E$15</f>
        <v>0</v>
      </c>
      <c r="V97" s="126"/>
      <c r="W97" s="126"/>
      <c r="X97" s="126"/>
      <c r="Y97" s="127">
        <f>+V97*((X97*'1. Standard_Cost'!$B$19)+(W97*X97*'1. Standard_Cost'!$C$19))</f>
        <v>0</v>
      </c>
      <c r="Z97" s="126"/>
      <c r="AA97" s="126"/>
      <c r="AB97" s="127">
        <f>+Z97*'1. Standard_Cost'!$B$23+AA97*'1. Standard_Cost'!$C$23</f>
        <v>0</v>
      </c>
      <c r="AC97" s="128"/>
      <c r="AD97" s="129"/>
      <c r="AE97" s="127">
        <f>SUM(AD97,AC97,AB97,Y97,U97,T97,S97,R97)*'1. Standard_Cost'!$B$31</f>
        <v>0</v>
      </c>
      <c r="AF97" s="127">
        <f>SUM(AE97,AD97,AC97,AB97,Y97,U97,T97,S97,R97)</f>
        <v>0</v>
      </c>
      <c r="AG97" s="126"/>
      <c r="AH97" s="126"/>
      <c r="AI97" s="126"/>
      <c r="AJ97" s="130"/>
      <c r="AK97" s="130"/>
      <c r="AL97" s="130"/>
      <c r="AM97" s="127">
        <f>AG97*'1. Standard_Cost'!$B$27+'Incremental_Cost Year 4'!AH97*'1. Standard_Cost'!$C$27+'Incremental_Cost Year 4'!AI97*'1. Standard_Cost'!$D$27+'Incremental_Cost Year 4'!AJ97+'Incremental_Cost Year 4'!AL97+AK97</f>
        <v>0</v>
      </c>
      <c r="AN97" s="127">
        <f>AM97*'1. Standard_Cost'!$C$31</f>
        <v>0</v>
      </c>
      <c r="AO97" s="130"/>
      <c r="AQ97" s="171">
        <f>L97+M97</f>
        <v>0</v>
      </c>
      <c r="AR97" s="171">
        <f>AF97</f>
        <v>0</v>
      </c>
      <c r="AS97" s="171">
        <f>AM97+AN97</f>
        <v>0</v>
      </c>
      <c r="AT97" s="171">
        <f>SUM(AQ97,AR97,AS97)</f>
        <v>0</v>
      </c>
      <c r="AU97" s="250"/>
      <c r="AV97" s="250"/>
      <c r="AW97" s="250"/>
      <c r="AX97" s="250"/>
      <c r="AY97" s="250"/>
      <c r="AZ97" s="250"/>
      <c r="BA97" s="250"/>
      <c r="BB97" s="251">
        <f t="shared" si="64"/>
        <v>0</v>
      </c>
      <c r="BC97" s="169"/>
      <c r="BD97" s="169"/>
      <c r="BE97" s="169"/>
      <c r="BF97" s="169"/>
    </row>
    <row r="98" spans="1:58" ht="78.75" outlineLevel="2" x14ac:dyDescent="0.25">
      <c r="A98" s="115"/>
      <c r="B98" s="200"/>
      <c r="C98" s="201"/>
      <c r="D98" s="133"/>
      <c r="E98" s="323"/>
      <c r="F98" s="308"/>
      <c r="G98" s="309"/>
      <c r="H98" s="109" t="s">
        <v>431</v>
      </c>
      <c r="I98" s="130" t="s">
        <v>5</v>
      </c>
      <c r="J98" s="126">
        <v>0.5</v>
      </c>
      <c r="K98" s="126">
        <v>1</v>
      </c>
      <c r="L98" s="125">
        <f>IF(I98&lt;&gt;0,((VLOOKUP(I98,'1. Standard_Cost'!$B$4:$D$11,2)+VLOOKUP(I98,'1. Standard_Cost'!$B$4:$D$11,3))*J98*K98),"0")</f>
        <v>35350</v>
      </c>
      <c r="M98" s="125">
        <f>L98*'1. Standard_Cost'!$F$4</f>
        <v>5903.4500000000007</v>
      </c>
      <c r="N98" s="126"/>
      <c r="O98" s="126"/>
      <c r="P98" s="126"/>
      <c r="Q98" s="126"/>
      <c r="R98" s="127">
        <f>'1. Standard_Cost'!$B$15*N98*P98</f>
        <v>0</v>
      </c>
      <c r="S98" s="127">
        <f>N98*O98*P98*'1. Standard_Cost'!$C$15</f>
        <v>0</v>
      </c>
      <c r="T98" s="127">
        <f>N98*P98*Q98*'1. Standard_Cost'!$D$15</f>
        <v>0</v>
      </c>
      <c r="U98" s="127">
        <f>N98*O98*'1. Standard_Cost'!$E$15</f>
        <v>0</v>
      </c>
      <c r="V98" s="126"/>
      <c r="W98" s="126"/>
      <c r="X98" s="126"/>
      <c r="Y98" s="127">
        <f>+V98*((X98*'1. Standard_Cost'!$B$19)+(W98*X98*'1. Standard_Cost'!$C$19))</f>
        <v>0</v>
      </c>
      <c r="Z98" s="126"/>
      <c r="AA98" s="145"/>
      <c r="AB98" s="127">
        <f>+Z98*'1. Standard_Cost'!$B$23+AA98*'1. Standard_Cost'!$C$23</f>
        <v>0</v>
      </c>
      <c r="AC98" s="128">
        <v>30000</v>
      </c>
      <c r="AD98" s="129"/>
      <c r="AE98" s="127">
        <f>SUM(AD98,AC98,AB98,Y98,U98,T98,S98,R98)*'1. Standard_Cost'!$B$31</f>
        <v>6000</v>
      </c>
      <c r="AF98" s="127">
        <f>SUM(AE98,AD98,AC98,AB98,Y98,U98,T98,S98,R98)</f>
        <v>36000</v>
      </c>
      <c r="AG98" s="126"/>
      <c r="AH98" s="126"/>
      <c r="AI98" s="126"/>
      <c r="AJ98" s="130"/>
      <c r="AK98" s="130"/>
      <c r="AL98" s="130"/>
      <c r="AM98" s="127">
        <f>AG98*'1. Standard_Cost'!$B$27+'Incremental_Cost Year 4'!AH98*'1. Standard_Cost'!$C$27+'Incremental_Cost Year 4'!AI98*'1. Standard_Cost'!$D$27+'Incremental_Cost Year 4'!AJ98+'Incremental_Cost Year 4'!AL98+AK98</f>
        <v>0</v>
      </c>
      <c r="AN98" s="127">
        <f>AM98*'1. Standard_Cost'!$C$31</f>
        <v>0</v>
      </c>
      <c r="AO98" s="262"/>
      <c r="AQ98" s="171">
        <f>L98+M98</f>
        <v>41253.449999999997</v>
      </c>
      <c r="AR98" s="171">
        <f>AF98</f>
        <v>36000</v>
      </c>
      <c r="AS98" s="171">
        <f>AM98+AN98</f>
        <v>0</v>
      </c>
      <c r="AT98" s="171">
        <f>SUM(AQ98,AR98,AS98)</f>
        <v>77253.45</v>
      </c>
      <c r="AU98" s="250">
        <v>77253</v>
      </c>
      <c r="AV98" s="250"/>
      <c r="AW98" s="250"/>
      <c r="AX98" s="250"/>
      <c r="AY98" s="250"/>
      <c r="AZ98" s="250"/>
      <c r="BA98" s="250"/>
      <c r="BB98" s="251">
        <f t="shared" si="64"/>
        <v>-0.44999999999708962</v>
      </c>
      <c r="BC98" s="169"/>
      <c r="BD98" s="169"/>
      <c r="BE98" s="169"/>
      <c r="BF98" s="169"/>
    </row>
    <row r="99" spans="1:58" ht="94.5" outlineLevel="1" x14ac:dyDescent="0.25">
      <c r="A99" s="115"/>
      <c r="B99" s="165"/>
      <c r="C99" s="166"/>
      <c r="D99" s="212" t="s">
        <v>432</v>
      </c>
      <c r="E99" s="212" t="s">
        <v>274</v>
      </c>
      <c r="F99" s="136">
        <v>2022</v>
      </c>
      <c r="G99" s="117">
        <v>2030</v>
      </c>
      <c r="H99" s="110" t="s">
        <v>164</v>
      </c>
      <c r="I99" s="252"/>
      <c r="J99" s="252"/>
      <c r="K99" s="252"/>
      <c r="L99" s="127">
        <f>SUM(L94:L98)</f>
        <v>106050</v>
      </c>
      <c r="M99" s="127">
        <f>SUM(M94:M98)</f>
        <v>17710.350000000002</v>
      </c>
      <c r="N99" s="252"/>
      <c r="O99" s="252"/>
      <c r="P99" s="252"/>
      <c r="Q99" s="252"/>
      <c r="R99" s="127">
        <f>SUM(R94:R98)</f>
        <v>0</v>
      </c>
      <c r="S99" s="127">
        <f>SUM(S94:S98)</f>
        <v>0</v>
      </c>
      <c r="T99" s="127">
        <f>SUM(T94:T98)</f>
        <v>0</v>
      </c>
      <c r="U99" s="127">
        <f>SUM(U94:U98)</f>
        <v>0</v>
      </c>
      <c r="V99" s="252"/>
      <c r="W99" s="252"/>
      <c r="X99" s="252"/>
      <c r="Y99" s="127">
        <f>SUM(Y94:Y98)</f>
        <v>0</v>
      </c>
      <c r="Z99" s="127"/>
      <c r="AA99" s="252"/>
      <c r="AB99" s="127">
        <f>SUM(AB94:AB98)</f>
        <v>0</v>
      </c>
      <c r="AC99" s="127">
        <f>SUM(AC94:AC98)</f>
        <v>219000</v>
      </c>
      <c r="AD99" s="127">
        <f>SUM(AD94:AD98)</f>
        <v>0</v>
      </c>
      <c r="AE99" s="127">
        <f>SUM(AE94:AE98)</f>
        <v>43800</v>
      </c>
      <c r="AF99" s="127">
        <f>SUM(AF94:AF98)</f>
        <v>262800</v>
      </c>
      <c r="AG99" s="252"/>
      <c r="AH99" s="252"/>
      <c r="AI99" s="252"/>
      <c r="AJ99" s="127">
        <f t="shared" ref="AJ99:AL99" si="65">SUM(AJ94:AJ98)</f>
        <v>0</v>
      </c>
      <c r="AK99" s="127">
        <f t="shared" si="65"/>
        <v>0</v>
      </c>
      <c r="AL99" s="127">
        <f t="shared" si="65"/>
        <v>0</v>
      </c>
      <c r="AM99" s="127">
        <f t="shared" ref="AM99:AN99" si="66">SUM(AM94:AM98)</f>
        <v>0</v>
      </c>
      <c r="AN99" s="127">
        <f t="shared" si="66"/>
        <v>0</v>
      </c>
      <c r="AO99" s="253"/>
      <c r="AP99" s="254"/>
      <c r="AQ99" s="175">
        <f>SUM(AQ94:AQ98)</f>
        <v>123760.34999999999</v>
      </c>
      <c r="AR99" s="175">
        <f t="shared" ref="AR99:BA99" si="67">SUM(AR94:AR98)</f>
        <v>262800</v>
      </c>
      <c r="AS99" s="175">
        <f t="shared" si="67"/>
        <v>0</v>
      </c>
      <c r="AT99" s="175">
        <f t="shared" si="67"/>
        <v>386560.35000000003</v>
      </c>
      <c r="AU99" s="175">
        <f t="shared" si="67"/>
        <v>170560</v>
      </c>
      <c r="AV99" s="175">
        <f t="shared" si="67"/>
        <v>0</v>
      </c>
      <c r="AW99" s="175">
        <f t="shared" si="67"/>
        <v>0</v>
      </c>
      <c r="AX99" s="175">
        <f t="shared" si="67"/>
        <v>0</v>
      </c>
      <c r="AY99" s="175">
        <f t="shared" si="67"/>
        <v>0</v>
      </c>
      <c r="AZ99" s="175">
        <f t="shared" si="67"/>
        <v>0</v>
      </c>
      <c r="BA99" s="175">
        <f t="shared" si="67"/>
        <v>0</v>
      </c>
      <c r="BB99" s="251">
        <f t="shared" ref="BB99" si="68">SUM(AU99:BA99)-AT99</f>
        <v>-216000.35000000003</v>
      </c>
      <c r="BC99" s="169"/>
      <c r="BD99" s="169"/>
      <c r="BE99" s="169"/>
      <c r="BF99" s="169"/>
    </row>
    <row r="100" spans="1:58" s="184" customFormat="1" ht="15.75" customHeight="1" x14ac:dyDescent="0.25">
      <c r="A100" s="143"/>
      <c r="B100" s="290"/>
      <c r="C100" s="391" t="s">
        <v>176</v>
      </c>
      <c r="D100" s="391"/>
      <c r="E100" s="392"/>
      <c r="F100" s="291"/>
      <c r="G100" s="291"/>
      <c r="H100" s="144" t="s">
        <v>178</v>
      </c>
      <c r="I100" s="257"/>
      <c r="J100" s="257"/>
      <c r="K100" s="257"/>
      <c r="L100" s="258">
        <f>SUM(L105)</f>
        <v>3427200</v>
      </c>
      <c r="M100" s="258">
        <f>SUM(M105)</f>
        <v>572342.4</v>
      </c>
      <c r="N100" s="257"/>
      <c r="O100" s="257"/>
      <c r="P100" s="257"/>
      <c r="Q100" s="257"/>
      <c r="R100" s="258">
        <f>SUM(R105)</f>
        <v>0</v>
      </c>
      <c r="S100" s="258">
        <f>SUM(S105)</f>
        <v>0</v>
      </c>
      <c r="T100" s="258">
        <f>SUM(T105)</f>
        <v>0</v>
      </c>
      <c r="U100" s="258">
        <f>SUM(U105)</f>
        <v>0</v>
      </c>
      <c r="V100" s="257"/>
      <c r="W100" s="257"/>
      <c r="X100" s="257"/>
      <c r="Y100" s="258">
        <f>SUM(Y105)</f>
        <v>0</v>
      </c>
      <c r="Z100" s="257"/>
      <c r="AA100" s="257"/>
      <c r="AB100" s="258">
        <f>SUM(AB105)</f>
        <v>0</v>
      </c>
      <c r="AC100" s="258">
        <f>SUM(AC105)</f>
        <v>479445</v>
      </c>
      <c r="AD100" s="258">
        <f>SUM(AD105)</f>
        <v>0</v>
      </c>
      <c r="AE100" s="258">
        <f>SUM(AE105)</f>
        <v>95889</v>
      </c>
      <c r="AF100" s="258">
        <f>SUM(AF105)</f>
        <v>575334</v>
      </c>
      <c r="AG100" s="257"/>
      <c r="AH100" s="257"/>
      <c r="AI100" s="257"/>
      <c r="AJ100" s="258">
        <f>SUM(AJ105)</f>
        <v>0</v>
      </c>
      <c r="AK100" s="258">
        <f>SUM(AK105)</f>
        <v>0</v>
      </c>
      <c r="AL100" s="258">
        <f>SUM(AL105)</f>
        <v>0</v>
      </c>
      <c r="AM100" s="258">
        <f>SUM(AM105)</f>
        <v>0</v>
      </c>
      <c r="AN100" s="258">
        <f>SUM(AN105)</f>
        <v>0</v>
      </c>
      <c r="AO100" s="259"/>
      <c r="AP100" s="260"/>
      <c r="AQ100" s="261">
        <f>SUM(AQ105)</f>
        <v>3999542.4</v>
      </c>
      <c r="AR100" s="261">
        <f>SUM(AR105)</f>
        <v>575334</v>
      </c>
      <c r="AS100" s="261">
        <f>SUM(AS105)</f>
        <v>0</v>
      </c>
      <c r="AT100" s="261">
        <f>SUM(AT105)</f>
        <v>4574876.4000000004</v>
      </c>
      <c r="AU100" s="261">
        <f t="shared" ref="AU100:BA100" si="69">SUM(AU105)</f>
        <v>4574875</v>
      </c>
      <c r="AV100" s="261">
        <f t="shared" si="69"/>
        <v>0</v>
      </c>
      <c r="AW100" s="261">
        <f t="shared" si="69"/>
        <v>0</v>
      </c>
      <c r="AX100" s="261">
        <f t="shared" si="69"/>
        <v>0</v>
      </c>
      <c r="AY100" s="261">
        <f t="shared" si="69"/>
        <v>0</v>
      </c>
      <c r="AZ100" s="261">
        <f t="shared" si="69"/>
        <v>0</v>
      </c>
      <c r="BA100" s="261">
        <f t="shared" si="69"/>
        <v>0</v>
      </c>
      <c r="BB100" s="261">
        <f>SUM(BB105)</f>
        <v>-1.3999999997322448</v>
      </c>
    </row>
    <row r="101" spans="1:58" ht="47.25" outlineLevel="2" x14ac:dyDescent="0.25">
      <c r="A101" s="115"/>
      <c r="B101" s="303"/>
      <c r="C101" s="329"/>
      <c r="D101" s="342"/>
      <c r="E101" s="328"/>
      <c r="F101" s="328"/>
      <c r="G101" s="328"/>
      <c r="H101" s="199" t="s">
        <v>433</v>
      </c>
      <c r="I101" s="130" t="s">
        <v>3</v>
      </c>
      <c r="J101" s="126">
        <v>2</v>
      </c>
      <c r="K101" s="126">
        <v>7</v>
      </c>
      <c r="L101" s="125">
        <f>IF(I101&lt;&gt;0,((VLOOKUP(I101,'1. Standard_Cost'!$B$4:$D$11,2)+VLOOKUP(I101,'1. Standard_Cost'!$B$4:$D$11,3))*J101*K101),"0")</f>
        <v>1411200</v>
      </c>
      <c r="M101" s="125">
        <f>L101*'1. Standard_Cost'!$F$4</f>
        <v>235670.40000000002</v>
      </c>
      <c r="N101" s="126"/>
      <c r="O101" s="126"/>
      <c r="P101" s="126"/>
      <c r="Q101" s="126"/>
      <c r="R101" s="127">
        <f>'1. Standard_Cost'!$B$15*N101*P101</f>
        <v>0</v>
      </c>
      <c r="S101" s="127">
        <f>N101*O101*P101*'1. Standard_Cost'!$C$15</f>
        <v>0</v>
      </c>
      <c r="T101" s="127">
        <f>N101*P101*Q101*'1. Standard_Cost'!$D$15</f>
        <v>0</v>
      </c>
      <c r="U101" s="127">
        <f>N101*O101*'1. Standard_Cost'!$E$15</f>
        <v>0</v>
      </c>
      <c r="V101" s="126"/>
      <c r="W101" s="126"/>
      <c r="X101" s="126"/>
      <c r="Y101" s="127">
        <f>+V101*((X101*'1. Standard_Cost'!$B$19)+(W101*X101*'1. Standard_Cost'!$C$19))</f>
        <v>0</v>
      </c>
      <c r="Z101" s="126"/>
      <c r="AA101" s="126"/>
      <c r="AB101" s="127">
        <f>+Z101*'1. Standard_Cost'!$B$23+AA101*'1. Standard_Cost'!$C$23</f>
        <v>0</v>
      </c>
      <c r="AC101" s="128">
        <v>211145</v>
      </c>
      <c r="AD101" s="129"/>
      <c r="AE101" s="127">
        <f>SUM(AD101,AC101,AB101,Y101,U101,T101,S101,R101)*'1. Standard_Cost'!$B$31</f>
        <v>42229</v>
      </c>
      <c r="AF101" s="127">
        <f>SUM(AE101,AD101,AC101,AB101,Y101,U101,T101,S101,R101)</f>
        <v>253374</v>
      </c>
      <c r="AG101" s="126"/>
      <c r="AH101" s="126"/>
      <c r="AI101" s="126"/>
      <c r="AJ101" s="130"/>
      <c r="AK101" s="130"/>
      <c r="AL101" s="130"/>
      <c r="AM101" s="127">
        <f>AG101*'1. Standard_Cost'!$B$27+'Incremental_Cost Year 4'!AH101*'1. Standard_Cost'!$C$27+'Incremental_Cost Year 4'!AI101*'1. Standard_Cost'!$D$27+'Incremental_Cost Year 4'!AJ101+'Incremental_Cost Year 4'!AL101+AK101</f>
        <v>0</v>
      </c>
      <c r="AN101" s="127">
        <f>AM101*'1. Standard_Cost'!$C$31</f>
        <v>0</v>
      </c>
      <c r="AO101" s="130"/>
      <c r="AQ101" s="171">
        <f>L101+M101</f>
        <v>1646870.4</v>
      </c>
      <c r="AR101" s="171">
        <f>AF101</f>
        <v>253374</v>
      </c>
      <c r="AS101" s="171">
        <f>AM101+AN101</f>
        <v>0</v>
      </c>
      <c r="AT101" s="171">
        <f>SUM(AQ101,AR101,AS101)</f>
        <v>1900244.4</v>
      </c>
      <c r="AU101" s="250">
        <v>1900244</v>
      </c>
      <c r="AV101" s="250"/>
      <c r="AW101" s="250"/>
      <c r="AX101" s="250"/>
      <c r="AY101" s="250"/>
      <c r="AZ101" s="250"/>
      <c r="BA101" s="250"/>
      <c r="BB101" s="251">
        <f t="shared" ref="BB101:BB104" si="70">SUM(AU101:BA101)-AT101</f>
        <v>-0.39999999990686774</v>
      </c>
      <c r="BC101" s="169"/>
      <c r="BD101" s="169"/>
      <c r="BE101" s="169"/>
      <c r="BF101" s="169"/>
    </row>
    <row r="102" spans="1:58" ht="47.25" outlineLevel="2" x14ac:dyDescent="0.25">
      <c r="A102" s="115"/>
      <c r="B102" s="200"/>
      <c r="C102" s="330"/>
      <c r="D102" s="343"/>
      <c r="E102" s="328"/>
      <c r="F102" s="328"/>
      <c r="G102" s="328"/>
      <c r="H102" s="199" t="s">
        <v>434</v>
      </c>
      <c r="I102" s="130" t="s">
        <v>3</v>
      </c>
      <c r="J102" s="126">
        <v>1</v>
      </c>
      <c r="K102" s="126">
        <v>2</v>
      </c>
      <c r="L102" s="125">
        <f>IF(I102&lt;&gt;0,((VLOOKUP(I102,'1. Standard_Cost'!$B$4:$D$11,2)+VLOOKUP(I102,'1. Standard_Cost'!$B$4:$D$11,3))*J102*K102),"0")</f>
        <v>201600</v>
      </c>
      <c r="M102" s="125">
        <f>L102*'1. Standard_Cost'!$F$4</f>
        <v>33667.200000000004</v>
      </c>
      <c r="N102" s="126"/>
      <c r="O102" s="126"/>
      <c r="P102" s="126"/>
      <c r="Q102" s="126"/>
      <c r="R102" s="127">
        <f>'1. Standard_Cost'!$B$15*N102*P102</f>
        <v>0</v>
      </c>
      <c r="S102" s="127">
        <f>N102*O102*P102*'1. Standard_Cost'!$C$15</f>
        <v>0</v>
      </c>
      <c r="T102" s="127">
        <f>N102*P102*Q102*'1. Standard_Cost'!$D$15</f>
        <v>0</v>
      </c>
      <c r="U102" s="127">
        <f>N102*O102*'1. Standard_Cost'!$E$15</f>
        <v>0</v>
      </c>
      <c r="V102" s="126"/>
      <c r="W102" s="126"/>
      <c r="X102" s="126"/>
      <c r="Y102" s="127">
        <f>+V102*((X102*'1. Standard_Cost'!$B$19)+(W102*X102*'1. Standard_Cost'!$C$19))</f>
        <v>0</v>
      </c>
      <c r="Z102" s="126"/>
      <c r="AA102" s="126"/>
      <c r="AB102" s="127">
        <f>+Z102*'1. Standard_Cost'!$B$23+AA102*'1. Standard_Cost'!$C$23</f>
        <v>0</v>
      </c>
      <c r="AC102" s="128">
        <v>28300</v>
      </c>
      <c r="AD102" s="129"/>
      <c r="AE102" s="127">
        <f>SUM(AD102,AC102,AB102,Y102,U102,T102,S102,R102)*'1. Standard_Cost'!$B$31</f>
        <v>5660</v>
      </c>
      <c r="AF102" s="127">
        <f>SUM(AE102,AD102,AC102,AB102,Y102,U102,T102,S102,R102)</f>
        <v>33960</v>
      </c>
      <c r="AG102" s="126"/>
      <c r="AH102" s="126"/>
      <c r="AI102" s="126"/>
      <c r="AJ102" s="130"/>
      <c r="AK102" s="130"/>
      <c r="AL102" s="130"/>
      <c r="AM102" s="127">
        <f>AG102*'1. Standard_Cost'!$B$27+'Incremental_Cost Year 4'!AH102*'1. Standard_Cost'!$C$27+'Incremental_Cost Year 4'!AI102*'1. Standard_Cost'!$D$27+'Incremental_Cost Year 4'!AJ102+'Incremental_Cost Year 4'!AL102+AK102</f>
        <v>0</v>
      </c>
      <c r="AN102" s="127">
        <f>AM102*'1. Standard_Cost'!$C$31</f>
        <v>0</v>
      </c>
      <c r="AO102" s="130"/>
      <c r="AQ102" s="171">
        <f>L102+M102</f>
        <v>235267.20000000001</v>
      </c>
      <c r="AR102" s="171">
        <f>AF102</f>
        <v>33960</v>
      </c>
      <c r="AS102" s="171">
        <f>AM102+AN102</f>
        <v>0</v>
      </c>
      <c r="AT102" s="171">
        <f>SUM(AQ102,AR102,AS102)</f>
        <v>269227.2</v>
      </c>
      <c r="AU102" s="250">
        <v>269227</v>
      </c>
      <c r="AV102" s="250"/>
      <c r="AW102" s="250"/>
      <c r="AX102" s="250"/>
      <c r="AY102" s="250"/>
      <c r="AZ102" s="250"/>
      <c r="BA102" s="250"/>
      <c r="BB102" s="251">
        <f t="shared" si="70"/>
        <v>-0.20000000001164153</v>
      </c>
      <c r="BC102" s="169"/>
      <c r="BD102" s="169"/>
      <c r="BE102" s="169"/>
      <c r="BF102" s="169"/>
    </row>
    <row r="103" spans="1:58" ht="31.5" outlineLevel="2" x14ac:dyDescent="0.25">
      <c r="A103" s="115"/>
      <c r="B103" s="200"/>
      <c r="C103" s="330"/>
      <c r="D103" s="343"/>
      <c r="E103" s="328"/>
      <c r="F103" s="328"/>
      <c r="G103" s="328"/>
      <c r="H103" s="103" t="s">
        <v>435</v>
      </c>
      <c r="I103" s="130" t="s">
        <v>3</v>
      </c>
      <c r="J103" s="126">
        <v>3</v>
      </c>
      <c r="K103" s="126">
        <v>3</v>
      </c>
      <c r="L103" s="125">
        <f>IF(I103&lt;&gt;0,((VLOOKUP(I103,'1. Standard_Cost'!$B$4:$D$11,2)+VLOOKUP(I103,'1. Standard_Cost'!$B$4:$D$11,3))*J103*K103),"0")</f>
        <v>907200</v>
      </c>
      <c r="M103" s="125">
        <f>L103*'1. Standard_Cost'!$F$4</f>
        <v>151502.39999999999</v>
      </c>
      <c r="N103" s="126"/>
      <c r="O103" s="126"/>
      <c r="P103" s="126"/>
      <c r="Q103" s="126"/>
      <c r="R103" s="127">
        <f>'1. Standard_Cost'!$B$15*N103*P103</f>
        <v>0</v>
      </c>
      <c r="S103" s="127">
        <f>N103*O103*P103*'1. Standard_Cost'!$C$15</f>
        <v>0</v>
      </c>
      <c r="T103" s="127">
        <f>N103*P103*Q103*'1. Standard_Cost'!$D$15</f>
        <v>0</v>
      </c>
      <c r="U103" s="127">
        <f>N103*O103*'1. Standard_Cost'!$E$15</f>
        <v>0</v>
      </c>
      <c r="V103" s="126"/>
      <c r="W103" s="126"/>
      <c r="X103" s="126"/>
      <c r="Y103" s="127">
        <f>+V103*((X103*'1. Standard_Cost'!$B$19)+(W103*X103*'1. Standard_Cost'!$C$19))</f>
        <v>0</v>
      </c>
      <c r="Z103" s="126"/>
      <c r="AA103" s="126"/>
      <c r="AB103" s="127">
        <f>+Z103*'1. Standard_Cost'!$B$23+AA103*'1. Standard_Cost'!$C$23</f>
        <v>0</v>
      </c>
      <c r="AC103" s="128">
        <v>120000</v>
      </c>
      <c r="AD103" s="129"/>
      <c r="AE103" s="127">
        <f>SUM(AD103,AC103,AB103,Y103,U103,T103,S103,R103)*'1. Standard_Cost'!$B$31</f>
        <v>24000</v>
      </c>
      <c r="AF103" s="127">
        <f>SUM(AE103,AD103,AC103,AB103,Y103,U103,T103,S103,R103)</f>
        <v>144000</v>
      </c>
      <c r="AG103" s="126"/>
      <c r="AH103" s="126"/>
      <c r="AI103" s="126"/>
      <c r="AJ103" s="130"/>
      <c r="AK103" s="130"/>
      <c r="AL103" s="130"/>
      <c r="AM103" s="127">
        <f>AG103*'1. Standard_Cost'!$B$27+'Incremental_Cost Year 4'!AH103*'1. Standard_Cost'!$C$27+'Incremental_Cost Year 4'!AI103*'1. Standard_Cost'!$D$27+'Incremental_Cost Year 4'!AJ103+'Incremental_Cost Year 4'!AL103+AK103</f>
        <v>0</v>
      </c>
      <c r="AN103" s="127">
        <f>AM103*'1. Standard_Cost'!$C$31</f>
        <v>0</v>
      </c>
      <c r="AO103" s="130"/>
      <c r="AQ103" s="171">
        <f>L103+M103</f>
        <v>1058702.3999999999</v>
      </c>
      <c r="AR103" s="171">
        <f>AF103</f>
        <v>144000</v>
      </c>
      <c r="AS103" s="171">
        <f>AM103+AN103</f>
        <v>0</v>
      </c>
      <c r="AT103" s="171">
        <f>SUM(AQ103,AR103,AS103)</f>
        <v>1202702.3999999999</v>
      </c>
      <c r="AU103" s="250">
        <v>1202702</v>
      </c>
      <c r="AV103" s="250"/>
      <c r="AW103" s="250"/>
      <c r="AX103" s="250"/>
      <c r="AY103" s="250"/>
      <c r="AZ103" s="250"/>
      <c r="BA103" s="250"/>
      <c r="BB103" s="251">
        <f t="shared" si="70"/>
        <v>-0.39999999990686774</v>
      </c>
      <c r="BC103" s="169"/>
      <c r="BD103" s="169"/>
      <c r="BE103" s="169"/>
      <c r="BF103" s="169"/>
    </row>
    <row r="104" spans="1:58" ht="63" outlineLevel="2" x14ac:dyDescent="0.25">
      <c r="A104" s="115"/>
      <c r="B104" s="310"/>
      <c r="C104" s="331"/>
      <c r="D104" s="344"/>
      <c r="E104" s="328"/>
      <c r="F104" s="328"/>
      <c r="G104" s="328"/>
      <c r="H104" s="103" t="s">
        <v>436</v>
      </c>
      <c r="I104" s="130" t="s">
        <v>3</v>
      </c>
      <c r="J104" s="126">
        <v>3</v>
      </c>
      <c r="K104" s="126">
        <v>3</v>
      </c>
      <c r="L104" s="125">
        <f>IF(I104&lt;&gt;0,((VLOOKUP(I104,'1. Standard_Cost'!$B$4:$D$11,2)+VLOOKUP(I104,'1. Standard_Cost'!$B$4:$D$11,3))*J104*K104),"0")</f>
        <v>907200</v>
      </c>
      <c r="M104" s="125">
        <f>L104*'1. Standard_Cost'!$F$4</f>
        <v>151502.39999999999</v>
      </c>
      <c r="N104" s="126"/>
      <c r="O104" s="126"/>
      <c r="P104" s="126"/>
      <c r="Q104" s="126"/>
      <c r="R104" s="127">
        <f>'1. Standard_Cost'!$B$15*N104*P104</f>
        <v>0</v>
      </c>
      <c r="S104" s="127">
        <f>N104*O104*P104*'1. Standard_Cost'!$C$15</f>
        <v>0</v>
      </c>
      <c r="T104" s="127">
        <f>N104*P104*Q104*'1. Standard_Cost'!$D$15</f>
        <v>0</v>
      </c>
      <c r="U104" s="127">
        <f>N104*O104*'1. Standard_Cost'!$E$15</f>
        <v>0</v>
      </c>
      <c r="V104" s="126"/>
      <c r="W104" s="126"/>
      <c r="X104" s="126"/>
      <c r="Y104" s="127">
        <f>+V104*((X104*'1. Standard_Cost'!$B$19)+(W104*X104*'1. Standard_Cost'!$C$19))</f>
        <v>0</v>
      </c>
      <c r="Z104" s="126"/>
      <c r="AA104" s="145"/>
      <c r="AB104" s="127">
        <f>+Z104*'1. Standard_Cost'!$B$23+AA104*'1. Standard_Cost'!$C$23</f>
        <v>0</v>
      </c>
      <c r="AC104" s="128">
        <v>120000</v>
      </c>
      <c r="AD104" s="129"/>
      <c r="AE104" s="127">
        <f>SUM(AD104,AC104,AB104,Y104,U104,T104,S104,R104)*'1. Standard_Cost'!$B$31</f>
        <v>24000</v>
      </c>
      <c r="AF104" s="127">
        <f>SUM(AE104,AD104,AC104,AB104,Y104,U104,T104,S104,R104)</f>
        <v>144000</v>
      </c>
      <c r="AG104" s="126"/>
      <c r="AH104" s="126"/>
      <c r="AI104" s="126"/>
      <c r="AJ104" s="130"/>
      <c r="AK104" s="130"/>
      <c r="AL104" s="130"/>
      <c r="AM104" s="127">
        <f>AG104*'1. Standard_Cost'!$B$27+'Incremental_Cost Year 4'!AH104*'1. Standard_Cost'!$C$27+'Incremental_Cost Year 4'!AI104*'1. Standard_Cost'!$D$27+'Incremental_Cost Year 4'!AJ104+'Incremental_Cost Year 4'!AL104+AK104</f>
        <v>0</v>
      </c>
      <c r="AN104" s="127">
        <f>AM104*'1. Standard_Cost'!$C$31</f>
        <v>0</v>
      </c>
      <c r="AO104" s="262"/>
      <c r="AQ104" s="171">
        <f>L104+M104</f>
        <v>1058702.3999999999</v>
      </c>
      <c r="AR104" s="171">
        <f>AF104</f>
        <v>144000</v>
      </c>
      <c r="AS104" s="171">
        <f>AM104+AN104</f>
        <v>0</v>
      </c>
      <c r="AT104" s="171">
        <f>SUM(AQ104,AR104,AS104)</f>
        <v>1202702.3999999999</v>
      </c>
      <c r="AU104" s="250">
        <v>1202702</v>
      </c>
      <c r="AV104" s="250"/>
      <c r="AW104" s="250"/>
      <c r="AX104" s="250"/>
      <c r="AY104" s="250"/>
      <c r="AZ104" s="250"/>
      <c r="BA104" s="250"/>
      <c r="BB104" s="251">
        <f t="shared" si="70"/>
        <v>-0.39999999990686774</v>
      </c>
      <c r="BC104" s="169"/>
      <c r="BD104" s="169"/>
      <c r="BE104" s="169"/>
      <c r="BF104" s="169"/>
    </row>
    <row r="105" spans="1:58" ht="47.25" outlineLevel="1" x14ac:dyDescent="0.25">
      <c r="A105" s="115"/>
      <c r="B105" s="165"/>
      <c r="C105" s="166"/>
      <c r="D105" s="229" t="s">
        <v>432</v>
      </c>
      <c r="E105" s="212" t="s">
        <v>275</v>
      </c>
      <c r="F105" s="136">
        <v>2023</v>
      </c>
      <c r="G105" s="117">
        <v>2030</v>
      </c>
      <c r="H105" s="110" t="s">
        <v>177</v>
      </c>
      <c r="I105" s="252"/>
      <c r="J105" s="252"/>
      <c r="K105" s="252"/>
      <c r="L105" s="127">
        <f>SUM(L101:L104)</f>
        <v>3427200</v>
      </c>
      <c r="M105" s="127">
        <f>SUM(M101:M104)</f>
        <v>572342.4</v>
      </c>
      <c r="N105" s="127"/>
      <c r="O105" s="252"/>
      <c r="P105" s="252"/>
      <c r="Q105" s="252"/>
      <c r="R105" s="127">
        <f>SUM(R101:R104)</f>
        <v>0</v>
      </c>
      <c r="S105" s="127">
        <f>SUM(S101:S104)</f>
        <v>0</v>
      </c>
      <c r="T105" s="127">
        <f>SUM(T101:T104)</f>
        <v>0</v>
      </c>
      <c r="U105" s="127">
        <f>SUM(U101:U104)</f>
        <v>0</v>
      </c>
      <c r="V105" s="252"/>
      <c r="W105" s="252"/>
      <c r="X105" s="252"/>
      <c r="Y105" s="127">
        <f>SUM(Y101:Y104)</f>
        <v>0</v>
      </c>
      <c r="Z105" s="252"/>
      <c r="AA105" s="252"/>
      <c r="AB105" s="127">
        <f>SUM(AB101:AB104)</f>
        <v>0</v>
      </c>
      <c r="AC105" s="127">
        <f>SUM(AC101:AC104)</f>
        <v>479445</v>
      </c>
      <c r="AD105" s="127">
        <f>SUM(AD101:AD104)</f>
        <v>0</v>
      </c>
      <c r="AE105" s="127">
        <f>SUM(AE101:AE104)</f>
        <v>95889</v>
      </c>
      <c r="AF105" s="127">
        <f>SUM(AF101:AF104)</f>
        <v>575334</v>
      </c>
      <c r="AG105" s="252"/>
      <c r="AH105" s="252"/>
      <c r="AI105" s="252"/>
      <c r="AJ105" s="127">
        <f>SUM(AJ101:AJ104)</f>
        <v>0</v>
      </c>
      <c r="AK105" s="127">
        <f>SUM(AK101:AK104)</f>
        <v>0</v>
      </c>
      <c r="AL105" s="127">
        <f>SUM(AL101:AL104)</f>
        <v>0</v>
      </c>
      <c r="AM105" s="127">
        <f>SUM(AM101:AM104)</f>
        <v>0</v>
      </c>
      <c r="AN105" s="127">
        <f>SUM(AN101:AN104)</f>
        <v>0</v>
      </c>
      <c r="AO105" s="253"/>
      <c r="AP105" s="254"/>
      <c r="AQ105" s="175">
        <f>SUM(AQ101:AQ104)</f>
        <v>3999542.4</v>
      </c>
      <c r="AR105" s="175">
        <f t="shared" ref="AR105:BB105" si="71">SUM(AR101:AR104)</f>
        <v>575334</v>
      </c>
      <c r="AS105" s="175">
        <f t="shared" si="71"/>
        <v>0</v>
      </c>
      <c r="AT105" s="175">
        <f t="shared" si="71"/>
        <v>4574876.4000000004</v>
      </c>
      <c r="AU105" s="175">
        <f>SUM(AU101:AU104)</f>
        <v>4574875</v>
      </c>
      <c r="AV105" s="175">
        <f t="shared" si="71"/>
        <v>0</v>
      </c>
      <c r="AW105" s="175">
        <f t="shared" si="71"/>
        <v>0</v>
      </c>
      <c r="AX105" s="175">
        <f t="shared" si="71"/>
        <v>0</v>
      </c>
      <c r="AY105" s="175">
        <f t="shared" si="71"/>
        <v>0</v>
      </c>
      <c r="AZ105" s="175">
        <f t="shared" si="71"/>
        <v>0</v>
      </c>
      <c r="BA105" s="175">
        <f t="shared" si="71"/>
        <v>0</v>
      </c>
      <c r="BB105" s="175">
        <f t="shared" si="71"/>
        <v>-1.3999999997322448</v>
      </c>
      <c r="BC105" s="169"/>
      <c r="BD105" s="169"/>
      <c r="BE105" s="169"/>
      <c r="BF105" s="169"/>
    </row>
    <row r="106" spans="1:58" s="184" customFormat="1" ht="15.75" customHeight="1" x14ac:dyDescent="0.25">
      <c r="A106" s="143"/>
      <c r="B106" s="290"/>
      <c r="C106" s="391" t="s">
        <v>276</v>
      </c>
      <c r="D106" s="391"/>
      <c r="E106" s="392"/>
      <c r="F106" s="291"/>
      <c r="G106" s="291"/>
      <c r="H106" s="144" t="s">
        <v>258</v>
      </c>
      <c r="I106" s="257"/>
      <c r="J106" s="257"/>
      <c r="K106" s="257"/>
      <c r="L106" s="258">
        <f>SUM(L110)</f>
        <v>0</v>
      </c>
      <c r="M106" s="258">
        <f>SUM(M110)</f>
        <v>0</v>
      </c>
      <c r="N106" s="257"/>
      <c r="O106" s="257"/>
      <c r="P106" s="257"/>
      <c r="Q106" s="257"/>
      <c r="R106" s="258">
        <f>SUM(R110)</f>
        <v>0</v>
      </c>
      <c r="S106" s="258">
        <f>SUM(S110)</f>
        <v>0</v>
      </c>
      <c r="T106" s="258">
        <f>SUM(T110)</f>
        <v>0</v>
      </c>
      <c r="U106" s="258">
        <f>SUM(U110)</f>
        <v>0</v>
      </c>
      <c r="V106" s="257"/>
      <c r="W106" s="257"/>
      <c r="X106" s="257"/>
      <c r="Y106" s="258">
        <f>SUM(Y110)</f>
        <v>0</v>
      </c>
      <c r="Z106" s="258"/>
      <c r="AA106" s="258"/>
      <c r="AB106" s="258">
        <f>SUM(AB110)</f>
        <v>0</v>
      </c>
      <c r="AC106" s="258">
        <f>SUM(AC110)</f>
        <v>0</v>
      </c>
      <c r="AD106" s="258">
        <f>SUM(AD110)</f>
        <v>0</v>
      </c>
      <c r="AE106" s="258">
        <f>SUM(AE110)</f>
        <v>0</v>
      </c>
      <c r="AF106" s="258">
        <f>SUM(AF110)</f>
        <v>0</v>
      </c>
      <c r="AG106" s="257"/>
      <c r="AH106" s="257"/>
      <c r="AI106" s="257"/>
      <c r="AJ106" s="258">
        <f>SUM(AJ110)</f>
        <v>0</v>
      </c>
      <c r="AK106" s="258">
        <f>SUM(AK110)</f>
        <v>0</v>
      </c>
      <c r="AL106" s="258">
        <f>SUM(AL110)</f>
        <v>0</v>
      </c>
      <c r="AM106" s="258">
        <f>SUM(AM110)</f>
        <v>0</v>
      </c>
      <c r="AN106" s="258">
        <f>SUM(AN110)</f>
        <v>0</v>
      </c>
      <c r="AO106" s="259"/>
      <c r="AP106" s="260"/>
      <c r="AQ106" s="261">
        <f>SUM(AQ110)</f>
        <v>0</v>
      </c>
      <c r="AR106" s="261">
        <f>SUM(AR110)</f>
        <v>0</v>
      </c>
      <c r="AS106" s="261">
        <f>SUM(AS110)</f>
        <v>0</v>
      </c>
      <c r="AT106" s="261">
        <f>SUM(AT110)</f>
        <v>0</v>
      </c>
      <c r="AU106" s="261">
        <f t="shared" ref="AU106:BA106" si="72">SUM(AU110)</f>
        <v>0</v>
      </c>
      <c r="AV106" s="261">
        <f t="shared" si="72"/>
        <v>0</v>
      </c>
      <c r="AW106" s="261">
        <f t="shared" si="72"/>
        <v>0</v>
      </c>
      <c r="AX106" s="261">
        <f t="shared" si="72"/>
        <v>0</v>
      </c>
      <c r="AY106" s="261">
        <f t="shared" si="72"/>
        <v>0</v>
      </c>
      <c r="AZ106" s="261">
        <f t="shared" si="72"/>
        <v>0</v>
      </c>
      <c r="BA106" s="261">
        <f t="shared" si="72"/>
        <v>0</v>
      </c>
      <c r="BB106" s="261">
        <f>SUM(BB110)</f>
        <v>0</v>
      </c>
    </row>
    <row r="107" spans="1:58" ht="63" outlineLevel="2" x14ac:dyDescent="0.25">
      <c r="A107" s="115"/>
      <c r="B107" s="200"/>
      <c r="C107" s="201"/>
      <c r="D107" s="202"/>
      <c r="E107" s="226"/>
      <c r="F107" s="306"/>
      <c r="G107" s="307"/>
      <c r="H107" s="199" t="s">
        <v>437</v>
      </c>
      <c r="I107" s="130"/>
      <c r="J107" s="126"/>
      <c r="K107" s="126"/>
      <c r="L107" s="125" t="str">
        <f>IF(I107&lt;&gt;0,((VLOOKUP(I107,'1. Standard_Cost'!$B$4:$D$11,2)+VLOOKUP(I107,'1. Standard_Cost'!$B$4:$D$11,3))*J107*K107),"0")</f>
        <v>0</v>
      </c>
      <c r="M107" s="125">
        <f>L107*'1. Standard_Cost'!$F$4</f>
        <v>0</v>
      </c>
      <c r="N107" s="126"/>
      <c r="O107" s="126"/>
      <c r="P107" s="126"/>
      <c r="Q107" s="126"/>
      <c r="R107" s="127">
        <f>'1. Standard_Cost'!$B$15*N107*P107</f>
        <v>0</v>
      </c>
      <c r="S107" s="127">
        <f>N107*O107*P107*'1. Standard_Cost'!$C$15</f>
        <v>0</v>
      </c>
      <c r="T107" s="127">
        <f>N107*P107*Q107*'1. Standard_Cost'!$D$15</f>
        <v>0</v>
      </c>
      <c r="U107" s="127">
        <f>N107*O107*'1. Standard_Cost'!$E$15</f>
        <v>0</v>
      </c>
      <c r="V107" s="126"/>
      <c r="W107" s="126"/>
      <c r="X107" s="126"/>
      <c r="Y107" s="127">
        <f>+V107*((X107*'1. Standard_Cost'!$B$19)+(W107*X107*'1. Standard_Cost'!$C$19))</f>
        <v>0</v>
      </c>
      <c r="Z107" s="126"/>
      <c r="AA107" s="126"/>
      <c r="AB107" s="127">
        <f>+Z107*'1. Standard_Cost'!$B$23+AA107*'1. Standard_Cost'!$C$23</f>
        <v>0</v>
      </c>
      <c r="AC107" s="128"/>
      <c r="AD107" s="129"/>
      <c r="AE107" s="127">
        <f>SUM(AD107,AC107,AB107,Y107,U107,T107,S107,R107)*'1. Standard_Cost'!$B$31</f>
        <v>0</v>
      </c>
      <c r="AF107" s="127">
        <f>SUM(AE107,AD107,AC107,AB107,Y107,U107,T107,S107,R107)</f>
        <v>0</v>
      </c>
      <c r="AG107" s="126"/>
      <c r="AH107" s="126"/>
      <c r="AI107" s="126"/>
      <c r="AJ107" s="130"/>
      <c r="AK107" s="130"/>
      <c r="AL107" s="130"/>
      <c r="AM107" s="127">
        <f>AG107*'1. Standard_Cost'!$B$27+'Incremental_Cost Year 4'!AH107*'1. Standard_Cost'!$C$27+'Incremental_Cost Year 4'!AI107*'1. Standard_Cost'!$D$27+'Incremental_Cost Year 4'!AJ107+'Incremental_Cost Year 4'!AL107+AK107</f>
        <v>0</v>
      </c>
      <c r="AN107" s="127">
        <f>AM107*'1. Standard_Cost'!$C$31</f>
        <v>0</v>
      </c>
      <c r="AO107" s="130"/>
      <c r="AQ107" s="171">
        <f>L107+M107</f>
        <v>0</v>
      </c>
      <c r="AR107" s="171">
        <f>AF107</f>
        <v>0</v>
      </c>
      <c r="AS107" s="171">
        <f>AM107+AN107</f>
        <v>0</v>
      </c>
      <c r="AT107" s="171">
        <f>SUM(AQ107,AR107,AS107)</f>
        <v>0</v>
      </c>
      <c r="AU107" s="250"/>
      <c r="AV107" s="250"/>
      <c r="AW107" s="250"/>
      <c r="AX107" s="250"/>
      <c r="AY107" s="250"/>
      <c r="AZ107" s="250"/>
      <c r="BA107" s="250"/>
      <c r="BB107" s="251">
        <f t="shared" ref="BB107:BB109" si="73">SUM(AU107:BA107)-AT107</f>
        <v>0</v>
      </c>
      <c r="BC107" s="169"/>
      <c r="BD107" s="169"/>
      <c r="BE107" s="169"/>
      <c r="BF107" s="169"/>
    </row>
    <row r="108" spans="1:58" ht="78.75" outlineLevel="2" x14ac:dyDescent="0.25">
      <c r="A108" s="115"/>
      <c r="B108" s="200"/>
      <c r="C108" s="201"/>
      <c r="D108" s="202"/>
      <c r="E108" s="202"/>
      <c r="F108" s="308"/>
      <c r="G108" s="309"/>
      <c r="H108" s="199" t="s">
        <v>438</v>
      </c>
      <c r="I108" s="130"/>
      <c r="J108" s="126"/>
      <c r="K108" s="126"/>
      <c r="L108" s="125" t="str">
        <f>IF(I108&lt;&gt;0,((VLOOKUP(I108,'1. Standard_Cost'!$B$4:$D$11,2)+VLOOKUP(I108,'1. Standard_Cost'!$B$4:$D$11,3))*J108*K108),"0")</f>
        <v>0</v>
      </c>
      <c r="M108" s="125">
        <f>L108*'1. Standard_Cost'!$F$4</f>
        <v>0</v>
      </c>
      <c r="N108" s="126"/>
      <c r="O108" s="126"/>
      <c r="P108" s="126"/>
      <c r="Q108" s="126"/>
      <c r="R108" s="127">
        <f>'1. Standard_Cost'!$B$15*N108*P108</f>
        <v>0</v>
      </c>
      <c r="S108" s="127">
        <f>N108*O108*P108*'1. Standard_Cost'!$C$15</f>
        <v>0</v>
      </c>
      <c r="T108" s="127">
        <f>N108*P108*Q108*'1. Standard_Cost'!$D$15</f>
        <v>0</v>
      </c>
      <c r="U108" s="127">
        <f>N108*O108*'1. Standard_Cost'!$E$15</f>
        <v>0</v>
      </c>
      <c r="V108" s="126"/>
      <c r="W108" s="126"/>
      <c r="X108" s="126"/>
      <c r="Y108" s="127">
        <f>+V108*((X108*'1. Standard_Cost'!$B$19)+(W108*X108*'1. Standard_Cost'!$C$19))</f>
        <v>0</v>
      </c>
      <c r="Z108" s="126"/>
      <c r="AA108" s="126"/>
      <c r="AB108" s="127">
        <f>+Z108*'1. Standard_Cost'!$B$23+AA108*'1. Standard_Cost'!$C$23</f>
        <v>0</v>
      </c>
      <c r="AC108" s="128"/>
      <c r="AD108" s="129"/>
      <c r="AE108" s="127">
        <f>SUM(AD108,AC108,AB108,Y108,U108,T108,S108,R108)*'1. Standard_Cost'!$B$31</f>
        <v>0</v>
      </c>
      <c r="AF108" s="127">
        <f>SUM(AE108,AD108,AC108,AB108,Y108,U108,T108,S108,R108)</f>
        <v>0</v>
      </c>
      <c r="AG108" s="126"/>
      <c r="AH108" s="126"/>
      <c r="AI108" s="126"/>
      <c r="AJ108" s="130"/>
      <c r="AK108" s="130"/>
      <c r="AL108" s="130"/>
      <c r="AM108" s="127">
        <f>AG108*'1. Standard_Cost'!$B$27+'Incremental_Cost Year 4'!AH108*'1. Standard_Cost'!$C$27+'Incremental_Cost Year 4'!AI108*'1. Standard_Cost'!$D$27+'Incremental_Cost Year 4'!AJ108+'Incremental_Cost Year 4'!AL108+AK108</f>
        <v>0</v>
      </c>
      <c r="AN108" s="127">
        <f>AM108*'1. Standard_Cost'!$C$31</f>
        <v>0</v>
      </c>
      <c r="AO108" s="130"/>
      <c r="AQ108" s="171">
        <f>L108+M108</f>
        <v>0</v>
      </c>
      <c r="AR108" s="171">
        <f>AF108</f>
        <v>0</v>
      </c>
      <c r="AS108" s="171">
        <f>AM108+AN108</f>
        <v>0</v>
      </c>
      <c r="AT108" s="171">
        <f>SUM(AQ108,AR108,AS108)</f>
        <v>0</v>
      </c>
      <c r="AU108" s="250"/>
      <c r="AV108" s="250"/>
      <c r="AW108" s="250"/>
      <c r="AX108" s="250"/>
      <c r="AY108" s="250"/>
      <c r="AZ108" s="250"/>
      <c r="BA108" s="250"/>
      <c r="BB108" s="251">
        <f t="shared" si="73"/>
        <v>0</v>
      </c>
      <c r="BC108" s="169"/>
      <c r="BD108" s="169"/>
      <c r="BE108" s="169"/>
      <c r="BF108" s="169"/>
    </row>
    <row r="109" spans="1:58" ht="78.75" outlineLevel="2" x14ac:dyDescent="0.25">
      <c r="A109" s="115"/>
      <c r="B109" s="200"/>
      <c r="C109" s="201"/>
      <c r="D109" s="202"/>
      <c r="E109" s="310"/>
      <c r="F109" s="311"/>
      <c r="G109" s="312"/>
      <c r="H109" s="199" t="s">
        <v>439</v>
      </c>
      <c r="I109" s="130"/>
      <c r="J109" s="126"/>
      <c r="K109" s="126"/>
      <c r="L109" s="125" t="str">
        <f>IF(I109&lt;&gt;0,((VLOOKUP(I109,'1. Standard_Cost'!$B$4:$D$11,2)+VLOOKUP(I109,'1. Standard_Cost'!$B$4:$D$11,3))*J109*K109),"0")</f>
        <v>0</v>
      </c>
      <c r="M109" s="125">
        <f>L109*'1. Standard_Cost'!$F$4</f>
        <v>0</v>
      </c>
      <c r="N109" s="126"/>
      <c r="O109" s="126"/>
      <c r="P109" s="126"/>
      <c r="Q109" s="126"/>
      <c r="R109" s="127">
        <f>'1. Standard_Cost'!$B$15*N109*P109</f>
        <v>0</v>
      </c>
      <c r="S109" s="127">
        <f>N109*O109*P109*'1. Standard_Cost'!$C$15</f>
        <v>0</v>
      </c>
      <c r="T109" s="127">
        <f>N109*P109*Q109*'1. Standard_Cost'!$D$15</f>
        <v>0</v>
      </c>
      <c r="U109" s="127">
        <f>N109*O109*'1. Standard_Cost'!$E$15</f>
        <v>0</v>
      </c>
      <c r="V109" s="126"/>
      <c r="W109" s="126"/>
      <c r="X109" s="126"/>
      <c r="Y109" s="127">
        <f>+V109*((X109*'1. Standard_Cost'!$B$19)+(W109*X109*'1. Standard_Cost'!$C$19))</f>
        <v>0</v>
      </c>
      <c r="Z109" s="126"/>
      <c r="AA109" s="126"/>
      <c r="AB109" s="127">
        <f>+Z109*'1. Standard_Cost'!$B$23+AA109*'1. Standard_Cost'!$C$23</f>
        <v>0</v>
      </c>
      <c r="AC109" s="128"/>
      <c r="AD109" s="129"/>
      <c r="AE109" s="127">
        <f>SUM(AD109,AC109,AB109,Y109,U109,T109,S109,R109)*'1. Standard_Cost'!$B$31</f>
        <v>0</v>
      </c>
      <c r="AF109" s="127">
        <f>SUM(AE109,AD109,AC109,AB109,Y109,U109,T109,S109,R109)</f>
        <v>0</v>
      </c>
      <c r="AG109" s="126"/>
      <c r="AH109" s="126"/>
      <c r="AI109" s="126"/>
      <c r="AJ109" s="130"/>
      <c r="AK109" s="130"/>
      <c r="AL109" s="130"/>
      <c r="AM109" s="127">
        <f>AG109*'1. Standard_Cost'!$B$27+'Incremental_Cost Year 4'!AH109*'1. Standard_Cost'!$C$27+'Incremental_Cost Year 4'!AI109*'1. Standard_Cost'!$D$27+'Incremental_Cost Year 4'!AJ109+'Incremental_Cost Year 4'!AL109+AK109</f>
        <v>0</v>
      </c>
      <c r="AN109" s="127">
        <f>AM109*'1. Standard_Cost'!$C$31</f>
        <v>0</v>
      </c>
      <c r="AO109" s="130"/>
      <c r="AQ109" s="171">
        <f>L109+M109</f>
        <v>0</v>
      </c>
      <c r="AR109" s="171">
        <f>AF109</f>
        <v>0</v>
      </c>
      <c r="AS109" s="171">
        <f>AM109+AN109</f>
        <v>0</v>
      </c>
      <c r="AT109" s="171">
        <f>SUM(AQ109,AR109,AS109)</f>
        <v>0</v>
      </c>
      <c r="AU109" s="250"/>
      <c r="AV109" s="250"/>
      <c r="AW109" s="250"/>
      <c r="AX109" s="250"/>
      <c r="AY109" s="250"/>
      <c r="AZ109" s="250"/>
      <c r="BA109" s="250"/>
      <c r="BB109" s="251">
        <f t="shared" si="73"/>
        <v>0</v>
      </c>
      <c r="BC109" s="169"/>
      <c r="BD109" s="169"/>
      <c r="BE109" s="169"/>
      <c r="BF109" s="169"/>
    </row>
    <row r="110" spans="1:58" ht="47.25" outlineLevel="1" x14ac:dyDescent="0.25">
      <c r="A110" s="115"/>
      <c r="B110" s="200"/>
      <c r="C110" s="201"/>
      <c r="D110" s="227" t="s">
        <v>432</v>
      </c>
      <c r="E110" s="226" t="s">
        <v>275</v>
      </c>
      <c r="F110" s="136">
        <v>2025</v>
      </c>
      <c r="G110" s="117">
        <v>2030</v>
      </c>
      <c r="H110" s="110" t="s">
        <v>277</v>
      </c>
      <c r="I110" s="252"/>
      <c r="J110" s="252"/>
      <c r="K110" s="252"/>
      <c r="L110" s="127">
        <f>SUM(L107:L109)</f>
        <v>0</v>
      </c>
      <c r="M110" s="127">
        <f>SUM(M107:M109)</f>
        <v>0</v>
      </c>
      <c r="N110" s="127"/>
      <c r="O110" s="252"/>
      <c r="P110" s="252"/>
      <c r="Q110" s="252"/>
      <c r="R110" s="127">
        <f>SUM(R107:R109)</f>
        <v>0</v>
      </c>
      <c r="S110" s="127">
        <f>SUM(S107:S109)</f>
        <v>0</v>
      </c>
      <c r="T110" s="127">
        <f>SUM(T107:T109)</f>
        <v>0</v>
      </c>
      <c r="U110" s="127">
        <f>SUM(U107:U109)</f>
        <v>0</v>
      </c>
      <c r="V110" s="252"/>
      <c r="W110" s="252"/>
      <c r="X110" s="252"/>
      <c r="Y110" s="127">
        <f>SUM(Y107:Y109)</f>
        <v>0</v>
      </c>
      <c r="Z110" s="252"/>
      <c r="AA110" s="252"/>
      <c r="AB110" s="127">
        <f>SUM(AB107:AB109)</f>
        <v>0</v>
      </c>
      <c r="AC110" s="127">
        <f>SUM(AC107:AC109)</f>
        <v>0</v>
      </c>
      <c r="AD110" s="127">
        <f>SUM(AD107:AD109)</f>
        <v>0</v>
      </c>
      <c r="AE110" s="127">
        <f>SUM(AE107:AE109)</f>
        <v>0</v>
      </c>
      <c r="AF110" s="127">
        <f>SUM(AF107:AF109)</f>
        <v>0</v>
      </c>
      <c r="AG110" s="252"/>
      <c r="AH110" s="252"/>
      <c r="AI110" s="252"/>
      <c r="AJ110" s="127">
        <f>SUM(AJ107:AJ109)</f>
        <v>0</v>
      </c>
      <c r="AK110" s="127">
        <f>SUM(AK107:AK109)</f>
        <v>0</v>
      </c>
      <c r="AL110" s="127">
        <f>SUM(AL107:AL109)</f>
        <v>0</v>
      </c>
      <c r="AM110" s="127">
        <f>SUM(AM107:AM109)</f>
        <v>0</v>
      </c>
      <c r="AN110" s="127">
        <f>SUM(AN107:AN109)</f>
        <v>0</v>
      </c>
      <c r="AO110" s="253"/>
      <c r="AP110" s="254"/>
      <c r="AQ110" s="175">
        <f>SUM(AQ107:AQ109)</f>
        <v>0</v>
      </c>
      <c r="AR110" s="175">
        <f>SUM(AR107:AR109)</f>
        <v>0</v>
      </c>
      <c r="AS110" s="175">
        <f>SUM(AS107:AS109)</f>
        <v>0</v>
      </c>
      <c r="AT110" s="175">
        <f>SUM(AT107:AT109)</f>
        <v>0</v>
      </c>
      <c r="AU110" s="175">
        <f t="shared" ref="AU110:BB110" si="74">SUM(AU107:AU109)</f>
        <v>0</v>
      </c>
      <c r="AV110" s="175">
        <f t="shared" si="74"/>
        <v>0</v>
      </c>
      <c r="AW110" s="175">
        <f t="shared" si="74"/>
        <v>0</v>
      </c>
      <c r="AX110" s="175">
        <f t="shared" si="74"/>
        <v>0</v>
      </c>
      <c r="AY110" s="175">
        <f t="shared" si="74"/>
        <v>0</v>
      </c>
      <c r="AZ110" s="175">
        <f t="shared" si="74"/>
        <v>0</v>
      </c>
      <c r="BA110" s="175">
        <f t="shared" si="74"/>
        <v>0</v>
      </c>
      <c r="BB110" s="175">
        <f t="shared" si="74"/>
        <v>0</v>
      </c>
      <c r="BC110" s="169"/>
      <c r="BD110" s="169"/>
      <c r="BE110" s="169"/>
      <c r="BF110" s="169"/>
    </row>
    <row r="111" spans="1:58" s="184" customFormat="1" ht="15.75" customHeight="1" x14ac:dyDescent="0.25">
      <c r="A111" s="143"/>
      <c r="B111" s="290"/>
      <c r="C111" s="391" t="s">
        <v>278</v>
      </c>
      <c r="D111" s="391"/>
      <c r="E111" s="392"/>
      <c r="F111" s="291"/>
      <c r="G111" s="291"/>
      <c r="H111" s="144" t="s">
        <v>262</v>
      </c>
      <c r="I111" s="257"/>
      <c r="J111" s="257"/>
      <c r="K111" s="257"/>
      <c r="L111" s="258">
        <f>SUM(L117)</f>
        <v>2562100</v>
      </c>
      <c r="M111" s="258">
        <f>SUM(M117)</f>
        <v>427870.7</v>
      </c>
      <c r="N111" s="257"/>
      <c r="O111" s="257"/>
      <c r="P111" s="257"/>
      <c r="Q111" s="257"/>
      <c r="R111" s="258">
        <f>SUM(R117)</f>
        <v>0</v>
      </c>
      <c r="S111" s="258">
        <f>SUM(S117)</f>
        <v>0</v>
      </c>
      <c r="T111" s="258">
        <f>SUM(T117)</f>
        <v>0</v>
      </c>
      <c r="U111" s="258">
        <f>SUM(U117)</f>
        <v>0</v>
      </c>
      <c r="V111" s="257"/>
      <c r="W111" s="257"/>
      <c r="X111" s="257"/>
      <c r="Y111" s="258">
        <f>SUM(Y117)</f>
        <v>0</v>
      </c>
      <c r="Z111" s="258"/>
      <c r="AA111" s="258"/>
      <c r="AB111" s="258">
        <f>SUM(AB117)</f>
        <v>475000</v>
      </c>
      <c r="AC111" s="258">
        <f>SUM(AC117)</f>
        <v>358920</v>
      </c>
      <c r="AD111" s="258">
        <f>SUM(AD117)</f>
        <v>0</v>
      </c>
      <c r="AE111" s="258">
        <f>SUM(AE117)</f>
        <v>166784</v>
      </c>
      <c r="AF111" s="258">
        <f>SUM(AF117)</f>
        <v>1000704</v>
      </c>
      <c r="AG111" s="257"/>
      <c r="AH111" s="257"/>
      <c r="AI111" s="257"/>
      <c r="AJ111" s="258">
        <f>SUM(AJ117)</f>
        <v>0</v>
      </c>
      <c r="AK111" s="258">
        <f>SUM(AK117)</f>
        <v>0</v>
      </c>
      <c r="AL111" s="258">
        <f>SUM(AL117)</f>
        <v>0</v>
      </c>
      <c r="AM111" s="258">
        <f>SUM(AM117)</f>
        <v>0</v>
      </c>
      <c r="AN111" s="258">
        <f>SUM(AN117)</f>
        <v>0</v>
      </c>
      <c r="AO111" s="259"/>
      <c r="AP111" s="260"/>
      <c r="AQ111" s="261">
        <f>SUM(AQ117)</f>
        <v>2989970.7</v>
      </c>
      <c r="AR111" s="261">
        <f>SUM(AR117)</f>
        <v>1000704</v>
      </c>
      <c r="AS111" s="261">
        <f>SUM(AS117)</f>
        <v>0</v>
      </c>
      <c r="AT111" s="261">
        <f>SUM(AT117)</f>
        <v>3990674.7</v>
      </c>
      <c r="AU111" s="261">
        <f t="shared" ref="AU111:BA111" si="75">SUM(AU117)</f>
        <v>3420675</v>
      </c>
      <c r="AV111" s="261">
        <f t="shared" si="75"/>
        <v>0</v>
      </c>
      <c r="AW111" s="261">
        <f t="shared" si="75"/>
        <v>0</v>
      </c>
      <c r="AX111" s="261">
        <f t="shared" si="75"/>
        <v>0</v>
      </c>
      <c r="AY111" s="261">
        <f t="shared" si="75"/>
        <v>0</v>
      </c>
      <c r="AZ111" s="261">
        <f t="shared" si="75"/>
        <v>0</v>
      </c>
      <c r="BA111" s="261">
        <f t="shared" si="75"/>
        <v>0</v>
      </c>
      <c r="BB111" s="261">
        <f>SUM(BB117)</f>
        <v>-569999.69999999995</v>
      </c>
    </row>
    <row r="112" spans="1:58" ht="78.75" outlineLevel="2" x14ac:dyDescent="0.25">
      <c r="A112" s="115"/>
      <c r="B112" s="200"/>
      <c r="C112" s="201"/>
      <c r="D112" s="210"/>
      <c r="E112" s="321"/>
      <c r="F112" s="306"/>
      <c r="G112" s="307"/>
      <c r="H112" s="199" t="s">
        <v>440</v>
      </c>
      <c r="I112" s="130" t="s">
        <v>2</v>
      </c>
      <c r="J112" s="126">
        <v>1</v>
      </c>
      <c r="K112" s="126">
        <v>6</v>
      </c>
      <c r="L112" s="125">
        <f>IF(I112&lt;&gt;0,((VLOOKUP(I112,'1. Standard_Cost'!$B$4:$D$11,2)+VLOOKUP(I112,'1. Standard_Cost'!$B$4:$D$11,3))*J112*K112),"0")</f>
        <v>726000</v>
      </c>
      <c r="M112" s="125">
        <f>L112*'1. Standard_Cost'!$F$4</f>
        <v>121242</v>
      </c>
      <c r="N112" s="126"/>
      <c r="O112" s="126"/>
      <c r="P112" s="126"/>
      <c r="Q112" s="126"/>
      <c r="R112" s="127">
        <f>'1. Standard_Cost'!$B$15*N112*P112</f>
        <v>0</v>
      </c>
      <c r="S112" s="127">
        <f>N112*O112*P112*'1. Standard_Cost'!$C$15</f>
        <v>0</v>
      </c>
      <c r="T112" s="127">
        <f>N112*P112*Q112*'1. Standard_Cost'!$D$15</f>
        <v>0</v>
      </c>
      <c r="U112" s="127">
        <f>N112*O112*'1. Standard_Cost'!$E$15</f>
        <v>0</v>
      </c>
      <c r="V112" s="126"/>
      <c r="W112" s="126"/>
      <c r="X112" s="126"/>
      <c r="Y112" s="127">
        <f>+V112*((X112*'1. Standard_Cost'!$B$19)+(W112*X112*'1. Standard_Cost'!$C$19))</f>
        <v>0</v>
      </c>
      <c r="Z112" s="126"/>
      <c r="AA112" s="126"/>
      <c r="AB112" s="127">
        <f>+Z112*'1. Standard_Cost'!$B$23+AA112*'1. Standard_Cost'!$C$23</f>
        <v>0</v>
      </c>
      <c r="AC112" s="128">
        <v>101700</v>
      </c>
      <c r="AD112" s="129"/>
      <c r="AE112" s="127">
        <f>SUM(AD112,AC112,AB112,Y112,U112,T112,S112,R112)*'1. Standard_Cost'!$B$31</f>
        <v>20340</v>
      </c>
      <c r="AF112" s="127">
        <f>SUM(AE112,AD112,AC112,AB112,Y112,U112,T112,S112,R112)</f>
        <v>122040</v>
      </c>
      <c r="AG112" s="126"/>
      <c r="AH112" s="126"/>
      <c r="AI112" s="126"/>
      <c r="AJ112" s="130"/>
      <c r="AK112" s="130"/>
      <c r="AL112" s="130"/>
      <c r="AM112" s="127">
        <f>AG112*'1. Standard_Cost'!$B$27+'Incremental_Cost Year 4'!AH112*'1. Standard_Cost'!$C$27+'Incremental_Cost Year 4'!AI112*'1. Standard_Cost'!$D$27+'Incremental_Cost Year 4'!AJ112+'Incremental_Cost Year 4'!AL112+AK112</f>
        <v>0</v>
      </c>
      <c r="AN112" s="127">
        <f>AM112*'1. Standard_Cost'!$C$31</f>
        <v>0</v>
      </c>
      <c r="AO112" s="130"/>
      <c r="AQ112" s="171">
        <f>L112+M112</f>
        <v>847242</v>
      </c>
      <c r="AR112" s="171">
        <f>AF112</f>
        <v>122040</v>
      </c>
      <c r="AS112" s="171">
        <f>AM112+AN112</f>
        <v>0</v>
      </c>
      <c r="AT112" s="171">
        <f>SUM(AQ112,AR112,AS112)</f>
        <v>969282</v>
      </c>
      <c r="AU112" s="250">
        <v>969282</v>
      </c>
      <c r="AV112" s="250"/>
      <c r="AW112" s="250"/>
      <c r="AX112" s="250"/>
      <c r="AY112" s="250"/>
      <c r="AZ112" s="250"/>
      <c r="BA112" s="250"/>
      <c r="BB112" s="251">
        <f t="shared" ref="BB112:BB116" si="76">SUM(AU112:BA112)-AT112</f>
        <v>0</v>
      </c>
      <c r="BC112" s="169"/>
      <c r="BD112" s="169"/>
      <c r="BE112" s="169"/>
      <c r="BF112" s="169"/>
    </row>
    <row r="113" spans="1:58" ht="63" outlineLevel="2" x14ac:dyDescent="0.25">
      <c r="A113" s="115"/>
      <c r="B113" s="200"/>
      <c r="C113" s="201"/>
      <c r="D113" s="208"/>
      <c r="E113" s="323"/>
      <c r="F113" s="308"/>
      <c r="G113" s="309"/>
      <c r="H113" s="199" t="s">
        <v>441</v>
      </c>
      <c r="I113" s="130" t="s">
        <v>3</v>
      </c>
      <c r="J113" s="126">
        <v>1</v>
      </c>
      <c r="K113" s="126">
        <v>7</v>
      </c>
      <c r="L113" s="125">
        <f>IF(I113&lt;&gt;0,((VLOOKUP(I113,'1. Standard_Cost'!$B$4:$D$11,2)+VLOOKUP(I113,'1. Standard_Cost'!$B$4:$D$11,3))*J113*K113),"0")</f>
        <v>705600</v>
      </c>
      <c r="M113" s="125">
        <f>L113*'1. Standard_Cost'!$F$4</f>
        <v>117835.20000000001</v>
      </c>
      <c r="N113" s="126"/>
      <c r="O113" s="126"/>
      <c r="P113" s="126"/>
      <c r="Q113" s="126"/>
      <c r="R113" s="127">
        <f>'1. Standard_Cost'!$B$15*N113*P113</f>
        <v>0</v>
      </c>
      <c r="S113" s="127">
        <f>N113*O113*P113*'1. Standard_Cost'!$C$15</f>
        <v>0</v>
      </c>
      <c r="T113" s="127">
        <f>N113*P113*Q113*'1. Standard_Cost'!$D$15</f>
        <v>0</v>
      </c>
      <c r="U113" s="127">
        <f>N113*O113*'1. Standard_Cost'!$E$15</f>
        <v>0</v>
      </c>
      <c r="V113" s="126"/>
      <c r="W113" s="126"/>
      <c r="X113" s="126"/>
      <c r="Y113" s="127">
        <f>+V113*((X113*'1. Standard_Cost'!$B$19)+(W113*X113*'1. Standard_Cost'!$C$19))</f>
        <v>0</v>
      </c>
      <c r="Z113" s="126"/>
      <c r="AA113" s="126"/>
      <c r="AB113" s="127">
        <f>+Z113*'1. Standard_Cost'!$B$23+AA113*'1. Standard_Cost'!$C$23</f>
        <v>0</v>
      </c>
      <c r="AC113" s="128">
        <v>98900</v>
      </c>
      <c r="AD113" s="129"/>
      <c r="AE113" s="127">
        <f>SUM(AD113,AC113,AB113,Y113,U113,T113,S113,R113)*'1. Standard_Cost'!$B$31</f>
        <v>19780</v>
      </c>
      <c r="AF113" s="127">
        <f>SUM(AE113,AD113,AC113,AB113,Y113,U113,T113,S113,R113)</f>
        <v>118680</v>
      </c>
      <c r="AG113" s="126"/>
      <c r="AH113" s="126"/>
      <c r="AI113" s="126"/>
      <c r="AJ113" s="130"/>
      <c r="AK113" s="130"/>
      <c r="AL113" s="130"/>
      <c r="AM113" s="127">
        <f>AG113*'1. Standard_Cost'!$B$27+'Incremental_Cost Year 4'!AH113*'1. Standard_Cost'!$C$27+'Incremental_Cost Year 4'!AI113*'1. Standard_Cost'!$D$27+'Incremental_Cost Year 4'!AJ113+'Incremental_Cost Year 4'!AL113+AK113</f>
        <v>0</v>
      </c>
      <c r="AN113" s="127">
        <f>AM113*'1. Standard_Cost'!$C$31</f>
        <v>0</v>
      </c>
      <c r="AO113" s="130"/>
      <c r="AQ113" s="171">
        <f>L113+M113</f>
        <v>823435.2</v>
      </c>
      <c r="AR113" s="171">
        <f>AF113</f>
        <v>118680</v>
      </c>
      <c r="AS113" s="171">
        <f>AM113+AN113</f>
        <v>0</v>
      </c>
      <c r="AT113" s="171">
        <f>SUM(AQ113,AR113,AS113)</f>
        <v>942115.2</v>
      </c>
      <c r="AU113" s="250">
        <v>942115</v>
      </c>
      <c r="AV113" s="250"/>
      <c r="AW113" s="250"/>
      <c r="AX113" s="250"/>
      <c r="AY113" s="250"/>
      <c r="AZ113" s="250"/>
      <c r="BA113" s="250"/>
      <c r="BB113" s="251">
        <f t="shared" si="76"/>
        <v>-0.19999999995343387</v>
      </c>
      <c r="BC113" s="169"/>
      <c r="BD113" s="169"/>
      <c r="BE113" s="169"/>
      <c r="BF113" s="169"/>
    </row>
    <row r="114" spans="1:58" ht="78.75" outlineLevel="2" x14ac:dyDescent="0.25">
      <c r="A114" s="115"/>
      <c r="B114" s="200"/>
      <c r="C114" s="201"/>
      <c r="D114" s="203"/>
      <c r="E114" s="323"/>
      <c r="F114" s="308"/>
      <c r="G114" s="309"/>
      <c r="H114" s="199" t="s">
        <v>547</v>
      </c>
      <c r="I114" s="130" t="s">
        <v>4</v>
      </c>
      <c r="J114" s="126">
        <v>2</v>
      </c>
      <c r="K114" s="126">
        <v>7</v>
      </c>
      <c r="L114" s="125">
        <f>IF(I114&lt;&gt;0,((VLOOKUP(I114,'1. Standard_Cost'!$B$4:$D$11,2)+VLOOKUP(I114,'1. Standard_Cost'!$B$4:$D$11,3))*J114*K114),"0")</f>
        <v>1130500</v>
      </c>
      <c r="M114" s="125">
        <f>L114*'1. Standard_Cost'!$F$4</f>
        <v>188793.5</v>
      </c>
      <c r="N114" s="126"/>
      <c r="O114" s="126"/>
      <c r="P114" s="126"/>
      <c r="Q114" s="126"/>
      <c r="R114" s="127">
        <f>'1. Standard_Cost'!$B$15*N114*P114</f>
        <v>0</v>
      </c>
      <c r="S114" s="127">
        <f>N114*O114*P114*'1. Standard_Cost'!$C$15</f>
        <v>0</v>
      </c>
      <c r="T114" s="127">
        <f>N114*P114*Q114*'1. Standard_Cost'!$D$15</f>
        <v>0</v>
      </c>
      <c r="U114" s="127">
        <f>N114*O114*'1. Standard_Cost'!$E$15</f>
        <v>0</v>
      </c>
      <c r="V114" s="126"/>
      <c r="W114" s="126"/>
      <c r="X114" s="126"/>
      <c r="Y114" s="127">
        <f>+V114*((X114*'1. Standard_Cost'!$B$19)+(W114*X114*'1. Standard_Cost'!$C$19))</f>
        <v>0</v>
      </c>
      <c r="Z114" s="126"/>
      <c r="AA114" s="126">
        <v>25</v>
      </c>
      <c r="AB114" s="127">
        <f>+Z114*'1. Standard_Cost'!$B$23+AA114*'1. Standard_Cost'!$C$23</f>
        <v>475000</v>
      </c>
      <c r="AC114" s="128">
        <v>158320</v>
      </c>
      <c r="AD114" s="129"/>
      <c r="AE114" s="127">
        <f>SUM(AD114,AC114,AB114,Y114,U114,T114,S114,R114)*'1. Standard_Cost'!$B$31</f>
        <v>126664</v>
      </c>
      <c r="AF114" s="127">
        <f>SUM(AE114,AD114,AC114,AB114,Y114,U114,T114,S114,R114)</f>
        <v>759984</v>
      </c>
      <c r="AG114" s="126"/>
      <c r="AH114" s="126"/>
      <c r="AI114" s="126"/>
      <c r="AJ114" s="130"/>
      <c r="AK114" s="130"/>
      <c r="AL114" s="130"/>
      <c r="AM114" s="127">
        <f>AG114*'1. Standard_Cost'!$B$27+'Incremental_Cost Year 4'!AH114*'1. Standard_Cost'!$C$27+'Incremental_Cost Year 4'!AI114*'1. Standard_Cost'!$D$27+'Incremental_Cost Year 4'!AJ114+'Incremental_Cost Year 4'!AL114+AK114</f>
        <v>0</v>
      </c>
      <c r="AN114" s="127">
        <f>AM114*'1. Standard_Cost'!$C$31</f>
        <v>0</v>
      </c>
      <c r="AO114" s="130"/>
      <c r="AQ114" s="171">
        <f>L114+M114</f>
        <v>1319293.5</v>
      </c>
      <c r="AR114" s="171">
        <f>AF114</f>
        <v>759984</v>
      </c>
      <c r="AS114" s="171">
        <f>AM114+AN114</f>
        <v>0</v>
      </c>
      <c r="AT114" s="171">
        <f>SUM(AQ114,AR114,AS114)</f>
        <v>2079277.5</v>
      </c>
      <c r="AU114" s="250">
        <v>1509278</v>
      </c>
      <c r="AV114" s="250"/>
      <c r="AW114" s="250"/>
      <c r="AX114" s="250"/>
      <c r="AY114" s="250"/>
      <c r="AZ114" s="250"/>
      <c r="BA114" s="250"/>
      <c r="BB114" s="251">
        <f t="shared" si="76"/>
        <v>-569999.5</v>
      </c>
      <c r="BC114" s="169"/>
      <c r="BD114" s="169"/>
      <c r="BE114" s="169"/>
      <c r="BF114" s="169"/>
    </row>
    <row r="115" spans="1:58" ht="31.5" outlineLevel="2" x14ac:dyDescent="0.25">
      <c r="A115" s="115"/>
      <c r="B115" s="200"/>
      <c r="C115" s="201"/>
      <c r="D115" s="203"/>
      <c r="E115" s="323"/>
      <c r="F115" s="308"/>
      <c r="G115" s="309"/>
      <c r="H115" s="199" t="s">
        <v>279</v>
      </c>
      <c r="I115" s="130"/>
      <c r="J115" s="126"/>
      <c r="K115" s="126"/>
      <c r="L115" s="125" t="str">
        <f>IF(I115&lt;&gt;0,((VLOOKUP(I115,'1. Standard_Cost'!$B$4:$D$11,2)+VLOOKUP(I115,'1. Standard_Cost'!$B$4:$D$11,3))*J115*K115),"0")</f>
        <v>0</v>
      </c>
      <c r="M115" s="125">
        <f>L115*'1. Standard_Cost'!$F$4</f>
        <v>0</v>
      </c>
      <c r="N115" s="126"/>
      <c r="O115" s="126"/>
      <c r="P115" s="126"/>
      <c r="Q115" s="126"/>
      <c r="R115" s="127">
        <f>'1. Standard_Cost'!$B$15*N115*P115</f>
        <v>0</v>
      </c>
      <c r="S115" s="127">
        <f>N115*O115*P115*'1. Standard_Cost'!$C$15</f>
        <v>0</v>
      </c>
      <c r="T115" s="127">
        <f>N115*P115*Q115*'1. Standard_Cost'!$D$15</f>
        <v>0</v>
      </c>
      <c r="U115" s="127">
        <f>N115*O115*'1. Standard_Cost'!$E$15</f>
        <v>0</v>
      </c>
      <c r="V115" s="126"/>
      <c r="W115" s="126"/>
      <c r="X115" s="126"/>
      <c r="Y115" s="127">
        <f>+V115*((X115*'1. Standard_Cost'!$B$19)+(W115*X115*'1. Standard_Cost'!$C$19))</f>
        <v>0</v>
      </c>
      <c r="Z115" s="126"/>
      <c r="AA115" s="126"/>
      <c r="AB115" s="127">
        <f>+Z115*'1. Standard_Cost'!$B$23+AA115*'1. Standard_Cost'!$C$23</f>
        <v>0</v>
      </c>
      <c r="AC115" s="128"/>
      <c r="AD115" s="129"/>
      <c r="AE115" s="127">
        <f>SUM(AD115,AC115,AB115,Y115,U115,T115,S115,R115)*'1. Standard_Cost'!$B$31</f>
        <v>0</v>
      </c>
      <c r="AF115" s="127">
        <f>SUM(AE115,AD115,AC115,AB115,Y115,U115,T115,S115,R115)</f>
        <v>0</v>
      </c>
      <c r="AG115" s="126"/>
      <c r="AH115" s="126"/>
      <c r="AI115" s="126"/>
      <c r="AJ115" s="130"/>
      <c r="AK115" s="130"/>
      <c r="AL115" s="130"/>
      <c r="AM115" s="127">
        <f>AG115*'1. Standard_Cost'!$B$27+'Incremental_Cost Year 4'!AH115*'1. Standard_Cost'!$C$27+'Incremental_Cost Year 4'!AI115*'1. Standard_Cost'!$D$27+'Incremental_Cost Year 4'!AJ115+'Incremental_Cost Year 4'!AL115+AK115</f>
        <v>0</v>
      </c>
      <c r="AN115" s="127">
        <f>AM115*'1. Standard_Cost'!$C$31</f>
        <v>0</v>
      </c>
      <c r="AO115" s="130"/>
      <c r="AQ115" s="171">
        <f>L115+M115</f>
        <v>0</v>
      </c>
      <c r="AR115" s="171">
        <f>AF115</f>
        <v>0</v>
      </c>
      <c r="AS115" s="171">
        <f>AM115+AN115</f>
        <v>0</v>
      </c>
      <c r="AT115" s="171">
        <f>SUM(AQ115,AR115,AS115)</f>
        <v>0</v>
      </c>
      <c r="AU115" s="250"/>
      <c r="AV115" s="250"/>
      <c r="AW115" s="250"/>
      <c r="AX115" s="250"/>
      <c r="AY115" s="250"/>
      <c r="AZ115" s="250"/>
      <c r="BA115" s="250"/>
      <c r="BB115" s="251">
        <f t="shared" si="76"/>
        <v>0</v>
      </c>
      <c r="BC115" s="169"/>
      <c r="BD115" s="169"/>
      <c r="BE115" s="169"/>
      <c r="BF115" s="169"/>
    </row>
    <row r="116" spans="1:58" ht="47.25" outlineLevel="2" x14ac:dyDescent="0.25">
      <c r="A116" s="115"/>
      <c r="B116" s="200"/>
      <c r="C116" s="201"/>
      <c r="D116" s="211"/>
      <c r="E116" s="322"/>
      <c r="F116" s="311"/>
      <c r="G116" s="312"/>
      <c r="H116" s="199" t="s">
        <v>442</v>
      </c>
      <c r="I116" s="130"/>
      <c r="J116" s="126"/>
      <c r="K116" s="126"/>
      <c r="L116" s="125" t="str">
        <f>IF(I116&lt;&gt;0,((VLOOKUP(I116,'1. Standard_Cost'!$B$4:$D$11,2)+VLOOKUP(I116,'1. Standard_Cost'!$B$4:$D$11,3))*J116*K116),"0")</f>
        <v>0</v>
      </c>
      <c r="M116" s="125">
        <f>L116*'1. Standard_Cost'!$F$4</f>
        <v>0</v>
      </c>
      <c r="N116" s="126"/>
      <c r="O116" s="126"/>
      <c r="P116" s="126"/>
      <c r="Q116" s="126"/>
      <c r="R116" s="127">
        <f>'1. Standard_Cost'!$B$15*N116*P116</f>
        <v>0</v>
      </c>
      <c r="S116" s="127">
        <f>N116*O116*P116*'1. Standard_Cost'!$C$15</f>
        <v>0</v>
      </c>
      <c r="T116" s="127">
        <f>N116*P116*Q116*'1. Standard_Cost'!$D$15</f>
        <v>0</v>
      </c>
      <c r="U116" s="127">
        <f>N116*O116*'1. Standard_Cost'!$E$15</f>
        <v>0</v>
      </c>
      <c r="V116" s="126"/>
      <c r="W116" s="126"/>
      <c r="X116" s="126"/>
      <c r="Y116" s="127">
        <f>+V116*((X116*'1. Standard_Cost'!$B$19)+(W116*X116*'1. Standard_Cost'!$C$19))</f>
        <v>0</v>
      </c>
      <c r="Z116" s="126"/>
      <c r="AA116" s="126"/>
      <c r="AB116" s="127">
        <f>+Z116*'1. Standard_Cost'!$B$23+AA116*'1. Standard_Cost'!$C$23</f>
        <v>0</v>
      </c>
      <c r="AC116" s="128"/>
      <c r="AD116" s="129"/>
      <c r="AE116" s="127">
        <f>SUM(AD116,AC116,AB116,Y116,U116,T116,S116,R116)*'1. Standard_Cost'!$B$31</f>
        <v>0</v>
      </c>
      <c r="AF116" s="127">
        <f>SUM(AE116,AD116,AC116,AB116,Y116,U116,T116,S116,R116)</f>
        <v>0</v>
      </c>
      <c r="AG116" s="126"/>
      <c r="AH116" s="126"/>
      <c r="AI116" s="126"/>
      <c r="AJ116" s="130"/>
      <c r="AK116" s="130"/>
      <c r="AL116" s="130"/>
      <c r="AM116" s="127">
        <f>AG116*'1. Standard_Cost'!$B$27+'Incremental_Cost Year 4'!AH116*'1. Standard_Cost'!$C$27+'Incremental_Cost Year 4'!AI116*'1. Standard_Cost'!$D$27+'Incremental_Cost Year 4'!AJ116+'Incremental_Cost Year 4'!AL116+AK116</f>
        <v>0</v>
      </c>
      <c r="AN116" s="127">
        <f>AM116*'1. Standard_Cost'!$C$31</f>
        <v>0</v>
      </c>
      <c r="AO116" s="130"/>
      <c r="AQ116" s="171">
        <f>L116+M116</f>
        <v>0</v>
      </c>
      <c r="AR116" s="171">
        <f>AF116</f>
        <v>0</v>
      </c>
      <c r="AS116" s="171">
        <f>AM116+AN116</f>
        <v>0</v>
      </c>
      <c r="AT116" s="171">
        <f>SUM(AQ116,AR116,AS116)</f>
        <v>0</v>
      </c>
      <c r="AU116" s="250"/>
      <c r="AV116" s="250"/>
      <c r="AW116" s="250"/>
      <c r="AX116" s="250"/>
      <c r="AY116" s="250"/>
      <c r="AZ116" s="250"/>
      <c r="BA116" s="250"/>
      <c r="BB116" s="251">
        <f t="shared" si="76"/>
        <v>0</v>
      </c>
      <c r="BC116" s="169"/>
      <c r="BD116" s="169"/>
      <c r="BE116" s="169"/>
      <c r="BF116" s="169"/>
    </row>
    <row r="117" spans="1:58" ht="47.25" outlineLevel="1" x14ac:dyDescent="0.25">
      <c r="A117" s="115"/>
      <c r="B117" s="165"/>
      <c r="C117" s="166"/>
      <c r="D117" s="229" t="s">
        <v>432</v>
      </c>
      <c r="E117" s="212" t="s">
        <v>280</v>
      </c>
      <c r="F117" s="136">
        <v>2021</v>
      </c>
      <c r="G117" s="117">
        <v>2030</v>
      </c>
      <c r="H117" s="110" t="s">
        <v>281</v>
      </c>
      <c r="I117" s="252"/>
      <c r="J117" s="252"/>
      <c r="K117" s="252"/>
      <c r="L117" s="127">
        <f>SUM(L112:L116)</f>
        <v>2562100</v>
      </c>
      <c r="M117" s="127">
        <f>SUM(M112:M116)</f>
        <v>427870.7</v>
      </c>
      <c r="N117" s="127"/>
      <c r="O117" s="252"/>
      <c r="P117" s="252"/>
      <c r="Q117" s="252"/>
      <c r="R117" s="127">
        <f>SUM(R112:R116)</f>
        <v>0</v>
      </c>
      <c r="S117" s="127">
        <f>SUM(S112:S116)</f>
        <v>0</v>
      </c>
      <c r="T117" s="127">
        <f>SUM(T112:T116)</f>
        <v>0</v>
      </c>
      <c r="U117" s="127">
        <f>SUM(U112:U116)</f>
        <v>0</v>
      </c>
      <c r="V117" s="252"/>
      <c r="W117" s="252"/>
      <c r="X117" s="252"/>
      <c r="Y117" s="127">
        <f>SUM(Y112:Y116)</f>
        <v>0</v>
      </c>
      <c r="Z117" s="252"/>
      <c r="AA117" s="252"/>
      <c r="AB117" s="127">
        <f>SUM(AB112:AB116)</f>
        <v>475000</v>
      </c>
      <c r="AC117" s="127">
        <f>SUM(AC112:AC116)</f>
        <v>358920</v>
      </c>
      <c r="AD117" s="127">
        <f>SUM(AD112:AD116)</f>
        <v>0</v>
      </c>
      <c r="AE117" s="127">
        <f>SUM(AE112:AE116)</f>
        <v>166784</v>
      </c>
      <c r="AF117" s="127">
        <f>SUM(AF112:AF116)</f>
        <v>1000704</v>
      </c>
      <c r="AG117" s="252"/>
      <c r="AH117" s="252"/>
      <c r="AI117" s="252"/>
      <c r="AJ117" s="127">
        <f>SUM(AJ112:AJ116)</f>
        <v>0</v>
      </c>
      <c r="AK117" s="127">
        <f>SUM(AK112:AK116)</f>
        <v>0</v>
      </c>
      <c r="AL117" s="127">
        <f>SUM(AL112:AL116)</f>
        <v>0</v>
      </c>
      <c r="AM117" s="127">
        <f>SUM(AM112:AM116)</f>
        <v>0</v>
      </c>
      <c r="AN117" s="127">
        <f>SUM(AN112:AN116)</f>
        <v>0</v>
      </c>
      <c r="AO117" s="253"/>
      <c r="AP117" s="254"/>
      <c r="AQ117" s="175">
        <f>SUM(AQ112:AQ116)</f>
        <v>2989970.7</v>
      </c>
      <c r="AR117" s="175">
        <f>SUM(AR112:AR116)</f>
        <v>1000704</v>
      </c>
      <c r="AS117" s="175">
        <f>SUM(AS112:AS116)</f>
        <v>0</v>
      </c>
      <c r="AT117" s="175">
        <f>SUM(AT112:AT116)</f>
        <v>3990674.7</v>
      </c>
      <c r="AU117" s="175">
        <f t="shared" ref="AU117:BB117" si="77">SUM(AU112:AU116)</f>
        <v>3420675</v>
      </c>
      <c r="AV117" s="175">
        <f t="shared" si="77"/>
        <v>0</v>
      </c>
      <c r="AW117" s="175">
        <f t="shared" si="77"/>
        <v>0</v>
      </c>
      <c r="AX117" s="175">
        <f t="shared" si="77"/>
        <v>0</v>
      </c>
      <c r="AY117" s="175">
        <f t="shared" si="77"/>
        <v>0</v>
      </c>
      <c r="AZ117" s="175">
        <f t="shared" si="77"/>
        <v>0</v>
      </c>
      <c r="BA117" s="175">
        <f t="shared" si="77"/>
        <v>0</v>
      </c>
      <c r="BB117" s="175">
        <f t="shared" si="77"/>
        <v>-569999.69999999995</v>
      </c>
      <c r="BC117" s="169"/>
      <c r="BD117" s="169"/>
      <c r="BE117" s="169"/>
      <c r="BF117" s="169"/>
    </row>
    <row r="118" spans="1:58" s="184" customFormat="1" ht="15.75" customHeight="1" x14ac:dyDescent="0.25">
      <c r="A118" s="143"/>
      <c r="B118" s="290"/>
      <c r="C118" s="391" t="s">
        <v>282</v>
      </c>
      <c r="D118" s="391"/>
      <c r="E118" s="392"/>
      <c r="F118" s="291"/>
      <c r="G118" s="291"/>
      <c r="H118" s="144" t="s">
        <v>266</v>
      </c>
      <c r="I118" s="257"/>
      <c r="J118" s="257"/>
      <c r="K118" s="257"/>
      <c r="L118" s="258">
        <f>SUM(L122)</f>
        <v>1512000</v>
      </c>
      <c r="M118" s="258">
        <f>SUM(M122)</f>
        <v>252504</v>
      </c>
      <c r="N118" s="257"/>
      <c r="O118" s="257"/>
      <c r="P118" s="257"/>
      <c r="Q118" s="257"/>
      <c r="R118" s="258">
        <f>SUM(R122)</f>
        <v>0</v>
      </c>
      <c r="S118" s="258">
        <f>SUM(S122)</f>
        <v>0</v>
      </c>
      <c r="T118" s="258">
        <f>SUM(T122)</f>
        <v>0</v>
      </c>
      <c r="U118" s="258">
        <f>SUM(U122)</f>
        <v>0</v>
      </c>
      <c r="V118" s="257"/>
      <c r="W118" s="257"/>
      <c r="X118" s="257"/>
      <c r="Y118" s="258">
        <f>SUM(Y122)</f>
        <v>0</v>
      </c>
      <c r="Z118" s="258"/>
      <c r="AA118" s="258"/>
      <c r="AB118" s="258">
        <f>SUM(AB122)</f>
        <v>2800000</v>
      </c>
      <c r="AC118" s="258">
        <f>SUM(AC122)</f>
        <v>265000</v>
      </c>
      <c r="AD118" s="258">
        <f>SUM(AD122)</f>
        <v>0</v>
      </c>
      <c r="AE118" s="258">
        <f>SUM(AE122)</f>
        <v>613000</v>
      </c>
      <c r="AF118" s="258">
        <f>SUM(AF122)</f>
        <v>3678000</v>
      </c>
      <c r="AG118" s="257"/>
      <c r="AH118" s="257"/>
      <c r="AI118" s="257"/>
      <c r="AJ118" s="258">
        <f>SUM(AJ122)</f>
        <v>0</v>
      </c>
      <c r="AK118" s="258">
        <f>SUM(AK122)</f>
        <v>0</v>
      </c>
      <c r="AL118" s="258">
        <f>SUM(AL122)</f>
        <v>0</v>
      </c>
      <c r="AM118" s="258">
        <f>SUM(AM122)</f>
        <v>0</v>
      </c>
      <c r="AN118" s="258">
        <f>SUM(AN122)</f>
        <v>0</v>
      </c>
      <c r="AO118" s="259"/>
      <c r="AP118" s="260"/>
      <c r="AQ118" s="261">
        <f>SUM(AQ122)</f>
        <v>1764504</v>
      </c>
      <c r="AR118" s="261">
        <f>SUM(AR122)</f>
        <v>3678000</v>
      </c>
      <c r="AS118" s="261">
        <f>SUM(AS122)</f>
        <v>0</v>
      </c>
      <c r="AT118" s="261">
        <f>SUM(AT122)</f>
        <v>5442504</v>
      </c>
      <c r="AU118" s="261">
        <f t="shared" ref="AU118:BA118" si="78">SUM(AU122)</f>
        <v>2082504</v>
      </c>
      <c r="AV118" s="261">
        <f t="shared" si="78"/>
        <v>0</v>
      </c>
      <c r="AW118" s="261">
        <f t="shared" si="78"/>
        <v>0</v>
      </c>
      <c r="AX118" s="261">
        <f t="shared" si="78"/>
        <v>0</v>
      </c>
      <c r="AY118" s="261">
        <f t="shared" si="78"/>
        <v>0</v>
      </c>
      <c r="AZ118" s="261">
        <f t="shared" si="78"/>
        <v>0</v>
      </c>
      <c r="BA118" s="261">
        <f t="shared" si="78"/>
        <v>0</v>
      </c>
      <c r="BB118" s="261">
        <f>SUM(BB122)</f>
        <v>-3360000</v>
      </c>
    </row>
    <row r="119" spans="1:58" ht="94.5" outlineLevel="2" x14ac:dyDescent="0.25">
      <c r="A119" s="115"/>
      <c r="B119" s="200"/>
      <c r="C119" s="201"/>
      <c r="D119" s="348"/>
      <c r="E119" s="321"/>
      <c r="F119" s="306"/>
      <c r="G119" s="307"/>
      <c r="H119" s="199" t="s">
        <v>443</v>
      </c>
      <c r="I119" s="130"/>
      <c r="J119" s="126"/>
      <c r="K119" s="126"/>
      <c r="L119" s="125" t="str">
        <f>IF(I119&lt;&gt;0,((VLOOKUP(I119,'1. Standard_Cost'!$B$4:$D$11,2)+VLOOKUP(I119,'1. Standard_Cost'!$B$4:$D$11,3))*J119*K119),"0")</f>
        <v>0</v>
      </c>
      <c r="M119" s="125">
        <f>L119*'1. Standard_Cost'!$F$4</f>
        <v>0</v>
      </c>
      <c r="N119" s="126"/>
      <c r="O119" s="126"/>
      <c r="P119" s="126"/>
      <c r="Q119" s="126"/>
      <c r="R119" s="127">
        <f>'1. Standard_Cost'!$B$15*N119*P119</f>
        <v>0</v>
      </c>
      <c r="S119" s="127">
        <f>N119*O119*P119*'1. Standard_Cost'!$C$15</f>
        <v>0</v>
      </c>
      <c r="T119" s="127">
        <f>N119*P119*Q119*'1. Standard_Cost'!$D$15</f>
        <v>0</v>
      </c>
      <c r="U119" s="127">
        <f>N119*O119*'1. Standard_Cost'!$E$15</f>
        <v>0</v>
      </c>
      <c r="V119" s="126"/>
      <c r="W119" s="126"/>
      <c r="X119" s="126"/>
      <c r="Y119" s="127">
        <f>+V119*((X119*'1. Standard_Cost'!$B$19)+(W119*X119*'1. Standard_Cost'!$C$19))</f>
        <v>0</v>
      </c>
      <c r="Z119" s="126"/>
      <c r="AA119" s="126"/>
      <c r="AB119" s="127">
        <f>+Z119*'1. Standard_Cost'!$B$23+AA119*'1. Standard_Cost'!$C$23</f>
        <v>0</v>
      </c>
      <c r="AC119" s="128"/>
      <c r="AD119" s="129"/>
      <c r="AE119" s="127">
        <f>SUM(AD119,AC119,AB119,Y119,U119,T119,S119,R119)*'1. Standard_Cost'!$B$31</f>
        <v>0</v>
      </c>
      <c r="AF119" s="127">
        <f>SUM(AE119,AD119,AC119,AB119,Y119,U119,T119,S119,R119)</f>
        <v>0</v>
      </c>
      <c r="AG119" s="126"/>
      <c r="AH119" s="126"/>
      <c r="AI119" s="126"/>
      <c r="AJ119" s="130"/>
      <c r="AK119" s="130"/>
      <c r="AL119" s="130"/>
      <c r="AM119" s="127">
        <f>AG119*'1. Standard_Cost'!$B$27+'Incremental_Cost Year 4'!AH119*'1. Standard_Cost'!$C$27+'Incremental_Cost Year 4'!AI119*'1. Standard_Cost'!$D$27+'Incremental_Cost Year 4'!AJ119+'Incremental_Cost Year 4'!AL119+AK119</f>
        <v>0</v>
      </c>
      <c r="AN119" s="127">
        <f>AM119*'1. Standard_Cost'!$C$31</f>
        <v>0</v>
      </c>
      <c r="AO119" s="130"/>
      <c r="AQ119" s="171">
        <f>L119+M119</f>
        <v>0</v>
      </c>
      <c r="AR119" s="171">
        <f>AF119</f>
        <v>0</v>
      </c>
      <c r="AS119" s="171">
        <f>AM119+AN119</f>
        <v>0</v>
      </c>
      <c r="AT119" s="171">
        <f>SUM(AQ119,AR119,AS119)</f>
        <v>0</v>
      </c>
      <c r="AU119" s="250"/>
      <c r="AV119" s="250"/>
      <c r="AW119" s="250"/>
      <c r="AX119" s="250"/>
      <c r="AY119" s="250"/>
      <c r="AZ119" s="250"/>
      <c r="BA119" s="250"/>
      <c r="BB119" s="251">
        <f t="shared" ref="BB119:BB121" si="79">SUM(AU119:BA119)-AT119</f>
        <v>0</v>
      </c>
      <c r="BC119" s="169"/>
      <c r="BD119" s="169"/>
      <c r="BE119" s="169"/>
      <c r="BF119" s="169"/>
    </row>
    <row r="120" spans="1:58" ht="110.25" outlineLevel="2" x14ac:dyDescent="0.25">
      <c r="A120" s="115"/>
      <c r="B120" s="200"/>
      <c r="C120" s="201"/>
      <c r="D120" s="132"/>
      <c r="E120" s="323"/>
      <c r="F120" s="308"/>
      <c r="G120" s="309"/>
      <c r="H120" s="199" t="s">
        <v>444</v>
      </c>
      <c r="I120" s="130"/>
      <c r="J120" s="126"/>
      <c r="K120" s="126"/>
      <c r="L120" s="125" t="str">
        <f>IF(I120&lt;&gt;0,((VLOOKUP(I120,'1. Standard_Cost'!$B$4:$D$11,2)+VLOOKUP(I120,'1. Standard_Cost'!$B$4:$D$11,3))*J120*K120),"0")</f>
        <v>0</v>
      </c>
      <c r="M120" s="125">
        <f>L120*'1. Standard_Cost'!$F$4</f>
        <v>0</v>
      </c>
      <c r="N120" s="126"/>
      <c r="O120" s="126"/>
      <c r="P120" s="126"/>
      <c r="Q120" s="126"/>
      <c r="R120" s="127">
        <f>'1. Standard_Cost'!$B$15*N120*P120</f>
        <v>0</v>
      </c>
      <c r="S120" s="127">
        <f>N120*O120*P120*'1. Standard_Cost'!$C$15</f>
        <v>0</v>
      </c>
      <c r="T120" s="127">
        <f>N120*P120*Q120*'1. Standard_Cost'!$D$15</f>
        <v>0</v>
      </c>
      <c r="U120" s="127">
        <f>N120*O120*'1. Standard_Cost'!$E$15</f>
        <v>0</v>
      </c>
      <c r="V120" s="126"/>
      <c r="W120" s="126"/>
      <c r="X120" s="126"/>
      <c r="Y120" s="127">
        <f>+V120*((X120*'1. Standard_Cost'!$B$19)+(W120*X120*'1. Standard_Cost'!$C$19))</f>
        <v>0</v>
      </c>
      <c r="Z120" s="126"/>
      <c r="AA120" s="126"/>
      <c r="AB120" s="127">
        <f>+Z120*'1. Standard_Cost'!$B$23+AA120*'1. Standard_Cost'!$C$23</f>
        <v>0</v>
      </c>
      <c r="AC120" s="128"/>
      <c r="AD120" s="129"/>
      <c r="AE120" s="127">
        <f>SUM(AD120,AC120,AB120,Y120,U120,T120,S120,R120)*'1. Standard_Cost'!$B$31</f>
        <v>0</v>
      </c>
      <c r="AF120" s="127">
        <f>SUM(AE120,AD120,AC120,AB120,Y120,U120,T120,S120,R120)</f>
        <v>0</v>
      </c>
      <c r="AG120" s="126"/>
      <c r="AH120" s="126"/>
      <c r="AI120" s="126"/>
      <c r="AJ120" s="130"/>
      <c r="AK120" s="130"/>
      <c r="AL120" s="130"/>
      <c r="AM120" s="127">
        <f>AG120*'1. Standard_Cost'!$B$27+'Incremental_Cost Year 4'!AH120*'1. Standard_Cost'!$C$27+'Incremental_Cost Year 4'!AI120*'1. Standard_Cost'!$D$27+'Incremental_Cost Year 4'!AJ120+'Incremental_Cost Year 4'!AL120+AK120</f>
        <v>0</v>
      </c>
      <c r="AN120" s="127">
        <f>AM120*'1. Standard_Cost'!$C$31</f>
        <v>0</v>
      </c>
      <c r="AO120" s="130"/>
      <c r="AQ120" s="171">
        <f>L120+M120</f>
        <v>0</v>
      </c>
      <c r="AR120" s="171">
        <f>AF120</f>
        <v>0</v>
      </c>
      <c r="AS120" s="171">
        <f>AM120+AN120</f>
        <v>0</v>
      </c>
      <c r="AT120" s="171">
        <f>SUM(AQ120,AR120,AS120)</f>
        <v>0</v>
      </c>
      <c r="AU120" s="250"/>
      <c r="AV120" s="250"/>
      <c r="AW120" s="250"/>
      <c r="AX120" s="250"/>
      <c r="AY120" s="250"/>
      <c r="AZ120" s="250"/>
      <c r="BA120" s="250"/>
      <c r="BB120" s="251">
        <f t="shared" si="79"/>
        <v>0</v>
      </c>
      <c r="BC120" s="169"/>
      <c r="BD120" s="169"/>
      <c r="BE120" s="169"/>
      <c r="BF120" s="169"/>
    </row>
    <row r="121" spans="1:58" ht="110.25" outlineLevel="2" x14ac:dyDescent="0.25">
      <c r="A121" s="115"/>
      <c r="B121" s="200"/>
      <c r="C121" s="201"/>
      <c r="D121" s="349"/>
      <c r="E121" s="322"/>
      <c r="F121" s="311"/>
      <c r="G121" s="312"/>
      <c r="H121" s="199" t="s">
        <v>445</v>
      </c>
      <c r="I121" s="130" t="s">
        <v>3</v>
      </c>
      <c r="J121" s="126">
        <v>3</v>
      </c>
      <c r="K121" s="126">
        <v>5</v>
      </c>
      <c r="L121" s="125">
        <f>IF(I121&lt;&gt;0,((VLOOKUP(I121,'1. Standard_Cost'!$B$4:$D$11,2)+VLOOKUP(I121,'1. Standard_Cost'!$B$4:$D$11,3))*J121*K121),"0")</f>
        <v>1512000</v>
      </c>
      <c r="M121" s="125">
        <f>L121*'1. Standard_Cost'!$F$4</f>
        <v>252504</v>
      </c>
      <c r="N121" s="126"/>
      <c r="O121" s="126"/>
      <c r="P121" s="126"/>
      <c r="Q121" s="126"/>
      <c r="R121" s="127">
        <f>'1. Standard_Cost'!$B$15*N121*P121</f>
        <v>0</v>
      </c>
      <c r="S121" s="127">
        <f>N121*O121*P121*'1. Standard_Cost'!$C$15</f>
        <v>0</v>
      </c>
      <c r="T121" s="127">
        <f>N121*P121*Q121*'1. Standard_Cost'!$D$15</f>
        <v>0</v>
      </c>
      <c r="U121" s="127">
        <f>N121*O121*'1. Standard_Cost'!$E$15</f>
        <v>0</v>
      </c>
      <c r="V121" s="126"/>
      <c r="W121" s="126"/>
      <c r="X121" s="126"/>
      <c r="Y121" s="127">
        <f>+V121*((X121*'1. Standard_Cost'!$B$19)+(W121*X121*'1. Standard_Cost'!$C$19))</f>
        <v>0</v>
      </c>
      <c r="Z121" s="126">
        <v>25</v>
      </c>
      <c r="AA121" s="126">
        <v>50</v>
      </c>
      <c r="AB121" s="127">
        <f>+Z121*'1. Standard_Cost'!$B$23+AA121*'1. Standard_Cost'!$C$23</f>
        <v>2800000</v>
      </c>
      <c r="AC121" s="128">
        <v>265000</v>
      </c>
      <c r="AD121" s="129"/>
      <c r="AE121" s="127">
        <f>SUM(AD121,AC121,AB121,Y121,U121,T121,S121,R121)*'1. Standard_Cost'!$B$31</f>
        <v>613000</v>
      </c>
      <c r="AF121" s="127">
        <f>SUM(AE121,AD121,AC121,AB121,Y121,U121,T121,S121,R121)</f>
        <v>3678000</v>
      </c>
      <c r="AG121" s="126"/>
      <c r="AH121" s="126"/>
      <c r="AI121" s="126"/>
      <c r="AJ121" s="130"/>
      <c r="AK121" s="130"/>
      <c r="AL121" s="130"/>
      <c r="AM121" s="127">
        <f>AG121*'1. Standard_Cost'!$B$27+'Incremental_Cost Year 4'!AH121*'1. Standard_Cost'!$C$27+'Incremental_Cost Year 4'!AI121*'1. Standard_Cost'!$D$27+'Incremental_Cost Year 4'!AJ121+'Incremental_Cost Year 4'!AL121+AK121</f>
        <v>0</v>
      </c>
      <c r="AN121" s="127">
        <f>AM121*'1. Standard_Cost'!$C$31</f>
        <v>0</v>
      </c>
      <c r="AO121" s="130"/>
      <c r="AQ121" s="171">
        <f>L121+M121</f>
        <v>1764504</v>
      </c>
      <c r="AR121" s="171">
        <f>AF121</f>
        <v>3678000</v>
      </c>
      <c r="AS121" s="171">
        <f>AM121+AN121</f>
        <v>0</v>
      </c>
      <c r="AT121" s="171">
        <f>SUM(AQ121,AR121,AS121)</f>
        <v>5442504</v>
      </c>
      <c r="AU121" s="250">
        <v>2082504</v>
      </c>
      <c r="AV121" s="250"/>
      <c r="AW121" s="250"/>
      <c r="AX121" s="250"/>
      <c r="AY121" s="250"/>
      <c r="AZ121" s="250"/>
      <c r="BA121" s="250"/>
      <c r="BB121" s="251">
        <f t="shared" si="79"/>
        <v>-3360000</v>
      </c>
      <c r="BC121" s="169"/>
      <c r="BD121" s="169"/>
      <c r="BE121" s="169"/>
      <c r="BF121" s="169"/>
    </row>
    <row r="122" spans="1:58" ht="63" outlineLevel="1" x14ac:dyDescent="0.25">
      <c r="A122" s="115"/>
      <c r="B122" s="200"/>
      <c r="C122" s="201"/>
      <c r="D122" s="146" t="s">
        <v>432</v>
      </c>
      <c r="E122" s="212" t="s">
        <v>283</v>
      </c>
      <c r="F122" s="136">
        <v>2022</v>
      </c>
      <c r="G122" s="117">
        <v>2025</v>
      </c>
      <c r="H122" s="110" t="s">
        <v>268</v>
      </c>
      <c r="I122" s="252"/>
      <c r="J122" s="252"/>
      <c r="K122" s="252"/>
      <c r="L122" s="127">
        <f>SUM(L119:L121)</f>
        <v>1512000</v>
      </c>
      <c r="M122" s="127">
        <f>SUM(M119:M121)</f>
        <v>252504</v>
      </c>
      <c r="N122" s="127"/>
      <c r="O122" s="252"/>
      <c r="P122" s="252"/>
      <c r="Q122" s="252"/>
      <c r="R122" s="127">
        <f>SUM(R119:R121)</f>
        <v>0</v>
      </c>
      <c r="S122" s="127">
        <f>SUM(S119:S121)</f>
        <v>0</v>
      </c>
      <c r="T122" s="127">
        <f>SUM(T119:T121)</f>
        <v>0</v>
      </c>
      <c r="U122" s="127">
        <f>SUM(U119:U121)</f>
        <v>0</v>
      </c>
      <c r="V122" s="252"/>
      <c r="W122" s="252"/>
      <c r="X122" s="252"/>
      <c r="Y122" s="127">
        <f>SUM(Y119:Y121)</f>
        <v>0</v>
      </c>
      <c r="Z122" s="252"/>
      <c r="AA122" s="252"/>
      <c r="AB122" s="127">
        <f>SUM(AB119:AB121)</f>
        <v>2800000</v>
      </c>
      <c r="AC122" s="127">
        <f>SUM(AC119:AC121)</f>
        <v>265000</v>
      </c>
      <c r="AD122" s="127">
        <f>SUM(AD119:AD121)</f>
        <v>0</v>
      </c>
      <c r="AE122" s="127">
        <f>SUM(AE119:AE121)</f>
        <v>613000</v>
      </c>
      <c r="AF122" s="127">
        <f>SUM(AF119:AF121)</f>
        <v>3678000</v>
      </c>
      <c r="AG122" s="252"/>
      <c r="AH122" s="252"/>
      <c r="AI122" s="252"/>
      <c r="AJ122" s="127">
        <f>SUM(AJ119:AJ121)</f>
        <v>0</v>
      </c>
      <c r="AK122" s="127">
        <f>SUM(AK119:AK121)</f>
        <v>0</v>
      </c>
      <c r="AL122" s="127">
        <f>SUM(AL119:AL121)</f>
        <v>0</v>
      </c>
      <c r="AM122" s="127">
        <f>SUM(AM119:AM121)</f>
        <v>0</v>
      </c>
      <c r="AN122" s="127">
        <f>SUM(AN119:AN121)</f>
        <v>0</v>
      </c>
      <c r="AO122" s="253"/>
      <c r="AP122" s="254"/>
      <c r="AQ122" s="175">
        <f>SUM(AQ119:AQ121)</f>
        <v>1764504</v>
      </c>
      <c r="AR122" s="175">
        <f>SUM(AR119:AR121)</f>
        <v>3678000</v>
      </c>
      <c r="AS122" s="175">
        <f>SUM(AS119:AS121)</f>
        <v>0</v>
      </c>
      <c r="AT122" s="175">
        <f>SUM(AT119:AT121)</f>
        <v>5442504</v>
      </c>
      <c r="AU122" s="175">
        <f t="shared" ref="AU122:BB122" si="80">SUM(AU119:AU121)</f>
        <v>2082504</v>
      </c>
      <c r="AV122" s="175">
        <f t="shared" si="80"/>
        <v>0</v>
      </c>
      <c r="AW122" s="175">
        <f t="shared" si="80"/>
        <v>0</v>
      </c>
      <c r="AX122" s="175">
        <f t="shared" si="80"/>
        <v>0</v>
      </c>
      <c r="AY122" s="175">
        <f t="shared" si="80"/>
        <v>0</v>
      </c>
      <c r="AZ122" s="175">
        <f t="shared" si="80"/>
        <v>0</v>
      </c>
      <c r="BA122" s="175">
        <f t="shared" si="80"/>
        <v>0</v>
      </c>
      <c r="BB122" s="175">
        <f t="shared" si="80"/>
        <v>-3360000</v>
      </c>
      <c r="BC122" s="169"/>
      <c r="BD122" s="169"/>
      <c r="BE122" s="169"/>
      <c r="BF122" s="169"/>
    </row>
    <row r="123" spans="1:58" s="184" customFormat="1" ht="15.75" customHeight="1" x14ac:dyDescent="0.25">
      <c r="A123" s="143"/>
      <c r="B123" s="290"/>
      <c r="C123" s="391" t="s">
        <v>287</v>
      </c>
      <c r="D123" s="391"/>
      <c r="E123" s="392"/>
      <c r="F123" s="291"/>
      <c r="G123" s="289"/>
      <c r="H123" s="144" t="s">
        <v>288</v>
      </c>
      <c r="I123" s="257"/>
      <c r="J123" s="257"/>
      <c r="K123" s="257"/>
      <c r="L123" s="258">
        <f>SUM(L133)</f>
        <v>21537857.142857146</v>
      </c>
      <c r="M123" s="258">
        <f>SUM(M133)</f>
        <v>3596822.1428571432</v>
      </c>
      <c r="N123" s="257"/>
      <c r="O123" s="257"/>
      <c r="P123" s="257"/>
      <c r="Q123" s="257"/>
      <c r="R123" s="258">
        <f>SUM(R133)</f>
        <v>0</v>
      </c>
      <c r="S123" s="258">
        <f>SUM(S133)</f>
        <v>0</v>
      </c>
      <c r="T123" s="258">
        <f>SUM(T133)</f>
        <v>0</v>
      </c>
      <c r="U123" s="258">
        <f>SUM(U133)</f>
        <v>0</v>
      </c>
      <c r="V123" s="257"/>
      <c r="W123" s="257"/>
      <c r="X123" s="257"/>
      <c r="Y123" s="258">
        <f>SUM(Y133)</f>
        <v>0</v>
      </c>
      <c r="Z123" s="258"/>
      <c r="AA123" s="258"/>
      <c r="AB123" s="258">
        <f>SUM(AB133)</f>
        <v>0</v>
      </c>
      <c r="AC123" s="258">
        <f>SUM(AC133)</f>
        <v>3167212</v>
      </c>
      <c r="AD123" s="258">
        <f>SUM(AD133)</f>
        <v>0</v>
      </c>
      <c r="AE123" s="258">
        <f>SUM(AE133)</f>
        <v>633442.4</v>
      </c>
      <c r="AF123" s="258">
        <f>SUM(AF133)</f>
        <v>3800654.4</v>
      </c>
      <c r="AG123" s="257"/>
      <c r="AH123" s="257"/>
      <c r="AI123" s="257"/>
      <c r="AJ123" s="258">
        <f>SUM(AJ133)</f>
        <v>0</v>
      </c>
      <c r="AK123" s="258">
        <f>SUM(AK133)</f>
        <v>0</v>
      </c>
      <c r="AL123" s="258">
        <f>SUM(AL133)</f>
        <v>0</v>
      </c>
      <c r="AM123" s="258">
        <f>SUM(AM133)</f>
        <v>0</v>
      </c>
      <c r="AN123" s="258">
        <f>SUM(AN133)</f>
        <v>0</v>
      </c>
      <c r="AO123" s="259"/>
      <c r="AP123" s="260"/>
      <c r="AQ123" s="261">
        <f>SUM(AQ133)</f>
        <v>25134679.285714284</v>
      </c>
      <c r="AR123" s="261">
        <f>SUM(AR133)</f>
        <v>3800654.4</v>
      </c>
      <c r="AS123" s="261">
        <f>SUM(AS133)</f>
        <v>0</v>
      </c>
      <c r="AT123" s="261">
        <f>SUM(AT133)</f>
        <v>28935333.68571429</v>
      </c>
      <c r="AU123" s="261">
        <f t="shared" ref="AU123:BB123" si="81">SUM(AU133)</f>
        <v>28935334</v>
      </c>
      <c r="AV123" s="261">
        <f t="shared" si="81"/>
        <v>0</v>
      </c>
      <c r="AW123" s="261">
        <f t="shared" si="81"/>
        <v>0</v>
      </c>
      <c r="AX123" s="261">
        <f t="shared" si="81"/>
        <v>0</v>
      </c>
      <c r="AY123" s="261">
        <f t="shared" si="81"/>
        <v>0</v>
      </c>
      <c r="AZ123" s="261">
        <f t="shared" si="81"/>
        <v>0</v>
      </c>
      <c r="BA123" s="261">
        <f t="shared" si="81"/>
        <v>0</v>
      </c>
      <c r="BB123" s="261">
        <f t="shared" si="81"/>
        <v>0.31428571417927742</v>
      </c>
    </row>
    <row r="124" spans="1:58" ht="78.75" outlineLevel="2" x14ac:dyDescent="0.25">
      <c r="A124" s="115"/>
      <c r="B124" s="200"/>
      <c r="C124" s="201"/>
      <c r="D124" s="346"/>
      <c r="E124" s="321"/>
      <c r="F124" s="306"/>
      <c r="G124" s="307"/>
      <c r="H124" s="199" t="s">
        <v>549</v>
      </c>
      <c r="I124" s="130"/>
      <c r="J124" s="126"/>
      <c r="K124" s="126"/>
      <c r="L124" s="125" t="str">
        <f>IF(I124&lt;&gt;0,((VLOOKUP(I124,'1. Standard_Cost'!$B$4:$D$11,2)+VLOOKUP(I124,'1. Standard_Cost'!$B$4:$D$11,3))*J124*K124),"0")</f>
        <v>0</v>
      </c>
      <c r="M124" s="125">
        <f>L124*'1. Standard_Cost'!$F$4</f>
        <v>0</v>
      </c>
      <c r="N124" s="126"/>
      <c r="O124" s="126"/>
      <c r="P124" s="126"/>
      <c r="Q124" s="126"/>
      <c r="R124" s="127">
        <f>'1. Standard_Cost'!$B$15*N124*P124</f>
        <v>0</v>
      </c>
      <c r="S124" s="127">
        <f>N124*O124*P124*'1. Standard_Cost'!$C$15</f>
        <v>0</v>
      </c>
      <c r="T124" s="127">
        <f>N124*P124*Q124*'1. Standard_Cost'!$D$15</f>
        <v>0</v>
      </c>
      <c r="U124" s="127">
        <f>N124*O124*'1. Standard_Cost'!$E$15</f>
        <v>0</v>
      </c>
      <c r="V124" s="126"/>
      <c r="W124" s="126"/>
      <c r="X124" s="126"/>
      <c r="Y124" s="127">
        <f>+V124*((X124*'1. Standard_Cost'!$B$19)+(W124*X124*'1. Standard_Cost'!$C$19))</f>
        <v>0</v>
      </c>
      <c r="Z124" s="126"/>
      <c r="AA124" s="126"/>
      <c r="AB124" s="127">
        <f>+Z124*'1. Standard_Cost'!$B$23+AA124*'1. Standard_Cost'!$C$23</f>
        <v>0</v>
      </c>
      <c r="AC124" s="128"/>
      <c r="AD124" s="129"/>
      <c r="AE124" s="127">
        <f>SUM(AD124,AC124,AB124,Y124,U124,T124,S124,R124)*'1. Standard_Cost'!$B$31</f>
        <v>0</v>
      </c>
      <c r="AF124" s="127">
        <f t="shared" ref="AF124:AF132" si="82">SUM(AE124,AD124,AC124,AB124,Y124,U124,T124,S124,R124)</f>
        <v>0</v>
      </c>
      <c r="AG124" s="126"/>
      <c r="AH124" s="126"/>
      <c r="AI124" s="126"/>
      <c r="AJ124" s="130"/>
      <c r="AK124" s="130"/>
      <c r="AL124" s="130"/>
      <c r="AM124" s="127">
        <f>AG124*'1. Standard_Cost'!$B$27+'Incremental_Cost Year 4'!AH124*'1. Standard_Cost'!$C$27+'Incremental_Cost Year 4'!AI124*'1. Standard_Cost'!$D$27+'Incremental_Cost Year 4'!AJ124+'Incremental_Cost Year 4'!AL124+AK124</f>
        <v>0</v>
      </c>
      <c r="AN124" s="127">
        <f>AM124*'1. Standard_Cost'!$C$31</f>
        <v>0</v>
      </c>
      <c r="AO124" s="130"/>
      <c r="AQ124" s="171">
        <f t="shared" ref="AQ124:AQ132" si="83">L124+M124</f>
        <v>0</v>
      </c>
      <c r="AR124" s="171">
        <f t="shared" ref="AR124:AR132" si="84">AF124</f>
        <v>0</v>
      </c>
      <c r="AS124" s="171">
        <f t="shared" ref="AS124:AS132" si="85">AM124+AN124</f>
        <v>0</v>
      </c>
      <c r="AT124" s="171">
        <f t="shared" ref="AT124:AT132" si="86">SUM(AQ124,AR124,AS124)</f>
        <v>0</v>
      </c>
      <c r="AU124" s="250"/>
      <c r="AV124" s="250"/>
      <c r="AW124" s="250"/>
      <c r="AX124" s="250"/>
      <c r="AY124" s="250"/>
      <c r="AZ124" s="250"/>
      <c r="BA124" s="250"/>
      <c r="BB124" s="251">
        <f t="shared" ref="BB124:BB132" si="87">SUM(AU124:BA124)-AT124</f>
        <v>0</v>
      </c>
      <c r="BC124" s="169"/>
      <c r="BD124" s="169"/>
      <c r="BE124" s="169"/>
      <c r="BF124" s="169"/>
    </row>
    <row r="125" spans="1:58" ht="47.25" outlineLevel="2" x14ac:dyDescent="0.25">
      <c r="A125" s="115"/>
      <c r="B125" s="200"/>
      <c r="C125" s="201"/>
      <c r="D125" s="131"/>
      <c r="E125" s="323"/>
      <c r="F125" s="308"/>
      <c r="G125" s="309"/>
      <c r="H125" s="199" t="s">
        <v>446</v>
      </c>
      <c r="I125" s="130" t="s">
        <v>1</v>
      </c>
      <c r="J125" s="126">
        <v>12</v>
      </c>
      <c r="K125" s="126">
        <v>12</v>
      </c>
      <c r="L125" s="125">
        <f>IF(I125&lt;&gt;0,((VLOOKUP(I125,'1. Standard_Cost'!$B$4:$D$11,2)+VLOOKUP(I125,'1. Standard_Cost'!$B$4:$D$11,3))*J125*K125),"0")</f>
        <v>10338171.428571429</v>
      </c>
      <c r="M125" s="125">
        <f>L125*'1. Standard_Cost'!$F$4</f>
        <v>1726474.6285714288</v>
      </c>
      <c r="N125" s="126"/>
      <c r="O125" s="126"/>
      <c r="P125" s="126"/>
      <c r="Q125" s="126"/>
      <c r="R125" s="127">
        <f>'1. Standard_Cost'!$B$15*N125*P125</f>
        <v>0</v>
      </c>
      <c r="S125" s="127">
        <f>N125*O125*P125*'1. Standard_Cost'!$C$15</f>
        <v>0</v>
      </c>
      <c r="T125" s="127">
        <f>N125*P125*Q125*'1. Standard_Cost'!$D$15</f>
        <v>0</v>
      </c>
      <c r="U125" s="127">
        <f>N125*O125*'1. Standard_Cost'!$E$15</f>
        <v>0</v>
      </c>
      <c r="V125" s="126"/>
      <c r="W125" s="126"/>
      <c r="X125" s="126"/>
      <c r="Y125" s="127">
        <f>+V125*((X125*'1. Standard_Cost'!$B$19)+(W125*X125*'1. Standard_Cost'!$C$19))</f>
        <v>0</v>
      </c>
      <c r="Z125" s="126"/>
      <c r="AA125" s="126"/>
      <c r="AB125" s="127">
        <f>+Z125*'1. Standard_Cost'!$B$23+AA125*'1. Standard_Cost'!$C$23</f>
        <v>0</v>
      </c>
      <c r="AC125" s="128">
        <v>1448000</v>
      </c>
      <c r="AD125" s="129"/>
      <c r="AE125" s="127">
        <f>SUM(AD125,AC125,AB125,Y125,U125,T125,S125,R125)*'1. Standard_Cost'!$B$31</f>
        <v>289600</v>
      </c>
      <c r="AF125" s="127">
        <f t="shared" si="82"/>
        <v>1737600</v>
      </c>
      <c r="AG125" s="126"/>
      <c r="AH125" s="126"/>
      <c r="AI125" s="126"/>
      <c r="AJ125" s="130"/>
      <c r="AK125" s="130"/>
      <c r="AL125" s="130"/>
      <c r="AM125" s="127">
        <f>AG125*'1. Standard_Cost'!$B$27+'Incremental_Cost Year 4'!AH125*'1. Standard_Cost'!$C$27+'Incremental_Cost Year 4'!AI125*'1. Standard_Cost'!$D$27+'Incremental_Cost Year 4'!AJ125+'Incremental_Cost Year 4'!AL125+AK125</f>
        <v>0</v>
      </c>
      <c r="AN125" s="127">
        <f>AM125*'1. Standard_Cost'!$C$31</f>
        <v>0</v>
      </c>
      <c r="AO125" s="130"/>
      <c r="AQ125" s="171">
        <f t="shared" si="83"/>
        <v>12064646.057142857</v>
      </c>
      <c r="AR125" s="171">
        <f t="shared" si="84"/>
        <v>1737600</v>
      </c>
      <c r="AS125" s="171">
        <f t="shared" si="85"/>
        <v>0</v>
      </c>
      <c r="AT125" s="171">
        <f t="shared" si="86"/>
        <v>13802246.057142857</v>
      </c>
      <c r="AU125" s="250">
        <v>13802246</v>
      </c>
      <c r="AV125" s="250"/>
      <c r="AW125" s="250"/>
      <c r="AX125" s="250"/>
      <c r="AY125" s="250"/>
      <c r="AZ125" s="250"/>
      <c r="BA125" s="250"/>
      <c r="BB125" s="251">
        <f t="shared" si="87"/>
        <v>-5.714285746216774E-2</v>
      </c>
      <c r="BC125" s="169"/>
      <c r="BD125" s="169"/>
      <c r="BE125" s="169"/>
      <c r="BF125" s="169"/>
    </row>
    <row r="126" spans="1:58" ht="63" outlineLevel="2" x14ac:dyDescent="0.25">
      <c r="A126" s="115"/>
      <c r="B126" s="200"/>
      <c r="C126" s="201"/>
      <c r="D126" s="131"/>
      <c r="E126" s="323"/>
      <c r="F126" s="308"/>
      <c r="G126" s="309"/>
      <c r="H126" s="199" t="s">
        <v>447</v>
      </c>
      <c r="I126" s="130" t="s">
        <v>1</v>
      </c>
      <c r="J126" s="126">
        <v>12</v>
      </c>
      <c r="K126" s="126">
        <v>8</v>
      </c>
      <c r="L126" s="125">
        <f>IF(I126&lt;&gt;0,((VLOOKUP(I126,'1. Standard_Cost'!$B$4:$D$11,2)+VLOOKUP(I126,'1. Standard_Cost'!$B$4:$D$11,3))*J126*K126),"0")</f>
        <v>6892114.2857142854</v>
      </c>
      <c r="M126" s="125">
        <f>L126*'1. Standard_Cost'!$F$4</f>
        <v>1150983.0857142857</v>
      </c>
      <c r="N126" s="126"/>
      <c r="O126" s="126"/>
      <c r="P126" s="126"/>
      <c r="Q126" s="126"/>
      <c r="R126" s="127">
        <f>'1. Standard_Cost'!$B$15*N126*P126</f>
        <v>0</v>
      </c>
      <c r="S126" s="127">
        <f>N126*O126*P126*'1. Standard_Cost'!$C$15</f>
        <v>0</v>
      </c>
      <c r="T126" s="127">
        <f>N126*P126*Q126*'1. Standard_Cost'!$D$15</f>
        <v>0</v>
      </c>
      <c r="U126" s="127">
        <f>N126*O126*'1. Standard_Cost'!$E$15</f>
        <v>0</v>
      </c>
      <c r="V126" s="126"/>
      <c r="W126" s="126"/>
      <c r="X126" s="126"/>
      <c r="Y126" s="127">
        <f>+V126*((X126*'1. Standard_Cost'!$B$19)+(W126*X126*'1. Standard_Cost'!$C$19))</f>
        <v>0</v>
      </c>
      <c r="Z126" s="126"/>
      <c r="AA126" s="126"/>
      <c r="AB126" s="127">
        <f>+Z126*'1. Standard_Cost'!$B$23+AA126*'1. Standard_Cost'!$C$23</f>
        <v>0</v>
      </c>
      <c r="AC126" s="128">
        <v>965172</v>
      </c>
      <c r="AD126" s="129"/>
      <c r="AE126" s="127">
        <f>SUM(AD126,AC126,AB126,Y126,U126,T126,S126,R126)*'1. Standard_Cost'!$B$31</f>
        <v>193034.40000000002</v>
      </c>
      <c r="AF126" s="127">
        <f t="shared" si="82"/>
        <v>1158206.3999999999</v>
      </c>
      <c r="AG126" s="126"/>
      <c r="AH126" s="126"/>
      <c r="AI126" s="126"/>
      <c r="AJ126" s="130"/>
      <c r="AK126" s="130"/>
      <c r="AL126" s="130"/>
      <c r="AM126" s="127">
        <f>AG126*'1. Standard_Cost'!$B$27+'Incremental_Cost Year 4'!AH126*'1. Standard_Cost'!$C$27+'Incremental_Cost Year 4'!AI126*'1. Standard_Cost'!$D$27+'Incremental_Cost Year 4'!AJ126+'Incremental_Cost Year 4'!AL126+AK126</f>
        <v>0</v>
      </c>
      <c r="AN126" s="127">
        <f>AM126*'1. Standard_Cost'!$C$31</f>
        <v>0</v>
      </c>
      <c r="AO126" s="130"/>
      <c r="AQ126" s="171">
        <f t="shared" si="83"/>
        <v>8043097.3714285716</v>
      </c>
      <c r="AR126" s="171">
        <f t="shared" si="84"/>
        <v>1158206.3999999999</v>
      </c>
      <c r="AS126" s="171">
        <f t="shared" si="85"/>
        <v>0</v>
      </c>
      <c r="AT126" s="171">
        <f t="shared" si="86"/>
        <v>9201303.771428572</v>
      </c>
      <c r="AU126" s="250">
        <v>9201304</v>
      </c>
      <c r="AV126" s="250"/>
      <c r="AW126" s="250"/>
      <c r="AX126" s="250"/>
      <c r="AY126" s="250"/>
      <c r="AZ126" s="250"/>
      <c r="BA126" s="250"/>
      <c r="BB126" s="251">
        <f t="shared" si="87"/>
        <v>0.22857142798602581</v>
      </c>
      <c r="BC126" s="169"/>
      <c r="BD126" s="169"/>
      <c r="BE126" s="169"/>
      <c r="BF126" s="169"/>
    </row>
    <row r="127" spans="1:58" ht="47.25" outlineLevel="2" x14ac:dyDescent="0.25">
      <c r="A127" s="115"/>
      <c r="B127" s="200"/>
      <c r="C127" s="201"/>
      <c r="D127" s="131"/>
      <c r="E127" s="323"/>
      <c r="F127" s="308"/>
      <c r="G127" s="309"/>
      <c r="H127" s="199" t="s">
        <v>448</v>
      </c>
      <c r="I127" s="129" t="s">
        <v>1</v>
      </c>
      <c r="J127" s="380">
        <v>12</v>
      </c>
      <c r="K127" s="380">
        <v>5</v>
      </c>
      <c r="L127" s="125">
        <f>IF(I127&lt;&gt;0,((VLOOKUP(I127,'1. Standard_Cost'!$B$4:$D$11,2)+VLOOKUP(I127,'1. Standard_Cost'!$B$4:$D$11,3))*J127*K127),"0")</f>
        <v>4307571.4285714282</v>
      </c>
      <c r="M127" s="125">
        <f>L127*'1. Standard_Cost'!$F$4</f>
        <v>719364.42857142852</v>
      </c>
      <c r="N127" s="126"/>
      <c r="O127" s="126"/>
      <c r="P127" s="126"/>
      <c r="Q127" s="126"/>
      <c r="R127" s="127">
        <f>'1. Standard_Cost'!$B$15*N127*P127</f>
        <v>0</v>
      </c>
      <c r="S127" s="127">
        <f>N127*O127*P127*'1. Standard_Cost'!$C$15</f>
        <v>0</v>
      </c>
      <c r="T127" s="127">
        <f>N127*P127*Q127*'1. Standard_Cost'!$D$15</f>
        <v>0</v>
      </c>
      <c r="U127" s="127">
        <f>N127*O127*'1. Standard_Cost'!$E$15</f>
        <v>0</v>
      </c>
      <c r="V127" s="126"/>
      <c r="W127" s="126"/>
      <c r="X127" s="126"/>
      <c r="Y127" s="127">
        <f>+V127*((X127*'1. Standard_Cost'!$B$19)+(W127*X127*'1. Standard_Cost'!$C$19))</f>
        <v>0</v>
      </c>
      <c r="Z127" s="126"/>
      <c r="AA127" s="126"/>
      <c r="AB127" s="127">
        <f>+Z127*'1. Standard_Cost'!$B$23+AA127*'1. Standard_Cost'!$C$23</f>
        <v>0</v>
      </c>
      <c r="AC127" s="128">
        <v>754040</v>
      </c>
      <c r="AD127" s="129"/>
      <c r="AE127" s="127">
        <f>SUM(AD127,AC127,AB127,Y127,U127,T127,S127,R127)*'1. Standard_Cost'!$B$31</f>
        <v>150808</v>
      </c>
      <c r="AF127" s="127">
        <f t="shared" si="82"/>
        <v>904848</v>
      </c>
      <c r="AG127" s="126"/>
      <c r="AH127" s="126"/>
      <c r="AI127" s="126"/>
      <c r="AJ127" s="130"/>
      <c r="AK127" s="130"/>
      <c r="AL127" s="130"/>
      <c r="AM127" s="127">
        <f>AG127*'1. Standard_Cost'!$B$27+'Incremental_Cost Year 4'!AH127*'1. Standard_Cost'!$C$27+'Incremental_Cost Year 4'!AI127*'1. Standard_Cost'!$D$27+'Incremental_Cost Year 4'!AJ127+'Incremental_Cost Year 4'!AL127+AK127</f>
        <v>0</v>
      </c>
      <c r="AN127" s="127">
        <f>AM127*'1. Standard_Cost'!$C$31</f>
        <v>0</v>
      </c>
      <c r="AO127" s="130"/>
      <c r="AQ127" s="171">
        <f t="shared" si="83"/>
        <v>5026935.8571428563</v>
      </c>
      <c r="AR127" s="171">
        <f t="shared" si="84"/>
        <v>904848</v>
      </c>
      <c r="AS127" s="171">
        <f t="shared" si="85"/>
        <v>0</v>
      </c>
      <c r="AT127" s="171">
        <f t="shared" si="86"/>
        <v>5931783.8571428563</v>
      </c>
      <c r="AU127" s="250">
        <v>5931784</v>
      </c>
      <c r="AV127" s="250"/>
      <c r="AW127" s="250"/>
      <c r="AX127" s="250"/>
      <c r="AY127" s="250"/>
      <c r="AZ127" s="250"/>
      <c r="BA127" s="250"/>
      <c r="BB127" s="251">
        <f t="shared" si="87"/>
        <v>0.14285714365541935</v>
      </c>
      <c r="BC127" s="169"/>
      <c r="BD127" s="169"/>
      <c r="BE127" s="169"/>
      <c r="BF127" s="169"/>
    </row>
    <row r="128" spans="1:58" ht="63" outlineLevel="2" x14ac:dyDescent="0.25">
      <c r="A128" s="115"/>
      <c r="B128" s="200"/>
      <c r="C128" s="201"/>
      <c r="D128" s="131"/>
      <c r="E128" s="323"/>
      <c r="F128" s="326"/>
      <c r="G128" s="309"/>
      <c r="H128" s="199" t="s">
        <v>449</v>
      </c>
      <c r="I128" s="130"/>
      <c r="J128" s="126"/>
      <c r="K128" s="126"/>
      <c r="L128" s="125" t="str">
        <f>IF(I128&lt;&gt;0,((VLOOKUP(I128,'1. Standard_Cost'!$B$4:$D$11,2)+VLOOKUP(I128,'1. Standard_Cost'!$B$4:$D$11,3))*J128*K128),"0")</f>
        <v>0</v>
      </c>
      <c r="M128" s="125">
        <f>L128*'1. Standard_Cost'!$F$4</f>
        <v>0</v>
      </c>
      <c r="N128" s="126"/>
      <c r="O128" s="126"/>
      <c r="P128" s="126"/>
      <c r="Q128" s="126"/>
      <c r="R128" s="127">
        <f>'1. Standard_Cost'!$B$15*N128*P128</f>
        <v>0</v>
      </c>
      <c r="S128" s="127">
        <f>N128*O128*P128*'1. Standard_Cost'!$C$15</f>
        <v>0</v>
      </c>
      <c r="T128" s="127">
        <f>N128*P128*Q128*'1. Standard_Cost'!$D$15</f>
        <v>0</v>
      </c>
      <c r="U128" s="127">
        <f>N128*O128*'1. Standard_Cost'!$E$15</f>
        <v>0</v>
      </c>
      <c r="V128" s="126"/>
      <c r="W128" s="126"/>
      <c r="X128" s="126"/>
      <c r="Y128" s="127">
        <f>+V128*((X128*'1. Standard_Cost'!$B$19)+(W128*X128*'1. Standard_Cost'!$C$19))</f>
        <v>0</v>
      </c>
      <c r="Z128" s="126"/>
      <c r="AA128" s="126"/>
      <c r="AB128" s="127">
        <f>+Z128*'1. Standard_Cost'!$B$23+AA128*'1. Standard_Cost'!$C$23</f>
        <v>0</v>
      </c>
      <c r="AC128" s="128"/>
      <c r="AD128" s="129"/>
      <c r="AE128" s="127">
        <f>SUM(AD128,AC128,AB128,Y128,U128,T128,S128,R128)*'1. Standard_Cost'!$B$31</f>
        <v>0</v>
      </c>
      <c r="AF128" s="127">
        <f t="shared" si="82"/>
        <v>0</v>
      </c>
      <c r="AG128" s="126"/>
      <c r="AH128" s="126"/>
      <c r="AI128" s="126"/>
      <c r="AJ128" s="130"/>
      <c r="AK128" s="130"/>
      <c r="AL128" s="130"/>
      <c r="AM128" s="127">
        <f>AG128*'1. Standard_Cost'!$B$27+'Incremental_Cost Year 4'!AH128*'1. Standard_Cost'!$C$27+'Incremental_Cost Year 4'!AI128*'1. Standard_Cost'!$D$27+'Incremental_Cost Year 4'!AJ128+'Incremental_Cost Year 4'!AL128+AK128</f>
        <v>0</v>
      </c>
      <c r="AN128" s="127">
        <f>AM128*'1. Standard_Cost'!$C$31</f>
        <v>0</v>
      </c>
      <c r="AO128" s="130"/>
      <c r="AQ128" s="171">
        <f t="shared" si="83"/>
        <v>0</v>
      </c>
      <c r="AR128" s="171">
        <f t="shared" si="84"/>
        <v>0</v>
      </c>
      <c r="AS128" s="171">
        <f t="shared" si="85"/>
        <v>0</v>
      </c>
      <c r="AT128" s="171">
        <f t="shared" si="86"/>
        <v>0</v>
      </c>
      <c r="AU128" s="250"/>
      <c r="AV128" s="250"/>
      <c r="AW128" s="250"/>
      <c r="AX128" s="250"/>
      <c r="AY128" s="250"/>
      <c r="AZ128" s="250"/>
      <c r="BA128" s="250"/>
      <c r="BB128" s="251">
        <f t="shared" si="87"/>
        <v>0</v>
      </c>
      <c r="BC128" s="169"/>
      <c r="BD128" s="169"/>
      <c r="BE128" s="169"/>
      <c r="BF128" s="169"/>
    </row>
    <row r="129" spans="1:58" ht="31.5" outlineLevel="2" x14ac:dyDescent="0.25">
      <c r="A129" s="115"/>
      <c r="B129" s="200"/>
      <c r="C129" s="201"/>
      <c r="D129" s="131"/>
      <c r="E129" s="323"/>
      <c r="F129" s="326"/>
      <c r="G129" s="309"/>
      <c r="H129" s="199" t="s">
        <v>284</v>
      </c>
      <c r="I129" s="130"/>
      <c r="J129" s="126"/>
      <c r="K129" s="126"/>
      <c r="L129" s="125" t="str">
        <f>IF(I129&lt;&gt;0,((VLOOKUP(I129,'1. Standard_Cost'!$B$4:$D$11,2)+VLOOKUP(I129,'1. Standard_Cost'!$B$4:$D$11,3))*J129*K129),"0")</f>
        <v>0</v>
      </c>
      <c r="M129" s="125">
        <f>L129*'1. Standard_Cost'!$F$4</f>
        <v>0</v>
      </c>
      <c r="N129" s="126"/>
      <c r="O129" s="126"/>
      <c r="P129" s="126"/>
      <c r="Q129" s="126"/>
      <c r="R129" s="127">
        <f>'1. Standard_Cost'!$B$15*N129*P129</f>
        <v>0</v>
      </c>
      <c r="S129" s="127">
        <f>N129*O129*P129*'1. Standard_Cost'!$C$15</f>
        <v>0</v>
      </c>
      <c r="T129" s="127">
        <f>N129*P129*Q129*'1. Standard_Cost'!$D$15</f>
        <v>0</v>
      </c>
      <c r="U129" s="127">
        <f>N129*O129*'1. Standard_Cost'!$E$15</f>
        <v>0</v>
      </c>
      <c r="V129" s="126"/>
      <c r="W129" s="126"/>
      <c r="X129" s="126"/>
      <c r="Y129" s="127">
        <f>+V129*((X129*'1. Standard_Cost'!$B$19)+(W129*X129*'1. Standard_Cost'!$C$19))</f>
        <v>0</v>
      </c>
      <c r="Z129" s="126"/>
      <c r="AA129" s="126"/>
      <c r="AB129" s="127">
        <f>+Z129*'1. Standard_Cost'!$B$23+AA129*'1. Standard_Cost'!$C$23</f>
        <v>0</v>
      </c>
      <c r="AC129" s="128"/>
      <c r="AD129" s="129"/>
      <c r="AE129" s="127">
        <f>SUM(AD129,AC129,AB129,Y129,U129,T129,S129,R129)*'1. Standard_Cost'!$B$31</f>
        <v>0</v>
      </c>
      <c r="AF129" s="127">
        <f t="shared" si="82"/>
        <v>0</v>
      </c>
      <c r="AG129" s="126"/>
      <c r="AH129" s="126"/>
      <c r="AI129" s="126"/>
      <c r="AJ129" s="130"/>
      <c r="AK129" s="130"/>
      <c r="AL129" s="130"/>
      <c r="AM129" s="127">
        <f>AG129*'1. Standard_Cost'!$B$27+'Incremental_Cost Year 4'!AH129*'1. Standard_Cost'!$C$27+'Incremental_Cost Year 4'!AI129*'1. Standard_Cost'!$D$27+'Incremental_Cost Year 4'!AJ129+'Incremental_Cost Year 4'!AL129+AK129</f>
        <v>0</v>
      </c>
      <c r="AN129" s="127">
        <f>AM129*'1. Standard_Cost'!$C$31</f>
        <v>0</v>
      </c>
      <c r="AO129" s="130"/>
      <c r="AQ129" s="171">
        <f t="shared" si="83"/>
        <v>0</v>
      </c>
      <c r="AR129" s="171">
        <f t="shared" si="84"/>
        <v>0</v>
      </c>
      <c r="AS129" s="171">
        <f t="shared" si="85"/>
        <v>0</v>
      </c>
      <c r="AT129" s="171">
        <f t="shared" si="86"/>
        <v>0</v>
      </c>
      <c r="AU129" s="250"/>
      <c r="AV129" s="250"/>
      <c r="AW129" s="250"/>
      <c r="AX129" s="250"/>
      <c r="AY129" s="250"/>
      <c r="AZ129" s="250"/>
      <c r="BA129" s="250"/>
      <c r="BB129" s="251">
        <f t="shared" si="87"/>
        <v>0</v>
      </c>
      <c r="BC129" s="169"/>
      <c r="BD129" s="169"/>
      <c r="BE129" s="169"/>
      <c r="BF129" s="169"/>
    </row>
    <row r="130" spans="1:58" ht="63" outlineLevel="2" x14ac:dyDescent="0.25">
      <c r="A130" s="115"/>
      <c r="B130" s="200"/>
      <c r="C130" s="201"/>
      <c r="D130" s="131"/>
      <c r="E130" s="323"/>
      <c r="F130" s="326"/>
      <c r="G130" s="309"/>
      <c r="H130" s="199" t="s">
        <v>450</v>
      </c>
      <c r="I130" s="130"/>
      <c r="J130" s="126"/>
      <c r="K130" s="126"/>
      <c r="L130" s="125" t="str">
        <f>IF(I130&lt;&gt;0,((VLOOKUP(I130,'1. Standard_Cost'!$B$4:$D$11,2)+VLOOKUP(I130,'1. Standard_Cost'!$B$4:$D$11,3))*J130*K130),"0")</f>
        <v>0</v>
      </c>
      <c r="M130" s="125">
        <f>L130*'1. Standard_Cost'!$F$4</f>
        <v>0</v>
      </c>
      <c r="N130" s="126"/>
      <c r="O130" s="126"/>
      <c r="P130" s="126"/>
      <c r="Q130" s="126"/>
      <c r="R130" s="127">
        <f>'1. Standard_Cost'!$B$15*N130*P130</f>
        <v>0</v>
      </c>
      <c r="S130" s="127">
        <f>N130*O130*P130*'1. Standard_Cost'!$C$15</f>
        <v>0</v>
      </c>
      <c r="T130" s="127">
        <f>N130*P130*Q130*'1. Standard_Cost'!$D$15</f>
        <v>0</v>
      </c>
      <c r="U130" s="127">
        <f>N130*O130*'1. Standard_Cost'!$E$15</f>
        <v>0</v>
      </c>
      <c r="V130" s="126"/>
      <c r="W130" s="126"/>
      <c r="X130" s="126"/>
      <c r="Y130" s="127">
        <f>+V130*((X130*'1. Standard_Cost'!$B$19)+(W130*X130*'1. Standard_Cost'!$C$19))</f>
        <v>0</v>
      </c>
      <c r="Z130" s="126"/>
      <c r="AA130" s="126"/>
      <c r="AB130" s="127">
        <f>+Z130*'1. Standard_Cost'!$B$23+AA130*'1. Standard_Cost'!$C$23</f>
        <v>0</v>
      </c>
      <c r="AC130" s="128"/>
      <c r="AD130" s="129"/>
      <c r="AE130" s="127">
        <f>SUM(AD130,AC130,AB130,Y130,U130,T130,S130,R130)*'1. Standard_Cost'!$B$31</f>
        <v>0</v>
      </c>
      <c r="AF130" s="127">
        <f t="shared" si="82"/>
        <v>0</v>
      </c>
      <c r="AG130" s="126"/>
      <c r="AH130" s="126"/>
      <c r="AI130" s="126"/>
      <c r="AJ130" s="130"/>
      <c r="AK130" s="130"/>
      <c r="AL130" s="130"/>
      <c r="AM130" s="127">
        <f>AG130*'1. Standard_Cost'!$B$27+'Incremental_Cost Year 4'!AH130*'1. Standard_Cost'!$C$27+'Incremental_Cost Year 4'!AI130*'1. Standard_Cost'!$D$27+'Incremental_Cost Year 4'!AJ130+'Incremental_Cost Year 4'!AL130+AK130</f>
        <v>0</v>
      </c>
      <c r="AN130" s="127">
        <f>AM130*'1. Standard_Cost'!$C$31</f>
        <v>0</v>
      </c>
      <c r="AO130" s="130"/>
      <c r="AQ130" s="171">
        <f t="shared" si="83"/>
        <v>0</v>
      </c>
      <c r="AR130" s="171">
        <f t="shared" si="84"/>
        <v>0</v>
      </c>
      <c r="AS130" s="171">
        <f t="shared" si="85"/>
        <v>0</v>
      </c>
      <c r="AT130" s="171">
        <f t="shared" si="86"/>
        <v>0</v>
      </c>
      <c r="AU130" s="250"/>
      <c r="AV130" s="250"/>
      <c r="AW130" s="250"/>
      <c r="AX130" s="250"/>
      <c r="AY130" s="250"/>
      <c r="AZ130" s="250"/>
      <c r="BA130" s="250"/>
      <c r="BB130" s="251">
        <f t="shared" si="87"/>
        <v>0</v>
      </c>
      <c r="BC130" s="169"/>
      <c r="BD130" s="169"/>
      <c r="BE130" s="169"/>
      <c r="BF130" s="169"/>
    </row>
    <row r="131" spans="1:58" ht="31.5" outlineLevel="2" x14ac:dyDescent="0.25">
      <c r="A131" s="115"/>
      <c r="B131" s="200"/>
      <c r="C131" s="201"/>
      <c r="D131" s="131"/>
      <c r="E131" s="323"/>
      <c r="F131" s="326"/>
      <c r="G131" s="309"/>
      <c r="H131" s="225" t="s">
        <v>285</v>
      </c>
      <c r="I131" s="130"/>
      <c r="J131" s="126"/>
      <c r="K131" s="126"/>
      <c r="L131" s="125" t="str">
        <f>IF(I131&lt;&gt;0,((VLOOKUP(I131,'1. Standard_Cost'!$B$4:$D$11,2)+VLOOKUP(I131,'1. Standard_Cost'!$B$4:$D$11,3))*J131*K131),"0")</f>
        <v>0</v>
      </c>
      <c r="M131" s="125">
        <f>L131*'1. Standard_Cost'!$F$4</f>
        <v>0</v>
      </c>
      <c r="N131" s="126"/>
      <c r="O131" s="126"/>
      <c r="P131" s="126"/>
      <c r="Q131" s="126"/>
      <c r="R131" s="127">
        <f>'1. Standard_Cost'!$B$15*N131*P131</f>
        <v>0</v>
      </c>
      <c r="S131" s="127">
        <f>N131*O131*P131*'1. Standard_Cost'!$C$15</f>
        <v>0</v>
      </c>
      <c r="T131" s="127">
        <f>N131*P131*Q131*'1. Standard_Cost'!$D$15</f>
        <v>0</v>
      </c>
      <c r="U131" s="127">
        <f>N131*O131*'1. Standard_Cost'!$E$15</f>
        <v>0</v>
      </c>
      <c r="V131" s="126"/>
      <c r="W131" s="126"/>
      <c r="X131" s="126"/>
      <c r="Y131" s="127">
        <f>+V131*((X131*'1. Standard_Cost'!$B$19)+(W131*X131*'1. Standard_Cost'!$C$19))</f>
        <v>0</v>
      </c>
      <c r="Z131" s="126"/>
      <c r="AA131" s="126"/>
      <c r="AB131" s="127">
        <f>+Z131*'1. Standard_Cost'!$B$23+AA131*'1. Standard_Cost'!$C$23</f>
        <v>0</v>
      </c>
      <c r="AC131" s="128"/>
      <c r="AD131" s="129"/>
      <c r="AE131" s="127">
        <f>SUM(AD131,AC131,AB131,Y131,U131,T131,S131,R131)*'1. Standard_Cost'!$B$31</f>
        <v>0</v>
      </c>
      <c r="AF131" s="127">
        <f t="shared" si="82"/>
        <v>0</v>
      </c>
      <c r="AG131" s="126"/>
      <c r="AH131" s="126"/>
      <c r="AI131" s="126"/>
      <c r="AJ131" s="130"/>
      <c r="AK131" s="130"/>
      <c r="AL131" s="130"/>
      <c r="AM131" s="127">
        <f>AG131*'1. Standard_Cost'!$B$27+'Incremental_Cost Year 4'!AH131*'1. Standard_Cost'!$C$27+'Incremental_Cost Year 4'!AI131*'1. Standard_Cost'!$D$27+'Incremental_Cost Year 4'!AJ131+'Incremental_Cost Year 4'!AL131+AK131</f>
        <v>0</v>
      </c>
      <c r="AN131" s="127">
        <f>AM131*'1. Standard_Cost'!$C$31</f>
        <v>0</v>
      </c>
      <c r="AO131" s="130"/>
      <c r="AQ131" s="171">
        <f t="shared" si="83"/>
        <v>0</v>
      </c>
      <c r="AR131" s="171">
        <f t="shared" si="84"/>
        <v>0</v>
      </c>
      <c r="AS131" s="171">
        <f t="shared" si="85"/>
        <v>0</v>
      </c>
      <c r="AT131" s="171">
        <f t="shared" si="86"/>
        <v>0</v>
      </c>
      <c r="AU131" s="250"/>
      <c r="AV131" s="250"/>
      <c r="AW131" s="250"/>
      <c r="AX131" s="250"/>
      <c r="AY131" s="250"/>
      <c r="AZ131" s="250"/>
      <c r="BA131" s="250"/>
      <c r="BB131" s="251">
        <f t="shared" si="87"/>
        <v>0</v>
      </c>
      <c r="BC131" s="169"/>
      <c r="BD131" s="169"/>
      <c r="BE131" s="169"/>
      <c r="BF131" s="169"/>
    </row>
    <row r="132" spans="1:58" ht="126" outlineLevel="2" x14ac:dyDescent="0.25">
      <c r="A132" s="115"/>
      <c r="B132" s="147"/>
      <c r="C132" s="314"/>
      <c r="D132" s="305"/>
      <c r="E132" s="322"/>
      <c r="F132" s="324"/>
      <c r="G132" s="312"/>
      <c r="H132" s="225" t="s">
        <v>451</v>
      </c>
      <c r="I132" s="130"/>
      <c r="J132" s="126"/>
      <c r="K132" s="126"/>
      <c r="L132" s="125" t="str">
        <f>IF(I132&lt;&gt;0,((VLOOKUP(I132,'1. Standard_Cost'!$B$4:$D$11,2)+VLOOKUP(I132,'1. Standard_Cost'!$B$4:$D$11,3))*J132*K132),"0")</f>
        <v>0</v>
      </c>
      <c r="M132" s="125">
        <f>L132*'1. Standard_Cost'!$F$4</f>
        <v>0</v>
      </c>
      <c r="N132" s="126"/>
      <c r="O132" s="126"/>
      <c r="P132" s="126"/>
      <c r="Q132" s="126"/>
      <c r="R132" s="127">
        <f>'1. Standard_Cost'!$B$15*N132*P132</f>
        <v>0</v>
      </c>
      <c r="S132" s="127">
        <f>N132*O132*P132*'1. Standard_Cost'!$C$15</f>
        <v>0</v>
      </c>
      <c r="T132" s="127">
        <f>N132*P132*Q132*'1. Standard_Cost'!$D$15</f>
        <v>0</v>
      </c>
      <c r="U132" s="127">
        <f>N132*O132*'1. Standard_Cost'!$E$15</f>
        <v>0</v>
      </c>
      <c r="V132" s="126"/>
      <c r="W132" s="126"/>
      <c r="X132" s="126"/>
      <c r="Y132" s="127">
        <f>+V132*((X132*'1. Standard_Cost'!$B$19)+(W132*X132*'1. Standard_Cost'!$C$19))</f>
        <v>0</v>
      </c>
      <c r="Z132" s="126"/>
      <c r="AA132" s="126"/>
      <c r="AB132" s="127">
        <f>+Z132*'1. Standard_Cost'!$B$23+AA132*'1. Standard_Cost'!$C$23</f>
        <v>0</v>
      </c>
      <c r="AC132" s="128"/>
      <c r="AD132" s="129"/>
      <c r="AE132" s="127">
        <f>SUM(AD132,AC132,AB132,Y132,U132,T132,S132,R132)*'1. Standard_Cost'!$B$31</f>
        <v>0</v>
      </c>
      <c r="AF132" s="127">
        <f t="shared" si="82"/>
        <v>0</v>
      </c>
      <c r="AG132" s="126"/>
      <c r="AH132" s="126"/>
      <c r="AI132" s="126"/>
      <c r="AJ132" s="130"/>
      <c r="AK132" s="130"/>
      <c r="AL132" s="130"/>
      <c r="AM132" s="127">
        <f>AG132*'1. Standard_Cost'!$B$27+'Incremental_Cost Year 4'!AH132*'1. Standard_Cost'!$C$27+'Incremental_Cost Year 4'!AI132*'1. Standard_Cost'!$D$27+'Incremental_Cost Year 4'!AJ132+'Incremental_Cost Year 4'!AL132+AK132</f>
        <v>0</v>
      </c>
      <c r="AN132" s="127">
        <f>AM132*'1. Standard_Cost'!$C$31</f>
        <v>0</v>
      </c>
      <c r="AO132" s="130"/>
      <c r="AQ132" s="171">
        <f t="shared" si="83"/>
        <v>0</v>
      </c>
      <c r="AR132" s="171">
        <f t="shared" si="84"/>
        <v>0</v>
      </c>
      <c r="AS132" s="171">
        <f t="shared" si="85"/>
        <v>0</v>
      </c>
      <c r="AT132" s="171">
        <f t="shared" si="86"/>
        <v>0</v>
      </c>
      <c r="AU132" s="250"/>
      <c r="AV132" s="250"/>
      <c r="AW132" s="250"/>
      <c r="AX132" s="250"/>
      <c r="AY132" s="250"/>
      <c r="AZ132" s="250"/>
      <c r="BA132" s="250"/>
      <c r="BB132" s="251">
        <f t="shared" si="87"/>
        <v>0</v>
      </c>
      <c r="BC132" s="169"/>
      <c r="BD132" s="169"/>
      <c r="BE132" s="169"/>
      <c r="BF132" s="169"/>
    </row>
    <row r="133" spans="1:58" ht="110.25" outlineLevel="1" x14ac:dyDescent="0.25">
      <c r="A133" s="115"/>
      <c r="B133" s="200"/>
      <c r="C133" s="201"/>
      <c r="D133" s="146" t="s">
        <v>561</v>
      </c>
      <c r="E133" s="310" t="s">
        <v>452</v>
      </c>
      <c r="F133" s="121">
        <v>2021</v>
      </c>
      <c r="G133" s="223">
        <v>2030</v>
      </c>
      <c r="H133" s="110" t="s">
        <v>286</v>
      </c>
      <c r="I133" s="252"/>
      <c r="J133" s="252"/>
      <c r="K133" s="252"/>
      <c r="L133" s="127">
        <f>SUM(L124:L132)</f>
        <v>21537857.142857146</v>
      </c>
      <c r="M133" s="127">
        <f>SUM(M124:M132)</f>
        <v>3596822.1428571432</v>
      </c>
      <c r="N133" s="127"/>
      <c r="O133" s="252"/>
      <c r="P133" s="252"/>
      <c r="Q133" s="252"/>
      <c r="R133" s="127">
        <f>SUM(R124:R132)</f>
        <v>0</v>
      </c>
      <c r="S133" s="127">
        <f>SUM(S124:S132)</f>
        <v>0</v>
      </c>
      <c r="T133" s="127">
        <f>SUM(T124:T132)</f>
        <v>0</v>
      </c>
      <c r="U133" s="127">
        <f>SUM(U124:U132)</f>
        <v>0</v>
      </c>
      <c r="V133" s="252"/>
      <c r="W133" s="252"/>
      <c r="X133" s="252"/>
      <c r="Y133" s="127">
        <f>SUM(Y124:Y132)</f>
        <v>0</v>
      </c>
      <c r="Z133" s="252"/>
      <c r="AA133" s="252"/>
      <c r="AB133" s="127">
        <f>SUM(AB124:AB132)</f>
        <v>0</v>
      </c>
      <c r="AC133" s="127">
        <f>SUM(AC124:AC132)</f>
        <v>3167212</v>
      </c>
      <c r="AD133" s="127">
        <f>SUM(AD124:AD132)</f>
        <v>0</v>
      </c>
      <c r="AE133" s="127">
        <f>SUM(AE124:AE132)</f>
        <v>633442.4</v>
      </c>
      <c r="AF133" s="127">
        <f>SUM(AF124:AF132)</f>
        <v>3800654.4</v>
      </c>
      <c r="AG133" s="252"/>
      <c r="AH133" s="252"/>
      <c r="AI133" s="252"/>
      <c r="AJ133" s="127">
        <f>SUM(AJ124:AJ132)</f>
        <v>0</v>
      </c>
      <c r="AK133" s="127">
        <f>SUM(AK124:AK132)</f>
        <v>0</v>
      </c>
      <c r="AL133" s="127">
        <f>SUM(AL124:AL132)</f>
        <v>0</v>
      </c>
      <c r="AM133" s="127">
        <f>SUM(AM124:AM132)</f>
        <v>0</v>
      </c>
      <c r="AN133" s="127">
        <f>SUM(AN124:AN132)</f>
        <v>0</v>
      </c>
      <c r="AO133" s="253"/>
      <c r="AP133" s="254"/>
      <c r="AQ133" s="175">
        <f>SUM(AQ124:AQ132)</f>
        <v>25134679.285714284</v>
      </c>
      <c r="AR133" s="175">
        <f>SUM(AR124:AR132)</f>
        <v>3800654.4</v>
      </c>
      <c r="AS133" s="175">
        <f>SUM(AS124:AS132)</f>
        <v>0</v>
      </c>
      <c r="AT133" s="175">
        <f>SUM(AT124:AT132)</f>
        <v>28935333.68571429</v>
      </c>
      <c r="AU133" s="175">
        <f t="shared" ref="AU133:BB133" si="88">SUM(AU124:AU132)</f>
        <v>28935334</v>
      </c>
      <c r="AV133" s="175">
        <f t="shared" si="88"/>
        <v>0</v>
      </c>
      <c r="AW133" s="175">
        <f t="shared" si="88"/>
        <v>0</v>
      </c>
      <c r="AX133" s="175">
        <f t="shared" si="88"/>
        <v>0</v>
      </c>
      <c r="AY133" s="175">
        <f t="shared" si="88"/>
        <v>0</v>
      </c>
      <c r="AZ133" s="175">
        <f t="shared" si="88"/>
        <v>0</v>
      </c>
      <c r="BA133" s="175">
        <f t="shared" si="88"/>
        <v>0</v>
      </c>
      <c r="BB133" s="175">
        <f t="shared" si="88"/>
        <v>0.31428571417927742</v>
      </c>
      <c r="BC133" s="169"/>
      <c r="BD133" s="169"/>
      <c r="BE133" s="169"/>
      <c r="BF133" s="169"/>
    </row>
    <row r="134" spans="1:58" s="184" customFormat="1" ht="15.75" customHeight="1" x14ac:dyDescent="0.25">
      <c r="A134" s="143"/>
      <c r="B134" s="290"/>
      <c r="C134" s="391" t="s">
        <v>289</v>
      </c>
      <c r="D134" s="391"/>
      <c r="E134" s="392"/>
      <c r="F134" s="291"/>
      <c r="G134" s="289"/>
      <c r="H134" s="144" t="s">
        <v>290</v>
      </c>
      <c r="I134" s="257"/>
      <c r="J134" s="257"/>
      <c r="K134" s="257"/>
      <c r="L134" s="258">
        <f>SUM(L139)</f>
        <v>1696800</v>
      </c>
      <c r="M134" s="258">
        <f>SUM(M139)</f>
        <v>283365.60000000003</v>
      </c>
      <c r="N134" s="257"/>
      <c r="O134" s="257"/>
      <c r="P134" s="257"/>
      <c r="Q134" s="257"/>
      <c r="R134" s="258">
        <f>SUM(R139)</f>
        <v>0</v>
      </c>
      <c r="S134" s="258">
        <f>SUM(S139)</f>
        <v>0</v>
      </c>
      <c r="T134" s="258">
        <f>SUM(T139)</f>
        <v>0</v>
      </c>
      <c r="U134" s="258">
        <f>SUM(U139)</f>
        <v>0</v>
      </c>
      <c r="V134" s="257"/>
      <c r="W134" s="257"/>
      <c r="X134" s="257"/>
      <c r="Y134" s="258">
        <f>SUM(Y139)</f>
        <v>0</v>
      </c>
      <c r="Z134" s="258"/>
      <c r="AA134" s="258"/>
      <c r="AB134" s="258">
        <f>SUM(AB139)</f>
        <v>0</v>
      </c>
      <c r="AC134" s="258">
        <f>SUM(AC139)</f>
        <v>12140000000</v>
      </c>
      <c r="AD134" s="258">
        <f>SUM(AD139)</f>
        <v>0</v>
      </c>
      <c r="AE134" s="258">
        <f>SUM(AE139)</f>
        <v>0</v>
      </c>
      <c r="AF134" s="258">
        <f>SUM(AF139)</f>
        <v>12152240000</v>
      </c>
      <c r="AG134" s="257"/>
      <c r="AH134" s="257"/>
      <c r="AI134" s="257"/>
      <c r="AJ134" s="258">
        <f>SUM(AJ139)</f>
        <v>0</v>
      </c>
      <c r="AK134" s="258">
        <f>SUM(AK139)</f>
        <v>0</v>
      </c>
      <c r="AL134" s="258">
        <f>SUM(AL139)</f>
        <v>0</v>
      </c>
      <c r="AM134" s="258">
        <f>SUM(AM139)</f>
        <v>0</v>
      </c>
      <c r="AN134" s="258">
        <f>SUM(AN139)</f>
        <v>0</v>
      </c>
      <c r="AO134" s="259"/>
      <c r="AP134" s="260"/>
      <c r="AQ134" s="261">
        <f>SUM(AQ139)</f>
        <v>1980165.6</v>
      </c>
      <c r="AR134" s="261">
        <f>SUM(AR139)</f>
        <v>12152240000</v>
      </c>
      <c r="AS134" s="261">
        <f>SUM(AS139)</f>
        <v>0</v>
      </c>
      <c r="AT134" s="261">
        <f>SUM(AT139)</f>
        <v>12154220165.6</v>
      </c>
      <c r="AU134" s="261">
        <f t="shared" ref="AU134:BB134" si="89">SUM(AU139)</f>
        <v>12154220166</v>
      </c>
      <c r="AV134" s="261">
        <f t="shared" si="89"/>
        <v>0</v>
      </c>
      <c r="AW134" s="261">
        <f t="shared" si="89"/>
        <v>0</v>
      </c>
      <c r="AX134" s="261">
        <f t="shared" si="89"/>
        <v>0</v>
      </c>
      <c r="AY134" s="261">
        <f t="shared" si="89"/>
        <v>0</v>
      </c>
      <c r="AZ134" s="261">
        <f t="shared" si="89"/>
        <v>0</v>
      </c>
      <c r="BA134" s="261">
        <f t="shared" si="89"/>
        <v>0</v>
      </c>
      <c r="BB134" s="261">
        <f t="shared" si="89"/>
        <v>0.40000000037252903</v>
      </c>
    </row>
    <row r="135" spans="1:58" ht="126" outlineLevel="2" x14ac:dyDescent="0.25">
      <c r="A135" s="115"/>
      <c r="B135" s="200"/>
      <c r="C135" s="201"/>
      <c r="D135" s="346"/>
      <c r="E135" s="321"/>
      <c r="F135" s="337"/>
      <c r="G135" s="338"/>
      <c r="H135" s="199" t="s">
        <v>453</v>
      </c>
      <c r="I135" s="130"/>
      <c r="J135" s="126"/>
      <c r="K135" s="126"/>
      <c r="L135" s="125" t="str">
        <f>IF(I135&lt;&gt;0,((VLOOKUP(I135,'1. Standard_Cost'!$B$4:$D$11,2)+VLOOKUP(I135,'1. Standard_Cost'!$B$4:$D$11,3))*J135*K135),"0")</f>
        <v>0</v>
      </c>
      <c r="M135" s="125">
        <f>L135*'1. Standard_Cost'!$F$4</f>
        <v>0</v>
      </c>
      <c r="N135" s="126"/>
      <c r="O135" s="126"/>
      <c r="P135" s="126"/>
      <c r="Q135" s="126"/>
      <c r="R135" s="127">
        <f>'1. Standard_Cost'!$B$15*N135*P135</f>
        <v>0</v>
      </c>
      <c r="S135" s="127">
        <f>N135*O135*P135*'1. Standard_Cost'!$C$15</f>
        <v>0</v>
      </c>
      <c r="T135" s="127">
        <f>N135*P135*Q135*'1. Standard_Cost'!$D$15</f>
        <v>0</v>
      </c>
      <c r="U135" s="127">
        <f>N135*O135*'1. Standard_Cost'!$E$15</f>
        <v>0</v>
      </c>
      <c r="V135" s="126"/>
      <c r="W135" s="126"/>
      <c r="X135" s="126"/>
      <c r="Y135" s="127">
        <f>+V135*((X135*'1. Standard_Cost'!$B$19)+(W135*X135*'1. Standard_Cost'!$C$19))</f>
        <v>0</v>
      </c>
      <c r="Z135" s="126"/>
      <c r="AA135" s="126"/>
      <c r="AB135" s="127">
        <f>+Z135*'1. Standard_Cost'!$B$23+AA135*'1. Standard_Cost'!$C$23</f>
        <v>0</v>
      </c>
      <c r="AC135" s="128">
        <v>12140000000</v>
      </c>
      <c r="AD135" s="129"/>
      <c r="AE135" s="127"/>
      <c r="AF135" s="127">
        <f>SUM(AE135,AD135,AC135,AB135,Y135,U135,T135,S135,R135)</f>
        <v>12140000000</v>
      </c>
      <c r="AG135" s="126"/>
      <c r="AH135" s="126"/>
      <c r="AI135" s="126"/>
      <c r="AJ135" s="130"/>
      <c r="AK135" s="130"/>
      <c r="AL135" s="130"/>
      <c r="AM135" s="127">
        <f>AG135*'1. Standard_Cost'!$B$27+'Incremental_Cost Year 4'!AH135*'1. Standard_Cost'!$C$27+'Incremental_Cost Year 4'!AI135*'1. Standard_Cost'!$D$27+'Incremental_Cost Year 4'!AJ135+'Incremental_Cost Year 4'!AL135+AK135</f>
        <v>0</v>
      </c>
      <c r="AN135" s="127">
        <f>AM135*'1. Standard_Cost'!$C$31</f>
        <v>0</v>
      </c>
      <c r="AO135" s="130"/>
      <c r="AQ135" s="171">
        <f>L135+M135</f>
        <v>0</v>
      </c>
      <c r="AR135" s="171">
        <f>AF135</f>
        <v>12140000000</v>
      </c>
      <c r="AS135" s="171">
        <f>AM135+AN135</f>
        <v>0</v>
      </c>
      <c r="AT135" s="171">
        <f>SUM(AQ135,AR135,AS135)</f>
        <v>12140000000</v>
      </c>
      <c r="AU135" s="250">
        <v>12140000000</v>
      </c>
      <c r="AV135" s="250"/>
      <c r="AW135" s="250"/>
      <c r="AX135" s="250"/>
      <c r="AY135" s="250"/>
      <c r="AZ135" s="250"/>
      <c r="BA135" s="250"/>
      <c r="BB135" s="251">
        <f t="shared" ref="BB135:BB138" si="90">SUM(AU135:BA135)-AT135</f>
        <v>0</v>
      </c>
      <c r="BC135" s="169"/>
      <c r="BD135" s="169"/>
      <c r="BE135" s="169"/>
      <c r="BF135" s="169"/>
    </row>
    <row r="136" spans="1:58" ht="78.75" outlineLevel="2" x14ac:dyDescent="0.25">
      <c r="A136" s="115"/>
      <c r="B136" s="200"/>
      <c r="C136" s="201"/>
      <c r="D136" s="203"/>
      <c r="E136" s="323"/>
      <c r="F136" s="335"/>
      <c r="G136" s="336"/>
      <c r="H136" s="199" t="s">
        <v>454</v>
      </c>
      <c r="I136" s="130"/>
      <c r="J136" s="126"/>
      <c r="K136" s="126"/>
      <c r="L136" s="125" t="str">
        <f>IF(I136&lt;&gt;0,((VLOOKUP(I136,'1. Standard_Cost'!$B$4:$D$11,2)+VLOOKUP(I136,'1. Standard_Cost'!$B$4:$D$11,3))*J136*K136),"0")</f>
        <v>0</v>
      </c>
      <c r="M136" s="125">
        <f>L136*'1. Standard_Cost'!$F$4</f>
        <v>0</v>
      </c>
      <c r="N136" s="126"/>
      <c r="O136" s="126"/>
      <c r="P136" s="126"/>
      <c r="Q136" s="126"/>
      <c r="R136" s="127">
        <f>'1. Standard_Cost'!$B$15*N136*P136</f>
        <v>0</v>
      </c>
      <c r="S136" s="127">
        <f>N136*O136*P136*'1. Standard_Cost'!$C$15</f>
        <v>0</v>
      </c>
      <c r="T136" s="127">
        <f>N136*P136*Q136*'1. Standard_Cost'!$D$15</f>
        <v>0</v>
      </c>
      <c r="U136" s="127">
        <f>N136*O136*'1. Standard_Cost'!$E$15</f>
        <v>0</v>
      </c>
      <c r="V136" s="126"/>
      <c r="W136" s="126"/>
      <c r="X136" s="126"/>
      <c r="Y136" s="127">
        <f>+V136*((X136*'1. Standard_Cost'!$B$19)+(W136*X136*'1. Standard_Cost'!$C$19))</f>
        <v>0</v>
      </c>
      <c r="Z136" s="126"/>
      <c r="AA136" s="126"/>
      <c r="AB136" s="127">
        <f>+Z136*'1. Standard_Cost'!$B$23+AA136*'1. Standard_Cost'!$C$23</f>
        <v>0</v>
      </c>
      <c r="AC136" s="128"/>
      <c r="AD136" s="129"/>
      <c r="AE136" s="127">
        <f>SUM(AD136,AC136,AB136,Y136,U136,T136,S136,R136)*'1. Standard_Cost'!$B$31</f>
        <v>0</v>
      </c>
      <c r="AF136" s="127">
        <f>SUM(AE136,AD136,AC136,AB136,Y136,U136,T136,S136,R136)</f>
        <v>0</v>
      </c>
      <c r="AG136" s="126"/>
      <c r="AH136" s="126"/>
      <c r="AI136" s="126"/>
      <c r="AJ136" s="130"/>
      <c r="AK136" s="130"/>
      <c r="AL136" s="130"/>
      <c r="AM136" s="127">
        <f>AG136*'1. Standard_Cost'!$B$27+'Incremental_Cost Year 4'!AH136*'1. Standard_Cost'!$C$27+'Incremental_Cost Year 4'!AI136*'1. Standard_Cost'!$D$27+'Incremental_Cost Year 4'!AJ136+'Incremental_Cost Year 4'!AL136+AK136</f>
        <v>0</v>
      </c>
      <c r="AN136" s="127">
        <f>AM136*'1. Standard_Cost'!$C$31</f>
        <v>0</v>
      </c>
      <c r="AO136" s="130"/>
      <c r="AQ136" s="171">
        <f>L136+M136</f>
        <v>0</v>
      </c>
      <c r="AR136" s="171">
        <f>AF136</f>
        <v>0</v>
      </c>
      <c r="AS136" s="171">
        <f>AM136+AN136</f>
        <v>0</v>
      </c>
      <c r="AT136" s="171">
        <f>SUM(AQ136,AR136,AS136)</f>
        <v>0</v>
      </c>
      <c r="AU136" s="250"/>
      <c r="AV136" s="250"/>
      <c r="AW136" s="250"/>
      <c r="AX136" s="250"/>
      <c r="AY136" s="250"/>
      <c r="AZ136" s="250"/>
      <c r="BA136" s="250"/>
      <c r="BB136" s="251">
        <f t="shared" si="90"/>
        <v>0</v>
      </c>
      <c r="BC136" s="169"/>
      <c r="BD136" s="169"/>
      <c r="BE136" s="169"/>
      <c r="BF136" s="169"/>
    </row>
    <row r="137" spans="1:58" ht="110.25" outlineLevel="2" x14ac:dyDescent="0.25">
      <c r="A137" s="115"/>
      <c r="B137" s="200"/>
      <c r="C137" s="201"/>
      <c r="D137" s="203"/>
      <c r="E137" s="323"/>
      <c r="F137" s="335"/>
      <c r="G137" s="336"/>
      <c r="H137" s="199" t="s">
        <v>455</v>
      </c>
      <c r="I137" s="130"/>
      <c r="J137" s="126"/>
      <c r="K137" s="126"/>
      <c r="L137" s="125" t="str">
        <f>IF(I137&lt;&gt;0,((VLOOKUP(I137,'1. Standard_Cost'!$B$4:$D$11,2)+VLOOKUP(I137,'1. Standard_Cost'!$B$4:$D$11,3))*J137*K137),"0")</f>
        <v>0</v>
      </c>
      <c r="M137" s="125">
        <f>L137*'1. Standard_Cost'!$F$4</f>
        <v>0</v>
      </c>
      <c r="N137" s="126"/>
      <c r="O137" s="126"/>
      <c r="P137" s="126"/>
      <c r="Q137" s="126"/>
      <c r="R137" s="127">
        <f>'1. Standard_Cost'!$B$15*N137*P137</f>
        <v>0</v>
      </c>
      <c r="S137" s="127">
        <f>N137*O137*P137*'1. Standard_Cost'!$C$15</f>
        <v>0</v>
      </c>
      <c r="T137" s="127">
        <f>N137*P137*Q137*'1. Standard_Cost'!$D$15</f>
        <v>0</v>
      </c>
      <c r="U137" s="127">
        <f>N137*O137*'1. Standard_Cost'!$E$15</f>
        <v>0</v>
      </c>
      <c r="V137" s="126"/>
      <c r="W137" s="126"/>
      <c r="X137" s="126"/>
      <c r="Y137" s="127">
        <f>+V137*((X137*'1. Standard_Cost'!$B$19)+(W137*X137*'1. Standard_Cost'!$C$19))</f>
        <v>0</v>
      </c>
      <c r="Z137" s="126"/>
      <c r="AA137" s="126"/>
      <c r="AB137" s="127">
        <f>+Z137*'1. Standard_Cost'!$B$23+AA137*'1. Standard_Cost'!$C$23</f>
        <v>0</v>
      </c>
      <c r="AC137" s="128"/>
      <c r="AD137" s="129"/>
      <c r="AE137" s="127">
        <f>SUM(AD137,AC137,AB137,Y137,U137,T137,S137,R137)*'1. Standard_Cost'!$B$31</f>
        <v>0</v>
      </c>
      <c r="AF137" s="127">
        <f>SUM(AE137,AD137,AC137,AB137,Y137,U137,T137,S137,R137)</f>
        <v>0</v>
      </c>
      <c r="AG137" s="126"/>
      <c r="AH137" s="126"/>
      <c r="AI137" s="126"/>
      <c r="AJ137" s="130"/>
      <c r="AK137" s="130"/>
      <c r="AL137" s="130"/>
      <c r="AM137" s="127">
        <f>AG137*'1. Standard_Cost'!$B$27+'Incremental_Cost Year 4'!AH137*'1. Standard_Cost'!$C$27+'Incremental_Cost Year 4'!AI137*'1. Standard_Cost'!$D$27+'Incremental_Cost Year 4'!AJ137+'Incremental_Cost Year 4'!AL137+AK137</f>
        <v>0</v>
      </c>
      <c r="AN137" s="127">
        <f>AM137*'1. Standard_Cost'!$C$31</f>
        <v>0</v>
      </c>
      <c r="AO137" s="130"/>
      <c r="AQ137" s="171">
        <f>L137+M137</f>
        <v>0</v>
      </c>
      <c r="AR137" s="171">
        <f>AF137</f>
        <v>0</v>
      </c>
      <c r="AS137" s="171">
        <f>AM137+AN137</f>
        <v>0</v>
      </c>
      <c r="AT137" s="171">
        <f>SUM(AQ137,AR137,AS137)</f>
        <v>0</v>
      </c>
      <c r="AU137" s="250"/>
      <c r="AV137" s="250"/>
      <c r="AW137" s="250"/>
      <c r="AX137" s="250"/>
      <c r="AY137" s="250"/>
      <c r="AZ137" s="250"/>
      <c r="BA137" s="250"/>
      <c r="BB137" s="251">
        <f t="shared" si="90"/>
        <v>0</v>
      </c>
      <c r="BC137" s="169"/>
      <c r="BD137" s="169"/>
      <c r="BE137" s="169"/>
      <c r="BF137" s="169"/>
    </row>
    <row r="138" spans="1:58" ht="78.75" outlineLevel="2" x14ac:dyDescent="0.25">
      <c r="A138" s="115"/>
      <c r="B138" s="200"/>
      <c r="C138" s="334"/>
      <c r="D138" s="347"/>
      <c r="E138" s="323"/>
      <c r="F138" s="335"/>
      <c r="G138" s="336"/>
      <c r="H138" s="199" t="s">
        <v>456</v>
      </c>
      <c r="I138" s="130" t="s">
        <v>5</v>
      </c>
      <c r="J138" s="126">
        <v>12</v>
      </c>
      <c r="K138" s="126">
        <v>2</v>
      </c>
      <c r="L138" s="125">
        <f>IF(I138&lt;&gt;0,((VLOOKUP(I138,'1. Standard_Cost'!$B$4:$D$11,2)+VLOOKUP(I138,'1. Standard_Cost'!$B$4:$D$11,3))*J138*K138),"0")</f>
        <v>1696800</v>
      </c>
      <c r="M138" s="125">
        <f>L138*'1. Standard_Cost'!$F$4</f>
        <v>283365.60000000003</v>
      </c>
      <c r="N138" s="126"/>
      <c r="O138" s="126"/>
      <c r="P138" s="126"/>
      <c r="Q138" s="126"/>
      <c r="R138" s="127">
        <f>'1. Standard_Cost'!$B$15*N138*P138</f>
        <v>0</v>
      </c>
      <c r="S138" s="127">
        <f>N138*O138*P138*'1. Standard_Cost'!$C$15</f>
        <v>0</v>
      </c>
      <c r="T138" s="127">
        <f>N138*P138*Q138*'1. Standard_Cost'!$D$15</f>
        <v>0</v>
      </c>
      <c r="U138" s="127">
        <f>N138*O138*'1. Standard_Cost'!$E$15</f>
        <v>0</v>
      </c>
      <c r="V138" s="126"/>
      <c r="W138" s="126"/>
      <c r="X138" s="126"/>
      <c r="Y138" s="127">
        <f>+V138*((X138*'1. Standard_Cost'!$B$19)+(W138*X138*'1. Standard_Cost'!$C$19))</f>
        <v>0</v>
      </c>
      <c r="Z138" s="126"/>
      <c r="AA138" s="145"/>
      <c r="AB138" s="127">
        <f>+Z138*'1. Standard_Cost'!$B$23+AA138*'1. Standard_Cost'!$C$23</f>
        <v>0</v>
      </c>
      <c r="AC138" s="128">
        <v>10200000</v>
      </c>
      <c r="AD138" s="129"/>
      <c r="AE138" s="127">
        <f>SUM(AD138,AC138,AB138,Y138,U138,T138,S138,R138)*'1. Standard_Cost'!$B$31</f>
        <v>2040000</v>
      </c>
      <c r="AF138" s="127">
        <f>SUM(AE138,AD138,AC138,AB138,Y138,U138,T138,S138,R138)</f>
        <v>12240000</v>
      </c>
      <c r="AG138" s="126"/>
      <c r="AH138" s="126"/>
      <c r="AI138" s="126"/>
      <c r="AJ138" s="130"/>
      <c r="AK138" s="130"/>
      <c r="AL138" s="130"/>
      <c r="AM138" s="127">
        <f>AG138*'1. Standard_Cost'!$B$27+'Incremental_Cost Year 4'!AH138*'1. Standard_Cost'!$C$27+'Incremental_Cost Year 4'!AI138*'1. Standard_Cost'!$D$27+'Incremental_Cost Year 4'!AJ138+'Incremental_Cost Year 4'!AL138+AK138</f>
        <v>0</v>
      </c>
      <c r="AN138" s="127">
        <f>AM138*'1. Standard_Cost'!$C$31</f>
        <v>0</v>
      </c>
      <c r="AO138" s="262"/>
      <c r="AQ138" s="171">
        <f>L138+M138</f>
        <v>1980165.6</v>
      </c>
      <c r="AR138" s="171">
        <f>AF138</f>
        <v>12240000</v>
      </c>
      <c r="AS138" s="171">
        <f>AM138+AN138</f>
        <v>0</v>
      </c>
      <c r="AT138" s="171">
        <f>SUM(AQ138,AR138,AS138)</f>
        <v>14220165.6</v>
      </c>
      <c r="AU138" s="250">
        <v>14220166</v>
      </c>
      <c r="AV138" s="250"/>
      <c r="AW138" s="250"/>
      <c r="AX138" s="250"/>
      <c r="AY138" s="250"/>
      <c r="AZ138" s="250"/>
      <c r="BA138" s="250"/>
      <c r="BB138" s="251">
        <f t="shared" si="90"/>
        <v>0.40000000037252903</v>
      </c>
      <c r="BC138" s="169"/>
      <c r="BD138" s="169"/>
      <c r="BE138" s="169"/>
      <c r="BF138" s="169"/>
    </row>
    <row r="139" spans="1:58" ht="47.25" outlineLevel="1" x14ac:dyDescent="0.25">
      <c r="A139" s="115"/>
      <c r="B139" s="165"/>
      <c r="C139" s="166"/>
      <c r="D139" s="228" t="s">
        <v>233</v>
      </c>
      <c r="E139" s="212" t="s">
        <v>291</v>
      </c>
      <c r="F139" s="136">
        <v>2022</v>
      </c>
      <c r="G139" s="117">
        <v>2030</v>
      </c>
      <c r="H139" s="110" t="s">
        <v>292</v>
      </c>
      <c r="I139" s="252"/>
      <c r="J139" s="252"/>
      <c r="K139" s="252"/>
      <c r="L139" s="127">
        <f>SUM(L135:L138)</f>
        <v>1696800</v>
      </c>
      <c r="M139" s="127">
        <f>SUM(M135:M138)</f>
        <v>283365.60000000003</v>
      </c>
      <c r="N139" s="127"/>
      <c r="O139" s="252"/>
      <c r="P139" s="252"/>
      <c r="Q139" s="252"/>
      <c r="R139" s="127">
        <f>SUM(R135:R138)</f>
        <v>0</v>
      </c>
      <c r="S139" s="127">
        <f>SUM(S135:S138)</f>
        <v>0</v>
      </c>
      <c r="T139" s="127">
        <f>SUM(T135:T138)</f>
        <v>0</v>
      </c>
      <c r="U139" s="127">
        <f>SUM(U135:U138)</f>
        <v>0</v>
      </c>
      <c r="V139" s="252"/>
      <c r="W139" s="252"/>
      <c r="X139" s="252"/>
      <c r="Y139" s="127">
        <f>SUM(Y135:Y138)</f>
        <v>0</v>
      </c>
      <c r="Z139" s="252"/>
      <c r="AA139" s="252"/>
      <c r="AB139" s="127">
        <f>SUM(AB135:AB138)</f>
        <v>0</v>
      </c>
      <c r="AC139" s="127">
        <f>SUM(AC135:AC137)</f>
        <v>12140000000</v>
      </c>
      <c r="AD139" s="127">
        <f>SUM(AD135:AD137)</f>
        <v>0</v>
      </c>
      <c r="AE139" s="127">
        <f>SUM(AE135:AE137)</f>
        <v>0</v>
      </c>
      <c r="AF139" s="127">
        <f>SUM(AF135:AF138)</f>
        <v>12152240000</v>
      </c>
      <c r="AG139" s="252"/>
      <c r="AH139" s="252"/>
      <c r="AI139" s="252"/>
      <c r="AJ139" s="127">
        <f>SUM(AJ135:AJ137)</f>
        <v>0</v>
      </c>
      <c r="AK139" s="127">
        <f>SUM(AK135:AK137)</f>
        <v>0</v>
      </c>
      <c r="AL139" s="127">
        <f>SUM(AL135:AL137)</f>
        <v>0</v>
      </c>
      <c r="AM139" s="127">
        <f>SUM(AM135:AM137)</f>
        <v>0</v>
      </c>
      <c r="AN139" s="127">
        <f>SUM(AN135:AN137)</f>
        <v>0</v>
      </c>
      <c r="AO139" s="253"/>
      <c r="AP139" s="254"/>
      <c r="AQ139" s="175">
        <f>SUM(AQ135:AQ138)</f>
        <v>1980165.6</v>
      </c>
      <c r="AR139" s="175">
        <f>SUM(AR135:AR138)</f>
        <v>12152240000</v>
      </c>
      <c r="AS139" s="175">
        <f>SUM(AS135:AS138)</f>
        <v>0</v>
      </c>
      <c r="AT139" s="175">
        <f>SUM(AT135:AT138)</f>
        <v>12154220165.6</v>
      </c>
      <c r="AU139" s="175">
        <f t="shared" ref="AU139:BB139" si="91">SUM(AU135:AU138)</f>
        <v>12154220166</v>
      </c>
      <c r="AV139" s="175">
        <f t="shared" si="91"/>
        <v>0</v>
      </c>
      <c r="AW139" s="175">
        <f t="shared" si="91"/>
        <v>0</v>
      </c>
      <c r="AX139" s="175">
        <f t="shared" si="91"/>
        <v>0</v>
      </c>
      <c r="AY139" s="175">
        <f t="shared" si="91"/>
        <v>0</v>
      </c>
      <c r="AZ139" s="175">
        <f t="shared" si="91"/>
        <v>0</v>
      </c>
      <c r="BA139" s="175">
        <f t="shared" si="91"/>
        <v>0</v>
      </c>
      <c r="BB139" s="175">
        <f t="shared" si="91"/>
        <v>0.40000000037252903</v>
      </c>
      <c r="BC139" s="169"/>
      <c r="BD139" s="169"/>
      <c r="BE139" s="169"/>
      <c r="BF139" s="169"/>
    </row>
    <row r="140" spans="1:58" s="184" customFormat="1" ht="15.75" customHeight="1" x14ac:dyDescent="0.25">
      <c r="A140" s="143"/>
      <c r="B140" s="290"/>
      <c r="C140" s="391" t="s">
        <v>293</v>
      </c>
      <c r="D140" s="391"/>
      <c r="E140" s="392"/>
      <c r="F140" s="291"/>
      <c r="G140" s="289"/>
      <c r="H140" s="144" t="s">
        <v>294</v>
      </c>
      <c r="I140" s="257"/>
      <c r="J140" s="257"/>
      <c r="K140" s="257"/>
      <c r="L140" s="258">
        <f>SUM(L149)</f>
        <v>1814400</v>
      </c>
      <c r="M140" s="258">
        <f>SUM(M149)</f>
        <v>303004.79999999999</v>
      </c>
      <c r="N140" s="257"/>
      <c r="O140" s="257"/>
      <c r="P140" s="257"/>
      <c r="Q140" s="257"/>
      <c r="R140" s="258">
        <f>SUM(R149)</f>
        <v>0</v>
      </c>
      <c r="S140" s="258">
        <f>SUM(S149)</f>
        <v>0</v>
      </c>
      <c r="T140" s="258">
        <f>SUM(T149)</f>
        <v>0</v>
      </c>
      <c r="U140" s="258">
        <f>SUM(U149)</f>
        <v>0</v>
      </c>
      <c r="V140" s="257"/>
      <c r="W140" s="257"/>
      <c r="X140" s="257"/>
      <c r="Y140" s="258">
        <f>SUM(Y149)</f>
        <v>0</v>
      </c>
      <c r="Z140" s="258"/>
      <c r="AA140" s="258"/>
      <c r="AB140" s="258">
        <f>SUM(AB149)</f>
        <v>1140000</v>
      </c>
      <c r="AC140" s="258">
        <f>SUM(AC149)</f>
        <v>266088</v>
      </c>
      <c r="AD140" s="258">
        <f>SUM(AD149)</f>
        <v>0</v>
      </c>
      <c r="AE140" s="258">
        <f>SUM(AE149)</f>
        <v>281217.60000000003</v>
      </c>
      <c r="AF140" s="258">
        <f>SUM(AF149)</f>
        <v>1687305.6</v>
      </c>
      <c r="AG140" s="257"/>
      <c r="AH140" s="257"/>
      <c r="AI140" s="257"/>
      <c r="AJ140" s="258">
        <f>SUM(AJ149)</f>
        <v>0</v>
      </c>
      <c r="AK140" s="258">
        <f>SUM(AK149)</f>
        <v>0</v>
      </c>
      <c r="AL140" s="258">
        <f>SUM(AL149)</f>
        <v>0</v>
      </c>
      <c r="AM140" s="258">
        <f>SUM(AM149)</f>
        <v>0</v>
      </c>
      <c r="AN140" s="258">
        <f>SUM(AN149)</f>
        <v>0</v>
      </c>
      <c r="AO140" s="259"/>
      <c r="AP140" s="260"/>
      <c r="AQ140" s="261">
        <f>SUM(AQ149)</f>
        <v>2117404.7999999998</v>
      </c>
      <c r="AR140" s="261">
        <f>SUM(AR149)</f>
        <v>1687305.6</v>
      </c>
      <c r="AS140" s="261">
        <f>SUM(AS149)</f>
        <v>0</v>
      </c>
      <c r="AT140" s="261">
        <f>SUM(AT149)</f>
        <v>3804710.4</v>
      </c>
      <c r="AU140" s="261">
        <f t="shared" ref="AU140:BA140" si="92">SUM(AU149)</f>
        <v>2436710</v>
      </c>
      <c r="AV140" s="261">
        <f t="shared" si="92"/>
        <v>0</v>
      </c>
      <c r="AW140" s="261">
        <f t="shared" si="92"/>
        <v>0</v>
      </c>
      <c r="AX140" s="261">
        <f t="shared" si="92"/>
        <v>0</v>
      </c>
      <c r="AY140" s="261">
        <f t="shared" si="92"/>
        <v>0</v>
      </c>
      <c r="AZ140" s="261">
        <f t="shared" si="92"/>
        <v>0</v>
      </c>
      <c r="BA140" s="261">
        <f t="shared" si="92"/>
        <v>0</v>
      </c>
      <c r="BB140" s="261">
        <f t="shared" ref="BB140" si="93">SUM(BB149)</f>
        <v>-1368000.4</v>
      </c>
    </row>
    <row r="141" spans="1:58" ht="78.75" outlineLevel="2" x14ac:dyDescent="0.25">
      <c r="A141" s="115"/>
      <c r="B141" s="303"/>
      <c r="C141" s="329"/>
      <c r="D141" s="342"/>
      <c r="E141" s="328"/>
      <c r="F141" s="328"/>
      <c r="G141" s="328"/>
      <c r="H141" s="199" t="s">
        <v>457</v>
      </c>
      <c r="I141" s="130" t="s">
        <v>3</v>
      </c>
      <c r="J141" s="126">
        <v>3</v>
      </c>
      <c r="K141" s="126">
        <v>6</v>
      </c>
      <c r="L141" s="125">
        <f>IF(I141&lt;&gt;0,((VLOOKUP(I141,'1. Standard_Cost'!$B$4:$D$11,2)+VLOOKUP(I141,'1. Standard_Cost'!$B$4:$D$11,3))*J141*K141),"0")</f>
        <v>1814400</v>
      </c>
      <c r="M141" s="125">
        <f>L141*'1. Standard_Cost'!$F$4</f>
        <v>303004.79999999999</v>
      </c>
      <c r="N141" s="126"/>
      <c r="O141" s="126"/>
      <c r="P141" s="126"/>
      <c r="Q141" s="126"/>
      <c r="R141" s="127">
        <f>'1. Standard_Cost'!$B$15*N141*P141</f>
        <v>0</v>
      </c>
      <c r="S141" s="127">
        <f>N141*O141*P141*'1. Standard_Cost'!$C$15</f>
        <v>0</v>
      </c>
      <c r="T141" s="127">
        <f>N141*P141*Q141*'1. Standard_Cost'!$D$15</f>
        <v>0</v>
      </c>
      <c r="U141" s="127">
        <f>N141*O141*'1. Standard_Cost'!$E$15</f>
        <v>0</v>
      </c>
      <c r="V141" s="126"/>
      <c r="W141" s="126"/>
      <c r="X141" s="126"/>
      <c r="Y141" s="127">
        <f>+V141*((X141*'1. Standard_Cost'!$B$19)+(W141*X141*'1. Standard_Cost'!$C$19))</f>
        <v>0</v>
      </c>
      <c r="Z141" s="126"/>
      <c r="AA141" s="126">
        <v>60</v>
      </c>
      <c r="AB141" s="127">
        <f>+Z141*'1. Standard_Cost'!$B$23+AA141*'1. Standard_Cost'!$C$23</f>
        <v>1140000</v>
      </c>
      <c r="AC141" s="128">
        <v>266088</v>
      </c>
      <c r="AD141" s="129"/>
      <c r="AE141" s="127">
        <f>SUM(AD141,AC141,AB141,Y141,U141,T141,S141,R141)*'1. Standard_Cost'!$B$31</f>
        <v>281217.60000000003</v>
      </c>
      <c r="AF141" s="127">
        <f t="shared" ref="AF141:AF148" si="94">SUM(AE141,AD141,AC141,AB141,Y141,U141,T141,S141,R141)</f>
        <v>1687305.6</v>
      </c>
      <c r="AG141" s="126"/>
      <c r="AH141" s="126"/>
      <c r="AI141" s="126"/>
      <c r="AJ141" s="130"/>
      <c r="AK141" s="130"/>
      <c r="AL141" s="130"/>
      <c r="AM141" s="127">
        <f>AG141*'1. Standard_Cost'!$B$27+'Incremental_Cost Year 4'!AH141*'1. Standard_Cost'!$C$27+'Incremental_Cost Year 4'!AI141*'1. Standard_Cost'!$D$27+'Incremental_Cost Year 4'!AJ141+'Incremental_Cost Year 4'!AL141+AK141</f>
        <v>0</v>
      </c>
      <c r="AN141" s="127">
        <f>AM141*'1. Standard_Cost'!$C$31</f>
        <v>0</v>
      </c>
      <c r="AO141" s="130"/>
      <c r="AQ141" s="171">
        <f t="shared" ref="AQ141:AQ148" si="95">L141+M141</f>
        <v>2117404.7999999998</v>
      </c>
      <c r="AR141" s="171">
        <f t="shared" ref="AR141:AR148" si="96">AF141</f>
        <v>1687305.6</v>
      </c>
      <c r="AS141" s="171">
        <f t="shared" ref="AS141:AS148" si="97">AM141+AN141</f>
        <v>0</v>
      </c>
      <c r="AT141" s="171">
        <f t="shared" ref="AT141:AT148" si="98">SUM(AQ141,AR141,AS141)</f>
        <v>3804710.4</v>
      </c>
      <c r="AU141" s="250">
        <v>2436710</v>
      </c>
      <c r="AV141" s="250"/>
      <c r="AW141" s="250"/>
      <c r="AX141" s="250"/>
      <c r="AY141" s="250"/>
      <c r="AZ141" s="250"/>
      <c r="BA141" s="250"/>
      <c r="BB141" s="251">
        <f t="shared" ref="BB141:BB148" si="99">SUM(AU141:BA141)-AT141</f>
        <v>-1368000.4</v>
      </c>
      <c r="BC141" s="169"/>
      <c r="BD141" s="169"/>
      <c r="BE141" s="169"/>
      <c r="BF141" s="169"/>
    </row>
    <row r="142" spans="1:58" ht="47.25" outlineLevel="2" x14ac:dyDescent="0.25">
      <c r="A142" s="115"/>
      <c r="B142" s="200"/>
      <c r="C142" s="330"/>
      <c r="D142" s="343"/>
      <c r="E142" s="328"/>
      <c r="F142" s="328"/>
      <c r="G142" s="328"/>
      <c r="H142" s="199" t="s">
        <v>458</v>
      </c>
      <c r="I142" s="130"/>
      <c r="J142" s="126"/>
      <c r="K142" s="126"/>
      <c r="L142" s="125" t="str">
        <f>IF(I142&lt;&gt;0,((VLOOKUP(I142,'1. Standard_Cost'!$B$4:$D$11,2)+VLOOKUP(I142,'1. Standard_Cost'!$B$4:$D$11,3))*J142*K142),"0")</f>
        <v>0</v>
      </c>
      <c r="M142" s="125">
        <f>L142*'1. Standard_Cost'!$F$4</f>
        <v>0</v>
      </c>
      <c r="N142" s="126"/>
      <c r="O142" s="126"/>
      <c r="P142" s="126"/>
      <c r="Q142" s="126"/>
      <c r="R142" s="127">
        <f>'1. Standard_Cost'!$B$15*N142*P142</f>
        <v>0</v>
      </c>
      <c r="S142" s="127">
        <f>N142*O142*P142*'1. Standard_Cost'!$C$15</f>
        <v>0</v>
      </c>
      <c r="T142" s="127">
        <f>N142*P142*Q142*'1. Standard_Cost'!$D$15</f>
        <v>0</v>
      </c>
      <c r="U142" s="127">
        <f>N142*O142*'1. Standard_Cost'!$E$15</f>
        <v>0</v>
      </c>
      <c r="V142" s="126"/>
      <c r="W142" s="126"/>
      <c r="X142" s="126"/>
      <c r="Y142" s="127">
        <f>+V142*((X142*'1. Standard_Cost'!$B$19)+(W142*X142*'1. Standard_Cost'!$C$19))</f>
        <v>0</v>
      </c>
      <c r="Z142" s="126"/>
      <c r="AA142" s="126"/>
      <c r="AB142" s="127">
        <f>+Z142*'1. Standard_Cost'!$B$23+AA142*'1. Standard_Cost'!$C$23</f>
        <v>0</v>
      </c>
      <c r="AC142" s="128"/>
      <c r="AD142" s="129"/>
      <c r="AE142" s="127">
        <f>SUM(AD142,AC142,AB142,Y142,U142,T142,S142,R142)*'1. Standard_Cost'!$B$31</f>
        <v>0</v>
      </c>
      <c r="AF142" s="127">
        <f t="shared" si="94"/>
        <v>0</v>
      </c>
      <c r="AG142" s="126"/>
      <c r="AH142" s="126"/>
      <c r="AI142" s="126"/>
      <c r="AJ142" s="130"/>
      <c r="AK142" s="130"/>
      <c r="AL142" s="130"/>
      <c r="AM142" s="127">
        <f>AG142*'1. Standard_Cost'!$B$27+'Incremental_Cost Year 4'!AH142*'1. Standard_Cost'!$C$27+'Incremental_Cost Year 4'!AI142*'1. Standard_Cost'!$D$27+'Incremental_Cost Year 4'!AJ142+'Incremental_Cost Year 4'!AL142+AK142</f>
        <v>0</v>
      </c>
      <c r="AN142" s="127">
        <f>AM142*'1. Standard_Cost'!$C$31</f>
        <v>0</v>
      </c>
      <c r="AO142" s="130"/>
      <c r="AQ142" s="171">
        <f t="shared" si="95"/>
        <v>0</v>
      </c>
      <c r="AR142" s="171">
        <f t="shared" si="96"/>
        <v>0</v>
      </c>
      <c r="AS142" s="171">
        <f t="shared" si="97"/>
        <v>0</v>
      </c>
      <c r="AT142" s="171">
        <f t="shared" si="98"/>
        <v>0</v>
      </c>
      <c r="AU142" s="250"/>
      <c r="AV142" s="250"/>
      <c r="AW142" s="250"/>
      <c r="AX142" s="250"/>
      <c r="AY142" s="250"/>
      <c r="AZ142" s="250"/>
      <c r="BA142" s="250"/>
      <c r="BB142" s="251">
        <f t="shared" si="99"/>
        <v>0</v>
      </c>
      <c r="BC142" s="169"/>
      <c r="BD142" s="169"/>
      <c r="BE142" s="169"/>
      <c r="BF142" s="169"/>
    </row>
    <row r="143" spans="1:58" ht="94.5" outlineLevel="2" x14ac:dyDescent="0.25">
      <c r="A143" s="115"/>
      <c r="B143" s="200"/>
      <c r="C143" s="330"/>
      <c r="D143" s="343"/>
      <c r="E143" s="328"/>
      <c r="F143" s="328"/>
      <c r="G143" s="328"/>
      <c r="H143" s="199" t="s">
        <v>459</v>
      </c>
      <c r="I143" s="130"/>
      <c r="J143" s="126"/>
      <c r="K143" s="126"/>
      <c r="L143" s="125" t="str">
        <f>IF(I143&lt;&gt;0,((VLOOKUP(I143,'1. Standard_Cost'!$B$4:$D$11,2)+VLOOKUP(I143,'1. Standard_Cost'!$B$4:$D$11,3))*J143*K143),"0")</f>
        <v>0</v>
      </c>
      <c r="M143" s="125">
        <f>L143*'1. Standard_Cost'!$F$4</f>
        <v>0</v>
      </c>
      <c r="N143" s="126"/>
      <c r="O143" s="126"/>
      <c r="P143" s="126"/>
      <c r="Q143" s="126"/>
      <c r="R143" s="127">
        <f>'1. Standard_Cost'!$B$15*N143*P143</f>
        <v>0</v>
      </c>
      <c r="S143" s="127">
        <f>N143*O143*P143*'1. Standard_Cost'!$C$15</f>
        <v>0</v>
      </c>
      <c r="T143" s="127">
        <f>N143*P143*Q143*'1. Standard_Cost'!$D$15</f>
        <v>0</v>
      </c>
      <c r="U143" s="127">
        <f>N143*O143*'1. Standard_Cost'!$E$15</f>
        <v>0</v>
      </c>
      <c r="V143" s="126"/>
      <c r="W143" s="126"/>
      <c r="X143" s="126"/>
      <c r="Y143" s="127">
        <f>+V143*((X143*'1. Standard_Cost'!$B$19)+(W143*X143*'1. Standard_Cost'!$C$19))</f>
        <v>0</v>
      </c>
      <c r="Z143" s="126"/>
      <c r="AA143" s="126"/>
      <c r="AB143" s="127">
        <f>+Z143*'1. Standard_Cost'!$B$23+AA143*'1. Standard_Cost'!$C$23</f>
        <v>0</v>
      </c>
      <c r="AC143" s="128"/>
      <c r="AD143" s="129"/>
      <c r="AE143" s="127">
        <f>SUM(AD143,AC143,AB143,Y143,U143,T143,S143,R143)*'1. Standard_Cost'!$B$31</f>
        <v>0</v>
      </c>
      <c r="AF143" s="127">
        <f t="shared" si="94"/>
        <v>0</v>
      </c>
      <c r="AG143" s="126"/>
      <c r="AH143" s="126"/>
      <c r="AI143" s="126"/>
      <c r="AJ143" s="130"/>
      <c r="AK143" s="130"/>
      <c r="AL143" s="130"/>
      <c r="AM143" s="127">
        <f>AG143*'1. Standard_Cost'!$B$27+'Incremental_Cost Year 4'!AH143*'1. Standard_Cost'!$C$27+'Incremental_Cost Year 4'!AI143*'1. Standard_Cost'!$D$27+'Incremental_Cost Year 4'!AJ143+'Incremental_Cost Year 4'!AL143+AK143</f>
        <v>0</v>
      </c>
      <c r="AN143" s="127">
        <f>AM143*'1. Standard_Cost'!$C$31</f>
        <v>0</v>
      </c>
      <c r="AO143" s="130"/>
      <c r="AQ143" s="171">
        <f t="shared" si="95"/>
        <v>0</v>
      </c>
      <c r="AR143" s="171">
        <f t="shared" si="96"/>
        <v>0</v>
      </c>
      <c r="AS143" s="171">
        <f t="shared" si="97"/>
        <v>0</v>
      </c>
      <c r="AT143" s="171">
        <f t="shared" si="98"/>
        <v>0</v>
      </c>
      <c r="AU143" s="250"/>
      <c r="AV143" s="250"/>
      <c r="AW143" s="250"/>
      <c r="AX143" s="250"/>
      <c r="AY143" s="250"/>
      <c r="AZ143" s="250"/>
      <c r="BA143" s="250"/>
      <c r="BB143" s="251">
        <f t="shared" si="99"/>
        <v>0</v>
      </c>
      <c r="BC143" s="169"/>
      <c r="BD143" s="169"/>
      <c r="BE143" s="169"/>
      <c r="BF143" s="169"/>
    </row>
    <row r="144" spans="1:58" ht="47.25" outlineLevel="2" x14ac:dyDescent="0.25">
      <c r="A144" s="115"/>
      <c r="B144" s="200"/>
      <c r="C144" s="330"/>
      <c r="D144" s="343"/>
      <c r="E144" s="328"/>
      <c r="F144" s="328"/>
      <c r="G144" s="328"/>
      <c r="H144" s="199" t="s">
        <v>460</v>
      </c>
      <c r="I144" s="130"/>
      <c r="J144" s="126"/>
      <c r="K144" s="126"/>
      <c r="L144" s="125" t="str">
        <f>IF(I144&lt;&gt;0,((VLOOKUP(I144,'1. Standard_Cost'!$B$4:$D$11,2)+VLOOKUP(I144,'1. Standard_Cost'!$B$4:$D$11,3))*J144*K144),"0")</f>
        <v>0</v>
      </c>
      <c r="M144" s="125">
        <f>L144*'1. Standard_Cost'!$F$4</f>
        <v>0</v>
      </c>
      <c r="N144" s="126"/>
      <c r="O144" s="126"/>
      <c r="P144" s="126"/>
      <c r="Q144" s="126"/>
      <c r="R144" s="127">
        <f>'1. Standard_Cost'!$B$15*N144*P144</f>
        <v>0</v>
      </c>
      <c r="S144" s="127">
        <f>N144*O144*P144*'1. Standard_Cost'!$C$15</f>
        <v>0</v>
      </c>
      <c r="T144" s="127">
        <f>N144*P144*Q144*'1. Standard_Cost'!$D$15</f>
        <v>0</v>
      </c>
      <c r="U144" s="127">
        <f>N144*O144*'1. Standard_Cost'!$E$15</f>
        <v>0</v>
      </c>
      <c r="V144" s="126"/>
      <c r="W144" s="126"/>
      <c r="X144" s="126"/>
      <c r="Y144" s="127">
        <f>+V144*((X144*'1. Standard_Cost'!$B$19)+(W144*X144*'1. Standard_Cost'!$C$19))</f>
        <v>0</v>
      </c>
      <c r="Z144" s="126"/>
      <c r="AA144" s="126"/>
      <c r="AB144" s="127">
        <f>+Z144*'1. Standard_Cost'!$B$23+AA144*'1. Standard_Cost'!$C$23</f>
        <v>0</v>
      </c>
      <c r="AC144" s="128"/>
      <c r="AD144" s="129"/>
      <c r="AE144" s="127">
        <f>SUM(AD144,AC144,AB144,Y144,U144,T144,S144,R144)*'1. Standard_Cost'!$B$31</f>
        <v>0</v>
      </c>
      <c r="AF144" s="127">
        <f t="shared" si="94"/>
        <v>0</v>
      </c>
      <c r="AG144" s="126"/>
      <c r="AH144" s="126"/>
      <c r="AI144" s="126"/>
      <c r="AJ144" s="130"/>
      <c r="AK144" s="130"/>
      <c r="AL144" s="130"/>
      <c r="AM144" s="127">
        <f>AG144*'1. Standard_Cost'!$B$27+'Incremental_Cost Year 4'!AH144*'1. Standard_Cost'!$C$27+'Incremental_Cost Year 4'!AI144*'1. Standard_Cost'!$D$27+'Incremental_Cost Year 4'!AJ144+'Incremental_Cost Year 4'!AL144+AK144</f>
        <v>0</v>
      </c>
      <c r="AN144" s="127">
        <f>AM144*'1. Standard_Cost'!$C$31</f>
        <v>0</v>
      </c>
      <c r="AO144" s="130"/>
      <c r="AQ144" s="171">
        <f t="shared" si="95"/>
        <v>0</v>
      </c>
      <c r="AR144" s="171">
        <f t="shared" si="96"/>
        <v>0</v>
      </c>
      <c r="AS144" s="171">
        <f t="shared" si="97"/>
        <v>0</v>
      </c>
      <c r="AT144" s="171">
        <f t="shared" si="98"/>
        <v>0</v>
      </c>
      <c r="AU144" s="250"/>
      <c r="AV144" s="250"/>
      <c r="AW144" s="250"/>
      <c r="AX144" s="250"/>
      <c r="AY144" s="250"/>
      <c r="AZ144" s="250"/>
      <c r="BA144" s="250"/>
      <c r="BB144" s="251">
        <f t="shared" si="99"/>
        <v>0</v>
      </c>
      <c r="BC144" s="169"/>
      <c r="BD144" s="169"/>
      <c r="BE144" s="169"/>
      <c r="BF144" s="169"/>
    </row>
    <row r="145" spans="1:58" ht="93.6" customHeight="1" outlineLevel="2" x14ac:dyDescent="0.25">
      <c r="A145" s="115"/>
      <c r="B145" s="200"/>
      <c r="C145" s="330"/>
      <c r="D145" s="343"/>
      <c r="E145" s="328"/>
      <c r="F145" s="328"/>
      <c r="G145" s="328"/>
      <c r="H145" s="199" t="s">
        <v>461</v>
      </c>
      <c r="I145" s="130"/>
      <c r="J145" s="126"/>
      <c r="K145" s="126"/>
      <c r="L145" s="125" t="str">
        <f>IF(I145&lt;&gt;0,((VLOOKUP(I145,'1. Standard_Cost'!$B$4:$D$11,2)+VLOOKUP(I145,'1. Standard_Cost'!$B$4:$D$11,3))*J145*K145),"0")</f>
        <v>0</v>
      </c>
      <c r="M145" s="125">
        <f>L145*'1. Standard_Cost'!$F$4</f>
        <v>0</v>
      </c>
      <c r="N145" s="126"/>
      <c r="O145" s="126"/>
      <c r="P145" s="126"/>
      <c r="Q145" s="126"/>
      <c r="R145" s="127">
        <f>'1. Standard_Cost'!$B$15*N145*P145</f>
        <v>0</v>
      </c>
      <c r="S145" s="127">
        <f>N145*O145*P145*'1. Standard_Cost'!$C$15</f>
        <v>0</v>
      </c>
      <c r="T145" s="127">
        <f>N145*P145*Q145*'1. Standard_Cost'!$D$15</f>
        <v>0</v>
      </c>
      <c r="U145" s="127">
        <f>N145*O145*'1. Standard_Cost'!$E$15</f>
        <v>0</v>
      </c>
      <c r="V145" s="126"/>
      <c r="W145" s="126"/>
      <c r="X145" s="126"/>
      <c r="Y145" s="127">
        <f>+V145*((X145*'1. Standard_Cost'!$B$19)+(W145*X145*'1. Standard_Cost'!$C$19))</f>
        <v>0</v>
      </c>
      <c r="Z145" s="126"/>
      <c r="AA145" s="126"/>
      <c r="AB145" s="127">
        <f>+Z145*'1. Standard_Cost'!$B$23+AA145*'1. Standard_Cost'!$C$23</f>
        <v>0</v>
      </c>
      <c r="AC145" s="128"/>
      <c r="AD145" s="129"/>
      <c r="AE145" s="127">
        <f>SUM(AD145,AC145,AB145,Y145,U145,T145,S145,R145)*'1. Standard_Cost'!$B$31</f>
        <v>0</v>
      </c>
      <c r="AF145" s="127">
        <f t="shared" si="94"/>
        <v>0</v>
      </c>
      <c r="AG145" s="126"/>
      <c r="AH145" s="126"/>
      <c r="AI145" s="126"/>
      <c r="AJ145" s="130"/>
      <c r="AK145" s="130"/>
      <c r="AL145" s="130"/>
      <c r="AM145" s="127">
        <f>AG145*'1. Standard_Cost'!$B$27+'Incremental_Cost Year 4'!AH145*'1. Standard_Cost'!$C$27+'Incremental_Cost Year 4'!AI145*'1. Standard_Cost'!$D$27+'Incremental_Cost Year 4'!AJ145+'Incremental_Cost Year 4'!AL145+AK145</f>
        <v>0</v>
      </c>
      <c r="AN145" s="127">
        <f>AM145*'1. Standard_Cost'!$C$31</f>
        <v>0</v>
      </c>
      <c r="AO145" s="130"/>
      <c r="AQ145" s="171">
        <f t="shared" si="95"/>
        <v>0</v>
      </c>
      <c r="AR145" s="171">
        <f t="shared" si="96"/>
        <v>0</v>
      </c>
      <c r="AS145" s="171">
        <f t="shared" si="97"/>
        <v>0</v>
      </c>
      <c r="AT145" s="171">
        <f t="shared" si="98"/>
        <v>0</v>
      </c>
      <c r="AU145" s="250"/>
      <c r="AV145" s="250"/>
      <c r="AW145" s="250"/>
      <c r="AX145" s="250"/>
      <c r="AY145" s="250"/>
      <c r="AZ145" s="250"/>
      <c r="BA145" s="250"/>
      <c r="BB145" s="251">
        <f t="shared" si="99"/>
        <v>0</v>
      </c>
      <c r="BC145" s="169"/>
      <c r="BD145" s="169"/>
      <c r="BE145" s="169"/>
      <c r="BF145" s="169"/>
    </row>
    <row r="146" spans="1:58" ht="173.25" outlineLevel="2" x14ac:dyDescent="0.25">
      <c r="A146" s="115"/>
      <c r="B146" s="200"/>
      <c r="C146" s="330"/>
      <c r="D146" s="343"/>
      <c r="E146" s="328"/>
      <c r="F146" s="328"/>
      <c r="G146" s="328"/>
      <c r="H146" s="199" t="s">
        <v>462</v>
      </c>
      <c r="I146" s="130"/>
      <c r="J146" s="126"/>
      <c r="K146" s="126"/>
      <c r="L146" s="125" t="str">
        <f>IF(I146&lt;&gt;0,((VLOOKUP(I146,'1. Standard_Cost'!$B$4:$D$11,2)+VLOOKUP(I146,'1. Standard_Cost'!$B$4:$D$11,3))*J146*K146),"0")</f>
        <v>0</v>
      </c>
      <c r="M146" s="125">
        <f>L146*'1. Standard_Cost'!$F$4</f>
        <v>0</v>
      </c>
      <c r="N146" s="126"/>
      <c r="O146" s="126"/>
      <c r="P146" s="126"/>
      <c r="Q146" s="126"/>
      <c r="R146" s="127">
        <f>'1. Standard_Cost'!$B$15*N146*P146</f>
        <v>0</v>
      </c>
      <c r="S146" s="127">
        <f>N146*O146*P146*'1. Standard_Cost'!$C$15</f>
        <v>0</v>
      </c>
      <c r="T146" s="127">
        <f>N146*P146*Q146*'1. Standard_Cost'!$D$15</f>
        <v>0</v>
      </c>
      <c r="U146" s="127">
        <f>N146*O146*'1. Standard_Cost'!$E$15</f>
        <v>0</v>
      </c>
      <c r="V146" s="126"/>
      <c r="W146" s="126"/>
      <c r="X146" s="126"/>
      <c r="Y146" s="127">
        <f>+V146*((X146*'1. Standard_Cost'!$B$19)+(W146*X146*'1. Standard_Cost'!$C$19))</f>
        <v>0</v>
      </c>
      <c r="Z146" s="126"/>
      <c r="AA146" s="126"/>
      <c r="AB146" s="127">
        <f>+Z146*'1. Standard_Cost'!$B$23+AA146*'1. Standard_Cost'!$C$23</f>
        <v>0</v>
      </c>
      <c r="AC146" s="128"/>
      <c r="AD146" s="129"/>
      <c r="AE146" s="127">
        <f>SUM(AD146,AC146,AB146,Y146,U146,T146,S146,R146)*'1. Standard_Cost'!$B$31</f>
        <v>0</v>
      </c>
      <c r="AF146" s="127">
        <f t="shared" si="94"/>
        <v>0</v>
      </c>
      <c r="AG146" s="126"/>
      <c r="AH146" s="126"/>
      <c r="AI146" s="126"/>
      <c r="AJ146" s="130"/>
      <c r="AK146" s="130"/>
      <c r="AL146" s="130"/>
      <c r="AM146" s="127">
        <f>AG146*'1. Standard_Cost'!$B$27+'Incremental_Cost Year 4'!AH146*'1. Standard_Cost'!$C$27+'Incremental_Cost Year 4'!AI146*'1. Standard_Cost'!$D$27+'Incremental_Cost Year 4'!AJ146+'Incremental_Cost Year 4'!AL146+AK146</f>
        <v>0</v>
      </c>
      <c r="AN146" s="127">
        <f>AM146*'1. Standard_Cost'!$C$31</f>
        <v>0</v>
      </c>
      <c r="AO146" s="130"/>
      <c r="AQ146" s="171">
        <f t="shared" si="95"/>
        <v>0</v>
      </c>
      <c r="AR146" s="171">
        <f t="shared" si="96"/>
        <v>0</v>
      </c>
      <c r="AS146" s="171">
        <f t="shared" si="97"/>
        <v>0</v>
      </c>
      <c r="AT146" s="171">
        <f t="shared" si="98"/>
        <v>0</v>
      </c>
      <c r="AU146" s="250"/>
      <c r="AV146" s="250"/>
      <c r="AW146" s="250"/>
      <c r="AX146" s="250"/>
      <c r="AY146" s="250"/>
      <c r="AZ146" s="250"/>
      <c r="BA146" s="250"/>
      <c r="BB146" s="251">
        <f t="shared" si="99"/>
        <v>0</v>
      </c>
      <c r="BC146" s="169"/>
      <c r="BD146" s="169"/>
      <c r="BE146" s="169"/>
      <c r="BF146" s="169"/>
    </row>
    <row r="147" spans="1:58" ht="94.5" outlineLevel="2" x14ac:dyDescent="0.25">
      <c r="A147" s="115"/>
      <c r="B147" s="200"/>
      <c r="C147" s="330"/>
      <c r="D147" s="343"/>
      <c r="E147" s="328"/>
      <c r="F147" s="328"/>
      <c r="G147" s="328"/>
      <c r="H147" s="199" t="s">
        <v>295</v>
      </c>
      <c r="I147" s="130"/>
      <c r="J147" s="126"/>
      <c r="K147" s="126"/>
      <c r="L147" s="125" t="str">
        <f>IF(I147&lt;&gt;0,((VLOOKUP(I147,'1. Standard_Cost'!$B$4:$D$11,2)+VLOOKUP(I147,'1. Standard_Cost'!$B$4:$D$11,3))*J147*K147),"0")</f>
        <v>0</v>
      </c>
      <c r="M147" s="125">
        <f>L147*'1. Standard_Cost'!$F$4</f>
        <v>0</v>
      </c>
      <c r="N147" s="126"/>
      <c r="O147" s="126"/>
      <c r="P147" s="126"/>
      <c r="Q147" s="126"/>
      <c r="R147" s="127">
        <f>'1. Standard_Cost'!$B$15*N147*P147</f>
        <v>0</v>
      </c>
      <c r="S147" s="127">
        <f>N147*O147*P147*'1. Standard_Cost'!$C$15</f>
        <v>0</v>
      </c>
      <c r="T147" s="127">
        <f>N147*P147*Q147*'1. Standard_Cost'!$D$15</f>
        <v>0</v>
      </c>
      <c r="U147" s="127">
        <f>N147*O147*'1. Standard_Cost'!$E$15</f>
        <v>0</v>
      </c>
      <c r="V147" s="126"/>
      <c r="W147" s="126"/>
      <c r="X147" s="126"/>
      <c r="Y147" s="127">
        <f>+V147*((X147*'1. Standard_Cost'!$B$19)+(W147*X147*'1. Standard_Cost'!$C$19))</f>
        <v>0</v>
      </c>
      <c r="Z147" s="126"/>
      <c r="AA147" s="126"/>
      <c r="AB147" s="127">
        <f>+Z147*'1. Standard_Cost'!$B$23+AA147*'1. Standard_Cost'!$C$23</f>
        <v>0</v>
      </c>
      <c r="AC147" s="128"/>
      <c r="AD147" s="129"/>
      <c r="AE147" s="127">
        <f>SUM(AD147,AC147,AB147,Y147,U147,T147,S147,R147)*'1. Standard_Cost'!$B$31</f>
        <v>0</v>
      </c>
      <c r="AF147" s="127">
        <f t="shared" si="94"/>
        <v>0</v>
      </c>
      <c r="AG147" s="126"/>
      <c r="AH147" s="126"/>
      <c r="AI147" s="126"/>
      <c r="AJ147" s="130"/>
      <c r="AK147" s="130"/>
      <c r="AL147" s="130"/>
      <c r="AM147" s="127">
        <f>AG147*'1. Standard_Cost'!$B$27+'Incremental_Cost Year 4'!AH147*'1. Standard_Cost'!$C$27+'Incremental_Cost Year 4'!AI147*'1. Standard_Cost'!$D$27+'Incremental_Cost Year 4'!AJ147+'Incremental_Cost Year 4'!AL147+AK147</f>
        <v>0</v>
      </c>
      <c r="AN147" s="127">
        <f>AM147*'1. Standard_Cost'!$C$31</f>
        <v>0</v>
      </c>
      <c r="AO147" s="130"/>
      <c r="AQ147" s="171">
        <f t="shared" si="95"/>
        <v>0</v>
      </c>
      <c r="AR147" s="171">
        <f t="shared" si="96"/>
        <v>0</v>
      </c>
      <c r="AS147" s="171">
        <f t="shared" si="97"/>
        <v>0</v>
      </c>
      <c r="AT147" s="171">
        <f t="shared" si="98"/>
        <v>0</v>
      </c>
      <c r="AU147" s="250"/>
      <c r="AV147" s="250"/>
      <c r="AW147" s="250"/>
      <c r="AX147" s="250"/>
      <c r="AY147" s="250"/>
      <c r="AZ147" s="250"/>
      <c r="BA147" s="250"/>
      <c r="BB147" s="251">
        <f t="shared" si="99"/>
        <v>0</v>
      </c>
      <c r="BC147" s="169"/>
      <c r="BD147" s="169"/>
      <c r="BE147" s="169"/>
      <c r="BF147" s="169"/>
    </row>
    <row r="148" spans="1:58" ht="126" outlineLevel="2" x14ac:dyDescent="0.25">
      <c r="A148" s="115"/>
      <c r="B148" s="147"/>
      <c r="C148" s="341"/>
      <c r="D148" s="343"/>
      <c r="E148" s="328"/>
      <c r="F148" s="328"/>
      <c r="G148" s="328"/>
      <c r="H148" s="199" t="s">
        <v>463</v>
      </c>
      <c r="I148" s="130"/>
      <c r="J148" s="126"/>
      <c r="K148" s="126"/>
      <c r="L148" s="125" t="str">
        <f>IF(I148&lt;&gt;0,((VLOOKUP(I148,'1. Standard_Cost'!$B$4:$D$11,2)+VLOOKUP(I148,'1. Standard_Cost'!$B$4:$D$11,3))*J148*K148),"0")</f>
        <v>0</v>
      </c>
      <c r="M148" s="125">
        <f>L148*'1. Standard_Cost'!$F$4</f>
        <v>0</v>
      </c>
      <c r="N148" s="126"/>
      <c r="O148" s="126"/>
      <c r="P148" s="126"/>
      <c r="Q148" s="126"/>
      <c r="R148" s="127">
        <f>'1. Standard_Cost'!$B$15*N148*P148</f>
        <v>0</v>
      </c>
      <c r="S148" s="127">
        <f>N148*O148*P148*'1. Standard_Cost'!$C$15</f>
        <v>0</v>
      </c>
      <c r="T148" s="127">
        <f>N148*P148*Q148*'1. Standard_Cost'!$D$15</f>
        <v>0</v>
      </c>
      <c r="U148" s="127">
        <f>N148*O148*'1. Standard_Cost'!$E$15</f>
        <v>0</v>
      </c>
      <c r="V148" s="126"/>
      <c r="W148" s="126"/>
      <c r="X148" s="126"/>
      <c r="Y148" s="127">
        <f>+V148*((X148*'1. Standard_Cost'!$B$19)+(W148*X148*'1. Standard_Cost'!$C$19))</f>
        <v>0</v>
      </c>
      <c r="Z148" s="126"/>
      <c r="AA148" s="126"/>
      <c r="AB148" s="127">
        <f>+Z148*'1. Standard_Cost'!$B$23+AA148*'1. Standard_Cost'!$C$23</f>
        <v>0</v>
      </c>
      <c r="AC148" s="128"/>
      <c r="AD148" s="129"/>
      <c r="AE148" s="127">
        <f>SUM(AD148,AC148,AB148,Y148,U148,T148,S148,R148)*'1. Standard_Cost'!$B$31</f>
        <v>0</v>
      </c>
      <c r="AF148" s="127">
        <f t="shared" si="94"/>
        <v>0</v>
      </c>
      <c r="AG148" s="126"/>
      <c r="AH148" s="126"/>
      <c r="AI148" s="126"/>
      <c r="AJ148" s="130"/>
      <c r="AK148" s="130"/>
      <c r="AL148" s="130"/>
      <c r="AM148" s="127">
        <f>AG148*'1. Standard_Cost'!$B$27+'Incremental_Cost Year 4'!AH148*'1. Standard_Cost'!$C$27+'Incremental_Cost Year 4'!AI148*'1. Standard_Cost'!$D$27+'Incremental_Cost Year 4'!AJ148+'Incremental_Cost Year 4'!AL148+AK148</f>
        <v>0</v>
      </c>
      <c r="AN148" s="127">
        <f>AM148*'1. Standard_Cost'!$C$31</f>
        <v>0</v>
      </c>
      <c r="AO148" s="130"/>
      <c r="AQ148" s="171">
        <f t="shared" si="95"/>
        <v>0</v>
      </c>
      <c r="AR148" s="171">
        <f t="shared" si="96"/>
        <v>0</v>
      </c>
      <c r="AS148" s="171">
        <f t="shared" si="97"/>
        <v>0</v>
      </c>
      <c r="AT148" s="171">
        <f t="shared" si="98"/>
        <v>0</v>
      </c>
      <c r="AU148" s="250"/>
      <c r="AV148" s="250"/>
      <c r="AW148" s="250"/>
      <c r="AX148" s="250"/>
      <c r="AY148" s="250"/>
      <c r="AZ148" s="250"/>
      <c r="BA148" s="250"/>
      <c r="BB148" s="251">
        <f t="shared" si="99"/>
        <v>0</v>
      </c>
      <c r="BC148" s="169"/>
      <c r="BD148" s="169"/>
      <c r="BE148" s="169"/>
      <c r="BF148" s="169"/>
    </row>
    <row r="149" spans="1:58" ht="141.75" outlineLevel="1" x14ac:dyDescent="0.25">
      <c r="A149" s="115"/>
      <c r="B149" s="165"/>
      <c r="C149" s="166"/>
      <c r="D149" s="228" t="s">
        <v>464</v>
      </c>
      <c r="E149" s="345" t="s">
        <v>296</v>
      </c>
      <c r="F149" s="136">
        <v>2024</v>
      </c>
      <c r="G149" s="117">
        <v>2030</v>
      </c>
      <c r="H149" s="110" t="s">
        <v>297</v>
      </c>
      <c r="I149" s="252"/>
      <c r="J149" s="252"/>
      <c r="K149" s="252"/>
      <c r="L149" s="127">
        <f>SUM(L141:L148)</f>
        <v>1814400</v>
      </c>
      <c r="M149" s="127">
        <f>SUM(M141:M148)</f>
        <v>303004.79999999999</v>
      </c>
      <c r="N149" s="127"/>
      <c r="O149" s="252"/>
      <c r="P149" s="252"/>
      <c r="Q149" s="252"/>
      <c r="R149" s="127">
        <f>SUM(R141:R148)</f>
        <v>0</v>
      </c>
      <c r="S149" s="127">
        <f>SUM(S141:S148)</f>
        <v>0</v>
      </c>
      <c r="T149" s="127">
        <f>SUM(T141:T148)</f>
        <v>0</v>
      </c>
      <c r="U149" s="127">
        <f>SUM(U141:U148)</f>
        <v>0</v>
      </c>
      <c r="V149" s="252"/>
      <c r="W149" s="252"/>
      <c r="X149" s="252"/>
      <c r="Y149" s="127">
        <f>SUM(Y141:Y148)</f>
        <v>0</v>
      </c>
      <c r="Z149" s="252"/>
      <c r="AA149" s="252"/>
      <c r="AB149" s="127">
        <f>SUM(AB141:AB148)</f>
        <v>1140000</v>
      </c>
      <c r="AC149" s="127">
        <f>SUM(AC141:AC148)</f>
        <v>266088</v>
      </c>
      <c r="AD149" s="127">
        <f>SUM(AD141:AD148)</f>
        <v>0</v>
      </c>
      <c r="AE149" s="127">
        <f>SUM(AE141:AE148)</f>
        <v>281217.60000000003</v>
      </c>
      <c r="AF149" s="127">
        <f>SUM(AF141:AF148)</f>
        <v>1687305.6</v>
      </c>
      <c r="AG149" s="252"/>
      <c r="AH149" s="252"/>
      <c r="AI149" s="252"/>
      <c r="AJ149" s="127">
        <f>SUM(AJ141:AJ148)</f>
        <v>0</v>
      </c>
      <c r="AK149" s="127">
        <f>SUM(AK141:AK148)</f>
        <v>0</v>
      </c>
      <c r="AL149" s="127">
        <f>SUM(AL141:AL148)</f>
        <v>0</v>
      </c>
      <c r="AM149" s="127">
        <f>SUM(AM141:AM148)</f>
        <v>0</v>
      </c>
      <c r="AN149" s="127">
        <f>SUM(AN141:AN148)</f>
        <v>0</v>
      </c>
      <c r="AO149" s="253"/>
      <c r="AP149" s="254"/>
      <c r="AQ149" s="175">
        <f>SUM(AQ141:AQ148)</f>
        <v>2117404.7999999998</v>
      </c>
      <c r="AR149" s="175">
        <f>SUM(AR141:AR148)</f>
        <v>1687305.6</v>
      </c>
      <c r="AS149" s="175">
        <f>SUM(AS141:AS148)</f>
        <v>0</v>
      </c>
      <c r="AT149" s="175">
        <f>SUM(AT141:AT148)</f>
        <v>3804710.4</v>
      </c>
      <c r="AU149" s="175">
        <f t="shared" ref="AU149:BB149" si="100">SUM(AU141:AU148)</f>
        <v>2436710</v>
      </c>
      <c r="AV149" s="175">
        <f t="shared" si="100"/>
        <v>0</v>
      </c>
      <c r="AW149" s="175">
        <f t="shared" si="100"/>
        <v>0</v>
      </c>
      <c r="AX149" s="175">
        <f t="shared" si="100"/>
        <v>0</v>
      </c>
      <c r="AY149" s="175">
        <f t="shared" si="100"/>
        <v>0</v>
      </c>
      <c r="AZ149" s="175">
        <f t="shared" si="100"/>
        <v>0</v>
      </c>
      <c r="BA149" s="175">
        <f t="shared" si="100"/>
        <v>0</v>
      </c>
      <c r="BB149" s="175">
        <f t="shared" si="100"/>
        <v>-1368000.4</v>
      </c>
      <c r="BC149" s="169"/>
      <c r="BD149" s="169"/>
      <c r="BE149" s="169"/>
      <c r="BF149" s="169"/>
    </row>
    <row r="150" spans="1:58" s="170" customFormat="1" ht="15.75" customHeight="1" x14ac:dyDescent="0.25">
      <c r="A150" s="120"/>
      <c r="B150" s="388" t="s">
        <v>231</v>
      </c>
      <c r="C150" s="393"/>
      <c r="D150" s="393"/>
      <c r="E150" s="394"/>
      <c r="F150" s="339"/>
      <c r="G150" s="339"/>
      <c r="H150" s="148" t="s">
        <v>166</v>
      </c>
      <c r="I150" s="265"/>
      <c r="J150" s="243"/>
      <c r="K150" s="243"/>
      <c r="L150" s="243">
        <f>L151+L163+L182</f>
        <v>10986413923.701799</v>
      </c>
      <c r="M150" s="243">
        <f>M151+M163+M182</f>
        <v>1834731125.2582006</v>
      </c>
      <c r="N150" s="243"/>
      <c r="O150" s="243"/>
      <c r="P150" s="243"/>
      <c r="Q150" s="243"/>
      <c r="R150" s="243">
        <f>R151+R163+R182</f>
        <v>590000</v>
      </c>
      <c r="S150" s="243">
        <f>S151+S163+S182</f>
        <v>442500</v>
      </c>
      <c r="T150" s="243">
        <f>T151+T163+T182</f>
        <v>0</v>
      </c>
      <c r="U150" s="243">
        <f>U151+U163+U182</f>
        <v>480000</v>
      </c>
      <c r="V150" s="243"/>
      <c r="W150" s="243"/>
      <c r="X150" s="243"/>
      <c r="Y150" s="243"/>
      <c r="Z150" s="243">
        <v>0</v>
      </c>
      <c r="AA150" s="243"/>
      <c r="AB150" s="243">
        <f>AB151+AB163+AB182</f>
        <v>4769000</v>
      </c>
      <c r="AC150" s="243">
        <f>AC151+AC163+AC182</f>
        <v>14217178255</v>
      </c>
      <c r="AD150" s="243">
        <f>AD151+AD163+AD182</f>
        <v>0</v>
      </c>
      <c r="AE150" s="243">
        <f>AE151+AE163+AE182</f>
        <v>1801462851</v>
      </c>
      <c r="AF150" s="243">
        <f>AF151+AF163+AF182</f>
        <v>16024922606</v>
      </c>
      <c r="AG150" s="243"/>
      <c r="AH150" s="243"/>
      <c r="AI150" s="243"/>
      <c r="AJ150" s="243">
        <f>AJ151+AJ163+AJ182</f>
        <v>2108336000</v>
      </c>
      <c r="AK150" s="243">
        <f>AK151+AK163+AK182</f>
        <v>0</v>
      </c>
      <c r="AL150" s="243">
        <f>AL151+AL163+AL182</f>
        <v>466684000</v>
      </c>
      <c r="AM150" s="243">
        <f>AM151+AM163+AM182</f>
        <v>2575020000</v>
      </c>
      <c r="AN150" s="243">
        <f>AN151+AN163+AN182</f>
        <v>378753000</v>
      </c>
      <c r="AO150" s="243"/>
      <c r="AP150" s="244"/>
      <c r="AQ150" s="243">
        <f>AQ151+AQ163+AQ182</f>
        <v>12821145048.960001</v>
      </c>
      <c r="AR150" s="243">
        <f>AR151+AR163+AR182</f>
        <v>16024922606</v>
      </c>
      <c r="AS150" s="243">
        <f>AS151+AS163+AS182</f>
        <v>2953773000</v>
      </c>
      <c r="AT150" s="243">
        <f>AT151+AT163+AT182</f>
        <v>31799840654.959999</v>
      </c>
      <c r="AU150" s="243">
        <f t="shared" ref="AU150:BB150" si="101">AU151+AU163+AU182</f>
        <v>28903081787.200001</v>
      </c>
      <c r="AV150" s="243">
        <f t="shared" si="101"/>
        <v>200000000</v>
      </c>
      <c r="AW150" s="243">
        <f t="shared" si="101"/>
        <v>602000000</v>
      </c>
      <c r="AX150" s="243">
        <f t="shared" si="101"/>
        <v>0</v>
      </c>
      <c r="AY150" s="243">
        <f t="shared" si="101"/>
        <v>0</v>
      </c>
      <c r="AZ150" s="243">
        <f t="shared" si="101"/>
        <v>208000000</v>
      </c>
      <c r="BA150" s="243">
        <f t="shared" si="101"/>
        <v>0</v>
      </c>
      <c r="BB150" s="243">
        <f t="shared" si="101"/>
        <v>-1886758867.7599983</v>
      </c>
    </row>
    <row r="151" spans="1:58" s="184" customFormat="1" ht="15.75" customHeight="1" x14ac:dyDescent="0.25">
      <c r="A151" s="143"/>
      <c r="B151" s="290"/>
      <c r="C151" s="391" t="s">
        <v>232</v>
      </c>
      <c r="D151" s="391"/>
      <c r="E151" s="392"/>
      <c r="F151" s="287"/>
      <c r="G151" s="289"/>
      <c r="H151" s="149" t="s">
        <v>167</v>
      </c>
      <c r="I151" s="257"/>
      <c r="J151" s="257"/>
      <c r="K151" s="257"/>
      <c r="L151" s="258">
        <f>L156+L159+L162</f>
        <v>11938200</v>
      </c>
      <c r="M151" s="258">
        <f>M156+M159+M162</f>
        <v>1993679.4000000001</v>
      </c>
      <c r="N151" s="257"/>
      <c r="O151" s="257"/>
      <c r="P151" s="257"/>
      <c r="Q151" s="257"/>
      <c r="R151" s="258">
        <f>R156+R159+R162</f>
        <v>550000</v>
      </c>
      <c r="S151" s="258">
        <f>S156+S159+S162</f>
        <v>412500</v>
      </c>
      <c r="T151" s="258">
        <f>T156+T159+T162</f>
        <v>0</v>
      </c>
      <c r="U151" s="258">
        <f>U156+U159+U162</f>
        <v>440000</v>
      </c>
      <c r="V151" s="257"/>
      <c r="W151" s="257"/>
      <c r="X151" s="257"/>
      <c r="Y151" s="258"/>
      <c r="Z151" s="258">
        <v>0</v>
      </c>
      <c r="AA151" s="257"/>
      <c r="AB151" s="258">
        <f>AB156+AB159+AB162</f>
        <v>4769000</v>
      </c>
      <c r="AC151" s="258">
        <f>AC156+AC159+AC162</f>
        <v>3902500</v>
      </c>
      <c r="AD151" s="258">
        <f>AD156+AD159+AD162</f>
        <v>0</v>
      </c>
      <c r="AE151" s="258">
        <f>AE156+AE159+AE162</f>
        <v>1353300</v>
      </c>
      <c r="AF151" s="258">
        <f>AF156+AF159+AF162</f>
        <v>11427300</v>
      </c>
      <c r="AG151" s="257"/>
      <c r="AH151" s="257"/>
      <c r="AI151" s="257"/>
      <c r="AJ151" s="258">
        <f>AJ156+AJ159+AJ162</f>
        <v>211000000</v>
      </c>
      <c r="AK151" s="258">
        <f>AK156+AK159+AK162</f>
        <v>0</v>
      </c>
      <c r="AL151" s="258">
        <f>AL156+AL159+AL162</f>
        <v>89000000</v>
      </c>
      <c r="AM151" s="258">
        <f>AM156+AM159+AM162</f>
        <v>300000000</v>
      </c>
      <c r="AN151" s="258">
        <f>AN156+AN159+AN162</f>
        <v>37500000</v>
      </c>
      <c r="AO151" s="259"/>
      <c r="AP151" s="260"/>
      <c r="AQ151" s="258">
        <f>AQ156+AQ159+AQ162</f>
        <v>13931879.4</v>
      </c>
      <c r="AR151" s="258">
        <f>AR156+AR159+AR162</f>
        <v>11427300</v>
      </c>
      <c r="AS151" s="258">
        <f>AS156+AS159+AS162</f>
        <v>337500000</v>
      </c>
      <c r="AT151" s="258">
        <f>AT156+AT159+AT162</f>
        <v>362859179.40000004</v>
      </c>
      <c r="AU151" s="258">
        <f t="shared" ref="AU151:BB151" si="102">AU156+AU159+AU162</f>
        <v>109401310</v>
      </c>
      <c r="AV151" s="258">
        <f t="shared" si="102"/>
        <v>0</v>
      </c>
      <c r="AW151" s="258">
        <f t="shared" si="102"/>
        <v>0</v>
      </c>
      <c r="AX151" s="258">
        <f t="shared" si="102"/>
        <v>0</v>
      </c>
      <c r="AY151" s="258">
        <f t="shared" si="102"/>
        <v>0</v>
      </c>
      <c r="AZ151" s="258">
        <f t="shared" si="102"/>
        <v>208000000</v>
      </c>
      <c r="BA151" s="258">
        <f t="shared" si="102"/>
        <v>0</v>
      </c>
      <c r="BB151" s="258">
        <f t="shared" si="102"/>
        <v>-45457869.399999999</v>
      </c>
    </row>
    <row r="152" spans="1:58" ht="47.25" outlineLevel="2" x14ac:dyDescent="0.25">
      <c r="A152" s="115"/>
      <c r="B152" s="200"/>
      <c r="C152" s="201"/>
      <c r="D152" s="202"/>
      <c r="E152" s="294"/>
      <c r="F152" s="306"/>
      <c r="G152" s="307"/>
      <c r="H152" s="199" t="s">
        <v>465</v>
      </c>
      <c r="I152" s="130"/>
      <c r="J152" s="126"/>
      <c r="K152" s="126"/>
      <c r="L152" s="125" t="str">
        <f>IF(I152&lt;&gt;0,((VLOOKUP(I152,'1. Standard_Cost'!$B$4:$D$11,2)+VLOOKUP(I152,'1. Standard_Cost'!$B$4:$D$11,3))*J152*K152),"0")</f>
        <v>0</v>
      </c>
      <c r="M152" s="125">
        <f>L152*'1. Standard_Cost'!$F$4</f>
        <v>0</v>
      </c>
      <c r="N152" s="126"/>
      <c r="O152" s="126"/>
      <c r="P152" s="126"/>
      <c r="Q152" s="126"/>
      <c r="R152" s="127">
        <f>'1. Standard_Cost'!$B$15*N152*P152</f>
        <v>0</v>
      </c>
      <c r="S152" s="127">
        <f>N152*O152*P152*'1. Standard_Cost'!$C$15</f>
        <v>0</v>
      </c>
      <c r="T152" s="127">
        <f>N152*P152*Q152*'1. Standard_Cost'!$D$15</f>
        <v>0</v>
      </c>
      <c r="U152" s="127">
        <f>N152*O152*'1. Standard_Cost'!$E$15</f>
        <v>0</v>
      </c>
      <c r="V152" s="126"/>
      <c r="W152" s="126"/>
      <c r="X152" s="126"/>
      <c r="Y152" s="127">
        <f>+V152*((X152*'1. Standard_Cost'!$B$19)+(W152*X152*'1. Standard_Cost'!$C$19))</f>
        <v>0</v>
      </c>
      <c r="Z152" s="126"/>
      <c r="AA152" s="126"/>
      <c r="AB152" s="127">
        <f>+Z152*'1. Standard_Cost'!$B$23+AA152*'1. Standard_Cost'!$C$23</f>
        <v>0</v>
      </c>
      <c r="AC152" s="128"/>
      <c r="AD152" s="129"/>
      <c r="AE152" s="127">
        <f>SUM(AD152,AC152,AB152,Y152,U152,T152,S152,R152)*'1. Standard_Cost'!$B$31</f>
        <v>0</v>
      </c>
      <c r="AF152" s="127">
        <f>SUM(AE152,AD152,AC152,AB152,Y152,U152,T152,S152,R152)</f>
        <v>0</v>
      </c>
      <c r="AG152" s="126"/>
      <c r="AH152" s="126"/>
      <c r="AI152" s="126"/>
      <c r="AJ152" s="130">
        <f>53000000+158000000</f>
        <v>211000000</v>
      </c>
      <c r="AK152" s="130"/>
      <c r="AL152" s="130">
        <v>39000000</v>
      </c>
      <c r="AM152" s="127">
        <f>AG152*'1. Standard_Cost'!$B$27+'Incremental_Cost Year 4'!AH152*'1. Standard_Cost'!$C$27+'Incremental_Cost Year 4'!AI152*'1. Standard_Cost'!$D$27+'Incremental_Cost Year 4'!AJ152+'Incremental_Cost Year 4'!AL152+AK152</f>
        <v>250000000</v>
      </c>
      <c r="AN152" s="127">
        <f>AM152*'1. Standard_Cost'!$C$31</f>
        <v>37500000</v>
      </c>
      <c r="AO152" s="130"/>
      <c r="AP152" s="256"/>
      <c r="AQ152" s="171">
        <f>L152+M152</f>
        <v>0</v>
      </c>
      <c r="AR152" s="171">
        <f>AF152</f>
        <v>0</v>
      </c>
      <c r="AS152" s="171">
        <f>AM152+AN152</f>
        <v>287500000</v>
      </c>
      <c r="AT152" s="171">
        <f>SUM(AQ152,AR152,AS152)</f>
        <v>287500000</v>
      </c>
      <c r="AU152" s="250">
        <v>92000000</v>
      </c>
      <c r="AV152" s="250"/>
      <c r="AW152" s="250"/>
      <c r="AX152" s="250"/>
      <c r="AY152" s="250"/>
      <c r="AZ152" s="250">
        <v>158000000</v>
      </c>
      <c r="BA152" s="250"/>
      <c r="BB152" s="251">
        <f t="shared" ref="BB152:BB155" si="103">SUM(AU152:BA152)-AT152</f>
        <v>-37500000</v>
      </c>
      <c r="BC152" s="169"/>
      <c r="BD152" s="169"/>
      <c r="BE152" s="169"/>
      <c r="BF152" s="169"/>
    </row>
    <row r="153" spans="1:58" ht="110.25" outlineLevel="2" x14ac:dyDescent="0.25">
      <c r="A153" s="115"/>
      <c r="B153" s="200"/>
      <c r="C153" s="201"/>
      <c r="D153" s="116"/>
      <c r="E153" s="230"/>
      <c r="F153" s="308"/>
      <c r="G153" s="309"/>
      <c r="H153" s="199" t="s">
        <v>466</v>
      </c>
      <c r="I153" s="130" t="s">
        <v>172</v>
      </c>
      <c r="J153" s="126">
        <v>2</v>
      </c>
      <c r="K153" s="126">
        <v>1</v>
      </c>
      <c r="L153" s="125">
        <f>IF(I153&lt;&gt;0,((VLOOKUP(I153,'1. Standard_Cost'!$B$4:$D$11,2)+VLOOKUP(I153,'1. Standard_Cost'!$B$4:$D$11,3))*J153*K153),"0")</f>
        <v>101000</v>
      </c>
      <c r="M153" s="125">
        <f>L153*'1. Standard_Cost'!$F$4</f>
        <v>16867</v>
      </c>
      <c r="N153" s="126"/>
      <c r="O153" s="126"/>
      <c r="P153" s="126"/>
      <c r="Q153" s="126"/>
      <c r="R153" s="127">
        <f>'1. Standard_Cost'!$B$15*N153*P153</f>
        <v>0</v>
      </c>
      <c r="S153" s="127">
        <f>N153*O153*P153*'1. Standard_Cost'!$C$15</f>
        <v>0</v>
      </c>
      <c r="T153" s="127">
        <f>N153*P153*Q153*'1. Standard_Cost'!$D$15</f>
        <v>0</v>
      </c>
      <c r="U153" s="127">
        <f>N153*O153*'1. Standard_Cost'!$E$15</f>
        <v>0</v>
      </c>
      <c r="V153" s="126"/>
      <c r="W153" s="126"/>
      <c r="X153" s="126"/>
      <c r="Y153" s="127">
        <f>+V153*((X153*'1. Standard_Cost'!$B$19)+(W153*X153*'1. Standard_Cost'!$C$19))</f>
        <v>0</v>
      </c>
      <c r="Z153" s="126"/>
      <c r="AA153" s="126">
        <v>80</v>
      </c>
      <c r="AB153" s="127">
        <f>+Z153*'1. Standard_Cost'!$B$23+AA153*'1. Standard_Cost'!$C$23</f>
        <v>1520000</v>
      </c>
      <c r="AC153" s="128">
        <v>25000</v>
      </c>
      <c r="AD153" s="129"/>
      <c r="AE153" s="127">
        <f>SUM(AD153,AC153,AB153,Y153,U153,T153,S153,R153)*'1. Standard_Cost'!$B$31</f>
        <v>309000</v>
      </c>
      <c r="AF153" s="127">
        <f>SUM(AE153,AD153,AC153,AB153,Y153,U153,T153,S153,R153)</f>
        <v>1854000</v>
      </c>
      <c r="AG153" s="126"/>
      <c r="AH153" s="126"/>
      <c r="AI153" s="126"/>
      <c r="AJ153" s="130"/>
      <c r="AK153" s="130"/>
      <c r="AL153" s="130"/>
      <c r="AM153" s="127">
        <f>AG153*'1. Standard_Cost'!$B$27+'Incremental_Cost Year 4'!AH153*'1. Standard_Cost'!$C$27+'Incremental_Cost Year 4'!AI153*'1. Standard_Cost'!$D$27+'Incremental_Cost Year 4'!AJ153+'Incremental_Cost Year 4'!AL153+AK153</f>
        <v>0</v>
      </c>
      <c r="AN153" s="127">
        <f>AM153*'1. Standard_Cost'!$C$31</f>
        <v>0</v>
      </c>
      <c r="AO153" s="130"/>
      <c r="AP153" s="256"/>
      <c r="AQ153" s="171">
        <f>L153+M153</f>
        <v>117867</v>
      </c>
      <c r="AR153" s="171">
        <f>AF153</f>
        <v>1854000</v>
      </c>
      <c r="AS153" s="171">
        <f>AM153+AN153</f>
        <v>0</v>
      </c>
      <c r="AT153" s="171">
        <f>SUM(AQ153,AR153,AS153)</f>
        <v>1971867</v>
      </c>
      <c r="AU153" s="250">
        <v>147867</v>
      </c>
      <c r="AV153" s="250"/>
      <c r="AW153" s="250"/>
      <c r="AX153" s="250"/>
      <c r="AY153" s="250"/>
      <c r="AZ153" s="250"/>
      <c r="BA153" s="250"/>
      <c r="BB153" s="251">
        <f t="shared" si="103"/>
        <v>-1824000</v>
      </c>
      <c r="BC153" s="169"/>
      <c r="BD153" s="169"/>
      <c r="BE153" s="169"/>
      <c r="BF153" s="169"/>
    </row>
    <row r="154" spans="1:58" ht="63" outlineLevel="2" x14ac:dyDescent="0.25">
      <c r="A154" s="115"/>
      <c r="B154" s="200"/>
      <c r="C154" s="201"/>
      <c r="D154" s="139"/>
      <c r="E154" s="230"/>
      <c r="F154" s="308"/>
      <c r="G154" s="309"/>
      <c r="H154" s="199" t="s">
        <v>467</v>
      </c>
      <c r="I154" s="130" t="s">
        <v>5</v>
      </c>
      <c r="J154" s="126">
        <v>4</v>
      </c>
      <c r="K154" s="126">
        <v>1</v>
      </c>
      <c r="L154" s="125">
        <f>IF(I154&lt;&gt;0,((VLOOKUP(I154,'1. Standard_Cost'!$B$4:$D$11,2)+VLOOKUP(I154,'1. Standard_Cost'!$B$4:$D$11,3))*J154*K154),"0")</f>
        <v>282800</v>
      </c>
      <c r="M154" s="125">
        <f>L154*'1. Standard_Cost'!$F$4</f>
        <v>47227.600000000006</v>
      </c>
      <c r="N154" s="126"/>
      <c r="O154" s="126"/>
      <c r="P154" s="126"/>
      <c r="Q154" s="126"/>
      <c r="R154" s="127">
        <f>'1. Standard_Cost'!$B$15*N154*P154</f>
        <v>0</v>
      </c>
      <c r="S154" s="127">
        <f>N154*O154*P154*'1. Standard_Cost'!$C$15</f>
        <v>0</v>
      </c>
      <c r="T154" s="127">
        <f>N154*P154*Q154*'1. Standard_Cost'!$D$15</f>
        <v>0</v>
      </c>
      <c r="U154" s="127">
        <f>N154*O154*'1. Standard_Cost'!$E$15</f>
        <v>0</v>
      </c>
      <c r="V154" s="126"/>
      <c r="W154" s="126"/>
      <c r="X154" s="126"/>
      <c r="Y154" s="127">
        <f>+V154*((X154*'1. Standard_Cost'!$B$19)+(W154*X154*'1. Standard_Cost'!$C$19))</f>
        <v>0</v>
      </c>
      <c r="Z154" s="126"/>
      <c r="AA154" s="126">
        <v>100</v>
      </c>
      <c r="AB154" s="127">
        <f>+Z154*'1. Standard_Cost'!$B$23+AA154*'1. Standard_Cost'!$C$23</f>
        <v>1900000</v>
      </c>
      <c r="AC154" s="128">
        <v>60000</v>
      </c>
      <c r="AD154" s="129"/>
      <c r="AE154" s="127">
        <f>SUM(AD154,AC154,AB154,Y154,U154,T154,S154,R154)*'1. Standard_Cost'!$B$31</f>
        <v>392000</v>
      </c>
      <c r="AF154" s="127">
        <f>SUM(AE154,AD154,AC154,AB154,Y154,U154,T154,S154,R154)</f>
        <v>2352000</v>
      </c>
      <c r="AG154" s="126"/>
      <c r="AH154" s="126"/>
      <c r="AI154" s="126"/>
      <c r="AJ154" s="130"/>
      <c r="AK154" s="130"/>
      <c r="AL154" s="130"/>
      <c r="AM154" s="127">
        <f>AG154*'1. Standard_Cost'!$B$27+'Incremental_Cost Year 4'!AH154*'1. Standard_Cost'!$C$27+'Incremental_Cost Year 4'!AI154*'1. Standard_Cost'!$D$27+'Incremental_Cost Year 4'!AJ154+'Incremental_Cost Year 4'!AL154+AK154</f>
        <v>0</v>
      </c>
      <c r="AN154" s="127">
        <f>AM154*'1. Standard_Cost'!$C$31</f>
        <v>0</v>
      </c>
      <c r="AO154" s="130"/>
      <c r="AP154" s="256"/>
      <c r="AQ154" s="171">
        <f>L154+M154</f>
        <v>330027.59999999998</v>
      </c>
      <c r="AR154" s="171">
        <f>AF154</f>
        <v>2352000</v>
      </c>
      <c r="AS154" s="171">
        <f>AM154+AN154</f>
        <v>0</v>
      </c>
      <c r="AT154" s="171">
        <f>SUM(AQ154,AR154,AS154)</f>
        <v>2682027.6</v>
      </c>
      <c r="AU154" s="250">
        <v>402000</v>
      </c>
      <c r="AV154" s="250"/>
      <c r="AW154" s="250"/>
      <c r="AX154" s="250"/>
      <c r="AY154" s="250"/>
      <c r="AZ154" s="250"/>
      <c r="BA154" s="250"/>
      <c r="BB154" s="251">
        <f t="shared" si="103"/>
        <v>-2280027.6</v>
      </c>
      <c r="BC154" s="169"/>
      <c r="BD154" s="169"/>
      <c r="BE154" s="169"/>
      <c r="BF154" s="169"/>
    </row>
    <row r="155" spans="1:58" ht="126" outlineLevel="2" x14ac:dyDescent="0.25">
      <c r="A155" s="115"/>
      <c r="B155" s="200"/>
      <c r="C155" s="201"/>
      <c r="D155" s="151"/>
      <c r="E155" s="121"/>
      <c r="F155" s="311"/>
      <c r="G155" s="312"/>
      <c r="H155" s="199" t="s">
        <v>540</v>
      </c>
      <c r="I155" s="130" t="s">
        <v>172</v>
      </c>
      <c r="J155" s="126">
        <v>2</v>
      </c>
      <c r="K155" s="126">
        <v>1</v>
      </c>
      <c r="L155" s="125">
        <f>IF(I155&lt;&gt;0,((VLOOKUP(I155,'1. Standard_Cost'!$B$4:$D$11,2)+VLOOKUP(I155,'1. Standard_Cost'!$B$4:$D$11,3))*J155*K155),"0")</f>
        <v>101000</v>
      </c>
      <c r="M155" s="125">
        <f>L155*'1. Standard_Cost'!$F$4</f>
        <v>16867</v>
      </c>
      <c r="N155" s="126">
        <v>11</v>
      </c>
      <c r="O155" s="126">
        <v>1</v>
      </c>
      <c r="P155" s="126">
        <v>25</v>
      </c>
      <c r="Q155" s="126"/>
      <c r="R155" s="127">
        <f>'1. Standard_Cost'!$B$15*N155*P155</f>
        <v>550000</v>
      </c>
      <c r="S155" s="127">
        <f>N155*O155*P155*'1. Standard_Cost'!$C$15</f>
        <v>412500</v>
      </c>
      <c r="T155" s="127">
        <f>N155*P155*Q155*'1. Standard_Cost'!$D$15</f>
        <v>0</v>
      </c>
      <c r="U155" s="127">
        <f>N155*O155*'1. Standard_Cost'!$E$15</f>
        <v>440000</v>
      </c>
      <c r="V155" s="126"/>
      <c r="W155" s="126"/>
      <c r="X155" s="126"/>
      <c r="Y155" s="127">
        <f>+V155*((X155*'1. Standard_Cost'!$B$19)+(W155*X155*'1. Standard_Cost'!$C$19))</f>
        <v>0</v>
      </c>
      <c r="Z155" s="126"/>
      <c r="AA155" s="126">
        <v>26</v>
      </c>
      <c r="AB155" s="127">
        <f>+Z155*'1. Standard_Cost'!$B$23+AA155*'1. Standard_Cost'!$C$23</f>
        <v>494000</v>
      </c>
      <c r="AC155" s="128">
        <v>110000</v>
      </c>
      <c r="AD155" s="129"/>
      <c r="AE155" s="127">
        <f>SUM(AD155,AC155,AB155,Y155,U155,T155,S155,R155)*'1. Standard_Cost'!$B$31</f>
        <v>401300</v>
      </c>
      <c r="AF155" s="127">
        <f>SUM(AE155,AD155,AC155,AB155,Y155,U155,T155,S155,R155)</f>
        <v>2407800</v>
      </c>
      <c r="AG155" s="126"/>
      <c r="AH155" s="126"/>
      <c r="AI155" s="126"/>
      <c r="AJ155" s="130"/>
      <c r="AK155" s="130"/>
      <c r="AL155" s="130"/>
      <c r="AM155" s="127">
        <f>AG155*'1. Standard_Cost'!$B$27+'Incremental_Cost Year 4'!AH155*'1. Standard_Cost'!$C$27+'Incremental_Cost Year 4'!AI155*'1. Standard_Cost'!$D$27+'Incremental_Cost Year 4'!AJ155+'Incremental_Cost Year 4'!AL155+AK155</f>
        <v>0</v>
      </c>
      <c r="AN155" s="127">
        <f>AM155*'1. Standard_Cost'!$C$31</f>
        <v>0</v>
      </c>
      <c r="AO155" s="130"/>
      <c r="AP155" s="256"/>
      <c r="AQ155" s="171">
        <f>L155+M155</f>
        <v>117867</v>
      </c>
      <c r="AR155" s="171">
        <f>AF155</f>
        <v>2407800</v>
      </c>
      <c r="AS155" s="171">
        <f>AM155+AN155</f>
        <v>0</v>
      </c>
      <c r="AT155" s="171">
        <f>SUM(AQ155,AR155,AS155)</f>
        <v>2525667</v>
      </c>
      <c r="AU155" s="250">
        <v>117867</v>
      </c>
      <c r="AV155" s="250"/>
      <c r="AW155" s="250"/>
      <c r="AX155" s="250"/>
      <c r="AY155" s="250"/>
      <c r="AZ155" s="250"/>
      <c r="BA155" s="250"/>
      <c r="BB155" s="251">
        <f t="shared" si="103"/>
        <v>-2407800</v>
      </c>
      <c r="BC155" s="169"/>
      <c r="BD155" s="169"/>
      <c r="BE155" s="169"/>
      <c r="BF155" s="169"/>
    </row>
    <row r="156" spans="1:58" ht="47.25" outlineLevel="2" x14ac:dyDescent="0.25">
      <c r="A156" s="115"/>
      <c r="B156" s="165"/>
      <c r="C156" s="166"/>
      <c r="D156" s="212" t="s">
        <v>233</v>
      </c>
      <c r="E156" s="212" t="s">
        <v>468</v>
      </c>
      <c r="F156" s="136">
        <v>2021</v>
      </c>
      <c r="G156" s="117">
        <v>2025</v>
      </c>
      <c r="H156" s="110" t="s">
        <v>168</v>
      </c>
      <c r="I156" s="252"/>
      <c r="J156" s="252"/>
      <c r="K156" s="252"/>
      <c r="L156" s="127">
        <f>SUM(L152:L155)</f>
        <v>484800</v>
      </c>
      <c r="M156" s="127">
        <f>SUM(M152:M155)</f>
        <v>80961.600000000006</v>
      </c>
      <c r="N156" s="252"/>
      <c r="O156" s="252"/>
      <c r="P156" s="252"/>
      <c r="Q156" s="252"/>
      <c r="R156" s="127">
        <f>SUM(R152:R155)</f>
        <v>550000</v>
      </c>
      <c r="S156" s="127">
        <f>SUM(S152:S155)</f>
        <v>412500</v>
      </c>
      <c r="T156" s="127">
        <f>SUM(T152:T155)</f>
        <v>0</v>
      </c>
      <c r="U156" s="127">
        <f>SUM(U152:U155)</f>
        <v>440000</v>
      </c>
      <c r="V156" s="252"/>
      <c r="W156" s="252"/>
      <c r="X156" s="252"/>
      <c r="Y156" s="127">
        <f>SUM(Y152:Y155)</f>
        <v>0</v>
      </c>
      <c r="Z156" s="252"/>
      <c r="AA156" s="252"/>
      <c r="AB156" s="127">
        <f>SUM(AB152:AB155)</f>
        <v>3914000</v>
      </c>
      <c r="AC156" s="127">
        <f>SUM(AC152:AC155)</f>
        <v>195000</v>
      </c>
      <c r="AD156" s="127">
        <f>SUM(AD152:AD155)</f>
        <v>0</v>
      </c>
      <c r="AE156" s="127">
        <f>SUM(AE152:AE155)</f>
        <v>1102300</v>
      </c>
      <c r="AF156" s="127">
        <f>SUM(AF152:AF155)</f>
        <v>6613800</v>
      </c>
      <c r="AG156" s="252"/>
      <c r="AH156" s="252"/>
      <c r="AI156" s="252"/>
      <c r="AJ156" s="127">
        <f>SUM(AJ152:AJ155)</f>
        <v>211000000</v>
      </c>
      <c r="AK156" s="127">
        <f>SUM(AK152:AK155)</f>
        <v>0</v>
      </c>
      <c r="AL156" s="127">
        <f>SUM(AL152:AL155)</f>
        <v>39000000</v>
      </c>
      <c r="AM156" s="127">
        <f>SUM(AM152:AM155)</f>
        <v>250000000</v>
      </c>
      <c r="AN156" s="127">
        <f>SUM(AN152:AN155)</f>
        <v>37500000</v>
      </c>
      <c r="AO156" s="253"/>
      <c r="AP156" s="254"/>
      <c r="AQ156" s="175">
        <f>SUM(AQ152:AQ155)</f>
        <v>565761.6</v>
      </c>
      <c r="AR156" s="175">
        <f>SUM(AR152:AR155)</f>
        <v>6613800</v>
      </c>
      <c r="AS156" s="175">
        <f>SUM(AS152:AS155)</f>
        <v>287500000</v>
      </c>
      <c r="AT156" s="175">
        <f>SUM(AT152:AT155)</f>
        <v>294679561.60000002</v>
      </c>
      <c r="AU156" s="175">
        <f t="shared" ref="AU156:BA156" si="104">SUM(AU152:AU155)</f>
        <v>92667734</v>
      </c>
      <c r="AV156" s="175">
        <f t="shared" si="104"/>
        <v>0</v>
      </c>
      <c r="AW156" s="175">
        <f t="shared" si="104"/>
        <v>0</v>
      </c>
      <c r="AX156" s="175">
        <f t="shared" si="104"/>
        <v>0</v>
      </c>
      <c r="AY156" s="175">
        <f t="shared" si="104"/>
        <v>0</v>
      </c>
      <c r="AZ156" s="175">
        <f t="shared" si="104"/>
        <v>158000000</v>
      </c>
      <c r="BA156" s="175">
        <f t="shared" si="104"/>
        <v>0</v>
      </c>
      <c r="BB156" s="175">
        <f>SUM(BB152:BB155)</f>
        <v>-44011827.600000001</v>
      </c>
      <c r="BC156" s="169"/>
      <c r="BD156" s="169"/>
      <c r="BE156" s="169"/>
      <c r="BF156" s="169"/>
    </row>
    <row r="157" spans="1:58" ht="126" outlineLevel="1" x14ac:dyDescent="0.25">
      <c r="A157" s="115"/>
      <c r="B157" s="200"/>
      <c r="C157" s="201"/>
      <c r="D157" s="342"/>
      <c r="E157" s="328"/>
      <c r="F157" s="328"/>
      <c r="G157" s="328"/>
      <c r="H157" s="213" t="s">
        <v>469</v>
      </c>
      <c r="I157" s="130"/>
      <c r="J157" s="126"/>
      <c r="K157" s="126"/>
      <c r="L157" s="125" t="str">
        <f>IF(I157&lt;&gt;0,((VLOOKUP(I157,'1. Standard_Cost'!$B$4:$D$11,2)+VLOOKUP(I157,'1. Standard_Cost'!$B$4:$D$11,3))*J157*K157),"0")</f>
        <v>0</v>
      </c>
      <c r="M157" s="125">
        <f>L157*'1. Standard_Cost'!$F$4</f>
        <v>0</v>
      </c>
      <c r="N157" s="126"/>
      <c r="O157" s="126"/>
      <c r="P157" s="126"/>
      <c r="Q157" s="126"/>
      <c r="R157" s="127">
        <f>'1. Standard_Cost'!$B$15*N157*P157</f>
        <v>0</v>
      </c>
      <c r="S157" s="127">
        <f>N157*O157*P157*'1. Standard_Cost'!$C$15</f>
        <v>0</v>
      </c>
      <c r="T157" s="127">
        <f>N157*P157*Q157*'1. Standard_Cost'!$D$15</f>
        <v>0</v>
      </c>
      <c r="U157" s="127">
        <f>N157*O157*'1. Standard_Cost'!$E$15</f>
        <v>0</v>
      </c>
      <c r="V157" s="126"/>
      <c r="W157" s="126"/>
      <c r="X157" s="126"/>
      <c r="Y157" s="127">
        <f>+V157*((X157*'1. Standard_Cost'!$B$19)+(W157*X157*'1. Standard_Cost'!$C$19))</f>
        <v>0</v>
      </c>
      <c r="Z157" s="126"/>
      <c r="AA157" s="126"/>
      <c r="AB157" s="127">
        <f>+Z157*'1. Standard_Cost'!$B$23+AA157*'1. Standard_Cost'!$C$23</f>
        <v>0</v>
      </c>
      <c r="AC157" s="128"/>
      <c r="AD157" s="129"/>
      <c r="AE157" s="127">
        <f>SUM(AD157,AC157,AB157,Y157,U157,T157,S157,R157)*'1. Standard_Cost'!$B$31</f>
        <v>0</v>
      </c>
      <c r="AF157" s="127">
        <f>SUM(AE157,AD157,AC157,AB157,Y157,U157,T157,S157,R157)</f>
        <v>0</v>
      </c>
      <c r="AG157" s="126"/>
      <c r="AH157" s="126"/>
      <c r="AI157" s="126"/>
      <c r="AJ157" s="130"/>
      <c r="AK157" s="130"/>
      <c r="AL157" s="130">
        <v>50000000</v>
      </c>
      <c r="AM157" s="127">
        <f>AG157*'1. Standard_Cost'!$B$27+'Incremental_Cost Year 4'!AH157*'1. Standard_Cost'!$C$27+'Incremental_Cost Year 4'!AI157*'1. Standard_Cost'!$D$27+'Incremental_Cost Year 4'!AJ157+'Incremental_Cost Year 4'!AL157+AK157</f>
        <v>50000000</v>
      </c>
      <c r="AN157" s="127"/>
      <c r="AO157" s="130"/>
      <c r="AP157" s="256"/>
      <c r="AQ157" s="171">
        <f>L157+M157</f>
        <v>0</v>
      </c>
      <c r="AR157" s="171">
        <f>AF157</f>
        <v>0</v>
      </c>
      <c r="AS157" s="171">
        <f>AM157+AN157</f>
        <v>50000000</v>
      </c>
      <c r="AT157" s="171">
        <f>SUM(AQ157,AR157,AS157)</f>
        <v>50000000</v>
      </c>
      <c r="AU157" s="250"/>
      <c r="AV157" s="250"/>
      <c r="AW157" s="250"/>
      <c r="AX157" s="250"/>
      <c r="AY157" s="250"/>
      <c r="AZ157" s="250">
        <v>50000000</v>
      </c>
      <c r="BA157" s="250"/>
      <c r="BB157" s="251">
        <f t="shared" ref="BB157:BB158" si="105">SUM(AU157:BA157)-AT157</f>
        <v>0</v>
      </c>
      <c r="BC157" s="169"/>
      <c r="BD157" s="169"/>
      <c r="BE157" s="169"/>
      <c r="BF157" s="169"/>
    </row>
    <row r="158" spans="1:58" ht="47.25" outlineLevel="2" x14ac:dyDescent="0.25">
      <c r="A158" s="115"/>
      <c r="B158" s="200"/>
      <c r="C158" s="201"/>
      <c r="D158" s="344"/>
      <c r="E158" s="328"/>
      <c r="F158" s="328"/>
      <c r="G158" s="328"/>
      <c r="H158" s="199" t="s">
        <v>470</v>
      </c>
      <c r="I158" s="130"/>
      <c r="J158" s="126"/>
      <c r="K158" s="126"/>
      <c r="L158" s="125" t="str">
        <f>IF(I158&lt;&gt;0,((VLOOKUP(I158,'1. Standard_Cost'!$B$4:$D$11,2)+VLOOKUP(I158,'1. Standard_Cost'!$B$4:$D$11,3))*J158*K158),"0")</f>
        <v>0</v>
      </c>
      <c r="M158" s="125">
        <f>L158*'1. Standard_Cost'!$F$4</f>
        <v>0</v>
      </c>
      <c r="N158" s="126"/>
      <c r="O158" s="126"/>
      <c r="P158" s="126"/>
      <c r="Q158" s="126"/>
      <c r="R158" s="127">
        <f>'1. Standard_Cost'!$B$15*N158*P158</f>
        <v>0</v>
      </c>
      <c r="S158" s="127">
        <f>N158*O158*P158*'1. Standard_Cost'!$C$15</f>
        <v>0</v>
      </c>
      <c r="T158" s="127">
        <f>N158*P158*Q158*'1. Standard_Cost'!$D$15</f>
        <v>0</v>
      </c>
      <c r="U158" s="127">
        <f>N158*O158*'1. Standard_Cost'!$E$15</f>
        <v>0</v>
      </c>
      <c r="V158" s="126"/>
      <c r="W158" s="126"/>
      <c r="X158" s="126"/>
      <c r="Y158" s="127">
        <f>+V158*((X158*'1. Standard_Cost'!$B$19)+(W158*X158*'1. Standard_Cost'!$C$19))</f>
        <v>0</v>
      </c>
      <c r="Z158" s="126"/>
      <c r="AA158" s="126"/>
      <c r="AB158" s="127">
        <f>+Z158*'1. Standard_Cost'!$B$23+AA158*'1. Standard_Cost'!$C$23</f>
        <v>0</v>
      </c>
      <c r="AC158" s="128"/>
      <c r="AD158" s="129"/>
      <c r="AE158" s="127">
        <f>SUM(AD158,AC158,AB158,Y158,U158,T158,S158,R158)*'1. Standard_Cost'!$B$31</f>
        <v>0</v>
      </c>
      <c r="AF158" s="127">
        <f>SUM(AE158,AD158,AC158,AB158,Y158,U158,T158,S158,R158)</f>
        <v>0</v>
      </c>
      <c r="AG158" s="126"/>
      <c r="AH158" s="126"/>
      <c r="AI158" s="126"/>
      <c r="AJ158" s="130"/>
      <c r="AK158" s="130"/>
      <c r="AL158" s="130"/>
      <c r="AM158" s="127">
        <f>AG158*'1. Standard_Cost'!$B$27+'Incremental_Cost Year 4'!AH158*'1. Standard_Cost'!$C$27+'Incremental_Cost Year 4'!AI158*'1. Standard_Cost'!$D$27+'Incremental_Cost Year 4'!AJ158+'Incremental_Cost Year 4'!AL158+AK158</f>
        <v>0</v>
      </c>
      <c r="AN158" s="127">
        <f>AM158*'1. Standard_Cost'!$C$31</f>
        <v>0</v>
      </c>
      <c r="AO158" s="130"/>
      <c r="AP158" s="256"/>
      <c r="AQ158" s="171">
        <f>L158+M158</f>
        <v>0</v>
      </c>
      <c r="AR158" s="171">
        <f>AF158</f>
        <v>0</v>
      </c>
      <c r="AS158" s="171">
        <f>AM158+AN158</f>
        <v>0</v>
      </c>
      <c r="AT158" s="171">
        <f>SUM(AQ158,AR158,AS158)</f>
        <v>0</v>
      </c>
      <c r="AU158" s="250"/>
      <c r="AV158" s="250"/>
      <c r="AW158" s="250"/>
      <c r="AX158" s="250"/>
      <c r="AY158" s="250"/>
      <c r="AZ158" s="250"/>
      <c r="BA158" s="250"/>
      <c r="BB158" s="251">
        <f t="shared" si="105"/>
        <v>0</v>
      </c>
      <c r="BC158" s="169"/>
      <c r="BD158" s="169"/>
      <c r="BE158" s="169"/>
      <c r="BF158" s="169"/>
    </row>
    <row r="159" spans="1:58" ht="63" outlineLevel="2" x14ac:dyDescent="0.25">
      <c r="A159" s="115"/>
      <c r="B159" s="165"/>
      <c r="C159" s="166"/>
      <c r="D159" s="150" t="s">
        <v>471</v>
      </c>
      <c r="E159" s="212" t="s">
        <v>472</v>
      </c>
      <c r="F159" s="106">
        <v>2021</v>
      </c>
      <c r="G159" s="104">
        <v>2030</v>
      </c>
      <c r="H159" s="110" t="s">
        <v>179</v>
      </c>
      <c r="I159" s="252"/>
      <c r="J159" s="252"/>
      <c r="K159" s="252"/>
      <c r="L159" s="127">
        <f>SUM(L157:L158)</f>
        <v>0</v>
      </c>
      <c r="M159" s="127">
        <f>SUM(M157:M158)</f>
        <v>0</v>
      </c>
      <c r="N159" s="252"/>
      <c r="O159" s="252"/>
      <c r="P159" s="252"/>
      <c r="Q159" s="252"/>
      <c r="R159" s="127">
        <f>SUM(R157:R158)</f>
        <v>0</v>
      </c>
      <c r="S159" s="127">
        <f>SUM(S157:S158)</f>
        <v>0</v>
      </c>
      <c r="T159" s="127">
        <f>SUM(T157:T158)</f>
        <v>0</v>
      </c>
      <c r="U159" s="127">
        <f>SUM(U157:U158)</f>
        <v>0</v>
      </c>
      <c r="V159" s="252"/>
      <c r="W159" s="252"/>
      <c r="X159" s="252"/>
      <c r="Y159" s="127">
        <f>SUM(Y157:Y158)</f>
        <v>0</v>
      </c>
      <c r="Z159" s="252"/>
      <c r="AA159" s="252"/>
      <c r="AB159" s="127">
        <f>SUM(AB157:AB158)</f>
        <v>0</v>
      </c>
      <c r="AC159" s="127">
        <f>SUM(AC157:AC158)</f>
        <v>0</v>
      </c>
      <c r="AD159" s="127">
        <f>SUM(AD157:AD158)</f>
        <v>0</v>
      </c>
      <c r="AE159" s="127">
        <f>SUM(AE157:AE158)</f>
        <v>0</v>
      </c>
      <c r="AF159" s="127">
        <f>SUM(AF157:AF158)</f>
        <v>0</v>
      </c>
      <c r="AG159" s="252"/>
      <c r="AH159" s="252"/>
      <c r="AI159" s="252"/>
      <c r="AJ159" s="127">
        <f>SUM(AJ157:AJ158)</f>
        <v>0</v>
      </c>
      <c r="AK159" s="127">
        <f>SUM(AK157:AK158)</f>
        <v>0</v>
      </c>
      <c r="AL159" s="127">
        <f>SUM(AL157:AL158)</f>
        <v>50000000</v>
      </c>
      <c r="AM159" s="127">
        <f>SUM(AM157:AM158)</f>
        <v>50000000</v>
      </c>
      <c r="AN159" s="127">
        <f>SUM(AN157:AN158)</f>
        <v>0</v>
      </c>
      <c r="AO159" s="253"/>
      <c r="AP159" s="254"/>
      <c r="AQ159" s="175">
        <f>SUM(AQ157:AQ158)</f>
        <v>0</v>
      </c>
      <c r="AR159" s="175">
        <f>SUM(AR157:AR158)</f>
        <v>0</v>
      </c>
      <c r="AS159" s="175">
        <f>SUM(AS157:AS158)</f>
        <v>50000000</v>
      </c>
      <c r="AT159" s="175">
        <f>SUM(AT157:AT158)</f>
        <v>50000000</v>
      </c>
      <c r="AU159" s="175">
        <f t="shared" ref="AU159:BB159" si="106">SUM(AU157:AU158)</f>
        <v>0</v>
      </c>
      <c r="AV159" s="175">
        <f t="shared" si="106"/>
        <v>0</v>
      </c>
      <c r="AW159" s="175">
        <f t="shared" si="106"/>
        <v>0</v>
      </c>
      <c r="AX159" s="175">
        <f t="shared" si="106"/>
        <v>0</v>
      </c>
      <c r="AY159" s="175">
        <f t="shared" si="106"/>
        <v>0</v>
      </c>
      <c r="AZ159" s="175">
        <f t="shared" si="106"/>
        <v>50000000</v>
      </c>
      <c r="BA159" s="175">
        <f t="shared" si="106"/>
        <v>0</v>
      </c>
      <c r="BB159" s="175">
        <f t="shared" si="106"/>
        <v>0</v>
      </c>
      <c r="BC159" s="169"/>
      <c r="BD159" s="169"/>
      <c r="BE159" s="169"/>
      <c r="BF159" s="169"/>
    </row>
    <row r="160" spans="1:58" ht="94.5" outlineLevel="2" x14ac:dyDescent="0.25">
      <c r="A160" s="115"/>
      <c r="B160" s="200"/>
      <c r="C160" s="201"/>
      <c r="D160" s="328"/>
      <c r="E160" s="328"/>
      <c r="F160" s="328"/>
      <c r="G160" s="328"/>
      <c r="H160" s="199" t="s">
        <v>473</v>
      </c>
      <c r="I160" s="130" t="s">
        <v>5</v>
      </c>
      <c r="J160" s="126">
        <v>1</v>
      </c>
      <c r="K160" s="126">
        <v>6</v>
      </c>
      <c r="L160" s="125">
        <f>IF(I160&lt;&gt;0,((VLOOKUP(I160,'1. Standard_Cost'!$B$4:$D$11,2)+VLOOKUP(I160,'1. Standard_Cost'!$B$4:$D$11,3))*J160*K160),"0")</f>
        <v>424200</v>
      </c>
      <c r="M160" s="125">
        <f>L160*'1. Standard_Cost'!$F$4</f>
        <v>70841.400000000009</v>
      </c>
      <c r="N160" s="126"/>
      <c r="O160" s="126"/>
      <c r="P160" s="126"/>
      <c r="Q160" s="126"/>
      <c r="R160" s="127">
        <f>'1. Standard_Cost'!$B$15*N160*P160</f>
        <v>0</v>
      </c>
      <c r="S160" s="127">
        <f>N160*O160*P160*'1. Standard_Cost'!$C$15</f>
        <v>0</v>
      </c>
      <c r="T160" s="127">
        <f>N160*P160*Q160*'1. Standard_Cost'!$D$15</f>
        <v>0</v>
      </c>
      <c r="U160" s="127">
        <f>N160*O160*'1. Standard_Cost'!$E$15</f>
        <v>0</v>
      </c>
      <c r="V160" s="126"/>
      <c r="W160" s="126"/>
      <c r="X160" s="126"/>
      <c r="Y160" s="127">
        <f>+V160*((X160*'1. Standard_Cost'!$B$19)+(W160*X160*'1. Standard_Cost'!$C$19))</f>
        <v>0</v>
      </c>
      <c r="Z160" s="126"/>
      <c r="AA160" s="126">
        <v>45</v>
      </c>
      <c r="AB160" s="127">
        <f>+Z160*'1. Standard_Cost'!$B$23+AA160*'1. Standard_Cost'!$C$23</f>
        <v>855000</v>
      </c>
      <c r="AC160" s="128">
        <v>400000</v>
      </c>
      <c r="AD160" s="129"/>
      <c r="AE160" s="127">
        <f>SUM(AD160,AC160,AB160,Y160,U160,T160,S160,R160)*'1. Standard_Cost'!$B$31</f>
        <v>251000</v>
      </c>
      <c r="AF160" s="127">
        <f>SUM(AE160,AD160,AC160,AB160,Y160,U160,T160,S160,R160)</f>
        <v>1506000</v>
      </c>
      <c r="AG160" s="126"/>
      <c r="AH160" s="126"/>
      <c r="AI160" s="126"/>
      <c r="AJ160" s="130"/>
      <c r="AK160" s="130"/>
      <c r="AL160" s="130"/>
      <c r="AM160" s="127">
        <f>AG160*'1. Standard_Cost'!$B$27+'Incremental_Cost Year 4'!AH160*'1. Standard_Cost'!$C$27+'Incremental_Cost Year 4'!AI160*'1. Standard_Cost'!$D$27+'Incremental_Cost Year 4'!AJ160+'Incremental_Cost Year 4'!AL160+AK160</f>
        <v>0</v>
      </c>
      <c r="AN160" s="127">
        <f>AM160*'1. Standard_Cost'!$C$31</f>
        <v>0</v>
      </c>
      <c r="AO160" s="130"/>
      <c r="AP160" s="256"/>
      <c r="AQ160" s="171">
        <f>L160+M160</f>
        <v>495041.4</v>
      </c>
      <c r="AR160" s="171">
        <f>AF160</f>
        <v>1506000</v>
      </c>
      <c r="AS160" s="171">
        <f>AM160+AN160</f>
        <v>0</v>
      </c>
      <c r="AT160" s="171">
        <f>SUM(AQ160,AR160,AS160)</f>
        <v>2001041.4</v>
      </c>
      <c r="AU160" s="250">
        <v>555000</v>
      </c>
      <c r="AV160" s="250"/>
      <c r="AW160" s="250"/>
      <c r="AX160" s="250"/>
      <c r="AY160" s="250"/>
      <c r="AZ160" s="250"/>
      <c r="BA160" s="250"/>
      <c r="BB160" s="251">
        <f t="shared" ref="BB160:BB161" si="107">SUM(AU160:BA160)-AT160</f>
        <v>-1446041.4</v>
      </c>
      <c r="BC160" s="169"/>
      <c r="BD160" s="169"/>
      <c r="BE160" s="169"/>
      <c r="BF160" s="169"/>
    </row>
    <row r="161" spans="1:58" ht="47.25" outlineLevel="2" x14ac:dyDescent="0.25">
      <c r="A161" s="115"/>
      <c r="B161" s="200"/>
      <c r="C161" s="201"/>
      <c r="D161" s="328"/>
      <c r="E161" s="328"/>
      <c r="F161" s="328"/>
      <c r="G161" s="328"/>
      <c r="H161" s="213" t="s">
        <v>311</v>
      </c>
      <c r="I161" s="130" t="s">
        <v>5</v>
      </c>
      <c r="J161" s="126">
        <v>12</v>
      </c>
      <c r="K161" s="126">
        <v>13</v>
      </c>
      <c r="L161" s="125">
        <f>IF(I161&lt;&gt;0,((VLOOKUP(I161,'1. Standard_Cost'!$B$4:$D$11,2)+VLOOKUP(I161,'1. Standard_Cost'!$B$4:$D$11,3))*J161*K161),"0")</f>
        <v>11029200</v>
      </c>
      <c r="M161" s="125">
        <f>L161*'1. Standard_Cost'!$F$4</f>
        <v>1841876.4000000001</v>
      </c>
      <c r="N161" s="126"/>
      <c r="O161" s="126"/>
      <c r="P161" s="126"/>
      <c r="Q161" s="126"/>
      <c r="R161" s="127">
        <f>'1. Standard_Cost'!$B$15*N161*P161</f>
        <v>0</v>
      </c>
      <c r="S161" s="127">
        <f>N161*O161*P161*'1. Standard_Cost'!$C$15</f>
        <v>0</v>
      </c>
      <c r="T161" s="127">
        <f>N161*P161*Q161*'1. Standard_Cost'!$D$15</f>
        <v>0</v>
      </c>
      <c r="U161" s="127">
        <f>N161*O161*'1. Standard_Cost'!$E$15</f>
        <v>0</v>
      </c>
      <c r="V161" s="126"/>
      <c r="W161" s="126"/>
      <c r="X161" s="126"/>
      <c r="Y161" s="127">
        <f>+V161*((X161*'1. Standard_Cost'!$B$19)+(W161*X161*'1. Standard_Cost'!$C$19))</f>
        <v>0</v>
      </c>
      <c r="Z161" s="126"/>
      <c r="AA161" s="126"/>
      <c r="AB161" s="127">
        <f>+Z161*'1. Standard_Cost'!$B$23+AA161*'1. Standard_Cost'!$C$23</f>
        <v>0</v>
      </c>
      <c r="AC161" s="128">
        <v>3307500</v>
      </c>
      <c r="AD161" s="129"/>
      <c r="AE161" s="127"/>
      <c r="AF161" s="127">
        <f>SUM(AE161,AD161,AC161,AB161,Y161,U161,T161,S161,R161)</f>
        <v>3307500</v>
      </c>
      <c r="AG161" s="126"/>
      <c r="AH161" s="126"/>
      <c r="AI161" s="126"/>
      <c r="AJ161" s="130"/>
      <c r="AK161" s="130"/>
      <c r="AL161" s="130"/>
      <c r="AM161" s="127">
        <f>AG161*'1. Standard_Cost'!$B$27+'Incremental_Cost Year 4'!AH161*'1. Standard_Cost'!$C$27+'Incremental_Cost Year 4'!AI161*'1. Standard_Cost'!$D$27+'Incremental_Cost Year 4'!AJ161+'Incremental_Cost Year 4'!AL161+AK161</f>
        <v>0</v>
      </c>
      <c r="AN161" s="127">
        <f>AM161*'1. Standard_Cost'!$C$31</f>
        <v>0</v>
      </c>
      <c r="AO161" s="130"/>
      <c r="AP161" s="256"/>
      <c r="AQ161" s="171">
        <f>L161+M161</f>
        <v>12871076.4</v>
      </c>
      <c r="AR161" s="171">
        <f>AF161</f>
        <v>3307500</v>
      </c>
      <c r="AS161" s="171">
        <f>AM161+AN161</f>
        <v>0</v>
      </c>
      <c r="AT161" s="171">
        <f>SUM(AQ161,AR161,AS161)</f>
        <v>16178576.4</v>
      </c>
      <c r="AU161" s="250">
        <v>16178576</v>
      </c>
      <c r="AV161" s="250"/>
      <c r="AW161" s="250"/>
      <c r="AX161" s="250"/>
      <c r="AY161" s="250"/>
      <c r="AZ161" s="250"/>
      <c r="BA161" s="250"/>
      <c r="BB161" s="251">
        <f t="shared" si="107"/>
        <v>-0.40000000037252903</v>
      </c>
      <c r="BC161" s="169"/>
      <c r="BD161" s="169"/>
      <c r="BE161" s="169"/>
      <c r="BF161" s="169"/>
    </row>
    <row r="162" spans="1:58" ht="47.25" outlineLevel="2" x14ac:dyDescent="0.25">
      <c r="A162" s="115"/>
      <c r="B162" s="165"/>
      <c r="C162" s="166"/>
      <c r="D162" s="107" t="s">
        <v>233</v>
      </c>
      <c r="E162" s="212" t="s">
        <v>474</v>
      </c>
      <c r="F162" s="136">
        <v>2021</v>
      </c>
      <c r="G162" s="117">
        <v>2030</v>
      </c>
      <c r="H162" s="110" t="s">
        <v>180</v>
      </c>
      <c r="I162" s="252"/>
      <c r="J162" s="252"/>
      <c r="K162" s="252"/>
      <c r="L162" s="127">
        <f>SUM(L160:L161)</f>
        <v>11453400</v>
      </c>
      <c r="M162" s="127">
        <f>SUM(M160:M161)</f>
        <v>1912717.8</v>
      </c>
      <c r="N162" s="252"/>
      <c r="O162" s="252"/>
      <c r="P162" s="252"/>
      <c r="Q162" s="252"/>
      <c r="R162" s="127">
        <f>SUM(R160:R161)</f>
        <v>0</v>
      </c>
      <c r="S162" s="127">
        <f>SUM(S160:S161)</f>
        <v>0</v>
      </c>
      <c r="T162" s="127">
        <f>SUM(T160:T161)</f>
        <v>0</v>
      </c>
      <c r="U162" s="127">
        <f>SUM(U160:U161)</f>
        <v>0</v>
      </c>
      <c r="V162" s="252"/>
      <c r="W162" s="252"/>
      <c r="X162" s="252"/>
      <c r="Y162" s="127">
        <f>SUM(Y160:Y161)</f>
        <v>0</v>
      </c>
      <c r="Z162" s="252"/>
      <c r="AA162" s="252"/>
      <c r="AB162" s="127">
        <f>SUM(AB160:AB161)</f>
        <v>855000</v>
      </c>
      <c r="AC162" s="127">
        <f>SUM(AC160:AC161)</f>
        <v>3707500</v>
      </c>
      <c r="AD162" s="127">
        <f>SUM(AD160:AD161)</f>
        <v>0</v>
      </c>
      <c r="AE162" s="127">
        <f>SUM(AE160:AE161)</f>
        <v>251000</v>
      </c>
      <c r="AF162" s="127">
        <f>SUM(AF160:AF161)</f>
        <v>4813500</v>
      </c>
      <c r="AG162" s="252"/>
      <c r="AH162" s="252"/>
      <c r="AI162" s="252"/>
      <c r="AJ162" s="127">
        <f>SUM(AJ160:AJ161)</f>
        <v>0</v>
      </c>
      <c r="AK162" s="127">
        <f>SUM(AK160:AK161)</f>
        <v>0</v>
      </c>
      <c r="AL162" s="127">
        <f>SUM(AL160:AL161)</f>
        <v>0</v>
      </c>
      <c r="AM162" s="127">
        <f>SUM(AM160:AM161)</f>
        <v>0</v>
      </c>
      <c r="AN162" s="127">
        <f>SUM(AN160:AN161)</f>
        <v>0</v>
      </c>
      <c r="AO162" s="253"/>
      <c r="AP162" s="254"/>
      <c r="AQ162" s="175">
        <f>SUM(AQ160:AQ161)</f>
        <v>13366117.800000001</v>
      </c>
      <c r="AR162" s="175">
        <f>SUM(AR160:AR161)</f>
        <v>4813500</v>
      </c>
      <c r="AS162" s="175">
        <f>SUM(AS160:AS161)</f>
        <v>0</v>
      </c>
      <c r="AT162" s="175">
        <f>SUM(AT160:AT161)</f>
        <v>18179617.800000001</v>
      </c>
      <c r="AU162" s="175">
        <f t="shared" ref="AU162:BA162" si="108">SUM(AU160:AU161)</f>
        <v>16733576</v>
      </c>
      <c r="AV162" s="175">
        <f t="shared" si="108"/>
        <v>0</v>
      </c>
      <c r="AW162" s="175">
        <f t="shared" si="108"/>
        <v>0</v>
      </c>
      <c r="AX162" s="175">
        <f t="shared" si="108"/>
        <v>0</v>
      </c>
      <c r="AY162" s="175">
        <f t="shared" si="108"/>
        <v>0</v>
      </c>
      <c r="AZ162" s="175">
        <f t="shared" si="108"/>
        <v>0</v>
      </c>
      <c r="BA162" s="175">
        <f t="shared" si="108"/>
        <v>0</v>
      </c>
      <c r="BB162" s="175">
        <f>SUM(BB160:BB161)</f>
        <v>-1446041.8000000003</v>
      </c>
      <c r="BC162" s="169"/>
      <c r="BD162" s="169"/>
      <c r="BE162" s="169"/>
      <c r="BF162" s="169"/>
    </row>
    <row r="163" spans="1:58" ht="15.75" customHeight="1" outlineLevel="2" x14ac:dyDescent="0.25">
      <c r="A163" s="143"/>
      <c r="B163" s="290"/>
      <c r="C163" s="391" t="s">
        <v>234</v>
      </c>
      <c r="D163" s="391"/>
      <c r="E163" s="392"/>
      <c r="F163" s="287"/>
      <c r="G163" s="289"/>
      <c r="H163" s="144" t="s">
        <v>169</v>
      </c>
      <c r="I163" s="257"/>
      <c r="J163" s="257"/>
      <c r="K163" s="257"/>
      <c r="L163" s="258">
        <f>L168+L178+L181</f>
        <v>436934800</v>
      </c>
      <c r="M163" s="258">
        <f>M168+M178+M181</f>
        <v>72968111.600000009</v>
      </c>
      <c r="N163" s="257"/>
      <c r="O163" s="257"/>
      <c r="P163" s="257"/>
      <c r="Q163" s="257"/>
      <c r="R163" s="258">
        <f>R168+R178+R181</f>
        <v>0</v>
      </c>
      <c r="S163" s="258">
        <f>S168+S178+S181</f>
        <v>0</v>
      </c>
      <c r="T163" s="258">
        <f>T168+T178+T181</f>
        <v>0</v>
      </c>
      <c r="U163" s="258">
        <f>U168+U178+U181</f>
        <v>0</v>
      </c>
      <c r="V163" s="257"/>
      <c r="W163" s="257"/>
      <c r="X163" s="257"/>
      <c r="Y163" s="258">
        <f>Y168+Y178+Y181</f>
        <v>0</v>
      </c>
      <c r="Z163" s="258"/>
      <c r="AA163" s="258"/>
      <c r="AB163" s="258">
        <f>AB168+AB178+AB181</f>
        <v>0</v>
      </c>
      <c r="AC163" s="258">
        <f>AC168+AC178+AC181</f>
        <v>5206388755</v>
      </c>
      <c r="AD163" s="258">
        <f>AD168+AD178+AD181</f>
        <v>0</v>
      </c>
      <c r="AE163" s="258">
        <f>AE168+AE178+AE181</f>
        <v>33151</v>
      </c>
      <c r="AF163" s="258">
        <f>AF168+AF178+AF181</f>
        <v>5206421906</v>
      </c>
      <c r="AG163" s="257"/>
      <c r="AH163" s="257"/>
      <c r="AI163" s="257"/>
      <c r="AJ163" s="258">
        <f>AJ168+AJ178+AJ181</f>
        <v>1897336000</v>
      </c>
      <c r="AK163" s="258">
        <f>AK168+AK178+AK181</f>
        <v>0</v>
      </c>
      <c r="AL163" s="258">
        <f>AL168+AL178+AL181</f>
        <v>377684000</v>
      </c>
      <c r="AM163" s="258">
        <f>AM168+AM178+AM181</f>
        <v>2275020000</v>
      </c>
      <c r="AN163" s="258">
        <f>AN168+AN178+AN181</f>
        <v>341253000</v>
      </c>
      <c r="AO163" s="259"/>
      <c r="AP163" s="260"/>
      <c r="AQ163" s="261">
        <f>AQ168+AQ178+AQ181</f>
        <v>509902911.59999996</v>
      </c>
      <c r="AR163" s="261">
        <f>AR168+AR178+AR181</f>
        <v>5206421906</v>
      </c>
      <c r="AS163" s="261">
        <f>AS168+AS178+AS181</f>
        <v>2616273000</v>
      </c>
      <c r="AT163" s="261">
        <f>AT168+AT178+AT181</f>
        <v>8332597817.5999994</v>
      </c>
      <c r="AU163" s="261">
        <f t="shared" ref="AU163:BB163" si="109">AU168+AU178+AU181</f>
        <v>7189344818.1999998</v>
      </c>
      <c r="AV163" s="261">
        <f t="shared" si="109"/>
        <v>200000000</v>
      </c>
      <c r="AW163" s="261">
        <f t="shared" si="109"/>
        <v>602000000</v>
      </c>
      <c r="AX163" s="261">
        <f t="shared" si="109"/>
        <v>0</v>
      </c>
      <c r="AY163" s="261">
        <f t="shared" si="109"/>
        <v>0</v>
      </c>
      <c r="AZ163" s="261">
        <f t="shared" si="109"/>
        <v>0</v>
      </c>
      <c r="BA163" s="261">
        <f t="shared" si="109"/>
        <v>0</v>
      </c>
      <c r="BB163" s="261">
        <f t="shared" si="109"/>
        <v>-341252999.39999998</v>
      </c>
      <c r="BC163" s="184"/>
      <c r="BD163" s="184"/>
      <c r="BE163" s="184"/>
      <c r="BF163" s="184"/>
    </row>
    <row r="164" spans="1:58" ht="78.75" outlineLevel="2" x14ac:dyDescent="0.25">
      <c r="A164" s="115"/>
      <c r="B164" s="200"/>
      <c r="C164" s="201"/>
      <c r="D164" s="333"/>
      <c r="E164" s="295"/>
      <c r="F164" s="306"/>
      <c r="G164" s="307"/>
      <c r="H164" s="199" t="s">
        <v>475</v>
      </c>
      <c r="I164" s="130"/>
      <c r="J164" s="126"/>
      <c r="K164" s="126"/>
      <c r="L164" s="125" t="str">
        <f>IF(I164&lt;&gt;0,((VLOOKUP(I164,'1. Standard_Cost'!$B$4:$D$11,2)+VLOOKUP(I164,'1. Standard_Cost'!$B$4:$D$11,3))*J164*K164),"0")</f>
        <v>0</v>
      </c>
      <c r="M164" s="125">
        <f>L164*'1. Standard_Cost'!$F$4</f>
        <v>0</v>
      </c>
      <c r="N164" s="126"/>
      <c r="O164" s="126"/>
      <c r="P164" s="126"/>
      <c r="Q164" s="126"/>
      <c r="R164" s="127">
        <f>'1. Standard_Cost'!$B$15*N164*P164</f>
        <v>0</v>
      </c>
      <c r="S164" s="127">
        <f>N164*O164*P164*'1. Standard_Cost'!$C$15</f>
        <v>0</v>
      </c>
      <c r="T164" s="127">
        <f>N164*P164*Q164*'1. Standard_Cost'!$D$15</f>
        <v>0</v>
      </c>
      <c r="U164" s="127">
        <f>N164*O164*'1. Standard_Cost'!$E$15</f>
        <v>0</v>
      </c>
      <c r="V164" s="126"/>
      <c r="W164" s="126"/>
      <c r="X164" s="126"/>
      <c r="Y164" s="127">
        <f>+V164*((X164*'1. Standard_Cost'!$B$19)+(W164*X164*'1. Standard_Cost'!$C$19))</f>
        <v>0</v>
      </c>
      <c r="Z164" s="126"/>
      <c r="AA164" s="126"/>
      <c r="AB164" s="127">
        <f>+Z164*'1. Standard_Cost'!$B$23+AA164*'1. Standard_Cost'!$C$23</f>
        <v>0</v>
      </c>
      <c r="AC164" s="128"/>
      <c r="AD164" s="129"/>
      <c r="AE164" s="127">
        <f>SUM(AD164,AC164,AB164,Y164,U164,T164,S164,R164)*'1. Standard_Cost'!$B$31</f>
        <v>0</v>
      </c>
      <c r="AF164" s="127">
        <f>SUM(AE164,AD164,AC164,AB164,Y164,U164,T164,S164,R164)</f>
        <v>0</v>
      </c>
      <c r="AG164" s="126"/>
      <c r="AH164" s="126"/>
      <c r="AI164" s="126"/>
      <c r="AJ164" s="130"/>
      <c r="AK164" s="130"/>
      <c r="AL164" s="130"/>
      <c r="AM164" s="127">
        <f>AG164*'1. Standard_Cost'!$B$27+'Incremental_Cost Year 4'!AH164*'1. Standard_Cost'!$C$27+'Incremental_Cost Year 4'!AI164*'1. Standard_Cost'!$D$27+'Incremental_Cost Year 4'!AJ164+'Incremental_Cost Year 4'!AL164+AK164</f>
        <v>0</v>
      </c>
      <c r="AN164" s="127">
        <f>AM164*'1. Standard_Cost'!$C$31</f>
        <v>0</v>
      </c>
      <c r="AO164" s="130"/>
      <c r="AP164" s="256"/>
      <c r="AQ164" s="171">
        <f>L164+M164</f>
        <v>0</v>
      </c>
      <c r="AR164" s="171">
        <f>AF164</f>
        <v>0</v>
      </c>
      <c r="AS164" s="171">
        <f>AM164+AN164</f>
        <v>0</v>
      </c>
      <c r="AT164" s="171">
        <f>SUM(AQ164,AR164,AS164)</f>
        <v>0</v>
      </c>
      <c r="AU164" s="250"/>
      <c r="AV164" s="250"/>
      <c r="AW164" s="250"/>
      <c r="AX164" s="250"/>
      <c r="AY164" s="250"/>
      <c r="AZ164" s="250"/>
      <c r="BA164" s="250"/>
      <c r="BB164" s="251">
        <f t="shared" ref="BB164:BB167" si="110">SUM(AU164:BA164)-AT164</f>
        <v>0</v>
      </c>
      <c r="BC164" s="169"/>
      <c r="BD164" s="169"/>
      <c r="BE164" s="169"/>
      <c r="BF164" s="169"/>
    </row>
    <row r="165" spans="1:58" ht="78.75" outlineLevel="2" x14ac:dyDescent="0.25">
      <c r="A165" s="115"/>
      <c r="B165" s="200"/>
      <c r="C165" s="201"/>
      <c r="D165" s="151"/>
      <c r="E165" s="219"/>
      <c r="F165" s="308"/>
      <c r="G165" s="309"/>
      <c r="H165" s="199" t="s">
        <v>476</v>
      </c>
      <c r="I165" s="130"/>
      <c r="J165" s="126"/>
      <c r="K165" s="126"/>
      <c r="L165" s="125" t="str">
        <f>IF(I165&lt;&gt;0,((VLOOKUP(I165,'1. Standard_Cost'!$B$4:$D$11,2)+VLOOKUP(I165,'1. Standard_Cost'!$B$4:$D$11,3))*J165*K165),"0")</f>
        <v>0</v>
      </c>
      <c r="M165" s="125">
        <f>L165*'1. Standard_Cost'!$F$4</f>
        <v>0</v>
      </c>
      <c r="N165" s="126"/>
      <c r="O165" s="126"/>
      <c r="P165" s="126"/>
      <c r="Q165" s="126"/>
      <c r="R165" s="127">
        <f>'1. Standard_Cost'!$B$15*N165*P165</f>
        <v>0</v>
      </c>
      <c r="S165" s="127">
        <f>N165*O165*P165*'1. Standard_Cost'!$C$15</f>
        <v>0</v>
      </c>
      <c r="T165" s="127">
        <f>N165*P165*Q165*'1. Standard_Cost'!$D$15</f>
        <v>0</v>
      </c>
      <c r="U165" s="127">
        <f>N165*O165*'1. Standard_Cost'!$E$15</f>
        <v>0</v>
      </c>
      <c r="V165" s="126"/>
      <c r="W165" s="126"/>
      <c r="X165" s="126"/>
      <c r="Y165" s="127">
        <f>+V165*((X165*'1. Standard_Cost'!$B$19)+(W165*X165*'1. Standard_Cost'!$C$19))</f>
        <v>0</v>
      </c>
      <c r="Z165" s="126"/>
      <c r="AA165" s="126"/>
      <c r="AB165" s="127">
        <f>+Z165*'1. Standard_Cost'!$B$23+AA165*'1. Standard_Cost'!$C$23</f>
        <v>0</v>
      </c>
      <c r="AC165" s="128"/>
      <c r="AD165" s="129"/>
      <c r="AE165" s="127">
        <f>SUM(AD165,AC165,AB165,Y165,U165,T165,S165,R165)*'1. Standard_Cost'!$B$31</f>
        <v>0</v>
      </c>
      <c r="AF165" s="127">
        <f>SUM(AE165,AD165,AC165,AB165,Y165,U165,T165,S165,R165)</f>
        <v>0</v>
      </c>
      <c r="AG165" s="126"/>
      <c r="AH165" s="126"/>
      <c r="AI165" s="126"/>
      <c r="AJ165" s="130"/>
      <c r="AK165" s="130"/>
      <c r="AL165" s="130"/>
      <c r="AM165" s="127">
        <f>AG165*'1. Standard_Cost'!$B$27+'Incremental_Cost Year 4'!AH165*'1. Standard_Cost'!$C$27+'Incremental_Cost Year 4'!AI165*'1. Standard_Cost'!$D$27+'Incremental_Cost Year 4'!AJ165+'Incremental_Cost Year 4'!AL165+AK165</f>
        <v>0</v>
      </c>
      <c r="AN165" s="127">
        <f>AM165*'1. Standard_Cost'!$C$31</f>
        <v>0</v>
      </c>
      <c r="AO165" s="130"/>
      <c r="AP165" s="256"/>
      <c r="AQ165" s="171">
        <f>L165+M165</f>
        <v>0</v>
      </c>
      <c r="AR165" s="171">
        <f>AF165</f>
        <v>0</v>
      </c>
      <c r="AS165" s="171">
        <f>AM165+AN165</f>
        <v>0</v>
      </c>
      <c r="AT165" s="171">
        <f>SUM(AQ165,AR165,AS165)</f>
        <v>0</v>
      </c>
      <c r="AU165" s="250"/>
      <c r="AV165" s="250"/>
      <c r="AW165" s="250"/>
      <c r="AX165" s="250"/>
      <c r="AY165" s="250"/>
      <c r="AZ165" s="250"/>
      <c r="BA165" s="250"/>
      <c r="BB165" s="251">
        <f t="shared" si="110"/>
        <v>0</v>
      </c>
      <c r="BC165" s="169"/>
      <c r="BD165" s="169"/>
      <c r="BE165" s="169"/>
      <c r="BF165" s="169"/>
    </row>
    <row r="166" spans="1:58" ht="110.25" outlineLevel="2" x14ac:dyDescent="0.25">
      <c r="A166" s="115"/>
      <c r="B166" s="200"/>
      <c r="C166" s="201"/>
      <c r="D166" s="151"/>
      <c r="E166" s="219"/>
      <c r="F166" s="308"/>
      <c r="G166" s="309"/>
      <c r="H166" s="199" t="s">
        <v>541</v>
      </c>
      <c r="I166" s="130"/>
      <c r="J166" s="126"/>
      <c r="K166" s="126"/>
      <c r="L166" s="125" t="str">
        <f>IF(I166&lt;&gt;0,((VLOOKUP(I166,'1. Standard_Cost'!$B$4:$D$11,2)+VLOOKUP(I166,'1. Standard_Cost'!$B$4:$D$11,3))*J166*K166),"0")</f>
        <v>0</v>
      </c>
      <c r="M166" s="125">
        <f>L166*'1. Standard_Cost'!$F$4</f>
        <v>0</v>
      </c>
      <c r="N166" s="126"/>
      <c r="O166" s="126"/>
      <c r="P166" s="126"/>
      <c r="Q166" s="126"/>
      <c r="R166" s="127">
        <f>'1. Standard_Cost'!$B$15*N166*P166</f>
        <v>0</v>
      </c>
      <c r="S166" s="127">
        <f>N166*O166*P166*'1. Standard_Cost'!$C$15</f>
        <v>0</v>
      </c>
      <c r="T166" s="127">
        <f>N166*P166*Q166*'1. Standard_Cost'!$D$15</f>
        <v>0</v>
      </c>
      <c r="U166" s="127">
        <f>N166*O166*'1. Standard_Cost'!$E$15</f>
        <v>0</v>
      </c>
      <c r="V166" s="126"/>
      <c r="W166" s="126"/>
      <c r="X166" s="126"/>
      <c r="Y166" s="127">
        <f>+V166*((X166*'1. Standard_Cost'!$B$19)+(W166*X166*'1. Standard_Cost'!$C$19))</f>
        <v>0</v>
      </c>
      <c r="Z166" s="126"/>
      <c r="AA166" s="126"/>
      <c r="AB166" s="127">
        <f>+Z166*'1. Standard_Cost'!$B$23+AA166*'1. Standard_Cost'!$C$23</f>
        <v>0</v>
      </c>
      <c r="AC166" s="128"/>
      <c r="AD166" s="129"/>
      <c r="AE166" s="127">
        <f>SUM(AD166,AC166,AB166,Y166,U166,T166,S166,R166)*'1. Standard_Cost'!$B$31</f>
        <v>0</v>
      </c>
      <c r="AF166" s="127">
        <f>SUM(AE166,AD166,AC166,AB166,Y166,U166,T166,S166,R166)</f>
        <v>0</v>
      </c>
      <c r="AG166" s="126"/>
      <c r="AH166" s="126"/>
      <c r="AI166" s="126"/>
      <c r="AJ166" s="130"/>
      <c r="AK166" s="130"/>
      <c r="AL166" s="130"/>
      <c r="AM166" s="127">
        <f>AG166*'1. Standard_Cost'!$B$27+'Incremental_Cost Year 4'!AH166*'1. Standard_Cost'!$C$27+'Incremental_Cost Year 4'!AI166*'1. Standard_Cost'!$D$27+'Incremental_Cost Year 4'!AJ166+'Incremental_Cost Year 4'!AL166+AK166</f>
        <v>0</v>
      </c>
      <c r="AN166" s="127">
        <f>AM166*'1. Standard_Cost'!$C$31</f>
        <v>0</v>
      </c>
      <c r="AO166" s="130"/>
      <c r="AP166" s="256"/>
      <c r="AQ166" s="171">
        <f>L166+M166</f>
        <v>0</v>
      </c>
      <c r="AR166" s="171">
        <f>AF166</f>
        <v>0</v>
      </c>
      <c r="AS166" s="171">
        <f>AM166+AN166</f>
        <v>0</v>
      </c>
      <c r="AT166" s="171">
        <f>SUM(AQ166,AR166,AS166)</f>
        <v>0</v>
      </c>
      <c r="AU166" s="250"/>
      <c r="AV166" s="250"/>
      <c r="AW166" s="250"/>
      <c r="AX166" s="250"/>
      <c r="AY166" s="250"/>
      <c r="AZ166" s="250"/>
      <c r="BA166" s="250"/>
      <c r="BB166" s="251">
        <f t="shared" si="110"/>
        <v>0</v>
      </c>
      <c r="BC166" s="169"/>
      <c r="BD166" s="169"/>
      <c r="BE166" s="169"/>
      <c r="BF166" s="169"/>
    </row>
    <row r="167" spans="1:58" ht="31.5" outlineLevel="2" x14ac:dyDescent="0.25">
      <c r="A167" s="115"/>
      <c r="B167" s="200"/>
      <c r="C167" s="201"/>
      <c r="D167" s="310"/>
      <c r="E167" s="122"/>
      <c r="F167" s="311"/>
      <c r="G167" s="312"/>
      <c r="H167" s="199" t="s">
        <v>315</v>
      </c>
      <c r="I167" s="130" t="s">
        <v>4</v>
      </c>
      <c r="J167" s="126">
        <v>12</v>
      </c>
      <c r="K167" s="126">
        <v>398</v>
      </c>
      <c r="L167" s="125">
        <f>IF(I167&lt;&gt;0,((VLOOKUP(I167,'1. Standard_Cost'!$B$4:$D$11,2)+VLOOKUP(I167,'1. Standard_Cost'!$B$4:$D$11,3))*J167*K167),"0")</f>
        <v>385662000</v>
      </c>
      <c r="M167" s="125">
        <f>L167*'1. Standard_Cost'!$F$4</f>
        <v>64405554</v>
      </c>
      <c r="N167" s="126"/>
      <c r="O167" s="126"/>
      <c r="P167" s="126"/>
      <c r="Q167" s="126"/>
      <c r="R167" s="127">
        <f>'1. Standard_Cost'!$B$15*N167*P167</f>
        <v>0</v>
      </c>
      <c r="S167" s="127">
        <f>N167*O167*P167*'1. Standard_Cost'!$C$15</f>
        <v>0</v>
      </c>
      <c r="T167" s="127">
        <f>N167*P167*Q167*'1. Standard_Cost'!$D$15</f>
        <v>0</v>
      </c>
      <c r="U167" s="127">
        <f>N167*O167*'1. Standard_Cost'!$E$15</f>
        <v>0</v>
      </c>
      <c r="V167" s="126"/>
      <c r="W167" s="126"/>
      <c r="X167" s="126"/>
      <c r="Y167" s="127">
        <f>+V167*((X167*'1. Standard_Cost'!$B$19)+(W167*X167*'1. Standard_Cost'!$C$19))</f>
        <v>0</v>
      </c>
      <c r="Z167" s="126"/>
      <c r="AA167" s="126"/>
      <c r="AB167" s="127">
        <f>+Z167*'1. Standard_Cost'!$B$23+AA167*'1. Standard_Cost'!$C$23</f>
        <v>0</v>
      </c>
      <c r="AC167" s="128">
        <v>714000000</v>
      </c>
      <c r="AD167" s="129"/>
      <c r="AE167" s="127"/>
      <c r="AF167" s="127">
        <f>SUM(AE167,AD167,AC167,AB167,Y167,U167,T167,S167,R167)</f>
        <v>714000000</v>
      </c>
      <c r="AG167" s="126"/>
      <c r="AH167" s="126"/>
      <c r="AI167" s="126"/>
      <c r="AJ167" s="130"/>
      <c r="AK167" s="130"/>
      <c r="AL167" s="130"/>
      <c r="AM167" s="127">
        <f>AG167*'1. Standard_Cost'!$B$27+'Incremental_Cost Year 4'!AH167*'1. Standard_Cost'!$C$27+'Incremental_Cost Year 4'!AI167*'1. Standard_Cost'!$D$27+'Incremental_Cost Year 4'!AJ167+'Incremental_Cost Year 4'!AL167+AK167</f>
        <v>0</v>
      </c>
      <c r="AN167" s="127">
        <f>AM167*'1. Standard_Cost'!$C$31</f>
        <v>0</v>
      </c>
      <c r="AO167" s="130"/>
      <c r="AP167" s="256"/>
      <c r="AQ167" s="171">
        <f>L167+M167</f>
        <v>450067554</v>
      </c>
      <c r="AR167" s="171">
        <f>AF167</f>
        <v>714000000</v>
      </c>
      <c r="AS167" s="171">
        <f>AM167+AN167</f>
        <v>0</v>
      </c>
      <c r="AT167" s="171">
        <f>SUM(AQ167,AR167,AS167)</f>
        <v>1164067554</v>
      </c>
      <c r="AU167" s="250">
        <v>1164067554</v>
      </c>
      <c r="AV167" s="250"/>
      <c r="AW167" s="250"/>
      <c r="AX167" s="250"/>
      <c r="AY167" s="250"/>
      <c r="AZ167" s="250"/>
      <c r="BA167" s="250"/>
      <c r="BB167" s="251">
        <f t="shared" si="110"/>
        <v>0</v>
      </c>
      <c r="BC167" s="169"/>
      <c r="BD167" s="169"/>
      <c r="BE167" s="169"/>
      <c r="BF167" s="169"/>
    </row>
    <row r="168" spans="1:58" ht="78.75" outlineLevel="2" x14ac:dyDescent="0.25">
      <c r="A168" s="115"/>
      <c r="B168" s="165"/>
      <c r="C168" s="166"/>
      <c r="D168" s="139" t="s">
        <v>477</v>
      </c>
      <c r="E168" s="212" t="s">
        <v>478</v>
      </c>
      <c r="F168" s="136">
        <v>2021</v>
      </c>
      <c r="G168" s="117">
        <v>2030</v>
      </c>
      <c r="H168" s="110" t="s">
        <v>170</v>
      </c>
      <c r="I168" s="252"/>
      <c r="J168" s="252"/>
      <c r="K168" s="252"/>
      <c r="L168" s="127">
        <f>SUM(L164:L167)</f>
        <v>385662000</v>
      </c>
      <c r="M168" s="127">
        <f>SUM(M164:M167)</f>
        <v>64405554</v>
      </c>
      <c r="N168" s="252"/>
      <c r="O168" s="252"/>
      <c r="P168" s="252"/>
      <c r="Q168" s="252"/>
      <c r="R168" s="127">
        <f>SUM(R164:R167)</f>
        <v>0</v>
      </c>
      <c r="S168" s="127">
        <f>SUM(S164:S167)</f>
        <v>0</v>
      </c>
      <c r="T168" s="127">
        <f>SUM(T164:T167)</f>
        <v>0</v>
      </c>
      <c r="U168" s="127">
        <f>SUM(U164:U167)</f>
        <v>0</v>
      </c>
      <c r="V168" s="252"/>
      <c r="W168" s="252"/>
      <c r="X168" s="252"/>
      <c r="Y168" s="127">
        <f>SUM(Y164:Y167)</f>
        <v>0</v>
      </c>
      <c r="Z168" s="127"/>
      <c r="AA168" s="252"/>
      <c r="AB168" s="127">
        <f>SUM(AB164:AB167)</f>
        <v>0</v>
      </c>
      <c r="AC168" s="127">
        <f>SUM(AC164:AC167)</f>
        <v>714000000</v>
      </c>
      <c r="AD168" s="127">
        <f>SUM(AD164:AD167)</f>
        <v>0</v>
      </c>
      <c r="AE168" s="127">
        <f>SUM(AE164:AE167)</f>
        <v>0</v>
      </c>
      <c r="AF168" s="127">
        <f>SUM(AF164:AF167)</f>
        <v>714000000</v>
      </c>
      <c r="AG168" s="252"/>
      <c r="AH168" s="252"/>
      <c r="AI168" s="252"/>
      <c r="AJ168" s="127">
        <f>SUM(AJ164:AJ167)</f>
        <v>0</v>
      </c>
      <c r="AK168" s="127">
        <f>SUM(AK164:AK167)</f>
        <v>0</v>
      </c>
      <c r="AL168" s="127">
        <f>SUM(AL164:AL167)</f>
        <v>0</v>
      </c>
      <c r="AM168" s="127">
        <f>SUM(AM164:AM167)</f>
        <v>0</v>
      </c>
      <c r="AN168" s="127">
        <f>SUM(AN164:AN167)</f>
        <v>0</v>
      </c>
      <c r="AO168" s="253"/>
      <c r="AP168" s="254"/>
      <c r="AQ168" s="175">
        <f>SUM(AQ164:AQ167)</f>
        <v>450067554</v>
      </c>
      <c r="AR168" s="175">
        <f>SUM(AR164:AR167)</f>
        <v>714000000</v>
      </c>
      <c r="AS168" s="175">
        <f>SUM(AS164:AS167)</f>
        <v>0</v>
      </c>
      <c r="AT168" s="175">
        <f>SUM(AT164:AT167)</f>
        <v>1164067554</v>
      </c>
      <c r="AU168" s="175">
        <f t="shared" ref="AU168:BA168" si="111">SUM(AU164:AU167)</f>
        <v>1164067554</v>
      </c>
      <c r="AV168" s="175">
        <f t="shared" si="111"/>
        <v>0</v>
      </c>
      <c r="AW168" s="175">
        <f t="shared" si="111"/>
        <v>0</v>
      </c>
      <c r="AX168" s="175">
        <f t="shared" si="111"/>
        <v>0</v>
      </c>
      <c r="AY168" s="175">
        <f t="shared" si="111"/>
        <v>0</v>
      </c>
      <c r="AZ168" s="175">
        <f t="shared" si="111"/>
        <v>0</v>
      </c>
      <c r="BA168" s="175">
        <f t="shared" si="111"/>
        <v>0</v>
      </c>
      <c r="BB168" s="175">
        <f>SUM(BB164:BB167)</f>
        <v>0</v>
      </c>
      <c r="BC168" s="169"/>
      <c r="BD168" s="169"/>
      <c r="BE168" s="169"/>
      <c r="BF168" s="169"/>
    </row>
    <row r="169" spans="1:58" ht="31.5" outlineLevel="1" x14ac:dyDescent="0.25">
      <c r="A169" s="115"/>
      <c r="B169" s="200"/>
      <c r="C169" s="201"/>
      <c r="D169" s="342"/>
      <c r="E169" s="328"/>
      <c r="F169" s="328"/>
      <c r="G169" s="328"/>
      <c r="H169" s="199" t="s">
        <v>479</v>
      </c>
      <c r="I169" s="130"/>
      <c r="J169" s="126"/>
      <c r="K169" s="126"/>
      <c r="L169" s="125" t="str">
        <f>IF(I169&lt;&gt;0,((VLOOKUP(I169,'1. Standard_Cost'!$B$4:$D$11,2)+VLOOKUP(I169,'1. Standard_Cost'!$B$4:$D$11,3))*J169*K169),"0")</f>
        <v>0</v>
      </c>
      <c r="M169" s="125">
        <f>L169*'1. Standard_Cost'!$F$4</f>
        <v>0</v>
      </c>
      <c r="N169" s="126"/>
      <c r="O169" s="126"/>
      <c r="P169" s="126"/>
      <c r="Q169" s="126"/>
      <c r="R169" s="127">
        <f>'1. Standard_Cost'!$B$15*N169*P169</f>
        <v>0</v>
      </c>
      <c r="S169" s="127">
        <f>N169*O169*P169*'1. Standard_Cost'!$C$15</f>
        <v>0</v>
      </c>
      <c r="T169" s="127">
        <f>N169*P169*Q169*'1. Standard_Cost'!$D$15</f>
        <v>0</v>
      </c>
      <c r="U169" s="127">
        <f>N169*O169*'1. Standard_Cost'!$E$15</f>
        <v>0</v>
      </c>
      <c r="V169" s="126"/>
      <c r="W169" s="126"/>
      <c r="X169" s="126"/>
      <c r="Y169" s="127">
        <f>+V169*((X169*'1. Standard_Cost'!$B$19)+(W169*X169*'1. Standard_Cost'!$C$19))</f>
        <v>0</v>
      </c>
      <c r="Z169" s="126"/>
      <c r="AA169" s="126"/>
      <c r="AB169" s="127">
        <f>+Z169*'1. Standard_Cost'!$B$23+AA169*'1. Standard_Cost'!$C$23</f>
        <v>0</v>
      </c>
      <c r="AC169" s="128">
        <v>1320223000</v>
      </c>
      <c r="AD169" s="129"/>
      <c r="AE169" s="127">
        <f>0</f>
        <v>0</v>
      </c>
      <c r="AF169" s="127">
        <f t="shared" ref="AF169:AF177" si="112">SUM(AE169,AD169,AC169,AB169,Y169,U169,T169,S169,R169)</f>
        <v>1320223000</v>
      </c>
      <c r="AG169" s="126"/>
      <c r="AH169" s="126"/>
      <c r="AI169" s="126"/>
      <c r="AJ169" s="130"/>
      <c r="AK169" s="130"/>
      <c r="AL169" s="130"/>
      <c r="AM169" s="127">
        <f>AG169*'1. Standard_Cost'!$B$27+'Incremental_Cost Year 4'!AH169*'1. Standard_Cost'!$C$27+'Incremental_Cost Year 4'!AI169*'1. Standard_Cost'!$D$27+'Incremental_Cost Year 4'!AJ169+'Incremental_Cost Year 4'!AL169+AK169</f>
        <v>0</v>
      </c>
      <c r="AN169" s="127">
        <f>AM169*'1. Standard_Cost'!$C$31</f>
        <v>0</v>
      </c>
      <c r="AO169" s="130"/>
      <c r="AP169" s="256"/>
      <c r="AQ169" s="171">
        <f t="shared" ref="AQ169:AQ177" si="113">L169+M169</f>
        <v>0</v>
      </c>
      <c r="AR169" s="171">
        <f t="shared" ref="AR169:AR177" si="114">AF169</f>
        <v>1320223000</v>
      </c>
      <c r="AS169" s="171">
        <f t="shared" ref="AS169:AS177" si="115">AM169+AN169</f>
        <v>0</v>
      </c>
      <c r="AT169" s="171">
        <f t="shared" ref="AT169:AT177" si="116">SUM(AQ169,AR169,AS169)</f>
        <v>1320223000</v>
      </c>
      <c r="AU169" s="250">
        <v>1320223000</v>
      </c>
      <c r="AV169" s="250"/>
      <c r="AW169" s="250"/>
      <c r="AX169" s="250"/>
      <c r="AY169" s="250"/>
      <c r="AZ169" s="250"/>
      <c r="BA169" s="250"/>
      <c r="BB169" s="251">
        <f t="shared" ref="BB169:BB177" si="117">SUM(AU169:BA169)-AT169</f>
        <v>0</v>
      </c>
      <c r="BC169" s="169"/>
      <c r="BD169" s="169"/>
      <c r="BE169" s="169"/>
      <c r="BF169" s="169"/>
    </row>
    <row r="170" spans="1:58" ht="47.25" outlineLevel="2" x14ac:dyDescent="0.25">
      <c r="A170" s="115"/>
      <c r="B170" s="200"/>
      <c r="C170" s="201"/>
      <c r="D170" s="343"/>
      <c r="E170" s="328"/>
      <c r="F170" s="328"/>
      <c r="G170" s="328"/>
      <c r="H170" s="213" t="s">
        <v>480</v>
      </c>
      <c r="I170" s="130"/>
      <c r="J170" s="126"/>
      <c r="K170" s="126"/>
      <c r="L170" s="125" t="str">
        <f>IF(I170&lt;&gt;0,((VLOOKUP(I170,'1. Standard_Cost'!$B$4:$D$11,2)+VLOOKUP(I170,'1. Standard_Cost'!$B$4:$D$11,3))*J170*K170),"0")</f>
        <v>0</v>
      </c>
      <c r="M170" s="125">
        <f>L170*'1. Standard_Cost'!$F$4</f>
        <v>0</v>
      </c>
      <c r="N170" s="126"/>
      <c r="O170" s="126"/>
      <c r="P170" s="126"/>
      <c r="Q170" s="126"/>
      <c r="R170" s="127">
        <f>'1. Standard_Cost'!$B$15*N170*P170</f>
        <v>0</v>
      </c>
      <c r="S170" s="127">
        <f>N170*O170*P170*'1. Standard_Cost'!$C$15</f>
        <v>0</v>
      </c>
      <c r="T170" s="127">
        <f>N170*P170*Q170*'1. Standard_Cost'!$D$15</f>
        <v>0</v>
      </c>
      <c r="U170" s="127">
        <f>N170*O170*'1. Standard_Cost'!$E$15</f>
        <v>0</v>
      </c>
      <c r="V170" s="126"/>
      <c r="W170" s="126"/>
      <c r="X170" s="126"/>
      <c r="Y170" s="127">
        <f>+V170*((X170*'1. Standard_Cost'!$B$19)+(W170*X170*'1. Standard_Cost'!$C$19))</f>
        <v>0</v>
      </c>
      <c r="Z170" s="126"/>
      <c r="AA170" s="126"/>
      <c r="AB170" s="127">
        <f>+Z170*'1. Standard_Cost'!$B$23+AA170*'1. Standard_Cost'!$C$23</f>
        <v>0</v>
      </c>
      <c r="AC170" s="266">
        <v>946000000</v>
      </c>
      <c r="AD170" s="129"/>
      <c r="AE170" s="127">
        <f>0</f>
        <v>0</v>
      </c>
      <c r="AF170" s="127">
        <f t="shared" si="112"/>
        <v>946000000</v>
      </c>
      <c r="AG170" s="126"/>
      <c r="AH170" s="126"/>
      <c r="AI170" s="126"/>
      <c r="AJ170" s="130"/>
      <c r="AK170" s="130"/>
      <c r="AL170" s="130"/>
      <c r="AM170" s="127">
        <f>AG170*'1. Standard_Cost'!$B$27+'Incremental_Cost Year 4'!AH170*'1. Standard_Cost'!$C$27+'Incremental_Cost Year 4'!AI170*'1. Standard_Cost'!$D$27+'Incremental_Cost Year 4'!AJ170+'Incremental_Cost Year 4'!AL170+AK170</f>
        <v>0</v>
      </c>
      <c r="AN170" s="127">
        <f>AM170*'1. Standard_Cost'!$C$31</f>
        <v>0</v>
      </c>
      <c r="AO170" s="130"/>
      <c r="AP170" s="256"/>
      <c r="AQ170" s="171">
        <f t="shared" si="113"/>
        <v>0</v>
      </c>
      <c r="AR170" s="171">
        <f t="shared" si="114"/>
        <v>946000000</v>
      </c>
      <c r="AS170" s="171">
        <f t="shared" si="115"/>
        <v>0</v>
      </c>
      <c r="AT170" s="171">
        <f t="shared" si="116"/>
        <v>946000000</v>
      </c>
      <c r="AU170" s="250">
        <v>946000000</v>
      </c>
      <c r="AV170" s="250"/>
      <c r="AW170" s="250"/>
      <c r="AX170" s="250"/>
      <c r="AY170" s="250"/>
      <c r="AZ170" s="250"/>
      <c r="BA170" s="250"/>
      <c r="BB170" s="251">
        <f t="shared" si="117"/>
        <v>0</v>
      </c>
      <c r="BC170" s="169"/>
      <c r="BD170" s="169"/>
      <c r="BE170" s="169"/>
      <c r="BF170" s="169"/>
    </row>
    <row r="171" spans="1:58" ht="31.5" outlineLevel="2" x14ac:dyDescent="0.25">
      <c r="A171" s="115"/>
      <c r="B171" s="200"/>
      <c r="C171" s="201"/>
      <c r="D171" s="343"/>
      <c r="E171" s="328"/>
      <c r="F171" s="328"/>
      <c r="G171" s="328"/>
      <c r="H171" s="213" t="s">
        <v>481</v>
      </c>
      <c r="I171" s="130"/>
      <c r="J171" s="126"/>
      <c r="K171" s="126"/>
      <c r="L171" s="125" t="str">
        <f>IF(I171&lt;&gt;0,((VLOOKUP(I171,'1. Standard_Cost'!$B$4:$D$11,2)+VLOOKUP(I171,'1. Standard_Cost'!$B$4:$D$11,3))*J171*K171),"0")</f>
        <v>0</v>
      </c>
      <c r="M171" s="125">
        <f>L171*'1. Standard_Cost'!$F$4</f>
        <v>0</v>
      </c>
      <c r="N171" s="126"/>
      <c r="O171" s="126"/>
      <c r="P171" s="126"/>
      <c r="Q171" s="126"/>
      <c r="R171" s="127">
        <f>'1. Standard_Cost'!$B$15*N171*P171</f>
        <v>0</v>
      </c>
      <c r="S171" s="127">
        <f>N171*O171*P171*'1. Standard_Cost'!$C$15</f>
        <v>0</v>
      </c>
      <c r="T171" s="127">
        <f>N171*P171*Q171*'1. Standard_Cost'!$D$15</f>
        <v>0</v>
      </c>
      <c r="U171" s="127">
        <f>N171*O171*'1. Standard_Cost'!$E$15</f>
        <v>0</v>
      </c>
      <c r="V171" s="126"/>
      <c r="W171" s="126"/>
      <c r="X171" s="126"/>
      <c r="Y171" s="127">
        <f>+V171*((X171*'1. Standard_Cost'!$B$19)+(W171*X171*'1. Standard_Cost'!$C$19))</f>
        <v>0</v>
      </c>
      <c r="Z171" s="126"/>
      <c r="AA171" s="126"/>
      <c r="AB171" s="127">
        <f>+Z171*'1. Standard_Cost'!$B$23+AA171*'1. Standard_Cost'!$C$23</f>
        <v>0</v>
      </c>
      <c r="AC171" s="128">
        <v>1790000000</v>
      </c>
      <c r="AD171" s="129"/>
      <c r="AE171" s="127">
        <f>0</f>
        <v>0</v>
      </c>
      <c r="AF171" s="127">
        <f t="shared" si="112"/>
        <v>1790000000</v>
      </c>
      <c r="AG171" s="126"/>
      <c r="AH171" s="126"/>
      <c r="AI171" s="126"/>
      <c r="AJ171" s="130"/>
      <c r="AK171" s="130"/>
      <c r="AL171" s="130"/>
      <c r="AM171" s="127">
        <f>AG171*'1. Standard_Cost'!$B$27+'Incremental_Cost Year 4'!AH171*'1. Standard_Cost'!$C$27+'Incremental_Cost Year 4'!AI171*'1. Standard_Cost'!$D$27+'Incremental_Cost Year 4'!AJ171+'Incremental_Cost Year 4'!AL171+AK171</f>
        <v>0</v>
      </c>
      <c r="AN171" s="127">
        <f>AM171*'1. Standard_Cost'!$C$31</f>
        <v>0</v>
      </c>
      <c r="AO171" s="130"/>
      <c r="AP171" s="256"/>
      <c r="AQ171" s="171">
        <f t="shared" si="113"/>
        <v>0</v>
      </c>
      <c r="AR171" s="171">
        <f t="shared" si="114"/>
        <v>1790000000</v>
      </c>
      <c r="AS171" s="171">
        <f t="shared" si="115"/>
        <v>0</v>
      </c>
      <c r="AT171" s="171">
        <f t="shared" si="116"/>
        <v>1790000000</v>
      </c>
      <c r="AU171" s="250">
        <v>1790000000</v>
      </c>
      <c r="AV171" s="250"/>
      <c r="AW171" s="250"/>
      <c r="AX171" s="250"/>
      <c r="AY171" s="250"/>
      <c r="AZ171" s="250"/>
      <c r="BA171" s="250"/>
      <c r="BB171" s="251">
        <f t="shared" si="117"/>
        <v>0</v>
      </c>
      <c r="BC171" s="169"/>
      <c r="BD171" s="169"/>
      <c r="BE171" s="169"/>
      <c r="BF171" s="169"/>
    </row>
    <row r="172" spans="1:58" ht="47.25" outlineLevel="2" x14ac:dyDescent="0.25">
      <c r="A172" s="115"/>
      <c r="B172" s="200"/>
      <c r="C172" s="201"/>
      <c r="D172" s="343"/>
      <c r="E172" s="328"/>
      <c r="F172" s="328"/>
      <c r="G172" s="328"/>
      <c r="H172" s="213" t="s">
        <v>542</v>
      </c>
      <c r="I172" s="130"/>
      <c r="J172" s="126"/>
      <c r="K172" s="126"/>
      <c r="L172" s="125" t="str">
        <f>IF(I172&lt;&gt;0,((VLOOKUP(I172,'1. Standard_Cost'!$B$4:$D$11,2)+VLOOKUP(I172,'1. Standard_Cost'!$B$4:$D$11,3))*J172*K172),"0")</f>
        <v>0</v>
      </c>
      <c r="M172" s="125">
        <f>L172*'1. Standard_Cost'!$F$4</f>
        <v>0</v>
      </c>
      <c r="N172" s="126"/>
      <c r="O172" s="126"/>
      <c r="P172" s="126"/>
      <c r="Q172" s="126"/>
      <c r="R172" s="127">
        <f>'1. Standard_Cost'!$B$15*N172*P172</f>
        <v>0</v>
      </c>
      <c r="S172" s="127">
        <f>N172*O172*P172*'1. Standard_Cost'!$C$15</f>
        <v>0</v>
      </c>
      <c r="T172" s="127">
        <f>N172*P172*Q172*'1. Standard_Cost'!$D$15</f>
        <v>0</v>
      </c>
      <c r="U172" s="127">
        <f>N172*O172*'1. Standard_Cost'!$E$15</f>
        <v>0</v>
      </c>
      <c r="V172" s="126"/>
      <c r="W172" s="126"/>
      <c r="X172" s="126"/>
      <c r="Y172" s="127">
        <f>+V172*((X172*'1. Standard_Cost'!$B$19)+(W172*X172*'1. Standard_Cost'!$C$19))</f>
        <v>0</v>
      </c>
      <c r="Z172" s="126"/>
      <c r="AA172" s="126"/>
      <c r="AB172" s="127">
        <f>+Z172*'1. Standard_Cost'!$B$23+AA172*'1. Standard_Cost'!$C$23</f>
        <v>0</v>
      </c>
      <c r="AC172" s="128"/>
      <c r="AD172" s="129"/>
      <c r="AE172" s="127">
        <f>SUM(AD172,AC172,AB172,Y172,U172,T172,S172,R172)*'1. Standard_Cost'!$B$31</f>
        <v>0</v>
      </c>
      <c r="AF172" s="127">
        <f t="shared" si="112"/>
        <v>0</v>
      </c>
      <c r="AG172" s="126"/>
      <c r="AH172" s="126"/>
      <c r="AI172" s="126"/>
      <c r="AJ172" s="130">
        <v>1897336000</v>
      </c>
      <c r="AK172" s="130"/>
      <c r="AL172" s="130">
        <v>377684000</v>
      </c>
      <c r="AM172" s="127">
        <f>AG172*'1. Standard_Cost'!$B$27+'Incremental_Cost Year 4'!AH172*'1. Standard_Cost'!$C$27+'Incremental_Cost Year 4'!AI172*'1. Standard_Cost'!$D$27+'Incremental_Cost Year 4'!AJ172+'Incremental_Cost Year 4'!AL172+AK172</f>
        <v>2275020000</v>
      </c>
      <c r="AN172" s="127">
        <f>AM172*'1. Standard_Cost'!$C$31</f>
        <v>341253000</v>
      </c>
      <c r="AO172" s="130"/>
      <c r="AP172" s="256"/>
      <c r="AQ172" s="171">
        <f t="shared" si="113"/>
        <v>0</v>
      </c>
      <c r="AR172" s="171">
        <f t="shared" si="114"/>
        <v>0</v>
      </c>
      <c r="AS172" s="171">
        <f t="shared" si="115"/>
        <v>2616273000</v>
      </c>
      <c r="AT172" s="171">
        <f t="shared" si="116"/>
        <v>2616273000</v>
      </c>
      <c r="AU172" s="250">
        <v>1473020000</v>
      </c>
      <c r="AV172" s="250">
        <v>200000000</v>
      </c>
      <c r="AW172" s="250">
        <v>602000000</v>
      </c>
      <c r="AX172" s="250"/>
      <c r="AY172" s="250"/>
      <c r="AZ172" s="250"/>
      <c r="BA172" s="250"/>
      <c r="BB172" s="251">
        <f t="shared" si="117"/>
        <v>-341253000</v>
      </c>
      <c r="BC172" s="169"/>
      <c r="BD172" s="169"/>
      <c r="BE172" s="169"/>
      <c r="BF172" s="169"/>
    </row>
    <row r="173" spans="1:58" ht="31.5" outlineLevel="2" x14ac:dyDescent="0.25">
      <c r="A173" s="115"/>
      <c r="B173" s="200"/>
      <c r="C173" s="201"/>
      <c r="D173" s="343"/>
      <c r="E173" s="328"/>
      <c r="F173" s="328"/>
      <c r="G173" s="328"/>
      <c r="H173" s="213" t="s">
        <v>482</v>
      </c>
      <c r="I173" s="130" t="s">
        <v>5</v>
      </c>
      <c r="J173" s="126">
        <v>12</v>
      </c>
      <c r="K173" s="126">
        <v>59</v>
      </c>
      <c r="L173" s="125">
        <f>IF(I173&lt;&gt;0,((VLOOKUP(I173,'1. Standard_Cost'!$B$4:$D$11,2)+VLOOKUP(I173,'1. Standard_Cost'!$B$4:$D$11,3))*J173*K173),"0")</f>
        <v>50055600</v>
      </c>
      <c r="M173" s="125">
        <f>L173*'1. Standard_Cost'!$F$4</f>
        <v>8359285.2000000002</v>
      </c>
      <c r="N173" s="126"/>
      <c r="O173" s="126"/>
      <c r="P173" s="126"/>
      <c r="Q173" s="126"/>
      <c r="R173" s="127">
        <f>'1. Standard_Cost'!$B$15*N173*P173</f>
        <v>0</v>
      </c>
      <c r="S173" s="127">
        <f>N173*O173*P173*'1. Standard_Cost'!$C$15</f>
        <v>0</v>
      </c>
      <c r="T173" s="127">
        <f>N173*P173*Q173*'1. Standard_Cost'!$D$15</f>
        <v>0</v>
      </c>
      <c r="U173" s="127">
        <f>N173*O173*'1. Standard_Cost'!$E$15</f>
        <v>0</v>
      </c>
      <c r="V173" s="126"/>
      <c r="W173" s="126"/>
      <c r="X173" s="126"/>
      <c r="Y173" s="127">
        <f>+V173*((X173*'1. Standard_Cost'!$B$19)+(W173*X173*'1. Standard_Cost'!$C$19))</f>
        <v>0</v>
      </c>
      <c r="Z173" s="126"/>
      <c r="AA173" s="126"/>
      <c r="AB173" s="127">
        <f>+Z173*'1. Standard_Cost'!$B$23+AA173*'1. Standard_Cost'!$C$23</f>
        <v>0</v>
      </c>
      <c r="AC173" s="128">
        <v>416000000</v>
      </c>
      <c r="AD173" s="129"/>
      <c r="AE173" s="127">
        <f>0</f>
        <v>0</v>
      </c>
      <c r="AF173" s="127">
        <f t="shared" si="112"/>
        <v>416000000</v>
      </c>
      <c r="AG173" s="126"/>
      <c r="AH173" s="126"/>
      <c r="AI173" s="126"/>
      <c r="AJ173" s="130"/>
      <c r="AK173" s="130"/>
      <c r="AL173" s="130"/>
      <c r="AM173" s="127">
        <f>AG173*'1. Standard_Cost'!$B$27+'Incremental_Cost Year 4'!AH173*'1. Standard_Cost'!$C$27+'Incremental_Cost Year 4'!AI173*'1. Standard_Cost'!$D$27+'Incremental_Cost Year 4'!AJ173+'Incremental_Cost Year 4'!AL173+AK173</f>
        <v>0</v>
      </c>
      <c r="AN173" s="127">
        <f>AM173*'1. Standard_Cost'!$C$31</f>
        <v>0</v>
      </c>
      <c r="AO173" s="130"/>
      <c r="AP173" s="256"/>
      <c r="AQ173" s="171">
        <f t="shared" si="113"/>
        <v>58414885.200000003</v>
      </c>
      <c r="AR173" s="171">
        <f t="shared" si="114"/>
        <v>416000000</v>
      </c>
      <c r="AS173" s="171">
        <f t="shared" si="115"/>
        <v>0</v>
      </c>
      <c r="AT173" s="171">
        <f t="shared" si="116"/>
        <v>474414885.19999999</v>
      </c>
      <c r="AU173" s="250">
        <v>474414885.19999999</v>
      </c>
      <c r="AV173" s="250"/>
      <c r="AW173" s="250"/>
      <c r="AX173" s="250"/>
      <c r="AY173" s="250"/>
      <c r="AZ173" s="250"/>
      <c r="BA173" s="250"/>
      <c r="BB173" s="251">
        <f t="shared" si="117"/>
        <v>0</v>
      </c>
      <c r="BC173" s="169"/>
      <c r="BD173" s="169"/>
      <c r="BE173" s="169"/>
      <c r="BF173" s="169"/>
    </row>
    <row r="174" spans="1:58" ht="15.75" outlineLevel="2" x14ac:dyDescent="0.25">
      <c r="A174" s="115"/>
      <c r="B174" s="200"/>
      <c r="C174" s="201"/>
      <c r="D174" s="343"/>
      <c r="E174" s="328"/>
      <c r="F174" s="328"/>
      <c r="G174" s="328"/>
      <c r="H174" s="199"/>
      <c r="I174" s="130"/>
      <c r="J174" s="126"/>
      <c r="K174" s="126"/>
      <c r="L174" s="125" t="str">
        <f>IF(I174&lt;&gt;0,((VLOOKUP(I174,'1. Standard_Cost'!$B$4:$D$11,2)+VLOOKUP(I174,'1. Standard_Cost'!$B$4:$D$11,3))*J174*K174),"0")</f>
        <v>0</v>
      </c>
      <c r="M174" s="125">
        <f>L174*'1. Standard_Cost'!$F$4</f>
        <v>0</v>
      </c>
      <c r="N174" s="126"/>
      <c r="O174" s="126"/>
      <c r="P174" s="126"/>
      <c r="Q174" s="126"/>
      <c r="R174" s="127">
        <f>'1. Standard_Cost'!$B$15*N174*P174</f>
        <v>0</v>
      </c>
      <c r="S174" s="127">
        <f>N174*O174*P174*'1. Standard_Cost'!$C$15</f>
        <v>0</v>
      </c>
      <c r="T174" s="127">
        <f>N174*P174*Q174*'1. Standard_Cost'!$D$15</f>
        <v>0</v>
      </c>
      <c r="U174" s="127">
        <f>N174*O174*'1. Standard_Cost'!$E$15</f>
        <v>0</v>
      </c>
      <c r="V174" s="126"/>
      <c r="W174" s="126"/>
      <c r="X174" s="126"/>
      <c r="Y174" s="127">
        <f>+V174*((X174*'1. Standard_Cost'!$B$19)+(W174*X174*'1. Standard_Cost'!$C$19))</f>
        <v>0</v>
      </c>
      <c r="Z174" s="126"/>
      <c r="AA174" s="126"/>
      <c r="AB174" s="127">
        <f>+Z174*'1. Standard_Cost'!$B$23+AA174*'1. Standard_Cost'!$C$23</f>
        <v>0</v>
      </c>
      <c r="AC174" s="128"/>
      <c r="AD174" s="129"/>
      <c r="AE174" s="127">
        <f>0</f>
        <v>0</v>
      </c>
      <c r="AF174" s="127">
        <f t="shared" si="112"/>
        <v>0</v>
      </c>
      <c r="AG174" s="126"/>
      <c r="AH174" s="126"/>
      <c r="AI174" s="126"/>
      <c r="AJ174" s="130"/>
      <c r="AK174" s="130"/>
      <c r="AL174" s="130"/>
      <c r="AM174" s="127">
        <f>AG174*'1. Standard_Cost'!$B$27+'Incremental_Cost Year 4'!AH174*'1. Standard_Cost'!$C$27+'Incremental_Cost Year 4'!AI174*'1. Standard_Cost'!$D$27+'Incremental_Cost Year 4'!AJ174+'Incremental_Cost Year 4'!AL174+AK174</f>
        <v>0</v>
      </c>
      <c r="AN174" s="127">
        <f>AM174*'1. Standard_Cost'!$C$31</f>
        <v>0</v>
      </c>
      <c r="AO174" s="130"/>
      <c r="AP174" s="256"/>
      <c r="AQ174" s="171">
        <f t="shared" si="113"/>
        <v>0</v>
      </c>
      <c r="AR174" s="171">
        <f t="shared" si="114"/>
        <v>0</v>
      </c>
      <c r="AS174" s="171">
        <f t="shared" si="115"/>
        <v>0</v>
      </c>
      <c r="AT174" s="171">
        <f t="shared" si="116"/>
        <v>0</v>
      </c>
      <c r="AU174" s="250"/>
      <c r="AV174" s="250"/>
      <c r="AW174" s="250"/>
      <c r="AX174" s="250"/>
      <c r="AY174" s="250"/>
      <c r="AZ174" s="250"/>
      <c r="BA174" s="250"/>
      <c r="BB174" s="251">
        <f t="shared" si="117"/>
        <v>0</v>
      </c>
      <c r="BC174" s="169"/>
      <c r="BD174" s="169"/>
      <c r="BE174" s="169"/>
      <c r="BF174" s="169"/>
    </row>
    <row r="175" spans="1:58" ht="47.25" outlineLevel="2" x14ac:dyDescent="0.25">
      <c r="A175" s="115"/>
      <c r="B175" s="200"/>
      <c r="C175" s="201"/>
      <c r="D175" s="343"/>
      <c r="E175" s="328"/>
      <c r="F175" s="328"/>
      <c r="G175" s="328"/>
      <c r="H175" s="213" t="s">
        <v>483</v>
      </c>
      <c r="I175" s="130"/>
      <c r="J175" s="126"/>
      <c r="K175" s="126"/>
      <c r="L175" s="125" t="str">
        <f>IF(I175&lt;&gt;0,((VLOOKUP(I175,'1. Standard_Cost'!$B$4:$D$11,2)+VLOOKUP(I175,'1. Standard_Cost'!$B$4:$D$11,3))*J175*K175),"0")</f>
        <v>0</v>
      </c>
      <c r="M175" s="125">
        <f>L175*'1. Standard_Cost'!$F$4</f>
        <v>0</v>
      </c>
      <c r="N175" s="126"/>
      <c r="O175" s="126"/>
      <c r="P175" s="126"/>
      <c r="Q175" s="126"/>
      <c r="R175" s="127">
        <f>'1. Standard_Cost'!$B$15*N175*P175</f>
        <v>0</v>
      </c>
      <c r="S175" s="127">
        <f>N175*O175*P175*'1. Standard_Cost'!$C$15</f>
        <v>0</v>
      </c>
      <c r="T175" s="127">
        <f>N175*P175*Q175*'1. Standard_Cost'!$D$15</f>
        <v>0</v>
      </c>
      <c r="U175" s="127">
        <f>N175*O175*'1. Standard_Cost'!$E$15</f>
        <v>0</v>
      </c>
      <c r="V175" s="126"/>
      <c r="W175" s="126"/>
      <c r="X175" s="126"/>
      <c r="Y175" s="127">
        <f>+V175*((X175*'1. Standard_Cost'!$B$19)+(W175*X175*'1. Standard_Cost'!$C$19))</f>
        <v>0</v>
      </c>
      <c r="Z175" s="126"/>
      <c r="AA175" s="126"/>
      <c r="AB175" s="127">
        <f>+Z175*'1. Standard_Cost'!$B$23+AA175*'1. Standard_Cost'!$C$23</f>
        <v>0</v>
      </c>
      <c r="AC175" s="128"/>
      <c r="AD175" s="129"/>
      <c r="AE175" s="127">
        <f>SUM(AD175,AC175,AB175,Y175,U175,T175,S175,R175)*'1. Standard_Cost'!$B$31</f>
        <v>0</v>
      </c>
      <c r="AF175" s="127">
        <f t="shared" si="112"/>
        <v>0</v>
      </c>
      <c r="AG175" s="126"/>
      <c r="AH175" s="126"/>
      <c r="AI175" s="126"/>
      <c r="AJ175" s="130"/>
      <c r="AK175" s="130"/>
      <c r="AL175" s="130"/>
      <c r="AM175" s="127">
        <f>AG175*'1. Standard_Cost'!$B$27+'Incremental_Cost Year 4'!AH175*'1. Standard_Cost'!$C$27+'Incremental_Cost Year 4'!AI175*'1. Standard_Cost'!$D$27+'Incremental_Cost Year 4'!AJ175+'Incremental_Cost Year 4'!AL175+AK175</f>
        <v>0</v>
      </c>
      <c r="AN175" s="127">
        <f>AM175*'1. Standard_Cost'!$C$31</f>
        <v>0</v>
      </c>
      <c r="AO175" s="130"/>
      <c r="AP175" s="256"/>
      <c r="AQ175" s="171">
        <f t="shared" si="113"/>
        <v>0</v>
      </c>
      <c r="AR175" s="171">
        <f t="shared" si="114"/>
        <v>0</v>
      </c>
      <c r="AS175" s="171">
        <f t="shared" si="115"/>
        <v>0</v>
      </c>
      <c r="AT175" s="171">
        <f t="shared" si="116"/>
        <v>0</v>
      </c>
      <c r="AU175" s="250"/>
      <c r="AV175" s="250"/>
      <c r="AW175" s="250"/>
      <c r="AX175" s="250"/>
      <c r="AY175" s="250"/>
      <c r="AZ175" s="250"/>
      <c r="BA175" s="250"/>
      <c r="BB175" s="251">
        <f t="shared" si="117"/>
        <v>0</v>
      </c>
      <c r="BC175" s="169"/>
      <c r="BD175" s="169"/>
      <c r="BE175" s="169"/>
      <c r="BF175" s="169"/>
    </row>
    <row r="176" spans="1:58" ht="63" outlineLevel="2" x14ac:dyDescent="0.25">
      <c r="A176" s="115"/>
      <c r="B176" s="200"/>
      <c r="C176" s="201"/>
      <c r="D176" s="343"/>
      <c r="E176" s="328"/>
      <c r="F176" s="328"/>
      <c r="G176" s="328"/>
      <c r="H176" s="199" t="s">
        <v>484</v>
      </c>
      <c r="I176" s="130" t="s">
        <v>1</v>
      </c>
      <c r="J176" s="126">
        <v>2</v>
      </c>
      <c r="K176" s="126">
        <v>7</v>
      </c>
      <c r="L176" s="125">
        <f>IF(I176&lt;&gt;0,((VLOOKUP(I176,'1. Standard_Cost'!$B$4:$D$11,2)+VLOOKUP(I176,'1. Standard_Cost'!$B$4:$D$11,3))*J176*K176),"0")</f>
        <v>1005100</v>
      </c>
      <c r="M176" s="125">
        <f>L176*'1. Standard_Cost'!$F$4</f>
        <v>167851.7</v>
      </c>
      <c r="N176" s="126"/>
      <c r="O176" s="126"/>
      <c r="P176" s="126"/>
      <c r="Q176" s="126"/>
      <c r="R176" s="127">
        <f>'1. Standard_Cost'!$B$15*N176*P176</f>
        <v>0</v>
      </c>
      <c r="S176" s="127">
        <f>N176*O176*P176*'1. Standard_Cost'!$C$15</f>
        <v>0</v>
      </c>
      <c r="T176" s="127">
        <f>N176*P176*Q176*'1. Standard_Cost'!$D$15</f>
        <v>0</v>
      </c>
      <c r="U176" s="127">
        <f>N176*O176*'1. Standard_Cost'!$E$15</f>
        <v>0</v>
      </c>
      <c r="V176" s="126"/>
      <c r="W176" s="126"/>
      <c r="X176" s="126"/>
      <c r="Y176" s="127">
        <f>+V176*((X176*'1. Standard_Cost'!$B$19)+(W176*X176*'1. Standard_Cost'!$C$19))</f>
        <v>0</v>
      </c>
      <c r="Z176" s="126"/>
      <c r="AA176" s="126"/>
      <c r="AB176" s="127">
        <f>+Z176*'1. Standard_Cost'!$B$23+AA176*'1. Standard_Cost'!$C$23</f>
        <v>0</v>
      </c>
      <c r="AC176" s="128">
        <v>140755</v>
      </c>
      <c r="AD176" s="129"/>
      <c r="AE176" s="127">
        <f>SUM(AD176,AC176,AB176,Y176,U176,T176,S176,R176)*'1. Standard_Cost'!$B$31</f>
        <v>28151</v>
      </c>
      <c r="AF176" s="127">
        <f t="shared" si="112"/>
        <v>168906</v>
      </c>
      <c r="AG176" s="126"/>
      <c r="AH176" s="126"/>
      <c r="AI176" s="126"/>
      <c r="AJ176" s="130"/>
      <c r="AK176" s="130"/>
      <c r="AL176" s="130"/>
      <c r="AM176" s="127">
        <f>AG176*'1. Standard_Cost'!$B$27+'Incremental_Cost Year 4'!AH176*'1. Standard_Cost'!$C$27+'Incremental_Cost Year 4'!AI176*'1. Standard_Cost'!$D$27+'Incremental_Cost Year 4'!AJ176+'Incremental_Cost Year 4'!AL176+AK176</f>
        <v>0</v>
      </c>
      <c r="AN176" s="127">
        <f>AM176*'1. Standard_Cost'!$C$31</f>
        <v>0</v>
      </c>
      <c r="AO176" s="130"/>
      <c r="AP176" s="256"/>
      <c r="AQ176" s="171">
        <f t="shared" si="113"/>
        <v>1172951.7</v>
      </c>
      <c r="AR176" s="171">
        <f t="shared" si="114"/>
        <v>168906</v>
      </c>
      <c r="AS176" s="171">
        <f t="shared" si="115"/>
        <v>0</v>
      </c>
      <c r="AT176" s="171">
        <f t="shared" si="116"/>
        <v>1341857.7</v>
      </c>
      <c r="AU176" s="250">
        <v>1341858</v>
      </c>
      <c r="AV176" s="250"/>
      <c r="AW176" s="250"/>
      <c r="AX176" s="250"/>
      <c r="AY176" s="250"/>
      <c r="AZ176" s="250"/>
      <c r="BA176" s="250"/>
      <c r="BB176" s="251">
        <f t="shared" si="117"/>
        <v>0.30000000004656613</v>
      </c>
      <c r="BC176" s="169"/>
      <c r="BD176" s="169"/>
      <c r="BE176" s="169"/>
      <c r="BF176" s="169"/>
    </row>
    <row r="177" spans="1:58" ht="15.75" outlineLevel="2" x14ac:dyDescent="0.25">
      <c r="A177" s="115"/>
      <c r="B177" s="200"/>
      <c r="C177" s="201"/>
      <c r="D177" s="344"/>
      <c r="E177" s="328"/>
      <c r="F177" s="328"/>
      <c r="G177" s="328"/>
      <c r="H177" s="231" t="s">
        <v>235</v>
      </c>
      <c r="I177" s="130"/>
      <c r="J177" s="126"/>
      <c r="K177" s="126"/>
      <c r="L177" s="125" t="str">
        <f>IF(I177&lt;&gt;0,((VLOOKUP(I177,'1. Standard_Cost'!$B$4:$D$11,2)+VLOOKUP(I177,'1. Standard_Cost'!$B$4:$D$11,3))*J177*K177),"0")</f>
        <v>0</v>
      </c>
      <c r="M177" s="125">
        <f>L177*'1. Standard_Cost'!$F$4</f>
        <v>0</v>
      </c>
      <c r="N177" s="126"/>
      <c r="O177" s="126"/>
      <c r="P177" s="126"/>
      <c r="Q177" s="126"/>
      <c r="R177" s="127">
        <f>'1. Standard_Cost'!$B$15*N177*P177</f>
        <v>0</v>
      </c>
      <c r="S177" s="127">
        <f>N177*O177*P177*'1. Standard_Cost'!$C$15</f>
        <v>0</v>
      </c>
      <c r="T177" s="127">
        <f>N177*P177*Q177*'1. Standard_Cost'!$D$15</f>
        <v>0</v>
      </c>
      <c r="U177" s="127">
        <f>N177*O177*'1. Standard_Cost'!$E$15</f>
        <v>0</v>
      </c>
      <c r="V177" s="126"/>
      <c r="W177" s="126"/>
      <c r="X177" s="126"/>
      <c r="Y177" s="127">
        <f>+V177*((X177*'1. Standard_Cost'!$B$19)+(W177*X177*'1. Standard_Cost'!$C$19))</f>
        <v>0</v>
      </c>
      <c r="Z177" s="126"/>
      <c r="AA177" s="126"/>
      <c r="AB177" s="127">
        <f>+Z177*'1. Standard_Cost'!$B$23+AA177*'1. Standard_Cost'!$C$23</f>
        <v>0</v>
      </c>
      <c r="AC177" s="128">
        <v>20000000</v>
      </c>
      <c r="AD177" s="129"/>
      <c r="AE177" s="127">
        <f>0</f>
        <v>0</v>
      </c>
      <c r="AF177" s="127">
        <f t="shared" si="112"/>
        <v>20000000</v>
      </c>
      <c r="AG177" s="126"/>
      <c r="AH177" s="126"/>
      <c r="AI177" s="126"/>
      <c r="AJ177" s="130"/>
      <c r="AK177" s="130"/>
      <c r="AL177" s="130"/>
      <c r="AM177" s="127">
        <f>AG177*'1. Standard_Cost'!$B$27+'Incremental_Cost Year 4'!AH177*'1. Standard_Cost'!$C$27+'Incremental_Cost Year 4'!AI177*'1. Standard_Cost'!$D$27+'Incremental_Cost Year 4'!AJ177+'Incremental_Cost Year 4'!AL177+AK177</f>
        <v>0</v>
      </c>
      <c r="AN177" s="127">
        <f>AM177*'1. Standard_Cost'!$C$31</f>
        <v>0</v>
      </c>
      <c r="AO177" s="130"/>
      <c r="AP177" s="256"/>
      <c r="AQ177" s="171">
        <f t="shared" si="113"/>
        <v>0</v>
      </c>
      <c r="AR177" s="171">
        <f t="shared" si="114"/>
        <v>20000000</v>
      </c>
      <c r="AS177" s="171">
        <f t="shared" si="115"/>
        <v>0</v>
      </c>
      <c r="AT177" s="171">
        <f t="shared" si="116"/>
        <v>20000000</v>
      </c>
      <c r="AU177" s="250">
        <v>20000000</v>
      </c>
      <c r="AV177" s="250"/>
      <c r="AW177" s="250"/>
      <c r="AX177" s="250"/>
      <c r="AY177" s="250"/>
      <c r="AZ177" s="250"/>
      <c r="BA177" s="250"/>
      <c r="BB177" s="251">
        <f t="shared" si="117"/>
        <v>0</v>
      </c>
      <c r="BC177" s="169"/>
      <c r="BD177" s="169"/>
      <c r="BE177" s="169"/>
      <c r="BF177" s="169"/>
    </row>
    <row r="178" spans="1:58" ht="78.75" outlineLevel="2" x14ac:dyDescent="0.25">
      <c r="A178" s="115"/>
      <c r="B178" s="165"/>
      <c r="C178" s="166"/>
      <c r="D178" s="150" t="s">
        <v>485</v>
      </c>
      <c r="E178" s="212" t="s">
        <v>486</v>
      </c>
      <c r="F178" s="106">
        <v>2021</v>
      </c>
      <c r="G178" s="104">
        <v>2030</v>
      </c>
      <c r="H178" s="110" t="s">
        <v>181</v>
      </c>
      <c r="I178" s="252"/>
      <c r="J178" s="252"/>
      <c r="K178" s="252"/>
      <c r="L178" s="127">
        <f>SUM(L169:L177)</f>
        <v>51060700</v>
      </c>
      <c r="M178" s="127">
        <f>SUM(M169:M177)</f>
        <v>8527136.9000000004</v>
      </c>
      <c r="N178" s="252"/>
      <c r="O178" s="252"/>
      <c r="P178" s="252"/>
      <c r="Q178" s="252"/>
      <c r="R178" s="127">
        <f>SUM(R169:R177)</f>
        <v>0</v>
      </c>
      <c r="S178" s="127">
        <f>SUM(S169:S177)</f>
        <v>0</v>
      </c>
      <c r="T178" s="127">
        <f>SUM(T169:T177)</f>
        <v>0</v>
      </c>
      <c r="U178" s="127">
        <f>SUM(U169:U177)</f>
        <v>0</v>
      </c>
      <c r="V178" s="252"/>
      <c r="W178" s="252"/>
      <c r="X178" s="252"/>
      <c r="Y178" s="127">
        <f>SUM(Y169:Y177)</f>
        <v>0</v>
      </c>
      <c r="Z178" s="127"/>
      <c r="AA178" s="252"/>
      <c r="AB178" s="127">
        <f>SUM(AB169:AB177)</f>
        <v>0</v>
      </c>
      <c r="AC178" s="127">
        <f>SUM(AC169:AC177)</f>
        <v>4492363755</v>
      </c>
      <c r="AD178" s="127">
        <f>SUM(AD169:AD177)</f>
        <v>0</v>
      </c>
      <c r="AE178" s="127">
        <f>SUM(AE169:AE177)</f>
        <v>28151</v>
      </c>
      <c r="AF178" s="127">
        <f>SUM(AF169:AF177)</f>
        <v>4492391906</v>
      </c>
      <c r="AG178" s="252"/>
      <c r="AH178" s="252"/>
      <c r="AI178" s="252"/>
      <c r="AJ178" s="127">
        <f>SUM(AJ169:AJ177)</f>
        <v>1897336000</v>
      </c>
      <c r="AK178" s="127">
        <f>SUM(AK169:AK177)</f>
        <v>0</v>
      </c>
      <c r="AL178" s="127">
        <f>SUM(AL169:AL177)</f>
        <v>377684000</v>
      </c>
      <c r="AM178" s="127">
        <f>SUM(AM169:AM177)</f>
        <v>2275020000</v>
      </c>
      <c r="AN178" s="127">
        <f>SUM(AN169:AN177)</f>
        <v>341253000</v>
      </c>
      <c r="AO178" s="253"/>
      <c r="AP178" s="254"/>
      <c r="AQ178" s="175">
        <f>SUM(AQ169:AQ177)</f>
        <v>59587836.900000006</v>
      </c>
      <c r="AR178" s="175">
        <f>SUM(AR169:AR177)</f>
        <v>4492391906</v>
      </c>
      <c r="AS178" s="175">
        <f>SUM(AS169:AS177)</f>
        <v>2616273000</v>
      </c>
      <c r="AT178" s="175">
        <f>SUM(AT169:AT177)</f>
        <v>7168252742.8999996</v>
      </c>
      <c r="AU178" s="175">
        <f t="shared" ref="AU178:BA178" si="118">SUM(AU169:AU177)</f>
        <v>6024999743.1999998</v>
      </c>
      <c r="AV178" s="175">
        <f t="shared" si="118"/>
        <v>200000000</v>
      </c>
      <c r="AW178" s="175">
        <f t="shared" si="118"/>
        <v>602000000</v>
      </c>
      <c r="AX178" s="175">
        <f t="shared" si="118"/>
        <v>0</v>
      </c>
      <c r="AY178" s="175">
        <f t="shared" si="118"/>
        <v>0</v>
      </c>
      <c r="AZ178" s="175">
        <f t="shared" si="118"/>
        <v>0</v>
      </c>
      <c r="BA178" s="175">
        <f t="shared" si="118"/>
        <v>0</v>
      </c>
      <c r="BB178" s="175">
        <f>SUM(BB169:BB177)</f>
        <v>-341252999.69999999</v>
      </c>
      <c r="BC178" s="169"/>
      <c r="BD178" s="169"/>
      <c r="BE178" s="169"/>
      <c r="BF178" s="169"/>
    </row>
    <row r="179" spans="1:58" ht="31.5" outlineLevel="2" x14ac:dyDescent="0.25">
      <c r="A179" s="115"/>
      <c r="B179" s="200"/>
      <c r="C179" s="201"/>
      <c r="D179" s="210"/>
      <c r="E179" s="328"/>
      <c r="F179" s="328"/>
      <c r="G179" s="328"/>
      <c r="H179" s="199" t="s">
        <v>487</v>
      </c>
      <c r="I179" s="130"/>
      <c r="J179" s="126"/>
      <c r="K179" s="126"/>
      <c r="L179" s="125" t="str">
        <f>IF(I179&lt;&gt;0,((VLOOKUP(I179,'1. Standard_Cost'!$B$4:$D$11,2)+VLOOKUP(I179,'1. Standard_Cost'!$B$4:$D$11,3))*J179*K179),"0")</f>
        <v>0</v>
      </c>
      <c r="M179" s="125">
        <f>L179*'1. Standard_Cost'!$F$4</f>
        <v>0</v>
      </c>
      <c r="N179" s="126"/>
      <c r="O179" s="126"/>
      <c r="P179" s="126"/>
      <c r="Q179" s="126"/>
      <c r="R179" s="127">
        <f>'1. Standard_Cost'!$B$15*N179*P179</f>
        <v>0</v>
      </c>
      <c r="S179" s="127">
        <f>N179*O179*P179*'1. Standard_Cost'!$C$15</f>
        <v>0</v>
      </c>
      <c r="T179" s="127">
        <f>N179*P179*Q179*'1. Standard_Cost'!$D$15</f>
        <v>0</v>
      </c>
      <c r="U179" s="127">
        <f>N179*O179*'1. Standard_Cost'!$E$15</f>
        <v>0</v>
      </c>
      <c r="V179" s="126"/>
      <c r="W179" s="126"/>
      <c r="X179" s="126"/>
      <c r="Y179" s="127">
        <f>+V179*((X179*'1. Standard_Cost'!$B$19)+(W179*X179*'1. Standard_Cost'!$C$19))</f>
        <v>0</v>
      </c>
      <c r="Z179" s="126"/>
      <c r="AA179" s="126"/>
      <c r="AB179" s="127">
        <f>+Z179*'1. Standard_Cost'!$B$23+AA179*'1. Standard_Cost'!$C$23</f>
        <v>0</v>
      </c>
      <c r="AC179" s="128"/>
      <c r="AD179" s="129"/>
      <c r="AE179" s="127">
        <f>SUM(AD179,AC179,AB179,Y179,U179,T179,S179,R179)*'1. Standard_Cost'!$B$31</f>
        <v>0</v>
      </c>
      <c r="AF179" s="127">
        <f>SUM(AE179,AD179,AC179,AB179,Y179,U179,T179,S179,R179)</f>
        <v>0</v>
      </c>
      <c r="AG179" s="126"/>
      <c r="AH179" s="126"/>
      <c r="AI179" s="126"/>
      <c r="AJ179" s="130"/>
      <c r="AK179" s="130"/>
      <c r="AL179" s="130"/>
      <c r="AM179" s="127">
        <f>AG179*'1. Standard_Cost'!$B$27+'Incremental_Cost Year 4'!AH179*'1. Standard_Cost'!$C$27+'Incremental_Cost Year 4'!AI179*'1. Standard_Cost'!$D$27+'Incremental_Cost Year 4'!AJ179+'Incremental_Cost Year 4'!AL179+AK179</f>
        <v>0</v>
      </c>
      <c r="AN179" s="127">
        <f>AM179*'1. Standard_Cost'!$C$31</f>
        <v>0</v>
      </c>
      <c r="AO179" s="130"/>
      <c r="AP179" s="256"/>
      <c r="AQ179" s="171">
        <f>L179+M179</f>
        <v>0</v>
      </c>
      <c r="AR179" s="171">
        <f>AF179</f>
        <v>0</v>
      </c>
      <c r="AS179" s="171">
        <f>AM179+AN179</f>
        <v>0</v>
      </c>
      <c r="AT179" s="171">
        <f>SUM(AQ179,AR179,AS179)</f>
        <v>0</v>
      </c>
      <c r="AU179" s="250"/>
      <c r="AV179" s="250"/>
      <c r="AW179" s="250"/>
      <c r="AX179" s="250"/>
      <c r="AY179" s="250"/>
      <c r="AZ179" s="250"/>
      <c r="BA179" s="250"/>
      <c r="BB179" s="251">
        <f t="shared" ref="BB179:BB180" si="119">SUM(AU179:BA179)-AT179</f>
        <v>0</v>
      </c>
      <c r="BC179" s="169"/>
      <c r="BD179" s="169"/>
      <c r="BE179" s="169"/>
      <c r="BF179" s="169"/>
    </row>
    <row r="180" spans="1:58" ht="94.5" outlineLevel="2" x14ac:dyDescent="0.25">
      <c r="A180" s="115"/>
      <c r="B180" s="200"/>
      <c r="C180" s="201"/>
      <c r="D180" s="211"/>
      <c r="E180" s="328"/>
      <c r="F180" s="328"/>
      <c r="G180" s="328"/>
      <c r="H180" s="213" t="s">
        <v>488</v>
      </c>
      <c r="I180" s="130" t="s">
        <v>5</v>
      </c>
      <c r="J180" s="126">
        <v>1</v>
      </c>
      <c r="K180" s="126">
        <v>3</v>
      </c>
      <c r="L180" s="125">
        <f>IF(I180&lt;&gt;0,((VLOOKUP(I180,'1. Standard_Cost'!$B$4:$D$11,2)+VLOOKUP(I180,'1. Standard_Cost'!$B$4:$D$11,3))*J180*K180),"0")</f>
        <v>212100</v>
      </c>
      <c r="M180" s="125">
        <f>L180*'1. Standard_Cost'!$F$4</f>
        <v>35420.700000000004</v>
      </c>
      <c r="N180" s="126"/>
      <c r="O180" s="126"/>
      <c r="P180" s="126"/>
      <c r="Q180" s="126"/>
      <c r="R180" s="127">
        <f>'1. Standard_Cost'!$B$15*N180*P180</f>
        <v>0</v>
      </c>
      <c r="S180" s="127">
        <f>N180*O180*P180*'1. Standard_Cost'!$C$15</f>
        <v>0</v>
      </c>
      <c r="T180" s="127">
        <f>N180*P180*Q180*'1. Standard_Cost'!$D$15</f>
        <v>0</v>
      </c>
      <c r="U180" s="127">
        <f>N180*O180*'1. Standard_Cost'!$E$15</f>
        <v>0</v>
      </c>
      <c r="V180" s="126"/>
      <c r="W180" s="126"/>
      <c r="X180" s="126"/>
      <c r="Y180" s="127">
        <f>+V180*((X180*'1. Standard_Cost'!$B$19)+(W180*X180*'1. Standard_Cost'!$C$19))</f>
        <v>0</v>
      </c>
      <c r="Z180" s="126"/>
      <c r="AA180" s="126"/>
      <c r="AB180" s="127">
        <f>+Z180*'1. Standard_Cost'!$B$23+AA180*'1. Standard_Cost'!$C$23</f>
        <v>0</v>
      </c>
      <c r="AC180" s="128">
        <v>25000</v>
      </c>
      <c r="AD180" s="129"/>
      <c r="AE180" s="127">
        <f>SUM(AD180,AC180,AB180,Y180,U180,T180,S180,R180)*'1. Standard_Cost'!$B$31</f>
        <v>5000</v>
      </c>
      <c r="AF180" s="127">
        <f>SUM(AE180,AD180,AC180,AB180,Y180,U180,T180,S180,R180)</f>
        <v>30000</v>
      </c>
      <c r="AG180" s="126"/>
      <c r="AH180" s="126"/>
      <c r="AI180" s="126"/>
      <c r="AJ180" s="130"/>
      <c r="AK180" s="130"/>
      <c r="AL180" s="130"/>
      <c r="AM180" s="127">
        <f>AG180*'1. Standard_Cost'!$B$27+'Incremental_Cost Year 4'!AH180*'1. Standard_Cost'!$C$27+'Incremental_Cost Year 4'!AI180*'1. Standard_Cost'!$D$27+'Incremental_Cost Year 4'!AJ180+'Incremental_Cost Year 4'!AL180+AK180</f>
        <v>0</v>
      </c>
      <c r="AN180" s="127">
        <f>AM180*'1. Standard_Cost'!$C$31</f>
        <v>0</v>
      </c>
      <c r="AO180" s="130"/>
      <c r="AP180" s="256"/>
      <c r="AQ180" s="171">
        <f>L180+M180</f>
        <v>247520.7</v>
      </c>
      <c r="AR180" s="171">
        <f>AF180</f>
        <v>30000</v>
      </c>
      <c r="AS180" s="171">
        <f>AM180+AN180</f>
        <v>0</v>
      </c>
      <c r="AT180" s="171">
        <f>SUM(AQ180,AR180,AS180)</f>
        <v>277520.7</v>
      </c>
      <c r="AU180" s="250">
        <v>277521</v>
      </c>
      <c r="AV180" s="250"/>
      <c r="AW180" s="250"/>
      <c r="AX180" s="250"/>
      <c r="AY180" s="250"/>
      <c r="AZ180" s="250"/>
      <c r="BA180" s="250"/>
      <c r="BB180" s="251">
        <f t="shared" si="119"/>
        <v>0.29999999998835847</v>
      </c>
      <c r="BC180" s="169"/>
      <c r="BD180" s="169"/>
      <c r="BE180" s="169"/>
      <c r="BF180" s="169"/>
    </row>
    <row r="181" spans="1:58" ht="63" outlineLevel="2" x14ac:dyDescent="0.25">
      <c r="A181" s="115"/>
      <c r="B181" s="165"/>
      <c r="C181" s="166"/>
      <c r="D181" s="110" t="s">
        <v>489</v>
      </c>
      <c r="E181" s="139" t="s">
        <v>490</v>
      </c>
      <c r="F181" s="104">
        <v>2022</v>
      </c>
      <c r="G181" s="104">
        <v>2025</v>
      </c>
      <c r="H181" s="150" t="s">
        <v>236</v>
      </c>
      <c r="I181" s="252"/>
      <c r="J181" s="252"/>
      <c r="K181" s="252"/>
      <c r="L181" s="127">
        <f>SUM(L179:L180)</f>
        <v>212100</v>
      </c>
      <c r="M181" s="127">
        <f>SUM(M179:M180)</f>
        <v>35420.700000000004</v>
      </c>
      <c r="N181" s="252"/>
      <c r="O181" s="252"/>
      <c r="P181" s="252"/>
      <c r="Q181" s="252"/>
      <c r="R181" s="127">
        <f>SUM(R179:R180)</f>
        <v>0</v>
      </c>
      <c r="S181" s="127">
        <f>SUM(S179:S180)</f>
        <v>0</v>
      </c>
      <c r="T181" s="127">
        <f>SUM(T179:T180)</f>
        <v>0</v>
      </c>
      <c r="U181" s="127">
        <f>SUM(U179:U180)</f>
        <v>0</v>
      </c>
      <c r="V181" s="252"/>
      <c r="W181" s="252"/>
      <c r="X181" s="252"/>
      <c r="Y181" s="127">
        <f>SUM(Y179:Y180)</f>
        <v>0</v>
      </c>
      <c r="Z181" s="127"/>
      <c r="AA181" s="252"/>
      <c r="AB181" s="127">
        <f>SUM(AB179:AB180)</f>
        <v>0</v>
      </c>
      <c r="AC181" s="127">
        <f>SUM(AC179:AC180)</f>
        <v>25000</v>
      </c>
      <c r="AD181" s="127">
        <f>SUM(AD179:AD180)</f>
        <v>0</v>
      </c>
      <c r="AE181" s="127">
        <f>SUM(AE179:AE180)</f>
        <v>5000</v>
      </c>
      <c r="AF181" s="127">
        <f>SUM(AF179:AF180)</f>
        <v>30000</v>
      </c>
      <c r="AG181" s="252"/>
      <c r="AH181" s="252"/>
      <c r="AI181" s="252"/>
      <c r="AJ181" s="127">
        <f>SUM(AJ179:AJ180)</f>
        <v>0</v>
      </c>
      <c r="AK181" s="127">
        <f>SUM(AK179:AK180)</f>
        <v>0</v>
      </c>
      <c r="AL181" s="127">
        <f>SUM(AL179:AL180)</f>
        <v>0</v>
      </c>
      <c r="AM181" s="127">
        <f>SUM(AM179:AM180)</f>
        <v>0</v>
      </c>
      <c r="AN181" s="127">
        <f>SUM(AN179:AN180)</f>
        <v>0</v>
      </c>
      <c r="AO181" s="253"/>
      <c r="AP181" s="254"/>
      <c r="AQ181" s="175">
        <f>SUM(AQ179:AQ180)</f>
        <v>247520.7</v>
      </c>
      <c r="AR181" s="175">
        <f>SUM(AR179:AR180)</f>
        <v>30000</v>
      </c>
      <c r="AS181" s="175">
        <f>SUM(AS179:AS180)</f>
        <v>0</v>
      </c>
      <c r="AT181" s="175">
        <f>SUM(AT179:AT180)</f>
        <v>277520.7</v>
      </c>
      <c r="AU181" s="175">
        <f t="shared" ref="AU181:BB181" si="120">SUM(AU179:AU180)</f>
        <v>277521</v>
      </c>
      <c r="AV181" s="175">
        <f t="shared" si="120"/>
        <v>0</v>
      </c>
      <c r="AW181" s="175">
        <f t="shared" si="120"/>
        <v>0</v>
      </c>
      <c r="AX181" s="175">
        <f t="shared" si="120"/>
        <v>0</v>
      </c>
      <c r="AY181" s="175">
        <f t="shared" si="120"/>
        <v>0</v>
      </c>
      <c r="AZ181" s="175">
        <f t="shared" si="120"/>
        <v>0</v>
      </c>
      <c r="BA181" s="175">
        <f t="shared" si="120"/>
        <v>0</v>
      </c>
      <c r="BB181" s="175">
        <f t="shared" si="120"/>
        <v>0.29999999998835847</v>
      </c>
      <c r="BC181" s="169"/>
      <c r="BD181" s="169"/>
      <c r="BE181" s="169"/>
      <c r="BF181" s="169"/>
    </row>
    <row r="182" spans="1:58" ht="15.75" customHeight="1" outlineLevel="2" x14ac:dyDescent="0.25">
      <c r="A182" s="143"/>
      <c r="B182" s="290"/>
      <c r="C182" s="391" t="s">
        <v>237</v>
      </c>
      <c r="D182" s="391"/>
      <c r="E182" s="392"/>
      <c r="F182" s="287"/>
      <c r="G182" s="289"/>
      <c r="H182" s="144" t="s">
        <v>182</v>
      </c>
      <c r="I182" s="257"/>
      <c r="J182" s="257"/>
      <c r="K182" s="257"/>
      <c r="L182" s="258">
        <f>L190+L193+L196</f>
        <v>10537540923.701799</v>
      </c>
      <c r="M182" s="258">
        <f>M190+M193+M196</f>
        <v>1759769334.2582006</v>
      </c>
      <c r="N182" s="257"/>
      <c r="O182" s="257"/>
      <c r="P182" s="257"/>
      <c r="Q182" s="257"/>
      <c r="R182" s="258">
        <f>R190+R193+R196</f>
        <v>40000</v>
      </c>
      <c r="S182" s="258">
        <f>S190+S193+S196</f>
        <v>30000</v>
      </c>
      <c r="T182" s="258">
        <f>T190+T193+T196</f>
        <v>0</v>
      </c>
      <c r="U182" s="258">
        <f>U190+U193+U196</f>
        <v>40000</v>
      </c>
      <c r="V182" s="257"/>
      <c r="W182" s="257"/>
      <c r="X182" s="257"/>
      <c r="Y182" s="258">
        <f>Y190+Y193+Y196</f>
        <v>0</v>
      </c>
      <c r="Z182" s="258"/>
      <c r="AA182" s="258"/>
      <c r="AB182" s="258">
        <f>AB190+AB193+AB196</f>
        <v>0</v>
      </c>
      <c r="AC182" s="258">
        <f>AC190+AC193+AC196</f>
        <v>9006887000</v>
      </c>
      <c r="AD182" s="258">
        <f>AD190+AD193+AD196</f>
        <v>0</v>
      </c>
      <c r="AE182" s="258">
        <f>AE190+AE193+AE196</f>
        <v>1800076400</v>
      </c>
      <c r="AF182" s="258">
        <f>AF190+AF193+AF196</f>
        <v>10807073400</v>
      </c>
      <c r="AG182" s="257"/>
      <c r="AH182" s="257"/>
      <c r="AI182" s="257"/>
      <c r="AJ182" s="258">
        <f>AJ190+AJ193+AJ196</f>
        <v>0</v>
      </c>
      <c r="AK182" s="258">
        <f>AK190+AK193+AK196</f>
        <v>0</v>
      </c>
      <c r="AL182" s="258">
        <f>AL190+AL193+AL196</f>
        <v>0</v>
      </c>
      <c r="AM182" s="258">
        <f>AM190+AM193+AM196</f>
        <v>0</v>
      </c>
      <c r="AN182" s="258">
        <f>AN190+AN193+AN196</f>
        <v>0</v>
      </c>
      <c r="AO182" s="259"/>
      <c r="AP182" s="260"/>
      <c r="AQ182" s="261">
        <f>AQ190+AQ193+AQ196</f>
        <v>12297310257.960001</v>
      </c>
      <c r="AR182" s="261">
        <f>AR190+AR193+AR196</f>
        <v>10807073400</v>
      </c>
      <c r="AS182" s="261">
        <f>AS190+AS193+AS196</f>
        <v>0</v>
      </c>
      <c r="AT182" s="261">
        <f>AT190+AT193+AT196</f>
        <v>23104383657.959999</v>
      </c>
      <c r="AU182" s="261">
        <f t="shared" ref="AU182:BA182" si="121">AU190+AU193+AU196</f>
        <v>21604335659</v>
      </c>
      <c r="AV182" s="261">
        <f t="shared" si="121"/>
        <v>0</v>
      </c>
      <c r="AW182" s="261">
        <f t="shared" si="121"/>
        <v>0</v>
      </c>
      <c r="AX182" s="261">
        <f t="shared" si="121"/>
        <v>0</v>
      </c>
      <c r="AY182" s="261">
        <f t="shared" si="121"/>
        <v>0</v>
      </c>
      <c r="AZ182" s="261">
        <f t="shared" si="121"/>
        <v>0</v>
      </c>
      <c r="BA182" s="261">
        <f t="shared" si="121"/>
        <v>0</v>
      </c>
      <c r="BB182" s="261">
        <f>BB190+BB193+BB196</f>
        <v>-1500047998.9599984</v>
      </c>
      <c r="BC182" s="184"/>
      <c r="BD182" s="184"/>
      <c r="BE182" s="184"/>
      <c r="BF182" s="184"/>
    </row>
    <row r="183" spans="1:58" ht="94.5" outlineLevel="2" x14ac:dyDescent="0.25">
      <c r="A183" s="115"/>
      <c r="B183" s="303"/>
      <c r="C183" s="329"/>
      <c r="D183" s="342"/>
      <c r="E183" s="328"/>
      <c r="F183" s="328"/>
      <c r="G183" s="328"/>
      <c r="H183" s="199" t="s">
        <v>544</v>
      </c>
      <c r="I183" s="130" t="s">
        <v>5</v>
      </c>
      <c r="J183" s="126">
        <v>12</v>
      </c>
      <c r="K183" s="126">
        <v>10882</v>
      </c>
      <c r="L183" s="125">
        <f>IF(I183&lt;&gt;0,((VLOOKUP(I183,'1. Standard_Cost'!$B$4:$D$11,2)+VLOOKUP(I183,'1. Standard_Cost'!$B$4:$D$11,3))*J183*K183),"0")</f>
        <v>9232288800</v>
      </c>
      <c r="M183" s="125">
        <f>L183*'1. Standard_Cost'!$F$4</f>
        <v>1541792229.6000001</v>
      </c>
      <c r="N183" s="126"/>
      <c r="O183" s="126"/>
      <c r="P183" s="126"/>
      <c r="Q183" s="126"/>
      <c r="R183" s="127">
        <f>'1. Standard_Cost'!$B$15*N183*P183</f>
        <v>0</v>
      </c>
      <c r="S183" s="127">
        <f>N183*O183*P183*'1. Standard_Cost'!$C$15</f>
        <v>0</v>
      </c>
      <c r="T183" s="127">
        <f>N183*P183*Q183*'1. Standard_Cost'!$D$15</f>
        <v>0</v>
      </c>
      <c r="U183" s="127">
        <f>N183*O183*'1. Standard_Cost'!$E$15</f>
        <v>0</v>
      </c>
      <c r="V183" s="126"/>
      <c r="W183" s="126"/>
      <c r="X183" s="126"/>
      <c r="Y183" s="127">
        <f>+V183*((X183*'1. Standard_Cost'!$B$19)+(W183*X183*'1. Standard_Cost'!$C$19))</f>
        <v>0</v>
      </c>
      <c r="Z183" s="126"/>
      <c r="AA183" s="126"/>
      <c r="AB183" s="127">
        <f>+Z183*'1. Standard_Cost'!$B$23+AA183*'1. Standard_Cost'!$C$23</f>
        <v>0</v>
      </c>
      <c r="AC183" s="128">
        <v>9000000000</v>
      </c>
      <c r="AD183" s="129"/>
      <c r="AE183" s="127">
        <f>SUM(AD183,AC183,AB183,Y183,U183,T183,S183,R183)*'1. Standard_Cost'!$B$31</f>
        <v>1800000000</v>
      </c>
      <c r="AF183" s="127">
        <f t="shared" ref="AF183:AF189" si="122">SUM(AE183,AD183,AC183,AB183,Y183,U183,T183,S183,R183)</f>
        <v>10800000000</v>
      </c>
      <c r="AG183" s="126"/>
      <c r="AH183" s="126"/>
      <c r="AI183" s="126"/>
      <c r="AJ183" s="130"/>
      <c r="AK183" s="130"/>
      <c r="AL183" s="130"/>
      <c r="AM183" s="127">
        <f>AG183*'1. Standard_Cost'!$B$27+'Incremental_Cost Year 4'!AH183*'1. Standard_Cost'!$C$27+'Incremental_Cost Year 4'!AI183*'1. Standard_Cost'!$D$27+'Incremental_Cost Year 4'!AJ183+'Incremental_Cost Year 4'!AL183+AK183</f>
        <v>0</v>
      </c>
      <c r="AN183" s="127">
        <f>AM183*'1. Standard_Cost'!$C$31</f>
        <v>0</v>
      </c>
      <c r="AO183" s="130"/>
      <c r="AP183" s="256"/>
      <c r="AQ183" s="171">
        <f t="shared" ref="AQ183:AQ189" si="123">L183+M183</f>
        <v>10774081029.6</v>
      </c>
      <c r="AR183" s="171">
        <f t="shared" ref="AR183:AR189" si="124">AF183</f>
        <v>10800000000</v>
      </c>
      <c r="AS183" s="171">
        <f t="shared" ref="AS183:AS189" si="125">AM183+AN183</f>
        <v>0</v>
      </c>
      <c r="AT183" s="171">
        <f t="shared" ref="AT183:AT189" si="126">SUM(AQ183,AR183,AS183)</f>
        <v>21574081029.599998</v>
      </c>
      <c r="AU183" s="250">
        <v>21574081030</v>
      </c>
      <c r="AV183" s="250"/>
      <c r="AW183" s="250"/>
      <c r="AX183" s="250"/>
      <c r="AY183" s="250"/>
      <c r="AZ183" s="250"/>
      <c r="BA183" s="250"/>
      <c r="BB183" s="251">
        <f t="shared" ref="BB183:BB189" si="127">SUM(AU183:BA183)-AT183</f>
        <v>0.40000152587890625</v>
      </c>
      <c r="BC183" s="169"/>
      <c r="BD183" s="169"/>
      <c r="BE183" s="169"/>
      <c r="BF183" s="169"/>
    </row>
    <row r="184" spans="1:58" ht="78.75" outlineLevel="2" x14ac:dyDescent="0.25">
      <c r="A184" s="115"/>
      <c r="B184" s="200"/>
      <c r="C184" s="330"/>
      <c r="D184" s="343"/>
      <c r="E184" s="328"/>
      <c r="F184" s="328"/>
      <c r="G184" s="328"/>
      <c r="H184" s="213" t="s">
        <v>543</v>
      </c>
      <c r="I184" s="374"/>
      <c r="J184" s="375"/>
      <c r="K184" s="375"/>
      <c r="L184" s="125">
        <f>1500000000/1.167</f>
        <v>1285347043.7017994</v>
      </c>
      <c r="M184" s="125">
        <f>L184*'1. Standard_Cost'!$F$4</f>
        <v>214652956.29820052</v>
      </c>
      <c r="N184" s="126"/>
      <c r="O184" s="126"/>
      <c r="P184" s="126"/>
      <c r="Q184" s="126"/>
      <c r="R184" s="127">
        <f>'1. Standard_Cost'!$B$15*N184*P184</f>
        <v>0</v>
      </c>
      <c r="S184" s="127">
        <f>N184*O184*P184*'1. Standard_Cost'!$C$15</f>
        <v>0</v>
      </c>
      <c r="T184" s="127">
        <f>N184*P184*Q184*'1. Standard_Cost'!$D$15</f>
        <v>0</v>
      </c>
      <c r="U184" s="127">
        <f>N184*O184*'1. Standard_Cost'!$E$15</f>
        <v>0</v>
      </c>
      <c r="V184" s="126"/>
      <c r="W184" s="126"/>
      <c r="X184" s="126"/>
      <c r="Y184" s="127">
        <f>+V184*((X184*'1. Standard_Cost'!$B$19)+(W184*X184*'1. Standard_Cost'!$C$19))</f>
        <v>0</v>
      </c>
      <c r="Z184" s="126"/>
      <c r="AA184" s="126"/>
      <c r="AB184" s="127">
        <f>+Z184*'1. Standard_Cost'!$B$23+AA184*'1. Standard_Cost'!$C$23</f>
        <v>0</v>
      </c>
      <c r="AC184" s="128"/>
      <c r="AD184" s="129"/>
      <c r="AE184" s="127"/>
      <c r="AF184" s="127">
        <f t="shared" si="122"/>
        <v>0</v>
      </c>
      <c r="AG184" s="126"/>
      <c r="AH184" s="126"/>
      <c r="AI184" s="126"/>
      <c r="AJ184" s="130"/>
      <c r="AK184" s="130"/>
      <c r="AL184" s="130"/>
      <c r="AM184" s="127">
        <f>AG184*'1. Standard_Cost'!$B$27+'Incremental_Cost Year 4'!AH184*'1. Standard_Cost'!$C$27+'Incremental_Cost Year 4'!AI184*'1. Standard_Cost'!$D$27+'Incremental_Cost Year 4'!AJ184+'Incremental_Cost Year 4'!AL184+AK184</f>
        <v>0</v>
      </c>
      <c r="AN184" s="127">
        <f>AM184*'1. Standard_Cost'!$C$31</f>
        <v>0</v>
      </c>
      <c r="AO184" s="130"/>
      <c r="AP184" s="256"/>
      <c r="AQ184" s="171">
        <f t="shared" si="123"/>
        <v>1500000000</v>
      </c>
      <c r="AR184" s="171">
        <f t="shared" si="124"/>
        <v>0</v>
      </c>
      <c r="AS184" s="171">
        <f t="shared" si="125"/>
        <v>0</v>
      </c>
      <c r="AT184" s="171">
        <f t="shared" si="126"/>
        <v>1500000000</v>
      </c>
      <c r="AU184" s="250"/>
      <c r="AV184" s="250"/>
      <c r="AW184" s="250"/>
      <c r="AX184" s="250"/>
      <c r="AY184" s="250"/>
      <c r="AZ184" s="250"/>
      <c r="BA184" s="250"/>
      <c r="BB184" s="251">
        <f t="shared" si="127"/>
        <v>-1500000000</v>
      </c>
      <c r="BC184" s="169"/>
      <c r="BD184" s="169"/>
      <c r="BE184" s="169"/>
      <c r="BF184" s="169"/>
    </row>
    <row r="185" spans="1:58" ht="63" outlineLevel="2" x14ac:dyDescent="0.25">
      <c r="A185" s="115"/>
      <c r="B185" s="200"/>
      <c r="C185" s="330"/>
      <c r="D185" s="343"/>
      <c r="E185" s="328"/>
      <c r="F185" s="328"/>
      <c r="G185" s="328"/>
      <c r="H185" s="199" t="s">
        <v>491</v>
      </c>
      <c r="I185" s="130"/>
      <c r="J185" s="126"/>
      <c r="K185" s="126"/>
      <c r="L185" s="125" t="str">
        <f>IF(I185&lt;&gt;0,((VLOOKUP(I185,'1. Standard_Cost'!$B$4:$D$11,2)+VLOOKUP(I185,'1. Standard_Cost'!$B$4:$D$11,3))*J185*K185),"0")</f>
        <v>0</v>
      </c>
      <c r="M185" s="125">
        <f>L185*'1. Standard_Cost'!$F$4</f>
        <v>0</v>
      </c>
      <c r="N185" s="126"/>
      <c r="O185" s="126"/>
      <c r="P185" s="126"/>
      <c r="Q185" s="126"/>
      <c r="R185" s="127">
        <f>'1. Standard_Cost'!$B$15*N185*P185</f>
        <v>0</v>
      </c>
      <c r="S185" s="127">
        <f>N185*O185*P185*'1. Standard_Cost'!$C$15</f>
        <v>0</v>
      </c>
      <c r="T185" s="127">
        <f>N185*P185*Q185*'1. Standard_Cost'!$D$15</f>
        <v>0</v>
      </c>
      <c r="U185" s="127">
        <f>N185*O185*'1. Standard_Cost'!$E$15</f>
        <v>0</v>
      </c>
      <c r="V185" s="126"/>
      <c r="W185" s="126"/>
      <c r="X185" s="126"/>
      <c r="Y185" s="127">
        <f>+V185*((X185*'1. Standard_Cost'!$B$19)+(W185*X185*'1. Standard_Cost'!$C$19))</f>
        <v>0</v>
      </c>
      <c r="Z185" s="126"/>
      <c r="AA185" s="126"/>
      <c r="AB185" s="127">
        <f>+Z185*'1. Standard_Cost'!$B$23+AA185*'1. Standard_Cost'!$C$23</f>
        <v>0</v>
      </c>
      <c r="AC185" s="128"/>
      <c r="AD185" s="129"/>
      <c r="AE185" s="127">
        <f>SUM(AD185,AC185,AB185,Y185,U185,T185,S185,R185)*'1. Standard_Cost'!$B$31</f>
        <v>0</v>
      </c>
      <c r="AF185" s="127">
        <f t="shared" si="122"/>
        <v>0</v>
      </c>
      <c r="AG185" s="126"/>
      <c r="AH185" s="126"/>
      <c r="AI185" s="126"/>
      <c r="AJ185" s="130"/>
      <c r="AK185" s="130"/>
      <c r="AL185" s="130"/>
      <c r="AM185" s="127">
        <f>AG185*'1. Standard_Cost'!$B$27+'Incremental_Cost Year 4'!AH185*'1. Standard_Cost'!$C$27+'Incremental_Cost Year 4'!AI185*'1. Standard_Cost'!$D$27+'Incremental_Cost Year 4'!AJ185+'Incremental_Cost Year 4'!AL185+AK185</f>
        <v>0</v>
      </c>
      <c r="AN185" s="127">
        <f>AM185*'1. Standard_Cost'!$C$31</f>
        <v>0</v>
      </c>
      <c r="AO185" s="130"/>
      <c r="AP185" s="256"/>
      <c r="AQ185" s="171">
        <f t="shared" si="123"/>
        <v>0</v>
      </c>
      <c r="AR185" s="171">
        <f t="shared" si="124"/>
        <v>0</v>
      </c>
      <c r="AS185" s="171">
        <f t="shared" si="125"/>
        <v>0</v>
      </c>
      <c r="AT185" s="171">
        <f t="shared" si="126"/>
        <v>0</v>
      </c>
      <c r="AU185" s="250"/>
      <c r="AV185" s="250"/>
      <c r="AW185" s="250"/>
      <c r="AX185" s="250"/>
      <c r="AY185" s="250"/>
      <c r="AZ185" s="250"/>
      <c r="BA185" s="250"/>
      <c r="BB185" s="251">
        <f t="shared" si="127"/>
        <v>0</v>
      </c>
      <c r="BC185" s="169"/>
      <c r="BD185" s="169"/>
      <c r="BE185" s="169"/>
      <c r="BF185" s="169"/>
    </row>
    <row r="186" spans="1:58" ht="78.75" outlineLevel="2" x14ac:dyDescent="0.25">
      <c r="A186" s="115"/>
      <c r="B186" s="200"/>
      <c r="C186" s="330"/>
      <c r="D186" s="343"/>
      <c r="E186" s="328"/>
      <c r="F186" s="328"/>
      <c r="G186" s="328"/>
      <c r="H186" s="199" t="s">
        <v>492</v>
      </c>
      <c r="I186" s="130" t="s">
        <v>5</v>
      </c>
      <c r="J186" s="126">
        <v>1</v>
      </c>
      <c r="K186" s="126">
        <v>5</v>
      </c>
      <c r="L186" s="125">
        <f>IF(I186&lt;&gt;0,((VLOOKUP(I186,'1. Standard_Cost'!$B$4:$D$11,2)+VLOOKUP(I186,'1. Standard_Cost'!$B$4:$D$11,3))*J186*K186),"0")</f>
        <v>353500</v>
      </c>
      <c r="M186" s="125">
        <f>L186*'1. Standard_Cost'!$F$4</f>
        <v>59034.5</v>
      </c>
      <c r="N186" s="126"/>
      <c r="O186" s="126"/>
      <c r="P186" s="126"/>
      <c r="Q186" s="126"/>
      <c r="R186" s="127">
        <f>'1. Standard_Cost'!$B$15*N186*P186</f>
        <v>0</v>
      </c>
      <c r="S186" s="127">
        <f>N186*O186*P186*'1. Standard_Cost'!$C$15</f>
        <v>0</v>
      </c>
      <c r="T186" s="127">
        <f>N186*P186*Q186*'1. Standard_Cost'!$D$15</f>
        <v>0</v>
      </c>
      <c r="U186" s="127">
        <f>N186*O186*'1. Standard_Cost'!$E$15</f>
        <v>0</v>
      </c>
      <c r="V186" s="126"/>
      <c r="W186" s="126"/>
      <c r="X186" s="126"/>
      <c r="Y186" s="127">
        <f>+V186*((X186*'1. Standard_Cost'!$B$19)+(W186*X186*'1. Standard_Cost'!$C$19))</f>
        <v>0</v>
      </c>
      <c r="Z186" s="126"/>
      <c r="AA186" s="126"/>
      <c r="AB186" s="127">
        <f>+Z186*'1. Standard_Cost'!$B$23+AA186*'1. Standard_Cost'!$C$23</f>
        <v>0</v>
      </c>
      <c r="AC186" s="128">
        <v>42000</v>
      </c>
      <c r="AD186" s="129"/>
      <c r="AE186" s="127">
        <f>SUM(AD186,AC186,AB186,Y186,U186,T186,S186,R186)*'1. Standard_Cost'!$B$31</f>
        <v>8400</v>
      </c>
      <c r="AF186" s="127">
        <f t="shared" si="122"/>
        <v>50400</v>
      </c>
      <c r="AG186" s="126"/>
      <c r="AH186" s="126"/>
      <c r="AI186" s="126"/>
      <c r="AJ186" s="130"/>
      <c r="AK186" s="130"/>
      <c r="AL186" s="130"/>
      <c r="AM186" s="127">
        <f>AG186*'1. Standard_Cost'!$B$27+'Incremental_Cost Year 4'!AH186*'1. Standard_Cost'!$C$27+'Incremental_Cost Year 4'!AI186*'1. Standard_Cost'!$D$27+'Incremental_Cost Year 4'!AJ186+'Incremental_Cost Year 4'!AL186+AK186</f>
        <v>0</v>
      </c>
      <c r="AN186" s="127">
        <f>AM186*'1. Standard_Cost'!$C$31</f>
        <v>0</v>
      </c>
      <c r="AO186" s="130"/>
      <c r="AP186" s="256"/>
      <c r="AQ186" s="171">
        <f t="shared" si="123"/>
        <v>412534.5</v>
      </c>
      <c r="AR186" s="171">
        <f t="shared" si="124"/>
        <v>50400</v>
      </c>
      <c r="AS186" s="171">
        <f t="shared" si="125"/>
        <v>0</v>
      </c>
      <c r="AT186" s="171">
        <f t="shared" si="126"/>
        <v>462934.5</v>
      </c>
      <c r="AU186" s="250">
        <v>462935</v>
      </c>
      <c r="AV186" s="250"/>
      <c r="AW186" s="250"/>
      <c r="AX186" s="250"/>
      <c r="AY186" s="250"/>
      <c r="AZ186" s="250"/>
      <c r="BA186" s="250"/>
      <c r="BB186" s="251">
        <f t="shared" si="127"/>
        <v>0.5</v>
      </c>
      <c r="BC186" s="169"/>
      <c r="BD186" s="169"/>
      <c r="BE186" s="169"/>
      <c r="BF186" s="169"/>
    </row>
    <row r="187" spans="1:58" ht="78.75" outlineLevel="2" x14ac:dyDescent="0.25">
      <c r="A187" s="115"/>
      <c r="B187" s="200"/>
      <c r="C187" s="330"/>
      <c r="D187" s="343"/>
      <c r="E187" s="328"/>
      <c r="F187" s="328"/>
      <c r="G187" s="328"/>
      <c r="H187" s="199" t="s">
        <v>493</v>
      </c>
      <c r="I187" s="130"/>
      <c r="J187" s="126"/>
      <c r="K187" s="126"/>
      <c r="L187" s="125" t="str">
        <f>IF(I187&lt;&gt;0,((VLOOKUP(I187,'1. Standard_Cost'!$B$4:$D$11,2)+VLOOKUP(I187,'1. Standard_Cost'!$B$4:$D$11,3))*J187*K187),"0")</f>
        <v>0</v>
      </c>
      <c r="M187" s="125">
        <f>L187*'1. Standard_Cost'!$F$4</f>
        <v>0</v>
      </c>
      <c r="N187" s="126"/>
      <c r="O187" s="126"/>
      <c r="P187" s="126"/>
      <c r="Q187" s="126"/>
      <c r="R187" s="127">
        <f>'1. Standard_Cost'!$B$15*N187*P187</f>
        <v>0</v>
      </c>
      <c r="S187" s="127">
        <f>N187*O187*P187*'1. Standard_Cost'!$C$15</f>
        <v>0</v>
      </c>
      <c r="T187" s="127">
        <f>N187*P187*Q187*'1. Standard_Cost'!$D$15</f>
        <v>0</v>
      </c>
      <c r="U187" s="127">
        <f>N187*O187*'1. Standard_Cost'!$E$15</f>
        <v>0</v>
      </c>
      <c r="V187" s="126"/>
      <c r="W187" s="126"/>
      <c r="X187" s="126"/>
      <c r="Y187" s="127">
        <f>+V187*((X187*'1. Standard_Cost'!$B$19)+(W187*X187*'1. Standard_Cost'!$C$19))</f>
        <v>0</v>
      </c>
      <c r="Z187" s="126"/>
      <c r="AA187" s="126"/>
      <c r="AB187" s="127">
        <f>+Z187*'1. Standard_Cost'!$B$23+AA187*'1. Standard_Cost'!$C$23</f>
        <v>0</v>
      </c>
      <c r="AC187" s="128"/>
      <c r="AD187" s="129"/>
      <c r="AE187" s="127">
        <f>SUM(AD187,AC187,AB187,Y187,U187,T187,S187,R187)*'1. Standard_Cost'!$B$31</f>
        <v>0</v>
      </c>
      <c r="AF187" s="127">
        <f t="shared" si="122"/>
        <v>0</v>
      </c>
      <c r="AG187" s="126"/>
      <c r="AH187" s="126"/>
      <c r="AI187" s="126"/>
      <c r="AJ187" s="130"/>
      <c r="AK187" s="130"/>
      <c r="AL187" s="130"/>
      <c r="AM187" s="127">
        <f>AG187*'1. Standard_Cost'!$B$27+'Incremental_Cost Year 4'!AH187*'1. Standard_Cost'!$C$27+'Incremental_Cost Year 4'!AI187*'1. Standard_Cost'!$D$27+'Incremental_Cost Year 4'!AJ187+'Incremental_Cost Year 4'!AL187+AK187</f>
        <v>0</v>
      </c>
      <c r="AN187" s="127">
        <f>AM187*'1. Standard_Cost'!$C$31</f>
        <v>0</v>
      </c>
      <c r="AO187" s="130"/>
      <c r="AP187" s="256"/>
      <c r="AQ187" s="171">
        <f t="shared" si="123"/>
        <v>0</v>
      </c>
      <c r="AR187" s="171">
        <f t="shared" si="124"/>
        <v>0</v>
      </c>
      <c r="AS187" s="171">
        <f t="shared" si="125"/>
        <v>0</v>
      </c>
      <c r="AT187" s="171">
        <f t="shared" si="126"/>
        <v>0</v>
      </c>
      <c r="AU187" s="250"/>
      <c r="AV187" s="250"/>
      <c r="AW187" s="250"/>
      <c r="AX187" s="250"/>
      <c r="AY187" s="250"/>
      <c r="AZ187" s="250"/>
      <c r="BA187" s="250"/>
      <c r="BB187" s="251">
        <f t="shared" si="127"/>
        <v>0</v>
      </c>
      <c r="BC187" s="169"/>
      <c r="BD187" s="169"/>
      <c r="BE187" s="169"/>
      <c r="BF187" s="169"/>
    </row>
    <row r="188" spans="1:58" ht="78.75" outlineLevel="2" x14ac:dyDescent="0.25">
      <c r="A188" s="115"/>
      <c r="B188" s="200"/>
      <c r="C188" s="330"/>
      <c r="D188" s="343"/>
      <c r="E188" s="328"/>
      <c r="F188" s="328"/>
      <c r="G188" s="328"/>
      <c r="H188" s="199" t="s">
        <v>494</v>
      </c>
      <c r="I188" s="130" t="s">
        <v>5</v>
      </c>
      <c r="J188" s="126">
        <v>2</v>
      </c>
      <c r="K188" s="126">
        <v>5</v>
      </c>
      <c r="L188" s="125">
        <f>IF(I188&lt;&gt;0,((VLOOKUP(I188,'1. Standard_Cost'!$B$4:$D$11,2)+VLOOKUP(I188,'1. Standard_Cost'!$B$4:$D$11,3))*J188*K188),"0")</f>
        <v>707000</v>
      </c>
      <c r="M188" s="125">
        <f>L188*'1. Standard_Cost'!$F$4</f>
        <v>118069</v>
      </c>
      <c r="N188" s="126"/>
      <c r="O188" s="126"/>
      <c r="P188" s="126"/>
      <c r="Q188" s="126"/>
      <c r="R188" s="127">
        <f>'1. Standard_Cost'!$B$15*N188*P188</f>
        <v>0</v>
      </c>
      <c r="S188" s="127">
        <f>N188*O188*P188*'1. Standard_Cost'!$C$15</f>
        <v>0</v>
      </c>
      <c r="T188" s="127">
        <f>N188*P188*Q188*'1. Standard_Cost'!$D$15</f>
        <v>0</v>
      </c>
      <c r="U188" s="127">
        <f>N188*O188*'1. Standard_Cost'!$E$15</f>
        <v>0</v>
      </c>
      <c r="V188" s="126"/>
      <c r="W188" s="126"/>
      <c r="X188" s="126"/>
      <c r="Y188" s="127">
        <f>+V188*((X188*'1. Standard_Cost'!$B$19)+(W188*X188*'1. Standard_Cost'!$C$19))</f>
        <v>0</v>
      </c>
      <c r="Z188" s="126"/>
      <c r="AA188" s="126"/>
      <c r="AB188" s="127">
        <f>+Z188*'1. Standard_Cost'!$B$23+AA188*'1. Standard_Cost'!$C$23</f>
        <v>0</v>
      </c>
      <c r="AC188" s="128">
        <v>90000</v>
      </c>
      <c r="AD188" s="129"/>
      <c r="AE188" s="127">
        <f>SUM(AD188,AC188,AB188,Y188,U188,T188,S188,R188)*'1. Standard_Cost'!$B$31</f>
        <v>18000</v>
      </c>
      <c r="AF188" s="127">
        <f t="shared" si="122"/>
        <v>108000</v>
      </c>
      <c r="AG188" s="126"/>
      <c r="AH188" s="126"/>
      <c r="AI188" s="126"/>
      <c r="AJ188" s="130"/>
      <c r="AK188" s="130"/>
      <c r="AL188" s="130"/>
      <c r="AM188" s="127">
        <f>AG188*'1. Standard_Cost'!$B$27+'Incremental_Cost Year 4'!AH188*'1. Standard_Cost'!$C$27+'Incremental_Cost Year 4'!AI188*'1. Standard_Cost'!$D$27+'Incremental_Cost Year 4'!AJ188+'Incremental_Cost Year 4'!AL188+AK188</f>
        <v>0</v>
      </c>
      <c r="AN188" s="127">
        <f>AM188*'1. Standard_Cost'!$C$31</f>
        <v>0</v>
      </c>
      <c r="AO188" s="130"/>
      <c r="AP188" s="256"/>
      <c r="AQ188" s="171">
        <f t="shared" si="123"/>
        <v>825069</v>
      </c>
      <c r="AR188" s="171">
        <f t="shared" si="124"/>
        <v>108000</v>
      </c>
      <c r="AS188" s="171">
        <f t="shared" si="125"/>
        <v>0</v>
      </c>
      <c r="AT188" s="171">
        <f t="shared" si="126"/>
        <v>933069</v>
      </c>
      <c r="AU188" s="250">
        <v>933069</v>
      </c>
      <c r="AV188" s="250"/>
      <c r="AW188" s="250"/>
      <c r="AX188" s="250"/>
      <c r="AY188" s="250"/>
      <c r="AZ188" s="250"/>
      <c r="BA188" s="250"/>
      <c r="BB188" s="251">
        <f t="shared" si="127"/>
        <v>0</v>
      </c>
      <c r="BC188" s="169"/>
      <c r="BD188" s="169"/>
      <c r="BE188" s="169"/>
      <c r="BF188" s="169"/>
    </row>
    <row r="189" spans="1:58" ht="47.25" outlineLevel="2" x14ac:dyDescent="0.25">
      <c r="A189" s="115"/>
      <c r="B189" s="200"/>
      <c r="C189" s="330"/>
      <c r="D189" s="343"/>
      <c r="E189" s="328"/>
      <c r="F189" s="328"/>
      <c r="G189" s="328"/>
      <c r="H189" s="199" t="s">
        <v>495</v>
      </c>
      <c r="I189" s="130"/>
      <c r="J189" s="126"/>
      <c r="K189" s="126"/>
      <c r="L189" s="125" t="str">
        <f>IF(I189&lt;&gt;0,((VLOOKUP(I189,'1. Standard_Cost'!$B$4:$D$11,2)+VLOOKUP(I189,'1. Standard_Cost'!$B$4:$D$11,3))*J189*K189),"0")</f>
        <v>0</v>
      </c>
      <c r="M189" s="125">
        <f>L189*'1. Standard_Cost'!$F$4</f>
        <v>0</v>
      </c>
      <c r="N189" s="126"/>
      <c r="O189" s="126"/>
      <c r="P189" s="126"/>
      <c r="Q189" s="126"/>
      <c r="R189" s="127">
        <f>'1. Standard_Cost'!$B$15*N189*P189</f>
        <v>0</v>
      </c>
      <c r="S189" s="127">
        <f>N189*O189*P189*'1. Standard_Cost'!$C$15</f>
        <v>0</v>
      </c>
      <c r="T189" s="127">
        <f>N189*P189*Q189*'1. Standard_Cost'!$D$15</f>
        <v>0</v>
      </c>
      <c r="U189" s="127">
        <f>N189*O189*'1. Standard_Cost'!$E$15</f>
        <v>0</v>
      </c>
      <c r="V189" s="126"/>
      <c r="W189" s="126"/>
      <c r="X189" s="126"/>
      <c r="Y189" s="127">
        <f>+V189*((X189*'1. Standard_Cost'!$B$19)+(W189*X189*'1. Standard_Cost'!$C$19))</f>
        <v>0</v>
      </c>
      <c r="Z189" s="126"/>
      <c r="AA189" s="126"/>
      <c r="AB189" s="127">
        <f>+Z189*'1. Standard_Cost'!$B$23+AA189*'1. Standard_Cost'!$C$23</f>
        <v>0</v>
      </c>
      <c r="AC189" s="128"/>
      <c r="AD189" s="129"/>
      <c r="AE189" s="127">
        <f>SUM(AD189,AC189,AB189,Y189,U189,T189,S189,R189)*'1. Standard_Cost'!$B$31</f>
        <v>0</v>
      </c>
      <c r="AF189" s="127">
        <f t="shared" si="122"/>
        <v>0</v>
      </c>
      <c r="AG189" s="126"/>
      <c r="AH189" s="126"/>
      <c r="AI189" s="126"/>
      <c r="AJ189" s="130"/>
      <c r="AK189" s="130"/>
      <c r="AL189" s="130"/>
      <c r="AM189" s="127">
        <f>AG189*'1. Standard_Cost'!$B$27+'Incremental_Cost Year 4'!AH189*'1. Standard_Cost'!$C$27+'Incremental_Cost Year 4'!AI189*'1. Standard_Cost'!$D$27+'Incremental_Cost Year 4'!AJ189+'Incremental_Cost Year 4'!AL189+AK189</f>
        <v>0</v>
      </c>
      <c r="AN189" s="127">
        <f>AM189*'1. Standard_Cost'!$C$31</f>
        <v>0</v>
      </c>
      <c r="AO189" s="130"/>
      <c r="AP189" s="256"/>
      <c r="AQ189" s="171">
        <f t="shared" si="123"/>
        <v>0</v>
      </c>
      <c r="AR189" s="171">
        <f t="shared" si="124"/>
        <v>0</v>
      </c>
      <c r="AS189" s="171">
        <f t="shared" si="125"/>
        <v>0</v>
      </c>
      <c r="AT189" s="171">
        <f t="shared" si="126"/>
        <v>0</v>
      </c>
      <c r="AU189" s="250"/>
      <c r="AV189" s="250"/>
      <c r="AW189" s="250"/>
      <c r="AX189" s="250"/>
      <c r="AY189" s="250"/>
      <c r="AZ189" s="250"/>
      <c r="BA189" s="250"/>
      <c r="BB189" s="251">
        <f t="shared" si="127"/>
        <v>0</v>
      </c>
      <c r="BC189" s="169"/>
      <c r="BD189" s="169"/>
      <c r="BE189" s="169"/>
      <c r="BF189" s="169"/>
    </row>
    <row r="190" spans="1:58" ht="15.75" outlineLevel="2" x14ac:dyDescent="0.25">
      <c r="A190" s="115"/>
      <c r="B190" s="200"/>
      <c r="C190" s="330"/>
      <c r="D190" s="343"/>
      <c r="E190" s="328"/>
      <c r="F190" s="328"/>
      <c r="G190" s="328"/>
      <c r="H190" s="110" t="s">
        <v>183</v>
      </c>
      <c r="I190" s="252"/>
      <c r="J190" s="252"/>
      <c r="K190" s="252"/>
      <c r="L190" s="127">
        <f>SUM(L183:L189)</f>
        <v>10518696343.701799</v>
      </c>
      <c r="M190" s="127">
        <f>SUM(M183:M189)</f>
        <v>1756622289.3982008</v>
      </c>
      <c r="N190" s="252"/>
      <c r="O190" s="252"/>
      <c r="P190" s="252"/>
      <c r="Q190" s="252"/>
      <c r="R190" s="127">
        <f>SUM(R183:R189)</f>
        <v>0</v>
      </c>
      <c r="S190" s="127">
        <f>SUM(S183:S189)</f>
        <v>0</v>
      </c>
      <c r="T190" s="127">
        <f>SUM(T183:T189)</f>
        <v>0</v>
      </c>
      <c r="U190" s="127">
        <f>SUM(U183:U189)</f>
        <v>0</v>
      </c>
      <c r="V190" s="252"/>
      <c r="W190" s="252"/>
      <c r="X190" s="252"/>
      <c r="Y190" s="127">
        <f>SUM(Y183:Y189)</f>
        <v>0</v>
      </c>
      <c r="Z190" s="127"/>
      <c r="AA190" s="252"/>
      <c r="AB190" s="127">
        <f>SUM(AB183:AB189)</f>
        <v>0</v>
      </c>
      <c r="AC190" s="127">
        <f>SUM(AC183:AC188)</f>
        <v>9000132000</v>
      </c>
      <c r="AD190" s="127">
        <f>SUM(AD183:AD188)</f>
        <v>0</v>
      </c>
      <c r="AE190" s="127">
        <f>SUM(AE183:AE189)</f>
        <v>1800026400</v>
      </c>
      <c r="AF190" s="127">
        <f>SUM(AF183:AF189)</f>
        <v>10800158400</v>
      </c>
      <c r="AG190" s="252"/>
      <c r="AH190" s="252"/>
      <c r="AI190" s="252"/>
      <c r="AJ190" s="127">
        <f>SUM(AJ183:AJ188)</f>
        <v>0</v>
      </c>
      <c r="AK190" s="127">
        <f>SUM(AK183:AK188)</f>
        <v>0</v>
      </c>
      <c r="AL190" s="127">
        <f>SUM(AL183:AL188)</f>
        <v>0</v>
      </c>
      <c r="AM190" s="127">
        <f>SUM(AM183:AM189)</f>
        <v>0</v>
      </c>
      <c r="AN190" s="127">
        <f>SUM(AN183:AN189)</f>
        <v>0</v>
      </c>
      <c r="AO190" s="253"/>
      <c r="AP190" s="254"/>
      <c r="AQ190" s="175">
        <f>SUM(AQ183:AQ189)</f>
        <v>12275318633.1</v>
      </c>
      <c r="AR190" s="175">
        <f>SUM(AR183:AR189)</f>
        <v>10800158400</v>
      </c>
      <c r="AS190" s="175">
        <f>SUM(AS183:AS189)</f>
        <v>0</v>
      </c>
      <c r="AT190" s="175">
        <f>SUM(AT183:AT189)</f>
        <v>23075477033.099998</v>
      </c>
      <c r="AU190" s="175">
        <f t="shared" ref="AU190:BA190" si="128">SUM(AU183:AU188)</f>
        <v>21575477034</v>
      </c>
      <c r="AV190" s="175">
        <f t="shared" si="128"/>
        <v>0</v>
      </c>
      <c r="AW190" s="175">
        <f t="shared" si="128"/>
        <v>0</v>
      </c>
      <c r="AX190" s="175">
        <f t="shared" si="128"/>
        <v>0</v>
      </c>
      <c r="AY190" s="175">
        <f t="shared" si="128"/>
        <v>0</v>
      </c>
      <c r="AZ190" s="175">
        <f t="shared" si="128"/>
        <v>0</v>
      </c>
      <c r="BA190" s="175">
        <f t="shared" si="128"/>
        <v>0</v>
      </c>
      <c r="BB190" s="175">
        <f>SUM(BB183:BB189)</f>
        <v>-1499999999.0999985</v>
      </c>
      <c r="BC190" s="169"/>
      <c r="BD190" s="169"/>
      <c r="BE190" s="169"/>
      <c r="BF190" s="169"/>
    </row>
    <row r="191" spans="1:58" ht="47.25" outlineLevel="2" x14ac:dyDescent="0.25">
      <c r="A191" s="115"/>
      <c r="B191" s="200"/>
      <c r="C191" s="330"/>
      <c r="D191" s="343"/>
      <c r="E191" s="328"/>
      <c r="F191" s="328"/>
      <c r="G191" s="328"/>
      <c r="H191" s="213" t="s">
        <v>496</v>
      </c>
      <c r="I191" s="130" t="s">
        <v>314</v>
      </c>
      <c r="J191" s="126">
        <v>12</v>
      </c>
      <c r="K191" s="126">
        <v>20</v>
      </c>
      <c r="L191" s="125">
        <f>IF(I191&lt;&gt;0,((VLOOKUP(I191,'1. Standard_Cost'!$B$4:$D$11,2)+VLOOKUP(I191,'1. Standard_Cost'!$B$4:$D$11,3))*J191*K191),"0")</f>
        <v>16968000</v>
      </c>
      <c r="M191" s="125">
        <f>L191*'1. Standard_Cost'!$F$4</f>
        <v>2833656</v>
      </c>
      <c r="N191" s="126"/>
      <c r="O191" s="126"/>
      <c r="P191" s="126"/>
      <c r="Q191" s="126"/>
      <c r="R191" s="127">
        <f>'1. Standard_Cost'!$B$15*N191*P191</f>
        <v>0</v>
      </c>
      <c r="S191" s="127">
        <f>N191*O191*P191*'1. Standard_Cost'!$C$15</f>
        <v>0</v>
      </c>
      <c r="T191" s="127">
        <f>N191*P191*Q191*'1. Standard_Cost'!$D$15</f>
        <v>0</v>
      </c>
      <c r="U191" s="127">
        <f>N191*O191*'1. Standard_Cost'!$E$15</f>
        <v>0</v>
      </c>
      <c r="V191" s="126"/>
      <c r="W191" s="126"/>
      <c r="X191" s="126"/>
      <c r="Y191" s="127">
        <f>+V191*((X191*'1. Standard_Cost'!$B$19)+(W191*X191*'1. Standard_Cost'!$C$19))</f>
        <v>0</v>
      </c>
      <c r="Z191" s="126"/>
      <c r="AA191" s="126"/>
      <c r="AB191" s="127">
        <f>+Z191*'1. Standard_Cost'!$B$23+AA191*'1. Standard_Cost'!$C$23</f>
        <v>0</v>
      </c>
      <c r="AC191" s="128">
        <v>6615000</v>
      </c>
      <c r="AD191" s="129"/>
      <c r="AE191" s="127"/>
      <c r="AF191" s="127">
        <f>SUM(AE191,AD191,AC191,AB191,Y191,U191,T191,S191,R191)</f>
        <v>6615000</v>
      </c>
      <c r="AG191" s="126"/>
      <c r="AH191" s="126"/>
      <c r="AI191" s="126"/>
      <c r="AJ191" s="130"/>
      <c r="AK191" s="130"/>
      <c r="AL191" s="130"/>
      <c r="AM191" s="127">
        <f>AG191*'1. Standard_Cost'!$B$27+'Incremental_Cost Year 4'!AH191*'1. Standard_Cost'!$C$27+'Incremental_Cost Year 4'!AI191*'1. Standard_Cost'!$D$27+'Incremental_Cost Year 4'!AJ191+'Incremental_Cost Year 4'!AL191+AK191</f>
        <v>0</v>
      </c>
      <c r="AN191" s="127">
        <f>AM191*'1. Standard_Cost'!$C$31</f>
        <v>0</v>
      </c>
      <c r="AO191" s="130"/>
      <c r="AP191" s="256"/>
      <c r="AQ191" s="171">
        <f>L191+M191</f>
        <v>19801656</v>
      </c>
      <c r="AR191" s="171">
        <f>AF191</f>
        <v>6615000</v>
      </c>
      <c r="AS191" s="171">
        <f>AM191+AN191</f>
        <v>0</v>
      </c>
      <c r="AT191" s="171">
        <f>SUM(AQ191,AR191,AS191)</f>
        <v>26416656</v>
      </c>
      <c r="AU191" s="250">
        <v>26416656</v>
      </c>
      <c r="AV191" s="250"/>
      <c r="AW191" s="250"/>
      <c r="AX191" s="250"/>
      <c r="AY191" s="250"/>
      <c r="AZ191" s="250"/>
      <c r="BA191" s="250"/>
      <c r="BB191" s="251">
        <f t="shared" ref="BB191:BB192" si="129">SUM(AU191:BA191)-AT191</f>
        <v>0</v>
      </c>
      <c r="BC191" s="169"/>
      <c r="BD191" s="169"/>
      <c r="BE191" s="169"/>
      <c r="BF191" s="169"/>
    </row>
    <row r="192" spans="1:58" ht="47.25" outlineLevel="2" x14ac:dyDescent="0.25">
      <c r="A192" s="115"/>
      <c r="B192" s="200"/>
      <c r="C192" s="330"/>
      <c r="D192" s="343"/>
      <c r="E192" s="328"/>
      <c r="F192" s="328"/>
      <c r="G192" s="328"/>
      <c r="H192" s="199" t="s">
        <v>238</v>
      </c>
      <c r="I192" s="130" t="s">
        <v>172</v>
      </c>
      <c r="J192" s="126">
        <v>12</v>
      </c>
      <c r="K192" s="126">
        <v>2</v>
      </c>
      <c r="L192" s="125">
        <f>IF(I192&lt;&gt;0,((VLOOKUP(I192,'1. Standard_Cost'!$B$4:$D$11,2)+VLOOKUP(I192,'1. Standard_Cost'!$B$4:$D$11,3))*J192*K192),"0")</f>
        <v>1212000</v>
      </c>
      <c r="M192" s="125">
        <f>L192*'1. Standard_Cost'!$F$4</f>
        <v>202404</v>
      </c>
      <c r="N192" s="126"/>
      <c r="O192" s="126"/>
      <c r="P192" s="126"/>
      <c r="Q192" s="126"/>
      <c r="R192" s="127">
        <f>'1. Standard_Cost'!$B$15*N192*P192</f>
        <v>0</v>
      </c>
      <c r="S192" s="127">
        <f>N192*O192*P192*'1. Standard_Cost'!$C$15</f>
        <v>0</v>
      </c>
      <c r="T192" s="127">
        <f>N192*P192*Q192*'1. Standard_Cost'!$D$15</f>
        <v>0</v>
      </c>
      <c r="U192" s="127">
        <f>N192*O192*'1. Standard_Cost'!$E$15</f>
        <v>0</v>
      </c>
      <c r="V192" s="126"/>
      <c r="W192" s="126"/>
      <c r="X192" s="126"/>
      <c r="Y192" s="127">
        <f>+V192*((X192*'1. Standard_Cost'!$B$19)+(W192*X192*'1. Standard_Cost'!$C$19))</f>
        <v>0</v>
      </c>
      <c r="Z192" s="126"/>
      <c r="AA192" s="126"/>
      <c r="AB192" s="127">
        <f>+Z192*'1. Standard_Cost'!$B$23+AA192*'1. Standard_Cost'!$C$23</f>
        <v>0</v>
      </c>
      <c r="AC192" s="128">
        <v>50000</v>
      </c>
      <c r="AD192" s="129"/>
      <c r="AE192" s="127">
        <f>SUM(AD192,AC192,AB192,Y192,U192,T192,S192,R192)*'1. Standard_Cost'!$B$31</f>
        <v>10000</v>
      </c>
      <c r="AF192" s="127">
        <f>SUM(AE192,AD192,AC192,AB192,Y192,U192,T192,S192,R192)</f>
        <v>60000</v>
      </c>
      <c r="AG192" s="126"/>
      <c r="AH192" s="126"/>
      <c r="AI192" s="126"/>
      <c r="AJ192" s="130"/>
      <c r="AK192" s="130"/>
      <c r="AL192" s="130"/>
      <c r="AM192" s="127">
        <f>AG192*'1. Standard_Cost'!$B$27+'Incremental_Cost Year 4'!AH192*'1. Standard_Cost'!$C$27+'Incremental_Cost Year 4'!AI192*'1. Standard_Cost'!$D$27+'Incremental_Cost Year 4'!AJ192+'Incremental_Cost Year 4'!AL192+AK192</f>
        <v>0</v>
      </c>
      <c r="AN192" s="127">
        <f>AM192*'1. Standard_Cost'!$C$31</f>
        <v>0</v>
      </c>
      <c r="AO192" s="130"/>
      <c r="AP192" s="256"/>
      <c r="AQ192" s="171">
        <f>L192+M192</f>
        <v>1414404</v>
      </c>
      <c r="AR192" s="171">
        <f>AF192</f>
        <v>60000</v>
      </c>
      <c r="AS192" s="171">
        <f>AM192+AN192</f>
        <v>0</v>
      </c>
      <c r="AT192" s="171">
        <f>SUM(AQ192,AR192,AS192)</f>
        <v>1474404</v>
      </c>
      <c r="AU192" s="250">
        <v>1474404</v>
      </c>
      <c r="AV192" s="250"/>
      <c r="AW192" s="250"/>
      <c r="AX192" s="250"/>
      <c r="AY192" s="250"/>
      <c r="AZ192" s="250"/>
      <c r="BA192" s="250"/>
      <c r="BB192" s="251">
        <f t="shared" si="129"/>
        <v>0</v>
      </c>
      <c r="BC192" s="169"/>
      <c r="BD192" s="169"/>
      <c r="BE192" s="169"/>
      <c r="BF192" s="169"/>
    </row>
    <row r="193" spans="1:58" ht="15.75" outlineLevel="1" x14ac:dyDescent="0.25">
      <c r="A193" s="115"/>
      <c r="B193" s="200"/>
      <c r="C193" s="330"/>
      <c r="D193" s="343"/>
      <c r="E193" s="328"/>
      <c r="F193" s="328"/>
      <c r="G193" s="328"/>
      <c r="H193" s="150" t="s">
        <v>239</v>
      </c>
      <c r="I193" s="252"/>
      <c r="J193" s="252"/>
      <c r="K193" s="252"/>
      <c r="L193" s="127">
        <f>SUM(L191:L192)</f>
        <v>18180000</v>
      </c>
      <c r="M193" s="127">
        <f>SUM(M191:M192)</f>
        <v>3036060</v>
      </c>
      <c r="N193" s="252"/>
      <c r="O193" s="252"/>
      <c r="P193" s="252"/>
      <c r="Q193" s="252"/>
      <c r="R193" s="127">
        <f>SUM(R191:R192)</f>
        <v>0</v>
      </c>
      <c r="S193" s="127">
        <f>SUM(S191:S192)</f>
        <v>0</v>
      </c>
      <c r="T193" s="127">
        <f>SUM(T191:T192)</f>
        <v>0</v>
      </c>
      <c r="U193" s="127">
        <f>SUM(U191:U192)</f>
        <v>0</v>
      </c>
      <c r="V193" s="252"/>
      <c r="W193" s="252"/>
      <c r="X193" s="252"/>
      <c r="Y193" s="127">
        <f>SUM(Y191:Y192)</f>
        <v>0</v>
      </c>
      <c r="Z193" s="127"/>
      <c r="AA193" s="252"/>
      <c r="AB193" s="127">
        <f>SUM(AB191:AB192)</f>
        <v>0</v>
      </c>
      <c r="AC193" s="127">
        <f>SUM(AC191:AC192)</f>
        <v>6665000</v>
      </c>
      <c r="AD193" s="127">
        <f>SUM(AD191:AD192)</f>
        <v>0</v>
      </c>
      <c r="AE193" s="127">
        <f>SUM(AE191:AE192)</f>
        <v>10000</v>
      </c>
      <c r="AF193" s="127">
        <f>SUM(AF191:AF192)</f>
        <v>6675000</v>
      </c>
      <c r="AG193" s="252"/>
      <c r="AH193" s="252"/>
      <c r="AI193" s="252"/>
      <c r="AJ193" s="127">
        <f>SUM(AJ191:AJ192)</f>
        <v>0</v>
      </c>
      <c r="AK193" s="127">
        <f>SUM(AK191:AK192)</f>
        <v>0</v>
      </c>
      <c r="AL193" s="127">
        <f>SUM(AL191:AL192)</f>
        <v>0</v>
      </c>
      <c r="AM193" s="127">
        <f>SUM(AM191:AM192)</f>
        <v>0</v>
      </c>
      <c r="AN193" s="127">
        <f>SUM(AN191:AN192)</f>
        <v>0</v>
      </c>
      <c r="AO193" s="253"/>
      <c r="AP193" s="254"/>
      <c r="AQ193" s="175">
        <f>SUM(AQ191:AQ192)</f>
        <v>21216060</v>
      </c>
      <c r="AR193" s="175">
        <f>SUM(AR191:AR192)</f>
        <v>6675000</v>
      </c>
      <c r="AS193" s="175">
        <f>SUM(AS191:AS192)</f>
        <v>0</v>
      </c>
      <c r="AT193" s="175">
        <f>SUM(AT191:AT192)</f>
        <v>27891060</v>
      </c>
      <c r="AU193" s="175">
        <f t="shared" ref="AU193:BA193" si="130">SUM(AU191:AU192)</f>
        <v>27891060</v>
      </c>
      <c r="AV193" s="175">
        <f t="shared" si="130"/>
        <v>0</v>
      </c>
      <c r="AW193" s="175">
        <f t="shared" si="130"/>
        <v>0</v>
      </c>
      <c r="AX193" s="175">
        <f t="shared" si="130"/>
        <v>0</v>
      </c>
      <c r="AY193" s="175">
        <f t="shared" si="130"/>
        <v>0</v>
      </c>
      <c r="AZ193" s="175">
        <f t="shared" si="130"/>
        <v>0</v>
      </c>
      <c r="BA193" s="175">
        <f t="shared" si="130"/>
        <v>0</v>
      </c>
      <c r="BB193" s="175">
        <f>SUM(BB191:BB192)</f>
        <v>0</v>
      </c>
      <c r="BC193" s="169"/>
      <c r="BD193" s="169"/>
      <c r="BE193" s="169"/>
      <c r="BF193" s="169"/>
    </row>
    <row r="194" spans="1:58" ht="47.25" outlineLevel="2" x14ac:dyDescent="0.25">
      <c r="A194" s="115"/>
      <c r="B194" s="200"/>
      <c r="C194" s="330"/>
      <c r="D194" s="343"/>
      <c r="E194" s="328"/>
      <c r="F194" s="328"/>
      <c r="G194" s="328"/>
      <c r="H194" s="199" t="s">
        <v>497</v>
      </c>
      <c r="I194" s="130" t="s">
        <v>5</v>
      </c>
      <c r="J194" s="126">
        <v>3</v>
      </c>
      <c r="K194" s="126">
        <v>3</v>
      </c>
      <c r="L194" s="125">
        <f>IF(I194&lt;&gt;0,((VLOOKUP(I194,'1. Standard_Cost'!$B$4:$D$11,2)+VLOOKUP(I194,'1. Standard_Cost'!$B$4:$D$11,3))*J194*K194),"0")</f>
        <v>636300</v>
      </c>
      <c r="M194" s="125">
        <f>L194*'1. Standard_Cost'!$F$4</f>
        <v>106262.1</v>
      </c>
      <c r="N194" s="126"/>
      <c r="O194" s="126"/>
      <c r="P194" s="126"/>
      <c r="Q194" s="126"/>
      <c r="R194" s="127">
        <f>'1. Standard_Cost'!$B$15*N194*P194</f>
        <v>0</v>
      </c>
      <c r="S194" s="127">
        <f>N194*O194*P194*'1. Standard_Cost'!$C$15</f>
        <v>0</v>
      </c>
      <c r="T194" s="127">
        <f>N194*P194*Q194*'1. Standard_Cost'!$D$15</f>
        <v>0</v>
      </c>
      <c r="U194" s="127">
        <f>N194*O194*'1. Standard_Cost'!$E$15</f>
        <v>0</v>
      </c>
      <c r="V194" s="126"/>
      <c r="W194" s="126"/>
      <c r="X194" s="126"/>
      <c r="Y194" s="127">
        <f>+V194*((X194*'1. Standard_Cost'!$B$19)+(W194*X194*'1. Standard_Cost'!$C$19))</f>
        <v>0</v>
      </c>
      <c r="Z194" s="126"/>
      <c r="AA194" s="126"/>
      <c r="AB194" s="127">
        <f>+Z194*'1. Standard_Cost'!$B$23+AA194*'1. Standard_Cost'!$C$23</f>
        <v>0</v>
      </c>
      <c r="AC194" s="128">
        <v>75000</v>
      </c>
      <c r="AD194" s="129"/>
      <c r="AE194" s="127">
        <f>SUM(AD194,AC194,AB194,Y194,U194,T194,S194,R194)*'1. Standard_Cost'!$B$31</f>
        <v>15000</v>
      </c>
      <c r="AF194" s="127">
        <f>SUM(AE194,AD194,AC194,AB194,Y194,U194,T194,S194,R194)</f>
        <v>90000</v>
      </c>
      <c r="AG194" s="126"/>
      <c r="AH194" s="126"/>
      <c r="AI194" s="126"/>
      <c r="AJ194" s="130"/>
      <c r="AK194" s="130"/>
      <c r="AL194" s="130"/>
      <c r="AM194" s="127">
        <f>AG194*'1. Standard_Cost'!$B$27+'Incremental_Cost Year 4'!AH194*'1. Standard_Cost'!$C$27+'Incremental_Cost Year 4'!AI194*'1. Standard_Cost'!$D$27+'Incremental_Cost Year 4'!AJ194+'Incremental_Cost Year 4'!AL194+AK194</f>
        <v>0</v>
      </c>
      <c r="AN194" s="127">
        <f>AM194*'1. Standard_Cost'!$C$31</f>
        <v>0</v>
      </c>
      <c r="AO194" s="130"/>
      <c r="AP194" s="256"/>
      <c r="AQ194" s="171">
        <f>L194+M194</f>
        <v>742562.1</v>
      </c>
      <c r="AR194" s="171">
        <f>AF194</f>
        <v>90000</v>
      </c>
      <c r="AS194" s="171">
        <f>AM194+AN194</f>
        <v>0</v>
      </c>
      <c r="AT194" s="171">
        <f>SUM(AQ194,AR194,AS194)</f>
        <v>832562.1</v>
      </c>
      <c r="AU194" s="250">
        <v>832562</v>
      </c>
      <c r="AV194" s="250"/>
      <c r="AW194" s="250"/>
      <c r="AX194" s="250"/>
      <c r="AY194" s="250"/>
      <c r="AZ194" s="250"/>
      <c r="BA194" s="250"/>
      <c r="BB194" s="251">
        <f t="shared" ref="BB194:BB195" si="131">SUM(AU194:BA194)-AT194</f>
        <v>-9.9999999976716936E-2</v>
      </c>
      <c r="BC194" s="169"/>
      <c r="BD194" s="169"/>
      <c r="BE194" s="169"/>
      <c r="BF194" s="169"/>
    </row>
    <row r="195" spans="1:58" ht="47.25" outlineLevel="2" x14ac:dyDescent="0.25">
      <c r="A195" s="115"/>
      <c r="B195" s="147"/>
      <c r="C195" s="341"/>
      <c r="D195" s="344"/>
      <c r="E195" s="328"/>
      <c r="F195" s="328"/>
      <c r="G195" s="328"/>
      <c r="H195" s="199" t="s">
        <v>498</v>
      </c>
      <c r="I195" s="130" t="s">
        <v>5</v>
      </c>
      <c r="J195" s="126">
        <v>0.2</v>
      </c>
      <c r="K195" s="126">
        <v>2</v>
      </c>
      <c r="L195" s="125">
        <f>IF(I195&lt;&gt;0,((VLOOKUP(I195,'1. Standard_Cost'!$B$4:$D$11,2)+VLOOKUP(I195,'1. Standard_Cost'!$B$4:$D$11,3))*J195*K195),"0")</f>
        <v>28280</v>
      </c>
      <c r="M195" s="125">
        <f>L195*'1. Standard_Cost'!$F$4</f>
        <v>4722.76</v>
      </c>
      <c r="N195" s="126">
        <v>1</v>
      </c>
      <c r="O195" s="126">
        <v>1</v>
      </c>
      <c r="P195" s="126">
        <v>20</v>
      </c>
      <c r="Q195" s="126"/>
      <c r="R195" s="127">
        <f>'1. Standard_Cost'!$B$15*N195*P195</f>
        <v>40000</v>
      </c>
      <c r="S195" s="127">
        <f>N195*O195*P195*'1. Standard_Cost'!$C$15</f>
        <v>30000</v>
      </c>
      <c r="T195" s="127">
        <f>N195*P195*Q195*'1. Standard_Cost'!$D$15</f>
        <v>0</v>
      </c>
      <c r="U195" s="127">
        <f>N195*O195*'1. Standard_Cost'!$E$15</f>
        <v>40000</v>
      </c>
      <c r="V195" s="126"/>
      <c r="W195" s="126"/>
      <c r="X195" s="126"/>
      <c r="Y195" s="127">
        <f>+V195*((X195*'1. Standard_Cost'!$B$19)+(W195*X195*'1. Standard_Cost'!$C$19))</f>
        <v>0</v>
      </c>
      <c r="Z195" s="126"/>
      <c r="AA195" s="126"/>
      <c r="AB195" s="127">
        <f>+Z195*'1. Standard_Cost'!$B$23+AA195*'1. Standard_Cost'!$C$23</f>
        <v>0</v>
      </c>
      <c r="AC195" s="128">
        <v>15000</v>
      </c>
      <c r="AD195" s="129"/>
      <c r="AE195" s="127">
        <f>SUM(AD195,AC195,AB195,Y195,U195,T195,S195,R195)*'1. Standard_Cost'!$B$31</f>
        <v>25000</v>
      </c>
      <c r="AF195" s="127">
        <f>SUM(AE195,AD195,AC195,AB195,Y195,U195,T195,S195,R195)</f>
        <v>150000</v>
      </c>
      <c r="AG195" s="126"/>
      <c r="AH195" s="126"/>
      <c r="AI195" s="126"/>
      <c r="AJ195" s="130"/>
      <c r="AK195" s="130"/>
      <c r="AL195" s="130"/>
      <c r="AM195" s="127">
        <f>AG195*'1. Standard_Cost'!$B$27+'Incremental_Cost Year 4'!AH195*'1. Standard_Cost'!$C$27+'Incremental_Cost Year 4'!AI195*'1. Standard_Cost'!$D$27+'Incremental_Cost Year 4'!AJ195+'Incremental_Cost Year 4'!AL195+AK195</f>
        <v>0</v>
      </c>
      <c r="AN195" s="127">
        <f>AM195*'1. Standard_Cost'!$C$31</f>
        <v>0</v>
      </c>
      <c r="AO195" s="130"/>
      <c r="AP195" s="256"/>
      <c r="AQ195" s="171">
        <f>L195+M195</f>
        <v>33002.76</v>
      </c>
      <c r="AR195" s="171">
        <f>AF195</f>
        <v>150000</v>
      </c>
      <c r="AS195" s="171">
        <f>AM195+AN195</f>
        <v>0</v>
      </c>
      <c r="AT195" s="171">
        <f>SUM(AQ195,AR195,AS195)</f>
        <v>183002.76</v>
      </c>
      <c r="AU195" s="250">
        <v>135003</v>
      </c>
      <c r="AV195" s="250"/>
      <c r="AW195" s="250"/>
      <c r="AX195" s="250"/>
      <c r="AY195" s="250"/>
      <c r="AZ195" s="250"/>
      <c r="BA195" s="250"/>
      <c r="BB195" s="251">
        <f t="shared" si="131"/>
        <v>-47999.760000000009</v>
      </c>
      <c r="BC195" s="169"/>
      <c r="BD195" s="169"/>
      <c r="BE195" s="169"/>
      <c r="BF195" s="169"/>
    </row>
    <row r="196" spans="1:58" ht="63" outlineLevel="1" x14ac:dyDescent="0.25">
      <c r="A196" s="115"/>
      <c r="B196" s="200"/>
      <c r="C196" s="201"/>
      <c r="D196" s="107" t="s">
        <v>240</v>
      </c>
      <c r="E196" s="212" t="s">
        <v>499</v>
      </c>
      <c r="F196" s="104">
        <v>2021</v>
      </c>
      <c r="G196" s="104">
        <v>2030</v>
      </c>
      <c r="H196" s="150" t="s">
        <v>241</v>
      </c>
      <c r="I196" s="252"/>
      <c r="J196" s="252"/>
      <c r="K196" s="252"/>
      <c r="L196" s="127">
        <f>SUM(L194:L195)</f>
        <v>664580</v>
      </c>
      <c r="M196" s="127">
        <f>SUM(M194:M195)</f>
        <v>110984.86</v>
      </c>
      <c r="N196" s="252"/>
      <c r="O196" s="252"/>
      <c r="P196" s="252"/>
      <c r="Q196" s="252"/>
      <c r="R196" s="127">
        <f>SUM(R194:R195)</f>
        <v>40000</v>
      </c>
      <c r="S196" s="127">
        <f>SUM(S194:S195)</f>
        <v>30000</v>
      </c>
      <c r="T196" s="127">
        <f>SUM(T194:T195)</f>
        <v>0</v>
      </c>
      <c r="U196" s="127">
        <f>SUM(U194:U195)</f>
        <v>40000</v>
      </c>
      <c r="V196" s="252"/>
      <c r="W196" s="252"/>
      <c r="X196" s="252"/>
      <c r="Y196" s="127">
        <f>SUM(Y194:Y195)</f>
        <v>0</v>
      </c>
      <c r="Z196" s="127"/>
      <c r="AA196" s="252"/>
      <c r="AB196" s="127">
        <f>SUM(AB194:AB195)</f>
        <v>0</v>
      </c>
      <c r="AC196" s="127">
        <f>SUM(AC194:AC195)</f>
        <v>90000</v>
      </c>
      <c r="AD196" s="127">
        <f>SUM(AD194:AD195)</f>
        <v>0</v>
      </c>
      <c r="AE196" s="127">
        <f>SUM(AE194:AE195)</f>
        <v>40000</v>
      </c>
      <c r="AF196" s="127">
        <f>SUM(AF194:AF195)</f>
        <v>240000</v>
      </c>
      <c r="AG196" s="252"/>
      <c r="AH196" s="252"/>
      <c r="AI196" s="252"/>
      <c r="AJ196" s="127">
        <f>SUM(AJ194:AJ195)</f>
        <v>0</v>
      </c>
      <c r="AK196" s="127">
        <f>SUM(AK194:AK195)</f>
        <v>0</v>
      </c>
      <c r="AL196" s="127">
        <f>SUM(AL194:AL195)</f>
        <v>0</v>
      </c>
      <c r="AM196" s="127">
        <f>SUM(AM194:AM195)</f>
        <v>0</v>
      </c>
      <c r="AN196" s="127">
        <f>SUM(AN194:AN195)</f>
        <v>0</v>
      </c>
      <c r="AO196" s="253"/>
      <c r="AP196" s="254"/>
      <c r="AQ196" s="175">
        <f>SUM(AQ194:AQ195)</f>
        <v>775564.86</v>
      </c>
      <c r="AR196" s="175">
        <f>SUM(AR194:AR195)</f>
        <v>240000</v>
      </c>
      <c r="AS196" s="175">
        <f>SUM(AS194:AS195)</f>
        <v>0</v>
      </c>
      <c r="AT196" s="175">
        <f>SUM(AT194:AT195)</f>
        <v>1015564.86</v>
      </c>
      <c r="AU196" s="175">
        <f t="shared" ref="AU196:BA196" si="132">SUM(AU194:AU195)</f>
        <v>967565</v>
      </c>
      <c r="AV196" s="175">
        <f t="shared" si="132"/>
        <v>0</v>
      </c>
      <c r="AW196" s="175">
        <f t="shared" si="132"/>
        <v>0</v>
      </c>
      <c r="AX196" s="175">
        <f t="shared" si="132"/>
        <v>0</v>
      </c>
      <c r="AY196" s="175">
        <f t="shared" si="132"/>
        <v>0</v>
      </c>
      <c r="AZ196" s="175">
        <f t="shared" si="132"/>
        <v>0</v>
      </c>
      <c r="BA196" s="175">
        <f t="shared" si="132"/>
        <v>0</v>
      </c>
      <c r="BB196" s="175">
        <f>SUM(BB194:BB195)</f>
        <v>-47999.859999999986</v>
      </c>
      <c r="BC196" s="169"/>
      <c r="BD196" s="169"/>
      <c r="BE196" s="169"/>
      <c r="BF196" s="169"/>
    </row>
    <row r="197" spans="1:58" s="170" customFormat="1" ht="15.75" customHeight="1" x14ac:dyDescent="0.25">
      <c r="A197" s="120"/>
      <c r="B197" s="396" t="s">
        <v>243</v>
      </c>
      <c r="C197" s="389"/>
      <c r="D197" s="389"/>
      <c r="E197" s="390"/>
      <c r="F197" s="286"/>
      <c r="G197" s="286"/>
      <c r="H197" s="279" t="s">
        <v>184</v>
      </c>
      <c r="I197" s="243"/>
      <c r="J197" s="243"/>
      <c r="K197" s="243"/>
      <c r="L197" s="243">
        <f>SUM(L198,L213,L221,L226,L232,L238)</f>
        <v>1069756411.4285715</v>
      </c>
      <c r="M197" s="243">
        <f>SUM(M198,M213,M221,M226,M232,M238)</f>
        <v>178649320.70857143</v>
      </c>
      <c r="N197" s="243"/>
      <c r="O197" s="243"/>
      <c r="P197" s="243"/>
      <c r="Q197" s="243"/>
      <c r="R197" s="243">
        <f>SUM(R198,R213,R221,R226,R232,R238)</f>
        <v>1000000</v>
      </c>
      <c r="S197" s="243">
        <f>SUM(S198,S213,S221,S226,S232,S238)</f>
        <v>750000</v>
      </c>
      <c r="T197" s="243">
        <f>SUM(T198,T213,T221,T226,T232,T238)</f>
        <v>0</v>
      </c>
      <c r="U197" s="243">
        <f>SUM(U198,U213,U221,U226,U232,U238)</f>
        <v>1000000</v>
      </c>
      <c r="V197" s="243"/>
      <c r="W197" s="243"/>
      <c r="X197" s="243"/>
      <c r="Y197" s="243">
        <f>SUM(Y198,Y213,Y221,Y226,Y232,Y238)</f>
        <v>0</v>
      </c>
      <c r="Z197" s="243">
        <f>SUM(Z198,Z213,Z221,Z226,Z232,Z238)</f>
        <v>0</v>
      </c>
      <c r="AA197" s="243"/>
      <c r="AB197" s="243">
        <f>SUM(AB198,AB213,AB221,AB226,AB232,AB238)</f>
        <v>2128000</v>
      </c>
      <c r="AC197" s="243">
        <f>SUM(AC198,AC213,AC221,AC226,AC232,AC238)</f>
        <v>1653337000</v>
      </c>
      <c r="AD197" s="243">
        <f>SUM(AD198,AD213,AD221,AD226,AD232,AD238)</f>
        <v>0</v>
      </c>
      <c r="AE197" s="243">
        <f>SUM(AE198,AE213,AE221,AE226,AE232,AE238)</f>
        <v>43210400</v>
      </c>
      <c r="AF197" s="243">
        <f>SUM(AF198,AF213,AF221,AF226,AF232,AF238)</f>
        <v>1701425400</v>
      </c>
      <c r="AG197" s="243"/>
      <c r="AH197" s="243"/>
      <c r="AI197" s="243"/>
      <c r="AJ197" s="243">
        <f>SUM(AJ198,AJ213,AJ221,AJ226,AJ232,AJ238)</f>
        <v>13680000</v>
      </c>
      <c r="AK197" s="243">
        <f>SUM(AK198,AK213,AK221,AK226,AK232,AK238)</f>
        <v>75000000</v>
      </c>
      <c r="AL197" s="243">
        <f>SUM(AL198,AL213,AL221,AL226,AL232,AL238)</f>
        <v>125000000</v>
      </c>
      <c r="AM197" s="243">
        <f>SUM(AM198,AM213,AM221,AM226,AM232,AM238)</f>
        <v>213680000</v>
      </c>
      <c r="AN197" s="243">
        <f>SUM(AN198,AN213,AN221,AN226,AN232,AN238)</f>
        <v>32052000</v>
      </c>
      <c r="AO197" s="243"/>
      <c r="AP197" s="244"/>
      <c r="AQ197" s="245">
        <f>SUM(AQ198,AQ213,AQ221,AQ226,AQ232,AQ238)</f>
        <v>1248405732.1371429</v>
      </c>
      <c r="AR197" s="245">
        <f>SUM(AR198,AR213,AR221,AR226,AR232,AR238)</f>
        <v>1701425400</v>
      </c>
      <c r="AS197" s="245">
        <f>SUM(AS198,AS213,AS221,AS226,AS232,AS238)</f>
        <v>245732000</v>
      </c>
      <c r="AT197" s="245">
        <f>SUM(AT198,AT213,AT221,AT226,AT232,AT238)</f>
        <v>3195563132.1371431</v>
      </c>
      <c r="AU197" s="245">
        <f t="shared" ref="AU197:BB197" si="133">SUM(AU198,AU213,AU221,AU226,AU232,AU238)</f>
        <v>3166754732.1371431</v>
      </c>
      <c r="AV197" s="245">
        <f t="shared" si="133"/>
        <v>0</v>
      </c>
      <c r="AW197" s="245">
        <f t="shared" si="133"/>
        <v>0</v>
      </c>
      <c r="AX197" s="245">
        <f t="shared" si="133"/>
        <v>0</v>
      </c>
      <c r="AY197" s="245">
        <f t="shared" si="133"/>
        <v>0</v>
      </c>
      <c r="AZ197" s="245">
        <f t="shared" si="133"/>
        <v>0</v>
      </c>
      <c r="BA197" s="245">
        <f t="shared" si="133"/>
        <v>0</v>
      </c>
      <c r="BB197" s="245">
        <f t="shared" si="133"/>
        <v>-28808400</v>
      </c>
    </row>
    <row r="198" spans="1:58" s="184" customFormat="1" ht="15.75" customHeight="1" x14ac:dyDescent="0.25">
      <c r="A198" s="143"/>
      <c r="B198" s="332"/>
      <c r="C198" s="397" t="s">
        <v>244</v>
      </c>
      <c r="D198" s="397"/>
      <c r="E198" s="398"/>
      <c r="F198" s="291"/>
      <c r="G198" s="340"/>
      <c r="H198" s="144" t="s">
        <v>185</v>
      </c>
      <c r="I198" s="269"/>
      <c r="J198" s="257"/>
      <c r="K198" s="257"/>
      <c r="L198" s="258">
        <f>SUM(L203,L209,L212)</f>
        <v>143946211.42857143</v>
      </c>
      <c r="M198" s="258">
        <f>SUM(M203,M209,M212)</f>
        <v>24039017.308571428</v>
      </c>
      <c r="N198" s="257"/>
      <c r="O198" s="257"/>
      <c r="P198" s="257"/>
      <c r="Q198" s="257"/>
      <c r="R198" s="258">
        <f>SUM(R203,R209,R212)</f>
        <v>800000</v>
      </c>
      <c r="S198" s="258">
        <f>SUM(S203,S209,S212)</f>
        <v>600000</v>
      </c>
      <c r="T198" s="258">
        <f>SUM(T203,T209,T212)</f>
        <v>0</v>
      </c>
      <c r="U198" s="258">
        <f>SUM(U203,U209,U212)</f>
        <v>800000</v>
      </c>
      <c r="V198" s="257"/>
      <c r="W198" s="257"/>
      <c r="X198" s="257"/>
      <c r="Y198" s="258">
        <f>SUM(Y203,Y209,Y212)</f>
        <v>0</v>
      </c>
      <c r="Z198" s="258">
        <f>SUM(Z203,Z209,Z212)</f>
        <v>0</v>
      </c>
      <c r="AA198" s="257"/>
      <c r="AB198" s="258">
        <f>SUM(AB203,AB209,AB212)</f>
        <v>2128000</v>
      </c>
      <c r="AC198" s="258">
        <f>SUM(AC203,AC209,AC212)</f>
        <v>209344000</v>
      </c>
      <c r="AD198" s="258">
        <f>SUM(AD203,AD209,AD212)</f>
        <v>0</v>
      </c>
      <c r="AE198" s="258">
        <f>SUM(AE203,AE209,AE212)</f>
        <v>42734400</v>
      </c>
      <c r="AF198" s="258">
        <f>SUM(AF203,AF209,AF212)</f>
        <v>256406400</v>
      </c>
      <c r="AG198" s="257"/>
      <c r="AH198" s="257"/>
      <c r="AI198" s="257"/>
      <c r="AJ198" s="258">
        <f>SUM(AJ203,AJ209,AJ212)</f>
        <v>13680000</v>
      </c>
      <c r="AK198" s="258">
        <f>SUM(AK203,AK209,AK212)</f>
        <v>0</v>
      </c>
      <c r="AL198" s="258">
        <f>SUM(AL203,AL209,AL212)</f>
        <v>0</v>
      </c>
      <c r="AM198" s="258">
        <f>SUM(AM203,AM209,AM212)</f>
        <v>13680000</v>
      </c>
      <c r="AN198" s="258">
        <f>SUM(AN203,AN209,AN212)</f>
        <v>2052000</v>
      </c>
      <c r="AO198" s="259"/>
      <c r="AP198" s="260"/>
      <c r="AQ198" s="261">
        <f>SUM(AQ203,AQ209,AQ212)</f>
        <v>167985228.73714286</v>
      </c>
      <c r="AR198" s="261">
        <f>SUM(AR203,AR209,AR212)</f>
        <v>256406400</v>
      </c>
      <c r="AS198" s="261">
        <f>SUM(AS203,AS209,AS212)</f>
        <v>15732000</v>
      </c>
      <c r="AT198" s="261">
        <f>SUM(AT203,AT209,AT212)</f>
        <v>440123628.73714286</v>
      </c>
      <c r="AU198" s="261">
        <f t="shared" ref="AU198:BB198" si="134">SUM(AU203,AU209,AU212)</f>
        <v>431265228.73714286</v>
      </c>
      <c r="AV198" s="261">
        <f t="shared" si="134"/>
        <v>0</v>
      </c>
      <c r="AW198" s="261">
        <f t="shared" si="134"/>
        <v>0</v>
      </c>
      <c r="AX198" s="261">
        <f t="shared" si="134"/>
        <v>0</v>
      </c>
      <c r="AY198" s="261">
        <f t="shared" si="134"/>
        <v>0</v>
      </c>
      <c r="AZ198" s="261">
        <f t="shared" si="134"/>
        <v>0</v>
      </c>
      <c r="BA198" s="261">
        <f t="shared" si="134"/>
        <v>0</v>
      </c>
      <c r="BB198" s="261">
        <f t="shared" si="134"/>
        <v>-8858400</v>
      </c>
    </row>
    <row r="199" spans="1:58" ht="63" outlineLevel="2" x14ac:dyDescent="0.25">
      <c r="A199" s="115"/>
      <c r="B199" s="200"/>
      <c r="C199" s="201"/>
      <c r="D199" s="202"/>
      <c r="E199" s="226"/>
      <c r="F199" s="295"/>
      <c r="G199" s="296"/>
      <c r="H199" s="199" t="s">
        <v>500</v>
      </c>
      <c r="I199" s="130"/>
      <c r="J199" s="126"/>
      <c r="K199" s="126"/>
      <c r="L199" s="125" t="str">
        <f>IF(I199&lt;&gt;0,((VLOOKUP(I199,'1. Standard_Cost'!$B$4:$D$11,2)+VLOOKUP(I199,'1. Standard_Cost'!$B$4:$D$11,3))*J199*K199),"0")</f>
        <v>0</v>
      </c>
      <c r="M199" s="125">
        <f>L199*'1. Standard_Cost'!$F$4</f>
        <v>0</v>
      </c>
      <c r="N199" s="126"/>
      <c r="O199" s="126"/>
      <c r="P199" s="126"/>
      <c r="Q199" s="126"/>
      <c r="R199" s="127">
        <f>'1. Standard_Cost'!$B$15*N199*P199</f>
        <v>0</v>
      </c>
      <c r="S199" s="127">
        <f>N199*O199*P199*'1. Standard_Cost'!$C$15</f>
        <v>0</v>
      </c>
      <c r="T199" s="127">
        <f>N199*P199*Q199*'1. Standard_Cost'!$D$15</f>
        <v>0</v>
      </c>
      <c r="U199" s="127">
        <f>N199*O199*'1. Standard_Cost'!$E$15</f>
        <v>0</v>
      </c>
      <c r="V199" s="126"/>
      <c r="W199" s="126"/>
      <c r="X199" s="126"/>
      <c r="Y199" s="127">
        <f>+V199*((X199*'1. Standard_Cost'!$B$19)+(W199*X199*'1. Standard_Cost'!$C$19))</f>
        <v>0</v>
      </c>
      <c r="Z199" s="126"/>
      <c r="AA199" s="126"/>
      <c r="AB199" s="127">
        <f>+Z199*'1. Standard_Cost'!$B$23+AA199*'1. Standard_Cost'!$C$23</f>
        <v>0</v>
      </c>
      <c r="AC199" s="128"/>
      <c r="AD199" s="129"/>
      <c r="AE199" s="127">
        <f>SUM(AD199,AC199,AB199,Y199,U199,T199,S199,R199)*'1. Standard_Cost'!$B$31</f>
        <v>0</v>
      </c>
      <c r="AF199" s="127">
        <f>SUM(AE199,AD199,AC199,AB199,Y199,U199,T199,S199,R199)</f>
        <v>0</v>
      </c>
      <c r="AG199" s="126"/>
      <c r="AH199" s="126"/>
      <c r="AI199" s="126"/>
      <c r="AJ199" s="130"/>
      <c r="AK199" s="130"/>
      <c r="AL199" s="130"/>
      <c r="AM199" s="127">
        <f>AG199*'1. Standard_Cost'!$B$27+'Incremental_Cost Year 4'!AH199*'1. Standard_Cost'!$C$27+'Incremental_Cost Year 4'!AI199*'1. Standard_Cost'!$D$27+'Incremental_Cost Year 4'!AJ199+'Incremental_Cost Year 4'!AL199+AK199</f>
        <v>0</v>
      </c>
      <c r="AN199" s="127">
        <f>AM199*'1. Standard_Cost'!$C$31</f>
        <v>0</v>
      </c>
      <c r="AO199" s="130"/>
      <c r="AQ199" s="171">
        <f>L199+M199</f>
        <v>0</v>
      </c>
      <c r="AR199" s="171">
        <f>AF199</f>
        <v>0</v>
      </c>
      <c r="AS199" s="171">
        <f>AM199+AN199</f>
        <v>0</v>
      </c>
      <c r="AT199" s="171">
        <f>SUM(AQ199,AR199,AS199)</f>
        <v>0</v>
      </c>
      <c r="AU199" s="250">
        <f>AT199</f>
        <v>0</v>
      </c>
      <c r="AV199" s="250"/>
      <c r="AW199" s="250"/>
      <c r="AX199" s="250"/>
      <c r="AY199" s="250"/>
      <c r="AZ199" s="250"/>
      <c r="BA199" s="250"/>
      <c r="BB199" s="251">
        <f t="shared" ref="BB199:BB202" si="135">SUM(AU199:BA199)-AT199</f>
        <v>0</v>
      </c>
      <c r="BC199" s="169"/>
      <c r="BD199" s="169"/>
      <c r="BE199" s="169"/>
      <c r="BF199" s="169"/>
    </row>
    <row r="200" spans="1:58" ht="94.5" outlineLevel="2" x14ac:dyDescent="0.25">
      <c r="A200" s="115"/>
      <c r="B200" s="200"/>
      <c r="C200" s="201"/>
      <c r="D200" s="202"/>
      <c r="E200" s="202"/>
      <c r="F200" s="219"/>
      <c r="G200" s="313"/>
      <c r="H200" s="199" t="s">
        <v>501</v>
      </c>
      <c r="I200" s="130"/>
      <c r="J200" s="126"/>
      <c r="K200" s="126"/>
      <c r="L200" s="125" t="str">
        <f>IF(I200&lt;&gt;0,((VLOOKUP(I200,'1. Standard_Cost'!$B$4:$D$11,2)+VLOOKUP(I200,'1. Standard_Cost'!$B$4:$D$11,3))*J200*K200),"0")</f>
        <v>0</v>
      </c>
      <c r="M200" s="125">
        <f>L200*'1. Standard_Cost'!$F$4</f>
        <v>0</v>
      </c>
      <c r="N200" s="126"/>
      <c r="O200" s="126"/>
      <c r="P200" s="126"/>
      <c r="Q200" s="126"/>
      <c r="R200" s="127">
        <f>'1. Standard_Cost'!$B$15*N200*P200</f>
        <v>0</v>
      </c>
      <c r="S200" s="127">
        <f>N200*O200*P200*'1. Standard_Cost'!$C$15</f>
        <v>0</v>
      </c>
      <c r="T200" s="127">
        <f>N200*P200*Q200*'1. Standard_Cost'!$D$15</f>
        <v>0</v>
      </c>
      <c r="U200" s="127">
        <f>N200*O200*'1. Standard_Cost'!$E$15</f>
        <v>0</v>
      </c>
      <c r="V200" s="126"/>
      <c r="W200" s="126"/>
      <c r="X200" s="126"/>
      <c r="Y200" s="127">
        <f>+V200*((X200*'1. Standard_Cost'!$B$19)+(W200*X200*'1. Standard_Cost'!$C$19))</f>
        <v>0</v>
      </c>
      <c r="Z200" s="126"/>
      <c r="AA200" s="126">
        <v>90</v>
      </c>
      <c r="AB200" s="127">
        <f>+Z200*'1. Standard_Cost'!$B$23+AA200*'1. Standard_Cost'!$C$23</f>
        <v>1710000</v>
      </c>
      <c r="AC200" s="128">
        <f>4*20*300</f>
        <v>24000</v>
      </c>
      <c r="AD200" s="129"/>
      <c r="AE200" s="127">
        <f>SUM(AD200,AC200,AB200,Y200,U200,T200,S200,R200)*'1. Standard_Cost'!$B$31</f>
        <v>346800</v>
      </c>
      <c r="AF200" s="127">
        <f>SUM(AE200,AD200,AC200,AB200,Y200,U200,T200,S200,R200)</f>
        <v>2080800</v>
      </c>
      <c r="AG200" s="126"/>
      <c r="AH200" s="126"/>
      <c r="AI200" s="126"/>
      <c r="AJ200" s="130"/>
      <c r="AK200" s="130"/>
      <c r="AL200" s="130"/>
      <c r="AM200" s="127">
        <f>AG200*'1. Standard_Cost'!$B$27+'Incremental_Cost Year 4'!AH200*'1. Standard_Cost'!$C$27+'Incremental_Cost Year 4'!AI200*'1. Standard_Cost'!$D$27+'Incremental_Cost Year 4'!AJ200+'Incremental_Cost Year 4'!AL200+AK200</f>
        <v>0</v>
      </c>
      <c r="AN200" s="127">
        <f>AM200*'1. Standard_Cost'!$C$31</f>
        <v>0</v>
      </c>
      <c r="AO200" s="130"/>
      <c r="AQ200" s="171">
        <f>L200+M200</f>
        <v>0</v>
      </c>
      <c r="AR200" s="171">
        <f>AF200</f>
        <v>2080800</v>
      </c>
      <c r="AS200" s="171">
        <f>AM200+AN200</f>
        <v>0</v>
      </c>
      <c r="AT200" s="171">
        <f>SUM(AQ200,AR200,AS200)</f>
        <v>2080800</v>
      </c>
      <c r="AU200" s="250">
        <f>AQ200</f>
        <v>0</v>
      </c>
      <c r="AV200" s="250"/>
      <c r="AW200" s="250"/>
      <c r="AX200" s="250"/>
      <c r="AY200" s="250"/>
      <c r="AZ200" s="250"/>
      <c r="BA200" s="250"/>
      <c r="BB200" s="251">
        <f t="shared" si="135"/>
        <v>-2080800</v>
      </c>
      <c r="BC200" s="169"/>
      <c r="BD200" s="169"/>
      <c r="BE200" s="169"/>
      <c r="BF200" s="169"/>
    </row>
    <row r="201" spans="1:58" ht="31.5" outlineLevel="2" x14ac:dyDescent="0.25">
      <c r="A201" s="115"/>
      <c r="B201" s="200"/>
      <c r="C201" s="201"/>
      <c r="D201" s="202"/>
      <c r="E201" s="202"/>
      <c r="F201" s="219"/>
      <c r="G201" s="313"/>
      <c r="H201" s="199" t="s">
        <v>502</v>
      </c>
      <c r="I201" s="130"/>
      <c r="J201" s="126"/>
      <c r="K201" s="126"/>
      <c r="L201" s="125" t="str">
        <f>IF(I201&lt;&gt;0,((VLOOKUP(I201,'1. Standard_Cost'!$B$4:$D$11,2)+VLOOKUP(I201,'1. Standard_Cost'!$B$4:$D$11,3))*J201*K201),"0")</f>
        <v>0</v>
      </c>
      <c r="M201" s="125">
        <f>L201*'1. Standard_Cost'!$F$4</f>
        <v>0</v>
      </c>
      <c r="N201" s="126"/>
      <c r="O201" s="126"/>
      <c r="P201" s="126"/>
      <c r="Q201" s="126"/>
      <c r="R201" s="127">
        <f>'1. Standard_Cost'!$B$15*N201*P201</f>
        <v>0</v>
      </c>
      <c r="S201" s="127">
        <f>N201*O201*P201*'1. Standard_Cost'!$C$15</f>
        <v>0</v>
      </c>
      <c r="T201" s="127">
        <f>N201*P201*Q201*'1. Standard_Cost'!$D$15</f>
        <v>0</v>
      </c>
      <c r="U201" s="127">
        <f>N201*O201*'1. Standard_Cost'!$E$15</f>
        <v>0</v>
      </c>
      <c r="V201" s="126"/>
      <c r="W201" s="126"/>
      <c r="X201" s="126"/>
      <c r="Y201" s="127">
        <f>+V201*((X201*'1. Standard_Cost'!$B$19)+(W201*X201*'1. Standard_Cost'!$C$19))</f>
        <v>0</v>
      </c>
      <c r="Z201" s="126"/>
      <c r="AA201" s="126"/>
      <c r="AB201" s="127">
        <f>+Z201*'1. Standard_Cost'!$B$23+AA201*'1. Standard_Cost'!$C$23</f>
        <v>0</v>
      </c>
      <c r="AC201" s="128"/>
      <c r="AD201" s="129"/>
      <c r="AE201" s="127">
        <f>SUM(AD201,AC201,AB201,Y201,U201,T201,S201,R201)*'1. Standard_Cost'!$B$31</f>
        <v>0</v>
      </c>
      <c r="AF201" s="127">
        <f>SUM(AE201,AD201,AC201,AB201,Y201,U201,T201,S201,R201)</f>
        <v>0</v>
      </c>
      <c r="AG201" s="126"/>
      <c r="AH201" s="126"/>
      <c r="AI201" s="126"/>
      <c r="AJ201" s="130"/>
      <c r="AK201" s="130"/>
      <c r="AL201" s="130"/>
      <c r="AM201" s="127">
        <f>AG201*'1. Standard_Cost'!$B$27+'Incremental_Cost Year 4'!AH201*'1. Standard_Cost'!$C$27+'Incremental_Cost Year 4'!AI201*'1. Standard_Cost'!$D$27+'Incremental_Cost Year 4'!AJ201+'Incremental_Cost Year 4'!AL201+AK201</f>
        <v>0</v>
      </c>
      <c r="AN201" s="127">
        <f>AM201*'1. Standard_Cost'!$C$31</f>
        <v>0</v>
      </c>
      <c r="AO201" s="130"/>
      <c r="AQ201" s="171">
        <f>L201+M201</f>
        <v>0</v>
      </c>
      <c r="AR201" s="171">
        <f>AF201</f>
        <v>0</v>
      </c>
      <c r="AS201" s="171">
        <f>AM201+AN201</f>
        <v>0</v>
      </c>
      <c r="AT201" s="171">
        <f>SUM(AQ201,AR201,AS201)</f>
        <v>0</v>
      </c>
      <c r="AU201" s="250"/>
      <c r="AV201" s="250"/>
      <c r="AW201" s="250"/>
      <c r="AX201" s="250"/>
      <c r="AY201" s="250"/>
      <c r="AZ201" s="250"/>
      <c r="BA201" s="250"/>
      <c r="BB201" s="251">
        <f t="shared" si="135"/>
        <v>0</v>
      </c>
      <c r="BC201" s="169"/>
      <c r="BD201" s="169"/>
      <c r="BE201" s="169"/>
      <c r="BF201" s="169"/>
    </row>
    <row r="202" spans="1:58" ht="47.25" outlineLevel="2" x14ac:dyDescent="0.25">
      <c r="A202" s="115"/>
      <c r="B202" s="200"/>
      <c r="C202" s="201"/>
      <c r="D202" s="202"/>
      <c r="E202" s="310"/>
      <c r="F202" s="122"/>
      <c r="G202" s="123"/>
      <c r="H202" s="199" t="s">
        <v>545</v>
      </c>
      <c r="I202" s="130"/>
      <c r="J202" s="126"/>
      <c r="K202" s="126"/>
      <c r="L202" s="125" t="str">
        <f>IF(I202&lt;&gt;0,((VLOOKUP(I202,'1. Standard_Cost'!$B$4:$D$11,2)+VLOOKUP(I202,'1. Standard_Cost'!$B$4:$D$11,3))*J202*K202),"0")</f>
        <v>0</v>
      </c>
      <c r="M202" s="125">
        <f>L202*'1. Standard_Cost'!$F$4</f>
        <v>0</v>
      </c>
      <c r="N202" s="126"/>
      <c r="O202" s="126"/>
      <c r="P202" s="126"/>
      <c r="Q202" s="126"/>
      <c r="R202" s="127">
        <f>'1. Standard_Cost'!$B$15*N202*P202</f>
        <v>0</v>
      </c>
      <c r="S202" s="127">
        <f>N202*O202*P202*'1. Standard_Cost'!$C$15</f>
        <v>0</v>
      </c>
      <c r="T202" s="127">
        <f>N202*P202*Q202*'1. Standard_Cost'!$D$15</f>
        <v>0</v>
      </c>
      <c r="U202" s="127">
        <f>N202*O202*'1. Standard_Cost'!$E$15</f>
        <v>0</v>
      </c>
      <c r="V202" s="126"/>
      <c r="W202" s="126"/>
      <c r="X202" s="126"/>
      <c r="Y202" s="127">
        <f>+V202*((X202*'1. Standard_Cost'!$B$19)+(W202*X202*'1. Standard_Cost'!$C$19))</f>
        <v>0</v>
      </c>
      <c r="Z202" s="126"/>
      <c r="AA202" s="126"/>
      <c r="AB202" s="127">
        <f>+Z202*'1. Standard_Cost'!$B$23+AA202*'1. Standard_Cost'!$C$23</f>
        <v>0</v>
      </c>
      <c r="AC202" s="128"/>
      <c r="AD202" s="129"/>
      <c r="AE202" s="127">
        <f>SUM(AD202,AC202,AB202,Y202,U202,T202,S202,R202)*'1. Standard_Cost'!$B$31</f>
        <v>0</v>
      </c>
      <c r="AF202" s="127">
        <f>SUM(AE202,AD202,AC202,AB202,Y202,U202,T202,S202,R202)</f>
        <v>0</v>
      </c>
      <c r="AG202" s="126"/>
      <c r="AH202" s="126"/>
      <c r="AI202" s="126"/>
      <c r="AJ202" s="130"/>
      <c r="AK202" s="130"/>
      <c r="AL202" s="130"/>
      <c r="AM202" s="127">
        <f>AG202*'1. Standard_Cost'!$B$27+'Incremental_Cost Year 4'!AH202*'1. Standard_Cost'!$C$27+'Incremental_Cost Year 4'!AI202*'1. Standard_Cost'!$D$27+'Incremental_Cost Year 4'!AJ202+'Incremental_Cost Year 4'!AL202+AK202</f>
        <v>0</v>
      </c>
      <c r="AN202" s="127">
        <f>AM202*'1. Standard_Cost'!$C$31</f>
        <v>0</v>
      </c>
      <c r="AO202" s="130"/>
      <c r="AQ202" s="171">
        <f>L202+M202</f>
        <v>0</v>
      </c>
      <c r="AR202" s="171">
        <f>AF202</f>
        <v>0</v>
      </c>
      <c r="AS202" s="171">
        <f>AM202+AN202</f>
        <v>0</v>
      </c>
      <c r="AT202" s="171">
        <f>SUM(AQ202,AR202,AS202)</f>
        <v>0</v>
      </c>
      <c r="AU202" s="250"/>
      <c r="AV202" s="250"/>
      <c r="AW202" s="250"/>
      <c r="AX202" s="250"/>
      <c r="AY202" s="250"/>
      <c r="AZ202" s="250"/>
      <c r="BA202" s="250"/>
      <c r="BB202" s="251">
        <f t="shared" si="135"/>
        <v>0</v>
      </c>
      <c r="BC202" s="169"/>
      <c r="BD202" s="169"/>
      <c r="BE202" s="169"/>
      <c r="BF202" s="169"/>
    </row>
    <row r="203" spans="1:58" ht="47.25" outlineLevel="1" x14ac:dyDescent="0.25">
      <c r="A203" s="115"/>
      <c r="B203" s="165"/>
      <c r="C203" s="166"/>
      <c r="D203" s="212" t="s">
        <v>240</v>
      </c>
      <c r="E203" s="212" t="s">
        <v>245</v>
      </c>
      <c r="F203" s="117">
        <v>2021</v>
      </c>
      <c r="G203" s="117">
        <v>2025</v>
      </c>
      <c r="H203" s="110" t="s">
        <v>186</v>
      </c>
      <c r="I203" s="252"/>
      <c r="J203" s="252"/>
      <c r="K203" s="252"/>
      <c r="L203" s="127">
        <f>SUM(L199:L202)</f>
        <v>0</v>
      </c>
      <c r="M203" s="127">
        <f>SUM(M199:M202)</f>
        <v>0</v>
      </c>
      <c r="N203" s="252"/>
      <c r="O203" s="252"/>
      <c r="P203" s="252"/>
      <c r="Q203" s="252"/>
      <c r="R203" s="127">
        <f>SUM(R199:R202)</f>
        <v>0</v>
      </c>
      <c r="S203" s="127">
        <f>SUM(S199:S202)</f>
        <v>0</v>
      </c>
      <c r="T203" s="127">
        <f>SUM(T199:T202)</f>
        <v>0</v>
      </c>
      <c r="U203" s="127">
        <f>SUM(U199:U202)</f>
        <v>0</v>
      </c>
      <c r="V203" s="252"/>
      <c r="W203" s="252"/>
      <c r="X203" s="252"/>
      <c r="Y203" s="127">
        <f>SUM(Y199:Y202)</f>
        <v>0</v>
      </c>
      <c r="Z203" s="252"/>
      <c r="AA203" s="252"/>
      <c r="AB203" s="127">
        <f>SUM(AB199:AB202)</f>
        <v>1710000</v>
      </c>
      <c r="AC203" s="127">
        <f>SUM(AC199:AC202)</f>
        <v>24000</v>
      </c>
      <c r="AD203" s="127">
        <f>SUM(AD199:AD202)</f>
        <v>0</v>
      </c>
      <c r="AE203" s="127">
        <f>SUM(AE199:AE202)</f>
        <v>346800</v>
      </c>
      <c r="AF203" s="127">
        <f>SUM(AF199:AF202)</f>
        <v>2080800</v>
      </c>
      <c r="AG203" s="252"/>
      <c r="AH203" s="252"/>
      <c r="AI203" s="252"/>
      <c r="AJ203" s="127">
        <f>SUM(AJ199:AJ202)</f>
        <v>0</v>
      </c>
      <c r="AK203" s="127">
        <f>SUM(AK199:AK202)</f>
        <v>0</v>
      </c>
      <c r="AL203" s="127">
        <f>SUM(AL199:AL202)</f>
        <v>0</v>
      </c>
      <c r="AM203" s="127">
        <f>SUM(AM199:AM202)</f>
        <v>0</v>
      </c>
      <c r="AN203" s="127">
        <f>SUM(AN199:AN202)</f>
        <v>0</v>
      </c>
      <c r="AO203" s="253"/>
      <c r="AP203" s="254"/>
      <c r="AQ203" s="175">
        <f>SUM(AQ199:AQ202)</f>
        <v>0</v>
      </c>
      <c r="AR203" s="175">
        <f>SUM(AR199:AR202)</f>
        <v>2080800</v>
      </c>
      <c r="AS203" s="175">
        <f>SUM(AS199:AS202)</f>
        <v>0</v>
      </c>
      <c r="AT203" s="175">
        <f>SUM(AT199:AT202)</f>
        <v>2080800</v>
      </c>
      <c r="AU203" s="175">
        <f t="shared" ref="AU203:BB203" si="136">SUM(AU199:AU202)</f>
        <v>0</v>
      </c>
      <c r="AV203" s="175">
        <f t="shared" si="136"/>
        <v>0</v>
      </c>
      <c r="AW203" s="175">
        <f t="shared" si="136"/>
        <v>0</v>
      </c>
      <c r="AX203" s="175">
        <f t="shared" si="136"/>
        <v>0</v>
      </c>
      <c r="AY203" s="175">
        <f t="shared" si="136"/>
        <v>0</v>
      </c>
      <c r="AZ203" s="175">
        <f t="shared" si="136"/>
        <v>0</v>
      </c>
      <c r="BA203" s="175">
        <f t="shared" si="136"/>
        <v>0</v>
      </c>
      <c r="BB203" s="175">
        <f t="shared" si="136"/>
        <v>-2080800</v>
      </c>
      <c r="BC203" s="169"/>
      <c r="BD203" s="169"/>
      <c r="BE203" s="169"/>
      <c r="BF203" s="169"/>
    </row>
    <row r="204" spans="1:58" ht="78.75" outlineLevel="2" x14ac:dyDescent="0.25">
      <c r="A204" s="115"/>
      <c r="B204" s="200"/>
      <c r="C204" s="201"/>
      <c r="D204" s="202"/>
      <c r="E204" s="226"/>
      <c r="F204" s="295"/>
      <c r="G204" s="296"/>
      <c r="H204" s="199" t="s">
        <v>503</v>
      </c>
      <c r="I204" s="130"/>
      <c r="J204" s="126"/>
      <c r="K204" s="126"/>
      <c r="L204" s="125" t="str">
        <f>IF(I204&lt;&gt;0,((VLOOKUP(I204,'1. Standard_Cost'!$B$4:$D$11,2)+VLOOKUP(I204,'1. Standard_Cost'!$B$4:$D$11,3))*J204*K204),"0")</f>
        <v>0</v>
      </c>
      <c r="M204" s="125">
        <f>L204*'1. Standard_Cost'!$F$4</f>
        <v>0</v>
      </c>
      <c r="N204" s="126"/>
      <c r="O204" s="126"/>
      <c r="P204" s="126"/>
      <c r="Q204" s="126"/>
      <c r="R204" s="127">
        <f>'1. Standard_Cost'!$B$15*N204*P204</f>
        <v>0</v>
      </c>
      <c r="S204" s="127">
        <f>N204*O204*P204*'1. Standard_Cost'!$C$15</f>
        <v>0</v>
      </c>
      <c r="T204" s="127">
        <f>N204*P204*Q204*'1. Standard_Cost'!$D$15</f>
        <v>0</v>
      </c>
      <c r="U204" s="127">
        <f>N204*O204*'1. Standard_Cost'!$E$15</f>
        <v>0</v>
      </c>
      <c r="V204" s="126"/>
      <c r="W204" s="126"/>
      <c r="X204" s="126"/>
      <c r="Y204" s="127">
        <f>+V204*((X204*'1. Standard_Cost'!$B$19)+(W204*X204*'1. Standard_Cost'!$C$19))</f>
        <v>0</v>
      </c>
      <c r="Z204" s="126"/>
      <c r="AA204" s="126"/>
      <c r="AB204" s="127">
        <f>+Z204*'1. Standard_Cost'!$B$23+AA204*'1. Standard_Cost'!$C$23</f>
        <v>0</v>
      </c>
      <c r="AC204" s="128"/>
      <c r="AD204" s="129"/>
      <c r="AE204" s="127">
        <f>SUM(AD204,AC204,AB204,Y204,U204,T204,S204,R204)*'1. Standard_Cost'!$B$31</f>
        <v>0</v>
      </c>
      <c r="AF204" s="127">
        <f>SUM(AE204,AD204,AC204,AB204,Y204,U204,T204,S204,R204)</f>
        <v>0</v>
      </c>
      <c r="AG204" s="126"/>
      <c r="AH204" s="126"/>
      <c r="AI204" s="126"/>
      <c r="AJ204" s="130">
        <v>13680000</v>
      </c>
      <c r="AK204" s="130"/>
      <c r="AL204" s="130"/>
      <c r="AM204" s="127">
        <f>AG204*'1. Standard_Cost'!$B$27+'Incremental_Cost Year 4'!AH204*'1. Standard_Cost'!$C$27+'Incremental_Cost Year 4'!AI204*'1. Standard_Cost'!$D$27+'Incremental_Cost Year 4'!AJ204+'Incremental_Cost Year 4'!AL204+AK204</f>
        <v>13680000</v>
      </c>
      <c r="AN204" s="127">
        <f>AM204*'1. Standard_Cost'!$C$31</f>
        <v>2052000</v>
      </c>
      <c r="AO204" s="130"/>
      <c r="AQ204" s="171">
        <f>L204+M204</f>
        <v>0</v>
      </c>
      <c r="AR204" s="171">
        <f>AF204</f>
        <v>0</v>
      </c>
      <c r="AS204" s="171">
        <f>AM204+AN204</f>
        <v>15732000</v>
      </c>
      <c r="AT204" s="171">
        <f>SUM(AQ204,AR204,AS204)</f>
        <v>15732000</v>
      </c>
      <c r="AU204" s="250">
        <v>13680000</v>
      </c>
      <c r="AV204" s="250"/>
      <c r="AW204" s="250"/>
      <c r="AX204" s="250"/>
      <c r="AY204" s="250"/>
      <c r="AZ204" s="250"/>
      <c r="BA204" s="250"/>
      <c r="BB204" s="251">
        <f t="shared" ref="BB204:BB208" si="137">SUM(AU204:BA204)-AT204</f>
        <v>-2052000</v>
      </c>
      <c r="BC204" s="169"/>
      <c r="BD204" s="169"/>
      <c r="BE204" s="169"/>
      <c r="BF204" s="169"/>
    </row>
    <row r="205" spans="1:58" ht="47.25" outlineLevel="2" x14ac:dyDescent="0.25">
      <c r="A205" s="115"/>
      <c r="B205" s="200"/>
      <c r="C205" s="201"/>
      <c r="D205" s="202"/>
      <c r="E205" s="202"/>
      <c r="F205" s="219"/>
      <c r="G205" s="313"/>
      <c r="H205" s="199" t="s">
        <v>504</v>
      </c>
      <c r="I205" s="130" t="s">
        <v>3</v>
      </c>
      <c r="J205" s="126">
        <v>12</v>
      </c>
      <c r="K205" s="126">
        <v>40</v>
      </c>
      <c r="L205" s="125">
        <f>IF(I205&lt;&gt;0,((VLOOKUP(I205,'1. Standard_Cost'!$B$4:$D$11,2)+VLOOKUP(I205,'1. Standard_Cost'!$B$4:$D$11,3))*J205*K205),"0")</f>
        <v>48384000</v>
      </c>
      <c r="M205" s="125">
        <f>L205*'1. Standard_Cost'!$F$4</f>
        <v>8080128</v>
      </c>
      <c r="N205" s="126"/>
      <c r="O205" s="126"/>
      <c r="P205" s="126"/>
      <c r="Q205" s="126"/>
      <c r="R205" s="127">
        <f>'1. Standard_Cost'!$B$15*N205*P205</f>
        <v>0</v>
      </c>
      <c r="S205" s="127">
        <f>N205*O205*P205*'1. Standard_Cost'!$C$15</f>
        <v>0</v>
      </c>
      <c r="T205" s="127">
        <f>N205*P205*Q205*'1. Standard_Cost'!$D$15</f>
        <v>0</v>
      </c>
      <c r="U205" s="127">
        <f>N205*O205*'1. Standard_Cost'!$E$15</f>
        <v>0</v>
      </c>
      <c r="V205" s="126"/>
      <c r="W205" s="126"/>
      <c r="X205" s="126"/>
      <c r="Y205" s="127">
        <f>+V205*((X205*'1. Standard_Cost'!$B$19)+(W205*X205*'1. Standard_Cost'!$C$19))</f>
        <v>0</v>
      </c>
      <c r="Z205" s="126"/>
      <c r="AA205" s="126"/>
      <c r="AB205" s="127">
        <f>+Z205*'1. Standard_Cost'!$B$23+AA205*'1. Standard_Cost'!$C$23</f>
        <v>0</v>
      </c>
      <c r="AC205" s="128">
        <v>100000000</v>
      </c>
      <c r="AD205" s="129"/>
      <c r="AE205" s="127">
        <f>SUM(AD205,AC205,AB205,Y205,U205,T205,S205,R205)*'1. Standard_Cost'!$B$31</f>
        <v>20000000</v>
      </c>
      <c r="AF205" s="127">
        <f>SUM(AE205,AD205,AC205,AB205,Y205,U205,T205,S205,R205)</f>
        <v>120000000</v>
      </c>
      <c r="AG205" s="126"/>
      <c r="AH205" s="126"/>
      <c r="AI205" s="126"/>
      <c r="AJ205" s="130"/>
      <c r="AK205" s="130"/>
      <c r="AL205" s="130"/>
      <c r="AM205" s="127">
        <f>AG205*'1. Standard_Cost'!$B$27+'Incremental_Cost Year 4'!AH205*'1. Standard_Cost'!$C$27+'Incremental_Cost Year 4'!AI205*'1. Standard_Cost'!$D$27+'Incremental_Cost Year 4'!AJ205+'Incremental_Cost Year 4'!AL205+AK205</f>
        <v>0</v>
      </c>
      <c r="AN205" s="127">
        <f>AM205*'1. Standard_Cost'!$C$31</f>
        <v>0</v>
      </c>
      <c r="AO205" s="130"/>
      <c r="AQ205" s="171">
        <f>L205+M205</f>
        <v>56464128</v>
      </c>
      <c r="AR205" s="171">
        <f>AF205</f>
        <v>120000000</v>
      </c>
      <c r="AS205" s="171">
        <f>AM205+AN205</f>
        <v>0</v>
      </c>
      <c r="AT205" s="171">
        <f>SUM(AQ205,AR205,AS205)</f>
        <v>176464128</v>
      </c>
      <c r="AU205" s="250">
        <f>AT205</f>
        <v>176464128</v>
      </c>
      <c r="AV205" s="250"/>
      <c r="AW205" s="250"/>
      <c r="AX205" s="250"/>
      <c r="AY205" s="250"/>
      <c r="AZ205" s="250"/>
      <c r="BA205" s="250"/>
      <c r="BB205" s="251">
        <f t="shared" si="137"/>
        <v>0</v>
      </c>
      <c r="BC205" s="169"/>
      <c r="BD205" s="169"/>
      <c r="BE205" s="169"/>
      <c r="BF205" s="169"/>
    </row>
    <row r="206" spans="1:58" ht="63" outlineLevel="2" x14ac:dyDescent="0.25">
      <c r="A206" s="115"/>
      <c r="B206" s="200"/>
      <c r="C206" s="201"/>
      <c r="D206" s="202"/>
      <c r="E206" s="202"/>
      <c r="F206" s="308"/>
      <c r="G206" s="309"/>
      <c r="H206" s="199" t="s">
        <v>246</v>
      </c>
      <c r="I206" s="130" t="s">
        <v>4</v>
      </c>
      <c r="J206" s="126">
        <v>2</v>
      </c>
      <c r="K206" s="126">
        <v>10</v>
      </c>
      <c r="L206" s="125">
        <f>IF(I206&lt;&gt;0,((VLOOKUP(I206,'1. Standard_Cost'!$B$4:$D$11,2)+VLOOKUP(I206,'1. Standard_Cost'!$B$4:$D$11,3))*J206*K206),"0")</f>
        <v>1615000</v>
      </c>
      <c r="M206" s="125">
        <f>L206*'1. Standard_Cost'!$F$4</f>
        <v>269705</v>
      </c>
      <c r="N206" s="126"/>
      <c r="O206" s="126"/>
      <c r="P206" s="126"/>
      <c r="Q206" s="126"/>
      <c r="R206" s="127">
        <f>'1. Standard_Cost'!$B$15*N206*P206</f>
        <v>0</v>
      </c>
      <c r="S206" s="127">
        <f>N206*O206*P206*'1. Standard_Cost'!$C$15</f>
        <v>0</v>
      </c>
      <c r="T206" s="127">
        <f>N206*P206*Q206*'1. Standard_Cost'!$D$15</f>
        <v>0</v>
      </c>
      <c r="U206" s="127">
        <f>N206*O206*'1. Standard_Cost'!$E$15</f>
        <v>0</v>
      </c>
      <c r="V206" s="126"/>
      <c r="W206" s="126"/>
      <c r="X206" s="126"/>
      <c r="Y206" s="127">
        <f>+V206*((X206*'1. Standard_Cost'!$B$19)+(W206*X206*'1. Standard_Cost'!$C$19))</f>
        <v>0</v>
      </c>
      <c r="Z206" s="126"/>
      <c r="AA206" s="126"/>
      <c r="AB206" s="127">
        <f>+Z206*'1. Standard_Cost'!$B$23+AA206*'1. Standard_Cost'!$C$23</f>
        <v>0</v>
      </c>
      <c r="AC206" s="128"/>
      <c r="AD206" s="129"/>
      <c r="AE206" s="127">
        <f>SUM(AD206,AC206,AB206,Y206,U206,T206,S206,R206)*'1. Standard_Cost'!$B$31</f>
        <v>0</v>
      </c>
      <c r="AF206" s="127">
        <f>SUM(AE206,AD206,AC206,AB206,Y206,U206,T206,S206,R206)</f>
        <v>0</v>
      </c>
      <c r="AG206" s="126"/>
      <c r="AH206" s="126"/>
      <c r="AI206" s="126"/>
      <c r="AJ206" s="130"/>
      <c r="AK206" s="130"/>
      <c r="AL206" s="130"/>
      <c r="AM206" s="127">
        <f>AG206*'1. Standard_Cost'!$B$27+'Incremental_Cost Year 4'!AH206*'1. Standard_Cost'!$C$27+'Incremental_Cost Year 4'!AI206*'1. Standard_Cost'!$D$27+'Incremental_Cost Year 4'!AJ206+'Incremental_Cost Year 4'!AL206+AK206</f>
        <v>0</v>
      </c>
      <c r="AN206" s="127">
        <f>AM206*'1. Standard_Cost'!$C$31</f>
        <v>0</v>
      </c>
      <c r="AO206" s="130"/>
      <c r="AQ206" s="171">
        <f>L206+M206</f>
        <v>1884705</v>
      </c>
      <c r="AR206" s="171">
        <f>AF206</f>
        <v>0</v>
      </c>
      <c r="AS206" s="171">
        <f>AM206+AN206</f>
        <v>0</v>
      </c>
      <c r="AT206" s="171">
        <f>SUM(AQ206,AR206,AS206)</f>
        <v>1884705</v>
      </c>
      <c r="AU206" s="250">
        <f>AT206</f>
        <v>1884705</v>
      </c>
      <c r="AV206" s="250"/>
      <c r="AW206" s="250"/>
      <c r="AX206" s="250"/>
      <c r="AY206" s="250"/>
      <c r="AZ206" s="250"/>
      <c r="BA206" s="250"/>
      <c r="BB206" s="251">
        <f t="shared" si="137"/>
        <v>0</v>
      </c>
      <c r="BC206" s="169"/>
      <c r="BD206" s="169"/>
      <c r="BE206" s="169"/>
      <c r="BF206" s="169"/>
    </row>
    <row r="207" spans="1:58" ht="63" outlineLevel="2" x14ac:dyDescent="0.25">
      <c r="A207" s="115"/>
      <c r="B207" s="200"/>
      <c r="C207" s="201"/>
      <c r="D207" s="202"/>
      <c r="E207" s="202"/>
      <c r="F207" s="308"/>
      <c r="G207" s="309"/>
      <c r="H207" s="199" t="s">
        <v>505</v>
      </c>
      <c r="I207" s="130" t="s">
        <v>4</v>
      </c>
      <c r="J207" s="126">
        <v>6</v>
      </c>
      <c r="K207" s="126">
        <f>36*5</f>
        <v>180</v>
      </c>
      <c r="L207" s="125">
        <f>IF(I207&lt;&gt;0,((VLOOKUP(I207,'1. Standard_Cost'!$B$4:$D$11,2)+VLOOKUP(I207,'1. Standard_Cost'!$B$4:$D$11,3))*J207*K207),"0")</f>
        <v>87210000</v>
      </c>
      <c r="M207" s="125">
        <f>L207*'1. Standard_Cost'!$F$4</f>
        <v>14564070</v>
      </c>
      <c r="N207" s="126"/>
      <c r="O207" s="126"/>
      <c r="P207" s="126"/>
      <c r="Q207" s="126"/>
      <c r="R207" s="127">
        <f>'1. Standard_Cost'!$B$15*N207*P207</f>
        <v>0</v>
      </c>
      <c r="S207" s="127">
        <f>N207*O207*P207*'1. Standard_Cost'!$C$15</f>
        <v>0</v>
      </c>
      <c r="T207" s="127">
        <f>N207*P207*Q207*'1. Standard_Cost'!$D$15</f>
        <v>0</v>
      </c>
      <c r="U207" s="127">
        <f>N207*O207*'1. Standard_Cost'!$E$15</f>
        <v>0</v>
      </c>
      <c r="V207" s="126"/>
      <c r="W207" s="126"/>
      <c r="X207" s="126"/>
      <c r="Y207" s="127">
        <f>+V207*((X207*'1. Standard_Cost'!$B$19)+(W207*X207*'1. Standard_Cost'!$C$19))</f>
        <v>0</v>
      </c>
      <c r="Z207" s="126"/>
      <c r="AA207" s="126"/>
      <c r="AB207" s="127">
        <f>+Z207*'1. Standard_Cost'!$B$23+AA207*'1. Standard_Cost'!$C$23</f>
        <v>0</v>
      </c>
      <c r="AC207" s="128">
        <f>3000000*36</f>
        <v>108000000</v>
      </c>
      <c r="AD207" s="129"/>
      <c r="AE207" s="127">
        <f>SUM(AD207,AC207,AB207,Y207,U207,T207,S207,R207)*'1. Standard_Cost'!$B$31</f>
        <v>21600000</v>
      </c>
      <c r="AF207" s="127">
        <f>SUM(AE207,AD207,AC207,AB207,Y207,U207,T207,S207,R207)</f>
        <v>129600000</v>
      </c>
      <c r="AG207" s="126"/>
      <c r="AH207" s="126"/>
      <c r="AI207" s="126"/>
      <c r="AJ207" s="130"/>
      <c r="AK207" s="130"/>
      <c r="AL207" s="130"/>
      <c r="AM207" s="127">
        <f>AG207*'1. Standard_Cost'!$B$27+'Incremental_Cost Year 4'!AH207*'1. Standard_Cost'!$C$27+'Incremental_Cost Year 4'!AI207*'1. Standard_Cost'!$D$27+'Incremental_Cost Year 4'!AJ207+'Incremental_Cost Year 4'!AL207+AK207</f>
        <v>0</v>
      </c>
      <c r="AN207" s="127">
        <f>AM207*'1. Standard_Cost'!$C$31</f>
        <v>0</v>
      </c>
      <c r="AO207" s="130"/>
      <c r="AQ207" s="171">
        <f>L207+M207</f>
        <v>101774070</v>
      </c>
      <c r="AR207" s="171">
        <f>AF207</f>
        <v>129600000</v>
      </c>
      <c r="AS207" s="171">
        <f>AM207+AN207</f>
        <v>0</v>
      </c>
      <c r="AT207" s="171">
        <f>SUM(AQ207,AR207,AS207)</f>
        <v>231374070</v>
      </c>
      <c r="AU207" s="250">
        <f>AT207</f>
        <v>231374070</v>
      </c>
      <c r="AV207" s="250"/>
      <c r="AW207" s="250"/>
      <c r="AX207" s="250"/>
      <c r="AY207" s="250"/>
      <c r="AZ207" s="250"/>
      <c r="BA207" s="250"/>
      <c r="BB207" s="251">
        <f t="shared" si="137"/>
        <v>0</v>
      </c>
      <c r="BC207" s="169"/>
      <c r="BD207" s="169"/>
      <c r="BE207" s="169"/>
      <c r="BF207" s="169"/>
    </row>
    <row r="208" spans="1:58" ht="63" outlineLevel="2" x14ac:dyDescent="0.25">
      <c r="A208" s="115"/>
      <c r="B208" s="200"/>
      <c r="C208" s="201"/>
      <c r="D208" s="202"/>
      <c r="E208" s="310"/>
      <c r="F208" s="311"/>
      <c r="G208" s="312"/>
      <c r="H208" s="199" t="s">
        <v>506</v>
      </c>
      <c r="I208" s="130" t="s">
        <v>3</v>
      </c>
      <c r="J208" s="126">
        <v>6</v>
      </c>
      <c r="K208" s="126">
        <v>10</v>
      </c>
      <c r="L208" s="125">
        <f>IF(I208&lt;&gt;0,((VLOOKUP(I208,'1. Standard_Cost'!$B$4:$D$11,2)+VLOOKUP(I208,'1. Standard_Cost'!$B$4:$D$11,3))*J208*K208),"0")</f>
        <v>6048000</v>
      </c>
      <c r="M208" s="125">
        <f>L208*'1. Standard_Cost'!$F$4</f>
        <v>1010016</v>
      </c>
      <c r="N208" s="126"/>
      <c r="O208" s="126"/>
      <c r="P208" s="126"/>
      <c r="Q208" s="126"/>
      <c r="R208" s="127">
        <f>'1. Standard_Cost'!$B$15*N208*P208</f>
        <v>0</v>
      </c>
      <c r="S208" s="127">
        <f>N208*O208*P208*'1. Standard_Cost'!$C$15</f>
        <v>0</v>
      </c>
      <c r="T208" s="127">
        <f>N208*P208*Q208*'1. Standard_Cost'!$D$15</f>
        <v>0</v>
      </c>
      <c r="U208" s="127">
        <f>N208*O208*'1. Standard_Cost'!$E$15</f>
        <v>0</v>
      </c>
      <c r="V208" s="126"/>
      <c r="W208" s="126"/>
      <c r="X208" s="126"/>
      <c r="Y208" s="127">
        <f>+V208*((X208*'1. Standard_Cost'!$B$19)+(W208*X208*'1. Standard_Cost'!$C$19))</f>
        <v>0</v>
      </c>
      <c r="Z208" s="126"/>
      <c r="AA208" s="126"/>
      <c r="AB208" s="127">
        <f>+Z208*'1. Standard_Cost'!$B$23+AA208*'1. Standard_Cost'!$C$23</f>
        <v>0</v>
      </c>
      <c r="AC208" s="128"/>
      <c r="AD208" s="129"/>
      <c r="AE208" s="127">
        <f>SUM(AD208,AC208,AB208,Y208,U208,T208,S208,R208)*'1. Standard_Cost'!$B$31</f>
        <v>0</v>
      </c>
      <c r="AF208" s="127">
        <f>SUM(AE208,AD208,AC208,AB208,Y208,U208,T208,S208,R208)</f>
        <v>0</v>
      </c>
      <c r="AG208" s="126"/>
      <c r="AH208" s="126"/>
      <c r="AI208" s="126"/>
      <c r="AJ208" s="130"/>
      <c r="AK208" s="130"/>
      <c r="AL208" s="130"/>
      <c r="AM208" s="127">
        <f>AG208*'1. Standard_Cost'!$B$27+'Incremental_Cost Year 4'!AH208*'1. Standard_Cost'!$C$27+'Incremental_Cost Year 4'!AI208*'1. Standard_Cost'!$D$27+'Incremental_Cost Year 4'!AJ208+'Incremental_Cost Year 4'!AL208+AK208</f>
        <v>0</v>
      </c>
      <c r="AN208" s="127">
        <f>AM208*'1. Standard_Cost'!$C$31</f>
        <v>0</v>
      </c>
      <c r="AO208" s="130"/>
      <c r="AQ208" s="171">
        <f>L208+M208</f>
        <v>7058016</v>
      </c>
      <c r="AR208" s="171">
        <f>AF208</f>
        <v>0</v>
      </c>
      <c r="AS208" s="171">
        <f>AM208+AN208</f>
        <v>0</v>
      </c>
      <c r="AT208" s="171">
        <f>SUM(AQ208,AR208,AS208)</f>
        <v>7058016</v>
      </c>
      <c r="AU208" s="250">
        <f>AT208</f>
        <v>7058016</v>
      </c>
      <c r="AV208" s="250"/>
      <c r="AW208" s="250"/>
      <c r="AX208" s="250"/>
      <c r="AY208" s="250"/>
      <c r="AZ208" s="250"/>
      <c r="BA208" s="250"/>
      <c r="BB208" s="251">
        <f t="shared" si="137"/>
        <v>0</v>
      </c>
      <c r="BC208" s="169"/>
      <c r="BD208" s="169"/>
      <c r="BE208" s="169"/>
      <c r="BF208" s="169"/>
    </row>
    <row r="209" spans="1:58" ht="63" outlineLevel="1" x14ac:dyDescent="0.25">
      <c r="A209" s="115"/>
      <c r="B209" s="165"/>
      <c r="C209" s="166"/>
      <c r="D209" s="150" t="s">
        <v>507</v>
      </c>
      <c r="E209" s="212" t="s">
        <v>247</v>
      </c>
      <c r="F209" s="311">
        <v>2021</v>
      </c>
      <c r="G209" s="312">
        <v>2025</v>
      </c>
      <c r="H209" s="110" t="s">
        <v>187</v>
      </c>
      <c r="I209" s="252"/>
      <c r="J209" s="252"/>
      <c r="K209" s="252"/>
      <c r="L209" s="127">
        <f>SUM(L204:L208)</f>
        <v>143257000</v>
      </c>
      <c r="M209" s="127">
        <f>SUM(M204:M208)</f>
        <v>23923919</v>
      </c>
      <c r="N209" s="252"/>
      <c r="O209" s="252"/>
      <c r="P209" s="252"/>
      <c r="Q209" s="252"/>
      <c r="R209" s="127">
        <f t="shared" ref="R209:U209" si="138">SUM(R204:R208)</f>
        <v>0</v>
      </c>
      <c r="S209" s="127">
        <f t="shared" si="138"/>
        <v>0</v>
      </c>
      <c r="T209" s="127">
        <f t="shared" si="138"/>
        <v>0</v>
      </c>
      <c r="U209" s="127">
        <f t="shared" si="138"/>
        <v>0</v>
      </c>
      <c r="V209" s="252"/>
      <c r="W209" s="252"/>
      <c r="X209" s="252"/>
      <c r="Y209" s="127">
        <f>SUM(Y204:Y208)</f>
        <v>0</v>
      </c>
      <c r="Z209" s="252"/>
      <c r="AA209" s="252"/>
      <c r="AB209" s="127">
        <f t="shared" ref="AB209:AF209" si="139">SUM(AB204:AB208)</f>
        <v>0</v>
      </c>
      <c r="AC209" s="127">
        <f t="shared" si="139"/>
        <v>208000000</v>
      </c>
      <c r="AD209" s="127">
        <f t="shared" si="139"/>
        <v>0</v>
      </c>
      <c r="AE209" s="127">
        <f t="shared" si="139"/>
        <v>41600000</v>
      </c>
      <c r="AF209" s="127">
        <f t="shared" si="139"/>
        <v>249600000</v>
      </c>
      <c r="AG209" s="252"/>
      <c r="AH209" s="252"/>
      <c r="AI209" s="252"/>
      <c r="AJ209" s="127">
        <f t="shared" ref="AJ209:AN209" si="140">SUM(AJ204:AJ208)</f>
        <v>13680000</v>
      </c>
      <c r="AK209" s="127">
        <f t="shared" si="140"/>
        <v>0</v>
      </c>
      <c r="AL209" s="127">
        <f t="shared" si="140"/>
        <v>0</v>
      </c>
      <c r="AM209" s="127">
        <f t="shared" si="140"/>
        <v>13680000</v>
      </c>
      <c r="AN209" s="127">
        <f t="shared" si="140"/>
        <v>2052000</v>
      </c>
      <c r="AO209" s="253"/>
      <c r="AP209" s="254"/>
      <c r="AQ209" s="127">
        <f t="shared" ref="AQ209:BB209" si="141">SUM(AQ204:AQ208)</f>
        <v>167180919</v>
      </c>
      <c r="AR209" s="127">
        <f t="shared" si="141"/>
        <v>249600000</v>
      </c>
      <c r="AS209" s="127">
        <f t="shared" si="141"/>
        <v>15732000</v>
      </c>
      <c r="AT209" s="127">
        <f t="shared" si="141"/>
        <v>432512919</v>
      </c>
      <c r="AU209" s="127">
        <f t="shared" si="141"/>
        <v>430460919</v>
      </c>
      <c r="AV209" s="127">
        <f t="shared" si="141"/>
        <v>0</v>
      </c>
      <c r="AW209" s="127">
        <f t="shared" si="141"/>
        <v>0</v>
      </c>
      <c r="AX209" s="127">
        <f t="shared" si="141"/>
        <v>0</v>
      </c>
      <c r="AY209" s="127">
        <f t="shared" si="141"/>
        <v>0</v>
      </c>
      <c r="AZ209" s="127">
        <f t="shared" si="141"/>
        <v>0</v>
      </c>
      <c r="BA209" s="127">
        <f t="shared" si="141"/>
        <v>0</v>
      </c>
      <c r="BB209" s="127">
        <f t="shared" si="141"/>
        <v>-2052000</v>
      </c>
      <c r="BC209" s="169"/>
      <c r="BD209" s="169"/>
      <c r="BE209" s="169"/>
      <c r="BF209" s="169"/>
    </row>
    <row r="210" spans="1:58" ht="126" outlineLevel="2" x14ac:dyDescent="0.25">
      <c r="A210" s="115"/>
      <c r="B210" s="200"/>
      <c r="C210" s="201"/>
      <c r="D210" s="202"/>
      <c r="E210" s="226"/>
      <c r="F210" s="295"/>
      <c r="G210" s="296"/>
      <c r="H210" s="199" t="s">
        <v>508</v>
      </c>
      <c r="I210" s="130" t="s">
        <v>1</v>
      </c>
      <c r="J210" s="126">
        <v>0.8</v>
      </c>
      <c r="K210" s="126">
        <v>6</v>
      </c>
      <c r="L210" s="125">
        <f>IF(I210&lt;&gt;0,((VLOOKUP(I210,'1. Standard_Cost'!$B$4:$D$11,2)+VLOOKUP(I210,'1. Standard_Cost'!$B$4:$D$11,3))*J210*K210),"0")</f>
        <v>344605.71428571432</v>
      </c>
      <c r="M210" s="125">
        <f>L210*'1. Standard_Cost'!$F$4</f>
        <v>57549.154285714292</v>
      </c>
      <c r="N210" s="126">
        <v>10</v>
      </c>
      <c r="O210" s="126">
        <v>1</v>
      </c>
      <c r="P210" s="126">
        <v>20</v>
      </c>
      <c r="Q210" s="126"/>
      <c r="R210" s="127">
        <f>'1. Standard_Cost'!$B$15*N210*P210</f>
        <v>400000</v>
      </c>
      <c r="S210" s="127">
        <f>N210*O210*P210*'1. Standard_Cost'!$C$15</f>
        <v>300000</v>
      </c>
      <c r="T210" s="127">
        <f>N210*P210*Q210*'1. Standard_Cost'!$D$15</f>
        <v>0</v>
      </c>
      <c r="U210" s="127">
        <f>N210*O210*'1. Standard_Cost'!$E$15</f>
        <v>400000</v>
      </c>
      <c r="V210" s="126"/>
      <c r="W210" s="126"/>
      <c r="X210" s="126"/>
      <c r="Y210" s="127">
        <f>+V210*((X210*'1. Standard_Cost'!$B$19)+(W210*X210*'1. Standard_Cost'!$C$19))</f>
        <v>0</v>
      </c>
      <c r="Z210" s="126"/>
      <c r="AA210" s="126">
        <v>11</v>
      </c>
      <c r="AB210" s="127">
        <f>+Z210*'1. Standard_Cost'!$B$23+AA210*'1. Standard_Cost'!$C$23</f>
        <v>209000</v>
      </c>
      <c r="AC210" s="128">
        <f>200*3300</f>
        <v>660000</v>
      </c>
      <c r="AD210" s="129"/>
      <c r="AE210" s="127">
        <f>SUM(AD210,AC210,AB210,Y210,U210,T210,S210,R210)*'1. Standard_Cost'!$B$31</f>
        <v>393800</v>
      </c>
      <c r="AF210" s="127">
        <f>SUM(AE210,AD210,AC210,AB210,Y210,U210,T210,S210,R210)</f>
        <v>2362800</v>
      </c>
      <c r="AG210" s="126"/>
      <c r="AH210" s="126"/>
      <c r="AI210" s="126"/>
      <c r="AJ210" s="130"/>
      <c r="AK210" s="130"/>
      <c r="AL210" s="130"/>
      <c r="AM210" s="127">
        <f>AG210*'1. Standard_Cost'!$B$27+'Incremental_Cost Year 4'!AH210*'1. Standard_Cost'!$C$27+'Incremental_Cost Year 4'!AI210*'1. Standard_Cost'!$D$27+'Incremental_Cost Year 4'!AJ210+'Incremental_Cost Year 4'!AL210+AK210</f>
        <v>0</v>
      </c>
      <c r="AN210" s="127">
        <f>AM210*'1. Standard_Cost'!$C$31</f>
        <v>0</v>
      </c>
      <c r="AO210" s="130"/>
      <c r="AQ210" s="171">
        <f>L210+M210</f>
        <v>402154.86857142858</v>
      </c>
      <c r="AR210" s="171">
        <f>AF210</f>
        <v>2362800</v>
      </c>
      <c r="AS210" s="171">
        <f>AM210+AN210</f>
        <v>0</v>
      </c>
      <c r="AT210" s="171">
        <f>SUM(AQ210,AR210,AS210)</f>
        <v>2764954.8685714286</v>
      </c>
      <c r="AU210" s="250">
        <f>AQ210</f>
        <v>402154.86857142858</v>
      </c>
      <c r="AV210" s="250"/>
      <c r="AW210" s="250"/>
      <c r="AX210" s="250"/>
      <c r="AY210" s="250"/>
      <c r="AZ210" s="250"/>
      <c r="BA210" s="250"/>
      <c r="BB210" s="251">
        <f t="shared" ref="BB210:BB211" si="142">SUM(AU210:BA210)-AT210</f>
        <v>-2362800</v>
      </c>
      <c r="BC210" s="169"/>
      <c r="BD210" s="169"/>
      <c r="BE210" s="169"/>
      <c r="BF210" s="169"/>
    </row>
    <row r="211" spans="1:58" ht="126" outlineLevel="2" x14ac:dyDescent="0.25">
      <c r="A211" s="115"/>
      <c r="B211" s="200"/>
      <c r="C211" s="201"/>
      <c r="D211" s="202"/>
      <c r="E211" s="310"/>
      <c r="F211" s="122"/>
      <c r="G211" s="123"/>
      <c r="H211" s="199" t="s">
        <v>509</v>
      </c>
      <c r="I211" s="130" t="s">
        <v>1</v>
      </c>
      <c r="J211" s="126">
        <v>0.8</v>
      </c>
      <c r="K211" s="126">
        <v>6</v>
      </c>
      <c r="L211" s="125">
        <f>IF(I211&lt;&gt;0,((VLOOKUP(I211,'1. Standard_Cost'!$B$4:$D$11,2)+VLOOKUP(I211,'1. Standard_Cost'!$B$4:$D$11,3))*J211*K211),"0")</f>
        <v>344605.71428571432</v>
      </c>
      <c r="M211" s="125">
        <f>L211*'1. Standard_Cost'!$F$4</f>
        <v>57549.154285714292</v>
      </c>
      <c r="N211" s="126">
        <v>10</v>
      </c>
      <c r="O211" s="126">
        <v>1</v>
      </c>
      <c r="P211" s="126">
        <v>20</v>
      </c>
      <c r="Q211" s="126"/>
      <c r="R211" s="127">
        <f>'1. Standard_Cost'!$B$15*N211*P211</f>
        <v>400000</v>
      </c>
      <c r="S211" s="127">
        <f>N211*O211*P211*'1. Standard_Cost'!$C$15</f>
        <v>300000</v>
      </c>
      <c r="T211" s="127">
        <f>N211*P211*Q211*'1. Standard_Cost'!$D$15</f>
        <v>0</v>
      </c>
      <c r="U211" s="127">
        <f>N211*O211*'1. Standard_Cost'!$E$15</f>
        <v>400000</v>
      </c>
      <c r="V211" s="126"/>
      <c r="W211" s="126"/>
      <c r="X211" s="126"/>
      <c r="Y211" s="127">
        <f>+V211*((X211*'1. Standard_Cost'!$B$19)+(W211*X211*'1. Standard_Cost'!$C$19))</f>
        <v>0</v>
      </c>
      <c r="Z211" s="126"/>
      <c r="AA211" s="126">
        <v>11</v>
      </c>
      <c r="AB211" s="127">
        <f>+Z211*'1. Standard_Cost'!$B$23+AA211*'1. Standard_Cost'!$C$23</f>
        <v>209000</v>
      </c>
      <c r="AC211" s="128">
        <f>200*3300</f>
        <v>660000</v>
      </c>
      <c r="AD211" s="129"/>
      <c r="AE211" s="127">
        <f>SUM(AD211,AC211,AB211,Y211,U211,T211,S211,R211)*'1. Standard_Cost'!$B$31</f>
        <v>393800</v>
      </c>
      <c r="AF211" s="127">
        <f>SUM(AE211,AD211,AC211,AB211,Y211,U211,T211,S211,R211)</f>
        <v>2362800</v>
      </c>
      <c r="AG211" s="126"/>
      <c r="AH211" s="126"/>
      <c r="AI211" s="126"/>
      <c r="AJ211" s="130"/>
      <c r="AK211" s="130"/>
      <c r="AL211" s="130"/>
      <c r="AM211" s="127">
        <f>AG211*'1. Standard_Cost'!$B$27+'Incremental_Cost Year 4'!AH211*'1. Standard_Cost'!$C$27+'Incremental_Cost Year 4'!AI211*'1. Standard_Cost'!$D$27+'Incremental_Cost Year 4'!AJ211+'Incremental_Cost Year 4'!AL211+AK211</f>
        <v>0</v>
      </c>
      <c r="AN211" s="127">
        <f>AM211*'1. Standard_Cost'!$C$31</f>
        <v>0</v>
      </c>
      <c r="AO211" s="130"/>
      <c r="AQ211" s="171">
        <f>L211+M211</f>
        <v>402154.86857142858</v>
      </c>
      <c r="AR211" s="171">
        <f>AF211</f>
        <v>2362800</v>
      </c>
      <c r="AS211" s="171">
        <f>AM211+AN211</f>
        <v>0</v>
      </c>
      <c r="AT211" s="171">
        <f>SUM(AQ211,AR211,AS211)</f>
        <v>2764954.8685714286</v>
      </c>
      <c r="AU211" s="250">
        <f>AQ211</f>
        <v>402154.86857142858</v>
      </c>
      <c r="AV211" s="250"/>
      <c r="AW211" s="250"/>
      <c r="AX211" s="250"/>
      <c r="AY211" s="250"/>
      <c r="AZ211" s="250"/>
      <c r="BA211" s="250"/>
      <c r="BB211" s="251">
        <f t="shared" si="142"/>
        <v>-2362800</v>
      </c>
      <c r="BC211" s="169"/>
      <c r="BD211" s="169"/>
      <c r="BE211" s="169"/>
      <c r="BF211" s="169"/>
    </row>
    <row r="212" spans="1:58" ht="47.25" outlineLevel="1" x14ac:dyDescent="0.25">
      <c r="A212" s="115"/>
      <c r="B212" s="165"/>
      <c r="C212" s="166"/>
      <c r="D212" s="107" t="s">
        <v>233</v>
      </c>
      <c r="E212" s="212" t="s">
        <v>248</v>
      </c>
      <c r="F212" s="136">
        <v>2022</v>
      </c>
      <c r="G212" s="117">
        <v>2025</v>
      </c>
      <c r="H212" s="110" t="s">
        <v>188</v>
      </c>
      <c r="I212" s="252"/>
      <c r="J212" s="252"/>
      <c r="K212" s="252"/>
      <c r="L212" s="127">
        <f>SUM(L210:L211)</f>
        <v>689211.42857142864</v>
      </c>
      <c r="M212" s="127">
        <f>SUM(M210:M211)</f>
        <v>115098.30857142858</v>
      </c>
      <c r="N212" s="252"/>
      <c r="O212" s="252"/>
      <c r="P212" s="252"/>
      <c r="Q212" s="252"/>
      <c r="R212" s="127">
        <f>SUM(R210:R211)</f>
        <v>800000</v>
      </c>
      <c r="S212" s="127">
        <f>SUM(S210:S211)</f>
        <v>600000</v>
      </c>
      <c r="T212" s="127">
        <f>SUM(T210:T211)</f>
        <v>0</v>
      </c>
      <c r="U212" s="127">
        <f>SUM(U210:U211)</f>
        <v>800000</v>
      </c>
      <c r="V212" s="252"/>
      <c r="W212" s="252"/>
      <c r="X212" s="252"/>
      <c r="Y212" s="127">
        <f>SUM(Y210:Y211)</f>
        <v>0</v>
      </c>
      <c r="Z212" s="252"/>
      <c r="AA212" s="252"/>
      <c r="AB212" s="127">
        <f>SUM(AB210:AB211)</f>
        <v>418000</v>
      </c>
      <c r="AC212" s="127">
        <f>SUM(AC210:AC211)</f>
        <v>1320000</v>
      </c>
      <c r="AD212" s="127">
        <f>SUM(AD210:AD211)</f>
        <v>0</v>
      </c>
      <c r="AE212" s="127">
        <f>SUM(AE210:AE211)</f>
        <v>787600</v>
      </c>
      <c r="AF212" s="127">
        <f>SUM(AF210:AF211)</f>
        <v>4725600</v>
      </c>
      <c r="AG212" s="252"/>
      <c r="AH212" s="252"/>
      <c r="AI212" s="252"/>
      <c r="AJ212" s="127">
        <f>SUM(AJ210:AJ211)</f>
        <v>0</v>
      </c>
      <c r="AK212" s="127">
        <f>SUM(AK210:AK211)</f>
        <v>0</v>
      </c>
      <c r="AL212" s="127">
        <f>SUM(AL210:AL211)</f>
        <v>0</v>
      </c>
      <c r="AM212" s="127">
        <f>SUM(AM210:AM211)</f>
        <v>0</v>
      </c>
      <c r="AN212" s="127">
        <f>SUM(AN210:AN211)</f>
        <v>0</v>
      </c>
      <c r="AO212" s="253"/>
      <c r="AP212" s="254"/>
      <c r="AQ212" s="175">
        <f>SUM(AQ210:AQ211)</f>
        <v>804309.73714285716</v>
      </c>
      <c r="AR212" s="175">
        <f>SUM(AR210:AR211)</f>
        <v>4725600</v>
      </c>
      <c r="AS212" s="175">
        <f>SUM(AS210:AS211)</f>
        <v>0</v>
      </c>
      <c r="AT212" s="175">
        <f>SUM(AT210:AT211)</f>
        <v>5529909.7371428572</v>
      </c>
      <c r="AU212" s="175">
        <f t="shared" ref="AU212:BB212" si="143">SUM(AU210:AU211)</f>
        <v>804309.73714285716</v>
      </c>
      <c r="AV212" s="175">
        <f t="shared" si="143"/>
        <v>0</v>
      </c>
      <c r="AW212" s="175">
        <f t="shared" si="143"/>
        <v>0</v>
      </c>
      <c r="AX212" s="175">
        <f t="shared" si="143"/>
        <v>0</v>
      </c>
      <c r="AY212" s="175">
        <f t="shared" si="143"/>
        <v>0</v>
      </c>
      <c r="AZ212" s="175">
        <f t="shared" si="143"/>
        <v>0</v>
      </c>
      <c r="BA212" s="175">
        <f t="shared" si="143"/>
        <v>0</v>
      </c>
      <c r="BB212" s="175">
        <f t="shared" si="143"/>
        <v>-4725600</v>
      </c>
      <c r="BC212" s="169"/>
      <c r="BD212" s="169"/>
      <c r="BE212" s="169"/>
      <c r="BF212" s="169"/>
    </row>
    <row r="213" spans="1:58" s="184" customFormat="1" ht="15.75" customHeight="1" x14ac:dyDescent="0.25">
      <c r="A213" s="143"/>
      <c r="B213" s="332"/>
      <c r="C213" s="397" t="s">
        <v>249</v>
      </c>
      <c r="D213" s="397"/>
      <c r="E213" s="398"/>
      <c r="F213" s="291"/>
      <c r="G213" s="340"/>
      <c r="H213" s="144" t="s">
        <v>299</v>
      </c>
      <c r="I213" s="257"/>
      <c r="J213" s="257"/>
      <c r="K213" s="257"/>
      <c r="L213" s="258">
        <f>SUM(L220)</f>
        <v>843674828.57142854</v>
      </c>
      <c r="M213" s="258">
        <f>SUM(M220)</f>
        <v>140893696.37142858</v>
      </c>
      <c r="N213" s="257"/>
      <c r="O213" s="257"/>
      <c r="P213" s="257"/>
      <c r="Q213" s="257"/>
      <c r="R213" s="258">
        <f>SUM(R220)</f>
        <v>0</v>
      </c>
      <c r="S213" s="258">
        <f>SUM(S220)</f>
        <v>0</v>
      </c>
      <c r="T213" s="258">
        <f>SUM(T220)</f>
        <v>0</v>
      </c>
      <c r="U213" s="258">
        <f>SUM(U220)</f>
        <v>0</v>
      </c>
      <c r="V213" s="257"/>
      <c r="W213" s="257"/>
      <c r="X213" s="257"/>
      <c r="Y213" s="258">
        <f>SUM(Y220)</f>
        <v>0</v>
      </c>
      <c r="Z213" s="258"/>
      <c r="AA213" s="258"/>
      <c r="AB213" s="258">
        <f>SUM(AB220)</f>
        <v>0</v>
      </c>
      <c r="AC213" s="258">
        <f>SUM(AC220)</f>
        <v>1442163000</v>
      </c>
      <c r="AD213" s="258">
        <f>SUM(AD220)</f>
        <v>0</v>
      </c>
      <c r="AE213" s="258">
        <f>SUM(AE220)</f>
        <v>0</v>
      </c>
      <c r="AF213" s="258">
        <f>SUM(AF220)</f>
        <v>1442163000</v>
      </c>
      <c r="AG213" s="257"/>
      <c r="AH213" s="257"/>
      <c r="AI213" s="257"/>
      <c r="AJ213" s="258">
        <f>SUM(AJ220)</f>
        <v>0</v>
      </c>
      <c r="AK213" s="258">
        <f>SUM(AK220)</f>
        <v>0</v>
      </c>
      <c r="AL213" s="258">
        <f>SUM(AL220)</f>
        <v>125000000</v>
      </c>
      <c r="AM213" s="258">
        <f>SUM(AM220)</f>
        <v>125000000</v>
      </c>
      <c r="AN213" s="258">
        <f>SUM(AN220)</f>
        <v>18750000</v>
      </c>
      <c r="AO213" s="259"/>
      <c r="AP213" s="260"/>
      <c r="AQ213" s="261">
        <f>SUM(AQ220)</f>
        <v>984568524.94285715</v>
      </c>
      <c r="AR213" s="261">
        <f>SUM(AR220)</f>
        <v>1442163000</v>
      </c>
      <c r="AS213" s="261">
        <f>SUM(AS220)</f>
        <v>143750000</v>
      </c>
      <c r="AT213" s="261">
        <f>SUM(AT220)</f>
        <v>2570481524.9428573</v>
      </c>
      <c r="AU213" s="261">
        <f t="shared" ref="AU213:BB213" si="144">SUM(AU220)</f>
        <v>2551731524.9428573</v>
      </c>
      <c r="AV213" s="261">
        <f t="shared" si="144"/>
        <v>0</v>
      </c>
      <c r="AW213" s="261">
        <f t="shared" si="144"/>
        <v>0</v>
      </c>
      <c r="AX213" s="261">
        <f t="shared" si="144"/>
        <v>0</v>
      </c>
      <c r="AY213" s="261">
        <f t="shared" si="144"/>
        <v>0</v>
      </c>
      <c r="AZ213" s="261">
        <f t="shared" si="144"/>
        <v>0</v>
      </c>
      <c r="BA213" s="261">
        <f t="shared" si="144"/>
        <v>0</v>
      </c>
      <c r="BB213" s="261">
        <f t="shared" si="144"/>
        <v>-18750000</v>
      </c>
    </row>
    <row r="214" spans="1:58" ht="31.5" outlineLevel="2" x14ac:dyDescent="0.25">
      <c r="A214" s="115"/>
      <c r="B214" s="200"/>
      <c r="C214" s="201"/>
      <c r="D214" s="210"/>
      <c r="E214" s="328"/>
      <c r="F214" s="328"/>
      <c r="G214" s="328"/>
      <c r="H214" s="199" t="s">
        <v>510</v>
      </c>
      <c r="I214" s="130"/>
      <c r="J214" s="126"/>
      <c r="K214" s="126"/>
      <c r="L214" s="125" t="str">
        <f>IF(I214&lt;&gt;0,((VLOOKUP(I214,'1. Standard_Cost'!$B$4:$D$11,2)+VLOOKUP(I214,'1. Standard_Cost'!$B$4:$D$11,3))*J214*K214),"0")</f>
        <v>0</v>
      </c>
      <c r="M214" s="125">
        <f>L214*'1. Standard_Cost'!$F$4</f>
        <v>0</v>
      </c>
      <c r="N214" s="126"/>
      <c r="O214" s="126"/>
      <c r="P214" s="126"/>
      <c r="Q214" s="126"/>
      <c r="R214" s="127">
        <f>'1. Standard_Cost'!$B$15*N214*P214</f>
        <v>0</v>
      </c>
      <c r="S214" s="127">
        <f>N214*O214*P214*'1. Standard_Cost'!$C$15</f>
        <v>0</v>
      </c>
      <c r="T214" s="127">
        <f>N214*P214*Q214*'1. Standard_Cost'!$D$15</f>
        <v>0</v>
      </c>
      <c r="U214" s="127">
        <f>N214*O214*'1. Standard_Cost'!$E$15</f>
        <v>0</v>
      </c>
      <c r="V214" s="126"/>
      <c r="W214" s="126"/>
      <c r="X214" s="126"/>
      <c r="Y214" s="127">
        <f>+V214*((X214*'1. Standard_Cost'!$B$19)+(W214*X214*'1. Standard_Cost'!$C$19))</f>
        <v>0</v>
      </c>
      <c r="Z214" s="126"/>
      <c r="AA214" s="126"/>
      <c r="AB214" s="127">
        <f>+Z214*'1. Standard_Cost'!$B$23+AA214*'1. Standard_Cost'!$C$23</f>
        <v>0</v>
      </c>
      <c r="AC214" s="128"/>
      <c r="AD214" s="129"/>
      <c r="AE214" s="127">
        <f>SUM(AD214,AC214,AB214,Y214,U214,T214,S214,R214)*'1. Standard_Cost'!$B$31</f>
        <v>0</v>
      </c>
      <c r="AF214" s="127">
        <f t="shared" ref="AF214:AF219" si="145">SUM(AE214,AD214,AC214,AB214,Y214,U214,T214,S214,R214)</f>
        <v>0</v>
      </c>
      <c r="AG214" s="126"/>
      <c r="AH214" s="126"/>
      <c r="AI214" s="126"/>
      <c r="AJ214" s="130"/>
      <c r="AK214" s="130"/>
      <c r="AL214" s="130">
        <v>85000000</v>
      </c>
      <c r="AM214" s="127">
        <f>AG214*'1. Standard_Cost'!$B$27+'Incremental_Cost Year 4'!AH214*'1. Standard_Cost'!$C$27+'Incremental_Cost Year 4'!AI214*'1. Standard_Cost'!$D$27+'Incremental_Cost Year 4'!AJ214+'Incremental_Cost Year 4'!AL214+AK214</f>
        <v>85000000</v>
      </c>
      <c r="AN214" s="127">
        <f>AM214*'1. Standard_Cost'!$C$31</f>
        <v>12750000</v>
      </c>
      <c r="AO214" s="130"/>
      <c r="AQ214" s="171">
        <f t="shared" ref="AQ214:AQ219" si="146">L214+M214</f>
        <v>0</v>
      </c>
      <c r="AR214" s="171">
        <f t="shared" ref="AR214:AR219" si="147">AF214</f>
        <v>0</v>
      </c>
      <c r="AS214" s="171">
        <f t="shared" ref="AS214:AS219" si="148">AM214+AN214</f>
        <v>97750000</v>
      </c>
      <c r="AT214" s="171">
        <f t="shared" ref="AT214:AT219" si="149">SUM(AQ214,AR214,AS214)</f>
        <v>97750000</v>
      </c>
      <c r="AU214" s="250">
        <v>85000000</v>
      </c>
      <c r="AV214" s="250"/>
      <c r="AW214" s="250"/>
      <c r="AX214" s="250"/>
      <c r="AY214" s="250"/>
      <c r="AZ214" s="250"/>
      <c r="BA214" s="250"/>
      <c r="BB214" s="251">
        <f t="shared" ref="BB214:BB219" si="150">SUM(AU214:BA214)-AT214</f>
        <v>-12750000</v>
      </c>
      <c r="BC214" s="169"/>
      <c r="BD214" s="169"/>
      <c r="BE214" s="169"/>
      <c r="BF214" s="169"/>
    </row>
    <row r="215" spans="1:58" ht="47.25" outlineLevel="2" x14ac:dyDescent="0.25">
      <c r="A215" s="115"/>
      <c r="B215" s="200"/>
      <c r="C215" s="201"/>
      <c r="D215" s="203"/>
      <c r="E215" s="328"/>
      <c r="F215" s="328"/>
      <c r="G215" s="328"/>
      <c r="H215" s="199" t="s">
        <v>511</v>
      </c>
      <c r="I215" s="130" t="s">
        <v>3</v>
      </c>
      <c r="J215" s="126">
        <v>4</v>
      </c>
      <c r="K215" s="126">
        <v>3</v>
      </c>
      <c r="L215" s="125">
        <f>IF(I215&lt;&gt;0,((VLOOKUP(I215,'1. Standard_Cost'!$B$4:$D$11,2)+VLOOKUP(I215,'1. Standard_Cost'!$B$4:$D$11,3))*J215*K215),"0")</f>
        <v>1209600</v>
      </c>
      <c r="M215" s="125">
        <f>L215*'1. Standard_Cost'!$F$4</f>
        <v>202003.20000000001</v>
      </c>
      <c r="N215" s="126"/>
      <c r="O215" s="126"/>
      <c r="P215" s="126"/>
      <c r="Q215" s="126"/>
      <c r="R215" s="127">
        <f>'1. Standard_Cost'!$B$15*N215*P215</f>
        <v>0</v>
      </c>
      <c r="S215" s="127">
        <f>N215*O215*P215*'1. Standard_Cost'!$C$15</f>
        <v>0</v>
      </c>
      <c r="T215" s="127">
        <f>N215*P215*Q215*'1. Standard_Cost'!$D$15</f>
        <v>0</v>
      </c>
      <c r="U215" s="127">
        <f>N215*O215*'1. Standard_Cost'!$E$15</f>
        <v>0</v>
      </c>
      <c r="V215" s="126"/>
      <c r="W215" s="126"/>
      <c r="X215" s="126"/>
      <c r="Y215" s="127">
        <f>+V215*((X215*'1. Standard_Cost'!$B$19)+(W215*X215*'1. Standard_Cost'!$C$19))</f>
        <v>0</v>
      </c>
      <c r="Z215" s="126"/>
      <c r="AA215" s="126"/>
      <c r="AB215" s="127">
        <f>+Z215*'1. Standard_Cost'!$B$23+AA215*'1. Standard_Cost'!$C$23</f>
        <v>0</v>
      </c>
      <c r="AC215" s="128"/>
      <c r="AD215" s="129"/>
      <c r="AE215" s="127">
        <f>SUM(AD215,AC215,AB215,Y215,U215,T215,S215,R215)*'1. Standard_Cost'!$B$31</f>
        <v>0</v>
      </c>
      <c r="AF215" s="127">
        <f t="shared" si="145"/>
        <v>0</v>
      </c>
      <c r="AG215" s="126"/>
      <c r="AH215" s="126"/>
      <c r="AI215" s="126"/>
      <c r="AJ215" s="130"/>
      <c r="AK215" s="130"/>
      <c r="AL215" s="130"/>
      <c r="AM215" s="127">
        <f>AG215*'1. Standard_Cost'!$B$27+'Incremental_Cost Year 4'!AH215*'1. Standard_Cost'!$C$27+'Incremental_Cost Year 4'!AI215*'1. Standard_Cost'!$D$27+'Incremental_Cost Year 4'!AJ215+'Incremental_Cost Year 4'!AL215+AK215</f>
        <v>0</v>
      </c>
      <c r="AN215" s="127">
        <f>AM215*'1. Standard_Cost'!$C$31</f>
        <v>0</v>
      </c>
      <c r="AO215" s="130"/>
      <c r="AQ215" s="171">
        <f t="shared" si="146"/>
        <v>1411603.2</v>
      </c>
      <c r="AR215" s="171">
        <f t="shared" si="147"/>
        <v>0</v>
      </c>
      <c r="AS215" s="171">
        <f t="shared" si="148"/>
        <v>0</v>
      </c>
      <c r="AT215" s="171">
        <f t="shared" si="149"/>
        <v>1411603.2</v>
      </c>
      <c r="AU215" s="250">
        <f>AT215</f>
        <v>1411603.2</v>
      </c>
      <c r="AV215" s="250"/>
      <c r="AW215" s="250"/>
      <c r="AX215" s="250"/>
      <c r="AY215" s="250"/>
      <c r="AZ215" s="250"/>
      <c r="BA215" s="250"/>
      <c r="BB215" s="251">
        <f t="shared" si="150"/>
        <v>0</v>
      </c>
      <c r="BC215" s="169"/>
      <c r="BD215" s="169"/>
      <c r="BE215" s="169"/>
      <c r="BF215" s="169"/>
    </row>
    <row r="216" spans="1:58" ht="78.75" outlineLevel="2" x14ac:dyDescent="0.25">
      <c r="A216" s="115"/>
      <c r="B216" s="200"/>
      <c r="C216" s="201"/>
      <c r="D216" s="203"/>
      <c r="E216" s="328"/>
      <c r="F216" s="328"/>
      <c r="G216" s="328"/>
      <c r="H216" s="199" t="s">
        <v>512</v>
      </c>
      <c r="I216" s="130"/>
      <c r="J216" s="126"/>
      <c r="K216" s="126"/>
      <c r="L216" s="125" t="str">
        <f>IF(I216&lt;&gt;0,((VLOOKUP(I216,'1. Standard_Cost'!$B$4:$D$11,2)+VLOOKUP(I216,'1. Standard_Cost'!$B$4:$D$11,3))*J216*K216),"0")</f>
        <v>0</v>
      </c>
      <c r="M216" s="125">
        <f>L216*'1. Standard_Cost'!$F$4</f>
        <v>0</v>
      </c>
      <c r="N216" s="126"/>
      <c r="O216" s="126"/>
      <c r="P216" s="126"/>
      <c r="Q216" s="126"/>
      <c r="R216" s="127">
        <f>'1. Standard_Cost'!$B$15*N216*P216</f>
        <v>0</v>
      </c>
      <c r="S216" s="127">
        <f>N216*O216*P216*'1. Standard_Cost'!$C$15</f>
        <v>0</v>
      </c>
      <c r="T216" s="127">
        <f>N216*P216*Q216*'1. Standard_Cost'!$D$15</f>
        <v>0</v>
      </c>
      <c r="U216" s="127">
        <f>N216*O216*'1. Standard_Cost'!$E$15</f>
        <v>0</v>
      </c>
      <c r="V216" s="126"/>
      <c r="W216" s="126"/>
      <c r="X216" s="126"/>
      <c r="Y216" s="127">
        <f>+V216*((X216*'1. Standard_Cost'!$B$19)+(W216*X216*'1. Standard_Cost'!$C$19))</f>
        <v>0</v>
      </c>
      <c r="Z216" s="126"/>
      <c r="AA216" s="126"/>
      <c r="AB216" s="127">
        <f>+Z216*'1. Standard_Cost'!$B$23+AA216*'1. Standard_Cost'!$C$23</f>
        <v>0</v>
      </c>
      <c r="AC216" s="128"/>
      <c r="AD216" s="129"/>
      <c r="AE216" s="127">
        <f>SUM(AD216,AC216,AB216,Y216,U216,T216,S216,R216)*'1. Standard_Cost'!$B$31</f>
        <v>0</v>
      </c>
      <c r="AF216" s="127">
        <f t="shared" si="145"/>
        <v>0</v>
      </c>
      <c r="AG216" s="126"/>
      <c r="AH216" s="126"/>
      <c r="AI216" s="126"/>
      <c r="AJ216" s="130"/>
      <c r="AK216" s="130"/>
      <c r="AL216" s="130">
        <v>40000000</v>
      </c>
      <c r="AM216" s="127">
        <f>AG216*'1. Standard_Cost'!$B$27+'Incremental_Cost Year 4'!AH216*'1. Standard_Cost'!$C$27+'Incremental_Cost Year 4'!AI216*'1. Standard_Cost'!$D$27+'Incremental_Cost Year 4'!AJ216+'Incremental_Cost Year 4'!AL216+AK216</f>
        <v>40000000</v>
      </c>
      <c r="AN216" s="127">
        <f>AM216*'1. Standard_Cost'!$C$31</f>
        <v>6000000</v>
      </c>
      <c r="AO216" s="130"/>
      <c r="AQ216" s="171">
        <f t="shared" si="146"/>
        <v>0</v>
      </c>
      <c r="AR216" s="171">
        <f t="shared" si="147"/>
        <v>0</v>
      </c>
      <c r="AS216" s="171">
        <f t="shared" si="148"/>
        <v>46000000</v>
      </c>
      <c r="AT216" s="171">
        <f t="shared" si="149"/>
        <v>46000000</v>
      </c>
      <c r="AU216" s="250">
        <f>40000000</f>
        <v>40000000</v>
      </c>
      <c r="AV216" s="250"/>
      <c r="AW216" s="250"/>
      <c r="AX216" s="250"/>
      <c r="AY216" s="250"/>
      <c r="AZ216" s="250"/>
      <c r="BA216" s="250"/>
      <c r="BB216" s="251">
        <f t="shared" si="150"/>
        <v>-6000000</v>
      </c>
      <c r="BC216" s="169"/>
      <c r="BD216" s="169"/>
      <c r="BE216" s="169"/>
      <c r="BF216" s="169"/>
    </row>
    <row r="217" spans="1:58" ht="47.25" outlineLevel="2" x14ac:dyDescent="0.25">
      <c r="A217" s="115"/>
      <c r="B217" s="200"/>
      <c r="C217" s="201"/>
      <c r="D217" s="203"/>
      <c r="E217" s="328"/>
      <c r="F217" s="328"/>
      <c r="G217" s="328"/>
      <c r="H217" s="213" t="s">
        <v>250</v>
      </c>
      <c r="I217" s="130" t="s">
        <v>1</v>
      </c>
      <c r="J217" s="126">
        <v>12</v>
      </c>
      <c r="K217" s="126">
        <v>824</v>
      </c>
      <c r="L217" s="125">
        <f>IF(I217&lt;&gt;0,((VLOOKUP(I217,'1. Standard_Cost'!$B$4:$D$11,2)+VLOOKUP(I217,'1. Standard_Cost'!$B$4:$D$11,3))*J217*K217),"0")</f>
        <v>709887771.42857134</v>
      </c>
      <c r="M217" s="125">
        <f>L217*'1. Standard_Cost'!$F$4</f>
        <v>118551257.82857142</v>
      </c>
      <c r="N217" s="126"/>
      <c r="O217" s="126"/>
      <c r="P217" s="126"/>
      <c r="Q217" s="126"/>
      <c r="R217" s="127">
        <f>'1. Standard_Cost'!$B$15*N217*P217</f>
        <v>0</v>
      </c>
      <c r="S217" s="127">
        <f>N217*O217*P217*'1. Standard_Cost'!$C$15</f>
        <v>0</v>
      </c>
      <c r="T217" s="127">
        <f>N217*P217*Q217*'1. Standard_Cost'!$D$15</f>
        <v>0</v>
      </c>
      <c r="U217" s="127">
        <f>N217*O217*'1. Standard_Cost'!$E$15</f>
        <v>0</v>
      </c>
      <c r="V217" s="126"/>
      <c r="W217" s="126"/>
      <c r="X217" s="126"/>
      <c r="Y217" s="127">
        <f>+V217*((X217*'1. Standard_Cost'!$B$19)+(W217*X217*'1. Standard_Cost'!$C$19))</f>
        <v>0</v>
      </c>
      <c r="Z217" s="126"/>
      <c r="AA217" s="126"/>
      <c r="AB217" s="127">
        <f>+Z217*'1. Standard_Cost'!$B$23+AA217*'1. Standard_Cost'!$C$23</f>
        <v>0</v>
      </c>
      <c r="AC217" s="128">
        <f>230000000+250000000*2</f>
        <v>730000000</v>
      </c>
      <c r="AD217" s="129"/>
      <c r="AE217" s="127"/>
      <c r="AF217" s="127">
        <f t="shared" si="145"/>
        <v>730000000</v>
      </c>
      <c r="AG217" s="126"/>
      <c r="AH217" s="126"/>
      <c r="AI217" s="126"/>
      <c r="AJ217" s="130"/>
      <c r="AK217" s="130"/>
      <c r="AL217" s="130"/>
      <c r="AM217" s="127">
        <f>AG217*'1. Standard_Cost'!$B$27+'Incremental_Cost Year 4'!AH217*'1. Standard_Cost'!$C$27+'Incremental_Cost Year 4'!AI217*'1. Standard_Cost'!$D$27+'Incremental_Cost Year 4'!AJ217+'Incremental_Cost Year 4'!AL217+AK217</f>
        <v>0</v>
      </c>
      <c r="AN217" s="127">
        <f>AM217*'1. Standard_Cost'!$C$31</f>
        <v>0</v>
      </c>
      <c r="AO217" s="130"/>
      <c r="AQ217" s="171">
        <f t="shared" si="146"/>
        <v>828439029.25714278</v>
      </c>
      <c r="AR217" s="171">
        <f t="shared" si="147"/>
        <v>730000000</v>
      </c>
      <c r="AS217" s="171">
        <f t="shared" si="148"/>
        <v>0</v>
      </c>
      <c r="AT217" s="171">
        <f t="shared" si="149"/>
        <v>1558439029.2571428</v>
      </c>
      <c r="AU217" s="250">
        <f>AT217</f>
        <v>1558439029.2571428</v>
      </c>
      <c r="AV217" s="250"/>
      <c r="AW217" s="250"/>
      <c r="AX217" s="250"/>
      <c r="AY217" s="250"/>
      <c r="AZ217" s="250"/>
      <c r="BA217" s="250"/>
      <c r="BB217" s="251">
        <f t="shared" si="150"/>
        <v>0</v>
      </c>
      <c r="BC217" s="169"/>
      <c r="BD217" s="169"/>
      <c r="BE217" s="169"/>
      <c r="BF217" s="169"/>
    </row>
    <row r="218" spans="1:58" ht="47.25" outlineLevel="2" x14ac:dyDescent="0.25">
      <c r="A218" s="115"/>
      <c r="B218" s="200"/>
      <c r="C218" s="201"/>
      <c r="D218" s="203"/>
      <c r="E218" s="328"/>
      <c r="F218" s="328"/>
      <c r="G218" s="328"/>
      <c r="H218" s="213" t="s">
        <v>513</v>
      </c>
      <c r="I218" s="130" t="s">
        <v>1</v>
      </c>
      <c r="J218" s="126">
        <v>12</v>
      </c>
      <c r="K218" s="126">
        <v>123</v>
      </c>
      <c r="L218" s="125">
        <f>IF(I218&lt;&gt;0,((VLOOKUP(I218,'1. Standard_Cost'!$B$4:$D$11,2)+VLOOKUP(I218,'1. Standard_Cost'!$B$4:$D$11,3))*J218*K218),"0")</f>
        <v>105966257.14285713</v>
      </c>
      <c r="M218" s="125">
        <f>L218*'1. Standard_Cost'!$F$4</f>
        <v>17696364.942857143</v>
      </c>
      <c r="N218" s="126"/>
      <c r="O218" s="126"/>
      <c r="P218" s="126"/>
      <c r="Q218" s="126"/>
      <c r="R218" s="127">
        <f>'1. Standard_Cost'!$B$15*N218*P218</f>
        <v>0</v>
      </c>
      <c r="S218" s="127">
        <f>N218*O218*P218*'1. Standard_Cost'!$C$15</f>
        <v>0</v>
      </c>
      <c r="T218" s="127">
        <f>N218*P218*Q218*'1. Standard_Cost'!$D$15</f>
        <v>0</v>
      </c>
      <c r="U218" s="127">
        <f>N218*O218*'1. Standard_Cost'!$E$15</f>
        <v>0</v>
      </c>
      <c r="V218" s="126"/>
      <c r="W218" s="126"/>
      <c r="X218" s="126"/>
      <c r="Y218" s="127">
        <f>+V218*((X218*'1. Standard_Cost'!$B$19)+(W218*X218*'1. Standard_Cost'!$C$19))</f>
        <v>0</v>
      </c>
      <c r="Z218" s="126"/>
      <c r="AA218" s="126"/>
      <c r="AB218" s="127">
        <f>+Z218*'1. Standard_Cost'!$B$23+AA218*'1. Standard_Cost'!$C$23</f>
        <v>0</v>
      </c>
      <c r="AC218" s="128">
        <f>220000000*3</f>
        <v>660000000</v>
      </c>
      <c r="AD218" s="129"/>
      <c r="AE218" s="127"/>
      <c r="AF218" s="127">
        <f t="shared" si="145"/>
        <v>660000000</v>
      </c>
      <c r="AG218" s="126"/>
      <c r="AH218" s="126"/>
      <c r="AI218" s="126"/>
      <c r="AJ218" s="130"/>
      <c r="AK218" s="130"/>
      <c r="AL218" s="130"/>
      <c r="AM218" s="127">
        <f>AG218*'1. Standard_Cost'!$B$27+'Incremental_Cost Year 4'!AH218*'1. Standard_Cost'!$C$27+'Incremental_Cost Year 4'!AI218*'1. Standard_Cost'!$D$27+'Incremental_Cost Year 4'!AJ218+'Incremental_Cost Year 4'!AL218+AK218</f>
        <v>0</v>
      </c>
      <c r="AN218" s="127">
        <f>AM218*'1. Standard_Cost'!$C$31</f>
        <v>0</v>
      </c>
      <c r="AO218" s="130"/>
      <c r="AQ218" s="171">
        <f t="shared" si="146"/>
        <v>123662622.08571428</v>
      </c>
      <c r="AR218" s="171">
        <f t="shared" si="147"/>
        <v>660000000</v>
      </c>
      <c r="AS218" s="171">
        <f t="shared" si="148"/>
        <v>0</v>
      </c>
      <c r="AT218" s="171">
        <f t="shared" si="149"/>
        <v>783662622.08571434</v>
      </c>
      <c r="AU218" s="250">
        <f>AT218</f>
        <v>783662622.08571434</v>
      </c>
      <c r="AV218" s="250"/>
      <c r="AW218" s="250"/>
      <c r="AX218" s="250"/>
      <c r="AY218" s="250"/>
      <c r="AZ218" s="250"/>
      <c r="BA218" s="250"/>
      <c r="BB218" s="251">
        <f t="shared" si="150"/>
        <v>0</v>
      </c>
      <c r="BC218" s="169"/>
      <c r="BD218" s="169"/>
      <c r="BE218" s="169"/>
      <c r="BF218" s="169"/>
    </row>
    <row r="219" spans="1:58" ht="63" outlineLevel="2" x14ac:dyDescent="0.25">
      <c r="A219" s="115"/>
      <c r="B219" s="200"/>
      <c r="C219" s="201"/>
      <c r="D219" s="203"/>
      <c r="E219" s="328"/>
      <c r="F219" s="328"/>
      <c r="G219" s="328"/>
      <c r="H219" s="199" t="s">
        <v>514</v>
      </c>
      <c r="I219" s="130" t="s">
        <v>3</v>
      </c>
      <c r="J219" s="126">
        <v>3</v>
      </c>
      <c r="K219" s="126">
        <v>88</v>
      </c>
      <c r="L219" s="125">
        <f>IF(I219&lt;&gt;0,((VLOOKUP(I219,'1. Standard_Cost'!$B$4:$D$11,2)+VLOOKUP(I219,'1. Standard_Cost'!$B$4:$D$11,3))*J219*K219),"0")</f>
        <v>26611200</v>
      </c>
      <c r="M219" s="125">
        <f>L219*'1. Standard_Cost'!$F$4</f>
        <v>4444070.4000000004</v>
      </c>
      <c r="N219" s="126"/>
      <c r="O219" s="126"/>
      <c r="P219" s="126"/>
      <c r="Q219" s="126"/>
      <c r="R219" s="127">
        <f>'1. Standard_Cost'!$B$15*N219*P219</f>
        <v>0</v>
      </c>
      <c r="S219" s="127">
        <f>N219*O219*P219*'1. Standard_Cost'!$C$15</f>
        <v>0</v>
      </c>
      <c r="T219" s="127">
        <f>N219*P219*Q219*'1. Standard_Cost'!$D$15</f>
        <v>0</v>
      </c>
      <c r="U219" s="127">
        <f>N219*O219*'1. Standard_Cost'!$E$15</f>
        <v>0</v>
      </c>
      <c r="V219" s="126"/>
      <c r="W219" s="126"/>
      <c r="X219" s="126"/>
      <c r="Y219" s="127">
        <f>+V219*((X219*'1. Standard_Cost'!$B$19)+(W219*X219*'1. Standard_Cost'!$C$19))</f>
        <v>0</v>
      </c>
      <c r="Z219" s="126"/>
      <c r="AA219" s="126"/>
      <c r="AB219" s="127">
        <f>+Z219*'1. Standard_Cost'!$B$23+AA219*'1. Standard_Cost'!$C$23</f>
        <v>0</v>
      </c>
      <c r="AC219" s="128">
        <v>52163000</v>
      </c>
      <c r="AD219" s="129"/>
      <c r="AE219" s="127"/>
      <c r="AF219" s="127">
        <f t="shared" si="145"/>
        <v>52163000</v>
      </c>
      <c r="AG219" s="126"/>
      <c r="AH219" s="126"/>
      <c r="AI219" s="126"/>
      <c r="AJ219" s="130"/>
      <c r="AK219" s="130"/>
      <c r="AL219" s="130"/>
      <c r="AM219" s="127">
        <f>AG219*'1. Standard_Cost'!$B$27+'Incremental_Cost Year 4'!AH219*'1. Standard_Cost'!$C$27+'Incremental_Cost Year 4'!AI219*'1. Standard_Cost'!$D$27+'Incremental_Cost Year 4'!AJ219+'Incremental_Cost Year 4'!AL219+AK219</f>
        <v>0</v>
      </c>
      <c r="AN219" s="127">
        <f>AM219*'1. Standard_Cost'!$C$31</f>
        <v>0</v>
      </c>
      <c r="AO219" s="130"/>
      <c r="AQ219" s="171">
        <f t="shared" si="146"/>
        <v>31055270.399999999</v>
      </c>
      <c r="AR219" s="171">
        <f t="shared" si="147"/>
        <v>52163000</v>
      </c>
      <c r="AS219" s="171">
        <f t="shared" si="148"/>
        <v>0</v>
      </c>
      <c r="AT219" s="171">
        <f t="shared" si="149"/>
        <v>83218270.400000006</v>
      </c>
      <c r="AU219" s="250">
        <f>AT219</f>
        <v>83218270.400000006</v>
      </c>
      <c r="AV219" s="250"/>
      <c r="AW219" s="250"/>
      <c r="AX219" s="250"/>
      <c r="AY219" s="250"/>
      <c r="AZ219" s="250"/>
      <c r="BA219" s="250"/>
      <c r="BB219" s="251">
        <f t="shared" si="150"/>
        <v>0</v>
      </c>
      <c r="BC219" s="169"/>
      <c r="BD219" s="169"/>
      <c r="BE219" s="169"/>
      <c r="BF219" s="169"/>
    </row>
    <row r="220" spans="1:58" ht="78.75" outlineLevel="1" x14ac:dyDescent="0.25">
      <c r="A220" s="115"/>
      <c r="B220" s="165"/>
      <c r="C220" s="166"/>
      <c r="D220" s="139" t="s">
        <v>557</v>
      </c>
      <c r="E220" s="212" t="s">
        <v>251</v>
      </c>
      <c r="F220" s="352">
        <v>2021</v>
      </c>
      <c r="G220" s="353">
        <v>2030</v>
      </c>
      <c r="H220" s="150" t="s">
        <v>252</v>
      </c>
      <c r="I220" s="252"/>
      <c r="J220" s="252"/>
      <c r="K220" s="252"/>
      <c r="L220" s="127">
        <f>SUM(L214:L219)</f>
        <v>843674828.57142854</v>
      </c>
      <c r="M220" s="127">
        <f>SUM(M214:M219)</f>
        <v>140893696.37142858</v>
      </c>
      <c r="N220" s="252"/>
      <c r="O220" s="252"/>
      <c r="P220" s="252"/>
      <c r="Q220" s="252"/>
      <c r="R220" s="127">
        <f>SUM(R214:R219)</f>
        <v>0</v>
      </c>
      <c r="S220" s="127">
        <f>SUM(S214:S219)</f>
        <v>0</v>
      </c>
      <c r="T220" s="127">
        <f>SUM(T214:T219)</f>
        <v>0</v>
      </c>
      <c r="U220" s="127">
        <f>SUM(U214:U219)</f>
        <v>0</v>
      </c>
      <c r="V220" s="252"/>
      <c r="W220" s="252"/>
      <c r="X220" s="252"/>
      <c r="Y220" s="127">
        <f>SUM(Y214:Y219)</f>
        <v>0</v>
      </c>
      <c r="Z220" s="127"/>
      <c r="AA220" s="252"/>
      <c r="AB220" s="127">
        <f>SUM(AB214:AB219)</f>
        <v>0</v>
      </c>
      <c r="AC220" s="127">
        <f>SUM(AC214:AC219)</f>
        <v>1442163000</v>
      </c>
      <c r="AD220" s="127">
        <f>SUM(AD214:AD219)</f>
        <v>0</v>
      </c>
      <c r="AE220" s="127">
        <f>SUM(AE214:AE219)</f>
        <v>0</v>
      </c>
      <c r="AF220" s="127">
        <f>SUM(AF214:AF219)</f>
        <v>1442163000</v>
      </c>
      <c r="AG220" s="252"/>
      <c r="AH220" s="252"/>
      <c r="AI220" s="252"/>
      <c r="AJ220" s="127">
        <f>SUM(AJ214:AJ219)</f>
        <v>0</v>
      </c>
      <c r="AK220" s="127">
        <f>SUM(AK214:AK219)</f>
        <v>0</v>
      </c>
      <c r="AL220" s="127">
        <f>SUM(AL214:AL219)</f>
        <v>125000000</v>
      </c>
      <c r="AM220" s="127">
        <f>SUM(AM214:AM219)</f>
        <v>125000000</v>
      </c>
      <c r="AN220" s="127">
        <f>SUM(AN214:AN219)</f>
        <v>18750000</v>
      </c>
      <c r="AO220" s="253"/>
      <c r="AP220" s="254"/>
      <c r="AQ220" s="175">
        <f>SUM(AQ214:AQ219)</f>
        <v>984568524.94285715</v>
      </c>
      <c r="AR220" s="175">
        <f>SUM(AR214:AR219)</f>
        <v>1442163000</v>
      </c>
      <c r="AS220" s="175">
        <f>SUM(AS214:AS219)</f>
        <v>143750000</v>
      </c>
      <c r="AT220" s="175">
        <f>SUM(AT214:AT219)</f>
        <v>2570481524.9428573</v>
      </c>
      <c r="AU220" s="175">
        <f t="shared" ref="AU220:BB220" si="151">SUM(AU214:AU219)</f>
        <v>2551731524.9428573</v>
      </c>
      <c r="AV220" s="175">
        <f t="shared" si="151"/>
        <v>0</v>
      </c>
      <c r="AW220" s="175">
        <f t="shared" si="151"/>
        <v>0</v>
      </c>
      <c r="AX220" s="175">
        <f t="shared" si="151"/>
        <v>0</v>
      </c>
      <c r="AY220" s="175">
        <f t="shared" si="151"/>
        <v>0</v>
      </c>
      <c r="AZ220" s="175">
        <f t="shared" si="151"/>
        <v>0</v>
      </c>
      <c r="BA220" s="175">
        <f t="shared" si="151"/>
        <v>0</v>
      </c>
      <c r="BB220" s="175">
        <f t="shared" si="151"/>
        <v>-18750000</v>
      </c>
      <c r="BC220" s="169"/>
      <c r="BD220" s="169"/>
      <c r="BE220" s="169"/>
      <c r="BF220" s="169"/>
    </row>
    <row r="221" spans="1:58" s="184" customFormat="1" ht="15.75" customHeight="1" x14ac:dyDescent="0.25">
      <c r="A221" s="143"/>
      <c r="B221" s="332"/>
      <c r="C221" s="397" t="s">
        <v>253</v>
      </c>
      <c r="D221" s="397"/>
      <c r="E221" s="398"/>
      <c r="F221" s="291"/>
      <c r="G221" s="340"/>
      <c r="H221" s="144" t="s">
        <v>300</v>
      </c>
      <c r="I221" s="257"/>
      <c r="J221" s="257"/>
      <c r="K221" s="257"/>
      <c r="L221" s="258">
        <f>SUM(L225)</f>
        <v>0</v>
      </c>
      <c r="M221" s="258">
        <f>SUM(M225)</f>
        <v>0</v>
      </c>
      <c r="N221" s="257"/>
      <c r="O221" s="257"/>
      <c r="P221" s="257"/>
      <c r="Q221" s="257"/>
      <c r="R221" s="258">
        <f>SUM(R225)</f>
        <v>0</v>
      </c>
      <c r="S221" s="258">
        <f>SUM(S225)</f>
        <v>0</v>
      </c>
      <c r="T221" s="258">
        <f>SUM(T225)</f>
        <v>0</v>
      </c>
      <c r="U221" s="258">
        <f>SUM(U225)</f>
        <v>0</v>
      </c>
      <c r="V221" s="257"/>
      <c r="W221" s="257"/>
      <c r="X221" s="257"/>
      <c r="Y221" s="258">
        <f>SUM(Y225)</f>
        <v>0</v>
      </c>
      <c r="Z221" s="258"/>
      <c r="AA221" s="258"/>
      <c r="AB221" s="258">
        <f>SUM(AB225)</f>
        <v>0</v>
      </c>
      <c r="AC221" s="258">
        <f>SUM(AC225)</f>
        <v>0</v>
      </c>
      <c r="AD221" s="258">
        <f>SUM(AD225)</f>
        <v>0</v>
      </c>
      <c r="AE221" s="258">
        <f>SUM(AE225)</f>
        <v>0</v>
      </c>
      <c r="AF221" s="258">
        <f>SUM(AF225)</f>
        <v>0</v>
      </c>
      <c r="AG221" s="257"/>
      <c r="AH221" s="257"/>
      <c r="AI221" s="257"/>
      <c r="AJ221" s="258">
        <f>SUM(AJ225)</f>
        <v>0</v>
      </c>
      <c r="AK221" s="258">
        <f>SUM(AK225)</f>
        <v>0</v>
      </c>
      <c r="AL221" s="258">
        <f>SUM(AL225)</f>
        <v>0</v>
      </c>
      <c r="AM221" s="258">
        <f>SUM(AM225)</f>
        <v>0</v>
      </c>
      <c r="AN221" s="258">
        <f>SUM(AN225)</f>
        <v>0</v>
      </c>
      <c r="AO221" s="259"/>
      <c r="AP221" s="260"/>
      <c r="AQ221" s="261">
        <f>SUM(AQ225)</f>
        <v>0</v>
      </c>
      <c r="AR221" s="261">
        <f>SUM(AR225)</f>
        <v>0</v>
      </c>
      <c r="AS221" s="261">
        <f>SUM(AS225)</f>
        <v>0</v>
      </c>
      <c r="AT221" s="261">
        <f>SUM(AT225)</f>
        <v>0</v>
      </c>
      <c r="AU221" s="261">
        <f t="shared" ref="AU221:BB221" si="152">SUM(AU225)</f>
        <v>0</v>
      </c>
      <c r="AV221" s="261">
        <f t="shared" si="152"/>
        <v>0</v>
      </c>
      <c r="AW221" s="261">
        <f t="shared" si="152"/>
        <v>0</v>
      </c>
      <c r="AX221" s="261">
        <f t="shared" si="152"/>
        <v>0</v>
      </c>
      <c r="AY221" s="261">
        <f t="shared" si="152"/>
        <v>0</v>
      </c>
      <c r="AZ221" s="261">
        <f t="shared" si="152"/>
        <v>0</v>
      </c>
      <c r="BA221" s="261">
        <f t="shared" si="152"/>
        <v>0</v>
      </c>
      <c r="BB221" s="261">
        <f t="shared" si="152"/>
        <v>0</v>
      </c>
    </row>
    <row r="222" spans="1:58" ht="63" outlineLevel="2" x14ac:dyDescent="0.25">
      <c r="A222" s="115"/>
      <c r="B222" s="200"/>
      <c r="C222" s="201"/>
      <c r="D222" s="342"/>
      <c r="E222" s="328"/>
      <c r="F222" s="328"/>
      <c r="G222" s="328"/>
      <c r="H222" s="199" t="s">
        <v>515</v>
      </c>
      <c r="I222" s="130"/>
      <c r="J222" s="126"/>
      <c r="K222" s="126"/>
      <c r="L222" s="125" t="str">
        <f>IF(I222&lt;&gt;0,((VLOOKUP(I222,'1. Standard_Cost'!$B$4:$D$11,2)+VLOOKUP(I222,'1. Standard_Cost'!$B$4:$D$11,3))*J222*K222),"0")</f>
        <v>0</v>
      </c>
      <c r="M222" s="125">
        <f>L222*'1. Standard_Cost'!$F$4</f>
        <v>0</v>
      </c>
      <c r="N222" s="126"/>
      <c r="O222" s="126"/>
      <c r="P222" s="126"/>
      <c r="Q222" s="126"/>
      <c r="R222" s="127">
        <f>'1. Standard_Cost'!$B$15*N222*P222</f>
        <v>0</v>
      </c>
      <c r="S222" s="127">
        <f>N222*O222*P222*'1. Standard_Cost'!$C$15</f>
        <v>0</v>
      </c>
      <c r="T222" s="127">
        <f>N222*P222*Q222*'1. Standard_Cost'!$D$15</f>
        <v>0</v>
      </c>
      <c r="U222" s="127">
        <f>N222*O222*'1. Standard_Cost'!$E$15</f>
        <v>0</v>
      </c>
      <c r="V222" s="126"/>
      <c r="W222" s="126"/>
      <c r="X222" s="126"/>
      <c r="Y222" s="127">
        <f>+V222*((X222*'1. Standard_Cost'!$B$19)+(W222*X222*'1. Standard_Cost'!$C$19))</f>
        <v>0</v>
      </c>
      <c r="Z222" s="126"/>
      <c r="AA222" s="126"/>
      <c r="AB222" s="127">
        <f>+Z222*'1. Standard_Cost'!$B$23+AA222*'1. Standard_Cost'!$C$23</f>
        <v>0</v>
      </c>
      <c r="AC222" s="128"/>
      <c r="AD222" s="129"/>
      <c r="AE222" s="127">
        <f>SUM(AD222,AC222,AB222,Y222,U222,T222,S222,R222)*'1. Standard_Cost'!$B$31</f>
        <v>0</v>
      </c>
      <c r="AF222" s="127">
        <f>SUM(AE222,AD222,AC222,AB222,Y222,U222,T222,S222,R222)</f>
        <v>0</v>
      </c>
      <c r="AG222" s="126"/>
      <c r="AH222" s="126"/>
      <c r="AI222" s="126"/>
      <c r="AJ222" s="130"/>
      <c r="AK222" s="130"/>
      <c r="AL222" s="130"/>
      <c r="AM222" s="127">
        <f>AG222*'1. Standard_Cost'!$B$27+'Incremental_Cost Year 4'!AH222*'1. Standard_Cost'!$C$27+'Incremental_Cost Year 4'!AI222*'1. Standard_Cost'!$D$27+'Incremental_Cost Year 4'!AJ222+'Incremental_Cost Year 4'!AL222+AK222</f>
        <v>0</v>
      </c>
      <c r="AN222" s="127">
        <f>AM222*'1. Standard_Cost'!$C$31</f>
        <v>0</v>
      </c>
      <c r="AO222" s="130"/>
      <c r="AQ222" s="171">
        <f>L222+M222</f>
        <v>0</v>
      </c>
      <c r="AR222" s="171">
        <f>AF222</f>
        <v>0</v>
      </c>
      <c r="AS222" s="171">
        <f>AM222+AN222</f>
        <v>0</v>
      </c>
      <c r="AT222" s="171">
        <f>SUM(AQ222,AR222,AS222)</f>
        <v>0</v>
      </c>
      <c r="AU222" s="250">
        <f>AT222</f>
        <v>0</v>
      </c>
      <c r="AV222" s="250"/>
      <c r="AW222" s="250"/>
      <c r="AX222" s="250"/>
      <c r="AY222" s="250"/>
      <c r="AZ222" s="250"/>
      <c r="BA222" s="250"/>
      <c r="BB222" s="251">
        <f t="shared" ref="BB222:BB224" si="153">SUM(AU222:BA222)-AT222</f>
        <v>0</v>
      </c>
      <c r="BC222" s="169"/>
      <c r="BD222" s="169"/>
      <c r="BE222" s="169"/>
      <c r="BF222" s="169"/>
    </row>
    <row r="223" spans="1:58" ht="63" outlineLevel="2" x14ac:dyDescent="0.25">
      <c r="A223" s="115"/>
      <c r="B223" s="200"/>
      <c r="C223" s="201"/>
      <c r="D223" s="343"/>
      <c r="E223" s="328"/>
      <c r="F223" s="328"/>
      <c r="G223" s="328"/>
      <c r="H223" s="199" t="s">
        <v>516</v>
      </c>
      <c r="I223" s="130"/>
      <c r="J223" s="126"/>
      <c r="K223" s="126"/>
      <c r="L223" s="125" t="str">
        <f>IF(I223&lt;&gt;0,((VLOOKUP(I223,'1. Standard_Cost'!$B$4:$D$11,2)+VLOOKUP(I223,'1. Standard_Cost'!$B$4:$D$11,3))*J223*K223),"0")</f>
        <v>0</v>
      </c>
      <c r="M223" s="125">
        <f>L223*'1. Standard_Cost'!$F$4</f>
        <v>0</v>
      </c>
      <c r="N223" s="126"/>
      <c r="O223" s="126"/>
      <c r="P223" s="126"/>
      <c r="Q223" s="126"/>
      <c r="R223" s="127">
        <f>'1. Standard_Cost'!$B$15*N223*P223</f>
        <v>0</v>
      </c>
      <c r="S223" s="127">
        <f>N223*O223*P223*'1. Standard_Cost'!$C$15</f>
        <v>0</v>
      </c>
      <c r="T223" s="127">
        <f>N223*P223*Q223*'1. Standard_Cost'!$D$15</f>
        <v>0</v>
      </c>
      <c r="U223" s="127">
        <f>N223*O223*'1. Standard_Cost'!$E$15</f>
        <v>0</v>
      </c>
      <c r="V223" s="126"/>
      <c r="W223" s="126"/>
      <c r="X223" s="126"/>
      <c r="Y223" s="127">
        <f>+V223*((X223*'1. Standard_Cost'!$B$19)+(W223*X223*'1. Standard_Cost'!$C$19))</f>
        <v>0</v>
      </c>
      <c r="Z223" s="126"/>
      <c r="AA223" s="126"/>
      <c r="AB223" s="127">
        <f>+Z223*'1. Standard_Cost'!$B$23+AA223*'1. Standard_Cost'!$C$23</f>
        <v>0</v>
      </c>
      <c r="AC223" s="128"/>
      <c r="AD223" s="129"/>
      <c r="AE223" s="127">
        <f>SUM(AD223,AC223,AB223,Y223,U223,T223,S223,R223)*'1. Standard_Cost'!$B$31</f>
        <v>0</v>
      </c>
      <c r="AF223" s="127">
        <f>SUM(AE223,AD223,AC223,AB223,Y223,U223,T223,S223,R223)</f>
        <v>0</v>
      </c>
      <c r="AG223" s="126"/>
      <c r="AH223" s="126"/>
      <c r="AI223" s="126"/>
      <c r="AJ223" s="130"/>
      <c r="AK223" s="130"/>
      <c r="AL223" s="130"/>
      <c r="AM223" s="127">
        <f>AG223*'1. Standard_Cost'!$B$27+'Incremental_Cost Year 4'!AH223*'1. Standard_Cost'!$C$27+'Incremental_Cost Year 4'!AI223*'1. Standard_Cost'!$D$27+'Incremental_Cost Year 4'!AJ223+'Incremental_Cost Year 4'!AL223+AK223</f>
        <v>0</v>
      </c>
      <c r="AN223" s="127">
        <f>AM223*'1. Standard_Cost'!$C$31</f>
        <v>0</v>
      </c>
      <c r="AO223" s="130"/>
      <c r="AQ223" s="171">
        <f>L223+M223</f>
        <v>0</v>
      </c>
      <c r="AR223" s="171">
        <f>AF223</f>
        <v>0</v>
      </c>
      <c r="AS223" s="171">
        <f>AM223+AN223</f>
        <v>0</v>
      </c>
      <c r="AT223" s="171">
        <f>SUM(AQ223,AR223,AS223)</f>
        <v>0</v>
      </c>
      <c r="AU223" s="250">
        <f>AT223</f>
        <v>0</v>
      </c>
      <c r="AV223" s="250"/>
      <c r="AW223" s="250"/>
      <c r="AX223" s="250"/>
      <c r="AY223" s="250"/>
      <c r="AZ223" s="250"/>
      <c r="BA223" s="250"/>
      <c r="BB223" s="251">
        <f t="shared" si="153"/>
        <v>0</v>
      </c>
      <c r="BC223" s="169"/>
      <c r="BD223" s="169"/>
      <c r="BE223" s="169"/>
      <c r="BF223" s="169"/>
    </row>
    <row r="224" spans="1:58" ht="31.5" outlineLevel="2" x14ac:dyDescent="0.25">
      <c r="A224" s="115"/>
      <c r="B224" s="200"/>
      <c r="C224" s="201"/>
      <c r="D224" s="344"/>
      <c r="E224" s="328"/>
      <c r="F224" s="328"/>
      <c r="G224" s="328"/>
      <c r="H224" s="199" t="s">
        <v>254</v>
      </c>
      <c r="I224" s="130"/>
      <c r="J224" s="126"/>
      <c r="K224" s="126"/>
      <c r="L224" s="125" t="str">
        <f>IF(I224&lt;&gt;0,((VLOOKUP(I224,'1. Standard_Cost'!$B$4:$D$11,2)+VLOOKUP(I224,'1. Standard_Cost'!$B$4:$D$11,3))*J224*K224),"0")</f>
        <v>0</v>
      </c>
      <c r="M224" s="125">
        <f>L224*'1. Standard_Cost'!$F$4</f>
        <v>0</v>
      </c>
      <c r="N224" s="126"/>
      <c r="O224" s="126"/>
      <c r="P224" s="126"/>
      <c r="Q224" s="126"/>
      <c r="R224" s="127">
        <f>'1. Standard_Cost'!$B$15*N224*P224</f>
        <v>0</v>
      </c>
      <c r="S224" s="127">
        <f>N224*O224*P224*'1. Standard_Cost'!$C$15</f>
        <v>0</v>
      </c>
      <c r="T224" s="127">
        <f>N224*P224*Q224*'1. Standard_Cost'!$D$15</f>
        <v>0</v>
      </c>
      <c r="U224" s="127">
        <f>N224*O224*'1. Standard_Cost'!$E$15</f>
        <v>0</v>
      </c>
      <c r="V224" s="126"/>
      <c r="W224" s="126"/>
      <c r="X224" s="126"/>
      <c r="Y224" s="127">
        <f>+V224*((X224*'1. Standard_Cost'!$B$19)+(W224*X224*'1. Standard_Cost'!$C$19))</f>
        <v>0</v>
      </c>
      <c r="Z224" s="126"/>
      <c r="AA224" s="126"/>
      <c r="AB224" s="127">
        <f>+Z224*'1. Standard_Cost'!$B$23+AA224*'1. Standard_Cost'!$C$23</f>
        <v>0</v>
      </c>
      <c r="AC224" s="128"/>
      <c r="AD224" s="129"/>
      <c r="AE224" s="127">
        <f>SUM(AD224,AC224,AB224,Y224,U224,T224,S224,R224)*'1. Standard_Cost'!$B$31</f>
        <v>0</v>
      </c>
      <c r="AF224" s="127">
        <f>SUM(AE224,AD224,AC224,AB224,Y224,U224,T224,S224,R224)</f>
        <v>0</v>
      </c>
      <c r="AG224" s="126"/>
      <c r="AH224" s="126"/>
      <c r="AI224" s="126"/>
      <c r="AJ224" s="130"/>
      <c r="AK224" s="130"/>
      <c r="AL224" s="130"/>
      <c r="AM224" s="127">
        <f>AG224*'1. Standard_Cost'!$B$27+'Incremental_Cost Year 4'!AH224*'1. Standard_Cost'!$C$27+'Incremental_Cost Year 4'!AI224*'1. Standard_Cost'!$D$27+'Incremental_Cost Year 4'!AJ224+'Incremental_Cost Year 4'!AL224+AK224</f>
        <v>0</v>
      </c>
      <c r="AN224" s="127">
        <f>AM224*'1. Standard_Cost'!$C$31</f>
        <v>0</v>
      </c>
      <c r="AO224" s="130"/>
      <c r="AQ224" s="171">
        <f>L224+M224</f>
        <v>0</v>
      </c>
      <c r="AR224" s="171">
        <f>AF224</f>
        <v>0</v>
      </c>
      <c r="AS224" s="171">
        <f>AM224+AN224</f>
        <v>0</v>
      </c>
      <c r="AT224" s="171">
        <f>SUM(AQ224,AR224,AS224)</f>
        <v>0</v>
      </c>
      <c r="AU224" s="250"/>
      <c r="AV224" s="250"/>
      <c r="AW224" s="250"/>
      <c r="AX224" s="250"/>
      <c r="AY224" s="250"/>
      <c r="AZ224" s="250"/>
      <c r="BA224" s="250"/>
      <c r="BB224" s="251">
        <f t="shared" si="153"/>
        <v>0</v>
      </c>
      <c r="BC224" s="169"/>
      <c r="BD224" s="169"/>
      <c r="BE224" s="169"/>
      <c r="BF224" s="169"/>
    </row>
    <row r="225" spans="1:58" ht="47.25" outlineLevel="1" x14ac:dyDescent="0.25">
      <c r="A225" s="115"/>
      <c r="B225" s="165"/>
      <c r="C225" s="166"/>
      <c r="D225" s="150" t="s">
        <v>240</v>
      </c>
      <c r="E225" s="212" t="s">
        <v>255</v>
      </c>
      <c r="F225" s="142">
        <v>2021</v>
      </c>
      <c r="G225" s="209">
        <v>2022</v>
      </c>
      <c r="H225" s="150" t="s">
        <v>256</v>
      </c>
      <c r="I225" s="252"/>
      <c r="J225" s="252"/>
      <c r="K225" s="252"/>
      <c r="L225" s="127">
        <f>SUM(L222:L224)</f>
        <v>0</v>
      </c>
      <c r="M225" s="127">
        <f>SUM(M222:M224)</f>
        <v>0</v>
      </c>
      <c r="N225" s="252"/>
      <c r="O225" s="252"/>
      <c r="P225" s="252"/>
      <c r="Q225" s="252"/>
      <c r="R225" s="127">
        <f>SUM(R222:R224)</f>
        <v>0</v>
      </c>
      <c r="S225" s="127">
        <f>SUM(S222:S224)</f>
        <v>0</v>
      </c>
      <c r="T225" s="127">
        <f>SUM(T222:T224)</f>
        <v>0</v>
      </c>
      <c r="U225" s="127">
        <f>SUM(U222:U224)</f>
        <v>0</v>
      </c>
      <c r="V225" s="252"/>
      <c r="W225" s="252"/>
      <c r="X225" s="252"/>
      <c r="Y225" s="127">
        <f>SUM(Y222:Y224)</f>
        <v>0</v>
      </c>
      <c r="Z225" s="127"/>
      <c r="AA225" s="252"/>
      <c r="AB225" s="127">
        <f>SUM(AB222:AB224)</f>
        <v>0</v>
      </c>
      <c r="AC225" s="127">
        <f>SUM(AC222:AC224)</f>
        <v>0</v>
      </c>
      <c r="AD225" s="127">
        <f>SUM(AD222:AD224)</f>
        <v>0</v>
      </c>
      <c r="AE225" s="127">
        <f>SUM(AE222:AE224)</f>
        <v>0</v>
      </c>
      <c r="AF225" s="127">
        <f>SUM(AF222:AF224)</f>
        <v>0</v>
      </c>
      <c r="AG225" s="252"/>
      <c r="AH225" s="252"/>
      <c r="AI225" s="252"/>
      <c r="AJ225" s="127">
        <f>SUM(AJ222:AJ224)</f>
        <v>0</v>
      </c>
      <c r="AK225" s="127">
        <f>SUM(AK222:AK224)</f>
        <v>0</v>
      </c>
      <c r="AL225" s="127">
        <f>SUM(AL222:AL224)</f>
        <v>0</v>
      </c>
      <c r="AM225" s="127">
        <f>SUM(AM222:AM224)</f>
        <v>0</v>
      </c>
      <c r="AN225" s="127">
        <f>SUM(AN222:AN224)</f>
        <v>0</v>
      </c>
      <c r="AO225" s="253"/>
      <c r="AP225" s="254"/>
      <c r="AQ225" s="175">
        <f>SUM(AQ222:AQ224)</f>
        <v>0</v>
      </c>
      <c r="AR225" s="175">
        <f>SUM(AR222:AR224)</f>
        <v>0</v>
      </c>
      <c r="AS225" s="175">
        <f>SUM(AS222:AS224)</f>
        <v>0</v>
      </c>
      <c r="AT225" s="175">
        <f>SUM(AT222:AT224)</f>
        <v>0</v>
      </c>
      <c r="AU225" s="175">
        <f t="shared" ref="AU225:BB225" si="154">SUM(AU222:AU224)</f>
        <v>0</v>
      </c>
      <c r="AV225" s="175">
        <f t="shared" si="154"/>
        <v>0</v>
      </c>
      <c r="AW225" s="175">
        <f t="shared" si="154"/>
        <v>0</v>
      </c>
      <c r="AX225" s="175">
        <f t="shared" si="154"/>
        <v>0</v>
      </c>
      <c r="AY225" s="175">
        <f t="shared" si="154"/>
        <v>0</v>
      </c>
      <c r="AZ225" s="175">
        <f t="shared" si="154"/>
        <v>0</v>
      </c>
      <c r="BA225" s="175">
        <f t="shared" si="154"/>
        <v>0</v>
      </c>
      <c r="BB225" s="175">
        <f t="shared" si="154"/>
        <v>0</v>
      </c>
      <c r="BC225" s="169"/>
      <c r="BD225" s="169"/>
      <c r="BE225" s="169"/>
      <c r="BF225" s="169"/>
    </row>
    <row r="226" spans="1:58" s="184" customFormat="1" ht="15.75" customHeight="1" x14ac:dyDescent="0.25">
      <c r="A226" s="143"/>
      <c r="B226" s="332"/>
      <c r="C226" s="397" t="s">
        <v>257</v>
      </c>
      <c r="D226" s="397"/>
      <c r="E226" s="398"/>
      <c r="F226" s="291"/>
      <c r="G226" s="340"/>
      <c r="H226" s="144" t="s">
        <v>301</v>
      </c>
      <c r="I226" s="257"/>
      <c r="J226" s="257"/>
      <c r="K226" s="257"/>
      <c r="L226" s="258">
        <f>SUM(L231)</f>
        <v>71047371.428571418</v>
      </c>
      <c r="M226" s="258">
        <f>SUM(M231)</f>
        <v>11864911.028571429</v>
      </c>
      <c r="N226" s="257"/>
      <c r="O226" s="257"/>
      <c r="P226" s="257"/>
      <c r="Q226" s="257"/>
      <c r="R226" s="258">
        <f>SUM(R231)</f>
        <v>0</v>
      </c>
      <c r="S226" s="258">
        <f>SUM(S231)</f>
        <v>0</v>
      </c>
      <c r="T226" s="258">
        <f>SUM(T231)</f>
        <v>0</v>
      </c>
      <c r="U226" s="258">
        <f>SUM(U231)</f>
        <v>0</v>
      </c>
      <c r="V226" s="257"/>
      <c r="W226" s="257"/>
      <c r="X226" s="257"/>
      <c r="Y226" s="258">
        <f>SUM(Y231)</f>
        <v>0</v>
      </c>
      <c r="Z226" s="258"/>
      <c r="AA226" s="258"/>
      <c r="AB226" s="258">
        <f>SUM(AB231)</f>
        <v>0</v>
      </c>
      <c r="AC226" s="258">
        <f>SUM(AC231)</f>
        <v>1300000</v>
      </c>
      <c r="AD226" s="258">
        <f>SUM(AD231)</f>
        <v>0</v>
      </c>
      <c r="AE226" s="258">
        <f>SUM(AE231)</f>
        <v>260000</v>
      </c>
      <c r="AF226" s="258">
        <f>SUM(AF231)</f>
        <v>1560000</v>
      </c>
      <c r="AG226" s="257"/>
      <c r="AH226" s="257"/>
      <c r="AI226" s="257"/>
      <c r="AJ226" s="258">
        <f>SUM(AJ231)</f>
        <v>0</v>
      </c>
      <c r="AK226" s="258">
        <f>SUM(AK231)</f>
        <v>0</v>
      </c>
      <c r="AL226" s="258">
        <f>SUM(AL231)</f>
        <v>0</v>
      </c>
      <c r="AM226" s="258">
        <f>SUM(AM231)</f>
        <v>0</v>
      </c>
      <c r="AN226" s="258">
        <f>SUM(AN231)</f>
        <v>0</v>
      </c>
      <c r="AO226" s="259"/>
      <c r="AP226" s="260"/>
      <c r="AQ226" s="261">
        <f>SUM(AQ231)</f>
        <v>82912282.45714286</v>
      </c>
      <c r="AR226" s="261">
        <f>SUM(AR231)</f>
        <v>1560000</v>
      </c>
      <c r="AS226" s="261">
        <f>SUM(AS231)</f>
        <v>0</v>
      </c>
      <c r="AT226" s="261">
        <f>SUM(AT231)</f>
        <v>84472282.45714286</v>
      </c>
      <c r="AU226" s="261">
        <f t="shared" ref="AU226:BB226" si="155">SUM(AU231)</f>
        <v>83272282.45714286</v>
      </c>
      <c r="AV226" s="261">
        <f t="shared" si="155"/>
        <v>0</v>
      </c>
      <c r="AW226" s="261">
        <f t="shared" si="155"/>
        <v>0</v>
      </c>
      <c r="AX226" s="261">
        <f t="shared" si="155"/>
        <v>0</v>
      </c>
      <c r="AY226" s="261">
        <f t="shared" si="155"/>
        <v>0</v>
      </c>
      <c r="AZ226" s="261">
        <f t="shared" si="155"/>
        <v>0</v>
      </c>
      <c r="BA226" s="261">
        <f t="shared" si="155"/>
        <v>0</v>
      </c>
      <c r="BB226" s="261">
        <f t="shared" si="155"/>
        <v>-1200000</v>
      </c>
    </row>
    <row r="227" spans="1:58" ht="46.9" customHeight="1" outlineLevel="2" x14ac:dyDescent="0.25">
      <c r="A227" s="115"/>
      <c r="B227" s="200"/>
      <c r="C227" s="201"/>
      <c r="D227" s="210"/>
      <c r="E227" s="328"/>
      <c r="F227" s="328"/>
      <c r="G227" s="328"/>
      <c r="H227" s="199" t="s">
        <v>517</v>
      </c>
      <c r="I227" s="130" t="s">
        <v>1</v>
      </c>
      <c r="J227" s="126">
        <v>12</v>
      </c>
      <c r="K227" s="126">
        <v>72</v>
      </c>
      <c r="L227" s="125">
        <f>IF(I227&lt;&gt;0,((VLOOKUP(I227,'1. Standard_Cost'!$B$4:$D$11,2)+VLOOKUP(I227,'1. Standard_Cost'!$B$4:$D$11,3))*J227*K227),"0")</f>
        <v>62029028.571428567</v>
      </c>
      <c r="M227" s="125">
        <f>L227*'1. Standard_Cost'!$F$4</f>
        <v>10358847.771428572</v>
      </c>
      <c r="N227" s="126"/>
      <c r="O227" s="126"/>
      <c r="P227" s="126"/>
      <c r="Q227" s="126"/>
      <c r="R227" s="127">
        <f>'1. Standard_Cost'!$B$15*N227*P227</f>
        <v>0</v>
      </c>
      <c r="S227" s="127">
        <f>N227*O227*P227*'1. Standard_Cost'!$C$15</f>
        <v>0</v>
      </c>
      <c r="T227" s="127">
        <f>N227*P227*Q227*'1. Standard_Cost'!$D$15</f>
        <v>0</v>
      </c>
      <c r="U227" s="127">
        <f>N227*O227*'1. Standard_Cost'!$E$15</f>
        <v>0</v>
      </c>
      <c r="V227" s="126"/>
      <c r="W227" s="126"/>
      <c r="X227" s="126"/>
      <c r="Y227" s="127">
        <f>+V227*((X227*'1. Standard_Cost'!$B$19)+(W227*X227*'1. Standard_Cost'!$C$19))</f>
        <v>0</v>
      </c>
      <c r="Z227" s="126"/>
      <c r="AA227" s="126"/>
      <c r="AB227" s="127">
        <f>+Z227*'1. Standard_Cost'!$B$23+AA227*'1. Standard_Cost'!$C$23</f>
        <v>0</v>
      </c>
      <c r="AC227" s="128"/>
      <c r="AD227" s="129"/>
      <c r="AE227" s="127">
        <f>SUM(AD227,AC227,AB227,Y227,U227,T227,S227,R227)*'1. Standard_Cost'!$B$31</f>
        <v>0</v>
      </c>
      <c r="AF227" s="127">
        <f>SUM(AE227,AD227,AC227,AB227,Y227,U227,T227,S227,R227)</f>
        <v>0</v>
      </c>
      <c r="AG227" s="126"/>
      <c r="AH227" s="126"/>
      <c r="AI227" s="126"/>
      <c r="AJ227" s="130"/>
      <c r="AK227" s="130"/>
      <c r="AL227" s="130"/>
      <c r="AM227" s="127">
        <f>AG227*'1. Standard_Cost'!$B$27+'Incremental_Cost Year 4'!AH227*'1. Standard_Cost'!$C$27+'Incremental_Cost Year 4'!AI227*'1. Standard_Cost'!$D$27+'Incremental_Cost Year 4'!AJ227+'Incremental_Cost Year 4'!AL227+AK227</f>
        <v>0</v>
      </c>
      <c r="AN227" s="127">
        <f>AM227*'1. Standard_Cost'!$C$31</f>
        <v>0</v>
      </c>
      <c r="AO227" s="130"/>
      <c r="AQ227" s="171">
        <f>L227+M227</f>
        <v>72387876.342857137</v>
      </c>
      <c r="AR227" s="171">
        <f>AF227</f>
        <v>0</v>
      </c>
      <c r="AS227" s="171">
        <f>AM227+AN227</f>
        <v>0</v>
      </c>
      <c r="AT227" s="171">
        <f>SUM(AQ227,AR227,AS227)</f>
        <v>72387876.342857137</v>
      </c>
      <c r="AU227" s="250">
        <f>AT227</f>
        <v>72387876.342857137</v>
      </c>
      <c r="AV227" s="250"/>
      <c r="AW227" s="250"/>
      <c r="AX227" s="250"/>
      <c r="AY227" s="250"/>
      <c r="AZ227" s="250"/>
      <c r="BA227" s="250"/>
      <c r="BB227" s="251">
        <f t="shared" ref="BB227:BB230" si="156">SUM(AU227:BA227)-AT227</f>
        <v>0</v>
      </c>
      <c r="BC227" s="169"/>
      <c r="BD227" s="169"/>
      <c r="BE227" s="169"/>
      <c r="BF227" s="169"/>
    </row>
    <row r="228" spans="1:58" ht="94.5" outlineLevel="2" x14ac:dyDescent="0.25">
      <c r="A228" s="115"/>
      <c r="B228" s="200"/>
      <c r="C228" s="201"/>
      <c r="D228" s="203"/>
      <c r="E228" s="328"/>
      <c r="F228" s="328"/>
      <c r="G228" s="328"/>
      <c r="H228" s="199" t="s">
        <v>518</v>
      </c>
      <c r="I228" s="130" t="s">
        <v>1</v>
      </c>
      <c r="J228" s="126">
        <v>12</v>
      </c>
      <c r="K228" s="126">
        <v>10</v>
      </c>
      <c r="L228" s="125">
        <f>IF(I228&lt;&gt;0,((VLOOKUP(I228,'1. Standard_Cost'!$B$4:$D$11,2)+VLOOKUP(I228,'1. Standard_Cost'!$B$4:$D$11,3))*J228*K228),"0")</f>
        <v>8615142.8571428563</v>
      </c>
      <c r="M228" s="125">
        <f>L228*'1. Standard_Cost'!$F$4</f>
        <v>1438728.857142857</v>
      </c>
      <c r="N228" s="126"/>
      <c r="O228" s="126"/>
      <c r="P228" s="126"/>
      <c r="Q228" s="126"/>
      <c r="R228" s="127">
        <f>'1. Standard_Cost'!$B$15*N228*P228</f>
        <v>0</v>
      </c>
      <c r="S228" s="127">
        <f>N228*O228*P228*'1. Standard_Cost'!$C$15</f>
        <v>0</v>
      </c>
      <c r="T228" s="127">
        <f>N228*P228*Q228*'1. Standard_Cost'!$D$15</f>
        <v>0</v>
      </c>
      <c r="U228" s="127">
        <f>N228*O228*'1. Standard_Cost'!$E$15</f>
        <v>0</v>
      </c>
      <c r="V228" s="126"/>
      <c r="W228" s="126"/>
      <c r="X228" s="126"/>
      <c r="Y228" s="127">
        <f>+V228*((X228*'1. Standard_Cost'!$B$19)+(W228*X228*'1. Standard_Cost'!$C$19))</f>
        <v>0</v>
      </c>
      <c r="Z228" s="126"/>
      <c r="AA228" s="126"/>
      <c r="AB228" s="127">
        <f>+Z228*'1. Standard_Cost'!$B$23+AA228*'1. Standard_Cost'!$C$23</f>
        <v>0</v>
      </c>
      <c r="AC228" s="128">
        <f>300000</f>
        <v>300000</v>
      </c>
      <c r="AD228" s="129"/>
      <c r="AE228" s="127">
        <f>SUM(AD228,AC228,AB228,Y228,U228,T228,S228,R228)*'1. Standard_Cost'!$B$31</f>
        <v>60000</v>
      </c>
      <c r="AF228" s="127">
        <f>SUM(AE228,AD228,AC228,AB228,Y228,U228,T228,S228,R228)</f>
        <v>360000</v>
      </c>
      <c r="AG228" s="126"/>
      <c r="AH228" s="126"/>
      <c r="AI228" s="126"/>
      <c r="AJ228" s="130"/>
      <c r="AK228" s="130"/>
      <c r="AL228" s="130"/>
      <c r="AM228" s="127">
        <f>AG228*'1. Standard_Cost'!$B$27+'Incremental_Cost Year 4'!AH228*'1. Standard_Cost'!$C$27+'Incremental_Cost Year 4'!AI228*'1. Standard_Cost'!$D$27+'Incremental_Cost Year 4'!AJ228+'Incremental_Cost Year 4'!AL228+AK228</f>
        <v>0</v>
      </c>
      <c r="AN228" s="127">
        <f>AM228*'1. Standard_Cost'!$C$31</f>
        <v>0</v>
      </c>
      <c r="AO228" s="130"/>
      <c r="AQ228" s="171">
        <f>L228+M228</f>
        <v>10053871.714285713</v>
      </c>
      <c r="AR228" s="171">
        <f>AF228</f>
        <v>360000</v>
      </c>
      <c r="AS228" s="171">
        <f>AM228+AN228</f>
        <v>0</v>
      </c>
      <c r="AT228" s="171">
        <f>SUM(AQ228,AR228,AS228)</f>
        <v>10413871.714285713</v>
      </c>
      <c r="AU228" s="250">
        <f>AT228</f>
        <v>10413871.714285713</v>
      </c>
      <c r="AV228" s="250"/>
      <c r="AW228" s="250"/>
      <c r="AX228" s="250"/>
      <c r="AY228" s="250"/>
      <c r="AZ228" s="250"/>
      <c r="BA228" s="250"/>
      <c r="BB228" s="251">
        <f t="shared" si="156"/>
        <v>0</v>
      </c>
      <c r="BC228" s="169"/>
      <c r="BD228" s="169"/>
      <c r="BE228" s="169"/>
      <c r="BF228" s="169"/>
    </row>
    <row r="229" spans="1:58" ht="110.25" outlineLevel="2" x14ac:dyDescent="0.25">
      <c r="A229" s="115"/>
      <c r="B229" s="200"/>
      <c r="C229" s="201"/>
      <c r="D229" s="203"/>
      <c r="E229" s="328"/>
      <c r="F229" s="328"/>
      <c r="G229" s="328"/>
      <c r="H229" s="199" t="s">
        <v>519</v>
      </c>
      <c r="I229" s="130"/>
      <c r="J229" s="126"/>
      <c r="K229" s="126"/>
      <c r="L229" s="125" t="str">
        <f>IF(I229&lt;&gt;0,((VLOOKUP(I229,'1. Standard_Cost'!$B$4:$D$11,2)+VLOOKUP(I229,'1. Standard_Cost'!$B$4:$D$11,3))*J229*K229),"0")</f>
        <v>0</v>
      </c>
      <c r="M229" s="125">
        <f>L229*'1. Standard_Cost'!$F$4</f>
        <v>0</v>
      </c>
      <c r="N229" s="126"/>
      <c r="O229" s="126"/>
      <c r="P229" s="126"/>
      <c r="Q229" s="126"/>
      <c r="R229" s="127">
        <f>'1. Standard_Cost'!$B$15*N229*P229</f>
        <v>0</v>
      </c>
      <c r="S229" s="127">
        <f>N229*O229*P229*'1. Standard_Cost'!$C$15</f>
        <v>0</v>
      </c>
      <c r="T229" s="127">
        <f>N229*P229*Q229*'1. Standard_Cost'!$D$15</f>
        <v>0</v>
      </c>
      <c r="U229" s="127">
        <f>N229*O229*'1. Standard_Cost'!$E$15</f>
        <v>0</v>
      </c>
      <c r="V229" s="126"/>
      <c r="W229" s="126"/>
      <c r="X229" s="126"/>
      <c r="Y229" s="127">
        <f>+V229*((X229*'1. Standard_Cost'!$B$19)+(W229*X229*'1. Standard_Cost'!$C$19))</f>
        <v>0</v>
      </c>
      <c r="Z229" s="126"/>
      <c r="AA229" s="126"/>
      <c r="AB229" s="127">
        <f>+Z229*'1. Standard_Cost'!$B$23+AA229*'1. Standard_Cost'!$C$23</f>
        <v>0</v>
      </c>
      <c r="AC229" s="128"/>
      <c r="AD229" s="129"/>
      <c r="AE229" s="127">
        <f>SUM(AD229,AC229,AB229,Y229,U229,T229,S229,R229)*'1. Standard_Cost'!$B$31</f>
        <v>0</v>
      </c>
      <c r="AF229" s="127">
        <f>SUM(AE229,AD229,AC229,AB229,Y229,U229,T229,S229,R229)</f>
        <v>0</v>
      </c>
      <c r="AG229" s="126"/>
      <c r="AH229" s="126"/>
      <c r="AI229" s="126"/>
      <c r="AJ229" s="130"/>
      <c r="AK229" s="130"/>
      <c r="AL229" s="130"/>
      <c r="AM229" s="127">
        <f>AG229*'1. Standard_Cost'!$B$27+'Incremental_Cost Year 4'!AH229*'1. Standard_Cost'!$C$27+'Incremental_Cost Year 4'!AI229*'1. Standard_Cost'!$D$27+'Incremental_Cost Year 4'!AJ229+'Incremental_Cost Year 4'!AL229+AK229</f>
        <v>0</v>
      </c>
      <c r="AN229" s="127">
        <f>AM229*'1. Standard_Cost'!$C$31</f>
        <v>0</v>
      </c>
      <c r="AO229" s="130"/>
      <c r="AQ229" s="171">
        <f>L229+M229</f>
        <v>0</v>
      </c>
      <c r="AR229" s="171">
        <f>AF229</f>
        <v>0</v>
      </c>
      <c r="AS229" s="171">
        <f>AM229+AN229</f>
        <v>0</v>
      </c>
      <c r="AT229" s="171">
        <f>SUM(AQ229,AR229,AS229)</f>
        <v>0</v>
      </c>
      <c r="AU229" s="250">
        <f>AQ229</f>
        <v>0</v>
      </c>
      <c r="AV229" s="250"/>
      <c r="AW229" s="250"/>
      <c r="AX229" s="250"/>
      <c r="AY229" s="250"/>
      <c r="AZ229" s="250"/>
      <c r="BA229" s="250"/>
      <c r="BB229" s="251">
        <f t="shared" si="156"/>
        <v>0</v>
      </c>
      <c r="BC229" s="169"/>
      <c r="BD229" s="169"/>
      <c r="BE229" s="169"/>
      <c r="BF229" s="169"/>
    </row>
    <row r="230" spans="1:58" ht="110.25" outlineLevel="2" x14ac:dyDescent="0.25">
      <c r="A230" s="115"/>
      <c r="B230" s="200"/>
      <c r="C230" s="201"/>
      <c r="D230" s="133"/>
      <c r="E230" s="328"/>
      <c r="F230" s="328"/>
      <c r="G230" s="328"/>
      <c r="H230" s="199" t="s">
        <v>520</v>
      </c>
      <c r="I230" s="130" t="s">
        <v>3</v>
      </c>
      <c r="J230" s="126">
        <v>2</v>
      </c>
      <c r="K230" s="126">
        <v>2</v>
      </c>
      <c r="L230" s="125">
        <f>IF(I230&lt;&gt;0,((VLOOKUP(I230,'1. Standard_Cost'!$B$4:$D$11,2)+VLOOKUP(I230,'1. Standard_Cost'!$B$4:$D$11,3))*J230*K230),"0")</f>
        <v>403200</v>
      </c>
      <c r="M230" s="125">
        <f>L230*'1. Standard_Cost'!$F$4</f>
        <v>67334.400000000009</v>
      </c>
      <c r="N230" s="126"/>
      <c r="O230" s="126"/>
      <c r="P230" s="126"/>
      <c r="Q230" s="126"/>
      <c r="R230" s="127">
        <f>'1. Standard_Cost'!$B$15*N230*P230</f>
        <v>0</v>
      </c>
      <c r="S230" s="127">
        <f>N230*O230*P230*'1. Standard_Cost'!$C$15</f>
        <v>0</v>
      </c>
      <c r="T230" s="127">
        <f>N230*P230*Q230*'1. Standard_Cost'!$D$15</f>
        <v>0</v>
      </c>
      <c r="U230" s="127">
        <f>N230*O230*'1. Standard_Cost'!$E$15</f>
        <v>0</v>
      </c>
      <c r="V230" s="126"/>
      <c r="W230" s="126"/>
      <c r="X230" s="126"/>
      <c r="Y230" s="127">
        <f>+V230*((X230*'1. Standard_Cost'!$B$19)+(W230*X230*'1. Standard_Cost'!$C$19))</f>
        <v>0</v>
      </c>
      <c r="Z230" s="126"/>
      <c r="AA230" s="126"/>
      <c r="AB230" s="127">
        <f>+Z230*'1. Standard_Cost'!$B$23+AA230*'1. Standard_Cost'!$C$23</f>
        <v>0</v>
      </c>
      <c r="AC230" s="128">
        <v>1000000</v>
      </c>
      <c r="AD230" s="129"/>
      <c r="AE230" s="127">
        <f>SUM(AD230,AC230,AB230,Y230,U230,T230,S230,R230)*'1. Standard_Cost'!$B$31</f>
        <v>200000</v>
      </c>
      <c r="AF230" s="127">
        <f>SUM(AE230,AD230,AC230,AB230,Y230,U230,T230,S230,R230)</f>
        <v>1200000</v>
      </c>
      <c r="AG230" s="126"/>
      <c r="AH230" s="126"/>
      <c r="AI230" s="126"/>
      <c r="AJ230" s="130"/>
      <c r="AK230" s="130"/>
      <c r="AL230" s="130"/>
      <c r="AM230" s="127">
        <f>AG230*'1. Standard_Cost'!$B$27+'Incremental_Cost Year 4'!AH230*'1. Standard_Cost'!$C$27+'Incremental_Cost Year 4'!AI230*'1. Standard_Cost'!$D$27+'Incremental_Cost Year 4'!AJ230+'Incremental_Cost Year 4'!AL230+AK230</f>
        <v>0</v>
      </c>
      <c r="AN230" s="127">
        <f>AM230*'1. Standard_Cost'!$C$31</f>
        <v>0</v>
      </c>
      <c r="AO230" s="130"/>
      <c r="AQ230" s="171">
        <f>L230+M230</f>
        <v>470534.40000000002</v>
      </c>
      <c r="AR230" s="171">
        <f>AF230</f>
        <v>1200000</v>
      </c>
      <c r="AS230" s="171">
        <f>AM230+AN230</f>
        <v>0</v>
      </c>
      <c r="AT230" s="171">
        <f>SUM(AQ230,AR230,AS230)</f>
        <v>1670534.4</v>
      </c>
      <c r="AU230" s="250">
        <f>AQ230</f>
        <v>470534.40000000002</v>
      </c>
      <c r="AV230" s="250"/>
      <c r="AW230" s="250"/>
      <c r="AX230" s="250"/>
      <c r="AY230" s="250"/>
      <c r="AZ230" s="250"/>
      <c r="BA230" s="250"/>
      <c r="BB230" s="251">
        <f t="shared" si="156"/>
        <v>-1200000</v>
      </c>
      <c r="BC230" s="169"/>
      <c r="BD230" s="169"/>
      <c r="BE230" s="169"/>
      <c r="BF230" s="169"/>
    </row>
    <row r="231" spans="1:58" ht="63" outlineLevel="1" x14ac:dyDescent="0.25">
      <c r="A231" s="115"/>
      <c r="B231" s="165"/>
      <c r="C231" s="166"/>
      <c r="D231" s="107" t="s">
        <v>507</v>
      </c>
      <c r="E231" s="212" t="s">
        <v>259</v>
      </c>
      <c r="F231" s="142">
        <v>2021</v>
      </c>
      <c r="G231" s="209">
        <v>2025</v>
      </c>
      <c r="H231" s="150" t="s">
        <v>260</v>
      </c>
      <c r="I231" s="252"/>
      <c r="J231" s="252"/>
      <c r="K231" s="252"/>
      <c r="L231" s="127">
        <f>SUM(L227:L230)</f>
        <v>71047371.428571418</v>
      </c>
      <c r="M231" s="127">
        <f>SUM(M227:M230)</f>
        <v>11864911.028571429</v>
      </c>
      <c r="N231" s="252"/>
      <c r="O231" s="252"/>
      <c r="P231" s="252"/>
      <c r="Q231" s="252"/>
      <c r="R231" s="127">
        <f>SUM(R227:R230)</f>
        <v>0</v>
      </c>
      <c r="S231" s="127">
        <f>SUM(S227:S230)</f>
        <v>0</v>
      </c>
      <c r="T231" s="127">
        <f>SUM(T227:T230)</f>
        <v>0</v>
      </c>
      <c r="U231" s="127">
        <f>SUM(U227:U230)</f>
        <v>0</v>
      </c>
      <c r="V231" s="252"/>
      <c r="W231" s="252"/>
      <c r="X231" s="252"/>
      <c r="Y231" s="127">
        <f>SUM(Y227:Y230)</f>
        <v>0</v>
      </c>
      <c r="Z231" s="127"/>
      <c r="AA231" s="252"/>
      <c r="AB231" s="127">
        <f>SUM(AB227:AB230)</f>
        <v>0</v>
      </c>
      <c r="AC231" s="127">
        <f>SUM(AC227:AC230)</f>
        <v>1300000</v>
      </c>
      <c r="AD231" s="127">
        <f>SUM(AD227:AD230)</f>
        <v>0</v>
      </c>
      <c r="AE231" s="127">
        <f>SUM(AE227:AE230)</f>
        <v>260000</v>
      </c>
      <c r="AF231" s="127">
        <f>SUM(AF227:AF230)</f>
        <v>1560000</v>
      </c>
      <c r="AG231" s="252"/>
      <c r="AH231" s="252"/>
      <c r="AI231" s="252"/>
      <c r="AJ231" s="127">
        <f>SUM(AJ227:AJ230)</f>
        <v>0</v>
      </c>
      <c r="AK231" s="127">
        <f>SUM(AK227:AK230)</f>
        <v>0</v>
      </c>
      <c r="AL231" s="127">
        <f>SUM(AL227:AL230)</f>
        <v>0</v>
      </c>
      <c r="AM231" s="127">
        <f>SUM(AM227:AM230)</f>
        <v>0</v>
      </c>
      <c r="AN231" s="127">
        <f>SUM(AN227:AN230)</f>
        <v>0</v>
      </c>
      <c r="AO231" s="253"/>
      <c r="AP231" s="254"/>
      <c r="AQ231" s="175">
        <f>SUM(AQ227:AQ230)</f>
        <v>82912282.45714286</v>
      </c>
      <c r="AR231" s="175">
        <f>SUM(AR227:AR230)</f>
        <v>1560000</v>
      </c>
      <c r="AS231" s="175">
        <f>SUM(AS227:AS230)</f>
        <v>0</v>
      </c>
      <c r="AT231" s="175">
        <f>SUM(AT227:AT230)</f>
        <v>84472282.45714286</v>
      </c>
      <c r="AU231" s="175">
        <f t="shared" ref="AU231:BB231" si="157">SUM(AU227:AU230)</f>
        <v>83272282.45714286</v>
      </c>
      <c r="AV231" s="175">
        <f t="shared" si="157"/>
        <v>0</v>
      </c>
      <c r="AW231" s="175">
        <f t="shared" si="157"/>
        <v>0</v>
      </c>
      <c r="AX231" s="175">
        <f t="shared" si="157"/>
        <v>0</v>
      </c>
      <c r="AY231" s="175">
        <f t="shared" si="157"/>
        <v>0</v>
      </c>
      <c r="AZ231" s="175">
        <f t="shared" si="157"/>
        <v>0</v>
      </c>
      <c r="BA231" s="175">
        <f t="shared" si="157"/>
        <v>0</v>
      </c>
      <c r="BB231" s="175">
        <f t="shared" si="157"/>
        <v>-1200000</v>
      </c>
      <c r="BC231" s="169"/>
      <c r="BD231" s="169"/>
      <c r="BE231" s="169"/>
      <c r="BF231" s="169"/>
    </row>
    <row r="232" spans="1:58" s="184" customFormat="1" ht="15.75" customHeight="1" x14ac:dyDescent="0.25">
      <c r="A232" s="143"/>
      <c r="B232" s="332"/>
      <c r="C232" s="397" t="s">
        <v>261</v>
      </c>
      <c r="D232" s="397"/>
      <c r="E232" s="398"/>
      <c r="F232" s="291"/>
      <c r="G232" s="340"/>
      <c r="H232" s="144" t="s">
        <v>302</v>
      </c>
      <c r="I232" s="257"/>
      <c r="J232" s="257"/>
      <c r="K232" s="257"/>
      <c r="L232" s="258">
        <f>SUM(L237)</f>
        <v>8064000</v>
      </c>
      <c r="M232" s="258">
        <f>SUM(M237)</f>
        <v>1346688</v>
      </c>
      <c r="N232" s="257"/>
      <c r="O232" s="257"/>
      <c r="P232" s="257"/>
      <c r="Q232" s="257"/>
      <c r="R232" s="258">
        <f>SUM(R237)</f>
        <v>200000</v>
      </c>
      <c r="S232" s="258">
        <f>SUM(S237)</f>
        <v>150000</v>
      </c>
      <c r="T232" s="258">
        <f>SUM(T237)</f>
        <v>0</v>
      </c>
      <c r="U232" s="258">
        <f>SUM(U237)</f>
        <v>200000</v>
      </c>
      <c r="V232" s="257"/>
      <c r="W232" s="257"/>
      <c r="X232" s="257"/>
      <c r="Y232" s="258">
        <f>SUM(Y237)</f>
        <v>0</v>
      </c>
      <c r="Z232" s="258"/>
      <c r="AA232" s="258"/>
      <c r="AB232" s="258">
        <f>SUM(AB237)</f>
        <v>0</v>
      </c>
      <c r="AC232" s="258">
        <f>SUM(AC237)</f>
        <v>530000</v>
      </c>
      <c r="AD232" s="258">
        <f>SUM(AD237)</f>
        <v>0</v>
      </c>
      <c r="AE232" s="258">
        <f>SUM(AE237)</f>
        <v>216000</v>
      </c>
      <c r="AF232" s="258">
        <f>SUM(AF237)</f>
        <v>1296000</v>
      </c>
      <c r="AG232" s="257"/>
      <c r="AH232" s="257"/>
      <c r="AI232" s="257"/>
      <c r="AJ232" s="258">
        <f>SUM(AJ237)</f>
        <v>0</v>
      </c>
      <c r="AK232" s="258">
        <f>SUM(AK237)</f>
        <v>50000000</v>
      </c>
      <c r="AL232" s="258">
        <f>SUM(AL237)</f>
        <v>0</v>
      </c>
      <c r="AM232" s="258">
        <f>SUM(AM237)</f>
        <v>50000000</v>
      </c>
      <c r="AN232" s="258">
        <f>SUM(AN237)</f>
        <v>7500000</v>
      </c>
      <c r="AO232" s="259"/>
      <c r="AP232" s="260"/>
      <c r="AQ232" s="261">
        <f>SUM(AQ237)</f>
        <v>9410688</v>
      </c>
      <c r="AR232" s="261">
        <f>SUM(AR237)</f>
        <v>1296000</v>
      </c>
      <c r="AS232" s="261">
        <f>SUM(AS237)</f>
        <v>57500000</v>
      </c>
      <c r="AT232" s="261">
        <f>SUM(AT237)</f>
        <v>68206688</v>
      </c>
      <c r="AU232" s="261">
        <f t="shared" ref="AU232:BB232" si="158">SUM(AU237)</f>
        <v>68206688</v>
      </c>
      <c r="AV232" s="261">
        <f t="shared" si="158"/>
        <v>0</v>
      </c>
      <c r="AW232" s="261">
        <f t="shared" si="158"/>
        <v>0</v>
      </c>
      <c r="AX232" s="261">
        <f t="shared" si="158"/>
        <v>0</v>
      </c>
      <c r="AY232" s="261">
        <f t="shared" si="158"/>
        <v>0</v>
      </c>
      <c r="AZ232" s="261">
        <f t="shared" si="158"/>
        <v>0</v>
      </c>
      <c r="BA232" s="261">
        <f t="shared" si="158"/>
        <v>0</v>
      </c>
      <c r="BB232" s="261">
        <f t="shared" si="158"/>
        <v>0</v>
      </c>
    </row>
    <row r="233" spans="1:58" ht="78.75" outlineLevel="2" x14ac:dyDescent="0.25">
      <c r="A233" s="115"/>
      <c r="B233" s="200"/>
      <c r="C233" s="201"/>
      <c r="D233" s="342"/>
      <c r="E233" s="328"/>
      <c r="F233" s="328"/>
      <c r="G233" s="328"/>
      <c r="H233" s="213" t="s">
        <v>521</v>
      </c>
      <c r="I233" s="130" t="s">
        <v>3</v>
      </c>
      <c r="J233" s="126">
        <v>3</v>
      </c>
      <c r="K233" s="126">
        <v>10</v>
      </c>
      <c r="L233" s="125">
        <f>IF(I233&lt;&gt;0,((VLOOKUP(I233,'1. Standard_Cost'!$B$4:$D$11,2)+VLOOKUP(I233,'1. Standard_Cost'!$B$4:$D$11,3))*J233*K233),"0")</f>
        <v>3024000</v>
      </c>
      <c r="M233" s="125">
        <f>L233*'1. Standard_Cost'!$F$4</f>
        <v>505008</v>
      </c>
      <c r="N233" s="126"/>
      <c r="O233" s="126"/>
      <c r="P233" s="126"/>
      <c r="Q233" s="126"/>
      <c r="R233" s="127">
        <f>'1. Standard_Cost'!$B$15*N233*P233</f>
        <v>0</v>
      </c>
      <c r="S233" s="127">
        <f>N233*O233*P233*'1. Standard_Cost'!$C$15</f>
        <v>0</v>
      </c>
      <c r="T233" s="127">
        <f>N233*P233*Q233*'1. Standard_Cost'!$D$15</f>
        <v>0</v>
      </c>
      <c r="U233" s="127">
        <f>N233*O233*'1. Standard_Cost'!$E$15</f>
        <v>0</v>
      </c>
      <c r="V233" s="126"/>
      <c r="W233" s="126"/>
      <c r="X233" s="126"/>
      <c r="Y233" s="127">
        <f>+V233*((X233*'1. Standard_Cost'!$B$19)+(W233*X233*'1. Standard_Cost'!$C$19))</f>
        <v>0</v>
      </c>
      <c r="Z233" s="126"/>
      <c r="AA233" s="126"/>
      <c r="AB233" s="127">
        <f>+Z233*'1. Standard_Cost'!$B$23+AA233*'1. Standard_Cost'!$C$23</f>
        <v>0</v>
      </c>
      <c r="AC233" s="128"/>
      <c r="AD233" s="129"/>
      <c r="AE233" s="127">
        <f>SUM(AD233,AC233,AB233,Y233,U233,T233,S233,R233)*'1. Standard_Cost'!$B$31</f>
        <v>0</v>
      </c>
      <c r="AF233" s="127">
        <f>SUM(AE233,AD233,AC233,AB233,Y233,U233,T233,S233,R233)</f>
        <v>0</v>
      </c>
      <c r="AG233" s="126"/>
      <c r="AH233" s="126"/>
      <c r="AI233" s="126"/>
      <c r="AJ233" s="130"/>
      <c r="AK233" s="130">
        <v>25000000</v>
      </c>
      <c r="AL233" s="130"/>
      <c r="AM233" s="127">
        <f>AG233*'1. Standard_Cost'!$B$27+'Incremental_Cost Year 4'!AH233*'1. Standard_Cost'!$C$27+'Incremental_Cost Year 4'!AI233*'1. Standard_Cost'!$D$27+'Incremental_Cost Year 4'!AJ233+'Incremental_Cost Year 4'!AL233+AK233</f>
        <v>25000000</v>
      </c>
      <c r="AN233" s="127">
        <f>AM233*'1. Standard_Cost'!$C$31</f>
        <v>3750000</v>
      </c>
      <c r="AO233" s="130"/>
      <c r="AQ233" s="171">
        <f>L233+M233</f>
        <v>3529008</v>
      </c>
      <c r="AR233" s="171">
        <f>AF233</f>
        <v>0</v>
      </c>
      <c r="AS233" s="171">
        <f>AM233+AN233</f>
        <v>28750000</v>
      </c>
      <c r="AT233" s="171">
        <f>SUM(AQ233,AR233,AS233)</f>
        <v>32279008</v>
      </c>
      <c r="AU233" s="250">
        <f>AT233</f>
        <v>32279008</v>
      </c>
      <c r="AV233" s="250"/>
      <c r="AW233" s="250"/>
      <c r="AX233" s="250"/>
      <c r="AY233" s="250"/>
      <c r="AZ233" s="250"/>
      <c r="BA233" s="250"/>
      <c r="BB233" s="251">
        <f t="shared" ref="BB233:BB236" si="159">SUM(AU233:BA233)-AT233</f>
        <v>0</v>
      </c>
      <c r="BC233" s="169"/>
      <c r="BD233" s="169"/>
      <c r="BE233" s="169"/>
      <c r="BF233" s="169"/>
    </row>
    <row r="234" spans="1:58" ht="94.5" outlineLevel="2" x14ac:dyDescent="0.25">
      <c r="A234" s="115"/>
      <c r="B234" s="200"/>
      <c r="C234" s="201"/>
      <c r="D234" s="343"/>
      <c r="E234" s="328"/>
      <c r="F234" s="328"/>
      <c r="G234" s="328"/>
      <c r="H234" s="199" t="s">
        <v>522</v>
      </c>
      <c r="I234" s="130" t="s">
        <v>3</v>
      </c>
      <c r="J234" s="126">
        <v>0.5</v>
      </c>
      <c r="K234" s="126">
        <v>2</v>
      </c>
      <c r="L234" s="125">
        <f>IF(I234&lt;&gt;0,((VLOOKUP(I234,'1. Standard_Cost'!$B$4:$D$11,2)+VLOOKUP(I234,'1. Standard_Cost'!$B$4:$D$11,3))*J234*K234),"0")</f>
        <v>100800</v>
      </c>
      <c r="M234" s="125">
        <f>L234*'1. Standard_Cost'!$F$4</f>
        <v>16833.600000000002</v>
      </c>
      <c r="N234" s="126">
        <v>5</v>
      </c>
      <c r="O234" s="126">
        <v>1</v>
      </c>
      <c r="P234" s="126">
        <v>20</v>
      </c>
      <c r="Q234" s="126"/>
      <c r="R234" s="127">
        <f>'1. Standard_Cost'!$B$15*N234*P234</f>
        <v>200000</v>
      </c>
      <c r="S234" s="127">
        <f>N234*O234*P234*'1. Standard_Cost'!$C$15</f>
        <v>150000</v>
      </c>
      <c r="T234" s="127">
        <f>N234*P234*Q234*'1. Standard_Cost'!$D$15</f>
        <v>0</v>
      </c>
      <c r="U234" s="127">
        <f>N234*O234*'1. Standard_Cost'!$E$15</f>
        <v>200000</v>
      </c>
      <c r="V234" s="126"/>
      <c r="W234" s="126"/>
      <c r="X234" s="126"/>
      <c r="Y234" s="127">
        <f>+V234*((X234*'1. Standard_Cost'!$B$19)+(W234*X234*'1. Standard_Cost'!$C$19))</f>
        <v>0</v>
      </c>
      <c r="Z234" s="126"/>
      <c r="AA234" s="126"/>
      <c r="AB234" s="127">
        <f>+Z234*'1. Standard_Cost'!$B$23+AA234*'1. Standard_Cost'!$C$23</f>
        <v>0</v>
      </c>
      <c r="AC234" s="128">
        <f>100*300</f>
        <v>30000</v>
      </c>
      <c r="AD234" s="129"/>
      <c r="AE234" s="127">
        <f>SUM(AD234,AC234,AB234,Y234,U234,T234,S234,R234)*'1. Standard_Cost'!$B$31</f>
        <v>116000</v>
      </c>
      <c r="AF234" s="127">
        <f>SUM(AE234,AD234,AC234,AB234,Y234,U234,T234,S234,R234)</f>
        <v>696000</v>
      </c>
      <c r="AG234" s="126"/>
      <c r="AH234" s="126"/>
      <c r="AI234" s="126"/>
      <c r="AJ234" s="130"/>
      <c r="AK234" s="130"/>
      <c r="AL234" s="130"/>
      <c r="AM234" s="127">
        <f>AG234*'1. Standard_Cost'!$B$27+'Incremental_Cost Year 4'!AH234*'1. Standard_Cost'!$C$27+'Incremental_Cost Year 4'!AI234*'1. Standard_Cost'!$D$27+'Incremental_Cost Year 4'!AJ234+'Incremental_Cost Year 4'!AL234+AK234</f>
        <v>0</v>
      </c>
      <c r="AN234" s="127">
        <f>AM234*'1. Standard_Cost'!$C$31</f>
        <v>0</v>
      </c>
      <c r="AO234" s="130"/>
      <c r="AQ234" s="171">
        <f>L234+M234</f>
        <v>117633.60000000001</v>
      </c>
      <c r="AR234" s="171">
        <f>AF234</f>
        <v>696000</v>
      </c>
      <c r="AS234" s="171">
        <f>AM234+AN234</f>
        <v>0</v>
      </c>
      <c r="AT234" s="171">
        <f>SUM(AQ234,AR234,AS234)</f>
        <v>813633.6</v>
      </c>
      <c r="AU234" s="250">
        <f>AT234</f>
        <v>813633.6</v>
      </c>
      <c r="AV234" s="250"/>
      <c r="AW234" s="250"/>
      <c r="AX234" s="250"/>
      <c r="AY234" s="250"/>
      <c r="AZ234" s="250"/>
      <c r="BA234" s="250"/>
      <c r="BB234" s="251">
        <f t="shared" si="159"/>
        <v>0</v>
      </c>
      <c r="BC234" s="169"/>
      <c r="BD234" s="169"/>
      <c r="BE234" s="169"/>
      <c r="BF234" s="169"/>
    </row>
    <row r="235" spans="1:58" ht="94.5" outlineLevel="2" x14ac:dyDescent="0.25">
      <c r="A235" s="115"/>
      <c r="B235" s="200"/>
      <c r="C235" s="201"/>
      <c r="D235" s="343"/>
      <c r="E235" s="328"/>
      <c r="F235" s="328"/>
      <c r="G235" s="328"/>
      <c r="H235" s="199" t="s">
        <v>523</v>
      </c>
      <c r="I235" s="130" t="s">
        <v>3</v>
      </c>
      <c r="J235" s="126">
        <v>2</v>
      </c>
      <c r="K235" s="126">
        <v>20</v>
      </c>
      <c r="L235" s="125">
        <f>IF(I235&lt;&gt;0,((VLOOKUP(I235,'1. Standard_Cost'!$B$4:$D$11,2)+VLOOKUP(I235,'1. Standard_Cost'!$B$4:$D$11,3))*J235*K235),"0")</f>
        <v>4032000</v>
      </c>
      <c r="M235" s="125">
        <f>L235*'1. Standard_Cost'!$F$4</f>
        <v>673344</v>
      </c>
      <c r="N235" s="126"/>
      <c r="O235" s="126"/>
      <c r="P235" s="126"/>
      <c r="Q235" s="126"/>
      <c r="R235" s="127">
        <f>'1. Standard_Cost'!$B$15*N235*P235</f>
        <v>0</v>
      </c>
      <c r="S235" s="127">
        <f>N235*O235*P235*'1. Standard_Cost'!$C$15</f>
        <v>0</v>
      </c>
      <c r="T235" s="127">
        <f>N235*P235*Q235*'1. Standard_Cost'!$D$15</f>
        <v>0</v>
      </c>
      <c r="U235" s="127">
        <f>N235*O235*'1. Standard_Cost'!$E$15</f>
        <v>0</v>
      </c>
      <c r="V235" s="126"/>
      <c r="W235" s="126"/>
      <c r="X235" s="126"/>
      <c r="Y235" s="127">
        <f>+V235*((X235*'1. Standard_Cost'!$B$19)+(W235*X235*'1. Standard_Cost'!$C$19))</f>
        <v>0</v>
      </c>
      <c r="Z235" s="126"/>
      <c r="AA235" s="126"/>
      <c r="AB235" s="127">
        <f>+Z235*'1. Standard_Cost'!$B$23+AA235*'1. Standard_Cost'!$C$23</f>
        <v>0</v>
      </c>
      <c r="AC235" s="128"/>
      <c r="AD235" s="129"/>
      <c r="AE235" s="127">
        <f>SUM(AD235,AC235,AB235,Y235,U235,T235,S235,R235)*'1. Standard_Cost'!$B$31</f>
        <v>0</v>
      </c>
      <c r="AF235" s="127">
        <f>SUM(AE235,AD235,AC235,AB235,Y235,U235,T235,S235,R235)</f>
        <v>0</v>
      </c>
      <c r="AG235" s="126"/>
      <c r="AH235" s="126"/>
      <c r="AI235" s="126"/>
      <c r="AJ235" s="130"/>
      <c r="AK235" s="130">
        <v>25000000</v>
      </c>
      <c r="AL235" s="130"/>
      <c r="AM235" s="127">
        <f>AG235*'1. Standard_Cost'!$B$27+'Incremental_Cost Year 4'!AH235*'1. Standard_Cost'!$C$27+'Incremental_Cost Year 4'!AI235*'1. Standard_Cost'!$D$27+'Incremental_Cost Year 4'!AJ235+'Incremental_Cost Year 4'!AL235+AK235</f>
        <v>25000000</v>
      </c>
      <c r="AN235" s="127">
        <f>AM235*'1. Standard_Cost'!$C$31</f>
        <v>3750000</v>
      </c>
      <c r="AO235" s="130"/>
      <c r="AQ235" s="171">
        <f>L235+M235</f>
        <v>4705344</v>
      </c>
      <c r="AR235" s="171">
        <f>AF235</f>
        <v>0</v>
      </c>
      <c r="AS235" s="171">
        <f>AM235+AN235</f>
        <v>28750000</v>
      </c>
      <c r="AT235" s="171">
        <f>SUM(AQ235,AR235,AS235)</f>
        <v>33455344</v>
      </c>
      <c r="AU235" s="250">
        <f>AT235</f>
        <v>33455344</v>
      </c>
      <c r="AV235" s="250"/>
      <c r="AW235" s="250"/>
      <c r="AX235" s="250"/>
      <c r="AY235" s="250"/>
      <c r="AZ235" s="250"/>
      <c r="BA235" s="250"/>
      <c r="BB235" s="251">
        <f t="shared" si="159"/>
        <v>0</v>
      </c>
      <c r="BC235" s="169"/>
      <c r="BD235" s="169"/>
      <c r="BE235" s="169"/>
      <c r="BF235" s="169"/>
    </row>
    <row r="236" spans="1:58" ht="78.75" outlineLevel="2" x14ac:dyDescent="0.25">
      <c r="A236" s="115"/>
      <c r="B236" s="200"/>
      <c r="C236" s="201"/>
      <c r="D236" s="344"/>
      <c r="E236" s="328"/>
      <c r="F236" s="328"/>
      <c r="G236" s="328"/>
      <c r="H236" s="199" t="s">
        <v>524</v>
      </c>
      <c r="I236" s="130" t="s">
        <v>3</v>
      </c>
      <c r="J236" s="126">
        <v>3</v>
      </c>
      <c r="K236" s="126">
        <v>3</v>
      </c>
      <c r="L236" s="125">
        <f>IF(I236&lt;&gt;0,((VLOOKUP(I236,'1. Standard_Cost'!$B$4:$D$11,2)+VLOOKUP(I236,'1. Standard_Cost'!$B$4:$D$11,3))*J236*K236),"0")</f>
        <v>907200</v>
      </c>
      <c r="M236" s="125">
        <f>L236*'1. Standard_Cost'!$F$4</f>
        <v>151502.39999999999</v>
      </c>
      <c r="N236" s="126"/>
      <c r="O236" s="126"/>
      <c r="P236" s="126"/>
      <c r="Q236" s="126"/>
      <c r="R236" s="127">
        <f>'1. Standard_Cost'!$B$15*N236*P236</f>
        <v>0</v>
      </c>
      <c r="S236" s="127">
        <f>N236*O236*P236*'1. Standard_Cost'!$C$15</f>
        <v>0</v>
      </c>
      <c r="T236" s="127">
        <f>N236*P236*Q236*'1. Standard_Cost'!$D$15</f>
        <v>0</v>
      </c>
      <c r="U236" s="127">
        <f>N236*O236*'1. Standard_Cost'!$E$15</f>
        <v>0</v>
      </c>
      <c r="V236" s="126"/>
      <c r="W236" s="126"/>
      <c r="X236" s="126"/>
      <c r="Y236" s="127">
        <f>+V236*((X236*'1. Standard_Cost'!$B$19)+(W236*X236*'1. Standard_Cost'!$C$19))</f>
        <v>0</v>
      </c>
      <c r="Z236" s="126"/>
      <c r="AA236" s="126"/>
      <c r="AB236" s="127">
        <f>+Z236*'1. Standard_Cost'!$B$23+AA236*'1. Standard_Cost'!$C$23</f>
        <v>0</v>
      </c>
      <c r="AC236" s="128">
        <v>500000</v>
      </c>
      <c r="AD236" s="129"/>
      <c r="AE236" s="127">
        <f>SUM(AD236,AC236,AB236,Y236,U236,T236,S236,R236)*'1. Standard_Cost'!$B$31</f>
        <v>100000</v>
      </c>
      <c r="AF236" s="127">
        <f>SUM(AE236,AD236,AC236,AB236,Y236,U236,T236,S236,R236)</f>
        <v>600000</v>
      </c>
      <c r="AG236" s="126"/>
      <c r="AH236" s="126"/>
      <c r="AI236" s="126"/>
      <c r="AJ236" s="130"/>
      <c r="AK236" s="130"/>
      <c r="AL236" s="130"/>
      <c r="AM236" s="127">
        <f>AG236*'1. Standard_Cost'!$B$27+'Incremental_Cost Year 4'!AH236*'1. Standard_Cost'!$C$27+'Incremental_Cost Year 4'!AI236*'1. Standard_Cost'!$D$27+'Incremental_Cost Year 4'!AJ236+'Incremental_Cost Year 4'!AL236+AK236</f>
        <v>0</v>
      </c>
      <c r="AN236" s="127">
        <f>AM236*'1. Standard_Cost'!$C$31</f>
        <v>0</v>
      </c>
      <c r="AO236" s="130"/>
      <c r="AQ236" s="171">
        <f>L236+M236</f>
        <v>1058702.3999999999</v>
      </c>
      <c r="AR236" s="171">
        <f>AF236</f>
        <v>600000</v>
      </c>
      <c r="AS236" s="171">
        <f>AM236+AN236</f>
        <v>0</v>
      </c>
      <c r="AT236" s="171">
        <f>SUM(AQ236,AR236,AS236)</f>
        <v>1658702.4</v>
      </c>
      <c r="AU236" s="250">
        <f>AT236</f>
        <v>1658702.4</v>
      </c>
      <c r="AV236" s="250"/>
      <c r="AW236" s="250"/>
      <c r="AX236" s="250"/>
      <c r="AY236" s="250"/>
      <c r="AZ236" s="250"/>
      <c r="BA236" s="250"/>
      <c r="BB236" s="251">
        <f t="shared" si="159"/>
        <v>0</v>
      </c>
      <c r="BC236" s="169"/>
      <c r="BD236" s="169"/>
      <c r="BE236" s="169"/>
      <c r="BF236" s="169"/>
    </row>
    <row r="237" spans="1:58" ht="63" outlineLevel="1" x14ac:dyDescent="0.25">
      <c r="A237" s="115"/>
      <c r="B237" s="165"/>
      <c r="C237" s="166"/>
      <c r="D237" s="209" t="s">
        <v>563</v>
      </c>
      <c r="E237" s="212" t="s">
        <v>263</v>
      </c>
      <c r="F237" s="136">
        <v>2023</v>
      </c>
      <c r="G237" s="117">
        <v>2025</v>
      </c>
      <c r="H237" s="150" t="s">
        <v>264</v>
      </c>
      <c r="I237" s="252"/>
      <c r="J237" s="252"/>
      <c r="K237" s="252"/>
      <c r="L237" s="127">
        <f>SUM(L233:L236)</f>
        <v>8064000</v>
      </c>
      <c r="M237" s="127">
        <f>SUM(M233:M236)</f>
        <v>1346688</v>
      </c>
      <c r="N237" s="252"/>
      <c r="O237" s="252"/>
      <c r="P237" s="252"/>
      <c r="Q237" s="252"/>
      <c r="R237" s="127">
        <f>SUM(R233:R236)</f>
        <v>200000</v>
      </c>
      <c r="S237" s="127">
        <f>SUM(S233:S236)</f>
        <v>150000</v>
      </c>
      <c r="T237" s="127">
        <f>SUM(T233:T236)</f>
        <v>0</v>
      </c>
      <c r="U237" s="127">
        <f>SUM(U233:U236)</f>
        <v>200000</v>
      </c>
      <c r="V237" s="252"/>
      <c r="W237" s="252"/>
      <c r="X237" s="252"/>
      <c r="Y237" s="127">
        <f>SUM(Y233:Y236)</f>
        <v>0</v>
      </c>
      <c r="Z237" s="127"/>
      <c r="AA237" s="252"/>
      <c r="AB237" s="127">
        <f>SUM(AB233:AB236)</f>
        <v>0</v>
      </c>
      <c r="AC237" s="127">
        <f>SUM(AC233:AC236)</f>
        <v>530000</v>
      </c>
      <c r="AD237" s="127">
        <f>SUM(AD233:AD236)</f>
        <v>0</v>
      </c>
      <c r="AE237" s="127">
        <f>SUM(AE233:AE236)</f>
        <v>216000</v>
      </c>
      <c r="AF237" s="127">
        <f>SUM(AF233:AF236)</f>
        <v>1296000</v>
      </c>
      <c r="AG237" s="252"/>
      <c r="AH237" s="252"/>
      <c r="AI237" s="252"/>
      <c r="AJ237" s="127">
        <f>SUM(AJ233:AJ236)</f>
        <v>0</v>
      </c>
      <c r="AK237" s="127">
        <f>SUM(AK233:AK236)</f>
        <v>50000000</v>
      </c>
      <c r="AL237" s="127">
        <f>SUM(AL233:AL236)</f>
        <v>0</v>
      </c>
      <c r="AM237" s="127">
        <f>SUM(AM233:AM236)</f>
        <v>50000000</v>
      </c>
      <c r="AN237" s="127">
        <f>SUM(AN233:AN236)</f>
        <v>7500000</v>
      </c>
      <c r="AO237" s="253"/>
      <c r="AP237" s="254"/>
      <c r="AQ237" s="175">
        <f>SUM(AQ233:AQ236)</f>
        <v>9410688</v>
      </c>
      <c r="AR237" s="175">
        <f>SUM(AR233:AR236)</f>
        <v>1296000</v>
      </c>
      <c r="AS237" s="175">
        <f>SUM(AS233:AS236)</f>
        <v>57500000</v>
      </c>
      <c r="AT237" s="175">
        <f>SUM(AT233:AT236)</f>
        <v>68206688</v>
      </c>
      <c r="AU237" s="175">
        <f t="shared" ref="AU237:BB237" si="160">SUM(AU233:AU236)</f>
        <v>68206688</v>
      </c>
      <c r="AV237" s="175">
        <f t="shared" si="160"/>
        <v>0</v>
      </c>
      <c r="AW237" s="175">
        <f t="shared" si="160"/>
        <v>0</v>
      </c>
      <c r="AX237" s="175">
        <f t="shared" si="160"/>
        <v>0</v>
      </c>
      <c r="AY237" s="175">
        <f t="shared" si="160"/>
        <v>0</v>
      </c>
      <c r="AZ237" s="175">
        <f t="shared" si="160"/>
        <v>0</v>
      </c>
      <c r="BA237" s="175">
        <f t="shared" si="160"/>
        <v>0</v>
      </c>
      <c r="BB237" s="175">
        <f t="shared" si="160"/>
        <v>0</v>
      </c>
      <c r="BC237" s="169"/>
      <c r="BD237" s="169"/>
      <c r="BE237" s="169"/>
      <c r="BF237" s="169"/>
    </row>
    <row r="238" spans="1:58" s="184" customFormat="1" ht="15.75" customHeight="1" x14ac:dyDescent="0.25">
      <c r="A238" s="143"/>
      <c r="B238" s="332"/>
      <c r="C238" s="397" t="s">
        <v>265</v>
      </c>
      <c r="D238" s="397"/>
      <c r="E238" s="398"/>
      <c r="F238" s="291"/>
      <c r="G238" s="340"/>
      <c r="H238" s="144" t="s">
        <v>303</v>
      </c>
      <c r="I238" s="257"/>
      <c r="J238" s="257"/>
      <c r="K238" s="257"/>
      <c r="L238" s="258">
        <f>SUM(L243)</f>
        <v>3024000</v>
      </c>
      <c r="M238" s="258">
        <f>SUM(M243)</f>
        <v>505008</v>
      </c>
      <c r="N238" s="257"/>
      <c r="O238" s="257"/>
      <c r="P238" s="257"/>
      <c r="Q238" s="257"/>
      <c r="R238" s="258">
        <f>SUM(R243)</f>
        <v>0</v>
      </c>
      <c r="S238" s="258">
        <f>SUM(S243)</f>
        <v>0</v>
      </c>
      <c r="T238" s="258">
        <f>SUM(T243)</f>
        <v>0</v>
      </c>
      <c r="U238" s="258">
        <f>SUM(U243)</f>
        <v>0</v>
      </c>
      <c r="V238" s="257"/>
      <c r="W238" s="257"/>
      <c r="X238" s="257"/>
      <c r="Y238" s="258">
        <f>SUM(Y243)</f>
        <v>0</v>
      </c>
      <c r="Z238" s="258"/>
      <c r="AA238" s="258"/>
      <c r="AB238" s="258">
        <f>SUM(AB243)</f>
        <v>0</v>
      </c>
      <c r="AC238" s="258">
        <f>SUM(AC243)</f>
        <v>0</v>
      </c>
      <c r="AD238" s="258">
        <f>SUM(AD243)</f>
        <v>0</v>
      </c>
      <c r="AE238" s="258">
        <f>SUM(AE243)</f>
        <v>0</v>
      </c>
      <c r="AF238" s="258">
        <f>SUM(AF243)</f>
        <v>0</v>
      </c>
      <c r="AG238" s="257"/>
      <c r="AH238" s="257"/>
      <c r="AI238" s="257"/>
      <c r="AJ238" s="258">
        <f>SUM(AJ243)</f>
        <v>0</v>
      </c>
      <c r="AK238" s="258">
        <f>SUM(AK243)</f>
        <v>25000000</v>
      </c>
      <c r="AL238" s="258">
        <f>SUM(AL243)</f>
        <v>0</v>
      </c>
      <c r="AM238" s="258">
        <f>SUM(AM243)</f>
        <v>25000000</v>
      </c>
      <c r="AN238" s="258">
        <f>SUM(AN243)</f>
        <v>3750000</v>
      </c>
      <c r="AO238" s="259"/>
      <c r="AP238" s="260"/>
      <c r="AQ238" s="261">
        <f>SUM(AQ243)</f>
        <v>3529008</v>
      </c>
      <c r="AR238" s="261">
        <f>SUM(AR243)</f>
        <v>0</v>
      </c>
      <c r="AS238" s="261">
        <f>SUM(AS243)</f>
        <v>28750000</v>
      </c>
      <c r="AT238" s="261">
        <f>SUM(AT243)</f>
        <v>32279008</v>
      </c>
      <c r="AU238" s="261">
        <f t="shared" ref="AU238:BB238" si="161">SUM(AU243)</f>
        <v>32279008</v>
      </c>
      <c r="AV238" s="261">
        <f t="shared" si="161"/>
        <v>0</v>
      </c>
      <c r="AW238" s="261">
        <f t="shared" si="161"/>
        <v>0</v>
      </c>
      <c r="AX238" s="261">
        <f t="shared" si="161"/>
        <v>0</v>
      </c>
      <c r="AY238" s="261">
        <f t="shared" si="161"/>
        <v>0</v>
      </c>
      <c r="AZ238" s="261">
        <f t="shared" si="161"/>
        <v>0</v>
      </c>
      <c r="BA238" s="261">
        <f t="shared" si="161"/>
        <v>0</v>
      </c>
      <c r="BB238" s="261">
        <f t="shared" si="161"/>
        <v>0</v>
      </c>
    </row>
    <row r="239" spans="1:58" ht="63" outlineLevel="2" x14ac:dyDescent="0.25">
      <c r="A239" s="115"/>
      <c r="B239" s="200"/>
      <c r="C239" s="201"/>
      <c r="D239" s="202"/>
      <c r="E239" s="354"/>
      <c r="F239" s="355"/>
      <c r="G239" s="356"/>
      <c r="H239" s="199" t="s">
        <v>525</v>
      </c>
      <c r="I239" s="130"/>
      <c r="J239" s="126"/>
      <c r="K239" s="126"/>
      <c r="L239" s="125" t="str">
        <f>IF(I239&lt;&gt;0,((VLOOKUP(I239,'1. Standard_Cost'!$B$4:$D$11,2)+VLOOKUP(I239,'1. Standard_Cost'!$B$4:$D$11,3))*J239*K239),"0")</f>
        <v>0</v>
      </c>
      <c r="M239" s="125">
        <f>L239*'1. Standard_Cost'!$F$4</f>
        <v>0</v>
      </c>
      <c r="N239" s="126"/>
      <c r="O239" s="126"/>
      <c r="P239" s="126"/>
      <c r="Q239" s="126"/>
      <c r="R239" s="127">
        <f>'1. Standard_Cost'!$B$15*N239*P239</f>
        <v>0</v>
      </c>
      <c r="S239" s="127">
        <f>N239*O239*P239*'1. Standard_Cost'!$C$15</f>
        <v>0</v>
      </c>
      <c r="T239" s="127">
        <f>N239*P239*Q239*'1. Standard_Cost'!$D$15</f>
        <v>0</v>
      </c>
      <c r="U239" s="127">
        <f>N239*O239*'1. Standard_Cost'!$E$15</f>
        <v>0</v>
      </c>
      <c r="V239" s="126"/>
      <c r="W239" s="126"/>
      <c r="X239" s="126"/>
      <c r="Y239" s="127">
        <f>+V239*((X239*'1. Standard_Cost'!$B$19)+(W239*X239*'1. Standard_Cost'!$C$19))</f>
        <v>0</v>
      </c>
      <c r="Z239" s="126"/>
      <c r="AA239" s="126"/>
      <c r="AB239" s="127">
        <f>+Z239*'1. Standard_Cost'!$B$23+AA239*'1. Standard_Cost'!$C$23</f>
        <v>0</v>
      </c>
      <c r="AC239" s="128"/>
      <c r="AD239" s="129"/>
      <c r="AE239" s="127">
        <f>SUM(AD239,AC239,AB239,Y239,U239,T239,S239,R239)*'1. Standard_Cost'!$B$31</f>
        <v>0</v>
      </c>
      <c r="AF239" s="127">
        <f>SUM(AE239,AD239,AC239,AB239,Y239,U239,T239,S239,R239)</f>
        <v>0</v>
      </c>
      <c r="AG239" s="126"/>
      <c r="AH239" s="126"/>
      <c r="AI239" s="126"/>
      <c r="AJ239" s="130"/>
      <c r="AK239" s="130"/>
      <c r="AL239" s="130"/>
      <c r="AM239" s="127">
        <f>AG239*'1. Standard_Cost'!$B$27+'Incremental_Cost Year 4'!AH239*'1. Standard_Cost'!$C$27+'Incremental_Cost Year 4'!AI239*'1. Standard_Cost'!$D$27+'Incremental_Cost Year 4'!AJ239+'Incremental_Cost Year 4'!AL239+AK239</f>
        <v>0</v>
      </c>
      <c r="AN239" s="127">
        <f>AM239*'1. Standard_Cost'!$C$31</f>
        <v>0</v>
      </c>
      <c r="AO239" s="130"/>
      <c r="AQ239" s="171">
        <f>L239+M239</f>
        <v>0</v>
      </c>
      <c r="AR239" s="171">
        <f>AF239</f>
        <v>0</v>
      </c>
      <c r="AS239" s="171">
        <f>AM239+AN239</f>
        <v>0</v>
      </c>
      <c r="AT239" s="171">
        <f>SUM(AQ239,AR239,AS239)</f>
        <v>0</v>
      </c>
      <c r="AU239" s="250">
        <f>AT239</f>
        <v>0</v>
      </c>
      <c r="AV239" s="250"/>
      <c r="AW239" s="250"/>
      <c r="AX239" s="250"/>
      <c r="AY239" s="250"/>
      <c r="AZ239" s="250"/>
      <c r="BA239" s="250"/>
      <c r="BB239" s="251">
        <f t="shared" ref="BB239:BB242" si="162">SUM(AU239:BA239)-AT239</f>
        <v>0</v>
      </c>
      <c r="BC239" s="169"/>
      <c r="BD239" s="169"/>
      <c r="BE239" s="169"/>
      <c r="BF239" s="169"/>
    </row>
    <row r="240" spans="1:58" ht="31.5" outlineLevel="2" x14ac:dyDescent="0.25">
      <c r="A240" s="115"/>
      <c r="B240" s="200"/>
      <c r="C240" s="201"/>
      <c r="D240" s="202"/>
      <c r="E240" s="357"/>
      <c r="F240" s="358"/>
      <c r="G240" s="359"/>
      <c r="H240" s="199" t="s">
        <v>526</v>
      </c>
      <c r="I240" s="130"/>
      <c r="J240" s="126"/>
      <c r="K240" s="126"/>
      <c r="L240" s="125" t="str">
        <f>IF(I240&lt;&gt;0,((VLOOKUP(I240,'1. Standard_Cost'!$B$4:$D$11,2)+VLOOKUP(I240,'1. Standard_Cost'!$B$4:$D$11,3))*J240*K240),"0")</f>
        <v>0</v>
      </c>
      <c r="M240" s="125">
        <f>L240*'1. Standard_Cost'!$F$4</f>
        <v>0</v>
      </c>
      <c r="N240" s="126"/>
      <c r="O240" s="126"/>
      <c r="P240" s="126"/>
      <c r="Q240" s="126"/>
      <c r="R240" s="127">
        <f>'1. Standard_Cost'!$B$15*N240*P240</f>
        <v>0</v>
      </c>
      <c r="S240" s="127">
        <f>N240*O240*P240*'1. Standard_Cost'!$C$15</f>
        <v>0</v>
      </c>
      <c r="T240" s="127">
        <f>N240*P240*Q240*'1. Standard_Cost'!$D$15</f>
        <v>0</v>
      </c>
      <c r="U240" s="127">
        <f>N240*O240*'1. Standard_Cost'!$E$15</f>
        <v>0</v>
      </c>
      <c r="V240" s="126"/>
      <c r="W240" s="126"/>
      <c r="X240" s="126"/>
      <c r="Y240" s="127">
        <f>+V240*((X240*'1. Standard_Cost'!$B$19)+(W240*X240*'1. Standard_Cost'!$C$19))</f>
        <v>0</v>
      </c>
      <c r="Z240" s="126"/>
      <c r="AA240" s="126"/>
      <c r="AB240" s="127">
        <f>+Z240*'1. Standard_Cost'!$B$23+AA240*'1. Standard_Cost'!$C$23</f>
        <v>0</v>
      </c>
      <c r="AC240" s="128"/>
      <c r="AD240" s="129"/>
      <c r="AE240" s="127">
        <f>SUM(AD240,AC240,AB240,Y240,U240,T240,S240,R240)*'1. Standard_Cost'!$B$31</f>
        <v>0</v>
      </c>
      <c r="AF240" s="127">
        <f>SUM(AE240,AD240,AC240,AB240,Y240,U240,T240,S240,R240)</f>
        <v>0</v>
      </c>
      <c r="AG240" s="126"/>
      <c r="AH240" s="126"/>
      <c r="AI240" s="126"/>
      <c r="AJ240" s="130"/>
      <c r="AK240" s="130"/>
      <c r="AL240" s="130"/>
      <c r="AM240" s="127">
        <f>AG240*'1. Standard_Cost'!$B$27+'Incremental_Cost Year 4'!AH240*'1. Standard_Cost'!$C$27+'Incremental_Cost Year 4'!AI240*'1. Standard_Cost'!$D$27+'Incremental_Cost Year 4'!AJ240+'Incremental_Cost Year 4'!AL240+AK240</f>
        <v>0</v>
      </c>
      <c r="AN240" s="127">
        <f>AM240*'1. Standard_Cost'!$C$31</f>
        <v>0</v>
      </c>
      <c r="AO240" s="130"/>
      <c r="AQ240" s="171">
        <f>L240+M240</f>
        <v>0</v>
      </c>
      <c r="AR240" s="171">
        <f>AF240</f>
        <v>0</v>
      </c>
      <c r="AS240" s="171">
        <f>AM240+AN240</f>
        <v>0</v>
      </c>
      <c r="AT240" s="171">
        <f>SUM(AQ240,AR240,AS240)</f>
        <v>0</v>
      </c>
      <c r="AU240" s="250">
        <f>AT240</f>
        <v>0</v>
      </c>
      <c r="AV240" s="250"/>
      <c r="AW240" s="250"/>
      <c r="AX240" s="250"/>
      <c r="AY240" s="250"/>
      <c r="AZ240" s="250"/>
      <c r="BA240" s="250"/>
      <c r="BB240" s="251">
        <f t="shared" si="162"/>
        <v>0</v>
      </c>
      <c r="BC240" s="169"/>
      <c r="BD240" s="169"/>
      <c r="BE240" s="169"/>
      <c r="BF240" s="169"/>
    </row>
    <row r="241" spans="1:58" ht="47.25" outlineLevel="2" x14ac:dyDescent="0.25">
      <c r="A241" s="115"/>
      <c r="B241" s="200"/>
      <c r="C241" s="201"/>
      <c r="D241" s="202"/>
      <c r="E241" s="357"/>
      <c r="F241" s="358"/>
      <c r="G241" s="359"/>
      <c r="H241" s="199" t="s">
        <v>527</v>
      </c>
      <c r="I241" s="130"/>
      <c r="J241" s="126"/>
      <c r="K241" s="126"/>
      <c r="L241" s="125" t="str">
        <f>IF(I241&lt;&gt;0,((VLOOKUP(I241,'1. Standard_Cost'!$B$4:$D$11,2)+VLOOKUP(I241,'1. Standard_Cost'!$B$4:$D$11,3))*J241*K241),"0")</f>
        <v>0</v>
      </c>
      <c r="M241" s="125">
        <f>L241*'1. Standard_Cost'!$F$4</f>
        <v>0</v>
      </c>
      <c r="N241" s="126"/>
      <c r="O241" s="126"/>
      <c r="P241" s="126"/>
      <c r="Q241" s="126"/>
      <c r="R241" s="127">
        <f>'1. Standard_Cost'!$B$15*N241*P241</f>
        <v>0</v>
      </c>
      <c r="S241" s="127">
        <f>N241*O241*P241*'1. Standard_Cost'!$C$15</f>
        <v>0</v>
      </c>
      <c r="T241" s="127">
        <f>N241*P241*Q241*'1. Standard_Cost'!$D$15</f>
        <v>0</v>
      </c>
      <c r="U241" s="127">
        <f>N241*O241*'1. Standard_Cost'!$E$15</f>
        <v>0</v>
      </c>
      <c r="V241" s="126"/>
      <c r="W241" s="126"/>
      <c r="X241" s="126"/>
      <c r="Y241" s="127">
        <f>+V241*((X241*'1. Standard_Cost'!$B$19)+(W241*X241*'1. Standard_Cost'!$C$19))</f>
        <v>0</v>
      </c>
      <c r="Z241" s="126"/>
      <c r="AA241" s="126"/>
      <c r="AB241" s="127">
        <f>+Z241*'1. Standard_Cost'!$B$23+AA241*'1. Standard_Cost'!$C$23</f>
        <v>0</v>
      </c>
      <c r="AC241" s="128"/>
      <c r="AD241" s="129"/>
      <c r="AE241" s="127">
        <f>SUM(AD241,AC241,AB241,Y241,U241,T241,S241,R241)*'1. Standard_Cost'!$B$31</f>
        <v>0</v>
      </c>
      <c r="AF241" s="127">
        <f>SUM(AE241,AD241,AC241,AB241,Y241,U241,T241,S241,R241)</f>
        <v>0</v>
      </c>
      <c r="AG241" s="126"/>
      <c r="AH241" s="126"/>
      <c r="AI241" s="126"/>
      <c r="AJ241" s="130"/>
      <c r="AK241" s="130"/>
      <c r="AL241" s="130"/>
      <c r="AM241" s="127">
        <f>AG241*'1. Standard_Cost'!$B$27+'Incremental_Cost Year 4'!AH241*'1. Standard_Cost'!$C$27+'Incremental_Cost Year 4'!AI241*'1. Standard_Cost'!$D$27+'Incremental_Cost Year 4'!AJ241+'Incremental_Cost Year 4'!AL241+AK241</f>
        <v>0</v>
      </c>
      <c r="AN241" s="127">
        <f>AM241*'1. Standard_Cost'!$C$31</f>
        <v>0</v>
      </c>
      <c r="AO241" s="130"/>
      <c r="AQ241" s="171">
        <f>L241+M241</f>
        <v>0</v>
      </c>
      <c r="AR241" s="171">
        <f>AF241</f>
        <v>0</v>
      </c>
      <c r="AS241" s="171">
        <f>AM241+AN241</f>
        <v>0</v>
      </c>
      <c r="AT241" s="171">
        <f>SUM(AQ241,AR241,AS241)</f>
        <v>0</v>
      </c>
      <c r="AU241" s="250">
        <f>AT241</f>
        <v>0</v>
      </c>
      <c r="AV241" s="250"/>
      <c r="AW241" s="250"/>
      <c r="AX241" s="250"/>
      <c r="AY241" s="250"/>
      <c r="AZ241" s="250"/>
      <c r="BA241" s="250"/>
      <c r="BB241" s="251">
        <f t="shared" si="162"/>
        <v>0</v>
      </c>
      <c r="BC241" s="169"/>
      <c r="BD241" s="169"/>
      <c r="BE241" s="169"/>
      <c r="BF241" s="169"/>
    </row>
    <row r="242" spans="1:58" ht="94.5" outlineLevel="2" x14ac:dyDescent="0.25">
      <c r="A242" s="115"/>
      <c r="B242" s="200"/>
      <c r="C242" s="201"/>
      <c r="D242" s="202"/>
      <c r="E242" s="360"/>
      <c r="F242" s="361"/>
      <c r="G242" s="362"/>
      <c r="H242" s="213" t="s">
        <v>528</v>
      </c>
      <c r="I242" s="130" t="s">
        <v>3</v>
      </c>
      <c r="J242" s="126">
        <v>3</v>
      </c>
      <c r="K242" s="126">
        <v>10</v>
      </c>
      <c r="L242" s="125">
        <f>IF(I242&lt;&gt;0,((VLOOKUP(I242,'1. Standard_Cost'!$B$4:$D$11,2)+VLOOKUP(I242,'1. Standard_Cost'!$B$4:$D$11,3))*J242*K242),"0")</f>
        <v>3024000</v>
      </c>
      <c r="M242" s="125">
        <f>L242*'1. Standard_Cost'!$F$4</f>
        <v>505008</v>
      </c>
      <c r="N242" s="126"/>
      <c r="O242" s="126"/>
      <c r="P242" s="126"/>
      <c r="Q242" s="126"/>
      <c r="R242" s="127">
        <f>'1. Standard_Cost'!$B$15*N242*P242</f>
        <v>0</v>
      </c>
      <c r="S242" s="127">
        <f>N242*O242*P242*'1. Standard_Cost'!$C$15</f>
        <v>0</v>
      </c>
      <c r="T242" s="127">
        <f>N242*P242*Q242*'1. Standard_Cost'!$D$15</f>
        <v>0</v>
      </c>
      <c r="U242" s="127">
        <f>N242*O242*'1. Standard_Cost'!$E$15</f>
        <v>0</v>
      </c>
      <c r="V242" s="126"/>
      <c r="W242" s="126"/>
      <c r="X242" s="126"/>
      <c r="Y242" s="127">
        <f>+V242*((X242*'1. Standard_Cost'!$B$19)+(W242*X242*'1. Standard_Cost'!$C$19))</f>
        <v>0</v>
      </c>
      <c r="Z242" s="126"/>
      <c r="AA242" s="126"/>
      <c r="AB242" s="127">
        <f>+Z242*'1. Standard_Cost'!$B$23+AA242*'1. Standard_Cost'!$C$23</f>
        <v>0</v>
      </c>
      <c r="AC242" s="128"/>
      <c r="AD242" s="129"/>
      <c r="AE242" s="127">
        <f>SUM(AD242,AC242,AB242,Y242,U242,T242,S242,R242)*'1. Standard_Cost'!$B$31</f>
        <v>0</v>
      </c>
      <c r="AF242" s="127">
        <f>SUM(AE242,AD242,AC242,AB242,Y242,U242,T242,S242,R242)</f>
        <v>0</v>
      </c>
      <c r="AG242" s="126"/>
      <c r="AH242" s="126"/>
      <c r="AI242" s="126"/>
      <c r="AJ242" s="130"/>
      <c r="AK242" s="130">
        <v>25000000</v>
      </c>
      <c r="AL242" s="130"/>
      <c r="AM242" s="127">
        <f>AG242*'1. Standard_Cost'!$B$27+'Incremental_Cost Year 4'!AH242*'1. Standard_Cost'!$C$27+'Incremental_Cost Year 4'!AI242*'1. Standard_Cost'!$D$27+'Incremental_Cost Year 4'!AJ242+'Incremental_Cost Year 4'!AL242+AK242</f>
        <v>25000000</v>
      </c>
      <c r="AN242" s="127">
        <f>AM242*'1. Standard_Cost'!$C$31</f>
        <v>3750000</v>
      </c>
      <c r="AO242" s="130"/>
      <c r="AQ242" s="171">
        <f>L242+M242</f>
        <v>3529008</v>
      </c>
      <c r="AR242" s="171">
        <f>AF242</f>
        <v>0</v>
      </c>
      <c r="AS242" s="171">
        <f>AM242+AN242</f>
        <v>28750000</v>
      </c>
      <c r="AT242" s="171">
        <f>SUM(AQ242,AR242,AS242)</f>
        <v>32279008</v>
      </c>
      <c r="AU242" s="250">
        <f>AT242</f>
        <v>32279008</v>
      </c>
      <c r="AV242" s="250"/>
      <c r="AW242" s="250"/>
      <c r="AX242" s="250"/>
      <c r="AY242" s="250"/>
      <c r="AZ242" s="250"/>
      <c r="BA242" s="250"/>
      <c r="BB242" s="251">
        <f t="shared" si="162"/>
        <v>0</v>
      </c>
      <c r="BC242" s="169"/>
      <c r="BD242" s="169"/>
      <c r="BE242" s="169"/>
      <c r="BF242" s="169"/>
    </row>
    <row r="243" spans="1:58" ht="94.5" outlineLevel="1" x14ac:dyDescent="0.25">
      <c r="A243" s="115"/>
      <c r="B243" s="165"/>
      <c r="C243" s="166"/>
      <c r="D243" s="150" t="s">
        <v>564</v>
      </c>
      <c r="E243" s="212" t="s">
        <v>267</v>
      </c>
      <c r="F243" s="136">
        <v>2021</v>
      </c>
      <c r="G243" s="117">
        <v>2024</v>
      </c>
      <c r="H243" s="150" t="s">
        <v>304</v>
      </c>
      <c r="I243" s="252"/>
      <c r="J243" s="252"/>
      <c r="K243" s="252"/>
      <c r="L243" s="127">
        <f>SUM(L239:L242)</f>
        <v>3024000</v>
      </c>
      <c r="M243" s="127">
        <f>SUM(M239:M242)</f>
        <v>505008</v>
      </c>
      <c r="N243" s="252"/>
      <c r="O243" s="252"/>
      <c r="P243" s="252"/>
      <c r="Q243" s="252"/>
      <c r="R243" s="127">
        <f>SUM(R239:R242)</f>
        <v>0</v>
      </c>
      <c r="S243" s="127">
        <f>SUM(S239:S242)</f>
        <v>0</v>
      </c>
      <c r="T243" s="127">
        <f>SUM(T239:T242)</f>
        <v>0</v>
      </c>
      <c r="U243" s="127">
        <f>SUM(U239:U242)</f>
        <v>0</v>
      </c>
      <c r="V243" s="252"/>
      <c r="W243" s="252"/>
      <c r="X243" s="252"/>
      <c r="Y243" s="127">
        <f>SUM(Y239:Y242)</f>
        <v>0</v>
      </c>
      <c r="Z243" s="127"/>
      <c r="AA243" s="252"/>
      <c r="AB243" s="127">
        <f>SUM(AB239:AB242)</f>
        <v>0</v>
      </c>
      <c r="AC243" s="127">
        <f>SUM(AC239:AC242)</f>
        <v>0</v>
      </c>
      <c r="AD243" s="127">
        <f>SUM(AD239:AD242)</f>
        <v>0</v>
      </c>
      <c r="AE243" s="127">
        <f>SUM(AE239:AE242)</f>
        <v>0</v>
      </c>
      <c r="AF243" s="127">
        <f>SUM(AF239:AF242)</f>
        <v>0</v>
      </c>
      <c r="AG243" s="252"/>
      <c r="AH243" s="252"/>
      <c r="AI243" s="252"/>
      <c r="AJ243" s="127">
        <f>SUM(AJ239:AJ242)</f>
        <v>0</v>
      </c>
      <c r="AK243" s="127">
        <f>SUM(AK239:AK242)</f>
        <v>25000000</v>
      </c>
      <c r="AL243" s="127">
        <f>SUM(AL239:AL242)</f>
        <v>0</v>
      </c>
      <c r="AM243" s="127">
        <f>SUM(AM239:AM242)</f>
        <v>25000000</v>
      </c>
      <c r="AN243" s="127">
        <f>SUM(AN239:AN242)</f>
        <v>3750000</v>
      </c>
      <c r="AO243" s="253"/>
      <c r="AP243" s="254"/>
      <c r="AQ243" s="175">
        <f>SUM(AQ239:AQ242)</f>
        <v>3529008</v>
      </c>
      <c r="AR243" s="175">
        <f>SUM(AR239:AR242)</f>
        <v>0</v>
      </c>
      <c r="AS243" s="175">
        <f>SUM(AS239:AS242)</f>
        <v>28750000</v>
      </c>
      <c r="AT243" s="175">
        <f>SUM(AT239:AT242)</f>
        <v>32279008</v>
      </c>
      <c r="AU243" s="175">
        <f t="shared" ref="AU243:BB243" si="163">SUM(AU239:AU242)</f>
        <v>32279008</v>
      </c>
      <c r="AV243" s="175">
        <f t="shared" si="163"/>
        <v>0</v>
      </c>
      <c r="AW243" s="175">
        <f t="shared" si="163"/>
        <v>0</v>
      </c>
      <c r="AX243" s="175">
        <f t="shared" si="163"/>
        <v>0</v>
      </c>
      <c r="AY243" s="175">
        <f t="shared" si="163"/>
        <v>0</v>
      </c>
      <c r="AZ243" s="175">
        <f t="shared" si="163"/>
        <v>0</v>
      </c>
      <c r="BA243" s="175">
        <f t="shared" si="163"/>
        <v>0</v>
      </c>
      <c r="BB243" s="175">
        <f t="shared" si="163"/>
        <v>0</v>
      </c>
      <c r="BC243" s="169"/>
      <c r="BD243" s="169"/>
      <c r="BE243" s="169"/>
      <c r="BF243" s="169"/>
    </row>
    <row r="244" spans="1:58" ht="12.75" customHeight="1" x14ac:dyDescent="0.2">
      <c r="A244" s="173"/>
      <c r="B244" s="399" t="s">
        <v>316</v>
      </c>
      <c r="C244" s="400"/>
      <c r="D244" s="400"/>
      <c r="E244" s="401"/>
      <c r="F244" s="367"/>
      <c r="G244" s="367"/>
      <c r="H244" s="188" t="s">
        <v>317</v>
      </c>
      <c r="I244" s="245"/>
      <c r="J244" s="245"/>
      <c r="K244" s="245"/>
      <c r="L244" s="245">
        <f>L245+L259+L269+L277+L284</f>
        <v>30626400</v>
      </c>
      <c r="M244" s="245">
        <f>M245+M259+M269+M277+M284</f>
        <v>5114608.8000000007</v>
      </c>
      <c r="N244" s="245"/>
      <c r="O244" s="245"/>
      <c r="P244" s="245"/>
      <c r="Q244" s="245"/>
      <c r="R244" s="245">
        <f>R245+R259+R269+R277+R284</f>
        <v>1200000</v>
      </c>
      <c r="S244" s="245">
        <f>S245+S259+S269+S277+S284</f>
        <v>900000</v>
      </c>
      <c r="T244" s="245">
        <f>T245+T259+T269+T277+T284</f>
        <v>0</v>
      </c>
      <c r="U244" s="245">
        <f>U245+U259+U269+U277+U284</f>
        <v>1200000</v>
      </c>
      <c r="V244" s="245"/>
      <c r="W244" s="245"/>
      <c r="X244" s="245"/>
      <c r="Y244" s="245">
        <f t="shared" ref="Y244:AF244" si="164">Y245+Y259+Y269+Y277+Y284</f>
        <v>0</v>
      </c>
      <c r="Z244" s="245">
        <f t="shared" si="164"/>
        <v>0</v>
      </c>
      <c r="AA244" s="245">
        <f t="shared" si="164"/>
        <v>0</v>
      </c>
      <c r="AB244" s="245">
        <f t="shared" si="164"/>
        <v>2847000</v>
      </c>
      <c r="AC244" s="245">
        <f t="shared" si="164"/>
        <v>26135000</v>
      </c>
      <c r="AD244" s="245">
        <f t="shared" si="164"/>
        <v>160894000</v>
      </c>
      <c r="AE244" s="245">
        <f t="shared" si="164"/>
        <v>821400</v>
      </c>
      <c r="AF244" s="245">
        <f t="shared" si="164"/>
        <v>193997400</v>
      </c>
      <c r="AG244" s="245"/>
      <c r="AH244" s="245"/>
      <c r="AI244" s="245"/>
      <c r="AJ244" s="245">
        <f>AJ245+AJ259+AJ269+AJ277+AJ284</f>
        <v>0</v>
      </c>
      <c r="AK244" s="245">
        <f>AK245+AK259+AK269+AK277+AK284</f>
        <v>445506000</v>
      </c>
      <c r="AL244" s="245">
        <f>AL245+AL259+AL269+AL277+AL284</f>
        <v>0</v>
      </c>
      <c r="AM244" s="245">
        <f>AM245+AM259+AM269+AM277+AM284</f>
        <v>445506000</v>
      </c>
      <c r="AN244" s="245">
        <f>AN245+AN259+AN269+AN277+AN284</f>
        <v>39150900</v>
      </c>
      <c r="AO244" s="245"/>
      <c r="AP244" s="244"/>
      <c r="AQ244" s="245">
        <f t="shared" ref="AQ244:BB244" si="165">AQ245+AQ259+AQ269+AQ277+AQ284</f>
        <v>35741008.800000004</v>
      </c>
      <c r="AR244" s="245">
        <f t="shared" si="165"/>
        <v>193997400</v>
      </c>
      <c r="AS244" s="245">
        <f t="shared" si="165"/>
        <v>484656900</v>
      </c>
      <c r="AT244" s="245">
        <f t="shared" si="165"/>
        <v>714395308.79999995</v>
      </c>
      <c r="AU244" s="245">
        <f t="shared" si="165"/>
        <v>104897008.39999999</v>
      </c>
      <c r="AV244" s="245">
        <f t="shared" si="165"/>
        <v>0</v>
      </c>
      <c r="AW244" s="245">
        <f t="shared" si="165"/>
        <v>217505000</v>
      </c>
      <c r="AX244" s="245">
        <f t="shared" si="165"/>
        <v>0</v>
      </c>
      <c r="AY244" s="245">
        <f t="shared" si="165"/>
        <v>0</v>
      </c>
      <c r="AZ244" s="245">
        <f t="shared" si="165"/>
        <v>0</v>
      </c>
      <c r="BA244" s="245">
        <f t="shared" si="165"/>
        <v>0</v>
      </c>
      <c r="BB244" s="245">
        <f t="shared" si="165"/>
        <v>-391993300.39999998</v>
      </c>
      <c r="BC244" s="170"/>
      <c r="BD244" s="170"/>
      <c r="BE244" s="170"/>
      <c r="BF244" s="170"/>
    </row>
    <row r="245" spans="1:58" ht="12.75" customHeight="1" x14ac:dyDescent="0.2">
      <c r="A245" s="179"/>
      <c r="B245" s="290"/>
      <c r="C245" s="391" t="s">
        <v>318</v>
      </c>
      <c r="D245" s="391"/>
      <c r="E245" s="392"/>
      <c r="F245" s="287"/>
      <c r="G245" s="289"/>
      <c r="H245" s="368" t="s">
        <v>319</v>
      </c>
      <c r="I245" s="270"/>
      <c r="J245" s="271"/>
      <c r="K245" s="271"/>
      <c r="L245" s="261">
        <f>L250+L254+L258</f>
        <v>0</v>
      </c>
      <c r="M245" s="261">
        <f>M250+M254+M258</f>
        <v>0</v>
      </c>
      <c r="N245" s="271"/>
      <c r="O245" s="271"/>
      <c r="P245" s="271"/>
      <c r="Q245" s="271"/>
      <c r="R245" s="261">
        <f>R250+R254+R258</f>
        <v>0</v>
      </c>
      <c r="S245" s="261">
        <f>S250+S254+S258</f>
        <v>0</v>
      </c>
      <c r="T245" s="261">
        <f>T250+T254+T258</f>
        <v>0</v>
      </c>
      <c r="U245" s="261">
        <f>U250+U254+U258</f>
        <v>0</v>
      </c>
      <c r="V245" s="271"/>
      <c r="W245" s="271"/>
      <c r="X245" s="271"/>
      <c r="Y245" s="261">
        <f>Y250+Y254+Y258</f>
        <v>0</v>
      </c>
      <c r="Z245" s="261">
        <f>Z250+Z254+Z258</f>
        <v>0</v>
      </c>
      <c r="AA245" s="271"/>
      <c r="AB245" s="261">
        <f>AB250+AB254+AB258</f>
        <v>0</v>
      </c>
      <c r="AC245" s="261">
        <f>AC250+AC254+AC258</f>
        <v>0</v>
      </c>
      <c r="AD245" s="261">
        <f>AD250+AD254+AD258</f>
        <v>0</v>
      </c>
      <c r="AE245" s="261">
        <f>AE250+AE254+AE258</f>
        <v>0</v>
      </c>
      <c r="AF245" s="261">
        <f>AF250+AF254+AF258</f>
        <v>0</v>
      </c>
      <c r="AG245" s="271"/>
      <c r="AH245" s="271"/>
      <c r="AI245" s="271"/>
      <c r="AJ245" s="261">
        <f>AJ250+AJ254+AJ258</f>
        <v>0</v>
      </c>
      <c r="AK245" s="261">
        <f>AK250+AK254+AK258</f>
        <v>0</v>
      </c>
      <c r="AL245" s="261">
        <f>AL250+AL254+AL258</f>
        <v>0</v>
      </c>
      <c r="AM245" s="261">
        <f>AM250+AM254+AM258</f>
        <v>0</v>
      </c>
      <c r="AN245" s="261">
        <f>AN250+AN254+AN258</f>
        <v>0</v>
      </c>
      <c r="AO245" s="272"/>
      <c r="AP245" s="260"/>
      <c r="AQ245" s="261">
        <f t="shared" ref="AQ245:BB245" si="166">AQ250+AQ254+AQ258</f>
        <v>0</v>
      </c>
      <c r="AR245" s="261">
        <f t="shared" si="166"/>
        <v>0</v>
      </c>
      <c r="AS245" s="261">
        <f t="shared" si="166"/>
        <v>0</v>
      </c>
      <c r="AT245" s="261">
        <f t="shared" si="166"/>
        <v>0</v>
      </c>
      <c r="AU245" s="261">
        <f t="shared" si="166"/>
        <v>0</v>
      </c>
      <c r="AV245" s="261">
        <f t="shared" si="166"/>
        <v>0</v>
      </c>
      <c r="AW245" s="261">
        <f t="shared" si="166"/>
        <v>0</v>
      </c>
      <c r="AX245" s="261">
        <f t="shared" si="166"/>
        <v>0</v>
      </c>
      <c r="AY245" s="261">
        <f t="shared" si="166"/>
        <v>0</v>
      </c>
      <c r="AZ245" s="261">
        <f t="shared" si="166"/>
        <v>0</v>
      </c>
      <c r="BA245" s="261">
        <f t="shared" si="166"/>
        <v>0</v>
      </c>
      <c r="BB245" s="261">
        <f t="shared" si="166"/>
        <v>0</v>
      </c>
      <c r="BC245" s="184"/>
      <c r="BD245" s="184"/>
      <c r="BE245" s="184"/>
      <c r="BF245" s="184"/>
    </row>
    <row r="246" spans="1:58" ht="94.5" x14ac:dyDescent="0.25">
      <c r="A246" s="172"/>
      <c r="B246" s="200"/>
      <c r="C246" s="201"/>
      <c r="D246" s="346"/>
      <c r="E246" s="355"/>
      <c r="F246" s="355"/>
      <c r="G246" s="356"/>
      <c r="H246" s="199" t="s">
        <v>320</v>
      </c>
      <c r="I246" s="178"/>
      <c r="J246" s="174"/>
      <c r="K246" s="174"/>
      <c r="L246" s="125" t="str">
        <f>IF(I246&lt;&gt;0,((VLOOKUP(I246,'1. Standard_Cost'!$B$4:$D$11,2)+VLOOKUP(I246,'1. Standard_Cost'!$B$4:$D$11,3))*J246*K246),"0")</f>
        <v>0</v>
      </c>
      <c r="M246" s="125">
        <f>L246*'1. Standard_Cost'!$F$4</f>
        <v>0</v>
      </c>
      <c r="N246" s="174"/>
      <c r="O246" s="174"/>
      <c r="P246" s="174"/>
      <c r="Q246" s="174"/>
      <c r="R246" s="127">
        <f>'1. Standard_Cost'!$B$15*N246*P246</f>
        <v>0</v>
      </c>
      <c r="S246" s="127">
        <f>N246*O246*P246*'1. Standard_Cost'!$C$15</f>
        <v>0</v>
      </c>
      <c r="T246" s="127">
        <f>N246*P246*Q246*'1. Standard_Cost'!$D$15</f>
        <v>0</v>
      </c>
      <c r="U246" s="127">
        <f>N246*O246*'1. Standard_Cost'!$E$15</f>
        <v>0</v>
      </c>
      <c r="V246" s="174"/>
      <c r="W246" s="174"/>
      <c r="X246" s="174"/>
      <c r="Y246" s="127">
        <f>+V246*((X246*'1. Standard_Cost'!$B$19)+(W246*X246*'1. Standard_Cost'!$C$19))</f>
        <v>0</v>
      </c>
      <c r="Z246" s="174"/>
      <c r="AA246" s="174"/>
      <c r="AB246" s="127">
        <f>+Z246*'1. Standard_Cost'!$B$23+AA246*'1. Standard_Cost'!$C$23</f>
        <v>0</v>
      </c>
      <c r="AC246" s="176"/>
      <c r="AD246" s="177"/>
      <c r="AE246" s="127">
        <f>SUM(AD246,AC246,AB246,Y246,U246,T246,S246,R246)*'1. Standard_Cost'!$B$31</f>
        <v>0</v>
      </c>
      <c r="AF246" s="127">
        <f>SUM(AE246,AD246,AC246,AB246,Y246,U246,T246,S246,R246)</f>
        <v>0</v>
      </c>
      <c r="AG246" s="174"/>
      <c r="AH246" s="174"/>
      <c r="AI246" s="174"/>
      <c r="AJ246" s="178"/>
      <c r="AK246" s="178"/>
      <c r="AL246" s="178"/>
      <c r="AM246" s="127">
        <f>AG246*'1. Standard_Cost'!$B$27+'Incremental_Cost Year 4'!AH246*'1. Standard_Cost'!$C$27+'Incremental_Cost Year 4'!AI246*'1. Standard_Cost'!$D$27+'Incremental_Cost Year 4'!AJ246+'Incremental_Cost Year 4'!AL246+AK246</f>
        <v>0</v>
      </c>
      <c r="AN246" s="127">
        <f>AM246*'1. Standard_Cost'!$C$31</f>
        <v>0</v>
      </c>
      <c r="AO246" s="178"/>
      <c r="AP246" s="256"/>
      <c r="AQ246" s="171">
        <f>L246+M246</f>
        <v>0</v>
      </c>
      <c r="AR246" s="171">
        <f>AF246</f>
        <v>0</v>
      </c>
      <c r="AS246" s="171">
        <f>AM246+AN246</f>
        <v>0</v>
      </c>
      <c r="AT246" s="171">
        <f>SUM(AQ246,AR246,AS246)</f>
        <v>0</v>
      </c>
      <c r="AU246" s="250">
        <f>AT246</f>
        <v>0</v>
      </c>
      <c r="AV246" s="250"/>
      <c r="AW246" s="250"/>
      <c r="AX246" s="250"/>
      <c r="AY246" s="250"/>
      <c r="AZ246" s="250"/>
      <c r="BA246" s="250"/>
      <c r="BB246" s="251">
        <f t="shared" ref="BB246:BB249" si="167">SUM(AU246:BA246)-AT246</f>
        <v>0</v>
      </c>
      <c r="BC246" s="169"/>
      <c r="BD246" s="169"/>
      <c r="BE246" s="169"/>
      <c r="BF246" s="169"/>
    </row>
    <row r="247" spans="1:58" ht="63" x14ac:dyDescent="0.25">
      <c r="A247" s="172"/>
      <c r="B247" s="200"/>
      <c r="C247" s="201"/>
      <c r="D247" s="203"/>
      <c r="E247" s="358"/>
      <c r="F247" s="358"/>
      <c r="G247" s="359"/>
      <c r="H247" s="199" t="s">
        <v>321</v>
      </c>
      <c r="I247" s="178"/>
      <c r="J247" s="174"/>
      <c r="K247" s="174"/>
      <c r="L247" s="125" t="str">
        <f>IF(I247&lt;&gt;0,((VLOOKUP(I247,'1. Standard_Cost'!$B$4:$D$11,2)+VLOOKUP(I247,'1. Standard_Cost'!$B$4:$D$11,3))*J247*K247),"0")</f>
        <v>0</v>
      </c>
      <c r="M247" s="125">
        <f>L247*'1. Standard_Cost'!$F$4</f>
        <v>0</v>
      </c>
      <c r="N247" s="174"/>
      <c r="O247" s="174"/>
      <c r="P247" s="174"/>
      <c r="Q247" s="174"/>
      <c r="R247" s="127">
        <f>'1. Standard_Cost'!$B$15*N247*P247</f>
        <v>0</v>
      </c>
      <c r="S247" s="127">
        <f>N247*O247*P247*'1. Standard_Cost'!$C$15</f>
        <v>0</v>
      </c>
      <c r="T247" s="127">
        <f>N247*P247*Q247*'1. Standard_Cost'!$D$15</f>
        <v>0</v>
      </c>
      <c r="U247" s="127">
        <f>N247*O247*'1. Standard_Cost'!$E$15</f>
        <v>0</v>
      </c>
      <c r="V247" s="174"/>
      <c r="W247" s="174"/>
      <c r="X247" s="174"/>
      <c r="Y247" s="127">
        <f>+V247*((X247*'1. Standard_Cost'!$B$19)+(W247*X247*'1. Standard_Cost'!$C$19))</f>
        <v>0</v>
      </c>
      <c r="Z247" s="174"/>
      <c r="AA247" s="174"/>
      <c r="AB247" s="127">
        <f>+Z247*'1. Standard_Cost'!$B$23+AA247*'1. Standard_Cost'!$C$23</f>
        <v>0</v>
      </c>
      <c r="AC247" s="176"/>
      <c r="AD247" s="177"/>
      <c r="AE247" s="127">
        <f>SUM(AD247,AC247,AB247,Y247,U247,T247,S247,R247)*'1. Standard_Cost'!$B$31</f>
        <v>0</v>
      </c>
      <c r="AF247" s="127">
        <f>SUM(AE247,AD247,AC247,AB247,Y247,U247,T247,S247,R247)</f>
        <v>0</v>
      </c>
      <c r="AG247" s="174"/>
      <c r="AH247" s="174"/>
      <c r="AI247" s="174"/>
      <c r="AJ247" s="178"/>
      <c r="AK247" s="178"/>
      <c r="AL247" s="178"/>
      <c r="AM247" s="127">
        <f>AG247*'1. Standard_Cost'!$B$27+'Incremental_Cost Year 4'!AH247*'1. Standard_Cost'!$C$27+'Incremental_Cost Year 4'!AI247*'1. Standard_Cost'!$D$27+'Incremental_Cost Year 4'!AJ247+'Incremental_Cost Year 4'!AL247+AK247</f>
        <v>0</v>
      </c>
      <c r="AN247" s="127">
        <f>AM247*'1. Standard_Cost'!$C$31</f>
        <v>0</v>
      </c>
      <c r="AO247" s="178"/>
      <c r="AP247" s="256"/>
      <c r="AQ247" s="171">
        <f>L247+M247</f>
        <v>0</v>
      </c>
      <c r="AR247" s="171">
        <f>AF247</f>
        <v>0</v>
      </c>
      <c r="AS247" s="171">
        <f>AM247+AN247</f>
        <v>0</v>
      </c>
      <c r="AT247" s="171">
        <f>SUM(AQ247,AR247,AS247)</f>
        <v>0</v>
      </c>
      <c r="AU247" s="250">
        <f>AQ247</f>
        <v>0</v>
      </c>
      <c r="AV247" s="250"/>
      <c r="AW247" s="250"/>
      <c r="AX247" s="250"/>
      <c r="AY247" s="250"/>
      <c r="AZ247" s="250"/>
      <c r="BA247" s="250"/>
      <c r="BB247" s="251">
        <f t="shared" si="167"/>
        <v>0</v>
      </c>
      <c r="BC247" s="169"/>
      <c r="BD247" s="169"/>
      <c r="BE247" s="169"/>
      <c r="BF247" s="169"/>
    </row>
    <row r="248" spans="1:58" ht="110.25" x14ac:dyDescent="0.25">
      <c r="A248" s="172"/>
      <c r="B248" s="200"/>
      <c r="C248" s="201"/>
      <c r="D248" s="203"/>
      <c r="E248" s="358"/>
      <c r="F248" s="358"/>
      <c r="G248" s="359"/>
      <c r="H248" s="213" t="s">
        <v>322</v>
      </c>
      <c r="I248" s="178"/>
      <c r="J248" s="174"/>
      <c r="K248" s="174"/>
      <c r="L248" s="125" t="str">
        <f>IF(I248&lt;&gt;0,((VLOOKUP(I248,'1. Standard_Cost'!$B$4:$D$11,2)+VLOOKUP(I248,'1. Standard_Cost'!$B$4:$D$11,3))*J248*K248),"0")</f>
        <v>0</v>
      </c>
      <c r="M248" s="125">
        <f>L248*'1. Standard_Cost'!$F$4</f>
        <v>0</v>
      </c>
      <c r="N248" s="174"/>
      <c r="O248" s="174"/>
      <c r="P248" s="174"/>
      <c r="Q248" s="174"/>
      <c r="R248" s="127">
        <f>'1. Standard_Cost'!$B$15*N248*P248</f>
        <v>0</v>
      </c>
      <c r="S248" s="127">
        <f>N248*O248*P248*'1. Standard_Cost'!$C$15</f>
        <v>0</v>
      </c>
      <c r="T248" s="127">
        <f>N248*P248*Q248*'1. Standard_Cost'!$D$15</f>
        <v>0</v>
      </c>
      <c r="U248" s="127">
        <f>N248*O248*'1. Standard_Cost'!$E$15</f>
        <v>0</v>
      </c>
      <c r="V248" s="174"/>
      <c r="W248" s="174"/>
      <c r="X248" s="174"/>
      <c r="Y248" s="127">
        <f>+V248*((X248*'1. Standard_Cost'!$B$19)+(W248*X248*'1. Standard_Cost'!$C$19))</f>
        <v>0</v>
      </c>
      <c r="Z248" s="174"/>
      <c r="AA248" s="174"/>
      <c r="AB248" s="127">
        <f>+Z248*'1. Standard_Cost'!$B$23+AA248*'1. Standard_Cost'!$C$23</f>
        <v>0</v>
      </c>
      <c r="AC248" s="176"/>
      <c r="AD248" s="177"/>
      <c r="AE248" s="127">
        <f>SUM(AD248,AC248,AB248,Y248,U248,T248,S248,R248)*'1. Standard_Cost'!$B$31</f>
        <v>0</v>
      </c>
      <c r="AF248" s="127">
        <f>SUM(AE248,AD248,AC248,AB248,Y248,U248,T248,S248,R248)</f>
        <v>0</v>
      </c>
      <c r="AG248" s="174"/>
      <c r="AH248" s="174"/>
      <c r="AI248" s="174"/>
      <c r="AJ248" s="178"/>
      <c r="AK248" s="178"/>
      <c r="AL248" s="178"/>
      <c r="AM248" s="127">
        <f>AG248*'1. Standard_Cost'!$B$27+'Incremental_Cost Year 4'!AH248*'1. Standard_Cost'!$C$27+'Incremental_Cost Year 4'!AI248*'1. Standard_Cost'!$D$27+'Incremental_Cost Year 4'!AJ248+'Incremental_Cost Year 4'!AL248+AK248</f>
        <v>0</v>
      </c>
      <c r="AN248" s="127">
        <f>AM248*'1. Standard_Cost'!$C$31</f>
        <v>0</v>
      </c>
      <c r="AO248" s="178"/>
      <c r="AP248" s="256"/>
      <c r="AQ248" s="171">
        <f>L248+M248</f>
        <v>0</v>
      </c>
      <c r="AR248" s="171">
        <f>AF248</f>
        <v>0</v>
      </c>
      <c r="AS248" s="171">
        <f>AM248+AN248</f>
        <v>0</v>
      </c>
      <c r="AT248" s="171">
        <f>SUM(AQ248,AR248,AS248)</f>
        <v>0</v>
      </c>
      <c r="AU248" s="250"/>
      <c r="AV248" s="250"/>
      <c r="AW248" s="250"/>
      <c r="AX248" s="250"/>
      <c r="AY248" s="250"/>
      <c r="AZ248" s="250"/>
      <c r="BA248" s="250"/>
      <c r="BB248" s="251">
        <f t="shared" si="167"/>
        <v>0</v>
      </c>
      <c r="BC248" s="169"/>
      <c r="BD248" s="169"/>
      <c r="BE248" s="169"/>
      <c r="BF248" s="169"/>
    </row>
    <row r="249" spans="1:58" ht="47.25" x14ac:dyDescent="0.25">
      <c r="A249" s="172"/>
      <c r="B249" s="200"/>
      <c r="C249" s="201"/>
      <c r="D249" s="133"/>
      <c r="E249" s="361"/>
      <c r="F249" s="361"/>
      <c r="G249" s="362"/>
      <c r="H249" s="199" t="s">
        <v>323</v>
      </c>
      <c r="I249" s="178"/>
      <c r="J249" s="174"/>
      <c r="K249" s="174"/>
      <c r="L249" s="125" t="str">
        <f>IF(I249&lt;&gt;0,((VLOOKUP(I249,'1. Standard_Cost'!$B$4:$D$11,2)+VLOOKUP(I249,'1. Standard_Cost'!$B$4:$D$11,3))*J249*K249),"0")</f>
        <v>0</v>
      </c>
      <c r="M249" s="125">
        <f>L249*'1. Standard_Cost'!$F$4</f>
        <v>0</v>
      </c>
      <c r="N249" s="174"/>
      <c r="O249" s="174"/>
      <c r="P249" s="174"/>
      <c r="Q249" s="174"/>
      <c r="R249" s="127">
        <f>'1. Standard_Cost'!$B$15*N249*P249</f>
        <v>0</v>
      </c>
      <c r="S249" s="127">
        <f>N249*O249*P249*'1. Standard_Cost'!$C$15</f>
        <v>0</v>
      </c>
      <c r="T249" s="127">
        <f>N249*P249*Q249*'1. Standard_Cost'!$D$15</f>
        <v>0</v>
      </c>
      <c r="U249" s="127">
        <f>N249*O249*'1. Standard_Cost'!$E$15</f>
        <v>0</v>
      </c>
      <c r="V249" s="174"/>
      <c r="W249" s="174"/>
      <c r="X249" s="174"/>
      <c r="Y249" s="127">
        <f>+V249*((X249*'1. Standard_Cost'!$B$19)+(W249*X249*'1. Standard_Cost'!$C$19))</f>
        <v>0</v>
      </c>
      <c r="Z249" s="174"/>
      <c r="AA249" s="174"/>
      <c r="AB249" s="127">
        <f>+Z249*'1. Standard_Cost'!$B$23+AA249*'1. Standard_Cost'!$C$23</f>
        <v>0</v>
      </c>
      <c r="AC249" s="176"/>
      <c r="AD249" s="177"/>
      <c r="AE249" s="127">
        <f>SUM(AD249,AC249,AB249,Y249,U249,T249,S249,R249)*'1. Standard_Cost'!$B$31</f>
        <v>0</v>
      </c>
      <c r="AF249" s="127">
        <f>SUM(AE249,AD249,AC249,AB249,Y249,U249,T249,S249,R249)</f>
        <v>0</v>
      </c>
      <c r="AG249" s="174"/>
      <c r="AH249" s="174"/>
      <c r="AI249" s="174"/>
      <c r="AJ249" s="178"/>
      <c r="AK249" s="178"/>
      <c r="AL249" s="178"/>
      <c r="AM249" s="127">
        <f>AG249*'1. Standard_Cost'!$B$27+'Incremental_Cost Year 4'!AH249*'1. Standard_Cost'!$C$27+'Incremental_Cost Year 4'!AI249*'1. Standard_Cost'!$D$27+'Incremental_Cost Year 4'!AJ249+'Incremental_Cost Year 4'!AL249+AK249</f>
        <v>0</v>
      </c>
      <c r="AN249" s="127">
        <f>AM249*'1. Standard_Cost'!$C$31</f>
        <v>0</v>
      </c>
      <c r="AO249" s="178"/>
      <c r="AP249" s="256"/>
      <c r="AQ249" s="171">
        <f>L249+M249</f>
        <v>0</v>
      </c>
      <c r="AR249" s="171">
        <f>AF249</f>
        <v>0</v>
      </c>
      <c r="AS249" s="171">
        <f>AM249+AN249</f>
        <v>0</v>
      </c>
      <c r="AT249" s="171">
        <f>SUM(AQ249,AR249,AS249)</f>
        <v>0</v>
      </c>
      <c r="AU249" s="250"/>
      <c r="AV249" s="250"/>
      <c r="AW249" s="250"/>
      <c r="AX249" s="250"/>
      <c r="AY249" s="250"/>
      <c r="AZ249" s="250"/>
      <c r="BA249" s="250"/>
      <c r="BB249" s="251">
        <f t="shared" si="167"/>
        <v>0</v>
      </c>
      <c r="BC249" s="169"/>
      <c r="BD249" s="169"/>
      <c r="BE249" s="169"/>
      <c r="BF249" s="169"/>
    </row>
    <row r="250" spans="1:58" ht="30" x14ac:dyDescent="0.25">
      <c r="A250" s="172"/>
      <c r="B250" s="363"/>
      <c r="C250" s="364"/>
      <c r="D250" s="365" t="s">
        <v>559</v>
      </c>
      <c r="E250" s="365" t="s">
        <v>324</v>
      </c>
      <c r="F250" s="366">
        <v>2025</v>
      </c>
      <c r="G250" s="209">
        <v>2030</v>
      </c>
      <c r="H250" s="180" t="s">
        <v>325</v>
      </c>
      <c r="I250" s="273"/>
      <c r="J250" s="273"/>
      <c r="K250" s="273"/>
      <c r="L250" s="175">
        <f>SUM(L246:L249)</f>
        <v>0</v>
      </c>
      <c r="M250" s="175">
        <f>SUM(M246:M249)</f>
        <v>0</v>
      </c>
      <c r="N250" s="273"/>
      <c r="O250" s="273"/>
      <c r="P250" s="273"/>
      <c r="Q250" s="273"/>
      <c r="R250" s="175">
        <f>SUM(R246:R249)</f>
        <v>0</v>
      </c>
      <c r="S250" s="175">
        <f>SUM(S246:S249)</f>
        <v>0</v>
      </c>
      <c r="T250" s="175">
        <f>SUM(T246:T249)</f>
        <v>0</v>
      </c>
      <c r="U250" s="175">
        <f>SUM(U246:U249)</f>
        <v>0</v>
      </c>
      <c r="V250" s="273"/>
      <c r="W250" s="273"/>
      <c r="X250" s="273"/>
      <c r="Y250" s="175">
        <f>SUM(Y246:Y249)</f>
        <v>0</v>
      </c>
      <c r="Z250" s="273"/>
      <c r="AA250" s="273"/>
      <c r="AB250" s="175">
        <f>SUM(AB246:AB249)</f>
        <v>0</v>
      </c>
      <c r="AC250" s="175">
        <f>SUM(AC246:AC249)</f>
        <v>0</v>
      </c>
      <c r="AD250" s="175">
        <f>SUM(AD246:AD249)</f>
        <v>0</v>
      </c>
      <c r="AE250" s="175">
        <f>SUM(AE246:AE249)</f>
        <v>0</v>
      </c>
      <c r="AF250" s="175">
        <f>SUM(AF246:AF249)</f>
        <v>0</v>
      </c>
      <c r="AG250" s="273"/>
      <c r="AH250" s="273"/>
      <c r="AI250" s="273"/>
      <c r="AJ250" s="175">
        <f>SUM(AJ246:AJ249)</f>
        <v>0</v>
      </c>
      <c r="AK250" s="175">
        <f>SUM(AK246:AK249)</f>
        <v>0</v>
      </c>
      <c r="AL250" s="175">
        <f>SUM(AL246:AL249)</f>
        <v>0</v>
      </c>
      <c r="AM250" s="175">
        <f>SUM(AM246:AM249)</f>
        <v>0</v>
      </c>
      <c r="AN250" s="175">
        <f>SUM(AN246:AN249)</f>
        <v>0</v>
      </c>
      <c r="AO250" s="274"/>
      <c r="AP250" s="254"/>
      <c r="AQ250" s="175">
        <f t="shared" ref="AQ250:AT250" si="168">SUM(AQ246:AQ249)</f>
        <v>0</v>
      </c>
      <c r="AR250" s="175">
        <f t="shared" si="168"/>
        <v>0</v>
      </c>
      <c r="AS250" s="175">
        <f t="shared" si="168"/>
        <v>0</v>
      </c>
      <c r="AT250" s="175">
        <f t="shared" si="168"/>
        <v>0</v>
      </c>
      <c r="AU250" s="175">
        <f t="shared" ref="AU250:BB250" si="169">SUM(AU246:AU249)</f>
        <v>0</v>
      </c>
      <c r="AV250" s="175">
        <f t="shared" si="169"/>
        <v>0</v>
      </c>
      <c r="AW250" s="175">
        <f t="shared" si="169"/>
        <v>0</v>
      </c>
      <c r="AX250" s="175">
        <f t="shared" si="169"/>
        <v>0</v>
      </c>
      <c r="AY250" s="175">
        <f t="shared" si="169"/>
        <v>0</v>
      </c>
      <c r="AZ250" s="175">
        <f t="shared" si="169"/>
        <v>0</v>
      </c>
      <c r="BA250" s="175">
        <f t="shared" si="169"/>
        <v>0</v>
      </c>
      <c r="BB250" s="175">
        <f t="shared" si="169"/>
        <v>0</v>
      </c>
      <c r="BC250" s="169"/>
      <c r="BD250" s="169"/>
      <c r="BE250" s="169"/>
      <c r="BF250" s="169"/>
    </row>
    <row r="251" spans="1:58" ht="63" x14ac:dyDescent="0.25">
      <c r="A251" s="172"/>
      <c r="B251" s="200"/>
      <c r="C251" s="201"/>
      <c r="D251" s="202"/>
      <c r="E251" s="354"/>
      <c r="F251" s="355"/>
      <c r="G251" s="356"/>
      <c r="H251" s="213" t="s">
        <v>361</v>
      </c>
      <c r="I251" s="178"/>
      <c r="J251" s="174"/>
      <c r="K251" s="174"/>
      <c r="L251" s="125" t="str">
        <f>IF(I251&lt;&gt;0,((VLOOKUP(I251,'1. Standard_Cost'!$B$4:$D$11,2)+VLOOKUP(I251,'1. Standard_Cost'!$B$4:$D$11,3))*J251*K251),"0")</f>
        <v>0</v>
      </c>
      <c r="M251" s="125">
        <f>L251*'1. Standard_Cost'!$F$4</f>
        <v>0</v>
      </c>
      <c r="N251" s="174"/>
      <c r="O251" s="174"/>
      <c r="P251" s="174"/>
      <c r="Q251" s="174"/>
      <c r="R251" s="127">
        <f>'1. Standard_Cost'!$B$15*N251*P251</f>
        <v>0</v>
      </c>
      <c r="S251" s="127">
        <f>N251*O251*P251*'1. Standard_Cost'!$C$15</f>
        <v>0</v>
      </c>
      <c r="T251" s="127">
        <f>N251*P251*Q251*'1. Standard_Cost'!$D$15</f>
        <v>0</v>
      </c>
      <c r="U251" s="127">
        <f>N251*O251*'1. Standard_Cost'!$E$15</f>
        <v>0</v>
      </c>
      <c r="V251" s="174"/>
      <c r="W251" s="174"/>
      <c r="X251" s="174"/>
      <c r="Y251" s="127">
        <f>+V251*((X251*'1. Standard_Cost'!$B$19)+(W251*X251*'1. Standard_Cost'!$C$19))</f>
        <v>0</v>
      </c>
      <c r="Z251" s="174"/>
      <c r="AA251" s="174"/>
      <c r="AB251" s="127">
        <f>+Z251*'1. Standard_Cost'!$B$23+AA251*'1. Standard_Cost'!$C$23</f>
        <v>0</v>
      </c>
      <c r="AC251" s="176"/>
      <c r="AD251" s="177"/>
      <c r="AE251" s="127">
        <f>SUM(AD251,AC251,AB251,Y251,U251,T251,S251,R251)*'1. Standard_Cost'!$B$31</f>
        <v>0</v>
      </c>
      <c r="AF251" s="127">
        <f>SUM(AE251,AD251,AC251,AB251,Y251,U251,T251,S251,R251)</f>
        <v>0</v>
      </c>
      <c r="AG251" s="174"/>
      <c r="AH251" s="174"/>
      <c r="AI251" s="174"/>
      <c r="AJ251" s="178"/>
      <c r="AK251" s="178"/>
      <c r="AL251" s="178"/>
      <c r="AM251" s="127">
        <f>AG251*'1. Standard_Cost'!$B$27+'Incremental_Cost Year 4'!AH251*'1. Standard_Cost'!$C$27+'Incremental_Cost Year 4'!AI251*'1. Standard_Cost'!$D$27+'Incremental_Cost Year 4'!AJ251+'Incremental_Cost Year 4'!AL251+AK251</f>
        <v>0</v>
      </c>
      <c r="AN251" s="127">
        <f>AM251*'1. Standard_Cost'!$C$31</f>
        <v>0</v>
      </c>
      <c r="AO251" s="178"/>
      <c r="AP251" s="256"/>
      <c r="AQ251" s="171">
        <f>L251+M251</f>
        <v>0</v>
      </c>
      <c r="AR251" s="171">
        <f>AF251</f>
        <v>0</v>
      </c>
      <c r="AS251" s="171">
        <f>AM251+AN251</f>
        <v>0</v>
      </c>
      <c r="AT251" s="171">
        <f>SUM(AQ251,AR251,AS251)</f>
        <v>0</v>
      </c>
      <c r="AU251" s="250"/>
      <c r="AV251" s="250"/>
      <c r="AW251" s="250">
        <f>AT251</f>
        <v>0</v>
      </c>
      <c r="AX251" s="250"/>
      <c r="AY251" s="250"/>
      <c r="AZ251" s="250"/>
      <c r="BA251" s="250"/>
      <c r="BB251" s="251">
        <f t="shared" ref="BB251:BB253" si="170">SUM(AU251:BA251)-AT251</f>
        <v>0</v>
      </c>
      <c r="BC251" s="169"/>
      <c r="BD251" s="169"/>
      <c r="BE251" s="169"/>
      <c r="BF251" s="169"/>
    </row>
    <row r="252" spans="1:58" ht="189" x14ac:dyDescent="0.25">
      <c r="A252" s="172"/>
      <c r="B252" s="200"/>
      <c r="C252" s="201"/>
      <c r="D252" s="202"/>
      <c r="E252" s="357"/>
      <c r="F252" s="358"/>
      <c r="G252" s="359"/>
      <c r="H252" s="199" t="s">
        <v>326</v>
      </c>
      <c r="I252" s="178"/>
      <c r="J252" s="174"/>
      <c r="K252" s="174"/>
      <c r="L252" s="125" t="str">
        <f>IF(I252&lt;&gt;0,((VLOOKUP(I252,'1. Standard_Cost'!$B$4:$D$11,2)+VLOOKUP(I252,'1. Standard_Cost'!$B$4:$D$11,3))*J252*K252),"0")</f>
        <v>0</v>
      </c>
      <c r="M252" s="125">
        <f>L252*'1. Standard_Cost'!$F$4</f>
        <v>0</v>
      </c>
      <c r="N252" s="174"/>
      <c r="O252" s="174"/>
      <c r="P252" s="174"/>
      <c r="Q252" s="174"/>
      <c r="R252" s="127">
        <f>'1. Standard_Cost'!$B$15*N252*P252</f>
        <v>0</v>
      </c>
      <c r="S252" s="127">
        <f>N252*O252*P252*'1. Standard_Cost'!$C$15</f>
        <v>0</v>
      </c>
      <c r="T252" s="127">
        <f>N252*P252*Q252*'1. Standard_Cost'!$D$15</f>
        <v>0</v>
      </c>
      <c r="U252" s="127">
        <f>N252*O252*'1. Standard_Cost'!$E$15</f>
        <v>0</v>
      </c>
      <c r="V252" s="174"/>
      <c r="W252" s="174"/>
      <c r="X252" s="174"/>
      <c r="Y252" s="127">
        <f>+V252*((X252*'1. Standard_Cost'!$B$19)+(W252*X252*'1. Standard_Cost'!$C$19))</f>
        <v>0</v>
      </c>
      <c r="Z252" s="174"/>
      <c r="AA252" s="174"/>
      <c r="AB252" s="127">
        <f>+Z252*'1. Standard_Cost'!$B$23+AA252*'1. Standard_Cost'!$C$23</f>
        <v>0</v>
      </c>
      <c r="AC252" s="176">
        <v>0</v>
      </c>
      <c r="AD252" s="177"/>
      <c r="AE252" s="127">
        <f>SUM(AD252,AC252,AB252,Y252,U252,T252,S252,R252)*'1. Standard_Cost'!$B$31</f>
        <v>0</v>
      </c>
      <c r="AF252" s="127">
        <f>SUM(AE252,AD252,AC252,AB252,Y252,U252,T252,S252,R252)</f>
        <v>0</v>
      </c>
      <c r="AG252" s="174"/>
      <c r="AH252" s="174"/>
      <c r="AI252" s="174"/>
      <c r="AJ252" s="178"/>
      <c r="AK252" s="178"/>
      <c r="AL252" s="178"/>
      <c r="AM252" s="127">
        <f>AG252*'1. Standard_Cost'!$B$27+'Incremental_Cost Year 4'!AH252*'1. Standard_Cost'!$C$27+'Incremental_Cost Year 4'!AI252*'1. Standard_Cost'!$D$27+'Incremental_Cost Year 4'!AJ252+'Incremental_Cost Year 4'!AL252+AK252</f>
        <v>0</v>
      </c>
      <c r="AN252" s="127">
        <f>AM252*'1. Standard_Cost'!$C$31</f>
        <v>0</v>
      </c>
      <c r="AO252" s="178"/>
      <c r="AP252" s="256"/>
      <c r="AQ252" s="171">
        <f>L252+M252</f>
        <v>0</v>
      </c>
      <c r="AR252" s="171">
        <f>AF252</f>
        <v>0</v>
      </c>
      <c r="AS252" s="171">
        <f>AM252+AN252</f>
        <v>0</v>
      </c>
      <c r="AT252" s="171">
        <f>SUM(AQ252,AR252,AS252)</f>
        <v>0</v>
      </c>
      <c r="AU252" s="250">
        <f>AT252</f>
        <v>0</v>
      </c>
      <c r="AV252" s="250"/>
      <c r="AW252" s="250"/>
      <c r="AX252" s="250"/>
      <c r="AY252" s="250"/>
      <c r="AZ252" s="250"/>
      <c r="BA252" s="250"/>
      <c r="BB252" s="251">
        <f t="shared" si="170"/>
        <v>0</v>
      </c>
      <c r="BC252" s="169"/>
      <c r="BD252" s="169"/>
      <c r="BE252" s="169"/>
      <c r="BF252" s="169"/>
    </row>
    <row r="253" spans="1:58" ht="141.75" x14ac:dyDescent="0.25">
      <c r="A253" s="172"/>
      <c r="B253" s="200"/>
      <c r="C253" s="201"/>
      <c r="D253" s="202"/>
      <c r="E253" s="360"/>
      <c r="F253" s="361"/>
      <c r="G253" s="362"/>
      <c r="H253" s="199" t="s">
        <v>327</v>
      </c>
      <c r="I253" s="178"/>
      <c r="J253" s="174"/>
      <c r="K253" s="174"/>
      <c r="L253" s="125" t="str">
        <f>IF(I253&lt;&gt;0,((VLOOKUP(I253,'1. Standard_Cost'!$B$4:$D$11,2)+VLOOKUP(I253,'1. Standard_Cost'!$B$4:$D$11,3))*J253*K253),"0")</f>
        <v>0</v>
      </c>
      <c r="M253" s="125">
        <f>L253*'1. Standard_Cost'!$F$4</f>
        <v>0</v>
      </c>
      <c r="N253" s="174"/>
      <c r="O253" s="174"/>
      <c r="P253" s="174"/>
      <c r="Q253" s="174"/>
      <c r="R253" s="127">
        <f>'1. Standard_Cost'!$B$15*N253*P253</f>
        <v>0</v>
      </c>
      <c r="S253" s="127">
        <f>N253*O253*P253*'1. Standard_Cost'!$C$15</f>
        <v>0</v>
      </c>
      <c r="T253" s="127">
        <f>N253*P253*Q253*'1. Standard_Cost'!$D$15</f>
        <v>0</v>
      </c>
      <c r="U253" s="127">
        <f>N253*O253*'1. Standard_Cost'!$E$15</f>
        <v>0</v>
      </c>
      <c r="V253" s="174"/>
      <c r="W253" s="174"/>
      <c r="X253" s="174"/>
      <c r="Y253" s="127">
        <f>+V253*((X253*'1. Standard_Cost'!$B$19)+(W253*X253*'1. Standard_Cost'!$C$19))</f>
        <v>0</v>
      </c>
      <c r="Z253" s="174"/>
      <c r="AA253" s="174"/>
      <c r="AB253" s="127">
        <f>+Z253*'1. Standard_Cost'!$B$23+AA253*'1. Standard_Cost'!$C$23</f>
        <v>0</v>
      </c>
      <c r="AC253" s="176"/>
      <c r="AD253" s="177"/>
      <c r="AE253" s="127">
        <f>SUM(AD253,AC253,AB253,Y253,U253,T253,S253,R253)*'1. Standard_Cost'!$B$31</f>
        <v>0</v>
      </c>
      <c r="AF253" s="127">
        <f>SUM(AE253,AD253,AC253,AB253,Y253,U253,T253,S253,R253)</f>
        <v>0</v>
      </c>
      <c r="AG253" s="174"/>
      <c r="AH253" s="174"/>
      <c r="AI253" s="174"/>
      <c r="AJ253" s="178"/>
      <c r="AK253" s="178"/>
      <c r="AL253" s="178"/>
      <c r="AM253" s="127">
        <f>AG253*'1. Standard_Cost'!$B$27+'Incremental_Cost Year 4'!AH253*'1. Standard_Cost'!$C$27+'Incremental_Cost Year 4'!AI253*'1. Standard_Cost'!$D$27+'Incremental_Cost Year 4'!AJ253+'Incremental_Cost Year 4'!AL253+AK253</f>
        <v>0</v>
      </c>
      <c r="AN253" s="127">
        <f>AM253*'1. Standard_Cost'!$C$31</f>
        <v>0</v>
      </c>
      <c r="AO253" s="178"/>
      <c r="AP253" s="256"/>
      <c r="AQ253" s="171">
        <f>L253+M253</f>
        <v>0</v>
      </c>
      <c r="AR253" s="171">
        <f>AF253</f>
        <v>0</v>
      </c>
      <c r="AS253" s="171">
        <f>AM253+AN253</f>
        <v>0</v>
      </c>
      <c r="AT253" s="171">
        <f>SUM(AQ253,AR253,AS253)</f>
        <v>0</v>
      </c>
      <c r="AU253" s="250"/>
      <c r="AV253" s="250"/>
      <c r="AW253" s="250"/>
      <c r="AX253" s="250"/>
      <c r="AY253" s="250"/>
      <c r="AZ253" s="250"/>
      <c r="BA253" s="250"/>
      <c r="BB253" s="251">
        <f t="shared" si="170"/>
        <v>0</v>
      </c>
      <c r="BC253" s="169"/>
      <c r="BD253" s="169"/>
      <c r="BE253" s="169"/>
      <c r="BF253" s="169"/>
    </row>
    <row r="254" spans="1:58" ht="51" x14ac:dyDescent="0.2">
      <c r="A254" s="172"/>
      <c r="B254" s="168"/>
      <c r="C254" s="204"/>
      <c r="D254" s="195" t="s">
        <v>558</v>
      </c>
      <c r="E254" s="205" t="s">
        <v>328</v>
      </c>
      <c r="F254" s="206">
        <v>2021</v>
      </c>
      <c r="G254" s="209">
        <v>2030</v>
      </c>
      <c r="H254" s="180" t="s">
        <v>329</v>
      </c>
      <c r="I254" s="273"/>
      <c r="J254" s="273"/>
      <c r="K254" s="273"/>
      <c r="L254" s="175">
        <f>SUM(L251:L253)</f>
        <v>0</v>
      </c>
      <c r="M254" s="175">
        <f>SUM(M251:M253)</f>
        <v>0</v>
      </c>
      <c r="N254" s="273"/>
      <c r="O254" s="273"/>
      <c r="P254" s="273"/>
      <c r="Q254" s="273"/>
      <c r="R254" s="175">
        <f>SUM(R251:R253)</f>
        <v>0</v>
      </c>
      <c r="S254" s="175">
        <f>SUM(S251:S253)</f>
        <v>0</v>
      </c>
      <c r="T254" s="175">
        <f>SUM(T251:T253)</f>
        <v>0</v>
      </c>
      <c r="U254" s="175">
        <f>SUM(U251:U253)</f>
        <v>0</v>
      </c>
      <c r="V254" s="273"/>
      <c r="W254" s="273"/>
      <c r="X254" s="273"/>
      <c r="Y254" s="175">
        <f>SUM(Y251:Y253)</f>
        <v>0</v>
      </c>
      <c r="Z254" s="273"/>
      <c r="AA254" s="273"/>
      <c r="AB254" s="175">
        <f>SUM(AB251:AB253)</f>
        <v>0</v>
      </c>
      <c r="AC254" s="175">
        <f>SUM(AC251:AC253)</f>
        <v>0</v>
      </c>
      <c r="AD254" s="175">
        <f>SUM(AD251:AD253)</f>
        <v>0</v>
      </c>
      <c r="AE254" s="175">
        <f>SUM(AE251:AE253)</f>
        <v>0</v>
      </c>
      <c r="AF254" s="175">
        <f>SUM(AF251:AF253)</f>
        <v>0</v>
      </c>
      <c r="AG254" s="273"/>
      <c r="AH254" s="273"/>
      <c r="AI254" s="273"/>
      <c r="AJ254" s="175">
        <f>SUM(AJ251:AJ253)</f>
        <v>0</v>
      </c>
      <c r="AK254" s="175">
        <f>SUM(AK251:AK253)</f>
        <v>0</v>
      </c>
      <c r="AL254" s="175">
        <f>SUM(AL251:AL253)</f>
        <v>0</v>
      </c>
      <c r="AM254" s="175">
        <f>SUM(AM251:AM253)</f>
        <v>0</v>
      </c>
      <c r="AN254" s="175">
        <f>SUM(AN251:AN253)</f>
        <v>0</v>
      </c>
      <c r="AO254" s="274"/>
      <c r="AP254" s="254"/>
      <c r="AQ254" s="175">
        <f t="shared" ref="AQ254:AT254" si="171">SUM(AQ251:AQ253)</f>
        <v>0</v>
      </c>
      <c r="AR254" s="175">
        <f t="shared" si="171"/>
        <v>0</v>
      </c>
      <c r="AS254" s="175">
        <f t="shared" si="171"/>
        <v>0</v>
      </c>
      <c r="AT254" s="175">
        <f t="shared" si="171"/>
        <v>0</v>
      </c>
      <c r="AU254" s="175">
        <f t="shared" ref="AU254:BB254" si="172">SUM(AU251:AU253)</f>
        <v>0</v>
      </c>
      <c r="AV254" s="175">
        <f t="shared" si="172"/>
        <v>0</v>
      </c>
      <c r="AW254" s="175">
        <f t="shared" si="172"/>
        <v>0</v>
      </c>
      <c r="AX254" s="175">
        <f t="shared" si="172"/>
        <v>0</v>
      </c>
      <c r="AY254" s="175">
        <f t="shared" si="172"/>
        <v>0</v>
      </c>
      <c r="AZ254" s="175">
        <f t="shared" si="172"/>
        <v>0</v>
      </c>
      <c r="BA254" s="175">
        <f t="shared" si="172"/>
        <v>0</v>
      </c>
      <c r="BB254" s="175">
        <f t="shared" si="172"/>
        <v>0</v>
      </c>
      <c r="BC254" s="169"/>
      <c r="BD254" s="169"/>
      <c r="BE254" s="169"/>
      <c r="BF254" s="169"/>
    </row>
    <row r="255" spans="1:58" ht="78.75" x14ac:dyDescent="0.25">
      <c r="A255" s="172"/>
      <c r="B255" s="200"/>
      <c r="C255" s="201"/>
      <c r="D255" s="202"/>
      <c r="E255" s="354"/>
      <c r="F255" s="355"/>
      <c r="G255" s="356"/>
      <c r="H255" s="213" t="s">
        <v>330</v>
      </c>
      <c r="I255" s="178"/>
      <c r="J255" s="174"/>
      <c r="K255" s="174"/>
      <c r="L255" s="125" t="str">
        <f>IF(I255&lt;&gt;0,((VLOOKUP(I255,'1. Standard_Cost'!$B$4:$D$11,2)+VLOOKUP(I255,'1. Standard_Cost'!$B$4:$D$11,3))*J255*K255),"0")</f>
        <v>0</v>
      </c>
      <c r="M255" s="125">
        <f>L255*'1. Standard_Cost'!$F$4</f>
        <v>0</v>
      </c>
      <c r="N255" s="174"/>
      <c r="O255" s="174"/>
      <c r="P255" s="174"/>
      <c r="Q255" s="174"/>
      <c r="R255" s="127">
        <f>'1. Standard_Cost'!$B$15*N255*P255</f>
        <v>0</v>
      </c>
      <c r="S255" s="127">
        <f>N255*O255*P255*'1. Standard_Cost'!$C$15</f>
        <v>0</v>
      </c>
      <c r="T255" s="127">
        <f>N255*P255*Q255*'1. Standard_Cost'!$D$15</f>
        <v>0</v>
      </c>
      <c r="U255" s="127">
        <f>N255*O255*'1. Standard_Cost'!$E$15</f>
        <v>0</v>
      </c>
      <c r="V255" s="174"/>
      <c r="W255" s="174"/>
      <c r="X255" s="174"/>
      <c r="Y255" s="127">
        <f>+V255*((X255*'1. Standard_Cost'!$B$19)+(W255*X255*'1. Standard_Cost'!$C$19))</f>
        <v>0</v>
      </c>
      <c r="Z255" s="174"/>
      <c r="AA255" s="174"/>
      <c r="AB255" s="127">
        <f>+Z255*'1. Standard_Cost'!$B$23+AA255*'1. Standard_Cost'!$C$23</f>
        <v>0</v>
      </c>
      <c r="AC255" s="176"/>
      <c r="AD255" s="177"/>
      <c r="AE255" s="127">
        <f>SUM(AD255,AC255,AB255,Y255,U255,T255,S255,R255)*'1. Standard_Cost'!$B$31</f>
        <v>0</v>
      </c>
      <c r="AF255" s="127">
        <f>SUM(AE255,AD255,AC255,AB255,Y255,U255,T255,S255,R255)</f>
        <v>0</v>
      </c>
      <c r="AG255" s="174"/>
      <c r="AH255" s="174"/>
      <c r="AI255" s="174"/>
      <c r="AJ255" s="178"/>
      <c r="AK255" s="178"/>
      <c r="AL255" s="178"/>
      <c r="AM255" s="127">
        <f>AG255*'1. Standard_Cost'!$B$27+'Incremental_Cost Year 4'!AH255*'1. Standard_Cost'!$C$27+'Incremental_Cost Year 4'!AI255*'1. Standard_Cost'!$D$27+'Incremental_Cost Year 4'!AJ255+'Incremental_Cost Year 4'!AL255+AK255</f>
        <v>0</v>
      </c>
      <c r="AN255" s="127">
        <f>AM255*'1. Standard_Cost'!$C$31</f>
        <v>0</v>
      </c>
      <c r="AO255" s="178"/>
      <c r="AP255" s="256"/>
      <c r="AQ255" s="171">
        <f>L255+M255</f>
        <v>0</v>
      </c>
      <c r="AR255" s="171">
        <f>AF255</f>
        <v>0</v>
      </c>
      <c r="AS255" s="171">
        <f>AM255+AN255</f>
        <v>0</v>
      </c>
      <c r="AT255" s="171">
        <f>SUM(AQ255,AR255,AS255)</f>
        <v>0</v>
      </c>
      <c r="AU255" s="250"/>
      <c r="AV255" s="250"/>
      <c r="AW255" s="250"/>
      <c r="AX255" s="250"/>
      <c r="AY255" s="250"/>
      <c r="AZ255" s="250"/>
      <c r="BA255" s="250"/>
      <c r="BB255" s="251">
        <f t="shared" ref="BB255:BB257" si="173">SUM(AU255:BA255)-AT255</f>
        <v>0</v>
      </c>
      <c r="BC255" s="169"/>
      <c r="BD255" s="169"/>
      <c r="BE255" s="169"/>
      <c r="BF255" s="169"/>
    </row>
    <row r="256" spans="1:58" ht="78.75" x14ac:dyDescent="0.25">
      <c r="A256" s="172"/>
      <c r="B256" s="200"/>
      <c r="C256" s="201"/>
      <c r="D256" s="202"/>
      <c r="E256" s="357"/>
      <c r="F256" s="358"/>
      <c r="G256" s="359"/>
      <c r="H256" s="199" t="s">
        <v>331</v>
      </c>
      <c r="I256" s="178"/>
      <c r="J256" s="174"/>
      <c r="K256" s="174"/>
      <c r="L256" s="125" t="str">
        <f>IF(I256&lt;&gt;0,((VLOOKUP(I256,'1. Standard_Cost'!$B$4:$D$11,2)+VLOOKUP(I256,'1. Standard_Cost'!$B$4:$D$11,3))*J256*K256),"0")</f>
        <v>0</v>
      </c>
      <c r="M256" s="125">
        <f>L256*'1. Standard_Cost'!$F$4</f>
        <v>0</v>
      </c>
      <c r="N256" s="174"/>
      <c r="O256" s="174"/>
      <c r="P256" s="174"/>
      <c r="Q256" s="174"/>
      <c r="R256" s="127">
        <f>'1. Standard_Cost'!$B$15*N256*P256</f>
        <v>0</v>
      </c>
      <c r="S256" s="127">
        <f>N256*O256*P256*'1. Standard_Cost'!$C$15</f>
        <v>0</v>
      </c>
      <c r="T256" s="127">
        <f>N256*P256*Q256*'1. Standard_Cost'!$D$15</f>
        <v>0</v>
      </c>
      <c r="U256" s="127">
        <f>N256*O256*'1. Standard_Cost'!$E$15</f>
        <v>0</v>
      </c>
      <c r="V256" s="174"/>
      <c r="W256" s="174"/>
      <c r="X256" s="174"/>
      <c r="Y256" s="127">
        <f>+V256*((X256*'1. Standard_Cost'!$B$19)+(W256*X256*'1. Standard_Cost'!$C$19))</f>
        <v>0</v>
      </c>
      <c r="Z256" s="174"/>
      <c r="AA256" s="174"/>
      <c r="AB256" s="127">
        <f>+Z256*'1. Standard_Cost'!$B$23+AA256*'1. Standard_Cost'!$C$23</f>
        <v>0</v>
      </c>
      <c r="AC256" s="176"/>
      <c r="AD256" s="177"/>
      <c r="AE256" s="127">
        <f>SUM(AD256,AC256,AB256,Y256,U256,T256,S256,R256)*'1. Standard_Cost'!$B$31</f>
        <v>0</v>
      </c>
      <c r="AF256" s="127">
        <f>SUM(AE256,AD256,AC256,AB256,Y256,U256,T256,S256,R256)</f>
        <v>0</v>
      </c>
      <c r="AG256" s="174"/>
      <c r="AH256" s="174"/>
      <c r="AI256" s="174"/>
      <c r="AJ256" s="178"/>
      <c r="AK256" s="178"/>
      <c r="AL256" s="178"/>
      <c r="AM256" s="127">
        <f>AG256*'1. Standard_Cost'!$B$27+'Incremental_Cost Year 4'!AH256*'1. Standard_Cost'!$C$27+'Incremental_Cost Year 4'!AI256*'1. Standard_Cost'!$D$27+'Incremental_Cost Year 4'!AJ256+'Incremental_Cost Year 4'!AL256+AK256</f>
        <v>0</v>
      </c>
      <c r="AN256" s="127">
        <f>AM256*'1. Standard_Cost'!$C$31</f>
        <v>0</v>
      </c>
      <c r="AO256" s="178"/>
      <c r="AP256" s="256"/>
      <c r="AQ256" s="171">
        <f>L256+M256</f>
        <v>0</v>
      </c>
      <c r="AR256" s="171">
        <f>AF256</f>
        <v>0</v>
      </c>
      <c r="AS256" s="171">
        <f>AM256+AN256</f>
        <v>0</v>
      </c>
      <c r="AT256" s="171">
        <f>SUM(AQ256,AR256,AS256)</f>
        <v>0</v>
      </c>
      <c r="AU256" s="250"/>
      <c r="AV256" s="250"/>
      <c r="AW256" s="250"/>
      <c r="AX256" s="250"/>
      <c r="AY256" s="250"/>
      <c r="AZ256" s="250"/>
      <c r="BA256" s="250"/>
      <c r="BB256" s="251">
        <f t="shared" si="173"/>
        <v>0</v>
      </c>
      <c r="BC256" s="169"/>
      <c r="BD256" s="169"/>
      <c r="BE256" s="169"/>
      <c r="BF256" s="169"/>
    </row>
    <row r="257" spans="1:58" ht="94.5" x14ac:dyDescent="0.25">
      <c r="A257" s="172"/>
      <c r="B257" s="200"/>
      <c r="C257" s="201"/>
      <c r="D257" s="202"/>
      <c r="E257" s="360"/>
      <c r="F257" s="361"/>
      <c r="G257" s="362"/>
      <c r="H257" s="199" t="s">
        <v>332</v>
      </c>
      <c r="I257" s="178"/>
      <c r="J257" s="174"/>
      <c r="K257" s="174"/>
      <c r="L257" s="125" t="str">
        <f>IF(I257&lt;&gt;0,((VLOOKUP(I257,'1. Standard_Cost'!$B$4:$D$11,2)+VLOOKUP(I257,'1. Standard_Cost'!$B$4:$D$11,3))*J257*K257),"0")</f>
        <v>0</v>
      </c>
      <c r="M257" s="125">
        <f>L257*'1. Standard_Cost'!$F$4</f>
        <v>0</v>
      </c>
      <c r="N257" s="174"/>
      <c r="O257" s="174"/>
      <c r="P257" s="174"/>
      <c r="Q257" s="174"/>
      <c r="R257" s="127">
        <f>'1. Standard_Cost'!$B$15*N257*P257</f>
        <v>0</v>
      </c>
      <c r="S257" s="127">
        <f>N257*O257*P257*'1. Standard_Cost'!$C$15</f>
        <v>0</v>
      </c>
      <c r="T257" s="127">
        <f>N257*P257*Q257*'1. Standard_Cost'!$D$15</f>
        <v>0</v>
      </c>
      <c r="U257" s="127">
        <f>N257*O257*'1. Standard_Cost'!$E$15</f>
        <v>0</v>
      </c>
      <c r="V257" s="174"/>
      <c r="W257" s="174"/>
      <c r="X257" s="174"/>
      <c r="Y257" s="127">
        <f>+V257*((X257*'1. Standard_Cost'!$B$19)+(W257*X257*'1. Standard_Cost'!$C$19))</f>
        <v>0</v>
      </c>
      <c r="Z257" s="174"/>
      <c r="AA257" s="174"/>
      <c r="AB257" s="127">
        <f>+Z257*'1. Standard_Cost'!$B$23+AA257*'1. Standard_Cost'!$C$23</f>
        <v>0</v>
      </c>
      <c r="AC257" s="176"/>
      <c r="AD257" s="177"/>
      <c r="AE257" s="127">
        <f>SUM(AD257,AC257,AB257,Y257,U257,T257,S257,R257)*'1. Standard_Cost'!$B$31</f>
        <v>0</v>
      </c>
      <c r="AF257" s="127">
        <f>SUM(AE257,AD257,AC257,AB257,Y257,U257,T257,S257,R257)</f>
        <v>0</v>
      </c>
      <c r="AG257" s="174"/>
      <c r="AH257" s="174"/>
      <c r="AI257" s="174"/>
      <c r="AJ257" s="178"/>
      <c r="AK257" s="178"/>
      <c r="AL257" s="178"/>
      <c r="AM257" s="127">
        <f>AG257*'1. Standard_Cost'!$B$27+'Incremental_Cost Year 4'!AH257*'1. Standard_Cost'!$C$27+'Incremental_Cost Year 4'!AI257*'1. Standard_Cost'!$D$27+'Incremental_Cost Year 4'!AJ257+'Incremental_Cost Year 4'!AL257+AK257</f>
        <v>0</v>
      </c>
      <c r="AN257" s="127">
        <f>AM257*'1. Standard_Cost'!$C$31</f>
        <v>0</v>
      </c>
      <c r="AO257" s="178"/>
      <c r="AP257" s="256"/>
      <c r="AQ257" s="171">
        <f>L257+M257</f>
        <v>0</v>
      </c>
      <c r="AR257" s="171">
        <f>AF257</f>
        <v>0</v>
      </c>
      <c r="AS257" s="171">
        <f>AM257+AN257</f>
        <v>0</v>
      </c>
      <c r="AT257" s="171">
        <f>SUM(AQ257,AR257,AS257)</f>
        <v>0</v>
      </c>
      <c r="AU257" s="250"/>
      <c r="AV257" s="250"/>
      <c r="AW257" s="250"/>
      <c r="AX257" s="250"/>
      <c r="AY257" s="250"/>
      <c r="AZ257" s="250"/>
      <c r="BA257" s="250"/>
      <c r="BB257" s="251">
        <f t="shared" si="173"/>
        <v>0</v>
      </c>
      <c r="BC257" s="169"/>
      <c r="BD257" s="169"/>
      <c r="BE257" s="169"/>
      <c r="BF257" s="169"/>
    </row>
    <row r="258" spans="1:58" ht="38.25" x14ac:dyDescent="0.2">
      <c r="A258" s="172"/>
      <c r="B258" s="168"/>
      <c r="C258" s="204"/>
      <c r="D258" s="195" t="s">
        <v>559</v>
      </c>
      <c r="E258" s="205" t="s">
        <v>333</v>
      </c>
      <c r="F258" s="206">
        <v>2025</v>
      </c>
      <c r="G258" s="207">
        <v>2030</v>
      </c>
      <c r="H258" s="180" t="s">
        <v>334</v>
      </c>
      <c r="I258" s="273"/>
      <c r="J258" s="273"/>
      <c r="K258" s="273"/>
      <c r="L258" s="175">
        <f>SUM(L255:L257)</f>
        <v>0</v>
      </c>
      <c r="M258" s="175">
        <f>SUM(M255:M257)</f>
        <v>0</v>
      </c>
      <c r="N258" s="273"/>
      <c r="O258" s="273"/>
      <c r="P258" s="273"/>
      <c r="Q258" s="273"/>
      <c r="R258" s="175">
        <f>SUM(R255:R257)</f>
        <v>0</v>
      </c>
      <c r="S258" s="175">
        <f>SUM(S255:S257)</f>
        <v>0</v>
      </c>
      <c r="T258" s="175">
        <f>SUM(T255:T257)</f>
        <v>0</v>
      </c>
      <c r="U258" s="175">
        <f>SUM(U255:U257)</f>
        <v>0</v>
      </c>
      <c r="V258" s="273"/>
      <c r="W258" s="273"/>
      <c r="X258" s="273"/>
      <c r="Y258" s="175">
        <f>SUM(Y255:Y257)</f>
        <v>0</v>
      </c>
      <c r="Z258" s="273"/>
      <c r="AA258" s="273"/>
      <c r="AB258" s="175">
        <f>SUM(AB255:AB257)</f>
        <v>0</v>
      </c>
      <c r="AC258" s="175">
        <f>SUM(AC255:AC257)</f>
        <v>0</v>
      </c>
      <c r="AD258" s="175">
        <f>SUM(AD255:AD257)</f>
        <v>0</v>
      </c>
      <c r="AE258" s="175">
        <f>SUM(AE255:AE257)</f>
        <v>0</v>
      </c>
      <c r="AF258" s="175">
        <f>SUM(AF255:AF257)</f>
        <v>0</v>
      </c>
      <c r="AG258" s="273"/>
      <c r="AH258" s="273"/>
      <c r="AI258" s="273"/>
      <c r="AJ258" s="175">
        <f>SUM(AJ255:AJ257)</f>
        <v>0</v>
      </c>
      <c r="AK258" s="175">
        <f>SUM(AK255:AK257)</f>
        <v>0</v>
      </c>
      <c r="AL258" s="175">
        <f>SUM(AL255:AL257)</f>
        <v>0</v>
      </c>
      <c r="AM258" s="175">
        <f>SUM(AM255:AM257)</f>
        <v>0</v>
      </c>
      <c r="AN258" s="175">
        <f>SUM(AN255:AN257)</f>
        <v>0</v>
      </c>
      <c r="AO258" s="274"/>
      <c r="AP258" s="254"/>
      <c r="AQ258" s="175">
        <f t="shared" ref="AQ258:AT258" si="174">SUM(AQ255:AQ257)</f>
        <v>0</v>
      </c>
      <c r="AR258" s="175">
        <f t="shared" si="174"/>
        <v>0</v>
      </c>
      <c r="AS258" s="175">
        <f t="shared" si="174"/>
        <v>0</v>
      </c>
      <c r="AT258" s="175">
        <f t="shared" si="174"/>
        <v>0</v>
      </c>
      <c r="AU258" s="175">
        <f t="shared" ref="AU258:BB258" si="175">SUM(AU255:AU257)</f>
        <v>0</v>
      </c>
      <c r="AV258" s="175">
        <f t="shared" si="175"/>
        <v>0</v>
      </c>
      <c r="AW258" s="175">
        <f t="shared" si="175"/>
        <v>0</v>
      </c>
      <c r="AX258" s="175">
        <f t="shared" si="175"/>
        <v>0</v>
      </c>
      <c r="AY258" s="175">
        <f t="shared" si="175"/>
        <v>0</v>
      </c>
      <c r="AZ258" s="175">
        <f t="shared" si="175"/>
        <v>0</v>
      </c>
      <c r="BA258" s="175">
        <f t="shared" si="175"/>
        <v>0</v>
      </c>
      <c r="BB258" s="175">
        <f t="shared" si="175"/>
        <v>0</v>
      </c>
      <c r="BC258" s="169"/>
      <c r="BD258" s="169"/>
      <c r="BE258" s="169"/>
      <c r="BF258" s="169"/>
    </row>
    <row r="259" spans="1:58" ht="15.6" customHeight="1" x14ac:dyDescent="0.2">
      <c r="A259" s="179"/>
      <c r="B259" s="290"/>
      <c r="C259" s="391" t="s">
        <v>335</v>
      </c>
      <c r="D259" s="391"/>
      <c r="E259" s="392"/>
      <c r="F259" s="287"/>
      <c r="G259" s="289"/>
      <c r="H259" s="181" t="s">
        <v>336</v>
      </c>
      <c r="I259" s="271"/>
      <c r="J259" s="271"/>
      <c r="K259" s="271"/>
      <c r="L259" s="261">
        <f>L263+L268</f>
        <v>22663200</v>
      </c>
      <c r="M259" s="261">
        <f>M263+M268</f>
        <v>3784754.4000000004</v>
      </c>
      <c r="N259" s="271"/>
      <c r="O259" s="271"/>
      <c r="P259" s="271"/>
      <c r="Q259" s="271"/>
      <c r="R259" s="261">
        <f>R263+R268</f>
        <v>0</v>
      </c>
      <c r="S259" s="261">
        <f>S263+S268</f>
        <v>0</v>
      </c>
      <c r="T259" s="261">
        <f>T263+T268</f>
        <v>0</v>
      </c>
      <c r="U259" s="261">
        <f>U263+U268</f>
        <v>0</v>
      </c>
      <c r="V259" s="261"/>
      <c r="W259" s="271"/>
      <c r="X259" s="271"/>
      <c r="Y259" s="261">
        <f>Y263+Y268</f>
        <v>0</v>
      </c>
      <c r="Z259" s="261"/>
      <c r="AA259" s="261"/>
      <c r="AB259" s="261">
        <f>AB263+AB268</f>
        <v>2220000</v>
      </c>
      <c r="AC259" s="261">
        <f>AC263+AC268</f>
        <v>25955000</v>
      </c>
      <c r="AD259" s="261">
        <f>AD263+AD268</f>
        <v>160894000</v>
      </c>
      <c r="AE259" s="261">
        <f>AE263+AE268</f>
        <v>0</v>
      </c>
      <c r="AF259" s="261">
        <f>AF263+AF268</f>
        <v>189069000</v>
      </c>
      <c r="AG259" s="271"/>
      <c r="AH259" s="271"/>
      <c r="AI259" s="271"/>
      <c r="AJ259" s="261">
        <f>AJ263+AJ268</f>
        <v>0</v>
      </c>
      <c r="AK259" s="261">
        <f>AK263+AK268</f>
        <v>445506000</v>
      </c>
      <c r="AL259" s="261">
        <f>AL263+AL268</f>
        <v>0</v>
      </c>
      <c r="AM259" s="261">
        <f>AM263+AM268</f>
        <v>445506000</v>
      </c>
      <c r="AN259" s="261">
        <f>AN263+AN268</f>
        <v>39150900</v>
      </c>
      <c r="AO259" s="272"/>
      <c r="AP259" s="260"/>
      <c r="AQ259" s="261">
        <f t="shared" ref="AQ259:BB259" si="176">AQ263+AQ268</f>
        <v>26447954.400000002</v>
      </c>
      <c r="AR259" s="261">
        <f t="shared" si="176"/>
        <v>189069000</v>
      </c>
      <c r="AS259" s="261">
        <f t="shared" si="176"/>
        <v>484656900</v>
      </c>
      <c r="AT259" s="261">
        <f t="shared" si="176"/>
        <v>700173854.39999998</v>
      </c>
      <c r="AU259" s="261">
        <f t="shared" si="176"/>
        <v>95603954</v>
      </c>
      <c r="AV259" s="261">
        <f t="shared" si="176"/>
        <v>0</v>
      </c>
      <c r="AW259" s="261">
        <f t="shared" si="176"/>
        <v>217505000</v>
      </c>
      <c r="AX259" s="261">
        <f t="shared" si="176"/>
        <v>0</v>
      </c>
      <c r="AY259" s="261">
        <f t="shared" si="176"/>
        <v>0</v>
      </c>
      <c r="AZ259" s="261">
        <f t="shared" si="176"/>
        <v>0</v>
      </c>
      <c r="BA259" s="261">
        <f t="shared" si="176"/>
        <v>0</v>
      </c>
      <c r="BB259" s="261">
        <f t="shared" si="176"/>
        <v>-387064900.39999998</v>
      </c>
      <c r="BC259" s="184"/>
      <c r="BD259" s="184"/>
      <c r="BE259" s="184"/>
      <c r="BF259" s="184"/>
    </row>
    <row r="260" spans="1:58" ht="99.75" customHeight="1" x14ac:dyDescent="0.25">
      <c r="A260" s="172"/>
      <c r="B260" s="354"/>
      <c r="C260" s="356"/>
      <c r="D260" s="342"/>
      <c r="E260" s="328"/>
      <c r="F260" s="328"/>
      <c r="G260" s="328"/>
      <c r="H260" s="199" t="s">
        <v>556</v>
      </c>
      <c r="I260" s="178" t="s">
        <v>3</v>
      </c>
      <c r="J260" s="174">
        <v>1</v>
      </c>
      <c r="K260" s="174">
        <v>2</v>
      </c>
      <c r="L260" s="125">
        <f>IF(I260&lt;&gt;0,((VLOOKUP(I260,'1. Standard_Cost'!$B$4:$D$11,2)+VLOOKUP(I260,'1. Standard_Cost'!$B$4:$D$11,3))*J260*K260),"0")</f>
        <v>201600</v>
      </c>
      <c r="M260" s="125">
        <f>L260*'1. Standard_Cost'!$F$4</f>
        <v>33667.200000000004</v>
      </c>
      <c r="N260" s="174"/>
      <c r="O260" s="174"/>
      <c r="P260" s="174"/>
      <c r="Q260" s="174"/>
      <c r="R260" s="127">
        <f>'1. Standard_Cost'!$B$15*N260*P260</f>
        <v>0</v>
      </c>
      <c r="S260" s="127">
        <f>N260*O260*P260*'1. Standard_Cost'!$C$15</f>
        <v>0</v>
      </c>
      <c r="T260" s="127">
        <f>N260*P260*Q260*'1. Standard_Cost'!$D$15</f>
        <v>0</v>
      </c>
      <c r="U260" s="127">
        <f>N260*O260*'1. Standard_Cost'!$E$15</f>
        <v>0</v>
      </c>
      <c r="V260" s="174"/>
      <c r="W260" s="174"/>
      <c r="X260" s="174"/>
      <c r="Y260" s="127">
        <f>+V260*((X260*'1. Standard_Cost'!$B$19)+(W260*X260*'1. Standard_Cost'!$C$19))</f>
        <v>0</v>
      </c>
      <c r="Z260" s="174"/>
      <c r="AA260" s="174"/>
      <c r="AB260" s="127">
        <f>+Z260*'1. Standard_Cost'!$B$23+AA260*'1. Standard_Cost'!$C$23</f>
        <v>0</v>
      </c>
      <c r="AC260" s="176"/>
      <c r="AD260" s="177">
        <v>134685000</v>
      </c>
      <c r="AE260" s="127"/>
      <c r="AF260" s="127">
        <f>SUM(AE260,AD260,AC260,AB260,Y260,U260,T260,S260,R260)</f>
        <v>134685000</v>
      </c>
      <c r="AG260" s="174"/>
      <c r="AH260" s="174"/>
      <c r="AI260" s="174"/>
      <c r="AJ260" s="178"/>
      <c r="AK260" s="178">
        <v>207870000</v>
      </c>
      <c r="AL260" s="178"/>
      <c r="AM260" s="127">
        <f>AG260*'1. Standard_Cost'!$B$27+'Incremental_Cost Year 4'!AH260*'1. Standard_Cost'!$C$27+'Incremental_Cost Year 4'!AI260*'1. Standard_Cost'!$D$27+'Incremental_Cost Year 4'!AJ260+'Incremental_Cost Year 4'!AL260+AK260</f>
        <v>207870000</v>
      </c>
      <c r="AN260" s="127">
        <f>AM260*'1. Standard_Cost'!$C$31</f>
        <v>31180500</v>
      </c>
      <c r="AO260" s="178"/>
      <c r="AP260" s="256"/>
      <c r="AQ260" s="171">
        <f>L260+M260</f>
        <v>235267.20000000001</v>
      </c>
      <c r="AR260" s="171">
        <f>AF260</f>
        <v>134685000</v>
      </c>
      <c r="AS260" s="171">
        <f>AM260+AN260</f>
        <v>239050500</v>
      </c>
      <c r="AT260" s="171">
        <f>SUM(AQ260,AR260,AS260)</f>
        <v>373970767.19999999</v>
      </c>
      <c r="AU260" s="250">
        <f>+AQ260+34645000</f>
        <v>34880267.200000003</v>
      </c>
      <c r="AV260" s="250"/>
      <c r="AW260" s="250">
        <v>173225000</v>
      </c>
      <c r="AX260" s="250"/>
      <c r="AY260" s="250"/>
      <c r="AZ260" s="250"/>
      <c r="BA260" s="250"/>
      <c r="BB260" s="251">
        <f t="shared" ref="BB260:BB262" si="177">SUM(AU260:BA260)-AT260</f>
        <v>-165865500</v>
      </c>
      <c r="BC260" s="169"/>
      <c r="BD260" s="169"/>
      <c r="BE260" s="169"/>
      <c r="BF260" s="169"/>
    </row>
    <row r="261" spans="1:58" ht="63" x14ac:dyDescent="0.25">
      <c r="A261" s="172"/>
      <c r="B261" s="357"/>
      <c r="C261" s="359"/>
      <c r="D261" s="343"/>
      <c r="E261" s="328"/>
      <c r="F261" s="328"/>
      <c r="G261" s="328"/>
      <c r="H261" s="199" t="s">
        <v>337</v>
      </c>
      <c r="I261" s="178" t="s">
        <v>3</v>
      </c>
      <c r="J261" s="174">
        <v>1</v>
      </c>
      <c r="K261" s="174">
        <v>2</v>
      </c>
      <c r="L261" s="125">
        <f>IF(I261&lt;&gt;0,((VLOOKUP(I261,'1. Standard_Cost'!$B$4:$D$11,2)+VLOOKUP(I261,'1. Standard_Cost'!$B$4:$D$11,3))*J261*K261),"0")</f>
        <v>201600</v>
      </c>
      <c r="M261" s="125">
        <f>L261*'1. Standard_Cost'!$F$4</f>
        <v>33667.200000000004</v>
      </c>
      <c r="N261" s="174"/>
      <c r="O261" s="174"/>
      <c r="P261" s="174"/>
      <c r="Q261" s="174"/>
      <c r="R261" s="127">
        <f>'1. Standard_Cost'!$B$15*N261*P261</f>
        <v>0</v>
      </c>
      <c r="S261" s="127">
        <f>N261*O261*P261*'1. Standard_Cost'!$C$15</f>
        <v>0</v>
      </c>
      <c r="T261" s="127">
        <f>N261*P261*Q261*'1. Standard_Cost'!$D$15</f>
        <v>0</v>
      </c>
      <c r="U261" s="127">
        <f>N261*O261*'1. Standard_Cost'!$E$15</f>
        <v>0</v>
      </c>
      <c r="V261" s="174"/>
      <c r="W261" s="174"/>
      <c r="X261" s="174"/>
      <c r="Y261" s="127">
        <f>+V261*((X261*'1. Standard_Cost'!$B$19)+(W261*X261*'1. Standard_Cost'!$C$19))</f>
        <v>0</v>
      </c>
      <c r="Z261" s="174"/>
      <c r="AA261" s="174"/>
      <c r="AB261" s="127">
        <f>+Z261*'1. Standard_Cost'!$B$23+AA261*'1. Standard_Cost'!$C$23</f>
        <v>0</v>
      </c>
      <c r="AC261" s="176"/>
      <c r="AD261" s="177">
        <f>51700000*25%</f>
        <v>12925000</v>
      </c>
      <c r="AE261" s="127"/>
      <c r="AF261" s="127">
        <f>SUM(AE261,AD261,AC261,AB261,Y261,U261,T261,S261,R261)</f>
        <v>12925000</v>
      </c>
      <c r="AG261" s="174"/>
      <c r="AH261" s="174"/>
      <c r="AI261" s="174"/>
      <c r="AJ261" s="178"/>
      <c r="AK261" s="178"/>
      <c r="AL261" s="178"/>
      <c r="AM261" s="127">
        <f>AG261*'1. Standard_Cost'!$B$27+'Incremental_Cost Year 4'!AH261*'1. Standard_Cost'!$C$27+'Incremental_Cost Year 4'!AI261*'1. Standard_Cost'!$D$27+'Incremental_Cost Year 4'!AJ261+'Incremental_Cost Year 4'!AL261+AK261</f>
        <v>0</v>
      </c>
      <c r="AN261" s="127">
        <f>AM261*'1. Standard_Cost'!$C$31</f>
        <v>0</v>
      </c>
      <c r="AO261" s="178"/>
      <c r="AP261" s="256"/>
      <c r="AQ261" s="171">
        <f>L261+M261</f>
        <v>235267.20000000001</v>
      </c>
      <c r="AR261" s="171">
        <f>AF261</f>
        <v>12925000</v>
      </c>
      <c r="AS261" s="171">
        <f>AM261+AN261</f>
        <v>0</v>
      </c>
      <c r="AT261" s="171">
        <f>SUM(AQ261,AR261,AS261)</f>
        <v>13160267.199999999</v>
      </c>
      <c r="AU261" s="250">
        <v>235267</v>
      </c>
      <c r="AV261" s="250"/>
      <c r="AW261" s="250"/>
      <c r="AX261" s="250"/>
      <c r="AY261" s="250"/>
      <c r="AZ261" s="250"/>
      <c r="BA261" s="250"/>
      <c r="BB261" s="251">
        <f t="shared" si="177"/>
        <v>-12925000.199999999</v>
      </c>
      <c r="BC261" s="169"/>
      <c r="BD261" s="169"/>
      <c r="BE261" s="169"/>
      <c r="BF261" s="169"/>
    </row>
    <row r="262" spans="1:58" ht="63" x14ac:dyDescent="0.25">
      <c r="A262" s="172"/>
      <c r="B262" s="357"/>
      <c r="C262" s="359"/>
      <c r="D262" s="343"/>
      <c r="E262" s="328"/>
      <c r="F262" s="328"/>
      <c r="G262" s="328"/>
      <c r="H262" s="199" t="s">
        <v>552</v>
      </c>
      <c r="I262" s="178" t="s">
        <v>3</v>
      </c>
      <c r="J262" s="174">
        <v>1</v>
      </c>
      <c r="K262" s="174">
        <v>2</v>
      </c>
      <c r="L262" s="125">
        <f>IF(I262&lt;&gt;0,((VLOOKUP(I262,'1. Standard_Cost'!$B$4:$D$11,2)+VLOOKUP(I262,'1. Standard_Cost'!$B$4:$D$11,3))*J262*K262),"0")</f>
        <v>201600</v>
      </c>
      <c r="M262" s="125">
        <f>L262*'1. Standard_Cost'!$F$4</f>
        <v>33667.200000000004</v>
      </c>
      <c r="N262" s="174"/>
      <c r="O262" s="174"/>
      <c r="P262" s="174"/>
      <c r="Q262" s="174"/>
      <c r="R262" s="127">
        <f>'1. Standard_Cost'!$B$15*N262*P262</f>
        <v>0</v>
      </c>
      <c r="S262" s="127">
        <f>N262*O262*P262*'1. Standard_Cost'!$C$15</f>
        <v>0</v>
      </c>
      <c r="T262" s="127">
        <f>N262*P262*Q262*'1. Standard_Cost'!$D$15</f>
        <v>0</v>
      </c>
      <c r="U262" s="127">
        <f>N262*O262*'1. Standard_Cost'!$E$15</f>
        <v>0</v>
      </c>
      <c r="V262" s="174"/>
      <c r="W262" s="174"/>
      <c r="X262" s="174"/>
      <c r="Y262" s="127">
        <f>+V262*((X262*'1. Standard_Cost'!$B$19)+(W262*X262*'1. Standard_Cost'!$C$19))</f>
        <v>0</v>
      </c>
      <c r="Z262" s="174"/>
      <c r="AA262" s="174"/>
      <c r="AB262" s="127">
        <f>+Z262*'1. Standard_Cost'!$B$23+AA262*'1. Standard_Cost'!$C$23</f>
        <v>0</v>
      </c>
      <c r="AC262" s="176"/>
      <c r="AD262" s="177">
        <f>25%*53136000</f>
        <v>13284000</v>
      </c>
      <c r="AE262" s="127"/>
      <c r="AF262" s="127">
        <f>SUM(AE262,AD262,AC262,AB262,Y262,U262,T262,S262,R262)</f>
        <v>13284000</v>
      </c>
      <c r="AG262" s="174"/>
      <c r="AH262" s="174"/>
      <c r="AI262" s="174"/>
      <c r="AJ262" s="178"/>
      <c r="AK262" s="178">
        <v>53136000</v>
      </c>
      <c r="AL262" s="178"/>
      <c r="AM262" s="127">
        <f>AG262*'1. Standard_Cost'!$B$27+'Incremental_Cost Year 4'!AH262*'1. Standard_Cost'!$C$27+'Incremental_Cost Year 4'!AI262*'1. Standard_Cost'!$D$27+'Incremental_Cost Year 4'!AJ262+'Incremental_Cost Year 4'!AL262+AK262</f>
        <v>53136000</v>
      </c>
      <c r="AN262" s="127">
        <f>AM262*'1. Standard_Cost'!$C$31</f>
        <v>7970400</v>
      </c>
      <c r="AO262" s="178"/>
      <c r="AP262" s="256"/>
      <c r="AQ262" s="171">
        <f>L262+M262</f>
        <v>235267.20000000001</v>
      </c>
      <c r="AR262" s="171">
        <f>AF262</f>
        <v>13284000</v>
      </c>
      <c r="AS262" s="171">
        <f>AM262+AN262</f>
        <v>61106400</v>
      </c>
      <c r="AT262" s="171">
        <f>SUM(AQ262,AR262,AS262)</f>
        <v>74625667.200000003</v>
      </c>
      <c r="AU262" s="250">
        <f>235267+8856000</f>
        <v>9091267</v>
      </c>
      <c r="AV262" s="250"/>
      <c r="AW262" s="250">
        <v>44280000</v>
      </c>
      <c r="AX262" s="250"/>
      <c r="AY262" s="250"/>
      <c r="AZ262" s="250"/>
      <c r="BA262" s="250"/>
      <c r="BB262" s="251">
        <f t="shared" si="177"/>
        <v>-21254400.200000003</v>
      </c>
      <c r="BC262" s="169"/>
      <c r="BD262" s="169"/>
      <c r="BE262" s="169"/>
      <c r="BF262" s="169"/>
    </row>
    <row r="263" spans="1:58" x14ac:dyDescent="0.25">
      <c r="A263" s="172"/>
      <c r="B263" s="357"/>
      <c r="C263" s="359"/>
      <c r="D263" s="343"/>
      <c r="E263" s="328"/>
      <c r="F263" s="328"/>
      <c r="G263" s="328"/>
      <c r="H263" s="182" t="s">
        <v>338</v>
      </c>
      <c r="I263" s="273"/>
      <c r="J263" s="273"/>
      <c r="K263" s="273"/>
      <c r="L263" s="175">
        <f>SUM(L260:L262)</f>
        <v>604800</v>
      </c>
      <c r="M263" s="175">
        <f>SUM(M260:M262)</f>
        <v>101001.60000000001</v>
      </c>
      <c r="N263" s="273"/>
      <c r="O263" s="273"/>
      <c r="P263" s="273"/>
      <c r="Q263" s="273"/>
      <c r="R263" s="175">
        <f>SUM(R260:R262)</f>
        <v>0</v>
      </c>
      <c r="S263" s="175">
        <f>SUM(S260:S262)</f>
        <v>0</v>
      </c>
      <c r="T263" s="175">
        <f>SUM(T260:T262)</f>
        <v>0</v>
      </c>
      <c r="U263" s="175">
        <f>SUM(U260:U262)</f>
        <v>0</v>
      </c>
      <c r="V263" s="273"/>
      <c r="W263" s="273"/>
      <c r="X263" s="273"/>
      <c r="Y263" s="175">
        <f>SUM(Y260:Y262)</f>
        <v>0</v>
      </c>
      <c r="Z263" s="175"/>
      <c r="AA263" s="273"/>
      <c r="AB263" s="175">
        <f>SUM(AB260:AB262)</f>
        <v>0</v>
      </c>
      <c r="AC263" s="175">
        <f>SUM(AC260:AC262)</f>
        <v>0</v>
      </c>
      <c r="AD263" s="175">
        <f>SUM(AD260:AD262)</f>
        <v>160894000</v>
      </c>
      <c r="AE263" s="175">
        <f>SUM(AE260:AE262)</f>
        <v>0</v>
      </c>
      <c r="AF263" s="175">
        <f>SUM(AF260:AF262)</f>
        <v>160894000</v>
      </c>
      <c r="AG263" s="273"/>
      <c r="AH263" s="273"/>
      <c r="AI263" s="273"/>
      <c r="AJ263" s="175">
        <f>SUM(AJ260:AJ262)</f>
        <v>0</v>
      </c>
      <c r="AK263" s="175">
        <f>SUM(AK260:AK262)</f>
        <v>261006000</v>
      </c>
      <c r="AL263" s="175">
        <f>SUM(AL260:AL262)</f>
        <v>0</v>
      </c>
      <c r="AM263" s="175">
        <f>SUM(AM260:AM262)</f>
        <v>261006000</v>
      </c>
      <c r="AN263" s="175">
        <f>SUM(AN260:AN262)</f>
        <v>39150900</v>
      </c>
      <c r="AO263" s="274"/>
      <c r="AP263" s="254"/>
      <c r="AQ263" s="175">
        <f t="shared" ref="AQ263:AT263" si="178">SUM(AQ260:AQ262)</f>
        <v>705801.60000000009</v>
      </c>
      <c r="AR263" s="175">
        <f t="shared" si="178"/>
        <v>160894000</v>
      </c>
      <c r="AS263" s="175">
        <f t="shared" si="178"/>
        <v>300156900</v>
      </c>
      <c r="AT263" s="175">
        <f t="shared" si="178"/>
        <v>461756701.59999996</v>
      </c>
      <c r="AU263" s="175">
        <f t="shared" ref="AU263:BB263" si="179">SUM(AU260:AU262)</f>
        <v>44206801.200000003</v>
      </c>
      <c r="AV263" s="175">
        <f t="shared" si="179"/>
        <v>0</v>
      </c>
      <c r="AW263" s="175">
        <f t="shared" si="179"/>
        <v>217505000</v>
      </c>
      <c r="AX263" s="175">
        <f t="shared" si="179"/>
        <v>0</v>
      </c>
      <c r="AY263" s="175">
        <f t="shared" si="179"/>
        <v>0</v>
      </c>
      <c r="AZ263" s="175">
        <f t="shared" si="179"/>
        <v>0</v>
      </c>
      <c r="BA263" s="175">
        <f t="shared" si="179"/>
        <v>0</v>
      </c>
      <c r="BB263" s="175">
        <f t="shared" si="179"/>
        <v>-200044900.39999998</v>
      </c>
      <c r="BC263" s="169"/>
      <c r="BD263" s="169"/>
      <c r="BE263" s="169"/>
      <c r="BF263" s="169"/>
    </row>
    <row r="264" spans="1:58" ht="78.75" x14ac:dyDescent="0.25">
      <c r="A264" s="172"/>
      <c r="B264" s="357"/>
      <c r="C264" s="359"/>
      <c r="D264" s="343"/>
      <c r="E264" s="328"/>
      <c r="F264" s="328"/>
      <c r="G264" s="328"/>
      <c r="H264" s="199" t="s">
        <v>553</v>
      </c>
      <c r="I264" s="178"/>
      <c r="J264" s="174"/>
      <c r="K264" s="174"/>
      <c r="L264" s="125" t="str">
        <f>IF(I264&lt;&gt;0,((VLOOKUP(I264,'1. Standard_Cost'!$B$4:$D$11,2)+VLOOKUP(I264,'1. Standard_Cost'!$B$4:$D$11,3))*J264*K264),"0")</f>
        <v>0</v>
      </c>
      <c r="M264" s="125">
        <f>L264*'1. Standard_Cost'!$F$4</f>
        <v>0</v>
      </c>
      <c r="N264" s="174"/>
      <c r="O264" s="174"/>
      <c r="P264" s="174"/>
      <c r="Q264" s="174"/>
      <c r="R264" s="127">
        <f>'1. Standard_Cost'!$B$15*N264*P264</f>
        <v>0</v>
      </c>
      <c r="S264" s="127">
        <f>N264*O264*P264*'1. Standard_Cost'!$C$15</f>
        <v>0</v>
      </c>
      <c r="T264" s="127">
        <f>N264*P264*Q264*'1. Standard_Cost'!$D$15</f>
        <v>0</v>
      </c>
      <c r="U264" s="127">
        <f>N264*O264*'1. Standard_Cost'!$E$15</f>
        <v>0</v>
      </c>
      <c r="V264" s="174"/>
      <c r="W264" s="174"/>
      <c r="X264" s="174"/>
      <c r="Y264" s="127">
        <f>+V264*((X264*'1. Standard_Cost'!$B$19)+(W264*X264*'1. Standard_Cost'!$C$19))</f>
        <v>0</v>
      </c>
      <c r="Z264" s="174"/>
      <c r="AA264" s="174"/>
      <c r="AB264" s="127">
        <f>+Z264*'1. Standard_Cost'!$B$23+AA264*'1. Standard_Cost'!$C$23</f>
        <v>0</v>
      </c>
      <c r="AC264" s="176"/>
      <c r="AD264" s="177"/>
      <c r="AE264" s="127">
        <f>SUM(AD264,AC264,AB264,Y264,U264,T264,S264,R264)*'1. Standard_Cost'!$B$31</f>
        <v>0</v>
      </c>
      <c r="AF264" s="127">
        <f>SUM(AE264,AD264,AC264,AB264,Y264,U264,T264,S264,R264)</f>
        <v>0</v>
      </c>
      <c r="AG264" s="174"/>
      <c r="AH264" s="174"/>
      <c r="AI264" s="174"/>
      <c r="AJ264" s="178"/>
      <c r="AK264" s="178">
        <f>369000000/2</f>
        <v>184500000</v>
      </c>
      <c r="AL264" s="178"/>
      <c r="AM264" s="127">
        <f>AG264*'1. Standard_Cost'!$B$27+'Incremental_Cost Year 4'!AH264*'1. Standard_Cost'!$C$27+'Incremental_Cost Year 4'!AI264*'1. Standard_Cost'!$D$27+'Incremental_Cost Year 4'!AJ264+'Incremental_Cost Year 4'!AL264+AK264</f>
        <v>184500000</v>
      </c>
      <c r="AN264" s="127"/>
      <c r="AO264" s="178"/>
      <c r="AP264" s="256"/>
      <c r="AQ264" s="171">
        <f>L264+M264</f>
        <v>0</v>
      </c>
      <c r="AR264" s="171">
        <f>AF264</f>
        <v>0</v>
      </c>
      <c r="AS264" s="171">
        <f>AM264+AN264</f>
        <v>184500000</v>
      </c>
      <c r="AT264" s="171">
        <f>SUM(AQ264,AR264,AS264)</f>
        <v>184500000</v>
      </c>
      <c r="AU264" s="250"/>
      <c r="AV264" s="250"/>
      <c r="AW264" s="250"/>
      <c r="AX264" s="250"/>
      <c r="AY264" s="250"/>
      <c r="AZ264" s="250"/>
      <c r="BA264" s="250"/>
      <c r="BB264" s="251">
        <f t="shared" ref="BB264:BB267" si="180">SUM(AU264:BA264)-AT264</f>
        <v>-184500000</v>
      </c>
      <c r="BC264" s="169"/>
      <c r="BD264" s="169"/>
      <c r="BE264" s="169"/>
      <c r="BF264" s="169"/>
    </row>
    <row r="265" spans="1:58" ht="63" x14ac:dyDescent="0.25">
      <c r="A265" s="172"/>
      <c r="B265" s="357"/>
      <c r="C265" s="359"/>
      <c r="D265" s="343"/>
      <c r="E265" s="328"/>
      <c r="F265" s="328"/>
      <c r="G265" s="328"/>
      <c r="H265" s="199" t="s">
        <v>339</v>
      </c>
      <c r="I265" s="178"/>
      <c r="J265" s="174"/>
      <c r="K265" s="174"/>
      <c r="L265" s="125" t="str">
        <f>IF(I265&lt;&gt;0,((VLOOKUP(I265,'1. Standard_Cost'!$B$4:$D$11,2)+VLOOKUP(I265,'1. Standard_Cost'!$B$4:$D$11,3))*J265*K265),"0")</f>
        <v>0</v>
      </c>
      <c r="M265" s="125">
        <f>L265*'1. Standard_Cost'!$F$4</f>
        <v>0</v>
      </c>
      <c r="N265" s="174"/>
      <c r="O265" s="174"/>
      <c r="P265" s="174"/>
      <c r="Q265" s="174"/>
      <c r="R265" s="127">
        <f>'1. Standard_Cost'!$B$15*N265*P265</f>
        <v>0</v>
      </c>
      <c r="S265" s="127">
        <f>N265*O265*P265*'1. Standard_Cost'!$C$15</f>
        <v>0</v>
      </c>
      <c r="T265" s="127">
        <f>N265*P265*Q265*'1. Standard_Cost'!$D$15</f>
        <v>0</v>
      </c>
      <c r="U265" s="127">
        <f>N265*O265*'1. Standard_Cost'!$E$15</f>
        <v>0</v>
      </c>
      <c r="V265" s="174"/>
      <c r="W265" s="174"/>
      <c r="X265" s="174"/>
      <c r="Y265" s="127">
        <f>+V265*((X265*'1. Standard_Cost'!$B$19)+(W265*X265*'1. Standard_Cost'!$C$19))</f>
        <v>0</v>
      </c>
      <c r="Z265" s="174">
        <v>30</v>
      </c>
      <c r="AA265" s="174"/>
      <c r="AB265" s="127">
        <f>+Z265*'1. Standard_Cost'!$B$23+AA265*'1. Standard_Cost'!$C$23</f>
        <v>2220000</v>
      </c>
      <c r="AC265" s="176">
        <v>300000</v>
      </c>
      <c r="AD265" s="177"/>
      <c r="AE265" s="127"/>
      <c r="AF265" s="127">
        <f>SUM(AE265,AD265,AC265,AB265,Y265,U265,T265,S265,R265)</f>
        <v>2520000</v>
      </c>
      <c r="AG265" s="174"/>
      <c r="AH265" s="174"/>
      <c r="AI265" s="174"/>
      <c r="AJ265" s="178"/>
      <c r="AK265" s="178"/>
      <c r="AL265" s="178"/>
      <c r="AM265" s="127">
        <f>AG265*'1. Standard_Cost'!$B$27+'Incremental_Cost Year 4'!AH265*'1. Standard_Cost'!$C$27+'Incremental_Cost Year 4'!AI265*'1. Standard_Cost'!$D$27+'Incremental_Cost Year 4'!AJ265+'Incremental_Cost Year 4'!AL265+AK265</f>
        <v>0</v>
      </c>
      <c r="AN265" s="127">
        <f>AM265*'1. Standard_Cost'!$C$31</f>
        <v>0</v>
      </c>
      <c r="AO265" s="178"/>
      <c r="AP265" s="256"/>
      <c r="AQ265" s="171">
        <f>L265+M265</f>
        <v>0</v>
      </c>
      <c r="AR265" s="171">
        <f>AF265</f>
        <v>2520000</v>
      </c>
      <c r="AS265" s="171">
        <f>AM265+AN265</f>
        <v>0</v>
      </c>
      <c r="AT265" s="171">
        <f>SUM(AQ265,AR265,AS265)</f>
        <v>2520000</v>
      </c>
      <c r="AU265" s="250"/>
      <c r="AV265" s="250"/>
      <c r="AW265" s="250"/>
      <c r="AX265" s="250"/>
      <c r="AY265" s="250"/>
      <c r="AZ265" s="250"/>
      <c r="BA265" s="250"/>
      <c r="BB265" s="251">
        <f t="shared" si="180"/>
        <v>-2520000</v>
      </c>
      <c r="BC265" s="169"/>
      <c r="BD265" s="169"/>
      <c r="BE265" s="169"/>
      <c r="BF265" s="169"/>
    </row>
    <row r="266" spans="1:58" ht="94.5" x14ac:dyDescent="0.25">
      <c r="A266" s="172"/>
      <c r="B266" s="357"/>
      <c r="C266" s="359"/>
      <c r="D266" s="343"/>
      <c r="E266" s="328"/>
      <c r="F266" s="328"/>
      <c r="G266" s="328"/>
      <c r="H266" s="199" t="s">
        <v>362</v>
      </c>
      <c r="I266" s="178" t="s">
        <v>5</v>
      </c>
      <c r="J266" s="174">
        <v>12</v>
      </c>
      <c r="K266" s="174">
        <v>26</v>
      </c>
      <c r="L266" s="125">
        <f>IF(I266&lt;&gt;0,((VLOOKUP(I266,'1. Standard_Cost'!$B$4:$D$11,2)+VLOOKUP(I266,'1. Standard_Cost'!$B$4:$D$11,3))*J266*K266),"0")</f>
        <v>22058400</v>
      </c>
      <c r="M266" s="125">
        <f>L266*'1. Standard_Cost'!$F$4</f>
        <v>3683752.8000000003</v>
      </c>
      <c r="N266" s="174"/>
      <c r="O266" s="174"/>
      <c r="P266" s="174"/>
      <c r="Q266" s="174"/>
      <c r="R266" s="127">
        <f>'1. Standard_Cost'!$B$15*N266*P266</f>
        <v>0</v>
      </c>
      <c r="S266" s="127">
        <f>N266*O266*P266*'1. Standard_Cost'!$C$15</f>
        <v>0</v>
      </c>
      <c r="T266" s="127">
        <f>N266*P266*Q266*'1. Standard_Cost'!$D$15</f>
        <v>0</v>
      </c>
      <c r="U266" s="127">
        <f>N266*O266*'1. Standard_Cost'!$E$15</f>
        <v>0</v>
      </c>
      <c r="V266" s="174"/>
      <c r="W266" s="174"/>
      <c r="X266" s="174"/>
      <c r="Y266" s="127">
        <f>+V266*((X266*'1. Standard_Cost'!$B$19)+(W266*X266*'1. Standard_Cost'!$C$19))</f>
        <v>0</v>
      </c>
      <c r="Z266" s="174"/>
      <c r="AA266" s="174"/>
      <c r="AB266" s="127">
        <f>+Z266*'1. Standard_Cost'!$B$23+AA266*'1. Standard_Cost'!$C$23</f>
        <v>0</v>
      </c>
      <c r="AC266" s="176">
        <v>25655000</v>
      </c>
      <c r="AD266" s="177"/>
      <c r="AE266" s="127"/>
      <c r="AF266" s="127">
        <f>SUM(AE266,AD266,AC266,AB266,Y266,U266,T266,S266,R266)</f>
        <v>25655000</v>
      </c>
      <c r="AG266" s="174"/>
      <c r="AH266" s="174"/>
      <c r="AI266" s="174"/>
      <c r="AJ266" s="178"/>
      <c r="AK266" s="178"/>
      <c r="AL266" s="178"/>
      <c r="AM266" s="127">
        <f>AG266*'1. Standard_Cost'!$B$27+'Incremental_Cost Year 4'!AH266*'1. Standard_Cost'!$C$27+'Incremental_Cost Year 4'!AI266*'1. Standard_Cost'!$D$27+'Incremental_Cost Year 4'!AJ266+'Incremental_Cost Year 4'!AL266+AK266</f>
        <v>0</v>
      </c>
      <c r="AN266" s="127">
        <f>AM266*'1. Standard_Cost'!$C$31</f>
        <v>0</v>
      </c>
      <c r="AO266" s="178"/>
      <c r="AP266" s="256"/>
      <c r="AQ266" s="171">
        <f>L266+M266</f>
        <v>25742152.800000001</v>
      </c>
      <c r="AR266" s="171">
        <f>AF266</f>
        <v>25655000</v>
      </c>
      <c r="AS266" s="171">
        <f>AM266+AN266</f>
        <v>0</v>
      </c>
      <c r="AT266" s="171">
        <f>SUM(AQ266,AR266,AS266)</f>
        <v>51397152.799999997</v>
      </c>
      <c r="AU266" s="250">
        <f>AT266</f>
        <v>51397152.799999997</v>
      </c>
      <c r="AV266" s="250"/>
      <c r="AW266" s="250"/>
      <c r="AX266" s="250"/>
      <c r="AY266" s="250"/>
      <c r="AZ266" s="250"/>
      <c r="BA266" s="250"/>
      <c r="BB266" s="251">
        <f t="shared" si="180"/>
        <v>0</v>
      </c>
      <c r="BC266" s="169"/>
      <c r="BD266" s="169"/>
      <c r="BE266" s="169"/>
      <c r="BF266" s="169"/>
    </row>
    <row r="267" spans="1:58" ht="47.25" x14ac:dyDescent="0.25">
      <c r="A267" s="172"/>
      <c r="B267" s="360"/>
      <c r="C267" s="362"/>
      <c r="D267" s="344"/>
      <c r="E267" s="328"/>
      <c r="F267" s="328"/>
      <c r="G267" s="328"/>
      <c r="H267" s="199" t="s">
        <v>554</v>
      </c>
      <c r="I267" s="178"/>
      <c r="J267" s="174"/>
      <c r="K267" s="174"/>
      <c r="L267" s="125" t="str">
        <f>IF(I267&lt;&gt;0,((VLOOKUP(I267,'1. Standard_Cost'!$B$4:$D$11,2)+VLOOKUP(I267,'1. Standard_Cost'!$B$4:$D$11,3))*J267*K267),"0")</f>
        <v>0</v>
      </c>
      <c r="M267" s="125">
        <f>L267*'1. Standard_Cost'!$F$4</f>
        <v>0</v>
      </c>
      <c r="N267" s="174"/>
      <c r="O267" s="174"/>
      <c r="P267" s="174"/>
      <c r="Q267" s="174"/>
      <c r="R267" s="127">
        <f>'1. Standard_Cost'!$B$15*N267*P267</f>
        <v>0</v>
      </c>
      <c r="S267" s="127">
        <f>N267*O267*P267*'1. Standard_Cost'!$C$15</f>
        <v>0</v>
      </c>
      <c r="T267" s="127">
        <f>N267*P267*Q267*'1. Standard_Cost'!$D$15</f>
        <v>0</v>
      </c>
      <c r="U267" s="127">
        <f>N267*O267*'1. Standard_Cost'!$E$15</f>
        <v>0</v>
      </c>
      <c r="V267" s="174"/>
      <c r="W267" s="174"/>
      <c r="X267" s="174"/>
      <c r="Y267" s="127">
        <f>+V267*((X267*'1. Standard_Cost'!$B$19)+(W267*X267*'1. Standard_Cost'!$C$19))</f>
        <v>0</v>
      </c>
      <c r="Z267" s="174"/>
      <c r="AA267" s="174"/>
      <c r="AB267" s="127">
        <f>+Z267*'1. Standard_Cost'!$B$23+AA267*'1. Standard_Cost'!$C$23</f>
        <v>0</v>
      </c>
      <c r="AC267" s="176"/>
      <c r="AD267" s="177"/>
      <c r="AE267" s="127">
        <f>SUM(AD267,AC267,AB267,Y267,U267,T267,S267,R267)*'1. Standard_Cost'!$B$31</f>
        <v>0</v>
      </c>
      <c r="AF267" s="127">
        <f>SUM(AE267,AD267,AC267,AB267,Y267,U267,T267,S267,R267)</f>
        <v>0</v>
      </c>
      <c r="AG267" s="174"/>
      <c r="AH267" s="174"/>
      <c r="AI267" s="174"/>
      <c r="AJ267" s="178"/>
      <c r="AK267" s="178"/>
      <c r="AL267" s="178"/>
      <c r="AM267" s="127">
        <f>AG267*'1. Standard_Cost'!$B$27+'Incremental_Cost Year 4'!AH267*'1. Standard_Cost'!$C$27+'Incremental_Cost Year 4'!AI267*'1. Standard_Cost'!$D$27+'Incremental_Cost Year 4'!AJ267+'Incremental_Cost Year 4'!AL267+AK267</f>
        <v>0</v>
      </c>
      <c r="AN267" s="127">
        <f>AM267*'1. Standard_Cost'!$C$31</f>
        <v>0</v>
      </c>
      <c r="AO267" s="178"/>
      <c r="AP267" s="256"/>
      <c r="AQ267" s="171">
        <f>L267+M267</f>
        <v>0</v>
      </c>
      <c r="AR267" s="171">
        <f>AF267</f>
        <v>0</v>
      </c>
      <c r="AS267" s="171">
        <f>AM267+AN267</f>
        <v>0</v>
      </c>
      <c r="AT267" s="171">
        <f>SUM(AQ267,AR267,AS267)</f>
        <v>0</v>
      </c>
      <c r="AU267" s="250"/>
      <c r="AV267" s="250"/>
      <c r="AW267" s="250"/>
      <c r="AX267" s="250"/>
      <c r="AY267" s="250"/>
      <c r="AZ267" s="250"/>
      <c r="BA267" s="250"/>
      <c r="BB267" s="251">
        <f t="shared" si="180"/>
        <v>0</v>
      </c>
      <c r="BC267" s="169"/>
      <c r="BD267" s="169"/>
      <c r="BE267" s="169"/>
      <c r="BF267" s="169"/>
    </row>
    <row r="268" spans="1:58" ht="38.25" x14ac:dyDescent="0.25">
      <c r="A268" s="172"/>
      <c r="B268" s="168"/>
      <c r="C268" s="204"/>
      <c r="D268" s="344" t="s">
        <v>560</v>
      </c>
      <c r="E268" s="205" t="s">
        <v>340</v>
      </c>
      <c r="F268" s="205">
        <v>2021</v>
      </c>
      <c r="G268" s="205">
        <v>2030</v>
      </c>
      <c r="H268" s="182" t="s">
        <v>341</v>
      </c>
      <c r="I268" s="273"/>
      <c r="J268" s="273"/>
      <c r="K268" s="273"/>
      <c r="L268" s="175">
        <f>SUM(L264:L267)</f>
        <v>22058400</v>
      </c>
      <c r="M268" s="175">
        <f>SUM(M264:M267)</f>
        <v>3683752.8000000003</v>
      </c>
      <c r="N268" s="273"/>
      <c r="O268" s="273"/>
      <c r="P268" s="273"/>
      <c r="Q268" s="273"/>
      <c r="R268" s="175">
        <f>SUM(R264:R267)</f>
        <v>0</v>
      </c>
      <c r="S268" s="175">
        <f>SUM(S264:S267)</f>
        <v>0</v>
      </c>
      <c r="T268" s="175">
        <f>SUM(T264:T267)</f>
        <v>0</v>
      </c>
      <c r="U268" s="175">
        <f>SUM(U264:U267)</f>
        <v>0</v>
      </c>
      <c r="V268" s="273"/>
      <c r="W268" s="273"/>
      <c r="X268" s="273"/>
      <c r="Y268" s="175">
        <f>SUM(Y264:Y267)</f>
        <v>0</v>
      </c>
      <c r="Z268" s="175"/>
      <c r="AA268" s="273"/>
      <c r="AB268" s="175">
        <f>SUM(AB264:AB267)</f>
        <v>2220000</v>
      </c>
      <c r="AC268" s="175">
        <f>SUM(AC264:AC267)</f>
        <v>25955000</v>
      </c>
      <c r="AD268" s="175">
        <f>SUM(AD264:AD267)</f>
        <v>0</v>
      </c>
      <c r="AE268" s="175">
        <f>SUM(AE264:AE267)</f>
        <v>0</v>
      </c>
      <c r="AF268" s="175">
        <f>SUM(AF264:AF267)</f>
        <v>28175000</v>
      </c>
      <c r="AG268" s="273"/>
      <c r="AH268" s="273"/>
      <c r="AI268" s="273"/>
      <c r="AJ268" s="175">
        <f>SUM(AJ264:AJ267)</f>
        <v>0</v>
      </c>
      <c r="AK268" s="175">
        <f>SUM(AK264:AK267)</f>
        <v>184500000</v>
      </c>
      <c r="AL268" s="175">
        <f>SUM(AL264:AL267)</f>
        <v>0</v>
      </c>
      <c r="AM268" s="175">
        <f>SUM(AM264:AM267)</f>
        <v>184500000</v>
      </c>
      <c r="AN268" s="175">
        <f>SUM(AN264:AN267)</f>
        <v>0</v>
      </c>
      <c r="AO268" s="274"/>
      <c r="AP268" s="254"/>
      <c r="AQ268" s="175">
        <f t="shared" ref="AQ268:AT268" si="181">SUM(AQ264:AQ267)</f>
        <v>25742152.800000001</v>
      </c>
      <c r="AR268" s="175">
        <f t="shared" si="181"/>
        <v>28175000</v>
      </c>
      <c r="AS268" s="175">
        <f t="shared" si="181"/>
        <v>184500000</v>
      </c>
      <c r="AT268" s="175">
        <f t="shared" si="181"/>
        <v>238417152.80000001</v>
      </c>
      <c r="AU268" s="175">
        <f t="shared" ref="AU268:BB268" si="182">SUM(AU264:AU267)</f>
        <v>51397152.799999997</v>
      </c>
      <c r="AV268" s="175">
        <f t="shared" si="182"/>
        <v>0</v>
      </c>
      <c r="AW268" s="175">
        <f t="shared" si="182"/>
        <v>0</v>
      </c>
      <c r="AX268" s="175">
        <f t="shared" si="182"/>
        <v>0</v>
      </c>
      <c r="AY268" s="175">
        <f t="shared" si="182"/>
        <v>0</v>
      </c>
      <c r="AZ268" s="175">
        <f t="shared" si="182"/>
        <v>0</v>
      </c>
      <c r="BA268" s="175">
        <f t="shared" si="182"/>
        <v>0</v>
      </c>
      <c r="BB268" s="175">
        <f t="shared" si="182"/>
        <v>-187020000</v>
      </c>
      <c r="BC268" s="169"/>
      <c r="BD268" s="169"/>
      <c r="BE268" s="169"/>
      <c r="BF268" s="169"/>
    </row>
    <row r="269" spans="1:58" ht="15.6" customHeight="1" x14ac:dyDescent="0.2">
      <c r="A269" s="179"/>
      <c r="B269" s="290"/>
      <c r="C269" s="391" t="s">
        <v>342</v>
      </c>
      <c r="D269" s="391"/>
      <c r="E269" s="392"/>
      <c r="F269" s="287"/>
      <c r="G269" s="289"/>
      <c r="H269" s="181" t="s">
        <v>343</v>
      </c>
      <c r="I269" s="271"/>
      <c r="J269" s="271"/>
      <c r="K269" s="271"/>
      <c r="L269" s="261">
        <f>L273+L276</f>
        <v>302400</v>
      </c>
      <c r="M269" s="261">
        <f>M273+M276</f>
        <v>50500.800000000003</v>
      </c>
      <c r="N269" s="271"/>
      <c r="O269" s="271"/>
      <c r="P269" s="271"/>
      <c r="Q269" s="271"/>
      <c r="R269" s="261">
        <f>R273+R276</f>
        <v>1200000</v>
      </c>
      <c r="S269" s="261">
        <f>S273+S276</f>
        <v>900000</v>
      </c>
      <c r="T269" s="261">
        <f>T273+T276</f>
        <v>0</v>
      </c>
      <c r="U269" s="261">
        <f>U273+U276</f>
        <v>1200000</v>
      </c>
      <c r="V269" s="271"/>
      <c r="W269" s="271"/>
      <c r="X269" s="271"/>
      <c r="Y269" s="261">
        <f>Y273+Y276</f>
        <v>0</v>
      </c>
      <c r="Z269" s="261"/>
      <c r="AA269" s="261"/>
      <c r="AB269" s="261">
        <f>AB273+AB276</f>
        <v>627000</v>
      </c>
      <c r="AC269" s="261">
        <f>AC273+AC276</f>
        <v>180000</v>
      </c>
      <c r="AD269" s="261">
        <f>AD273+AD276</f>
        <v>0</v>
      </c>
      <c r="AE269" s="261">
        <f>AE273+AE276</f>
        <v>821400</v>
      </c>
      <c r="AF269" s="261">
        <f>AF273+AF276</f>
        <v>4928400</v>
      </c>
      <c r="AG269" s="271"/>
      <c r="AH269" s="271"/>
      <c r="AI269" s="271"/>
      <c r="AJ269" s="261">
        <f>AJ273+AJ276</f>
        <v>0</v>
      </c>
      <c r="AK269" s="261">
        <f>AK273+AK276</f>
        <v>0</v>
      </c>
      <c r="AL269" s="261">
        <f>AL273+AL276</f>
        <v>0</v>
      </c>
      <c r="AM269" s="261">
        <f>AM273+AM276</f>
        <v>0</v>
      </c>
      <c r="AN269" s="261">
        <f>AN273+AN276</f>
        <v>0</v>
      </c>
      <c r="AO269" s="272"/>
      <c r="AP269" s="260"/>
      <c r="AQ269" s="261">
        <f t="shared" ref="AQ269:BB269" si="183">AQ273+AQ276</f>
        <v>352900.8</v>
      </c>
      <c r="AR269" s="261">
        <f t="shared" si="183"/>
        <v>4928400</v>
      </c>
      <c r="AS269" s="261">
        <f t="shared" si="183"/>
        <v>0</v>
      </c>
      <c r="AT269" s="261">
        <f t="shared" si="183"/>
        <v>5281300.8</v>
      </c>
      <c r="AU269" s="261">
        <f t="shared" si="183"/>
        <v>352900.8</v>
      </c>
      <c r="AV269" s="261">
        <f t="shared" si="183"/>
        <v>0</v>
      </c>
      <c r="AW269" s="261">
        <f t="shared" si="183"/>
        <v>0</v>
      </c>
      <c r="AX269" s="261">
        <f t="shared" si="183"/>
        <v>0</v>
      </c>
      <c r="AY269" s="261">
        <f t="shared" si="183"/>
        <v>0</v>
      </c>
      <c r="AZ269" s="261">
        <f t="shared" si="183"/>
        <v>0</v>
      </c>
      <c r="BA269" s="261">
        <f t="shared" si="183"/>
        <v>0</v>
      </c>
      <c r="BB269" s="261">
        <f t="shared" si="183"/>
        <v>-4928400</v>
      </c>
      <c r="BC269" s="184"/>
      <c r="BD269" s="184"/>
      <c r="BE269" s="184"/>
      <c r="BF269" s="184"/>
    </row>
    <row r="270" spans="1:58" ht="78.75" x14ac:dyDescent="0.25">
      <c r="A270" s="172"/>
      <c r="B270" s="200"/>
      <c r="C270" s="201"/>
      <c r="D270" s="202"/>
      <c r="E270" s="354"/>
      <c r="F270" s="355"/>
      <c r="G270" s="356"/>
      <c r="H270" s="199" t="s">
        <v>344</v>
      </c>
      <c r="I270" s="178"/>
      <c r="J270" s="174"/>
      <c r="K270" s="174"/>
      <c r="L270" s="125" t="str">
        <f>IF(I270&lt;&gt;0,((VLOOKUP(I270,'1. Standard_Cost'!$B$4:$D$11,2)+VLOOKUP(I270,'1. Standard_Cost'!$B$4:$D$11,3))*J270*K270),"0")</f>
        <v>0</v>
      </c>
      <c r="M270" s="125">
        <f>L270*'1. Standard_Cost'!$F$4</f>
        <v>0</v>
      </c>
      <c r="N270" s="174"/>
      <c r="O270" s="174"/>
      <c r="P270" s="174"/>
      <c r="Q270" s="174"/>
      <c r="R270" s="127">
        <f>'1. Standard_Cost'!$B$15*N270*P270</f>
        <v>0</v>
      </c>
      <c r="S270" s="127">
        <f>N270*O270*P270*'1. Standard_Cost'!$C$15</f>
        <v>0</v>
      </c>
      <c r="T270" s="127">
        <f>N270*P270*Q270*'1. Standard_Cost'!$D$15</f>
        <v>0</v>
      </c>
      <c r="U270" s="127">
        <f>N270*O270*'1. Standard_Cost'!$E$15</f>
        <v>0</v>
      </c>
      <c r="V270" s="174"/>
      <c r="W270" s="174"/>
      <c r="X270" s="174"/>
      <c r="Y270" s="127">
        <f>+V270*((X270*'1. Standard_Cost'!$B$19)+(W270*X270*'1. Standard_Cost'!$C$19))</f>
        <v>0</v>
      </c>
      <c r="Z270" s="174"/>
      <c r="AA270" s="174"/>
      <c r="AB270" s="127">
        <f>+Z270*'1. Standard_Cost'!$B$23+AA270*'1. Standard_Cost'!$C$23</f>
        <v>0</v>
      </c>
      <c r="AC270" s="176"/>
      <c r="AD270" s="177"/>
      <c r="AE270" s="127">
        <f>SUM(AD270,AC270,AB270,Y270,U270,T270,S270,R270)*'1. Standard_Cost'!$B$31</f>
        <v>0</v>
      </c>
      <c r="AF270" s="127">
        <f>SUM(AE270,AD270,AC270,AB270,Y270,U270,T270,S270,R270)</f>
        <v>0</v>
      </c>
      <c r="AG270" s="174"/>
      <c r="AH270" s="174"/>
      <c r="AI270" s="174"/>
      <c r="AJ270" s="178"/>
      <c r="AK270" s="178"/>
      <c r="AL270" s="178"/>
      <c r="AM270" s="127">
        <f>AG270*'1. Standard_Cost'!$B$27+'Incremental_Cost Year 4'!AH270*'1. Standard_Cost'!$C$27+'Incremental_Cost Year 4'!AI270*'1. Standard_Cost'!$D$27+'Incremental_Cost Year 4'!AJ270+'Incremental_Cost Year 4'!AL270+AK270</f>
        <v>0</v>
      </c>
      <c r="AN270" s="127">
        <f>AM270*'1. Standard_Cost'!$C$31</f>
        <v>0</v>
      </c>
      <c r="AO270" s="178"/>
      <c r="AP270" s="256"/>
      <c r="AQ270" s="171">
        <f>L270+M270</f>
        <v>0</v>
      </c>
      <c r="AR270" s="171">
        <f>AF270</f>
        <v>0</v>
      </c>
      <c r="AS270" s="171">
        <f>AM270+AN270</f>
        <v>0</v>
      </c>
      <c r="AT270" s="171">
        <f>SUM(AQ270,AR270,AS270)</f>
        <v>0</v>
      </c>
      <c r="AU270" s="250">
        <f>AT270</f>
        <v>0</v>
      </c>
      <c r="AV270" s="250"/>
      <c r="AW270" s="250"/>
      <c r="AX270" s="250"/>
      <c r="AY270" s="250"/>
      <c r="AZ270" s="250"/>
      <c r="BA270" s="250"/>
      <c r="BB270" s="251">
        <f t="shared" ref="BB270:BB272" si="184">SUM(AU270:BA270)-AT270</f>
        <v>0</v>
      </c>
      <c r="BC270" s="169"/>
      <c r="BD270" s="169"/>
      <c r="BE270" s="169"/>
      <c r="BF270" s="169"/>
    </row>
    <row r="271" spans="1:58" ht="63" x14ac:dyDescent="0.25">
      <c r="A271" s="172"/>
      <c r="B271" s="200"/>
      <c r="C271" s="201"/>
      <c r="D271" s="202"/>
      <c r="E271" s="357"/>
      <c r="F271" s="358"/>
      <c r="G271" s="359"/>
      <c r="H271" s="199" t="s">
        <v>345</v>
      </c>
      <c r="I271" s="178"/>
      <c r="J271" s="174"/>
      <c r="K271" s="174"/>
      <c r="L271" s="125" t="str">
        <f>IF(I271&lt;&gt;0,((VLOOKUP(I271,'1. Standard_Cost'!$B$4:$D$11,2)+VLOOKUP(I271,'1. Standard_Cost'!$B$4:$D$11,3))*J271*K271),"0")</f>
        <v>0</v>
      </c>
      <c r="M271" s="125">
        <f>L271*'1. Standard_Cost'!$F$4</f>
        <v>0</v>
      </c>
      <c r="N271" s="174"/>
      <c r="O271" s="174"/>
      <c r="P271" s="174"/>
      <c r="Q271" s="174"/>
      <c r="R271" s="127">
        <f>'1. Standard_Cost'!$B$15*N271*P271</f>
        <v>0</v>
      </c>
      <c r="S271" s="127">
        <f>N271*O271*P271*'1. Standard_Cost'!$C$15</f>
        <v>0</v>
      </c>
      <c r="T271" s="127">
        <f>N271*P271*Q271*'1. Standard_Cost'!$D$15</f>
        <v>0</v>
      </c>
      <c r="U271" s="127">
        <f>N271*O271*'1. Standard_Cost'!$E$15</f>
        <v>0</v>
      </c>
      <c r="V271" s="174"/>
      <c r="W271" s="174"/>
      <c r="X271" s="174"/>
      <c r="Y271" s="127">
        <f>+V271*((X271*'1. Standard_Cost'!$B$19)+(W271*X271*'1. Standard_Cost'!$C$19))</f>
        <v>0</v>
      </c>
      <c r="Z271" s="174"/>
      <c r="AA271" s="174"/>
      <c r="AB271" s="127">
        <f>+Z271*'1. Standard_Cost'!$B$23+AA271*'1. Standard_Cost'!$C$23</f>
        <v>0</v>
      </c>
      <c r="AC271" s="176"/>
      <c r="AD271" s="177"/>
      <c r="AE271" s="127">
        <f>SUM(AD271,AC271,AB271,Y271,U271,T271,S271,R271)*'1. Standard_Cost'!$B$31</f>
        <v>0</v>
      </c>
      <c r="AF271" s="127">
        <f>SUM(AE271,AD271,AC271,AB271,Y271,U271,T271,S271,R271)</f>
        <v>0</v>
      </c>
      <c r="AG271" s="174"/>
      <c r="AH271" s="174"/>
      <c r="AI271" s="174"/>
      <c r="AJ271" s="178"/>
      <c r="AK271" s="178"/>
      <c r="AL271" s="178"/>
      <c r="AM271" s="127">
        <f>AG271*'1. Standard_Cost'!$B$27+'Incremental_Cost Year 4'!AH271*'1. Standard_Cost'!$C$27+'Incremental_Cost Year 4'!AI271*'1. Standard_Cost'!$D$27+'Incremental_Cost Year 4'!AJ271+'Incremental_Cost Year 4'!AL271+AK271</f>
        <v>0</v>
      </c>
      <c r="AN271" s="127">
        <f>AM271*'1. Standard_Cost'!$C$31</f>
        <v>0</v>
      </c>
      <c r="AO271" s="178"/>
      <c r="AP271" s="256"/>
      <c r="AQ271" s="171">
        <f>L271+M271</f>
        <v>0</v>
      </c>
      <c r="AR271" s="171">
        <f>AF271</f>
        <v>0</v>
      </c>
      <c r="AS271" s="171">
        <f>AM271+AN271</f>
        <v>0</v>
      </c>
      <c r="AT271" s="171">
        <f>SUM(AQ271,AR271,AS271)</f>
        <v>0</v>
      </c>
      <c r="AU271" s="250">
        <f>AT271</f>
        <v>0</v>
      </c>
      <c r="AV271" s="250"/>
      <c r="AW271" s="250"/>
      <c r="AX271" s="250"/>
      <c r="AY271" s="250"/>
      <c r="AZ271" s="250"/>
      <c r="BA271" s="250"/>
      <c r="BB271" s="251">
        <f t="shared" si="184"/>
        <v>0</v>
      </c>
      <c r="BC271" s="169"/>
      <c r="BD271" s="169"/>
      <c r="BE271" s="169"/>
      <c r="BF271" s="169"/>
    </row>
    <row r="272" spans="1:58" ht="63" x14ac:dyDescent="0.25">
      <c r="A272" s="172"/>
      <c r="B272" s="200"/>
      <c r="C272" s="201"/>
      <c r="D272" s="202"/>
      <c r="E272" s="360"/>
      <c r="F272" s="361"/>
      <c r="G272" s="362"/>
      <c r="H272" s="199" t="s">
        <v>346</v>
      </c>
      <c r="I272" s="178"/>
      <c r="J272" s="174"/>
      <c r="K272" s="174"/>
      <c r="L272" s="125" t="str">
        <f>IF(I272&lt;&gt;0,((VLOOKUP(I272,'1. Standard_Cost'!$B$4:$D$11,2)+VLOOKUP(I272,'1. Standard_Cost'!$B$4:$D$11,3))*J272*K272),"0")</f>
        <v>0</v>
      </c>
      <c r="M272" s="125">
        <f>L272*'1. Standard_Cost'!$F$4</f>
        <v>0</v>
      </c>
      <c r="N272" s="174"/>
      <c r="O272" s="174"/>
      <c r="P272" s="174"/>
      <c r="Q272" s="174"/>
      <c r="R272" s="127">
        <f>'1. Standard_Cost'!$B$15*N272*P272</f>
        <v>0</v>
      </c>
      <c r="S272" s="127">
        <f>N272*O272*P272*'1. Standard_Cost'!$C$15</f>
        <v>0</v>
      </c>
      <c r="T272" s="127">
        <f>N272*P272*Q272*'1. Standard_Cost'!$D$15</f>
        <v>0</v>
      </c>
      <c r="U272" s="127">
        <f>N272*O272*'1. Standard_Cost'!$E$15</f>
        <v>0</v>
      </c>
      <c r="V272" s="174"/>
      <c r="W272" s="174"/>
      <c r="X272" s="174"/>
      <c r="Y272" s="127">
        <f>+V272*((X272*'1. Standard_Cost'!$B$19)+(W272*X272*'1. Standard_Cost'!$C$19))</f>
        <v>0</v>
      </c>
      <c r="Z272" s="174"/>
      <c r="AA272" s="174"/>
      <c r="AB272" s="127">
        <f>+Z272*'1. Standard_Cost'!$B$23+AA272*'1. Standard_Cost'!$C$23</f>
        <v>0</v>
      </c>
      <c r="AC272" s="176"/>
      <c r="AD272" s="177"/>
      <c r="AE272" s="127">
        <f>SUM(AD272,AC272,AB272,Y272,U272,T272,S272,R272)*'1. Standard_Cost'!$B$31</f>
        <v>0</v>
      </c>
      <c r="AF272" s="127">
        <f>SUM(AE272,AD272,AC272,AB272,Y272,U272,T272,S272,R272)</f>
        <v>0</v>
      </c>
      <c r="AG272" s="174"/>
      <c r="AH272" s="174"/>
      <c r="AI272" s="174"/>
      <c r="AJ272" s="178"/>
      <c r="AK272" s="178"/>
      <c r="AL272" s="178"/>
      <c r="AM272" s="127">
        <f>AG272*'1. Standard_Cost'!$B$27+'Incremental_Cost Year 4'!AH272*'1. Standard_Cost'!$C$27+'Incremental_Cost Year 4'!AI272*'1. Standard_Cost'!$D$27+'Incremental_Cost Year 4'!AJ272+'Incremental_Cost Year 4'!AL272+AK272</f>
        <v>0</v>
      </c>
      <c r="AN272" s="127">
        <f>AM272*'1. Standard_Cost'!$C$31</f>
        <v>0</v>
      </c>
      <c r="AO272" s="178"/>
      <c r="AP272" s="256"/>
      <c r="AQ272" s="171">
        <f>L272+M272</f>
        <v>0</v>
      </c>
      <c r="AR272" s="171">
        <f>AF272</f>
        <v>0</v>
      </c>
      <c r="AS272" s="171">
        <f>AM272+AN272</f>
        <v>0</v>
      </c>
      <c r="AT272" s="171">
        <f>SUM(AQ272,AR272,AS272)</f>
        <v>0</v>
      </c>
      <c r="AU272" s="250"/>
      <c r="AV272" s="250"/>
      <c r="AW272" s="250"/>
      <c r="AX272" s="250"/>
      <c r="AY272" s="250"/>
      <c r="AZ272" s="250"/>
      <c r="BA272" s="250"/>
      <c r="BB272" s="251">
        <f t="shared" si="184"/>
        <v>0</v>
      </c>
      <c r="BC272" s="169"/>
      <c r="BD272" s="169"/>
      <c r="BE272" s="169"/>
      <c r="BF272" s="169"/>
    </row>
    <row r="273" spans="1:58" ht="63" x14ac:dyDescent="0.2">
      <c r="A273" s="172"/>
      <c r="B273" s="168"/>
      <c r="C273" s="204"/>
      <c r="D273" s="212" t="s">
        <v>559</v>
      </c>
      <c r="E273" s="212" t="s">
        <v>347</v>
      </c>
      <c r="F273" s="206">
        <v>2026</v>
      </c>
      <c r="G273" s="207">
        <v>2028</v>
      </c>
      <c r="H273" s="182" t="s">
        <v>348</v>
      </c>
      <c r="I273" s="273"/>
      <c r="J273" s="273"/>
      <c r="K273" s="273"/>
      <c r="L273" s="175">
        <f>SUM(L270:L272)</f>
        <v>0</v>
      </c>
      <c r="M273" s="175">
        <f>SUM(M270:M272)</f>
        <v>0</v>
      </c>
      <c r="N273" s="273"/>
      <c r="O273" s="273"/>
      <c r="P273" s="273"/>
      <c r="Q273" s="273"/>
      <c r="R273" s="175">
        <f>SUM(R270:R272)</f>
        <v>0</v>
      </c>
      <c r="S273" s="175">
        <f>SUM(S270:S272)</f>
        <v>0</v>
      </c>
      <c r="T273" s="175">
        <f>SUM(T270:T272)</f>
        <v>0</v>
      </c>
      <c r="U273" s="175">
        <f>SUM(U270:U272)</f>
        <v>0</v>
      </c>
      <c r="V273" s="273"/>
      <c r="W273" s="273"/>
      <c r="X273" s="273"/>
      <c r="Y273" s="175">
        <f>SUM(Y270:Y272)</f>
        <v>0</v>
      </c>
      <c r="Z273" s="175"/>
      <c r="AA273" s="273"/>
      <c r="AB273" s="175">
        <f>SUM(AB270:AB272)</f>
        <v>0</v>
      </c>
      <c r="AC273" s="175">
        <f>SUM(AC270:AC272)</f>
        <v>0</v>
      </c>
      <c r="AD273" s="175">
        <f>SUM(AD270:AD272)</f>
        <v>0</v>
      </c>
      <c r="AE273" s="175">
        <f>SUM(AE270:AE272)</f>
        <v>0</v>
      </c>
      <c r="AF273" s="175">
        <f>SUM(AF270:AF272)</f>
        <v>0</v>
      </c>
      <c r="AG273" s="273"/>
      <c r="AH273" s="273"/>
      <c r="AI273" s="273"/>
      <c r="AJ273" s="175">
        <f>SUM(AJ270:AJ272)</f>
        <v>0</v>
      </c>
      <c r="AK273" s="175">
        <f>SUM(AK270:AK272)</f>
        <v>0</v>
      </c>
      <c r="AL273" s="175">
        <f>SUM(AL270:AL272)</f>
        <v>0</v>
      </c>
      <c r="AM273" s="175">
        <f>SUM(AM270:AM272)</f>
        <v>0</v>
      </c>
      <c r="AN273" s="175">
        <f>SUM(AN270:AN272)</f>
        <v>0</v>
      </c>
      <c r="AO273" s="274"/>
      <c r="AP273" s="254"/>
      <c r="AQ273" s="175">
        <f t="shared" ref="AQ273:AT273" si="185">SUM(AQ270:AQ272)</f>
        <v>0</v>
      </c>
      <c r="AR273" s="175">
        <f t="shared" si="185"/>
        <v>0</v>
      </c>
      <c r="AS273" s="175">
        <f t="shared" si="185"/>
        <v>0</v>
      </c>
      <c r="AT273" s="175">
        <f t="shared" si="185"/>
        <v>0</v>
      </c>
      <c r="AU273" s="175">
        <f t="shared" ref="AU273:BB273" si="186">SUM(AU270:AU272)</f>
        <v>0</v>
      </c>
      <c r="AV273" s="175">
        <f t="shared" si="186"/>
        <v>0</v>
      </c>
      <c r="AW273" s="175">
        <f t="shared" si="186"/>
        <v>0</v>
      </c>
      <c r="AX273" s="175">
        <f t="shared" si="186"/>
        <v>0</v>
      </c>
      <c r="AY273" s="175">
        <f t="shared" si="186"/>
        <v>0</v>
      </c>
      <c r="AZ273" s="175">
        <f t="shared" si="186"/>
        <v>0</v>
      </c>
      <c r="BA273" s="175">
        <f t="shared" si="186"/>
        <v>0</v>
      </c>
      <c r="BB273" s="175">
        <f t="shared" si="186"/>
        <v>0</v>
      </c>
      <c r="BC273" s="169"/>
      <c r="BD273" s="169"/>
      <c r="BE273" s="169"/>
      <c r="BF273" s="169"/>
    </row>
    <row r="274" spans="1:58" ht="78.75" x14ac:dyDescent="0.25">
      <c r="A274" s="172"/>
      <c r="B274" s="200"/>
      <c r="C274" s="201"/>
      <c r="D274" s="202"/>
      <c r="E274" s="354"/>
      <c r="F274" s="355"/>
      <c r="G274" s="356"/>
      <c r="H274" s="199" t="s">
        <v>349</v>
      </c>
      <c r="I274" s="178"/>
      <c r="J274" s="174"/>
      <c r="K274" s="174"/>
      <c r="L274" s="125" t="str">
        <f>IF(I274&lt;&gt;0,((VLOOKUP(I274,'1. Standard_Cost'!$B$4:$D$11,2)+VLOOKUP(I274,'1. Standard_Cost'!$B$4:$D$11,3))*J274*K274),"0")</f>
        <v>0</v>
      </c>
      <c r="M274" s="125">
        <f>L274*'1. Standard_Cost'!$F$4</f>
        <v>0</v>
      </c>
      <c r="N274" s="174"/>
      <c r="O274" s="174"/>
      <c r="P274" s="174"/>
      <c r="Q274" s="174"/>
      <c r="R274" s="127">
        <f>'1. Standard_Cost'!$B$15*N274*P274</f>
        <v>0</v>
      </c>
      <c r="S274" s="127">
        <f>N274*O274*P274*'1. Standard_Cost'!$C$15</f>
        <v>0</v>
      </c>
      <c r="T274" s="127">
        <f>N274*P274*Q274*'1. Standard_Cost'!$D$15</f>
        <v>0</v>
      </c>
      <c r="U274" s="127">
        <f>N274*O274*'1. Standard_Cost'!$E$15</f>
        <v>0</v>
      </c>
      <c r="V274" s="174"/>
      <c r="W274" s="174"/>
      <c r="X274" s="174"/>
      <c r="Y274" s="127">
        <f>+V274*((X274*'1. Standard_Cost'!$B$19)+(W274*X274*'1. Standard_Cost'!$C$19))</f>
        <v>0</v>
      </c>
      <c r="Z274" s="174"/>
      <c r="AA274" s="174"/>
      <c r="AB274" s="127">
        <f>+Z274*'1. Standard_Cost'!$B$23+AA274*'1. Standard_Cost'!$C$23</f>
        <v>0</v>
      </c>
      <c r="AC274" s="176"/>
      <c r="AD274" s="177"/>
      <c r="AE274" s="127">
        <f>SUM(AD274,AC274,AB274,Y274,U274,T274,S274,R274)*'1. Standard_Cost'!$B$31</f>
        <v>0</v>
      </c>
      <c r="AF274" s="127">
        <f>SUM(AE274,AD274,AC274,AB274,Y274,U274,T274,S274,R274)</f>
        <v>0</v>
      </c>
      <c r="AG274" s="174"/>
      <c r="AH274" s="174"/>
      <c r="AI274" s="174"/>
      <c r="AJ274" s="178"/>
      <c r="AK274" s="178"/>
      <c r="AL274" s="178"/>
      <c r="AM274" s="127">
        <f>AG274*'1. Standard_Cost'!$B$27+'Incremental_Cost Year 4'!AH274*'1. Standard_Cost'!$C$27+'Incremental_Cost Year 4'!AI274*'1. Standard_Cost'!$D$27+'Incremental_Cost Year 4'!AJ274+'Incremental_Cost Year 4'!AL274+AK274</f>
        <v>0</v>
      </c>
      <c r="AN274" s="127">
        <f>AM274*'1. Standard_Cost'!$C$31</f>
        <v>0</v>
      </c>
      <c r="AO274" s="178"/>
      <c r="AP274" s="256"/>
      <c r="AQ274" s="171">
        <f>L274+M274</f>
        <v>0</v>
      </c>
      <c r="AR274" s="171">
        <f>AF274</f>
        <v>0</v>
      </c>
      <c r="AS274" s="171">
        <f>AM274+AN274</f>
        <v>0</v>
      </c>
      <c r="AT274" s="171">
        <f>SUM(AQ274,AR274,AS274)</f>
        <v>0</v>
      </c>
      <c r="AU274" s="250">
        <f>AT274</f>
        <v>0</v>
      </c>
      <c r="AV274" s="250"/>
      <c r="AW274" s="250"/>
      <c r="AX274" s="250"/>
      <c r="AY274" s="250"/>
      <c r="AZ274" s="250"/>
      <c r="BA274" s="250"/>
      <c r="BB274" s="251">
        <f t="shared" ref="BB274:BB275" si="187">SUM(AU274:BA274)-AT274</f>
        <v>0</v>
      </c>
      <c r="BC274" s="169"/>
      <c r="BD274" s="169"/>
      <c r="BE274" s="169"/>
      <c r="BF274" s="169"/>
    </row>
    <row r="275" spans="1:58" ht="110.25" x14ac:dyDescent="0.25">
      <c r="A275" s="172"/>
      <c r="B275" s="200"/>
      <c r="C275" s="201"/>
      <c r="D275" s="202"/>
      <c r="E275" s="360"/>
      <c r="F275" s="361"/>
      <c r="G275" s="362"/>
      <c r="H275" s="199" t="s">
        <v>350</v>
      </c>
      <c r="I275" s="178" t="s">
        <v>3</v>
      </c>
      <c r="J275" s="174">
        <v>1</v>
      </c>
      <c r="K275" s="174">
        <v>3</v>
      </c>
      <c r="L275" s="125">
        <f>IF(I275&lt;&gt;0,((VLOOKUP(I275,'1. Standard_Cost'!$B$4:$D$11,2)+VLOOKUP(I275,'1. Standard_Cost'!$B$4:$D$11,3))*J275*K275),"0")</f>
        <v>302400</v>
      </c>
      <c r="M275" s="125">
        <f>L275*'1. Standard_Cost'!$F$4</f>
        <v>50500.800000000003</v>
      </c>
      <c r="N275" s="174">
        <v>30</v>
      </c>
      <c r="O275" s="174">
        <v>1</v>
      </c>
      <c r="P275" s="174">
        <v>20</v>
      </c>
      <c r="Q275" s="174"/>
      <c r="R275" s="127">
        <f>'1. Standard_Cost'!$B$15*N275*P275</f>
        <v>1200000</v>
      </c>
      <c r="S275" s="127">
        <f>N275*O275*P275*'1. Standard_Cost'!$C$15</f>
        <v>900000</v>
      </c>
      <c r="T275" s="127">
        <f>N275*P275*Q275*'1. Standard_Cost'!$D$15</f>
        <v>0</v>
      </c>
      <c r="U275" s="127">
        <f>N275*O275*'1. Standard_Cost'!$E$15</f>
        <v>1200000</v>
      </c>
      <c r="V275" s="174"/>
      <c r="W275" s="174"/>
      <c r="X275" s="174"/>
      <c r="Y275" s="127">
        <f>+V275*((X275*'1. Standard_Cost'!$B$19)+(W275*X275*'1. Standard_Cost'!$C$19))</f>
        <v>0</v>
      </c>
      <c r="Z275" s="174"/>
      <c r="AA275" s="174">
        <v>33</v>
      </c>
      <c r="AB275" s="127">
        <f>+Z275*'1. Standard_Cost'!$B$23+AA275*'1. Standard_Cost'!$C$23</f>
        <v>627000</v>
      </c>
      <c r="AC275" s="176">
        <f>600*300</f>
        <v>180000</v>
      </c>
      <c r="AD275" s="177"/>
      <c r="AE275" s="127">
        <f>SUM(AD275,AC275,AB275,Y275,U275,T275,S275,R275)*'1. Standard_Cost'!$B$31</f>
        <v>821400</v>
      </c>
      <c r="AF275" s="127">
        <f>SUM(AE275,AD275,AC275,AB275,Y275,U275,T275,S275,R275)</f>
        <v>4928400</v>
      </c>
      <c r="AG275" s="174"/>
      <c r="AH275" s="174"/>
      <c r="AI275" s="174"/>
      <c r="AJ275" s="178"/>
      <c r="AK275" s="178"/>
      <c r="AL275" s="178"/>
      <c r="AM275" s="127">
        <f>AG275*'1. Standard_Cost'!$B$27+'Incremental_Cost Year 4'!AH275*'1. Standard_Cost'!$C$27+'Incremental_Cost Year 4'!AI275*'1. Standard_Cost'!$D$27+'Incremental_Cost Year 4'!AJ275+'Incremental_Cost Year 4'!AL275+AK275</f>
        <v>0</v>
      </c>
      <c r="AN275" s="127">
        <f>AM275*'1. Standard_Cost'!$C$31</f>
        <v>0</v>
      </c>
      <c r="AO275" s="178"/>
      <c r="AP275" s="256"/>
      <c r="AQ275" s="171">
        <f>L275+M275</f>
        <v>352900.8</v>
      </c>
      <c r="AR275" s="171">
        <f>AF275</f>
        <v>4928400</v>
      </c>
      <c r="AS275" s="171">
        <f>AM275+AN275</f>
        <v>0</v>
      </c>
      <c r="AT275" s="171">
        <f>SUM(AQ275,AR275,AS275)</f>
        <v>5281300.8</v>
      </c>
      <c r="AU275" s="250">
        <f>AQ275</f>
        <v>352900.8</v>
      </c>
      <c r="AV275" s="250"/>
      <c r="AW275" s="250"/>
      <c r="AX275" s="250"/>
      <c r="AY275" s="250"/>
      <c r="AZ275" s="250"/>
      <c r="BA275" s="250"/>
      <c r="BB275" s="251">
        <f t="shared" si="187"/>
        <v>-4928400</v>
      </c>
      <c r="BC275" s="169"/>
      <c r="BD275" s="169"/>
      <c r="BE275" s="169"/>
      <c r="BF275" s="169"/>
    </row>
    <row r="276" spans="1:58" ht="78.75" x14ac:dyDescent="0.2">
      <c r="A276" s="172"/>
      <c r="B276" s="168"/>
      <c r="C276" s="204"/>
      <c r="D276" s="212" t="s">
        <v>485</v>
      </c>
      <c r="E276" s="212" t="s">
        <v>351</v>
      </c>
      <c r="F276" s="206">
        <v>2022</v>
      </c>
      <c r="G276" s="207">
        <v>2025</v>
      </c>
      <c r="H276" s="182" t="s">
        <v>352</v>
      </c>
      <c r="I276" s="273"/>
      <c r="J276" s="273"/>
      <c r="K276" s="273"/>
      <c r="L276" s="175">
        <f>SUM(L274:L275)</f>
        <v>302400</v>
      </c>
      <c r="M276" s="175">
        <f>SUM(M274:M275)</f>
        <v>50500.800000000003</v>
      </c>
      <c r="N276" s="273"/>
      <c r="O276" s="273"/>
      <c r="P276" s="273"/>
      <c r="Q276" s="273"/>
      <c r="R276" s="175">
        <f>SUM(R274:R275)</f>
        <v>1200000</v>
      </c>
      <c r="S276" s="175">
        <f>SUM(S274:S275)</f>
        <v>900000</v>
      </c>
      <c r="T276" s="175">
        <f>SUM(T274:T275)</f>
        <v>0</v>
      </c>
      <c r="U276" s="175">
        <f>SUM(U274:U275)</f>
        <v>1200000</v>
      </c>
      <c r="V276" s="273"/>
      <c r="W276" s="273"/>
      <c r="X276" s="273"/>
      <c r="Y276" s="175">
        <f>SUM(Y274:Y275)</f>
        <v>0</v>
      </c>
      <c r="Z276" s="175"/>
      <c r="AA276" s="273"/>
      <c r="AB276" s="175">
        <f>SUM(AB274:AB275)</f>
        <v>627000</v>
      </c>
      <c r="AC276" s="175">
        <f>SUM(AC274:AC275)</f>
        <v>180000</v>
      </c>
      <c r="AD276" s="175">
        <f>SUM(AD274:AD275)</f>
        <v>0</v>
      </c>
      <c r="AE276" s="175">
        <f>SUM(AE274:AE275)</f>
        <v>821400</v>
      </c>
      <c r="AF276" s="175">
        <f>SUM(AF274:AF275)</f>
        <v>4928400</v>
      </c>
      <c r="AG276" s="273"/>
      <c r="AH276" s="273"/>
      <c r="AI276" s="273"/>
      <c r="AJ276" s="175">
        <f>SUM(AJ274:AJ275)</f>
        <v>0</v>
      </c>
      <c r="AK276" s="175">
        <f>SUM(AK274:AK275)</f>
        <v>0</v>
      </c>
      <c r="AL276" s="175">
        <f>SUM(AL274:AL275)</f>
        <v>0</v>
      </c>
      <c r="AM276" s="175">
        <f>SUM(AM274:AM275)</f>
        <v>0</v>
      </c>
      <c r="AN276" s="175">
        <f>SUM(AN274:AN275)</f>
        <v>0</v>
      </c>
      <c r="AO276" s="274"/>
      <c r="AP276" s="254"/>
      <c r="AQ276" s="175">
        <f t="shared" ref="AQ276:AT276" si="188">SUM(AQ274:AQ275)</f>
        <v>352900.8</v>
      </c>
      <c r="AR276" s="175">
        <f t="shared" si="188"/>
        <v>4928400</v>
      </c>
      <c r="AS276" s="175">
        <f t="shared" si="188"/>
        <v>0</v>
      </c>
      <c r="AT276" s="175">
        <f t="shared" si="188"/>
        <v>5281300.8</v>
      </c>
      <c r="AU276" s="175">
        <f t="shared" ref="AU276:BB276" si="189">SUM(AU274:AU275)</f>
        <v>352900.8</v>
      </c>
      <c r="AV276" s="175">
        <f t="shared" si="189"/>
        <v>0</v>
      </c>
      <c r="AW276" s="175">
        <f t="shared" si="189"/>
        <v>0</v>
      </c>
      <c r="AX276" s="175">
        <f t="shared" si="189"/>
        <v>0</v>
      </c>
      <c r="AY276" s="175">
        <f t="shared" si="189"/>
        <v>0</v>
      </c>
      <c r="AZ276" s="175">
        <f t="shared" si="189"/>
        <v>0</v>
      </c>
      <c r="BA276" s="175">
        <f t="shared" si="189"/>
        <v>0</v>
      </c>
      <c r="BB276" s="175">
        <f t="shared" si="189"/>
        <v>-4928400</v>
      </c>
      <c r="BC276" s="169"/>
      <c r="BD276" s="169"/>
      <c r="BE276" s="169"/>
      <c r="BF276" s="169"/>
    </row>
    <row r="277" spans="1:58" ht="15.6" customHeight="1" x14ac:dyDescent="0.2">
      <c r="A277" s="179"/>
      <c r="B277" s="290"/>
      <c r="C277" s="391" t="s">
        <v>353</v>
      </c>
      <c r="D277" s="391"/>
      <c r="E277" s="392"/>
      <c r="F277" s="287"/>
      <c r="G277" s="289"/>
      <c r="H277" s="181" t="s">
        <v>354</v>
      </c>
      <c r="I277" s="271"/>
      <c r="J277" s="271"/>
      <c r="K277" s="271"/>
      <c r="L277" s="261">
        <f>L283</f>
        <v>7660800</v>
      </c>
      <c r="M277" s="261">
        <f>M283</f>
        <v>1279353.6000000001</v>
      </c>
      <c r="N277" s="271"/>
      <c r="O277" s="271"/>
      <c r="P277" s="271"/>
      <c r="Q277" s="271"/>
      <c r="R277" s="261">
        <f>R283</f>
        <v>0</v>
      </c>
      <c r="S277" s="261">
        <f>S283</f>
        <v>0</v>
      </c>
      <c r="T277" s="261">
        <f>T283</f>
        <v>0</v>
      </c>
      <c r="U277" s="261">
        <f>U283</f>
        <v>0</v>
      </c>
      <c r="V277" s="271"/>
      <c r="W277" s="271"/>
      <c r="X277" s="271"/>
      <c r="Y277" s="261">
        <f>Y283</f>
        <v>0</v>
      </c>
      <c r="Z277" s="261"/>
      <c r="AA277" s="261"/>
      <c r="AB277" s="261">
        <f>AB283</f>
        <v>0</v>
      </c>
      <c r="AC277" s="261">
        <f>AC283</f>
        <v>0</v>
      </c>
      <c r="AD277" s="261">
        <f>AD283</f>
        <v>0</v>
      </c>
      <c r="AE277" s="261">
        <f>AE283</f>
        <v>0</v>
      </c>
      <c r="AF277" s="261">
        <f>AF283</f>
        <v>0</v>
      </c>
      <c r="AG277" s="271"/>
      <c r="AH277" s="271"/>
      <c r="AI277" s="271"/>
      <c r="AJ277" s="261">
        <f>AJ283</f>
        <v>0</v>
      </c>
      <c r="AK277" s="261">
        <f>AK283</f>
        <v>0</v>
      </c>
      <c r="AL277" s="261">
        <f>AL283</f>
        <v>0</v>
      </c>
      <c r="AM277" s="261">
        <f>AM283</f>
        <v>0</v>
      </c>
      <c r="AN277" s="261">
        <f>AN283</f>
        <v>0</v>
      </c>
      <c r="AO277" s="272"/>
      <c r="AP277" s="260"/>
      <c r="AQ277" s="261">
        <f t="shared" ref="AQ277:BB277" si="190">AQ283</f>
        <v>8940153.5999999996</v>
      </c>
      <c r="AR277" s="261">
        <f t="shared" si="190"/>
        <v>0</v>
      </c>
      <c r="AS277" s="261">
        <f t="shared" si="190"/>
        <v>0</v>
      </c>
      <c r="AT277" s="261">
        <f t="shared" si="190"/>
        <v>8940153.5999999996</v>
      </c>
      <c r="AU277" s="261">
        <f t="shared" si="190"/>
        <v>8940153.5999999996</v>
      </c>
      <c r="AV277" s="261">
        <f t="shared" si="190"/>
        <v>0</v>
      </c>
      <c r="AW277" s="261">
        <f t="shared" si="190"/>
        <v>0</v>
      </c>
      <c r="AX277" s="261">
        <f t="shared" si="190"/>
        <v>0</v>
      </c>
      <c r="AY277" s="261">
        <f t="shared" si="190"/>
        <v>0</v>
      </c>
      <c r="AZ277" s="261">
        <f t="shared" si="190"/>
        <v>0</v>
      </c>
      <c r="BA277" s="261">
        <f t="shared" si="190"/>
        <v>0</v>
      </c>
      <c r="BB277" s="261">
        <f t="shared" si="190"/>
        <v>0</v>
      </c>
      <c r="BC277" s="184"/>
      <c r="BD277" s="184"/>
      <c r="BE277" s="184"/>
      <c r="BF277" s="184"/>
    </row>
    <row r="278" spans="1:58" ht="47.25" x14ac:dyDescent="0.25">
      <c r="A278" s="172"/>
      <c r="B278" s="200"/>
      <c r="C278" s="201"/>
      <c r="D278" s="202"/>
      <c r="E278" s="354"/>
      <c r="F278" s="355"/>
      <c r="G278" s="356"/>
      <c r="H278" s="213" t="s">
        <v>363</v>
      </c>
      <c r="I278" s="178"/>
      <c r="J278" s="174"/>
      <c r="K278" s="174"/>
      <c r="L278" s="125" t="str">
        <f>IF(I278&lt;&gt;0,((VLOOKUP(I278,'1. Standard_Cost'!$B$4:$D$11,2)+VLOOKUP(I278,'1. Standard_Cost'!$B$4:$D$11,3))*J278*K278),"0")</f>
        <v>0</v>
      </c>
      <c r="M278" s="125">
        <f>L278*'1. Standard_Cost'!$F$4</f>
        <v>0</v>
      </c>
      <c r="N278" s="174"/>
      <c r="O278" s="174"/>
      <c r="P278" s="174"/>
      <c r="Q278" s="174"/>
      <c r="R278" s="127">
        <f>'1. Standard_Cost'!$B$15*N278*P278</f>
        <v>0</v>
      </c>
      <c r="S278" s="127">
        <f>N278*O278*P278*'1. Standard_Cost'!$C$15</f>
        <v>0</v>
      </c>
      <c r="T278" s="127">
        <f>N278*P278*Q278*'1. Standard_Cost'!$D$15</f>
        <v>0</v>
      </c>
      <c r="U278" s="127">
        <f>N278*O278*'1. Standard_Cost'!$E$15</f>
        <v>0</v>
      </c>
      <c r="V278" s="174"/>
      <c r="W278" s="174"/>
      <c r="X278" s="174"/>
      <c r="Y278" s="127">
        <f>+V278*((X278*'1. Standard_Cost'!$B$19)+(W278*X278*'1. Standard_Cost'!$C$19))</f>
        <v>0</v>
      </c>
      <c r="Z278" s="174"/>
      <c r="AA278" s="174"/>
      <c r="AB278" s="127">
        <f>+Z278*'1. Standard_Cost'!$B$23+AA278*'1. Standard_Cost'!$C$23</f>
        <v>0</v>
      </c>
      <c r="AC278" s="176"/>
      <c r="AD278" s="177"/>
      <c r="AE278" s="127">
        <f>SUM(AD278,AC278,AB278,Y278,U278,T278,S278,R278)*'1. Standard_Cost'!$B$31</f>
        <v>0</v>
      </c>
      <c r="AF278" s="127">
        <f>SUM(AE278,AD278,AC278,AB278,Y278,U278,T278,S278,R278)</f>
        <v>0</v>
      </c>
      <c r="AG278" s="174"/>
      <c r="AH278" s="174"/>
      <c r="AI278" s="174"/>
      <c r="AJ278" s="178"/>
      <c r="AK278" s="178"/>
      <c r="AL278" s="178"/>
      <c r="AM278" s="127">
        <f>AG278*'1. Standard_Cost'!$B$27+'Incremental_Cost Year 4'!AH278*'1. Standard_Cost'!$C$27+'Incremental_Cost Year 4'!AI278*'1. Standard_Cost'!$D$27+'Incremental_Cost Year 4'!AJ278+'Incremental_Cost Year 4'!AL278+AK278</f>
        <v>0</v>
      </c>
      <c r="AN278" s="127">
        <f>AM278*'1. Standard_Cost'!$C$31</f>
        <v>0</v>
      </c>
      <c r="AO278" s="178"/>
      <c r="AP278" s="256"/>
      <c r="AQ278" s="171">
        <f>L278+M278</f>
        <v>0</v>
      </c>
      <c r="AR278" s="171">
        <f>AF278</f>
        <v>0</v>
      </c>
      <c r="AS278" s="171">
        <f>AM278+AN278</f>
        <v>0</v>
      </c>
      <c r="AT278" s="171">
        <f>SUM(AQ278,AR278,AS278)</f>
        <v>0</v>
      </c>
      <c r="AU278" s="250">
        <f>AT278</f>
        <v>0</v>
      </c>
      <c r="AV278" s="250"/>
      <c r="AW278" s="250"/>
      <c r="AX278" s="250"/>
      <c r="AY278" s="250"/>
      <c r="AZ278" s="250"/>
      <c r="BA278" s="250"/>
      <c r="BB278" s="251">
        <f t="shared" ref="BB278:BB282" si="191">SUM(AU278:BA278)-AT278</f>
        <v>0</v>
      </c>
      <c r="BC278" s="169"/>
      <c r="BD278" s="169"/>
      <c r="BE278" s="169"/>
      <c r="BF278" s="169"/>
    </row>
    <row r="279" spans="1:58" ht="47.25" x14ac:dyDescent="0.25">
      <c r="A279" s="172"/>
      <c r="B279" s="200"/>
      <c r="C279" s="201"/>
      <c r="D279" s="202"/>
      <c r="E279" s="357"/>
      <c r="F279" s="358"/>
      <c r="G279" s="359"/>
      <c r="H279" s="213" t="s">
        <v>364</v>
      </c>
      <c r="I279" s="178"/>
      <c r="J279" s="174"/>
      <c r="K279" s="174"/>
      <c r="L279" s="125" t="str">
        <f>IF(I279&lt;&gt;0,((VLOOKUP(I279,'1. Standard_Cost'!$B$4:$D$11,2)+VLOOKUP(I279,'1. Standard_Cost'!$B$4:$D$11,3))*J279*K279),"0")</f>
        <v>0</v>
      </c>
      <c r="M279" s="125">
        <f>L279*'1. Standard_Cost'!$F$4</f>
        <v>0</v>
      </c>
      <c r="N279" s="174"/>
      <c r="O279" s="174"/>
      <c r="P279" s="174"/>
      <c r="Q279" s="174"/>
      <c r="R279" s="127">
        <f>'1. Standard_Cost'!$B$15*N279*P279</f>
        <v>0</v>
      </c>
      <c r="S279" s="127">
        <f>N279*O279*P279*'1. Standard_Cost'!$C$15</f>
        <v>0</v>
      </c>
      <c r="T279" s="127">
        <f>N279*P279*Q279*'1. Standard_Cost'!$D$15</f>
        <v>0</v>
      </c>
      <c r="U279" s="127">
        <f>N279*O279*'1. Standard_Cost'!$E$15</f>
        <v>0</v>
      </c>
      <c r="V279" s="174"/>
      <c r="W279" s="174"/>
      <c r="X279" s="174"/>
      <c r="Y279" s="127">
        <f>+V279*((X279*'1. Standard_Cost'!$B$19)+(W279*X279*'1. Standard_Cost'!$C$19))</f>
        <v>0</v>
      </c>
      <c r="Z279" s="174"/>
      <c r="AA279" s="174"/>
      <c r="AB279" s="127">
        <f>+Z279*'1. Standard_Cost'!$B$23+AA279*'1. Standard_Cost'!$C$23</f>
        <v>0</v>
      </c>
      <c r="AC279" s="176"/>
      <c r="AD279" s="177"/>
      <c r="AE279" s="127">
        <f>SUM(AD279,AC279,AB279,Y279,U279,T279,S279,R279)*'1. Standard_Cost'!$B$31</f>
        <v>0</v>
      </c>
      <c r="AF279" s="127">
        <f>SUM(AE279,AD279,AC279,AB279,Y279,U279,T279,S279,R279)</f>
        <v>0</v>
      </c>
      <c r="AG279" s="174"/>
      <c r="AH279" s="174"/>
      <c r="AI279" s="174"/>
      <c r="AJ279" s="178"/>
      <c r="AK279" s="178"/>
      <c r="AL279" s="178"/>
      <c r="AM279" s="127">
        <f>AG279*'1. Standard_Cost'!$B$27+'Incremental_Cost Year 4'!AH279*'1. Standard_Cost'!$C$27+'Incremental_Cost Year 4'!AI279*'1. Standard_Cost'!$D$27+'Incremental_Cost Year 4'!AJ279+'Incremental_Cost Year 4'!AL279+AK279</f>
        <v>0</v>
      </c>
      <c r="AN279" s="127">
        <f>AM279*'1. Standard_Cost'!$C$31</f>
        <v>0</v>
      </c>
      <c r="AO279" s="178"/>
      <c r="AP279" s="256"/>
      <c r="AQ279" s="171">
        <f>L279+M279</f>
        <v>0</v>
      </c>
      <c r="AR279" s="171">
        <f>AF279</f>
        <v>0</v>
      </c>
      <c r="AS279" s="171">
        <f>AM279+AN279</f>
        <v>0</v>
      </c>
      <c r="AT279" s="171">
        <f>SUM(AQ279,AR279,AS279)</f>
        <v>0</v>
      </c>
      <c r="AU279" s="250">
        <f>AT279</f>
        <v>0</v>
      </c>
      <c r="AV279" s="250"/>
      <c r="AW279" s="250"/>
      <c r="AX279" s="250"/>
      <c r="AY279" s="250"/>
      <c r="AZ279" s="250"/>
      <c r="BA279" s="250"/>
      <c r="BB279" s="251">
        <f t="shared" si="191"/>
        <v>0</v>
      </c>
      <c r="BC279" s="169"/>
      <c r="BD279" s="169"/>
      <c r="BE279" s="169"/>
      <c r="BF279" s="169"/>
    </row>
    <row r="280" spans="1:58" ht="31.5" x14ac:dyDescent="0.25">
      <c r="A280" s="172"/>
      <c r="B280" s="200"/>
      <c r="C280" s="201"/>
      <c r="D280" s="202"/>
      <c r="E280" s="357"/>
      <c r="F280" s="358"/>
      <c r="G280" s="359"/>
      <c r="H280" s="213" t="s">
        <v>365</v>
      </c>
      <c r="I280" s="178" t="s">
        <v>3</v>
      </c>
      <c r="J280" s="174">
        <v>2</v>
      </c>
      <c r="K280" s="174">
        <v>20</v>
      </c>
      <c r="L280" s="125">
        <f>IF(I280&lt;&gt;0,((VLOOKUP(I280,'1. Standard_Cost'!$B$4:$D$11,2)+VLOOKUP(I280,'1. Standard_Cost'!$B$4:$D$11,3))*J280*K280),"0")</f>
        <v>4032000</v>
      </c>
      <c r="M280" s="125">
        <f>L280*'1. Standard_Cost'!$F$4</f>
        <v>673344</v>
      </c>
      <c r="N280" s="174"/>
      <c r="O280" s="174"/>
      <c r="P280" s="174"/>
      <c r="Q280" s="174"/>
      <c r="R280" s="127">
        <f>'1. Standard_Cost'!$B$15*N280*P280</f>
        <v>0</v>
      </c>
      <c r="S280" s="127">
        <f>N280*O280*P280*'1. Standard_Cost'!$C$15</f>
        <v>0</v>
      </c>
      <c r="T280" s="127">
        <f>N280*P280*Q280*'1. Standard_Cost'!$D$15</f>
        <v>0</v>
      </c>
      <c r="U280" s="127">
        <f>N280*O280*'1. Standard_Cost'!$E$15</f>
        <v>0</v>
      </c>
      <c r="V280" s="174"/>
      <c r="W280" s="174"/>
      <c r="X280" s="174"/>
      <c r="Y280" s="127">
        <f>+V280*((X280*'1. Standard_Cost'!$B$19)+(W280*X280*'1. Standard_Cost'!$C$19))</f>
        <v>0</v>
      </c>
      <c r="Z280" s="174"/>
      <c r="AA280" s="174"/>
      <c r="AB280" s="127">
        <f>+Z280*'1. Standard_Cost'!$B$23+AA280*'1. Standard_Cost'!$C$23</f>
        <v>0</v>
      </c>
      <c r="AC280" s="176"/>
      <c r="AD280" s="177"/>
      <c r="AE280" s="127">
        <f>SUM(AD280,AC280,AB280,Y280,U280,T280,S280,R280)*'1. Standard_Cost'!$B$31</f>
        <v>0</v>
      </c>
      <c r="AF280" s="127">
        <f>SUM(AE280,AD280,AC280,AB280,Y280,U280,T280,S280,R280)</f>
        <v>0</v>
      </c>
      <c r="AG280" s="174"/>
      <c r="AH280" s="174"/>
      <c r="AI280" s="174"/>
      <c r="AJ280" s="178"/>
      <c r="AK280" s="178"/>
      <c r="AL280" s="178"/>
      <c r="AM280" s="127">
        <f>AG280*'1. Standard_Cost'!$B$27+'Incremental_Cost Year 4'!AH280*'1. Standard_Cost'!$C$27+'Incremental_Cost Year 4'!AI280*'1. Standard_Cost'!$D$27+'Incremental_Cost Year 4'!AJ280+'Incremental_Cost Year 4'!AL280+AK280</f>
        <v>0</v>
      </c>
      <c r="AN280" s="127">
        <f>AM280*'1. Standard_Cost'!$C$31</f>
        <v>0</v>
      </c>
      <c r="AO280" s="178"/>
      <c r="AP280" s="256"/>
      <c r="AQ280" s="171">
        <f>L280+M280</f>
        <v>4705344</v>
      </c>
      <c r="AR280" s="171">
        <f>AF280</f>
        <v>0</v>
      </c>
      <c r="AS280" s="171">
        <f>AM280+AN280</f>
        <v>0</v>
      </c>
      <c r="AT280" s="171">
        <f>SUM(AQ280,AR280,AS280)</f>
        <v>4705344</v>
      </c>
      <c r="AU280" s="250">
        <f>AT280</f>
        <v>4705344</v>
      </c>
      <c r="AV280" s="250"/>
      <c r="AW280" s="250"/>
      <c r="AX280" s="250"/>
      <c r="AY280" s="250"/>
      <c r="AZ280" s="250"/>
      <c r="BA280" s="250"/>
      <c r="BB280" s="251">
        <f t="shared" si="191"/>
        <v>0</v>
      </c>
      <c r="BC280" s="169"/>
      <c r="BD280" s="169"/>
      <c r="BE280" s="169"/>
      <c r="BF280" s="169"/>
    </row>
    <row r="281" spans="1:58" ht="15.75" x14ac:dyDescent="0.25">
      <c r="A281" s="172"/>
      <c r="B281" s="200"/>
      <c r="C281" s="201"/>
      <c r="D281" s="202"/>
      <c r="E281" s="357"/>
      <c r="F281" s="358"/>
      <c r="G281" s="359"/>
      <c r="H281" s="369"/>
      <c r="I281" s="178"/>
      <c r="J281" s="174"/>
      <c r="K281" s="174"/>
      <c r="L281" s="125" t="str">
        <f>IF(I281&lt;&gt;0,((VLOOKUP(I281,'1. Standard_Cost'!$B$4:$D$11,2)+VLOOKUP(I281,'1. Standard_Cost'!$B$4:$D$11,3))*J281*K281),"0")</f>
        <v>0</v>
      </c>
      <c r="M281" s="125">
        <f>L281*'1. Standard_Cost'!$F$4</f>
        <v>0</v>
      </c>
      <c r="N281" s="174"/>
      <c r="O281" s="174"/>
      <c r="P281" s="174"/>
      <c r="Q281" s="174"/>
      <c r="R281" s="127">
        <f>'1. Standard_Cost'!$B$15*N281*P281</f>
        <v>0</v>
      </c>
      <c r="S281" s="127">
        <f>N281*O281*P281*'1. Standard_Cost'!$C$15</f>
        <v>0</v>
      </c>
      <c r="T281" s="127">
        <f>N281*P281*Q281*'1. Standard_Cost'!$D$15</f>
        <v>0</v>
      </c>
      <c r="U281" s="127">
        <f>N281*O281*'1. Standard_Cost'!$E$15</f>
        <v>0</v>
      </c>
      <c r="V281" s="174"/>
      <c r="W281" s="174"/>
      <c r="X281" s="174"/>
      <c r="Y281" s="127">
        <f>+V281*((X281*'1. Standard_Cost'!$B$19)+(W281*X281*'1. Standard_Cost'!$C$19))</f>
        <v>0</v>
      </c>
      <c r="Z281" s="174"/>
      <c r="AA281" s="174"/>
      <c r="AB281" s="127">
        <f>+Z281*'1. Standard_Cost'!$B$23+AA281*'1. Standard_Cost'!$C$23</f>
        <v>0</v>
      </c>
      <c r="AC281" s="176"/>
      <c r="AD281" s="177"/>
      <c r="AE281" s="127">
        <f>SUM(AD281,AC281,AB281,Y281,U281,T281,S281,R281)*'1. Standard_Cost'!$B$31</f>
        <v>0</v>
      </c>
      <c r="AF281" s="127">
        <f>SUM(AE281,AD281,AC281,AB281,Y281,U281,T281,S281,R281)</f>
        <v>0</v>
      </c>
      <c r="AG281" s="174"/>
      <c r="AH281" s="174"/>
      <c r="AI281" s="174"/>
      <c r="AJ281" s="178"/>
      <c r="AK281" s="178"/>
      <c r="AL281" s="178"/>
      <c r="AM281" s="127">
        <f>AG281*'1. Standard_Cost'!$B$27+'Incremental_Cost Year 4'!AH281*'1. Standard_Cost'!$C$27+'Incremental_Cost Year 4'!AI281*'1. Standard_Cost'!$D$27+'Incremental_Cost Year 4'!AJ281+'Incremental_Cost Year 4'!AL281+AK281</f>
        <v>0</v>
      </c>
      <c r="AN281" s="127">
        <f>AM281*'1. Standard_Cost'!$C$31</f>
        <v>0</v>
      </c>
      <c r="AO281" s="178"/>
      <c r="AP281" s="256"/>
      <c r="AQ281" s="171">
        <f>L281+M281</f>
        <v>0</v>
      </c>
      <c r="AR281" s="171">
        <f>AF281</f>
        <v>0</v>
      </c>
      <c r="AS281" s="171">
        <f>AM281+AN281</f>
        <v>0</v>
      </c>
      <c r="AT281" s="171">
        <f>SUM(AQ281,AR281,AS281)</f>
        <v>0</v>
      </c>
      <c r="AU281" s="250"/>
      <c r="AV281" s="250"/>
      <c r="AW281" s="250"/>
      <c r="AX281" s="250"/>
      <c r="AY281" s="250"/>
      <c r="AZ281" s="250"/>
      <c r="BA281" s="250"/>
      <c r="BB281" s="251">
        <f t="shared" si="191"/>
        <v>0</v>
      </c>
      <c r="BC281" s="169"/>
      <c r="BD281" s="169"/>
      <c r="BE281" s="169"/>
      <c r="BF281" s="169"/>
    </row>
    <row r="282" spans="1:58" ht="31.5" x14ac:dyDescent="0.25">
      <c r="A282" s="172"/>
      <c r="B282" s="200"/>
      <c r="C282" s="201"/>
      <c r="D282" s="202"/>
      <c r="E282" s="360"/>
      <c r="F282" s="361"/>
      <c r="G282" s="362"/>
      <c r="H282" s="213" t="s">
        <v>366</v>
      </c>
      <c r="I282" s="178" t="s">
        <v>3</v>
      </c>
      <c r="J282" s="174">
        <v>12</v>
      </c>
      <c r="K282" s="174">
        <v>3</v>
      </c>
      <c r="L282" s="125">
        <f>IF(I282&lt;&gt;0,((VLOOKUP(I282,'1. Standard_Cost'!$B$4:$D$11,2)+VLOOKUP(I282,'1. Standard_Cost'!$B$4:$D$11,3))*J282*K282),"0")</f>
        <v>3628800</v>
      </c>
      <c r="M282" s="125">
        <f>L282*'1. Standard_Cost'!$F$4</f>
        <v>606009.59999999998</v>
      </c>
      <c r="N282" s="174"/>
      <c r="O282" s="174"/>
      <c r="P282" s="174"/>
      <c r="Q282" s="174"/>
      <c r="R282" s="127">
        <f>'1. Standard_Cost'!$B$15*N282*P282</f>
        <v>0</v>
      </c>
      <c r="S282" s="127">
        <f>N282*O282*P282*'1. Standard_Cost'!$C$15</f>
        <v>0</v>
      </c>
      <c r="T282" s="127">
        <f>N282*P282*Q282*'1. Standard_Cost'!$D$15</f>
        <v>0</v>
      </c>
      <c r="U282" s="127">
        <f>N282*O282*'1. Standard_Cost'!$E$15</f>
        <v>0</v>
      </c>
      <c r="V282" s="174"/>
      <c r="W282" s="174"/>
      <c r="X282" s="174"/>
      <c r="Y282" s="127">
        <f>+V282*((X282*'1. Standard_Cost'!$B$19)+(W282*X282*'1. Standard_Cost'!$C$19))</f>
        <v>0</v>
      </c>
      <c r="Z282" s="174"/>
      <c r="AA282" s="174"/>
      <c r="AB282" s="127">
        <f>+Z282*'1. Standard_Cost'!$B$23+AA282*'1. Standard_Cost'!$C$23</f>
        <v>0</v>
      </c>
      <c r="AC282" s="176"/>
      <c r="AD282" s="177"/>
      <c r="AE282" s="127">
        <f>SUM(AD282,AC282,AB282,Y282,U282,T282,S282,R282)*'1. Standard_Cost'!$B$31</f>
        <v>0</v>
      </c>
      <c r="AF282" s="127">
        <f>SUM(AE282,AD282,AC282,AB282,Y282,U282,T282,S282,R282)</f>
        <v>0</v>
      </c>
      <c r="AG282" s="174"/>
      <c r="AH282" s="174"/>
      <c r="AI282" s="174"/>
      <c r="AJ282" s="178"/>
      <c r="AK282" s="178"/>
      <c r="AL282" s="178"/>
      <c r="AM282" s="127">
        <f>AG282*'1. Standard_Cost'!$B$27+'Incremental_Cost Year 4'!AH282*'1. Standard_Cost'!$C$27+'Incremental_Cost Year 4'!AI282*'1. Standard_Cost'!$D$27+'Incremental_Cost Year 4'!AJ282+'Incremental_Cost Year 4'!AL282+AK282</f>
        <v>0</v>
      </c>
      <c r="AN282" s="127">
        <f>AM282*'1. Standard_Cost'!$C$31</f>
        <v>0</v>
      </c>
      <c r="AO282" s="178"/>
      <c r="AP282" s="256"/>
      <c r="AQ282" s="171">
        <f>L282+M282</f>
        <v>4234809.5999999996</v>
      </c>
      <c r="AR282" s="171">
        <f>AF282</f>
        <v>0</v>
      </c>
      <c r="AS282" s="171">
        <f>AM282+AN282</f>
        <v>0</v>
      </c>
      <c r="AT282" s="171">
        <f>SUM(AQ282,AR282,AS282)</f>
        <v>4234809.5999999996</v>
      </c>
      <c r="AU282" s="250">
        <f>AT282</f>
        <v>4234809.5999999996</v>
      </c>
      <c r="AV282" s="250"/>
      <c r="AW282" s="250"/>
      <c r="AX282" s="250"/>
      <c r="AY282" s="250"/>
      <c r="AZ282" s="250"/>
      <c r="BA282" s="250"/>
      <c r="BB282" s="251">
        <f t="shared" si="191"/>
        <v>0</v>
      </c>
      <c r="BC282" s="169"/>
      <c r="BD282" s="169"/>
      <c r="BE282" s="169"/>
      <c r="BF282" s="169"/>
    </row>
    <row r="283" spans="1:58" ht="31.5" x14ac:dyDescent="0.2">
      <c r="A283" s="172"/>
      <c r="B283" s="168"/>
      <c r="C283" s="204"/>
      <c r="D283" s="212" t="s">
        <v>559</v>
      </c>
      <c r="E283" s="212" t="s">
        <v>355</v>
      </c>
      <c r="F283" s="212">
        <v>2021</v>
      </c>
      <c r="G283" s="212">
        <v>2030</v>
      </c>
      <c r="H283" s="182" t="s">
        <v>356</v>
      </c>
      <c r="I283" s="273"/>
      <c r="J283" s="273"/>
      <c r="K283" s="273"/>
      <c r="L283" s="175">
        <f>SUM(L278:L282)</f>
        <v>7660800</v>
      </c>
      <c r="M283" s="175">
        <f>SUM(M278:M282)</f>
        <v>1279353.6000000001</v>
      </c>
      <c r="N283" s="273"/>
      <c r="O283" s="273"/>
      <c r="P283" s="273"/>
      <c r="Q283" s="273"/>
      <c r="R283" s="175">
        <f>SUM(R278:R282)</f>
        <v>0</v>
      </c>
      <c r="S283" s="175">
        <f>SUM(S278:S282)</f>
        <v>0</v>
      </c>
      <c r="T283" s="175">
        <f>SUM(T278:T282)</f>
        <v>0</v>
      </c>
      <c r="U283" s="175">
        <f>SUM(U278:U282)</f>
        <v>0</v>
      </c>
      <c r="V283" s="273"/>
      <c r="W283" s="273"/>
      <c r="X283" s="273"/>
      <c r="Y283" s="175">
        <f>SUM(Y278:Y282)</f>
        <v>0</v>
      </c>
      <c r="Z283" s="175"/>
      <c r="AA283" s="273"/>
      <c r="AB283" s="175">
        <f>SUM(AB278:AB282)</f>
        <v>0</v>
      </c>
      <c r="AC283" s="175">
        <f>SUM(AC278:AC282)</f>
        <v>0</v>
      </c>
      <c r="AD283" s="175">
        <f>SUM(AD278:AD282)</f>
        <v>0</v>
      </c>
      <c r="AE283" s="175">
        <f>SUM(AE278:AE282)</f>
        <v>0</v>
      </c>
      <c r="AF283" s="175">
        <f>SUM(AF278:AF282)</f>
        <v>0</v>
      </c>
      <c r="AG283" s="273"/>
      <c r="AH283" s="273"/>
      <c r="AI283" s="273"/>
      <c r="AJ283" s="175">
        <f>SUM(AJ278:AJ282)</f>
        <v>0</v>
      </c>
      <c r="AK283" s="175">
        <f>SUM(AK278:AK282)</f>
        <v>0</v>
      </c>
      <c r="AL283" s="175">
        <f>SUM(AL278:AL282)</f>
        <v>0</v>
      </c>
      <c r="AM283" s="175">
        <f>SUM(AM278:AM282)</f>
        <v>0</v>
      </c>
      <c r="AN283" s="175">
        <f>SUM(AN278:AN282)</f>
        <v>0</v>
      </c>
      <c r="AO283" s="274"/>
      <c r="AP283" s="254"/>
      <c r="AQ283" s="175">
        <f t="shared" ref="AQ283:AT283" si="192">SUM(AQ278:AQ282)</f>
        <v>8940153.5999999996</v>
      </c>
      <c r="AR283" s="175">
        <f t="shared" si="192"/>
        <v>0</v>
      </c>
      <c r="AS283" s="175">
        <f t="shared" si="192"/>
        <v>0</v>
      </c>
      <c r="AT283" s="175">
        <f t="shared" si="192"/>
        <v>8940153.5999999996</v>
      </c>
      <c r="AU283" s="175">
        <f t="shared" ref="AU283:BB283" si="193">SUM(AU278:AU282)</f>
        <v>8940153.5999999996</v>
      </c>
      <c r="AV283" s="175">
        <f t="shared" si="193"/>
        <v>0</v>
      </c>
      <c r="AW283" s="175">
        <f t="shared" si="193"/>
        <v>0</v>
      </c>
      <c r="AX283" s="175">
        <f t="shared" si="193"/>
        <v>0</v>
      </c>
      <c r="AY283" s="175">
        <f t="shared" si="193"/>
        <v>0</v>
      </c>
      <c r="AZ283" s="175">
        <f t="shared" si="193"/>
        <v>0</v>
      </c>
      <c r="BA283" s="175">
        <f t="shared" si="193"/>
        <v>0</v>
      </c>
      <c r="BB283" s="175">
        <f t="shared" si="193"/>
        <v>0</v>
      </c>
      <c r="BC283" s="169"/>
      <c r="BD283" s="169"/>
      <c r="BE283" s="169"/>
      <c r="BF283" s="169"/>
    </row>
    <row r="284" spans="1:58" ht="15.6" customHeight="1" x14ac:dyDescent="0.2">
      <c r="A284" s="179"/>
      <c r="B284" s="290"/>
      <c r="C284" s="391" t="s">
        <v>357</v>
      </c>
      <c r="D284" s="391"/>
      <c r="E284" s="392"/>
      <c r="F284" s="287"/>
      <c r="G284" s="289"/>
      <c r="H284" s="181" t="s">
        <v>358</v>
      </c>
      <c r="I284" s="271"/>
      <c r="J284" s="271"/>
      <c r="K284" s="271"/>
      <c r="L284" s="261">
        <f>L289</f>
        <v>0</v>
      </c>
      <c r="M284" s="261">
        <f>M289</f>
        <v>0</v>
      </c>
      <c r="N284" s="271"/>
      <c r="O284" s="271"/>
      <c r="P284" s="271"/>
      <c r="Q284" s="271"/>
      <c r="R284" s="261">
        <f>R289</f>
        <v>0</v>
      </c>
      <c r="S284" s="261">
        <f>S289</f>
        <v>0</v>
      </c>
      <c r="T284" s="261">
        <f>T289</f>
        <v>0</v>
      </c>
      <c r="U284" s="261">
        <f>U289</f>
        <v>0</v>
      </c>
      <c r="V284" s="271"/>
      <c r="W284" s="271"/>
      <c r="X284" s="271"/>
      <c r="Y284" s="261">
        <f>Y289</f>
        <v>0</v>
      </c>
      <c r="Z284" s="261"/>
      <c r="AA284" s="261"/>
      <c r="AB284" s="261">
        <f>AB289</f>
        <v>0</v>
      </c>
      <c r="AC284" s="261">
        <f>AC289</f>
        <v>0</v>
      </c>
      <c r="AD284" s="261">
        <f>AD289</f>
        <v>0</v>
      </c>
      <c r="AE284" s="261">
        <f>AE289</f>
        <v>0</v>
      </c>
      <c r="AF284" s="261">
        <f>AF289</f>
        <v>0</v>
      </c>
      <c r="AG284" s="271"/>
      <c r="AH284" s="271"/>
      <c r="AI284" s="271"/>
      <c r="AJ284" s="261">
        <f>AJ289</f>
        <v>0</v>
      </c>
      <c r="AK284" s="261">
        <f>AK289</f>
        <v>0</v>
      </c>
      <c r="AL284" s="261">
        <f>AL289</f>
        <v>0</v>
      </c>
      <c r="AM284" s="261">
        <f>AM289</f>
        <v>0</v>
      </c>
      <c r="AN284" s="261">
        <f>AN289</f>
        <v>0</v>
      </c>
      <c r="AO284" s="272"/>
      <c r="AP284" s="260"/>
      <c r="AQ284" s="261">
        <f t="shared" ref="AQ284:BB284" si="194">AQ289</f>
        <v>0</v>
      </c>
      <c r="AR284" s="261">
        <f t="shared" si="194"/>
        <v>0</v>
      </c>
      <c r="AS284" s="261">
        <f t="shared" si="194"/>
        <v>0</v>
      </c>
      <c r="AT284" s="261">
        <f t="shared" si="194"/>
        <v>0</v>
      </c>
      <c r="AU284" s="261">
        <f t="shared" si="194"/>
        <v>0</v>
      </c>
      <c r="AV284" s="261">
        <f t="shared" si="194"/>
        <v>0</v>
      </c>
      <c r="AW284" s="261">
        <f t="shared" si="194"/>
        <v>0</v>
      </c>
      <c r="AX284" s="261">
        <f t="shared" si="194"/>
        <v>0</v>
      </c>
      <c r="AY284" s="261">
        <f t="shared" si="194"/>
        <v>0</v>
      </c>
      <c r="AZ284" s="261">
        <f t="shared" si="194"/>
        <v>0</v>
      </c>
      <c r="BA284" s="261">
        <f t="shared" si="194"/>
        <v>0</v>
      </c>
      <c r="BB284" s="261">
        <f t="shared" si="194"/>
        <v>0</v>
      </c>
      <c r="BC284" s="184"/>
      <c r="BD284" s="184"/>
      <c r="BE284" s="184"/>
      <c r="BF284" s="184"/>
    </row>
    <row r="285" spans="1:58" ht="157.5" x14ac:dyDescent="0.25">
      <c r="A285" s="172"/>
      <c r="B285" s="354"/>
      <c r="C285" s="356"/>
      <c r="D285" s="342"/>
      <c r="E285" s="328"/>
      <c r="F285" s="328"/>
      <c r="G285" s="328"/>
      <c r="H285" s="213" t="s">
        <v>550</v>
      </c>
      <c r="I285" s="178"/>
      <c r="J285" s="174"/>
      <c r="K285" s="174"/>
      <c r="L285" s="125" t="str">
        <f>IF(I285&lt;&gt;0,((VLOOKUP(I285,'1. Standard_Cost'!$B$4:$D$11,2)+VLOOKUP(I285,'1. Standard_Cost'!$B$4:$D$11,3))*J285*K285),"0")</f>
        <v>0</v>
      </c>
      <c r="M285" s="125">
        <f>L285*'1. Standard_Cost'!$F$4</f>
        <v>0</v>
      </c>
      <c r="N285" s="174"/>
      <c r="O285" s="174"/>
      <c r="P285" s="174"/>
      <c r="Q285" s="174"/>
      <c r="R285" s="127">
        <f>'1. Standard_Cost'!$B$15*N285*P285</f>
        <v>0</v>
      </c>
      <c r="S285" s="127">
        <f>N285*O285*P285*'1. Standard_Cost'!$C$15</f>
        <v>0</v>
      </c>
      <c r="T285" s="127">
        <f>N285*P285*Q285*'1. Standard_Cost'!$D$15</f>
        <v>0</v>
      </c>
      <c r="U285" s="127">
        <f>N285*O285*'1. Standard_Cost'!$E$15</f>
        <v>0</v>
      </c>
      <c r="V285" s="174"/>
      <c r="W285" s="174"/>
      <c r="X285" s="174"/>
      <c r="Y285" s="127">
        <f>+V285*((X285*'1. Standard_Cost'!$B$19)+(W285*X285*'1. Standard_Cost'!$C$19))</f>
        <v>0</v>
      </c>
      <c r="Z285" s="174"/>
      <c r="AA285" s="174"/>
      <c r="AB285" s="127">
        <f>+Z285*'1. Standard_Cost'!$B$23+AA285*'1. Standard_Cost'!$C$23</f>
        <v>0</v>
      </c>
      <c r="AC285" s="176"/>
      <c r="AD285" s="177"/>
      <c r="AE285" s="127">
        <f>SUM(AD285,AC285,AB285,Y285,U285,T285,S285,R285)*'1. Standard_Cost'!$B$31</f>
        <v>0</v>
      </c>
      <c r="AF285" s="127">
        <f>SUM(AE285,AD285,AC285,AB285,Y285,U285,T285,S285,R285)</f>
        <v>0</v>
      </c>
      <c r="AG285" s="174"/>
      <c r="AH285" s="174"/>
      <c r="AI285" s="174"/>
      <c r="AJ285" s="178"/>
      <c r="AK285" s="178"/>
      <c r="AL285" s="178"/>
      <c r="AM285" s="127">
        <f>AG285*'1. Standard_Cost'!$B$27+'Incremental_Cost Year 4'!AH285*'1. Standard_Cost'!$C$27+'Incremental_Cost Year 4'!AI285*'1. Standard_Cost'!$D$27+'Incremental_Cost Year 4'!AJ285+'Incremental_Cost Year 4'!AL285+AK285</f>
        <v>0</v>
      </c>
      <c r="AN285" s="127">
        <f>AM285*'1. Standard_Cost'!$C$31</f>
        <v>0</v>
      </c>
      <c r="AO285" s="178"/>
      <c r="AP285" s="256"/>
      <c r="AQ285" s="171">
        <f>L285+M285</f>
        <v>0</v>
      </c>
      <c r="AR285" s="171">
        <f>AF285</f>
        <v>0</v>
      </c>
      <c r="AS285" s="171">
        <f>AM285+AN285</f>
        <v>0</v>
      </c>
      <c r="AT285" s="171">
        <f>SUM(AQ285,AR285,AS285)</f>
        <v>0</v>
      </c>
      <c r="AU285" s="250"/>
      <c r="AV285" s="250"/>
      <c r="AW285" s="250"/>
      <c r="AX285" s="250"/>
      <c r="AY285" s="250"/>
      <c r="AZ285" s="250"/>
      <c r="BA285" s="250"/>
      <c r="BB285" s="251">
        <f t="shared" ref="BB285:BB288" si="195">SUM(AU285:BA285)-AT285</f>
        <v>0</v>
      </c>
      <c r="BC285" s="169"/>
      <c r="BD285" s="169"/>
      <c r="BE285" s="169"/>
      <c r="BF285" s="169"/>
    </row>
    <row r="286" spans="1:58" ht="78.75" customHeight="1" x14ac:dyDescent="0.25">
      <c r="A286" s="172"/>
      <c r="B286" s="357"/>
      <c r="C286" s="359"/>
      <c r="D286" s="343"/>
      <c r="E286" s="328"/>
      <c r="F286" s="328"/>
      <c r="G286" s="328"/>
      <c r="H286" s="213" t="s">
        <v>555</v>
      </c>
      <c r="I286" s="178"/>
      <c r="J286" s="174"/>
      <c r="K286" s="174"/>
      <c r="L286" s="125" t="str">
        <f>IF(I286&lt;&gt;0,((VLOOKUP(I286,'1. Standard_Cost'!$B$4:$D$11,2)+VLOOKUP(I286,'1. Standard_Cost'!$B$4:$D$11,3))*J286*K286),"0")</f>
        <v>0</v>
      </c>
      <c r="M286" s="125">
        <f>L286*'1. Standard_Cost'!$F$4</f>
        <v>0</v>
      </c>
      <c r="N286" s="174"/>
      <c r="O286" s="174"/>
      <c r="P286" s="174"/>
      <c r="Q286" s="174"/>
      <c r="R286" s="127">
        <f>'1. Standard_Cost'!$B$15*N286*P286</f>
        <v>0</v>
      </c>
      <c r="S286" s="127">
        <f>N286*O286*P286*'1. Standard_Cost'!$C$15</f>
        <v>0</v>
      </c>
      <c r="T286" s="127">
        <f>N286*P286*Q286*'1. Standard_Cost'!$D$15</f>
        <v>0</v>
      </c>
      <c r="U286" s="127">
        <f>N286*O286*'1. Standard_Cost'!$E$15</f>
        <v>0</v>
      </c>
      <c r="V286" s="174"/>
      <c r="W286" s="174"/>
      <c r="X286" s="174"/>
      <c r="Y286" s="127">
        <f>+V286*((X286*'1. Standard_Cost'!$B$19)+(W286*X286*'1. Standard_Cost'!$C$19))</f>
        <v>0</v>
      </c>
      <c r="Z286" s="174"/>
      <c r="AA286" s="174"/>
      <c r="AB286" s="127">
        <f>+Z286*'1. Standard_Cost'!$B$23+AA286*'1. Standard_Cost'!$C$23</f>
        <v>0</v>
      </c>
      <c r="AC286" s="176"/>
      <c r="AD286" s="177"/>
      <c r="AE286" s="127">
        <f>SUM(AD286,AC286,AB286,Y286,U286,T286,S286,R286)*'1. Standard_Cost'!$B$31</f>
        <v>0</v>
      </c>
      <c r="AF286" s="127">
        <f>SUM(AE286,AD286,AC286,AB286,Y286,U286,T286,S286,R286)</f>
        <v>0</v>
      </c>
      <c r="AG286" s="174"/>
      <c r="AH286" s="174"/>
      <c r="AI286" s="174"/>
      <c r="AJ286" s="178"/>
      <c r="AK286" s="178"/>
      <c r="AL286" s="178"/>
      <c r="AM286" s="127">
        <f>AG286*'1. Standard_Cost'!$B$27+'Incremental_Cost Year 4'!AH286*'1. Standard_Cost'!$C$27+'Incremental_Cost Year 4'!AI286*'1. Standard_Cost'!$D$27+'Incremental_Cost Year 4'!AJ286+'Incremental_Cost Year 4'!AL286+AK286</f>
        <v>0</v>
      </c>
      <c r="AN286" s="127">
        <f>AM286*'1. Standard_Cost'!$C$31</f>
        <v>0</v>
      </c>
      <c r="AO286" s="178"/>
      <c r="AP286" s="256"/>
      <c r="AQ286" s="171">
        <f>L286+M286</f>
        <v>0</v>
      </c>
      <c r="AR286" s="171">
        <f>AF286</f>
        <v>0</v>
      </c>
      <c r="AS286" s="171">
        <f>AM286+AN286</f>
        <v>0</v>
      </c>
      <c r="AT286" s="171">
        <f>SUM(AQ286,AR286,AS286)</f>
        <v>0</v>
      </c>
      <c r="AU286" s="250"/>
      <c r="AV286" s="250"/>
      <c r="AW286" s="250"/>
      <c r="AX286" s="250"/>
      <c r="AY286" s="250"/>
      <c r="AZ286" s="250"/>
      <c r="BA286" s="250"/>
      <c r="BB286" s="251">
        <f t="shared" si="195"/>
        <v>0</v>
      </c>
      <c r="BC286" s="169"/>
      <c r="BD286" s="169"/>
      <c r="BE286" s="169"/>
      <c r="BF286" s="169"/>
    </row>
    <row r="287" spans="1:58" ht="110.25" x14ac:dyDescent="0.25">
      <c r="A287" s="172"/>
      <c r="B287" s="357"/>
      <c r="C287" s="359"/>
      <c r="D287" s="343"/>
      <c r="E287" s="328"/>
      <c r="F287" s="328"/>
      <c r="G287" s="328"/>
      <c r="H287" s="213" t="s">
        <v>367</v>
      </c>
      <c r="I287" s="178"/>
      <c r="J287" s="174"/>
      <c r="K287" s="174"/>
      <c r="L287" s="125" t="str">
        <f>IF(I287&lt;&gt;0,((VLOOKUP(I287,'1. Standard_Cost'!$B$4:$D$11,2)+VLOOKUP(I287,'1. Standard_Cost'!$B$4:$D$11,3))*J287*K287),"0")</f>
        <v>0</v>
      </c>
      <c r="M287" s="125">
        <f>L287*'1. Standard_Cost'!$F$4</f>
        <v>0</v>
      </c>
      <c r="N287" s="174"/>
      <c r="O287" s="174"/>
      <c r="P287" s="174"/>
      <c r="Q287" s="174"/>
      <c r="R287" s="127">
        <f>'1. Standard_Cost'!$B$15*N287*P287</f>
        <v>0</v>
      </c>
      <c r="S287" s="127">
        <f>N287*O287*P287*'1. Standard_Cost'!$C$15</f>
        <v>0</v>
      </c>
      <c r="T287" s="127">
        <f>N287*P287*Q287*'1. Standard_Cost'!$D$15</f>
        <v>0</v>
      </c>
      <c r="U287" s="127">
        <f>N287*O287*'1. Standard_Cost'!$E$15</f>
        <v>0</v>
      </c>
      <c r="V287" s="174"/>
      <c r="W287" s="174"/>
      <c r="X287" s="174"/>
      <c r="Y287" s="127">
        <f>+V287*((X287*'1. Standard_Cost'!$B$19)+(W287*X287*'1. Standard_Cost'!$C$19))</f>
        <v>0</v>
      </c>
      <c r="Z287" s="174"/>
      <c r="AA287" s="174"/>
      <c r="AB287" s="127">
        <f>+Z287*'1. Standard_Cost'!$B$23+AA287*'1. Standard_Cost'!$C$23</f>
        <v>0</v>
      </c>
      <c r="AC287" s="176"/>
      <c r="AD287" s="177"/>
      <c r="AE287" s="127">
        <f>SUM(AD287,AC287,AB287,Y287,U287,T287,S287,R287)*'1. Standard_Cost'!$B$31</f>
        <v>0</v>
      </c>
      <c r="AF287" s="127">
        <f>SUM(AE287,AD287,AC287,AB287,Y287,U287,T287,S287,R287)</f>
        <v>0</v>
      </c>
      <c r="AG287" s="174"/>
      <c r="AH287" s="174"/>
      <c r="AI287" s="174"/>
      <c r="AJ287" s="178"/>
      <c r="AK287" s="178"/>
      <c r="AL287" s="178"/>
      <c r="AM287" s="127">
        <f>AG287*'1. Standard_Cost'!$B$27+'Incremental_Cost Year 4'!AH287*'1. Standard_Cost'!$C$27+'Incremental_Cost Year 4'!AI287*'1. Standard_Cost'!$D$27+'Incremental_Cost Year 4'!AJ287+'Incremental_Cost Year 4'!AL287+AK287</f>
        <v>0</v>
      </c>
      <c r="AN287" s="127">
        <f>AM287*'1. Standard_Cost'!$C$31</f>
        <v>0</v>
      </c>
      <c r="AO287" s="178"/>
      <c r="AP287" s="256"/>
      <c r="AQ287" s="171">
        <f>L287+M287</f>
        <v>0</v>
      </c>
      <c r="AR287" s="171">
        <f>AF287</f>
        <v>0</v>
      </c>
      <c r="AS287" s="171">
        <f>AM287+AN287</f>
        <v>0</v>
      </c>
      <c r="AT287" s="171">
        <f>SUM(AQ287,AR287,AS287)</f>
        <v>0</v>
      </c>
      <c r="AU287" s="250">
        <f>AT287</f>
        <v>0</v>
      </c>
      <c r="AV287" s="250"/>
      <c r="AW287" s="250"/>
      <c r="AX287" s="250"/>
      <c r="AY287" s="250"/>
      <c r="AZ287" s="250"/>
      <c r="BA287" s="250"/>
      <c r="BB287" s="251">
        <f t="shared" si="195"/>
        <v>0</v>
      </c>
      <c r="BC287" s="169"/>
      <c r="BD287" s="169"/>
      <c r="BE287" s="169"/>
      <c r="BF287" s="169"/>
    </row>
    <row r="288" spans="1:58" ht="110.25" x14ac:dyDescent="0.25">
      <c r="A288" s="172"/>
      <c r="B288" s="360"/>
      <c r="C288" s="362"/>
      <c r="D288" s="344"/>
      <c r="E288" s="328"/>
      <c r="F288" s="328"/>
      <c r="G288" s="328"/>
      <c r="H288" s="213" t="s">
        <v>368</v>
      </c>
      <c r="I288" s="178"/>
      <c r="J288" s="174"/>
      <c r="K288" s="174"/>
      <c r="L288" s="125" t="str">
        <f>IF(I288&lt;&gt;0,((VLOOKUP(I288,'1. Standard_Cost'!$B$4:$D$11,2)+VLOOKUP(I288,'1. Standard_Cost'!$B$4:$D$11,3))*J288*K288),"0")</f>
        <v>0</v>
      </c>
      <c r="M288" s="125">
        <f>L288*'1. Standard_Cost'!$F$4</f>
        <v>0</v>
      </c>
      <c r="N288" s="174"/>
      <c r="O288" s="174"/>
      <c r="P288" s="174"/>
      <c r="Q288" s="174"/>
      <c r="R288" s="127">
        <f>'1. Standard_Cost'!$B$15*N288*P288</f>
        <v>0</v>
      </c>
      <c r="S288" s="127">
        <f>N288*O288*P288*'1. Standard_Cost'!$C$15</f>
        <v>0</v>
      </c>
      <c r="T288" s="127">
        <f>N288*P288*Q288*'1. Standard_Cost'!$D$15</f>
        <v>0</v>
      </c>
      <c r="U288" s="127">
        <f>N288*O288*'1. Standard_Cost'!$E$15</f>
        <v>0</v>
      </c>
      <c r="V288" s="174"/>
      <c r="W288" s="174"/>
      <c r="X288" s="174"/>
      <c r="Y288" s="127">
        <f>+V288*((X288*'1. Standard_Cost'!$B$19)+(W288*X288*'1. Standard_Cost'!$C$19))</f>
        <v>0</v>
      </c>
      <c r="Z288" s="174"/>
      <c r="AA288" s="174"/>
      <c r="AB288" s="127">
        <f>+Z288*'1. Standard_Cost'!$B$23+AA288*'1. Standard_Cost'!$C$23</f>
        <v>0</v>
      </c>
      <c r="AC288" s="176"/>
      <c r="AD288" s="177"/>
      <c r="AE288" s="127">
        <f>SUM(AD288,AC288,AB288,Y288,U288,T288,S288,R288)*'1. Standard_Cost'!$B$31</f>
        <v>0</v>
      </c>
      <c r="AF288" s="127">
        <f>SUM(AE288,AD288,AC288,AB288,Y288,U288,T288,S288,R288)</f>
        <v>0</v>
      </c>
      <c r="AG288" s="174"/>
      <c r="AH288" s="174"/>
      <c r="AI288" s="174"/>
      <c r="AJ288" s="178"/>
      <c r="AK288" s="178"/>
      <c r="AL288" s="178"/>
      <c r="AM288" s="127">
        <f>AG288*'1. Standard_Cost'!$B$27+'Incremental_Cost Year 4'!AH288*'1. Standard_Cost'!$C$27+'Incremental_Cost Year 4'!AI288*'1. Standard_Cost'!$D$27+'Incremental_Cost Year 4'!AJ288+'Incremental_Cost Year 4'!AL288+AK288</f>
        <v>0</v>
      </c>
      <c r="AN288" s="127">
        <f>AM288*'1. Standard_Cost'!$C$31</f>
        <v>0</v>
      </c>
      <c r="AO288" s="178"/>
      <c r="AP288" s="256"/>
      <c r="AQ288" s="171">
        <f>L288+M288</f>
        <v>0</v>
      </c>
      <c r="AR288" s="171">
        <f>AF288</f>
        <v>0</v>
      </c>
      <c r="AS288" s="171">
        <f>AM288+AN288</f>
        <v>0</v>
      </c>
      <c r="AT288" s="171">
        <f>SUM(AQ288,AR288,AS288)</f>
        <v>0</v>
      </c>
      <c r="AU288" s="250">
        <f>AT288</f>
        <v>0</v>
      </c>
      <c r="AV288" s="250"/>
      <c r="AW288" s="250"/>
      <c r="AX288" s="250"/>
      <c r="AY288" s="250"/>
      <c r="AZ288" s="250"/>
      <c r="BA288" s="250"/>
      <c r="BB288" s="251">
        <f t="shared" si="195"/>
        <v>0</v>
      </c>
      <c r="BC288" s="169"/>
      <c r="BD288" s="169"/>
      <c r="BE288" s="169"/>
      <c r="BF288" s="169"/>
    </row>
    <row r="289" spans="1:54" ht="31.5" x14ac:dyDescent="0.25">
      <c r="A289" s="167"/>
      <c r="B289" s="168"/>
      <c r="C289" s="204"/>
      <c r="D289" s="212" t="s">
        <v>388</v>
      </c>
      <c r="E289" s="212" t="s">
        <v>359</v>
      </c>
      <c r="F289" s="212">
        <v>2021</v>
      </c>
      <c r="G289" s="212">
        <v>2023</v>
      </c>
      <c r="H289" s="182" t="s">
        <v>360</v>
      </c>
      <c r="I289" s="273"/>
      <c r="J289" s="273"/>
      <c r="K289" s="273"/>
      <c r="L289" s="175">
        <f>SUM(L285:L288)</f>
        <v>0</v>
      </c>
      <c r="M289" s="175">
        <f>SUM(M285:M288)</f>
        <v>0</v>
      </c>
      <c r="N289" s="273"/>
      <c r="O289" s="273"/>
      <c r="P289" s="273"/>
      <c r="Q289" s="273"/>
      <c r="R289" s="175">
        <f>SUM(R285:R288)</f>
        <v>0</v>
      </c>
      <c r="S289" s="175">
        <f>SUM(S285:S288)</f>
        <v>0</v>
      </c>
      <c r="T289" s="175">
        <f>SUM(T285:T288)</f>
        <v>0</v>
      </c>
      <c r="U289" s="175">
        <f>SUM(U285:U288)</f>
        <v>0</v>
      </c>
      <c r="V289" s="273"/>
      <c r="W289" s="273"/>
      <c r="X289" s="273"/>
      <c r="Y289" s="175">
        <f>SUM(Y285:Y288)</f>
        <v>0</v>
      </c>
      <c r="Z289" s="175"/>
      <c r="AA289" s="273"/>
      <c r="AB289" s="175">
        <f>SUM(AB285:AB288)</f>
        <v>0</v>
      </c>
      <c r="AC289" s="175">
        <f>SUM(AC285:AC287)</f>
        <v>0</v>
      </c>
      <c r="AD289" s="175">
        <f>SUM(AD285:AD287)</f>
        <v>0</v>
      </c>
      <c r="AE289" s="175">
        <f>SUM(AE285:AE288)</f>
        <v>0</v>
      </c>
      <c r="AF289" s="175">
        <f>SUM(AF285:AF288)</f>
        <v>0</v>
      </c>
      <c r="AG289" s="273"/>
      <c r="AH289" s="273"/>
      <c r="AI289" s="273"/>
      <c r="AJ289" s="175">
        <f>SUM(AJ285:AJ287)</f>
        <v>0</v>
      </c>
      <c r="AK289" s="175">
        <f>SUM(AK285:AK287)</f>
        <v>0</v>
      </c>
      <c r="AL289" s="175">
        <f>SUM(AL285:AL287)</f>
        <v>0</v>
      </c>
      <c r="AM289" s="175">
        <f>SUM(AM285:AM288)</f>
        <v>0</v>
      </c>
      <c r="AN289" s="175">
        <f>SUM(AN285:AN288)</f>
        <v>0</v>
      </c>
      <c r="AO289" s="274"/>
      <c r="AP289" s="254"/>
      <c r="AQ289" s="175">
        <f t="shared" ref="AQ289:AT289" si="196">SUM(AQ285:AQ288)</f>
        <v>0</v>
      </c>
      <c r="AR289" s="175">
        <f t="shared" si="196"/>
        <v>0</v>
      </c>
      <c r="AS289" s="175">
        <f t="shared" si="196"/>
        <v>0</v>
      </c>
      <c r="AT289" s="175">
        <f t="shared" si="196"/>
        <v>0</v>
      </c>
      <c r="AU289" s="175">
        <f t="shared" ref="AU289:BB289" si="197">SUM(AU285:AU288)</f>
        <v>0</v>
      </c>
      <c r="AV289" s="175">
        <f t="shared" si="197"/>
        <v>0</v>
      </c>
      <c r="AW289" s="175">
        <f t="shared" si="197"/>
        <v>0</v>
      </c>
      <c r="AX289" s="175">
        <f t="shared" si="197"/>
        <v>0</v>
      </c>
      <c r="AY289" s="175">
        <f t="shared" si="197"/>
        <v>0</v>
      </c>
      <c r="AZ289" s="175">
        <f t="shared" si="197"/>
        <v>0</v>
      </c>
      <c r="BA289" s="175">
        <f t="shared" si="197"/>
        <v>0</v>
      </c>
      <c r="BB289" s="175">
        <f t="shared" si="197"/>
        <v>0</v>
      </c>
    </row>
    <row r="292" spans="1:54" x14ac:dyDescent="0.25">
      <c r="AQ292" s="239">
        <f>AQ5+AQ78+AQ150+AQ197+AQ244</f>
        <v>16498314778.791428</v>
      </c>
      <c r="AR292" s="239">
        <f t="shared" ref="AR292:BB292" si="198">AR5+AR78+AR150+AR197+AR244</f>
        <v>34948430982.800003</v>
      </c>
      <c r="AS292" s="239">
        <f t="shared" si="198"/>
        <v>4448911900</v>
      </c>
      <c r="AT292" s="239">
        <f t="shared" si="198"/>
        <v>55895657661.591431</v>
      </c>
      <c r="AU292" s="239">
        <f t="shared" si="198"/>
        <v>51443477881.595718</v>
      </c>
      <c r="AV292" s="239">
        <f t="shared" si="198"/>
        <v>200000000</v>
      </c>
      <c r="AW292" s="239">
        <f t="shared" si="198"/>
        <v>819505000</v>
      </c>
      <c r="AX292" s="239">
        <f t="shared" si="198"/>
        <v>0</v>
      </c>
      <c r="AY292" s="239">
        <f t="shared" si="198"/>
        <v>3739200</v>
      </c>
      <c r="AZ292" s="239">
        <f t="shared" si="198"/>
        <v>208249600</v>
      </c>
      <c r="BA292" s="239">
        <f t="shared" si="198"/>
        <v>0</v>
      </c>
      <c r="BB292" s="239">
        <f t="shared" si="198"/>
        <v>-3220685979.9957128</v>
      </c>
    </row>
  </sheetData>
  <mergeCells count="38">
    <mergeCell ref="C269:E269"/>
    <mergeCell ref="C277:E277"/>
    <mergeCell ref="C284:E284"/>
    <mergeCell ref="C232:E232"/>
    <mergeCell ref="C238:E238"/>
    <mergeCell ref="B244:E244"/>
    <mergeCell ref="C245:E245"/>
    <mergeCell ref="C259:E259"/>
    <mergeCell ref="B197:E197"/>
    <mergeCell ref="C198:E198"/>
    <mergeCell ref="C213:E213"/>
    <mergeCell ref="C221:E221"/>
    <mergeCell ref="C226:E226"/>
    <mergeCell ref="C140:E140"/>
    <mergeCell ref="B150:E150"/>
    <mergeCell ref="C151:E151"/>
    <mergeCell ref="C163:E163"/>
    <mergeCell ref="C182:E182"/>
    <mergeCell ref="C106:E106"/>
    <mergeCell ref="C111:E111"/>
    <mergeCell ref="C118:E118"/>
    <mergeCell ref="C123:E123"/>
    <mergeCell ref="C134:E134"/>
    <mergeCell ref="C61:E61"/>
    <mergeCell ref="B78:E78"/>
    <mergeCell ref="C79:E79"/>
    <mergeCell ref="C93:E93"/>
    <mergeCell ref="C100:E100"/>
    <mergeCell ref="C6:E6"/>
    <mergeCell ref="C16:E16"/>
    <mergeCell ref="C20:E20"/>
    <mergeCell ref="C40:E40"/>
    <mergeCell ref="C45:E45"/>
    <mergeCell ref="AQ2:BB2"/>
    <mergeCell ref="B1:H1"/>
    <mergeCell ref="B2:E2"/>
    <mergeCell ref="B3:E3"/>
    <mergeCell ref="B5:E5"/>
  </mergeCells>
  <conditionalFormatting sqref="BB203 BB220:BB221 BB235:BB243 BB231:BB233 BB212:BB213 BB225:BB226">
    <cfRule type="cellIs" dxfId="27755" priority="2015" operator="lessThan">
      <formula>0</formula>
    </cfRule>
    <cfRule type="cellIs" dxfId="27754" priority="2016" operator="lessThan">
      <formula>-105575</formula>
    </cfRule>
  </conditionalFormatting>
  <conditionalFormatting sqref="BB220 BB212:BB213 BB235:BB238 BB240:BB243 BB225:BB226 BB231:BB233">
    <cfRule type="cellIs" dxfId="27753" priority="2013" operator="lessThan">
      <formula>0</formula>
    </cfRule>
    <cfRule type="cellIs" dxfId="27752" priority="2014" operator="lessThan">
      <formula>-105575</formula>
    </cfRule>
  </conditionalFormatting>
  <conditionalFormatting sqref="BB220:BB221 BB243 BB226 BB231:BB236 BB238:BB241 BB203 BB213">
    <cfRule type="cellIs" dxfId="27751" priority="2011" operator="lessThan">
      <formula>0</formula>
    </cfRule>
    <cfRule type="cellIs" dxfId="27750" priority="2012" operator="lessThan">
      <formula>-105575</formula>
    </cfRule>
  </conditionalFormatting>
  <conditionalFormatting sqref="BB235:BB243 BB231:BB233 BB220 BB212:BB213 BB225:BB226">
    <cfRule type="cellIs" dxfId="27749" priority="2009" operator="lessThan">
      <formula>0</formula>
    </cfRule>
    <cfRule type="cellIs" dxfId="27748" priority="2010" operator="lessThan">
      <formula>-105575</formula>
    </cfRule>
  </conditionalFormatting>
  <conditionalFormatting sqref="BB220:BB221 BB237:BB243 BB203 BB231:BB235 BB212:BB213 BB225:BB226">
    <cfRule type="cellIs" dxfId="27747" priority="2007" operator="lessThan">
      <formula>0</formula>
    </cfRule>
    <cfRule type="cellIs" dxfId="27746" priority="2008" operator="lessThan">
      <formula>-105575</formula>
    </cfRule>
  </conditionalFormatting>
  <conditionalFormatting sqref="BB220:BB221 BB237:BB240 BB242:BB243 BB225:BB226 BB231:BB235">
    <cfRule type="cellIs" dxfId="27745" priority="2005" operator="lessThan">
      <formula>0</formula>
    </cfRule>
    <cfRule type="cellIs" dxfId="27744" priority="2006" operator="lessThan">
      <formula>-105575</formula>
    </cfRule>
  </conditionalFormatting>
  <conditionalFormatting sqref="BB212 BB231 BB233:BB238 BB240:BB243 BB225">
    <cfRule type="cellIs" dxfId="27743" priority="2003" operator="lessThan">
      <formula>0</formula>
    </cfRule>
    <cfRule type="cellIs" dxfId="27742" priority="2004" operator="lessThan">
      <formula>-105575</formula>
    </cfRule>
  </conditionalFormatting>
  <conditionalFormatting sqref="BB237:BB243 BB231:BB235 BB220:BB221 BB225:BB226">
    <cfRule type="cellIs" dxfId="27741" priority="2001" operator="lessThan">
      <formula>0</formula>
    </cfRule>
    <cfRule type="cellIs" dxfId="27740" priority="2002" operator="lessThan">
      <formula>-105575</formula>
    </cfRule>
  </conditionalFormatting>
  <conditionalFormatting sqref="BB233:BB237 BB231 BB239:BB243">
    <cfRule type="cellIs" dxfId="27739" priority="1999" operator="lessThan">
      <formula>0</formula>
    </cfRule>
    <cfRule type="cellIs" dxfId="27738" priority="2000" operator="lessThan">
      <formula>-105575</formula>
    </cfRule>
  </conditionalFormatting>
  <conditionalFormatting sqref="BB233:BB237 BB231 BB239:BB243">
    <cfRule type="cellIs" dxfId="27737" priority="1997" operator="lessThan">
      <formula>0</formula>
    </cfRule>
    <cfRule type="cellIs" dxfId="27736" priority="1998" operator="lessThan">
      <formula>-105575</formula>
    </cfRule>
  </conditionalFormatting>
  <conditionalFormatting sqref="BB119:BB128 BB106:BB117 BB101:BB104 BB80:BB98">
    <cfRule type="cellIs" dxfId="27735" priority="1995" operator="lessThan">
      <formula>0</formula>
    </cfRule>
    <cfRule type="cellIs" dxfId="27734" priority="1996" operator="lessThan">
      <formula>-105575</formula>
    </cfRule>
  </conditionalFormatting>
  <conditionalFormatting sqref="BB130 BB132 BB134">
    <cfRule type="cellIs" dxfId="27733" priority="1993" operator="lessThan">
      <formula>0</formula>
    </cfRule>
    <cfRule type="cellIs" dxfId="27732" priority="1994" operator="lessThan">
      <formula>-105575</formula>
    </cfRule>
  </conditionalFormatting>
  <conditionalFormatting sqref="BB130 BB132 BB134">
    <cfRule type="cellIs" dxfId="27731" priority="1991" operator="lessThan">
      <formula>0</formula>
    </cfRule>
    <cfRule type="cellIs" dxfId="27730" priority="1992" operator="lessThan">
      <formula>-105575</formula>
    </cfRule>
  </conditionalFormatting>
  <conditionalFormatting sqref="BB129 BB131 BB133 BB135">
    <cfRule type="cellIs" dxfId="27729" priority="1989" operator="lessThan">
      <formula>0</formula>
    </cfRule>
    <cfRule type="cellIs" dxfId="27728" priority="1990" operator="lessThan">
      <formula>-105575</formula>
    </cfRule>
  </conditionalFormatting>
  <conditionalFormatting sqref="BB140 BB145 BB142:BB143 BB137:BB138">
    <cfRule type="cellIs" dxfId="27727" priority="1979" operator="lessThan">
      <formula>0</formula>
    </cfRule>
    <cfRule type="cellIs" dxfId="27726" priority="1980" operator="lessThan">
      <formula>-105575</formula>
    </cfRule>
  </conditionalFormatting>
  <conditionalFormatting sqref="BB149">
    <cfRule type="cellIs" dxfId="27725" priority="1975" operator="lessThan">
      <formula>0</formula>
    </cfRule>
    <cfRule type="cellIs" dxfId="27724" priority="1976" operator="lessThan">
      <formula>-105575</formula>
    </cfRule>
  </conditionalFormatting>
  <conditionalFormatting sqref="BB129:BB138 BB140:BB149">
    <cfRule type="cellIs" dxfId="27723" priority="1973" operator="lessThan">
      <formula>0</formula>
    </cfRule>
    <cfRule type="cellIs" dxfId="27722" priority="1974" operator="lessThan">
      <formula>-105575</formula>
    </cfRule>
  </conditionalFormatting>
  <conditionalFormatting sqref="BB86:BB87 BB89:BB91 BB141:BB149 BB124:BB133 BB107:BB110 BB112:BB117 BB119:BB122 BB135:BB138 BB101:BB104 BB80:BB84 BB94:BB98">
    <cfRule type="cellIs" dxfId="27721" priority="1969" operator="lessThan">
      <formula>0</formula>
    </cfRule>
    <cfRule type="cellIs" dxfId="27720" priority="1970" operator="lessThan">
      <formula>-105575</formula>
    </cfRule>
  </conditionalFormatting>
  <conditionalFormatting sqref="BB129 BB131 BB133 BB135">
    <cfRule type="cellIs" dxfId="27719" priority="1987" operator="lessThan">
      <formula>0</formula>
    </cfRule>
    <cfRule type="cellIs" dxfId="27718" priority="1988" operator="lessThan">
      <formula>-105575</formula>
    </cfRule>
  </conditionalFormatting>
  <conditionalFormatting sqref="BB146 BB144 BB141">
    <cfRule type="cellIs" dxfId="27717" priority="1985" operator="lessThan">
      <formula>0</formula>
    </cfRule>
    <cfRule type="cellIs" dxfId="27716" priority="1986" operator="lessThan">
      <formula>-105575</formula>
    </cfRule>
  </conditionalFormatting>
  <conditionalFormatting sqref="BB146 BB144 BB141">
    <cfRule type="cellIs" dxfId="27715" priority="1983" operator="lessThan">
      <formula>0</formula>
    </cfRule>
    <cfRule type="cellIs" dxfId="27714" priority="1984" operator="lessThan">
      <formula>-105575</formula>
    </cfRule>
  </conditionalFormatting>
  <conditionalFormatting sqref="BB140 BB145 BB142:BB143 BB137:BB138">
    <cfRule type="cellIs" dxfId="27713" priority="1981" operator="lessThan">
      <formula>0</formula>
    </cfRule>
    <cfRule type="cellIs" dxfId="27712" priority="1982" operator="lessThan">
      <formula>-105575</formula>
    </cfRule>
  </conditionalFormatting>
  <conditionalFormatting sqref="BB149">
    <cfRule type="cellIs" dxfId="27711" priority="1977" operator="lessThan">
      <formula>0</formula>
    </cfRule>
    <cfRule type="cellIs" dxfId="27710" priority="1978" operator="lessThan">
      <formula>-105575</formula>
    </cfRule>
  </conditionalFormatting>
  <conditionalFormatting sqref="BB86:BB87 BB89:BB91 BB141:BB149 BB124:BB133 BB107:BB110 BB112:BB117 BB119:BB122 BB135:BB138 BB101:BB104 BB80:BB84 BB94:BB98">
    <cfRule type="cellIs" dxfId="27709" priority="1971" operator="lessThan">
      <formula>0</formula>
    </cfRule>
    <cfRule type="cellIs" dxfId="27708" priority="1972" operator="lessThan">
      <formula>-105575</formula>
    </cfRule>
  </conditionalFormatting>
  <conditionalFormatting sqref="BB246:BB249 BB262 BB267 BB279:BB282 BB285:BB288 BB274:BB275 BB306:BB309 BB311:BB325 BB327:BB330 BB332:BB341 BB344:BB347 BB349:BB353 BB355:BB358 BB360:BB384 BB386:BB389 BB392:BB395 BB397:BB411 BB413:BB416 BB418:BB432 BB434:BB437 BB439:BB453 BB455:BB458 BB460:BB469 BB17:BB18 BB21:BB24 BB26:BB28 BB30:BB36 BB38 BB41:BB43 BB46:BB49 BB51:BB55 BB57:BB59 BB62:BB76 BB251:BB253 BB255:BB257 BB293:BB304 BB264:BB265 BB260 BB290:BB291 BB270:BB272 BB7:BB14">
    <cfRule type="cellIs" dxfId="27707" priority="2019" operator="lessThan">
      <formula>0</formula>
    </cfRule>
    <cfRule type="cellIs" dxfId="27706" priority="2020" operator="lessThan">
      <formula>-105575</formula>
    </cfRule>
  </conditionalFormatting>
  <conditionalFormatting sqref="BB41">
    <cfRule type="cellIs" dxfId="27705" priority="2017" operator="lessThan">
      <formula>0</formula>
    </cfRule>
    <cfRule type="cellIs" dxfId="27704" priority="2018" operator="lessThan">
      <formula>-105575</formula>
    </cfRule>
  </conditionalFormatting>
  <conditionalFormatting sqref="BB152:BB155">
    <cfRule type="cellIs" dxfId="27703" priority="1967" operator="lessThan">
      <formula>0</formula>
    </cfRule>
    <cfRule type="cellIs" dxfId="27702" priority="1968" operator="lessThan">
      <formula>-105575</formula>
    </cfRule>
  </conditionalFormatting>
  <conditionalFormatting sqref="BB152:BB155">
    <cfRule type="cellIs" dxfId="27701" priority="1963" operator="lessThan">
      <formula>0</formula>
    </cfRule>
    <cfRule type="cellIs" dxfId="27700" priority="1964" operator="lessThan">
      <formula>-105575</formula>
    </cfRule>
  </conditionalFormatting>
  <conditionalFormatting sqref="BB152:BB155">
    <cfRule type="cellIs" dxfId="27699" priority="1965" operator="lessThan">
      <formula>0</formula>
    </cfRule>
    <cfRule type="cellIs" dxfId="27698" priority="1966" operator="lessThan">
      <formula>-105575</formula>
    </cfRule>
  </conditionalFormatting>
  <conditionalFormatting sqref="BB157:BB158">
    <cfRule type="cellIs" dxfId="27697" priority="1961" operator="lessThan">
      <formula>0</formula>
    </cfRule>
    <cfRule type="cellIs" dxfId="27696" priority="1962" operator="lessThan">
      <formula>-105575</formula>
    </cfRule>
  </conditionalFormatting>
  <conditionalFormatting sqref="BB157:BB158">
    <cfRule type="cellIs" dxfId="27695" priority="1957" operator="lessThan">
      <formula>0</formula>
    </cfRule>
    <cfRule type="cellIs" dxfId="27694" priority="1958" operator="lessThan">
      <formula>-105575</formula>
    </cfRule>
  </conditionalFormatting>
  <conditionalFormatting sqref="BB157:BB158">
    <cfRule type="cellIs" dxfId="27693" priority="1959" operator="lessThan">
      <formula>0</formula>
    </cfRule>
    <cfRule type="cellIs" dxfId="27692" priority="1960" operator="lessThan">
      <formula>-105575</formula>
    </cfRule>
  </conditionalFormatting>
  <conditionalFormatting sqref="BB160:BB161">
    <cfRule type="cellIs" dxfId="27691" priority="1955" operator="lessThan">
      <formula>0</formula>
    </cfRule>
    <cfRule type="cellIs" dxfId="27690" priority="1956" operator="lessThan">
      <formula>-105575</formula>
    </cfRule>
  </conditionalFormatting>
  <conditionalFormatting sqref="BB160:BB161">
    <cfRule type="cellIs" dxfId="27689" priority="1951" operator="lessThan">
      <formula>0</formula>
    </cfRule>
    <cfRule type="cellIs" dxfId="27688" priority="1952" operator="lessThan">
      <formula>-105575</formula>
    </cfRule>
  </conditionalFormatting>
  <conditionalFormatting sqref="BB160:BB161">
    <cfRule type="cellIs" dxfId="27687" priority="1953" operator="lessThan">
      <formula>0</formula>
    </cfRule>
    <cfRule type="cellIs" dxfId="27686" priority="1954" operator="lessThan">
      <formula>-105575</formula>
    </cfRule>
  </conditionalFormatting>
  <conditionalFormatting sqref="BB164:BB167">
    <cfRule type="cellIs" dxfId="27685" priority="1949" operator="lessThan">
      <formula>0</formula>
    </cfRule>
    <cfRule type="cellIs" dxfId="27684" priority="1950" operator="lessThan">
      <formula>-105575</formula>
    </cfRule>
  </conditionalFormatting>
  <conditionalFormatting sqref="BB164:BB167">
    <cfRule type="cellIs" dxfId="27683" priority="1945" operator="lessThan">
      <formula>0</formula>
    </cfRule>
    <cfRule type="cellIs" dxfId="27682" priority="1946" operator="lessThan">
      <formula>-105575</formula>
    </cfRule>
  </conditionalFormatting>
  <conditionalFormatting sqref="BB164:BB167">
    <cfRule type="cellIs" dxfId="27681" priority="1947" operator="lessThan">
      <formula>0</formula>
    </cfRule>
    <cfRule type="cellIs" dxfId="27680" priority="1948" operator="lessThan">
      <formula>-105575</formula>
    </cfRule>
  </conditionalFormatting>
  <conditionalFormatting sqref="BB169:BB177">
    <cfRule type="cellIs" dxfId="27679" priority="1943" operator="lessThan">
      <formula>0</formula>
    </cfRule>
    <cfRule type="cellIs" dxfId="27678" priority="1944" operator="lessThan">
      <formula>-105575</formula>
    </cfRule>
  </conditionalFormatting>
  <conditionalFormatting sqref="BB169:BB177">
    <cfRule type="cellIs" dxfId="27677" priority="1939" operator="lessThan">
      <formula>0</formula>
    </cfRule>
    <cfRule type="cellIs" dxfId="27676" priority="1940" operator="lessThan">
      <formula>-105575</formula>
    </cfRule>
  </conditionalFormatting>
  <conditionalFormatting sqref="BB169:BB177">
    <cfRule type="cellIs" dxfId="27675" priority="1941" operator="lessThan">
      <formula>0</formula>
    </cfRule>
    <cfRule type="cellIs" dxfId="27674" priority="1942" operator="lessThan">
      <formula>-105575</formula>
    </cfRule>
  </conditionalFormatting>
  <conditionalFormatting sqref="BB179:BB180">
    <cfRule type="cellIs" dxfId="27673" priority="1937" operator="lessThan">
      <formula>0</formula>
    </cfRule>
    <cfRule type="cellIs" dxfId="27672" priority="1938" operator="lessThan">
      <formula>-105575</formula>
    </cfRule>
  </conditionalFormatting>
  <conditionalFormatting sqref="BB179:BB180">
    <cfRule type="cellIs" dxfId="27671" priority="1933" operator="lessThan">
      <formula>0</formula>
    </cfRule>
    <cfRule type="cellIs" dxfId="27670" priority="1934" operator="lessThan">
      <formula>-105575</formula>
    </cfRule>
  </conditionalFormatting>
  <conditionalFormatting sqref="BB179:BB180">
    <cfRule type="cellIs" dxfId="27669" priority="1935" operator="lessThan">
      <formula>0</formula>
    </cfRule>
    <cfRule type="cellIs" dxfId="27668" priority="1936" operator="lessThan">
      <formula>-105575</formula>
    </cfRule>
  </conditionalFormatting>
  <conditionalFormatting sqref="BB183:BB189">
    <cfRule type="cellIs" dxfId="27667" priority="1931" operator="lessThan">
      <formula>0</formula>
    </cfRule>
    <cfRule type="cellIs" dxfId="27666" priority="1932" operator="lessThan">
      <formula>-105575</formula>
    </cfRule>
  </conditionalFormatting>
  <conditionalFormatting sqref="BB183:BB189">
    <cfRule type="cellIs" dxfId="27665" priority="1927" operator="lessThan">
      <formula>0</formula>
    </cfRule>
    <cfRule type="cellIs" dxfId="27664" priority="1928" operator="lessThan">
      <formula>-105575</formula>
    </cfRule>
  </conditionalFormatting>
  <conditionalFormatting sqref="BB183:BB189">
    <cfRule type="cellIs" dxfId="27663" priority="1929" operator="lessThan">
      <formula>0</formula>
    </cfRule>
    <cfRule type="cellIs" dxfId="27662" priority="1930" operator="lessThan">
      <formula>-105575</formula>
    </cfRule>
  </conditionalFormatting>
  <conditionalFormatting sqref="BB191:BB192">
    <cfRule type="cellIs" dxfId="27661" priority="1925" operator="lessThan">
      <formula>0</formula>
    </cfRule>
    <cfRule type="cellIs" dxfId="27660" priority="1926" operator="lessThan">
      <formula>-105575</formula>
    </cfRule>
  </conditionalFormatting>
  <conditionalFormatting sqref="BB191:BB192">
    <cfRule type="cellIs" dxfId="27659" priority="1921" operator="lessThan">
      <formula>0</formula>
    </cfRule>
    <cfRule type="cellIs" dxfId="27658" priority="1922" operator="lessThan">
      <formula>-105575</formula>
    </cfRule>
  </conditionalFormatting>
  <conditionalFormatting sqref="BB191:BB192">
    <cfRule type="cellIs" dxfId="27657" priority="1923" operator="lessThan">
      <formula>0</formula>
    </cfRule>
    <cfRule type="cellIs" dxfId="27656" priority="1924" operator="lessThan">
      <formula>-105575</formula>
    </cfRule>
  </conditionalFormatting>
  <conditionalFormatting sqref="BB194:BB195">
    <cfRule type="cellIs" dxfId="27655" priority="1919" operator="lessThan">
      <formula>0</formula>
    </cfRule>
    <cfRule type="cellIs" dxfId="27654" priority="1920" operator="lessThan">
      <formula>-105575</formula>
    </cfRule>
  </conditionalFormatting>
  <conditionalFormatting sqref="BB194:BB195">
    <cfRule type="cellIs" dxfId="27653" priority="1915" operator="lessThan">
      <formula>0</formula>
    </cfRule>
    <cfRule type="cellIs" dxfId="27652" priority="1916" operator="lessThan">
      <formula>-105575</formula>
    </cfRule>
  </conditionalFormatting>
  <conditionalFormatting sqref="BB194:BB195">
    <cfRule type="cellIs" dxfId="27651" priority="1917" operator="lessThan">
      <formula>0</formula>
    </cfRule>
    <cfRule type="cellIs" dxfId="27650" priority="1918" operator="lessThan">
      <formula>-105575</formula>
    </cfRule>
  </conditionalFormatting>
  <conditionalFormatting sqref="BB199:BB202">
    <cfRule type="cellIs" dxfId="27649" priority="1913" operator="lessThan">
      <formula>0</formula>
    </cfRule>
    <cfRule type="cellIs" dxfId="27648" priority="1914" operator="lessThan">
      <formula>-105575</formula>
    </cfRule>
  </conditionalFormatting>
  <conditionalFormatting sqref="BB199:BB202">
    <cfRule type="cellIs" dxfId="27647" priority="1909" operator="lessThan">
      <formula>0</formula>
    </cfRule>
    <cfRule type="cellIs" dxfId="27646" priority="1910" operator="lessThan">
      <formula>-105575</formula>
    </cfRule>
  </conditionalFormatting>
  <conditionalFormatting sqref="BB199:BB202">
    <cfRule type="cellIs" dxfId="27645" priority="1911" operator="lessThan">
      <formula>0</formula>
    </cfRule>
    <cfRule type="cellIs" dxfId="27644" priority="1912" operator="lessThan">
      <formula>-105575</formula>
    </cfRule>
  </conditionalFormatting>
  <conditionalFormatting sqref="BB204:BB208">
    <cfRule type="cellIs" dxfId="27643" priority="1907" operator="lessThan">
      <formula>0</formula>
    </cfRule>
    <cfRule type="cellIs" dxfId="27642" priority="1908" operator="lessThan">
      <formula>-105575</formula>
    </cfRule>
  </conditionalFormatting>
  <conditionalFormatting sqref="BB204:BB208">
    <cfRule type="cellIs" dxfId="27641" priority="1903" operator="lessThan">
      <formula>0</formula>
    </cfRule>
    <cfRule type="cellIs" dxfId="27640" priority="1904" operator="lessThan">
      <formula>-105575</formula>
    </cfRule>
  </conditionalFormatting>
  <conditionalFormatting sqref="BB204:BB208">
    <cfRule type="cellIs" dxfId="27639" priority="1905" operator="lessThan">
      <formula>0</formula>
    </cfRule>
    <cfRule type="cellIs" dxfId="27638" priority="1906" operator="lessThan">
      <formula>-105575</formula>
    </cfRule>
  </conditionalFormatting>
  <conditionalFormatting sqref="BB210:BB211">
    <cfRule type="cellIs" dxfId="27637" priority="1901" operator="lessThan">
      <formula>0</formula>
    </cfRule>
    <cfRule type="cellIs" dxfId="27636" priority="1902" operator="lessThan">
      <formula>-105575</formula>
    </cfRule>
  </conditionalFormatting>
  <conditionalFormatting sqref="BB210:BB211">
    <cfRule type="cellIs" dxfId="27635" priority="1897" operator="lessThan">
      <formula>0</formula>
    </cfRule>
    <cfRule type="cellIs" dxfId="27634" priority="1898" operator="lessThan">
      <formula>-105575</formula>
    </cfRule>
  </conditionalFormatting>
  <conditionalFormatting sqref="BB210:BB211">
    <cfRule type="cellIs" dxfId="27633" priority="1899" operator="lessThan">
      <formula>0</formula>
    </cfRule>
    <cfRule type="cellIs" dxfId="27632" priority="1900" operator="lessThan">
      <formula>-105575</formula>
    </cfRule>
  </conditionalFormatting>
  <conditionalFormatting sqref="BB214:BB219">
    <cfRule type="cellIs" dxfId="27631" priority="1895" operator="lessThan">
      <formula>0</formula>
    </cfRule>
    <cfRule type="cellIs" dxfId="27630" priority="1896" operator="lessThan">
      <formula>-105575</formula>
    </cfRule>
  </conditionalFormatting>
  <conditionalFormatting sqref="BB214:BB219">
    <cfRule type="cellIs" dxfId="27629" priority="1891" operator="lessThan">
      <formula>0</formula>
    </cfRule>
    <cfRule type="cellIs" dxfId="27628" priority="1892" operator="lessThan">
      <formula>-105575</formula>
    </cfRule>
  </conditionalFormatting>
  <conditionalFormatting sqref="BB214:BB219">
    <cfRule type="cellIs" dxfId="27627" priority="1893" operator="lessThan">
      <formula>0</formula>
    </cfRule>
    <cfRule type="cellIs" dxfId="27626" priority="1894" operator="lessThan">
      <formula>-105575</formula>
    </cfRule>
  </conditionalFormatting>
  <conditionalFormatting sqref="BB222:BB224">
    <cfRule type="cellIs" dxfId="27625" priority="1889" operator="lessThan">
      <formula>0</formula>
    </cfRule>
    <cfRule type="cellIs" dxfId="27624" priority="1890" operator="lessThan">
      <formula>-105575</formula>
    </cfRule>
  </conditionalFormatting>
  <conditionalFormatting sqref="BB222:BB224">
    <cfRule type="cellIs" dxfId="27623" priority="1885" operator="lessThan">
      <formula>0</formula>
    </cfRule>
    <cfRule type="cellIs" dxfId="27622" priority="1886" operator="lessThan">
      <formula>-105575</formula>
    </cfRule>
  </conditionalFormatting>
  <conditionalFormatting sqref="BB222:BB224">
    <cfRule type="cellIs" dxfId="27621" priority="1887" operator="lessThan">
      <formula>0</formula>
    </cfRule>
    <cfRule type="cellIs" dxfId="27620" priority="1888" operator="lessThan">
      <formula>-105575</formula>
    </cfRule>
  </conditionalFormatting>
  <conditionalFormatting sqref="BB227:BB230">
    <cfRule type="cellIs" dxfId="27619" priority="1883" operator="lessThan">
      <formula>0</formula>
    </cfRule>
    <cfRule type="cellIs" dxfId="27618" priority="1884" operator="lessThan">
      <formula>-105575</formula>
    </cfRule>
  </conditionalFormatting>
  <conditionalFormatting sqref="BB227:BB230">
    <cfRule type="cellIs" dxfId="27617" priority="1879" operator="lessThan">
      <formula>0</formula>
    </cfRule>
    <cfRule type="cellIs" dxfId="27616" priority="1880" operator="lessThan">
      <formula>-105575</formula>
    </cfRule>
  </conditionalFormatting>
  <conditionalFormatting sqref="BB227:BB230">
    <cfRule type="cellIs" dxfId="27615" priority="1881" operator="lessThan">
      <formula>0</formula>
    </cfRule>
    <cfRule type="cellIs" dxfId="27614" priority="1882" operator="lessThan">
      <formula>-105575</formula>
    </cfRule>
  </conditionalFormatting>
  <conditionalFormatting sqref="BB203 BB220:BB221 BB235:BB243 BB231:BB233 BB212:BB213 BB225:BB226">
    <cfRule type="cellIs" dxfId="27613" priority="1877" operator="lessThan">
      <formula>0</formula>
    </cfRule>
    <cfRule type="cellIs" dxfId="27612" priority="1878" operator="lessThan">
      <formula>-105575</formula>
    </cfRule>
  </conditionalFormatting>
  <conditionalFormatting sqref="BB220 BB212:BB213 BB235:BB238 BB240:BB243 BB225:BB226 BB231:BB233">
    <cfRule type="cellIs" dxfId="27611" priority="1875" operator="lessThan">
      <formula>0</formula>
    </cfRule>
    <cfRule type="cellIs" dxfId="27610" priority="1876" operator="lessThan">
      <formula>-105575</formula>
    </cfRule>
  </conditionalFormatting>
  <conditionalFormatting sqref="BB220:BB221 BB243 BB226 BB231:BB236 BB238:BB241 BB203 BB213">
    <cfRule type="cellIs" dxfId="27609" priority="1873" operator="lessThan">
      <formula>0</formula>
    </cfRule>
    <cfRule type="cellIs" dxfId="27608" priority="1874" operator="lessThan">
      <formula>-105575</formula>
    </cfRule>
  </conditionalFormatting>
  <conditionalFormatting sqref="BB235:BB243 BB231:BB233 BB220 BB212:BB213 BB225:BB226">
    <cfRule type="cellIs" dxfId="27607" priority="1871" operator="lessThan">
      <formula>0</formula>
    </cfRule>
    <cfRule type="cellIs" dxfId="27606" priority="1872" operator="lessThan">
      <formula>-105575</formula>
    </cfRule>
  </conditionalFormatting>
  <conditionalFormatting sqref="BB220:BB221 BB237:BB243 BB203 BB231:BB235 BB212:BB213 BB225:BB226">
    <cfRule type="cellIs" dxfId="27605" priority="1869" operator="lessThan">
      <formula>0</formula>
    </cfRule>
    <cfRule type="cellIs" dxfId="27604" priority="1870" operator="lessThan">
      <formula>-105575</formula>
    </cfRule>
  </conditionalFormatting>
  <conditionalFormatting sqref="BB220:BB221 BB237:BB240 BB242:BB243 BB225:BB226 BB231:BB235">
    <cfRule type="cellIs" dxfId="27603" priority="1867" operator="lessThan">
      <formula>0</formula>
    </cfRule>
    <cfRule type="cellIs" dxfId="27602" priority="1868" operator="lessThan">
      <formula>-105575</formula>
    </cfRule>
  </conditionalFormatting>
  <conditionalFormatting sqref="BB212 BB231 BB233:BB238 BB240:BB243 BB225">
    <cfRule type="cellIs" dxfId="27601" priority="1865" operator="lessThan">
      <formula>0</formula>
    </cfRule>
    <cfRule type="cellIs" dxfId="27600" priority="1866" operator="lessThan">
      <formula>-105575</formula>
    </cfRule>
  </conditionalFormatting>
  <conditionalFormatting sqref="BB237:BB243 BB231:BB235 BB220:BB221 BB225:BB226">
    <cfRule type="cellIs" dxfId="27599" priority="1863" operator="lessThan">
      <formula>0</formula>
    </cfRule>
    <cfRule type="cellIs" dxfId="27598" priority="1864" operator="lessThan">
      <formula>-105575</formula>
    </cfRule>
  </conditionalFormatting>
  <conditionalFormatting sqref="BB233:BB237 BB231 BB239:BB243">
    <cfRule type="cellIs" dxfId="27597" priority="1861" operator="lessThan">
      <formula>0</formula>
    </cfRule>
    <cfRule type="cellIs" dxfId="27596" priority="1862" operator="lessThan">
      <formula>-105575</formula>
    </cfRule>
  </conditionalFormatting>
  <conditionalFormatting sqref="BB233:BB237 BB231 BB239:BB243">
    <cfRule type="cellIs" dxfId="27595" priority="1859" operator="lessThan">
      <formula>0</formula>
    </cfRule>
    <cfRule type="cellIs" dxfId="27594" priority="1860" operator="lessThan">
      <formula>-105575</formula>
    </cfRule>
  </conditionalFormatting>
  <conditionalFormatting sqref="BB119:BB128 BB106:BB117 BB101:BB104 BB80:BB98">
    <cfRule type="cellIs" dxfId="27593" priority="1857" operator="lessThan">
      <formula>0</formula>
    </cfRule>
    <cfRule type="cellIs" dxfId="27592" priority="1858" operator="lessThan">
      <formula>-105575</formula>
    </cfRule>
  </conditionalFormatting>
  <conditionalFormatting sqref="BB130 BB132 BB134">
    <cfRule type="cellIs" dxfId="27591" priority="1855" operator="lessThan">
      <formula>0</formula>
    </cfRule>
    <cfRule type="cellIs" dxfId="27590" priority="1856" operator="lessThan">
      <formula>-105575</formula>
    </cfRule>
  </conditionalFormatting>
  <conditionalFormatting sqref="BB130 BB132 BB134">
    <cfRule type="cellIs" dxfId="27589" priority="1853" operator="lessThan">
      <formula>0</formula>
    </cfRule>
    <cfRule type="cellIs" dxfId="27588" priority="1854" operator="lessThan">
      <formula>-105575</formula>
    </cfRule>
  </conditionalFormatting>
  <conditionalFormatting sqref="BB129 BB131 BB133 BB135">
    <cfRule type="cellIs" dxfId="27587" priority="1851" operator="lessThan">
      <formula>0</formula>
    </cfRule>
    <cfRule type="cellIs" dxfId="27586" priority="1852" operator="lessThan">
      <formula>-105575</formula>
    </cfRule>
  </conditionalFormatting>
  <conditionalFormatting sqref="BB140 BB145 BB142:BB143 BB137:BB138">
    <cfRule type="cellIs" dxfId="27585" priority="1849" operator="lessThan">
      <formula>0</formula>
    </cfRule>
    <cfRule type="cellIs" dxfId="27584" priority="1850" operator="lessThan">
      <formula>-105575</formula>
    </cfRule>
  </conditionalFormatting>
  <conditionalFormatting sqref="BB149">
    <cfRule type="cellIs" dxfId="27583" priority="1847" operator="lessThan">
      <formula>0</formula>
    </cfRule>
    <cfRule type="cellIs" dxfId="27582" priority="1848" operator="lessThan">
      <formula>-105575</formula>
    </cfRule>
  </conditionalFormatting>
  <conditionalFormatting sqref="BB129:BB138 BB140:BB149">
    <cfRule type="cellIs" dxfId="27581" priority="1845" operator="lessThan">
      <formula>0</formula>
    </cfRule>
    <cfRule type="cellIs" dxfId="27580" priority="1846" operator="lessThan">
      <formula>-105575</formula>
    </cfRule>
  </conditionalFormatting>
  <conditionalFormatting sqref="BB86:BB87 BB89:BB91 BB141:BB149 BB124:BB133 BB107:BB110 BB112:BB117 BB119:BB122 BB135:BB138 BB101:BB104 BB80:BB84 BB94:BB98">
    <cfRule type="cellIs" dxfId="27579" priority="1843" operator="lessThan">
      <formula>0</formula>
    </cfRule>
    <cfRule type="cellIs" dxfId="27578" priority="1844" operator="lessThan">
      <formula>-105575</formula>
    </cfRule>
  </conditionalFormatting>
  <conditionalFormatting sqref="BB129 BB131 BB133 BB135">
    <cfRule type="cellIs" dxfId="27577" priority="1841" operator="lessThan">
      <formula>0</formula>
    </cfRule>
    <cfRule type="cellIs" dxfId="27576" priority="1842" operator="lessThan">
      <formula>-105575</formula>
    </cfRule>
  </conditionalFormatting>
  <conditionalFormatting sqref="BB146 BB144 BB141">
    <cfRule type="cellIs" dxfId="27575" priority="1839" operator="lessThan">
      <formula>0</formula>
    </cfRule>
    <cfRule type="cellIs" dxfId="27574" priority="1840" operator="lessThan">
      <formula>-105575</formula>
    </cfRule>
  </conditionalFormatting>
  <conditionalFormatting sqref="BB146 BB144 BB141">
    <cfRule type="cellIs" dxfId="27573" priority="1837" operator="lessThan">
      <formula>0</formula>
    </cfRule>
    <cfRule type="cellIs" dxfId="27572" priority="1838" operator="lessThan">
      <formula>-105575</formula>
    </cfRule>
  </conditionalFormatting>
  <conditionalFormatting sqref="BB140 BB145 BB142:BB143 BB137:BB138">
    <cfRule type="cellIs" dxfId="27571" priority="1835" operator="lessThan">
      <formula>0</formula>
    </cfRule>
    <cfRule type="cellIs" dxfId="27570" priority="1836" operator="lessThan">
      <formula>-105575</formula>
    </cfRule>
  </conditionalFormatting>
  <conditionalFormatting sqref="BB149">
    <cfRule type="cellIs" dxfId="27569" priority="1833" operator="lessThan">
      <formula>0</formula>
    </cfRule>
    <cfRule type="cellIs" dxfId="27568" priority="1834" operator="lessThan">
      <formula>-105575</formula>
    </cfRule>
  </conditionalFormatting>
  <conditionalFormatting sqref="BB86:BB87 BB89:BB91 BB141:BB149 BB124:BB133 BB107:BB110 BB112:BB117 BB119:BB122 BB135:BB138 BB101:BB104 BB80:BB84 BB94:BB98">
    <cfRule type="cellIs" dxfId="27567" priority="1831" operator="lessThan">
      <formula>0</formula>
    </cfRule>
    <cfRule type="cellIs" dxfId="27566" priority="1832" operator="lessThan">
      <formula>-105575</formula>
    </cfRule>
  </conditionalFormatting>
  <conditionalFormatting sqref="BB62:BB76 BB306:BB309 BB311:BB325 BB327:BB330 BB332:BB341 BB344:BB347 BB349:BB353 BB355:BB358 BB360:BB384 BB386:BB389 BB392:BB395 BB397:BB411 BB413:BB416 BB418:BB432 BB434:BB437 BB439:BB453 BB455:BB458 BB460:BB469 BB17:BB18 BB21:BB24 BB26:BB28 BB30:BB36 BB38 BB41:BB43 BB46:BB49 BB51:BB55 BB57:BB59 BB290:BB291 BB293:BB304 BB7:BB14">
    <cfRule type="cellIs" dxfId="27565" priority="1829" operator="lessThan">
      <formula>0</formula>
    </cfRule>
    <cfRule type="cellIs" dxfId="27564" priority="1830" operator="lessThan">
      <formula>-105575</formula>
    </cfRule>
  </conditionalFormatting>
  <conditionalFormatting sqref="BB41">
    <cfRule type="cellIs" dxfId="27563" priority="1827" operator="lessThan">
      <formula>0</formula>
    </cfRule>
    <cfRule type="cellIs" dxfId="27562" priority="1828" operator="lessThan">
      <formula>-105575</formula>
    </cfRule>
  </conditionalFormatting>
  <conditionalFormatting sqref="BB152:BB155">
    <cfRule type="cellIs" dxfId="27561" priority="1825" operator="lessThan">
      <formula>0</formula>
    </cfRule>
    <cfRule type="cellIs" dxfId="27560" priority="1826" operator="lessThan">
      <formula>-105575</formula>
    </cfRule>
  </conditionalFormatting>
  <conditionalFormatting sqref="BB152:BB155">
    <cfRule type="cellIs" dxfId="27559" priority="1823" operator="lessThan">
      <formula>0</formula>
    </cfRule>
    <cfRule type="cellIs" dxfId="27558" priority="1824" operator="lessThan">
      <formula>-105575</formula>
    </cfRule>
  </conditionalFormatting>
  <conditionalFormatting sqref="BB152:BB155">
    <cfRule type="cellIs" dxfId="27557" priority="1821" operator="lessThan">
      <formula>0</formula>
    </cfRule>
    <cfRule type="cellIs" dxfId="27556" priority="1822" operator="lessThan">
      <formula>-105575</formula>
    </cfRule>
  </conditionalFormatting>
  <conditionalFormatting sqref="BB157:BB158">
    <cfRule type="cellIs" dxfId="27555" priority="1819" operator="lessThan">
      <formula>0</formula>
    </cfRule>
    <cfRule type="cellIs" dxfId="27554" priority="1820" operator="lessThan">
      <formula>-105575</formula>
    </cfRule>
  </conditionalFormatting>
  <conditionalFormatting sqref="BB157:BB158">
    <cfRule type="cellIs" dxfId="27553" priority="1817" operator="lessThan">
      <formula>0</formula>
    </cfRule>
    <cfRule type="cellIs" dxfId="27552" priority="1818" operator="lessThan">
      <formula>-105575</formula>
    </cfRule>
  </conditionalFormatting>
  <conditionalFormatting sqref="BB157:BB158">
    <cfRule type="cellIs" dxfId="27551" priority="1815" operator="lessThan">
      <formula>0</formula>
    </cfRule>
    <cfRule type="cellIs" dxfId="27550" priority="1816" operator="lessThan">
      <formula>-105575</formula>
    </cfRule>
  </conditionalFormatting>
  <conditionalFormatting sqref="BB160:BB161">
    <cfRule type="cellIs" dxfId="27549" priority="1813" operator="lessThan">
      <formula>0</formula>
    </cfRule>
    <cfRule type="cellIs" dxfId="27548" priority="1814" operator="lessThan">
      <formula>-105575</formula>
    </cfRule>
  </conditionalFormatting>
  <conditionalFormatting sqref="BB160:BB161">
    <cfRule type="cellIs" dxfId="27547" priority="1811" operator="lessThan">
      <formula>0</formula>
    </cfRule>
    <cfRule type="cellIs" dxfId="27546" priority="1812" operator="lessThan">
      <formula>-105575</formula>
    </cfRule>
  </conditionalFormatting>
  <conditionalFormatting sqref="BB160:BB161">
    <cfRule type="cellIs" dxfId="27545" priority="1809" operator="lessThan">
      <formula>0</formula>
    </cfRule>
    <cfRule type="cellIs" dxfId="27544" priority="1810" operator="lessThan">
      <formula>-105575</formula>
    </cfRule>
  </conditionalFormatting>
  <conditionalFormatting sqref="BB164:BB167">
    <cfRule type="cellIs" dxfId="27543" priority="1807" operator="lessThan">
      <formula>0</formula>
    </cfRule>
    <cfRule type="cellIs" dxfId="27542" priority="1808" operator="lessThan">
      <formula>-105575</formula>
    </cfRule>
  </conditionalFormatting>
  <conditionalFormatting sqref="BB164:BB167">
    <cfRule type="cellIs" dxfId="27541" priority="1805" operator="lessThan">
      <formula>0</formula>
    </cfRule>
    <cfRule type="cellIs" dxfId="27540" priority="1806" operator="lessThan">
      <formula>-105575</formula>
    </cfRule>
  </conditionalFormatting>
  <conditionalFormatting sqref="BB164:BB167">
    <cfRule type="cellIs" dxfId="27539" priority="1803" operator="lessThan">
      <formula>0</formula>
    </cfRule>
    <cfRule type="cellIs" dxfId="27538" priority="1804" operator="lessThan">
      <formula>-105575</formula>
    </cfRule>
  </conditionalFormatting>
  <conditionalFormatting sqref="BB169:BB177">
    <cfRule type="cellIs" dxfId="27537" priority="1801" operator="lessThan">
      <formula>0</formula>
    </cfRule>
    <cfRule type="cellIs" dxfId="27536" priority="1802" operator="lessThan">
      <formula>-105575</formula>
    </cfRule>
  </conditionalFormatting>
  <conditionalFormatting sqref="BB169:BB177">
    <cfRule type="cellIs" dxfId="27535" priority="1799" operator="lessThan">
      <formula>0</formula>
    </cfRule>
    <cfRule type="cellIs" dxfId="27534" priority="1800" operator="lessThan">
      <formula>-105575</formula>
    </cfRule>
  </conditionalFormatting>
  <conditionalFormatting sqref="BB169:BB177">
    <cfRule type="cellIs" dxfId="27533" priority="1797" operator="lessThan">
      <formula>0</formula>
    </cfRule>
    <cfRule type="cellIs" dxfId="27532" priority="1798" operator="lessThan">
      <formula>-105575</formula>
    </cfRule>
  </conditionalFormatting>
  <conditionalFormatting sqref="BB179:BB180">
    <cfRule type="cellIs" dxfId="27531" priority="1795" operator="lessThan">
      <formula>0</formula>
    </cfRule>
    <cfRule type="cellIs" dxfId="27530" priority="1796" operator="lessThan">
      <formula>-105575</formula>
    </cfRule>
  </conditionalFormatting>
  <conditionalFormatting sqref="BB179:BB180">
    <cfRule type="cellIs" dxfId="27529" priority="1793" operator="lessThan">
      <formula>0</formula>
    </cfRule>
    <cfRule type="cellIs" dxfId="27528" priority="1794" operator="lessThan">
      <formula>-105575</formula>
    </cfRule>
  </conditionalFormatting>
  <conditionalFormatting sqref="BB179:BB180">
    <cfRule type="cellIs" dxfId="27527" priority="1791" operator="lessThan">
      <formula>0</formula>
    </cfRule>
    <cfRule type="cellIs" dxfId="27526" priority="1792" operator="lessThan">
      <formula>-105575</formula>
    </cfRule>
  </conditionalFormatting>
  <conditionalFormatting sqref="BB183:BB189">
    <cfRule type="cellIs" dxfId="27525" priority="1789" operator="lessThan">
      <formula>0</formula>
    </cfRule>
    <cfRule type="cellIs" dxfId="27524" priority="1790" operator="lessThan">
      <formula>-105575</formula>
    </cfRule>
  </conditionalFormatting>
  <conditionalFormatting sqref="BB183:BB189">
    <cfRule type="cellIs" dxfId="27523" priority="1787" operator="lessThan">
      <formula>0</formula>
    </cfRule>
    <cfRule type="cellIs" dxfId="27522" priority="1788" operator="lessThan">
      <formula>-105575</formula>
    </cfRule>
  </conditionalFormatting>
  <conditionalFormatting sqref="BB183:BB189">
    <cfRule type="cellIs" dxfId="27521" priority="1785" operator="lessThan">
      <formula>0</formula>
    </cfRule>
    <cfRule type="cellIs" dxfId="27520" priority="1786" operator="lessThan">
      <formula>-105575</formula>
    </cfRule>
  </conditionalFormatting>
  <conditionalFormatting sqref="BB191:BB192">
    <cfRule type="cellIs" dxfId="27519" priority="1783" operator="lessThan">
      <formula>0</formula>
    </cfRule>
    <cfRule type="cellIs" dxfId="27518" priority="1784" operator="lessThan">
      <formula>-105575</formula>
    </cfRule>
  </conditionalFormatting>
  <conditionalFormatting sqref="BB191:BB192">
    <cfRule type="cellIs" dxfId="27517" priority="1781" operator="lessThan">
      <formula>0</formula>
    </cfRule>
    <cfRule type="cellIs" dxfId="27516" priority="1782" operator="lessThan">
      <formula>-105575</formula>
    </cfRule>
  </conditionalFormatting>
  <conditionalFormatting sqref="BB191:BB192">
    <cfRule type="cellIs" dxfId="27515" priority="1779" operator="lessThan">
      <formula>0</formula>
    </cfRule>
    <cfRule type="cellIs" dxfId="27514" priority="1780" operator="lessThan">
      <formula>-105575</formula>
    </cfRule>
  </conditionalFormatting>
  <conditionalFormatting sqref="BB194:BB195">
    <cfRule type="cellIs" dxfId="27513" priority="1777" operator="lessThan">
      <formula>0</formula>
    </cfRule>
    <cfRule type="cellIs" dxfId="27512" priority="1778" operator="lessThan">
      <formula>-105575</formula>
    </cfRule>
  </conditionalFormatting>
  <conditionalFormatting sqref="BB194:BB195">
    <cfRule type="cellIs" dxfId="27511" priority="1775" operator="lessThan">
      <formula>0</formula>
    </cfRule>
    <cfRule type="cellIs" dxfId="27510" priority="1776" operator="lessThan">
      <formula>-105575</formula>
    </cfRule>
  </conditionalFormatting>
  <conditionalFormatting sqref="BB194:BB195">
    <cfRule type="cellIs" dxfId="27509" priority="1773" operator="lessThan">
      <formula>0</formula>
    </cfRule>
    <cfRule type="cellIs" dxfId="27508" priority="1774" operator="lessThan">
      <formula>-105575</formula>
    </cfRule>
  </conditionalFormatting>
  <conditionalFormatting sqref="BB199:BB202">
    <cfRule type="cellIs" dxfId="27507" priority="1771" operator="lessThan">
      <formula>0</formula>
    </cfRule>
    <cfRule type="cellIs" dxfId="27506" priority="1772" operator="lessThan">
      <formula>-105575</formula>
    </cfRule>
  </conditionalFormatting>
  <conditionalFormatting sqref="BB199:BB202">
    <cfRule type="cellIs" dxfId="27505" priority="1769" operator="lessThan">
      <formula>0</formula>
    </cfRule>
    <cfRule type="cellIs" dxfId="27504" priority="1770" operator="lessThan">
      <formula>-105575</formula>
    </cfRule>
  </conditionalFormatting>
  <conditionalFormatting sqref="BB199:BB202">
    <cfRule type="cellIs" dxfId="27503" priority="1767" operator="lessThan">
      <formula>0</formula>
    </cfRule>
    <cfRule type="cellIs" dxfId="27502" priority="1768" operator="lessThan">
      <formula>-105575</formula>
    </cfRule>
  </conditionalFormatting>
  <conditionalFormatting sqref="BB204:BB208">
    <cfRule type="cellIs" dxfId="27501" priority="1765" operator="lessThan">
      <formula>0</formula>
    </cfRule>
    <cfRule type="cellIs" dxfId="27500" priority="1766" operator="lessThan">
      <formula>-105575</formula>
    </cfRule>
  </conditionalFormatting>
  <conditionalFormatting sqref="BB204:BB208">
    <cfRule type="cellIs" dxfId="27499" priority="1763" operator="lessThan">
      <formula>0</formula>
    </cfRule>
    <cfRule type="cellIs" dxfId="27498" priority="1764" operator="lessThan">
      <formula>-105575</formula>
    </cfRule>
  </conditionalFormatting>
  <conditionalFormatting sqref="BB204:BB208">
    <cfRule type="cellIs" dxfId="27497" priority="1761" operator="lessThan">
      <formula>0</formula>
    </cfRule>
    <cfRule type="cellIs" dxfId="27496" priority="1762" operator="lessThan">
      <formula>-105575</formula>
    </cfRule>
  </conditionalFormatting>
  <conditionalFormatting sqref="BB210:BB211">
    <cfRule type="cellIs" dxfId="27495" priority="1759" operator="lessThan">
      <formula>0</formula>
    </cfRule>
    <cfRule type="cellIs" dxfId="27494" priority="1760" operator="lessThan">
      <formula>-105575</formula>
    </cfRule>
  </conditionalFormatting>
  <conditionalFormatting sqref="BB210:BB211">
    <cfRule type="cellIs" dxfId="27493" priority="1757" operator="lessThan">
      <formula>0</formula>
    </cfRule>
    <cfRule type="cellIs" dxfId="27492" priority="1758" operator="lessThan">
      <formula>-105575</formula>
    </cfRule>
  </conditionalFormatting>
  <conditionalFormatting sqref="BB210:BB211">
    <cfRule type="cellIs" dxfId="27491" priority="1755" operator="lessThan">
      <formula>0</formula>
    </cfRule>
    <cfRule type="cellIs" dxfId="27490" priority="1756" operator="lessThan">
      <formula>-105575</formula>
    </cfRule>
  </conditionalFormatting>
  <conditionalFormatting sqref="BB214:BB219">
    <cfRule type="cellIs" dxfId="27489" priority="1753" operator="lessThan">
      <formula>0</formula>
    </cfRule>
    <cfRule type="cellIs" dxfId="27488" priority="1754" operator="lessThan">
      <formula>-105575</formula>
    </cfRule>
  </conditionalFormatting>
  <conditionalFormatting sqref="BB214:BB219">
    <cfRule type="cellIs" dxfId="27487" priority="1751" operator="lessThan">
      <formula>0</formula>
    </cfRule>
    <cfRule type="cellIs" dxfId="27486" priority="1752" operator="lessThan">
      <formula>-105575</formula>
    </cfRule>
  </conditionalFormatting>
  <conditionalFormatting sqref="BB214:BB219">
    <cfRule type="cellIs" dxfId="27485" priority="1749" operator="lessThan">
      <formula>0</formula>
    </cfRule>
    <cfRule type="cellIs" dxfId="27484" priority="1750" operator="lessThan">
      <formula>-105575</formula>
    </cfRule>
  </conditionalFormatting>
  <conditionalFormatting sqref="BB222:BB224">
    <cfRule type="cellIs" dxfId="27483" priority="1747" operator="lessThan">
      <formula>0</formula>
    </cfRule>
    <cfRule type="cellIs" dxfId="27482" priority="1748" operator="lessThan">
      <formula>-105575</formula>
    </cfRule>
  </conditionalFormatting>
  <conditionalFormatting sqref="BB222:BB224">
    <cfRule type="cellIs" dxfId="27481" priority="1745" operator="lessThan">
      <formula>0</formula>
    </cfRule>
    <cfRule type="cellIs" dxfId="27480" priority="1746" operator="lessThan">
      <formula>-105575</formula>
    </cfRule>
  </conditionalFormatting>
  <conditionalFormatting sqref="BB222:BB224">
    <cfRule type="cellIs" dxfId="27479" priority="1743" operator="lessThan">
      <formula>0</formula>
    </cfRule>
    <cfRule type="cellIs" dxfId="27478" priority="1744" operator="lessThan">
      <formula>-105575</formula>
    </cfRule>
  </conditionalFormatting>
  <conditionalFormatting sqref="BB227:BB230">
    <cfRule type="cellIs" dxfId="27477" priority="1741" operator="lessThan">
      <formula>0</formula>
    </cfRule>
    <cfRule type="cellIs" dxfId="27476" priority="1742" operator="lessThan">
      <formula>-105575</formula>
    </cfRule>
  </conditionalFormatting>
  <conditionalFormatting sqref="BB227:BB230">
    <cfRule type="cellIs" dxfId="27475" priority="1739" operator="lessThan">
      <formula>0</formula>
    </cfRule>
    <cfRule type="cellIs" dxfId="27474" priority="1740" operator="lessThan">
      <formula>-105575</formula>
    </cfRule>
  </conditionalFormatting>
  <conditionalFormatting sqref="BB227:BB230">
    <cfRule type="cellIs" dxfId="27473" priority="1737" operator="lessThan">
      <formula>0</formula>
    </cfRule>
    <cfRule type="cellIs" dxfId="27472" priority="1738" operator="lessThan">
      <formula>-105575</formula>
    </cfRule>
  </conditionalFormatting>
  <conditionalFormatting sqref="BB246:BB249">
    <cfRule type="cellIs" dxfId="27471" priority="1735" operator="lessThan">
      <formula>0</formula>
    </cfRule>
    <cfRule type="cellIs" dxfId="27470" priority="1736" operator="lessThan">
      <formula>-105575</formula>
    </cfRule>
  </conditionalFormatting>
  <conditionalFormatting sqref="BB246:BB249">
    <cfRule type="cellIs" dxfId="27469" priority="1733" operator="lessThan">
      <formula>0</formula>
    </cfRule>
    <cfRule type="cellIs" dxfId="27468" priority="1734" operator="lessThan">
      <formula>-105575</formula>
    </cfRule>
  </conditionalFormatting>
  <conditionalFormatting sqref="BB246:BB249">
    <cfRule type="cellIs" dxfId="27467" priority="1731" operator="lessThan">
      <formula>0</formula>
    </cfRule>
    <cfRule type="cellIs" dxfId="27466" priority="1732" operator="lessThan">
      <formula>-105575</formula>
    </cfRule>
  </conditionalFormatting>
  <conditionalFormatting sqref="BB246:BB249">
    <cfRule type="cellIs" dxfId="27465" priority="1729" operator="lessThan">
      <formula>0</formula>
    </cfRule>
    <cfRule type="cellIs" dxfId="27464" priority="1730" operator="lessThan">
      <formula>-105575</formula>
    </cfRule>
  </conditionalFormatting>
  <conditionalFormatting sqref="BB246:BB249">
    <cfRule type="cellIs" dxfId="27463" priority="1727" operator="lessThan">
      <formula>0</formula>
    </cfRule>
    <cfRule type="cellIs" dxfId="27462" priority="1728" operator="lessThan">
      <formula>-105575</formula>
    </cfRule>
  </conditionalFormatting>
  <conditionalFormatting sqref="BB246:BB249">
    <cfRule type="cellIs" dxfId="27461" priority="1725" operator="lessThan">
      <formula>0</formula>
    </cfRule>
    <cfRule type="cellIs" dxfId="27460" priority="1726" operator="lessThan">
      <formula>-105575</formula>
    </cfRule>
  </conditionalFormatting>
  <conditionalFormatting sqref="BB246:BB249">
    <cfRule type="cellIs" dxfId="27459" priority="1723" operator="lessThan">
      <formula>0</formula>
    </cfRule>
    <cfRule type="cellIs" dxfId="27458" priority="1724" operator="lessThan">
      <formula>-105575</formula>
    </cfRule>
  </conditionalFormatting>
  <conditionalFormatting sqref="BB246:BB249">
    <cfRule type="cellIs" dxfId="27457" priority="1721" operator="lessThan">
      <formula>0</formula>
    </cfRule>
    <cfRule type="cellIs" dxfId="27456" priority="1722" operator="lessThan">
      <formula>-105575</formula>
    </cfRule>
  </conditionalFormatting>
  <conditionalFormatting sqref="BB246:BB249">
    <cfRule type="cellIs" dxfId="27455" priority="1719" operator="lessThan">
      <formula>0</formula>
    </cfRule>
    <cfRule type="cellIs" dxfId="27454" priority="1720" operator="lessThan">
      <formula>-105575</formula>
    </cfRule>
  </conditionalFormatting>
  <conditionalFormatting sqref="BB251:BB253">
    <cfRule type="cellIs" dxfId="27453" priority="1717" operator="lessThan">
      <formula>0</formula>
    </cfRule>
    <cfRule type="cellIs" dxfId="27452" priority="1718" operator="lessThan">
      <formula>-105575</formula>
    </cfRule>
  </conditionalFormatting>
  <conditionalFormatting sqref="BB251:BB253">
    <cfRule type="cellIs" dxfId="27451" priority="1715" operator="lessThan">
      <formula>0</formula>
    </cfRule>
    <cfRule type="cellIs" dxfId="27450" priority="1716" operator="lessThan">
      <formula>-105575</formula>
    </cfRule>
  </conditionalFormatting>
  <conditionalFormatting sqref="BB251:BB253">
    <cfRule type="cellIs" dxfId="27449" priority="1713" operator="lessThan">
      <formula>0</formula>
    </cfRule>
    <cfRule type="cellIs" dxfId="27448" priority="1714" operator="lessThan">
      <formula>-105575</formula>
    </cfRule>
  </conditionalFormatting>
  <conditionalFormatting sqref="BB251:BB253">
    <cfRule type="cellIs" dxfId="27447" priority="1711" operator="lessThan">
      <formula>0</formula>
    </cfRule>
    <cfRule type="cellIs" dxfId="27446" priority="1712" operator="lessThan">
      <formula>-105575</formula>
    </cfRule>
  </conditionalFormatting>
  <conditionalFormatting sqref="BB251:BB253">
    <cfRule type="cellIs" dxfId="27445" priority="1709" operator="lessThan">
      <formula>0</formula>
    </cfRule>
    <cfRule type="cellIs" dxfId="27444" priority="1710" operator="lessThan">
      <formula>-105575</formula>
    </cfRule>
  </conditionalFormatting>
  <conditionalFormatting sqref="BB251:BB253">
    <cfRule type="cellIs" dxfId="27443" priority="1707" operator="lessThan">
      <formula>0</formula>
    </cfRule>
    <cfRule type="cellIs" dxfId="27442" priority="1708" operator="lessThan">
      <formula>-105575</formula>
    </cfRule>
  </conditionalFormatting>
  <conditionalFormatting sqref="BB251:BB253">
    <cfRule type="cellIs" dxfId="27441" priority="1705" operator="lessThan">
      <formula>0</formula>
    </cfRule>
    <cfRule type="cellIs" dxfId="27440" priority="1706" operator="lessThan">
      <formula>-105575</formula>
    </cfRule>
  </conditionalFormatting>
  <conditionalFormatting sqref="BB251:BB253">
    <cfRule type="cellIs" dxfId="27439" priority="1703" operator="lessThan">
      <formula>0</formula>
    </cfRule>
    <cfRule type="cellIs" dxfId="27438" priority="1704" operator="lessThan">
      <formula>-105575</formula>
    </cfRule>
  </conditionalFormatting>
  <conditionalFormatting sqref="BB251:BB253">
    <cfRule type="cellIs" dxfId="27437" priority="1701" operator="lessThan">
      <formula>0</formula>
    </cfRule>
    <cfRule type="cellIs" dxfId="27436" priority="1702" operator="lessThan">
      <formula>-105575</formula>
    </cfRule>
  </conditionalFormatting>
  <conditionalFormatting sqref="BB255:BB257">
    <cfRule type="cellIs" dxfId="27435" priority="1699" operator="lessThan">
      <formula>0</formula>
    </cfRule>
    <cfRule type="cellIs" dxfId="27434" priority="1700" operator="lessThan">
      <formula>-105575</formula>
    </cfRule>
  </conditionalFormatting>
  <conditionalFormatting sqref="BB255:BB257">
    <cfRule type="cellIs" dxfId="27433" priority="1697" operator="lessThan">
      <formula>0</formula>
    </cfRule>
    <cfRule type="cellIs" dxfId="27432" priority="1698" operator="lessThan">
      <formula>-105575</formula>
    </cfRule>
  </conditionalFormatting>
  <conditionalFormatting sqref="BB255:BB257">
    <cfRule type="cellIs" dxfId="27431" priority="1695" operator="lessThan">
      <formula>0</formula>
    </cfRule>
    <cfRule type="cellIs" dxfId="27430" priority="1696" operator="lessThan">
      <formula>-105575</formula>
    </cfRule>
  </conditionalFormatting>
  <conditionalFormatting sqref="BB255:BB257">
    <cfRule type="cellIs" dxfId="27429" priority="1693" operator="lessThan">
      <formula>0</formula>
    </cfRule>
    <cfRule type="cellIs" dxfId="27428" priority="1694" operator="lessThan">
      <formula>-105575</formula>
    </cfRule>
  </conditionalFormatting>
  <conditionalFormatting sqref="BB255:BB257">
    <cfRule type="cellIs" dxfId="27427" priority="1691" operator="lessThan">
      <formula>0</formula>
    </cfRule>
    <cfRule type="cellIs" dxfId="27426" priority="1692" operator="lessThan">
      <formula>-105575</formula>
    </cfRule>
  </conditionalFormatting>
  <conditionalFormatting sqref="BB255:BB257">
    <cfRule type="cellIs" dxfId="27425" priority="1689" operator="lessThan">
      <formula>0</formula>
    </cfRule>
    <cfRule type="cellIs" dxfId="27424" priority="1690" operator="lessThan">
      <formula>-105575</formula>
    </cfRule>
  </conditionalFormatting>
  <conditionalFormatting sqref="BB255:BB257">
    <cfRule type="cellIs" dxfId="27423" priority="1687" operator="lessThan">
      <formula>0</formula>
    </cfRule>
    <cfRule type="cellIs" dxfId="27422" priority="1688" operator="lessThan">
      <formula>-105575</formula>
    </cfRule>
  </conditionalFormatting>
  <conditionalFormatting sqref="BB255:BB257">
    <cfRule type="cellIs" dxfId="27421" priority="1685" operator="lessThan">
      <formula>0</formula>
    </cfRule>
    <cfRule type="cellIs" dxfId="27420" priority="1686" operator="lessThan">
      <formula>-105575</formula>
    </cfRule>
  </conditionalFormatting>
  <conditionalFormatting sqref="BB255:BB257">
    <cfRule type="cellIs" dxfId="27419" priority="1683" operator="lessThan">
      <formula>0</formula>
    </cfRule>
    <cfRule type="cellIs" dxfId="27418" priority="1684" operator="lessThan">
      <formula>-105575</formula>
    </cfRule>
  </conditionalFormatting>
  <conditionalFormatting sqref="BB260:BB262">
    <cfRule type="cellIs" dxfId="27417" priority="1681" operator="lessThan">
      <formula>0</formula>
    </cfRule>
    <cfRule type="cellIs" dxfId="27416" priority="1682" operator="lessThan">
      <formula>-105575</formula>
    </cfRule>
  </conditionalFormatting>
  <conditionalFormatting sqref="BB260:BB262">
    <cfRule type="cellIs" dxfId="27415" priority="1679" operator="lessThan">
      <formula>0</formula>
    </cfRule>
    <cfRule type="cellIs" dxfId="27414" priority="1680" operator="lessThan">
      <formula>-105575</formula>
    </cfRule>
  </conditionalFormatting>
  <conditionalFormatting sqref="BB260:BB262">
    <cfRule type="cellIs" dxfId="27413" priority="1677" operator="lessThan">
      <formula>0</formula>
    </cfRule>
    <cfRule type="cellIs" dxfId="27412" priority="1678" operator="lessThan">
      <formula>-105575</formula>
    </cfRule>
  </conditionalFormatting>
  <conditionalFormatting sqref="BB260:BB262">
    <cfRule type="cellIs" dxfId="27411" priority="1675" operator="lessThan">
      <formula>0</formula>
    </cfRule>
    <cfRule type="cellIs" dxfId="27410" priority="1676" operator="lessThan">
      <formula>-105575</formula>
    </cfRule>
  </conditionalFormatting>
  <conditionalFormatting sqref="BB260:BB262">
    <cfRule type="cellIs" dxfId="27409" priority="1673" operator="lessThan">
      <formula>0</formula>
    </cfRule>
    <cfRule type="cellIs" dxfId="27408" priority="1674" operator="lessThan">
      <formula>-105575</formula>
    </cfRule>
  </conditionalFormatting>
  <conditionalFormatting sqref="BB260:BB262">
    <cfRule type="cellIs" dxfId="27407" priority="1671" operator="lessThan">
      <formula>0</formula>
    </cfRule>
    <cfRule type="cellIs" dxfId="27406" priority="1672" operator="lessThan">
      <formula>-105575</formula>
    </cfRule>
  </conditionalFormatting>
  <conditionalFormatting sqref="BB260:BB262">
    <cfRule type="cellIs" dxfId="27405" priority="1669" operator="lessThan">
      <formula>0</formula>
    </cfRule>
    <cfRule type="cellIs" dxfId="27404" priority="1670" operator="lessThan">
      <formula>-105575</formula>
    </cfRule>
  </conditionalFormatting>
  <conditionalFormatting sqref="BB260:BB262">
    <cfRule type="cellIs" dxfId="27403" priority="1667" operator="lessThan">
      <formula>0</formula>
    </cfRule>
    <cfRule type="cellIs" dxfId="27402" priority="1668" operator="lessThan">
      <formula>-105575</formula>
    </cfRule>
  </conditionalFormatting>
  <conditionalFormatting sqref="BB260:BB262">
    <cfRule type="cellIs" dxfId="27401" priority="1665" operator="lessThan">
      <formula>0</formula>
    </cfRule>
    <cfRule type="cellIs" dxfId="27400" priority="1666" operator="lessThan">
      <formula>-105575</formula>
    </cfRule>
  </conditionalFormatting>
  <conditionalFormatting sqref="BB264:BB267">
    <cfRule type="cellIs" dxfId="27399" priority="1663" operator="lessThan">
      <formula>0</formula>
    </cfRule>
    <cfRule type="cellIs" dxfId="27398" priority="1664" operator="lessThan">
      <formula>-105575</formula>
    </cfRule>
  </conditionalFormatting>
  <conditionalFormatting sqref="BB264:BB267">
    <cfRule type="cellIs" dxfId="27397" priority="1661" operator="lessThan">
      <formula>0</formula>
    </cfRule>
    <cfRule type="cellIs" dxfId="27396" priority="1662" operator="lessThan">
      <formula>-105575</formula>
    </cfRule>
  </conditionalFormatting>
  <conditionalFormatting sqref="BB264:BB267">
    <cfRule type="cellIs" dxfId="27395" priority="1659" operator="lessThan">
      <formula>0</formula>
    </cfRule>
    <cfRule type="cellIs" dxfId="27394" priority="1660" operator="lessThan">
      <formula>-105575</formula>
    </cfRule>
  </conditionalFormatting>
  <conditionalFormatting sqref="BB264:BB267">
    <cfRule type="cellIs" dxfId="27393" priority="1657" operator="lessThan">
      <formula>0</formula>
    </cfRule>
    <cfRule type="cellIs" dxfId="27392" priority="1658" operator="lessThan">
      <formula>-105575</formula>
    </cfRule>
  </conditionalFormatting>
  <conditionalFormatting sqref="BB264:BB267">
    <cfRule type="cellIs" dxfId="27391" priority="1655" operator="lessThan">
      <formula>0</formula>
    </cfRule>
    <cfRule type="cellIs" dxfId="27390" priority="1656" operator="lessThan">
      <formula>-105575</formula>
    </cfRule>
  </conditionalFormatting>
  <conditionalFormatting sqref="BB264:BB267">
    <cfRule type="cellIs" dxfId="27389" priority="1653" operator="lessThan">
      <formula>0</formula>
    </cfRule>
    <cfRule type="cellIs" dxfId="27388" priority="1654" operator="lessThan">
      <formula>-105575</formula>
    </cfRule>
  </conditionalFormatting>
  <conditionalFormatting sqref="BB264:BB267">
    <cfRule type="cellIs" dxfId="27387" priority="1651" operator="lessThan">
      <formula>0</formula>
    </cfRule>
    <cfRule type="cellIs" dxfId="27386" priority="1652" operator="lessThan">
      <formula>-105575</formula>
    </cfRule>
  </conditionalFormatting>
  <conditionalFormatting sqref="BB264:BB267">
    <cfRule type="cellIs" dxfId="27385" priority="1649" operator="lessThan">
      <formula>0</formula>
    </cfRule>
    <cfRule type="cellIs" dxfId="27384" priority="1650" operator="lessThan">
      <formula>-105575</formula>
    </cfRule>
  </conditionalFormatting>
  <conditionalFormatting sqref="BB264:BB267">
    <cfRule type="cellIs" dxfId="27383" priority="1647" operator="lessThan">
      <formula>0</formula>
    </cfRule>
    <cfRule type="cellIs" dxfId="27382" priority="1648" operator="lessThan">
      <formula>-105575</formula>
    </cfRule>
  </conditionalFormatting>
  <conditionalFormatting sqref="BB270:BB272">
    <cfRule type="cellIs" dxfId="27381" priority="1645" operator="lessThan">
      <formula>0</formula>
    </cfRule>
    <cfRule type="cellIs" dxfId="27380" priority="1646" operator="lessThan">
      <formula>-105575</formula>
    </cfRule>
  </conditionalFormatting>
  <conditionalFormatting sqref="BB270:BB272">
    <cfRule type="cellIs" dxfId="27379" priority="1643" operator="lessThan">
      <formula>0</formula>
    </cfRule>
    <cfRule type="cellIs" dxfId="27378" priority="1644" operator="lessThan">
      <formula>-105575</formula>
    </cfRule>
  </conditionalFormatting>
  <conditionalFormatting sqref="BB270:BB272">
    <cfRule type="cellIs" dxfId="27377" priority="1641" operator="lessThan">
      <formula>0</formula>
    </cfRule>
    <cfRule type="cellIs" dxfId="27376" priority="1642" operator="lessThan">
      <formula>-105575</formula>
    </cfRule>
  </conditionalFormatting>
  <conditionalFormatting sqref="BB270:BB272">
    <cfRule type="cellIs" dxfId="27375" priority="1639" operator="lessThan">
      <formula>0</formula>
    </cfRule>
    <cfRule type="cellIs" dxfId="27374" priority="1640" operator="lessThan">
      <formula>-105575</formula>
    </cfRule>
  </conditionalFormatting>
  <conditionalFormatting sqref="BB270:BB272">
    <cfRule type="cellIs" dxfId="27373" priority="1637" operator="lessThan">
      <formula>0</formula>
    </cfRule>
    <cfRule type="cellIs" dxfId="27372" priority="1638" operator="lessThan">
      <formula>-105575</formula>
    </cfRule>
  </conditionalFormatting>
  <conditionalFormatting sqref="BB270:BB272">
    <cfRule type="cellIs" dxfId="27371" priority="1635" operator="lessThan">
      <formula>0</formula>
    </cfRule>
    <cfRule type="cellIs" dxfId="27370" priority="1636" operator="lessThan">
      <formula>-105575</formula>
    </cfRule>
  </conditionalFormatting>
  <conditionalFormatting sqref="BB270:BB272">
    <cfRule type="cellIs" dxfId="27369" priority="1633" operator="lessThan">
      <formula>0</formula>
    </cfRule>
    <cfRule type="cellIs" dxfId="27368" priority="1634" operator="lessThan">
      <formula>-105575</formula>
    </cfRule>
  </conditionalFormatting>
  <conditionalFormatting sqref="BB270:BB272">
    <cfRule type="cellIs" dxfId="27367" priority="1631" operator="lessThan">
      <formula>0</formula>
    </cfRule>
    <cfRule type="cellIs" dxfId="27366" priority="1632" operator="lessThan">
      <formula>-105575</formula>
    </cfRule>
  </conditionalFormatting>
  <conditionalFormatting sqref="BB270:BB272">
    <cfRule type="cellIs" dxfId="27365" priority="1629" operator="lessThan">
      <formula>0</formula>
    </cfRule>
    <cfRule type="cellIs" dxfId="27364" priority="1630" operator="lessThan">
      <formula>-105575</formula>
    </cfRule>
  </conditionalFormatting>
  <conditionalFormatting sqref="BB274:BB275">
    <cfRule type="cellIs" dxfId="27363" priority="1627" operator="lessThan">
      <formula>0</formula>
    </cfRule>
    <cfRule type="cellIs" dxfId="27362" priority="1628" operator="lessThan">
      <formula>-105575</formula>
    </cfRule>
  </conditionalFormatting>
  <conditionalFormatting sqref="BB274:BB275">
    <cfRule type="cellIs" dxfId="27361" priority="1625" operator="lessThan">
      <formula>0</formula>
    </cfRule>
    <cfRule type="cellIs" dxfId="27360" priority="1626" operator="lessThan">
      <formula>-105575</formula>
    </cfRule>
  </conditionalFormatting>
  <conditionalFormatting sqref="BB274:BB275">
    <cfRule type="cellIs" dxfId="27359" priority="1623" operator="lessThan">
      <formula>0</formula>
    </cfRule>
    <cfRule type="cellIs" dxfId="27358" priority="1624" operator="lessThan">
      <formula>-105575</formula>
    </cfRule>
  </conditionalFormatting>
  <conditionalFormatting sqref="BB274:BB275">
    <cfRule type="cellIs" dxfId="27357" priority="1621" operator="lessThan">
      <formula>0</formula>
    </cfRule>
    <cfRule type="cellIs" dxfId="27356" priority="1622" operator="lessThan">
      <formula>-105575</formula>
    </cfRule>
  </conditionalFormatting>
  <conditionalFormatting sqref="BB274:BB275">
    <cfRule type="cellIs" dxfId="27355" priority="1619" operator="lessThan">
      <formula>0</formula>
    </cfRule>
    <cfRule type="cellIs" dxfId="27354" priority="1620" operator="lessThan">
      <formula>-105575</formula>
    </cfRule>
  </conditionalFormatting>
  <conditionalFormatting sqref="BB274:BB275">
    <cfRule type="cellIs" dxfId="27353" priority="1617" operator="lessThan">
      <formula>0</formula>
    </cfRule>
    <cfRule type="cellIs" dxfId="27352" priority="1618" operator="lessThan">
      <formula>-105575</formula>
    </cfRule>
  </conditionalFormatting>
  <conditionalFormatting sqref="BB274:BB275">
    <cfRule type="cellIs" dxfId="27351" priority="1615" operator="lessThan">
      <formula>0</formula>
    </cfRule>
    <cfRule type="cellIs" dxfId="27350" priority="1616" operator="lessThan">
      <formula>-105575</formula>
    </cfRule>
  </conditionalFormatting>
  <conditionalFormatting sqref="BB274:BB275">
    <cfRule type="cellIs" dxfId="27349" priority="1613" operator="lessThan">
      <formula>0</formula>
    </cfRule>
    <cfRule type="cellIs" dxfId="27348" priority="1614" operator="lessThan">
      <formula>-105575</formula>
    </cfRule>
  </conditionalFormatting>
  <conditionalFormatting sqref="BB274:BB275">
    <cfRule type="cellIs" dxfId="27347" priority="1611" operator="lessThan">
      <formula>0</formula>
    </cfRule>
    <cfRule type="cellIs" dxfId="27346" priority="1612" operator="lessThan">
      <formula>-105575</formula>
    </cfRule>
  </conditionalFormatting>
  <conditionalFormatting sqref="BB278:BB282">
    <cfRule type="cellIs" dxfId="27345" priority="1609" operator="lessThan">
      <formula>0</formula>
    </cfRule>
    <cfRule type="cellIs" dxfId="27344" priority="1610" operator="lessThan">
      <formula>-105575</formula>
    </cfRule>
  </conditionalFormatting>
  <conditionalFormatting sqref="BB278:BB282">
    <cfRule type="cellIs" dxfId="27343" priority="1607" operator="lessThan">
      <formula>0</formula>
    </cfRule>
    <cfRule type="cellIs" dxfId="27342" priority="1608" operator="lessThan">
      <formula>-105575</formula>
    </cfRule>
  </conditionalFormatting>
  <conditionalFormatting sqref="BB278:BB282">
    <cfRule type="cellIs" dxfId="27341" priority="1605" operator="lessThan">
      <formula>0</formula>
    </cfRule>
    <cfRule type="cellIs" dxfId="27340" priority="1606" operator="lessThan">
      <formula>-105575</formula>
    </cfRule>
  </conditionalFormatting>
  <conditionalFormatting sqref="BB278:BB282">
    <cfRule type="cellIs" dxfId="27339" priority="1603" operator="lessThan">
      <formula>0</formula>
    </cfRule>
    <cfRule type="cellIs" dxfId="27338" priority="1604" operator="lessThan">
      <formula>-105575</formula>
    </cfRule>
  </conditionalFormatting>
  <conditionalFormatting sqref="BB278:BB282">
    <cfRule type="cellIs" dxfId="27337" priority="1601" operator="lessThan">
      <formula>0</formula>
    </cfRule>
    <cfRule type="cellIs" dxfId="27336" priority="1602" operator="lessThan">
      <formula>-105575</formula>
    </cfRule>
  </conditionalFormatting>
  <conditionalFormatting sqref="BB278:BB282">
    <cfRule type="cellIs" dxfId="27335" priority="1599" operator="lessThan">
      <formula>0</formula>
    </cfRule>
    <cfRule type="cellIs" dxfId="27334" priority="1600" operator="lessThan">
      <formula>-105575</formula>
    </cfRule>
  </conditionalFormatting>
  <conditionalFormatting sqref="BB278:BB282">
    <cfRule type="cellIs" dxfId="27333" priority="1597" operator="lessThan">
      <formula>0</formula>
    </cfRule>
    <cfRule type="cellIs" dxfId="27332" priority="1598" operator="lessThan">
      <formula>-105575</formula>
    </cfRule>
  </conditionalFormatting>
  <conditionalFormatting sqref="BB278:BB282">
    <cfRule type="cellIs" dxfId="27331" priority="1595" operator="lessThan">
      <formula>0</formula>
    </cfRule>
    <cfRule type="cellIs" dxfId="27330" priority="1596" operator="lessThan">
      <formula>-105575</formula>
    </cfRule>
  </conditionalFormatting>
  <conditionalFormatting sqref="BB278:BB282">
    <cfRule type="cellIs" dxfId="27329" priority="1593" operator="lessThan">
      <formula>0</formula>
    </cfRule>
    <cfRule type="cellIs" dxfId="27328" priority="1594" operator="lessThan">
      <formula>-105575</formula>
    </cfRule>
  </conditionalFormatting>
  <conditionalFormatting sqref="BB285:BB288">
    <cfRule type="cellIs" dxfId="27327" priority="1591" operator="lessThan">
      <formula>0</formula>
    </cfRule>
    <cfRule type="cellIs" dxfId="27326" priority="1592" operator="lessThan">
      <formula>-105575</formula>
    </cfRule>
  </conditionalFormatting>
  <conditionalFormatting sqref="BB285:BB288">
    <cfRule type="cellIs" dxfId="27325" priority="1589" operator="lessThan">
      <formula>0</formula>
    </cfRule>
    <cfRule type="cellIs" dxfId="27324" priority="1590" operator="lessThan">
      <formula>-105575</formula>
    </cfRule>
  </conditionalFormatting>
  <conditionalFormatting sqref="BB285:BB288">
    <cfRule type="cellIs" dxfId="27323" priority="1587" operator="lessThan">
      <formula>0</formula>
    </cfRule>
    <cfRule type="cellIs" dxfId="27322" priority="1588" operator="lessThan">
      <formula>-105575</formula>
    </cfRule>
  </conditionalFormatting>
  <conditionalFormatting sqref="BB285:BB288">
    <cfRule type="cellIs" dxfId="27321" priority="1585" operator="lessThan">
      <formula>0</formula>
    </cfRule>
    <cfRule type="cellIs" dxfId="27320" priority="1586" operator="lessThan">
      <formula>-105575</formula>
    </cfRule>
  </conditionalFormatting>
  <conditionalFormatting sqref="BB285:BB288">
    <cfRule type="cellIs" dxfId="27319" priority="1583" operator="lessThan">
      <formula>0</formula>
    </cfRule>
    <cfRule type="cellIs" dxfId="27318" priority="1584" operator="lessThan">
      <formula>-105575</formula>
    </cfRule>
  </conditionalFormatting>
  <conditionalFormatting sqref="BB285:BB288">
    <cfRule type="cellIs" dxfId="27317" priority="1581" operator="lessThan">
      <formula>0</formula>
    </cfRule>
    <cfRule type="cellIs" dxfId="27316" priority="1582" operator="lessThan">
      <formula>-105575</formula>
    </cfRule>
  </conditionalFormatting>
  <conditionalFormatting sqref="BB285:BB288">
    <cfRule type="cellIs" dxfId="27315" priority="1579" operator="lessThan">
      <formula>0</formula>
    </cfRule>
    <cfRule type="cellIs" dxfId="27314" priority="1580" operator="lessThan">
      <formula>-105575</formula>
    </cfRule>
  </conditionalFormatting>
  <conditionalFormatting sqref="BB285:BB288">
    <cfRule type="cellIs" dxfId="27313" priority="1577" operator="lessThan">
      <formula>0</formula>
    </cfRule>
    <cfRule type="cellIs" dxfId="27312" priority="1578" operator="lessThan">
      <formula>-105575</formula>
    </cfRule>
  </conditionalFormatting>
  <conditionalFormatting sqref="BB285:BB288">
    <cfRule type="cellIs" dxfId="27311" priority="1575" operator="lessThan">
      <formula>0</formula>
    </cfRule>
    <cfRule type="cellIs" dxfId="27310" priority="1576" operator="lessThan">
      <formula>-105575</formula>
    </cfRule>
  </conditionalFormatting>
  <conditionalFormatting sqref="BB203 BB220:BB221 BB235:BB243 BB231:BB233 BB212:BB213 BB225:BB226">
    <cfRule type="cellIs" dxfId="27309" priority="1573" operator="lessThan">
      <formula>0</formula>
    </cfRule>
    <cfRule type="cellIs" dxfId="27308" priority="1574" operator="lessThan">
      <formula>-105575</formula>
    </cfRule>
  </conditionalFormatting>
  <conditionalFormatting sqref="BB220 BB212:BB213 BB235:BB238 BB240:BB243 BB225:BB226 BB231:BB233">
    <cfRule type="cellIs" dxfId="27307" priority="1571" operator="lessThan">
      <formula>0</formula>
    </cfRule>
    <cfRule type="cellIs" dxfId="27306" priority="1572" operator="lessThan">
      <formula>-105575</formula>
    </cfRule>
  </conditionalFormatting>
  <conditionalFormatting sqref="BB220:BB221 BB243 BB226 BB231:BB236 BB238:BB241 BB203 BB213">
    <cfRule type="cellIs" dxfId="27305" priority="1569" operator="lessThan">
      <formula>0</formula>
    </cfRule>
    <cfRule type="cellIs" dxfId="27304" priority="1570" operator="lessThan">
      <formula>-105575</formula>
    </cfRule>
  </conditionalFormatting>
  <conditionalFormatting sqref="BB235:BB243 BB231:BB233 BB220 BB212:BB213 BB225:BB226">
    <cfRule type="cellIs" dxfId="27303" priority="1567" operator="lessThan">
      <formula>0</formula>
    </cfRule>
    <cfRule type="cellIs" dxfId="27302" priority="1568" operator="lessThan">
      <formula>-105575</formula>
    </cfRule>
  </conditionalFormatting>
  <conditionalFormatting sqref="BB220:BB221 BB237:BB243 BB203 BB231:BB235 BB212:BB213 BB225:BB226">
    <cfRule type="cellIs" dxfId="27301" priority="1565" operator="lessThan">
      <formula>0</formula>
    </cfRule>
    <cfRule type="cellIs" dxfId="27300" priority="1566" operator="lessThan">
      <formula>-105575</formula>
    </cfRule>
  </conditionalFormatting>
  <conditionalFormatting sqref="BB220:BB221 BB237:BB240 BB242:BB243 BB225:BB226 BB231:BB235">
    <cfRule type="cellIs" dxfId="27299" priority="1563" operator="lessThan">
      <formula>0</formula>
    </cfRule>
    <cfRule type="cellIs" dxfId="27298" priority="1564" operator="lessThan">
      <formula>-105575</formula>
    </cfRule>
  </conditionalFormatting>
  <conditionalFormatting sqref="BB212 BB231 BB233:BB238 BB240:BB243 BB225">
    <cfRule type="cellIs" dxfId="27297" priority="1561" operator="lessThan">
      <formula>0</formula>
    </cfRule>
    <cfRule type="cellIs" dxfId="27296" priority="1562" operator="lessThan">
      <formula>-105575</formula>
    </cfRule>
  </conditionalFormatting>
  <conditionalFormatting sqref="BB237:BB243 BB231:BB235 BB220:BB221 BB225:BB226">
    <cfRule type="cellIs" dxfId="27295" priority="1559" operator="lessThan">
      <formula>0</formula>
    </cfRule>
    <cfRule type="cellIs" dxfId="27294" priority="1560" operator="lessThan">
      <formula>-105575</formula>
    </cfRule>
  </conditionalFormatting>
  <conditionalFormatting sqref="BB233:BB237 BB231 BB239:BB243">
    <cfRule type="cellIs" dxfId="27293" priority="1557" operator="lessThan">
      <formula>0</formula>
    </cfRule>
    <cfRule type="cellIs" dxfId="27292" priority="1558" operator="lessThan">
      <formula>-105575</formula>
    </cfRule>
  </conditionalFormatting>
  <conditionalFormatting sqref="BB233:BB237 BB231 BB239:BB243">
    <cfRule type="cellIs" dxfId="27291" priority="1555" operator="lessThan">
      <formula>0</formula>
    </cfRule>
    <cfRule type="cellIs" dxfId="27290" priority="1556" operator="lessThan">
      <formula>-105575</formula>
    </cfRule>
  </conditionalFormatting>
  <conditionalFormatting sqref="BB119:BB128 BB106:BB117 BB101:BB104 BB80:BB98">
    <cfRule type="cellIs" dxfId="27289" priority="1553" operator="lessThan">
      <formula>0</formula>
    </cfRule>
    <cfRule type="cellIs" dxfId="27288" priority="1554" operator="lessThan">
      <formula>-105575</formula>
    </cfRule>
  </conditionalFormatting>
  <conditionalFormatting sqref="BB130 BB132 BB134">
    <cfRule type="cellIs" dxfId="27287" priority="1551" operator="lessThan">
      <formula>0</formula>
    </cfRule>
    <cfRule type="cellIs" dxfId="27286" priority="1552" operator="lessThan">
      <formula>-105575</formula>
    </cfRule>
  </conditionalFormatting>
  <conditionalFormatting sqref="BB130 BB132 BB134">
    <cfRule type="cellIs" dxfId="27285" priority="1549" operator="lessThan">
      <formula>0</formula>
    </cfRule>
    <cfRule type="cellIs" dxfId="27284" priority="1550" operator="lessThan">
      <formula>-105575</formula>
    </cfRule>
  </conditionalFormatting>
  <conditionalFormatting sqref="BB129 BB131 BB133 BB135">
    <cfRule type="cellIs" dxfId="27283" priority="1547" operator="lessThan">
      <formula>0</formula>
    </cfRule>
    <cfRule type="cellIs" dxfId="27282" priority="1548" operator="lessThan">
      <formula>-105575</formula>
    </cfRule>
  </conditionalFormatting>
  <conditionalFormatting sqref="BB140 BB145 BB142:BB143 BB137:BB138">
    <cfRule type="cellIs" dxfId="27281" priority="1545" operator="lessThan">
      <formula>0</formula>
    </cfRule>
    <cfRule type="cellIs" dxfId="27280" priority="1546" operator="lessThan">
      <formula>-105575</formula>
    </cfRule>
  </conditionalFormatting>
  <conditionalFormatting sqref="BB149">
    <cfRule type="cellIs" dxfId="27279" priority="1543" operator="lessThan">
      <formula>0</formula>
    </cfRule>
    <cfRule type="cellIs" dxfId="27278" priority="1544" operator="lessThan">
      <formula>-105575</formula>
    </cfRule>
  </conditionalFormatting>
  <conditionalFormatting sqref="BB129:BB138 BB140:BB149">
    <cfRule type="cellIs" dxfId="27277" priority="1541" operator="lessThan">
      <formula>0</formula>
    </cfRule>
    <cfRule type="cellIs" dxfId="27276" priority="1542" operator="lessThan">
      <formula>-105575</formula>
    </cfRule>
  </conditionalFormatting>
  <conditionalFormatting sqref="BB86:BB87 BB89:BB91 BB141:BB149 BB124:BB133 BB107:BB110 BB112:BB117 BB119:BB122 BB135:BB138 BB101:BB104 BB80:BB84 BB94:BB98">
    <cfRule type="cellIs" dxfId="27275" priority="1539" operator="lessThan">
      <formula>0</formula>
    </cfRule>
    <cfRule type="cellIs" dxfId="27274" priority="1540" operator="lessThan">
      <formula>-105575</formula>
    </cfRule>
  </conditionalFormatting>
  <conditionalFormatting sqref="BB129 BB131 BB133 BB135">
    <cfRule type="cellIs" dxfId="27273" priority="1537" operator="lessThan">
      <formula>0</formula>
    </cfRule>
    <cfRule type="cellIs" dxfId="27272" priority="1538" operator="lessThan">
      <formula>-105575</formula>
    </cfRule>
  </conditionalFormatting>
  <conditionalFormatting sqref="BB146 BB144 BB141">
    <cfRule type="cellIs" dxfId="27271" priority="1535" operator="lessThan">
      <formula>0</formula>
    </cfRule>
    <cfRule type="cellIs" dxfId="27270" priority="1536" operator="lessThan">
      <formula>-105575</formula>
    </cfRule>
  </conditionalFormatting>
  <conditionalFormatting sqref="BB146 BB144 BB141">
    <cfRule type="cellIs" dxfId="27269" priority="1533" operator="lessThan">
      <formula>0</formula>
    </cfRule>
    <cfRule type="cellIs" dxfId="27268" priority="1534" operator="lessThan">
      <formula>-105575</formula>
    </cfRule>
  </conditionalFormatting>
  <conditionalFormatting sqref="BB140 BB145 BB142:BB143 BB137:BB138">
    <cfRule type="cellIs" dxfId="27267" priority="1531" operator="lessThan">
      <formula>0</formula>
    </cfRule>
    <cfRule type="cellIs" dxfId="27266" priority="1532" operator="lessThan">
      <formula>-105575</formula>
    </cfRule>
  </conditionalFormatting>
  <conditionalFormatting sqref="BB149">
    <cfRule type="cellIs" dxfId="27265" priority="1529" operator="lessThan">
      <formula>0</formula>
    </cfRule>
    <cfRule type="cellIs" dxfId="27264" priority="1530" operator="lessThan">
      <formula>-105575</formula>
    </cfRule>
  </conditionalFormatting>
  <conditionalFormatting sqref="BB86:BB87 BB89:BB91 BB141:BB149 BB124:BB133 BB107:BB110 BB112:BB117 BB119:BB122 BB135:BB138 BB101:BB104 BB80:BB84 BB94:BB98">
    <cfRule type="cellIs" dxfId="27263" priority="1527" operator="lessThan">
      <formula>0</formula>
    </cfRule>
    <cfRule type="cellIs" dxfId="27262" priority="1528" operator="lessThan">
      <formula>-105575</formula>
    </cfRule>
  </conditionalFormatting>
  <conditionalFormatting sqref="BB246:BB249 BB262 BB267 BB279:BB282 BB285:BB288 BB274:BB275 BB306:BB309 BB311:BB325 BB327:BB330 BB332:BB341 BB344:BB347 BB349:BB353 BB355:BB358 BB360:BB384 BB386:BB389 BB392:BB395 BB397:BB411 BB413:BB416 BB418:BB432 BB434:BB437 BB439:BB453 BB455:BB458 BB460:BB469 BB17:BB18 BB21:BB24 BB26:BB28 BB30:BB36 BB38 BB41:BB43 BB46:BB49 BB51:BB55 BB57:BB59 BB62:BB76 BB251:BB253 BB255:BB257 BB293:BB304 BB264:BB265 BB260 BB290:BB291 BB270:BB272 BB7:BB14">
    <cfRule type="cellIs" dxfId="27261" priority="1525" operator="lessThan">
      <formula>0</formula>
    </cfRule>
    <cfRule type="cellIs" dxfId="27260" priority="1526" operator="lessThan">
      <formula>-105575</formula>
    </cfRule>
  </conditionalFormatting>
  <conditionalFormatting sqref="BB41">
    <cfRule type="cellIs" dxfId="27259" priority="1523" operator="lessThan">
      <formula>0</formula>
    </cfRule>
    <cfRule type="cellIs" dxfId="27258" priority="1524" operator="lessThan">
      <formula>-105575</formula>
    </cfRule>
  </conditionalFormatting>
  <conditionalFormatting sqref="BB152:BB155">
    <cfRule type="cellIs" dxfId="27257" priority="1521" operator="lessThan">
      <formula>0</formula>
    </cfRule>
    <cfRule type="cellIs" dxfId="27256" priority="1522" operator="lessThan">
      <formula>-105575</formula>
    </cfRule>
  </conditionalFormatting>
  <conditionalFormatting sqref="BB152:BB155">
    <cfRule type="cellIs" dxfId="27255" priority="1519" operator="lessThan">
      <formula>0</formula>
    </cfRule>
    <cfRule type="cellIs" dxfId="27254" priority="1520" operator="lessThan">
      <formula>-105575</formula>
    </cfRule>
  </conditionalFormatting>
  <conditionalFormatting sqref="BB152:BB155">
    <cfRule type="cellIs" dxfId="27253" priority="1517" operator="lessThan">
      <formula>0</formula>
    </cfRule>
    <cfRule type="cellIs" dxfId="27252" priority="1518" operator="lessThan">
      <formula>-105575</formula>
    </cfRule>
  </conditionalFormatting>
  <conditionalFormatting sqref="BB157:BB158">
    <cfRule type="cellIs" dxfId="27251" priority="1515" operator="lessThan">
      <formula>0</formula>
    </cfRule>
    <cfRule type="cellIs" dxfId="27250" priority="1516" operator="lessThan">
      <formula>-105575</formula>
    </cfRule>
  </conditionalFormatting>
  <conditionalFormatting sqref="BB157:BB158">
    <cfRule type="cellIs" dxfId="27249" priority="1513" operator="lessThan">
      <formula>0</formula>
    </cfRule>
    <cfRule type="cellIs" dxfId="27248" priority="1514" operator="lessThan">
      <formula>-105575</formula>
    </cfRule>
  </conditionalFormatting>
  <conditionalFormatting sqref="BB157:BB158">
    <cfRule type="cellIs" dxfId="27247" priority="1511" operator="lessThan">
      <formula>0</formula>
    </cfRule>
    <cfRule type="cellIs" dxfId="27246" priority="1512" operator="lessThan">
      <formula>-105575</formula>
    </cfRule>
  </conditionalFormatting>
  <conditionalFormatting sqref="BB160:BB161">
    <cfRule type="cellIs" dxfId="27245" priority="1509" operator="lessThan">
      <formula>0</formula>
    </cfRule>
    <cfRule type="cellIs" dxfId="27244" priority="1510" operator="lessThan">
      <formula>-105575</formula>
    </cfRule>
  </conditionalFormatting>
  <conditionalFormatting sqref="BB160:BB161">
    <cfRule type="cellIs" dxfId="27243" priority="1507" operator="lessThan">
      <formula>0</formula>
    </cfRule>
    <cfRule type="cellIs" dxfId="27242" priority="1508" operator="lessThan">
      <formula>-105575</formula>
    </cfRule>
  </conditionalFormatting>
  <conditionalFormatting sqref="BB160:BB161">
    <cfRule type="cellIs" dxfId="27241" priority="1505" operator="lessThan">
      <formula>0</formula>
    </cfRule>
    <cfRule type="cellIs" dxfId="27240" priority="1506" operator="lessThan">
      <formula>-105575</formula>
    </cfRule>
  </conditionalFormatting>
  <conditionalFormatting sqref="BB164:BB167">
    <cfRule type="cellIs" dxfId="27239" priority="1503" operator="lessThan">
      <formula>0</formula>
    </cfRule>
    <cfRule type="cellIs" dxfId="27238" priority="1504" operator="lessThan">
      <formula>-105575</formula>
    </cfRule>
  </conditionalFormatting>
  <conditionalFormatting sqref="BB164:BB167">
    <cfRule type="cellIs" dxfId="27237" priority="1501" operator="lessThan">
      <formula>0</formula>
    </cfRule>
    <cfRule type="cellIs" dxfId="27236" priority="1502" operator="lessThan">
      <formula>-105575</formula>
    </cfRule>
  </conditionalFormatting>
  <conditionalFormatting sqref="BB164:BB167">
    <cfRule type="cellIs" dxfId="27235" priority="1499" operator="lessThan">
      <formula>0</formula>
    </cfRule>
    <cfRule type="cellIs" dxfId="27234" priority="1500" operator="lessThan">
      <formula>-105575</formula>
    </cfRule>
  </conditionalFormatting>
  <conditionalFormatting sqref="BB169:BB177">
    <cfRule type="cellIs" dxfId="27233" priority="1497" operator="lessThan">
      <formula>0</formula>
    </cfRule>
    <cfRule type="cellIs" dxfId="27232" priority="1498" operator="lessThan">
      <formula>-105575</formula>
    </cfRule>
  </conditionalFormatting>
  <conditionalFormatting sqref="BB169:BB177">
    <cfRule type="cellIs" dxfId="27231" priority="1495" operator="lessThan">
      <formula>0</formula>
    </cfRule>
    <cfRule type="cellIs" dxfId="27230" priority="1496" operator="lessThan">
      <formula>-105575</formula>
    </cfRule>
  </conditionalFormatting>
  <conditionalFormatting sqref="BB169:BB177">
    <cfRule type="cellIs" dxfId="27229" priority="1493" operator="lessThan">
      <formula>0</formula>
    </cfRule>
    <cfRule type="cellIs" dxfId="27228" priority="1494" operator="lessThan">
      <formula>-105575</formula>
    </cfRule>
  </conditionalFormatting>
  <conditionalFormatting sqref="BB179:BB180">
    <cfRule type="cellIs" dxfId="27227" priority="1491" operator="lessThan">
      <formula>0</formula>
    </cfRule>
    <cfRule type="cellIs" dxfId="27226" priority="1492" operator="lessThan">
      <formula>-105575</formula>
    </cfRule>
  </conditionalFormatting>
  <conditionalFormatting sqref="BB179:BB180">
    <cfRule type="cellIs" dxfId="27225" priority="1489" operator="lessThan">
      <formula>0</formula>
    </cfRule>
    <cfRule type="cellIs" dxfId="27224" priority="1490" operator="lessThan">
      <formula>-105575</formula>
    </cfRule>
  </conditionalFormatting>
  <conditionalFormatting sqref="BB179:BB180">
    <cfRule type="cellIs" dxfId="27223" priority="1487" operator="lessThan">
      <formula>0</formula>
    </cfRule>
    <cfRule type="cellIs" dxfId="27222" priority="1488" operator="lessThan">
      <formula>-105575</formula>
    </cfRule>
  </conditionalFormatting>
  <conditionalFormatting sqref="BB183:BB189">
    <cfRule type="cellIs" dxfId="27221" priority="1485" operator="lessThan">
      <formula>0</formula>
    </cfRule>
    <cfRule type="cellIs" dxfId="27220" priority="1486" operator="lessThan">
      <formula>-105575</formula>
    </cfRule>
  </conditionalFormatting>
  <conditionalFormatting sqref="BB183:BB189">
    <cfRule type="cellIs" dxfId="27219" priority="1483" operator="lessThan">
      <formula>0</formula>
    </cfRule>
    <cfRule type="cellIs" dxfId="27218" priority="1484" operator="lessThan">
      <formula>-105575</formula>
    </cfRule>
  </conditionalFormatting>
  <conditionalFormatting sqref="BB183:BB189">
    <cfRule type="cellIs" dxfId="27217" priority="1481" operator="lessThan">
      <formula>0</formula>
    </cfRule>
    <cfRule type="cellIs" dxfId="27216" priority="1482" operator="lessThan">
      <formula>-105575</formula>
    </cfRule>
  </conditionalFormatting>
  <conditionalFormatting sqref="BB191:BB192">
    <cfRule type="cellIs" dxfId="27215" priority="1479" operator="lessThan">
      <formula>0</formula>
    </cfRule>
    <cfRule type="cellIs" dxfId="27214" priority="1480" operator="lessThan">
      <formula>-105575</formula>
    </cfRule>
  </conditionalFormatting>
  <conditionalFormatting sqref="BB191:BB192">
    <cfRule type="cellIs" dxfId="27213" priority="1477" operator="lessThan">
      <formula>0</formula>
    </cfRule>
    <cfRule type="cellIs" dxfId="27212" priority="1478" operator="lessThan">
      <formula>-105575</formula>
    </cfRule>
  </conditionalFormatting>
  <conditionalFormatting sqref="BB191:BB192">
    <cfRule type="cellIs" dxfId="27211" priority="1475" operator="lessThan">
      <formula>0</formula>
    </cfRule>
    <cfRule type="cellIs" dxfId="27210" priority="1476" operator="lessThan">
      <formula>-105575</formula>
    </cfRule>
  </conditionalFormatting>
  <conditionalFormatting sqref="BB194:BB195">
    <cfRule type="cellIs" dxfId="27209" priority="1473" operator="lessThan">
      <formula>0</formula>
    </cfRule>
    <cfRule type="cellIs" dxfId="27208" priority="1474" operator="lessThan">
      <formula>-105575</formula>
    </cfRule>
  </conditionalFormatting>
  <conditionalFormatting sqref="BB194:BB195">
    <cfRule type="cellIs" dxfId="27207" priority="1471" operator="lessThan">
      <formula>0</formula>
    </cfRule>
    <cfRule type="cellIs" dxfId="27206" priority="1472" operator="lessThan">
      <formula>-105575</formula>
    </cfRule>
  </conditionalFormatting>
  <conditionalFormatting sqref="BB194:BB195">
    <cfRule type="cellIs" dxfId="27205" priority="1469" operator="lessThan">
      <formula>0</formula>
    </cfRule>
    <cfRule type="cellIs" dxfId="27204" priority="1470" operator="lessThan">
      <formula>-105575</formula>
    </cfRule>
  </conditionalFormatting>
  <conditionalFormatting sqref="BB199:BB202">
    <cfRule type="cellIs" dxfId="27203" priority="1467" operator="lessThan">
      <formula>0</formula>
    </cfRule>
    <cfRule type="cellIs" dxfId="27202" priority="1468" operator="lessThan">
      <formula>-105575</formula>
    </cfRule>
  </conditionalFormatting>
  <conditionalFormatting sqref="BB199:BB202">
    <cfRule type="cellIs" dxfId="27201" priority="1465" operator="lessThan">
      <formula>0</formula>
    </cfRule>
    <cfRule type="cellIs" dxfId="27200" priority="1466" operator="lessThan">
      <formula>-105575</formula>
    </cfRule>
  </conditionalFormatting>
  <conditionalFormatting sqref="BB199:BB202">
    <cfRule type="cellIs" dxfId="27199" priority="1463" operator="lessThan">
      <formula>0</formula>
    </cfRule>
    <cfRule type="cellIs" dxfId="27198" priority="1464" operator="lessThan">
      <formula>-105575</formula>
    </cfRule>
  </conditionalFormatting>
  <conditionalFormatting sqref="BB204:BB208">
    <cfRule type="cellIs" dxfId="27197" priority="1461" operator="lessThan">
      <formula>0</formula>
    </cfRule>
    <cfRule type="cellIs" dxfId="27196" priority="1462" operator="lessThan">
      <formula>-105575</formula>
    </cfRule>
  </conditionalFormatting>
  <conditionalFormatting sqref="BB204:BB208">
    <cfRule type="cellIs" dxfId="27195" priority="1459" operator="lessThan">
      <formula>0</formula>
    </cfRule>
    <cfRule type="cellIs" dxfId="27194" priority="1460" operator="lessThan">
      <formula>-105575</formula>
    </cfRule>
  </conditionalFormatting>
  <conditionalFormatting sqref="BB204:BB208">
    <cfRule type="cellIs" dxfId="27193" priority="1457" operator="lessThan">
      <formula>0</formula>
    </cfRule>
    <cfRule type="cellIs" dxfId="27192" priority="1458" operator="lessThan">
      <formula>-105575</formula>
    </cfRule>
  </conditionalFormatting>
  <conditionalFormatting sqref="BB210:BB211">
    <cfRule type="cellIs" dxfId="27191" priority="1455" operator="lessThan">
      <formula>0</formula>
    </cfRule>
    <cfRule type="cellIs" dxfId="27190" priority="1456" operator="lessThan">
      <formula>-105575</formula>
    </cfRule>
  </conditionalFormatting>
  <conditionalFormatting sqref="BB210:BB211">
    <cfRule type="cellIs" dxfId="27189" priority="1453" operator="lessThan">
      <formula>0</formula>
    </cfRule>
    <cfRule type="cellIs" dxfId="27188" priority="1454" operator="lessThan">
      <formula>-105575</formula>
    </cfRule>
  </conditionalFormatting>
  <conditionalFormatting sqref="BB210:BB211">
    <cfRule type="cellIs" dxfId="27187" priority="1451" operator="lessThan">
      <formula>0</formula>
    </cfRule>
    <cfRule type="cellIs" dxfId="27186" priority="1452" operator="lessThan">
      <formula>-105575</formula>
    </cfRule>
  </conditionalFormatting>
  <conditionalFormatting sqref="BB214:BB219">
    <cfRule type="cellIs" dxfId="27185" priority="1449" operator="lessThan">
      <formula>0</formula>
    </cfRule>
    <cfRule type="cellIs" dxfId="27184" priority="1450" operator="lessThan">
      <formula>-105575</formula>
    </cfRule>
  </conditionalFormatting>
  <conditionalFormatting sqref="BB214:BB219">
    <cfRule type="cellIs" dxfId="27183" priority="1447" operator="lessThan">
      <formula>0</formula>
    </cfRule>
    <cfRule type="cellIs" dxfId="27182" priority="1448" operator="lessThan">
      <formula>-105575</formula>
    </cfRule>
  </conditionalFormatting>
  <conditionalFormatting sqref="BB214:BB219">
    <cfRule type="cellIs" dxfId="27181" priority="1445" operator="lessThan">
      <formula>0</formula>
    </cfRule>
    <cfRule type="cellIs" dxfId="27180" priority="1446" operator="lessThan">
      <formula>-105575</formula>
    </cfRule>
  </conditionalFormatting>
  <conditionalFormatting sqref="BB222:BB224">
    <cfRule type="cellIs" dxfId="27179" priority="1443" operator="lessThan">
      <formula>0</formula>
    </cfRule>
    <cfRule type="cellIs" dxfId="27178" priority="1444" operator="lessThan">
      <formula>-105575</formula>
    </cfRule>
  </conditionalFormatting>
  <conditionalFormatting sqref="BB222:BB224">
    <cfRule type="cellIs" dxfId="27177" priority="1441" operator="lessThan">
      <formula>0</formula>
    </cfRule>
    <cfRule type="cellIs" dxfId="27176" priority="1442" operator="lessThan">
      <formula>-105575</formula>
    </cfRule>
  </conditionalFormatting>
  <conditionalFormatting sqref="BB222:BB224">
    <cfRule type="cellIs" dxfId="27175" priority="1439" operator="lessThan">
      <formula>0</formula>
    </cfRule>
    <cfRule type="cellIs" dxfId="27174" priority="1440" operator="lessThan">
      <formula>-105575</formula>
    </cfRule>
  </conditionalFormatting>
  <conditionalFormatting sqref="BB227:BB230">
    <cfRule type="cellIs" dxfId="27173" priority="1437" operator="lessThan">
      <formula>0</formula>
    </cfRule>
    <cfRule type="cellIs" dxfId="27172" priority="1438" operator="lessThan">
      <formula>-105575</formula>
    </cfRule>
  </conditionalFormatting>
  <conditionalFormatting sqref="BB227:BB230">
    <cfRule type="cellIs" dxfId="27171" priority="1435" operator="lessThan">
      <formula>0</formula>
    </cfRule>
    <cfRule type="cellIs" dxfId="27170" priority="1436" operator="lessThan">
      <formula>-105575</formula>
    </cfRule>
  </conditionalFormatting>
  <conditionalFormatting sqref="BB227:BB230">
    <cfRule type="cellIs" dxfId="27169" priority="1433" operator="lessThan">
      <formula>0</formula>
    </cfRule>
    <cfRule type="cellIs" dxfId="27168" priority="1434" operator="lessThan">
      <formula>-105575</formula>
    </cfRule>
  </conditionalFormatting>
  <conditionalFormatting sqref="BB203 BB220:BB221 BB235:BB243 BB231:BB233 BB212:BB213 BB225:BB226">
    <cfRule type="cellIs" dxfId="27167" priority="1431" operator="lessThan">
      <formula>0</formula>
    </cfRule>
    <cfRule type="cellIs" dxfId="27166" priority="1432" operator="lessThan">
      <formula>-105575</formula>
    </cfRule>
  </conditionalFormatting>
  <conditionalFormatting sqref="BB220 BB212:BB213 BB235:BB238 BB240:BB243 BB225:BB226 BB231:BB233">
    <cfRule type="cellIs" dxfId="27165" priority="1429" operator="lessThan">
      <formula>0</formula>
    </cfRule>
    <cfRule type="cellIs" dxfId="27164" priority="1430" operator="lessThan">
      <formula>-105575</formula>
    </cfRule>
  </conditionalFormatting>
  <conditionalFormatting sqref="BB220:BB221 BB243 BB226 BB231:BB236 BB238:BB241 BB203 BB213">
    <cfRule type="cellIs" dxfId="27163" priority="1427" operator="lessThan">
      <formula>0</formula>
    </cfRule>
    <cfRule type="cellIs" dxfId="27162" priority="1428" operator="lessThan">
      <formula>-105575</formula>
    </cfRule>
  </conditionalFormatting>
  <conditionalFormatting sqref="BB235:BB243 BB231:BB233 BB220 BB212:BB213 BB225:BB226">
    <cfRule type="cellIs" dxfId="27161" priority="1425" operator="lessThan">
      <formula>0</formula>
    </cfRule>
    <cfRule type="cellIs" dxfId="27160" priority="1426" operator="lessThan">
      <formula>-105575</formula>
    </cfRule>
  </conditionalFormatting>
  <conditionalFormatting sqref="BB220:BB221 BB237:BB243 BB203 BB231:BB235 BB212:BB213 BB225:BB226">
    <cfRule type="cellIs" dxfId="27159" priority="1423" operator="lessThan">
      <formula>0</formula>
    </cfRule>
    <cfRule type="cellIs" dxfId="27158" priority="1424" operator="lessThan">
      <formula>-105575</formula>
    </cfRule>
  </conditionalFormatting>
  <conditionalFormatting sqref="BB220:BB221 BB237:BB240 BB242:BB243 BB225:BB226 BB231:BB235">
    <cfRule type="cellIs" dxfId="27157" priority="1421" operator="lessThan">
      <formula>0</formula>
    </cfRule>
    <cfRule type="cellIs" dxfId="27156" priority="1422" operator="lessThan">
      <formula>-105575</formula>
    </cfRule>
  </conditionalFormatting>
  <conditionalFormatting sqref="BB212 BB231 BB233:BB238 BB240:BB243 BB225">
    <cfRule type="cellIs" dxfId="27155" priority="1419" operator="lessThan">
      <formula>0</formula>
    </cfRule>
    <cfRule type="cellIs" dxfId="27154" priority="1420" operator="lessThan">
      <formula>-105575</formula>
    </cfRule>
  </conditionalFormatting>
  <conditionalFormatting sqref="BB237:BB243 BB231:BB235 BB220:BB221 BB225:BB226">
    <cfRule type="cellIs" dxfId="27153" priority="1417" operator="lessThan">
      <formula>0</formula>
    </cfRule>
    <cfRule type="cellIs" dxfId="27152" priority="1418" operator="lessThan">
      <formula>-105575</formula>
    </cfRule>
  </conditionalFormatting>
  <conditionalFormatting sqref="BB233:BB237 BB231 BB239:BB243">
    <cfRule type="cellIs" dxfId="27151" priority="1415" operator="lessThan">
      <formula>0</formula>
    </cfRule>
    <cfRule type="cellIs" dxfId="27150" priority="1416" operator="lessThan">
      <formula>-105575</formula>
    </cfRule>
  </conditionalFormatting>
  <conditionalFormatting sqref="BB233:BB237 BB231 BB239:BB243">
    <cfRule type="cellIs" dxfId="27149" priority="1413" operator="lessThan">
      <formula>0</formula>
    </cfRule>
    <cfRule type="cellIs" dxfId="27148" priority="1414" operator="lessThan">
      <formula>-105575</formula>
    </cfRule>
  </conditionalFormatting>
  <conditionalFormatting sqref="BB119:BB128 BB106:BB117 BB101:BB104 BB80:BB98">
    <cfRule type="cellIs" dxfId="27147" priority="1411" operator="lessThan">
      <formula>0</formula>
    </cfRule>
    <cfRule type="cellIs" dxfId="27146" priority="1412" operator="lessThan">
      <formula>-105575</formula>
    </cfRule>
  </conditionalFormatting>
  <conditionalFormatting sqref="BB130 BB132 BB134">
    <cfRule type="cellIs" dxfId="27145" priority="1409" operator="lessThan">
      <formula>0</formula>
    </cfRule>
    <cfRule type="cellIs" dxfId="27144" priority="1410" operator="lessThan">
      <formula>-105575</formula>
    </cfRule>
  </conditionalFormatting>
  <conditionalFormatting sqref="BB130 BB132 BB134">
    <cfRule type="cellIs" dxfId="27143" priority="1407" operator="lessThan">
      <formula>0</formula>
    </cfRule>
    <cfRule type="cellIs" dxfId="27142" priority="1408" operator="lessThan">
      <formula>-105575</formula>
    </cfRule>
  </conditionalFormatting>
  <conditionalFormatting sqref="BB129 BB131 BB133 BB135">
    <cfRule type="cellIs" dxfId="27141" priority="1405" operator="lessThan">
      <formula>0</formula>
    </cfRule>
    <cfRule type="cellIs" dxfId="27140" priority="1406" operator="lessThan">
      <formula>-105575</formula>
    </cfRule>
  </conditionalFormatting>
  <conditionalFormatting sqref="BB140 BB145 BB142:BB143 BB137:BB138">
    <cfRule type="cellIs" dxfId="27139" priority="1403" operator="lessThan">
      <formula>0</formula>
    </cfRule>
    <cfRule type="cellIs" dxfId="27138" priority="1404" operator="lessThan">
      <formula>-105575</formula>
    </cfRule>
  </conditionalFormatting>
  <conditionalFormatting sqref="BB149">
    <cfRule type="cellIs" dxfId="27137" priority="1401" operator="lessThan">
      <formula>0</formula>
    </cfRule>
    <cfRule type="cellIs" dxfId="27136" priority="1402" operator="lessThan">
      <formula>-105575</formula>
    </cfRule>
  </conditionalFormatting>
  <conditionalFormatting sqref="BB129:BB138 BB140:BB149">
    <cfRule type="cellIs" dxfId="27135" priority="1399" operator="lessThan">
      <formula>0</formula>
    </cfRule>
    <cfRule type="cellIs" dxfId="27134" priority="1400" operator="lessThan">
      <formula>-105575</formula>
    </cfRule>
  </conditionalFormatting>
  <conditionalFormatting sqref="BB86:BB87 BB89:BB91 BB141:BB149 BB124:BB133 BB107:BB110 BB112:BB117 BB119:BB122 BB135:BB138 BB101:BB104 BB80:BB84 BB94:BB98">
    <cfRule type="cellIs" dxfId="27133" priority="1397" operator="lessThan">
      <formula>0</formula>
    </cfRule>
    <cfRule type="cellIs" dxfId="27132" priority="1398" operator="lessThan">
      <formula>-105575</formula>
    </cfRule>
  </conditionalFormatting>
  <conditionalFormatting sqref="BB129 BB131 BB133 BB135">
    <cfRule type="cellIs" dxfId="27131" priority="1395" operator="lessThan">
      <formula>0</formula>
    </cfRule>
    <cfRule type="cellIs" dxfId="27130" priority="1396" operator="lessThan">
      <formula>-105575</formula>
    </cfRule>
  </conditionalFormatting>
  <conditionalFormatting sqref="BB146 BB144 BB141">
    <cfRule type="cellIs" dxfId="27129" priority="1393" operator="lessThan">
      <formula>0</formula>
    </cfRule>
    <cfRule type="cellIs" dxfId="27128" priority="1394" operator="lessThan">
      <formula>-105575</formula>
    </cfRule>
  </conditionalFormatting>
  <conditionalFormatting sqref="BB146 BB144 BB141">
    <cfRule type="cellIs" dxfId="27127" priority="1391" operator="lessThan">
      <formula>0</formula>
    </cfRule>
    <cfRule type="cellIs" dxfId="27126" priority="1392" operator="lessThan">
      <formula>-105575</formula>
    </cfRule>
  </conditionalFormatting>
  <conditionalFormatting sqref="BB140 BB145 BB142:BB143 BB137:BB138">
    <cfRule type="cellIs" dxfId="27125" priority="1389" operator="lessThan">
      <formula>0</formula>
    </cfRule>
    <cfRule type="cellIs" dxfId="27124" priority="1390" operator="lessThan">
      <formula>-105575</formula>
    </cfRule>
  </conditionalFormatting>
  <conditionalFormatting sqref="BB149">
    <cfRule type="cellIs" dxfId="27123" priority="1387" operator="lessThan">
      <formula>0</formula>
    </cfRule>
    <cfRule type="cellIs" dxfId="27122" priority="1388" operator="lessThan">
      <formula>-105575</formula>
    </cfRule>
  </conditionalFormatting>
  <conditionalFormatting sqref="BB86:BB87 BB89:BB91 BB141:BB149 BB124:BB133 BB107:BB110 BB112:BB117 BB119:BB122 BB135:BB138 BB101:BB104 BB80:BB84 BB94:BB98">
    <cfRule type="cellIs" dxfId="27121" priority="1385" operator="lessThan">
      <formula>0</formula>
    </cfRule>
    <cfRule type="cellIs" dxfId="27120" priority="1386" operator="lessThan">
      <formula>-105575</formula>
    </cfRule>
  </conditionalFormatting>
  <conditionalFormatting sqref="BB62:BB76 BB306:BB309 BB311:BB325 BB327:BB330 BB332:BB341 BB344:BB347 BB349:BB353 BB355:BB358 BB360:BB384 BB386:BB389 BB392:BB395 BB397:BB411 BB413:BB416 BB418:BB432 BB434:BB437 BB439:BB453 BB455:BB458 BB460:BB469 BB17:BB18 BB21:BB24 BB26:BB28 BB30:BB36 BB38 BB41:BB43 BB46:BB49 BB51:BB55 BB57:BB59 BB290:BB291 BB293:BB304 BB7:BB14">
    <cfRule type="cellIs" dxfId="27119" priority="1383" operator="lessThan">
      <formula>0</formula>
    </cfRule>
    <cfRule type="cellIs" dxfId="27118" priority="1384" operator="lessThan">
      <formula>-105575</formula>
    </cfRule>
  </conditionalFormatting>
  <conditionalFormatting sqref="BB41">
    <cfRule type="cellIs" dxfId="27117" priority="1381" operator="lessThan">
      <formula>0</formula>
    </cfRule>
    <cfRule type="cellIs" dxfId="27116" priority="1382" operator="lessThan">
      <formula>-105575</formula>
    </cfRule>
  </conditionalFormatting>
  <conditionalFormatting sqref="BB152:BB155">
    <cfRule type="cellIs" dxfId="27115" priority="1379" operator="lessThan">
      <formula>0</formula>
    </cfRule>
    <cfRule type="cellIs" dxfId="27114" priority="1380" operator="lessThan">
      <formula>-105575</formula>
    </cfRule>
  </conditionalFormatting>
  <conditionalFormatting sqref="BB152:BB155">
    <cfRule type="cellIs" dxfId="27113" priority="1377" operator="lessThan">
      <formula>0</formula>
    </cfRule>
    <cfRule type="cellIs" dxfId="27112" priority="1378" operator="lessThan">
      <formula>-105575</formula>
    </cfRule>
  </conditionalFormatting>
  <conditionalFormatting sqref="BB152:BB155">
    <cfRule type="cellIs" dxfId="27111" priority="1375" operator="lessThan">
      <formula>0</formula>
    </cfRule>
    <cfRule type="cellIs" dxfId="27110" priority="1376" operator="lessThan">
      <formula>-105575</formula>
    </cfRule>
  </conditionalFormatting>
  <conditionalFormatting sqref="BB157:BB158">
    <cfRule type="cellIs" dxfId="27109" priority="1373" operator="lessThan">
      <formula>0</formula>
    </cfRule>
    <cfRule type="cellIs" dxfId="27108" priority="1374" operator="lessThan">
      <formula>-105575</formula>
    </cfRule>
  </conditionalFormatting>
  <conditionalFormatting sqref="BB157:BB158">
    <cfRule type="cellIs" dxfId="27107" priority="1371" operator="lessThan">
      <formula>0</formula>
    </cfRule>
    <cfRule type="cellIs" dxfId="27106" priority="1372" operator="lessThan">
      <formula>-105575</formula>
    </cfRule>
  </conditionalFormatting>
  <conditionalFormatting sqref="BB157:BB158">
    <cfRule type="cellIs" dxfId="27105" priority="1369" operator="lessThan">
      <formula>0</formula>
    </cfRule>
    <cfRule type="cellIs" dxfId="27104" priority="1370" operator="lessThan">
      <formula>-105575</formula>
    </cfRule>
  </conditionalFormatting>
  <conditionalFormatting sqref="BB160:BB161">
    <cfRule type="cellIs" dxfId="27103" priority="1367" operator="lessThan">
      <formula>0</formula>
    </cfRule>
    <cfRule type="cellIs" dxfId="27102" priority="1368" operator="lessThan">
      <formula>-105575</formula>
    </cfRule>
  </conditionalFormatting>
  <conditionalFormatting sqref="BB160:BB161">
    <cfRule type="cellIs" dxfId="27101" priority="1365" operator="lessThan">
      <formula>0</formula>
    </cfRule>
    <cfRule type="cellIs" dxfId="27100" priority="1366" operator="lessThan">
      <formula>-105575</formula>
    </cfRule>
  </conditionalFormatting>
  <conditionalFormatting sqref="BB160:BB161">
    <cfRule type="cellIs" dxfId="27099" priority="1363" operator="lessThan">
      <formula>0</formula>
    </cfRule>
    <cfRule type="cellIs" dxfId="27098" priority="1364" operator="lessThan">
      <formula>-105575</formula>
    </cfRule>
  </conditionalFormatting>
  <conditionalFormatting sqref="BB164:BB167">
    <cfRule type="cellIs" dxfId="27097" priority="1361" operator="lessThan">
      <formula>0</formula>
    </cfRule>
    <cfRule type="cellIs" dxfId="27096" priority="1362" operator="lessThan">
      <formula>-105575</formula>
    </cfRule>
  </conditionalFormatting>
  <conditionalFormatting sqref="BB164:BB167">
    <cfRule type="cellIs" dxfId="27095" priority="1359" operator="lessThan">
      <formula>0</formula>
    </cfRule>
    <cfRule type="cellIs" dxfId="27094" priority="1360" operator="lessThan">
      <formula>-105575</formula>
    </cfRule>
  </conditionalFormatting>
  <conditionalFormatting sqref="BB164:BB167">
    <cfRule type="cellIs" dxfId="27093" priority="1357" operator="lessThan">
      <formula>0</formula>
    </cfRule>
    <cfRule type="cellIs" dxfId="27092" priority="1358" operator="lessThan">
      <formula>-105575</formula>
    </cfRule>
  </conditionalFormatting>
  <conditionalFormatting sqref="BB169:BB177">
    <cfRule type="cellIs" dxfId="27091" priority="1355" operator="lessThan">
      <formula>0</formula>
    </cfRule>
    <cfRule type="cellIs" dxfId="27090" priority="1356" operator="lessThan">
      <formula>-105575</formula>
    </cfRule>
  </conditionalFormatting>
  <conditionalFormatting sqref="BB169:BB177">
    <cfRule type="cellIs" dxfId="27089" priority="1353" operator="lessThan">
      <formula>0</formula>
    </cfRule>
    <cfRule type="cellIs" dxfId="27088" priority="1354" operator="lessThan">
      <formula>-105575</formula>
    </cfRule>
  </conditionalFormatting>
  <conditionalFormatting sqref="BB169:BB177">
    <cfRule type="cellIs" dxfId="27087" priority="1351" operator="lessThan">
      <formula>0</formula>
    </cfRule>
    <cfRule type="cellIs" dxfId="27086" priority="1352" operator="lessThan">
      <formula>-105575</formula>
    </cfRule>
  </conditionalFormatting>
  <conditionalFormatting sqref="BB179:BB180">
    <cfRule type="cellIs" dxfId="27085" priority="1349" operator="lessThan">
      <formula>0</formula>
    </cfRule>
    <cfRule type="cellIs" dxfId="27084" priority="1350" operator="lessThan">
      <formula>-105575</formula>
    </cfRule>
  </conditionalFormatting>
  <conditionalFormatting sqref="BB179:BB180">
    <cfRule type="cellIs" dxfId="27083" priority="1347" operator="lessThan">
      <formula>0</formula>
    </cfRule>
    <cfRule type="cellIs" dxfId="27082" priority="1348" operator="lessThan">
      <formula>-105575</formula>
    </cfRule>
  </conditionalFormatting>
  <conditionalFormatting sqref="BB179:BB180">
    <cfRule type="cellIs" dxfId="27081" priority="1345" operator="lessThan">
      <formula>0</formula>
    </cfRule>
    <cfRule type="cellIs" dxfId="27080" priority="1346" operator="lessThan">
      <formula>-105575</formula>
    </cfRule>
  </conditionalFormatting>
  <conditionalFormatting sqref="BB183:BB189">
    <cfRule type="cellIs" dxfId="27079" priority="1343" operator="lessThan">
      <formula>0</formula>
    </cfRule>
    <cfRule type="cellIs" dxfId="27078" priority="1344" operator="lessThan">
      <formula>-105575</formula>
    </cfRule>
  </conditionalFormatting>
  <conditionalFormatting sqref="BB183:BB189">
    <cfRule type="cellIs" dxfId="27077" priority="1341" operator="lessThan">
      <formula>0</formula>
    </cfRule>
    <cfRule type="cellIs" dxfId="27076" priority="1342" operator="lessThan">
      <formula>-105575</formula>
    </cfRule>
  </conditionalFormatting>
  <conditionalFormatting sqref="BB183:BB189">
    <cfRule type="cellIs" dxfId="27075" priority="1339" operator="lessThan">
      <formula>0</formula>
    </cfRule>
    <cfRule type="cellIs" dxfId="27074" priority="1340" operator="lessThan">
      <formula>-105575</formula>
    </cfRule>
  </conditionalFormatting>
  <conditionalFormatting sqref="BB191:BB192">
    <cfRule type="cellIs" dxfId="27073" priority="1337" operator="lessThan">
      <formula>0</formula>
    </cfRule>
    <cfRule type="cellIs" dxfId="27072" priority="1338" operator="lessThan">
      <formula>-105575</formula>
    </cfRule>
  </conditionalFormatting>
  <conditionalFormatting sqref="BB191:BB192">
    <cfRule type="cellIs" dxfId="27071" priority="1335" operator="lessThan">
      <formula>0</formula>
    </cfRule>
    <cfRule type="cellIs" dxfId="27070" priority="1336" operator="lessThan">
      <formula>-105575</formula>
    </cfRule>
  </conditionalFormatting>
  <conditionalFormatting sqref="BB191:BB192">
    <cfRule type="cellIs" dxfId="27069" priority="1333" operator="lessThan">
      <formula>0</formula>
    </cfRule>
    <cfRule type="cellIs" dxfId="27068" priority="1334" operator="lessThan">
      <formula>-105575</formula>
    </cfRule>
  </conditionalFormatting>
  <conditionalFormatting sqref="BB194:BB195">
    <cfRule type="cellIs" dxfId="27067" priority="1331" operator="lessThan">
      <formula>0</formula>
    </cfRule>
    <cfRule type="cellIs" dxfId="27066" priority="1332" operator="lessThan">
      <formula>-105575</formula>
    </cfRule>
  </conditionalFormatting>
  <conditionalFormatting sqref="BB194:BB195">
    <cfRule type="cellIs" dxfId="27065" priority="1329" operator="lessThan">
      <formula>0</formula>
    </cfRule>
    <cfRule type="cellIs" dxfId="27064" priority="1330" operator="lessThan">
      <formula>-105575</formula>
    </cfRule>
  </conditionalFormatting>
  <conditionalFormatting sqref="BB194:BB195">
    <cfRule type="cellIs" dxfId="27063" priority="1327" operator="lessThan">
      <formula>0</formula>
    </cfRule>
    <cfRule type="cellIs" dxfId="27062" priority="1328" operator="lessThan">
      <formula>-105575</formula>
    </cfRule>
  </conditionalFormatting>
  <conditionalFormatting sqref="BB199:BB202">
    <cfRule type="cellIs" dxfId="27061" priority="1325" operator="lessThan">
      <formula>0</formula>
    </cfRule>
    <cfRule type="cellIs" dxfId="27060" priority="1326" operator="lessThan">
      <formula>-105575</formula>
    </cfRule>
  </conditionalFormatting>
  <conditionalFormatting sqref="BB199:BB202">
    <cfRule type="cellIs" dxfId="27059" priority="1323" operator="lessThan">
      <formula>0</formula>
    </cfRule>
    <cfRule type="cellIs" dxfId="27058" priority="1324" operator="lessThan">
      <formula>-105575</formula>
    </cfRule>
  </conditionalFormatting>
  <conditionalFormatting sqref="BB199:BB202">
    <cfRule type="cellIs" dxfId="27057" priority="1321" operator="lessThan">
      <formula>0</formula>
    </cfRule>
    <cfRule type="cellIs" dxfId="27056" priority="1322" operator="lessThan">
      <formula>-105575</formula>
    </cfRule>
  </conditionalFormatting>
  <conditionalFormatting sqref="BB204:BB208">
    <cfRule type="cellIs" dxfId="27055" priority="1319" operator="lessThan">
      <formula>0</formula>
    </cfRule>
    <cfRule type="cellIs" dxfId="27054" priority="1320" operator="lessThan">
      <formula>-105575</formula>
    </cfRule>
  </conditionalFormatting>
  <conditionalFormatting sqref="BB204:BB208">
    <cfRule type="cellIs" dxfId="27053" priority="1317" operator="lessThan">
      <formula>0</formula>
    </cfRule>
    <cfRule type="cellIs" dxfId="27052" priority="1318" operator="lessThan">
      <formula>-105575</formula>
    </cfRule>
  </conditionalFormatting>
  <conditionalFormatting sqref="BB204:BB208">
    <cfRule type="cellIs" dxfId="27051" priority="1315" operator="lessThan">
      <formula>0</formula>
    </cfRule>
    <cfRule type="cellIs" dxfId="27050" priority="1316" operator="lessThan">
      <formula>-105575</formula>
    </cfRule>
  </conditionalFormatting>
  <conditionalFormatting sqref="BB210:BB211">
    <cfRule type="cellIs" dxfId="27049" priority="1313" operator="lessThan">
      <formula>0</formula>
    </cfRule>
    <cfRule type="cellIs" dxfId="27048" priority="1314" operator="lessThan">
      <formula>-105575</formula>
    </cfRule>
  </conditionalFormatting>
  <conditionalFormatting sqref="BB210:BB211">
    <cfRule type="cellIs" dxfId="27047" priority="1311" operator="lessThan">
      <formula>0</formula>
    </cfRule>
    <cfRule type="cellIs" dxfId="27046" priority="1312" operator="lessThan">
      <formula>-105575</formula>
    </cfRule>
  </conditionalFormatting>
  <conditionalFormatting sqref="BB210:BB211">
    <cfRule type="cellIs" dxfId="27045" priority="1309" operator="lessThan">
      <formula>0</formula>
    </cfRule>
    <cfRule type="cellIs" dxfId="27044" priority="1310" operator="lessThan">
      <formula>-105575</formula>
    </cfRule>
  </conditionalFormatting>
  <conditionalFormatting sqref="BB214:BB219">
    <cfRule type="cellIs" dxfId="27043" priority="1307" operator="lessThan">
      <formula>0</formula>
    </cfRule>
    <cfRule type="cellIs" dxfId="27042" priority="1308" operator="lessThan">
      <formula>-105575</formula>
    </cfRule>
  </conditionalFormatting>
  <conditionalFormatting sqref="BB214:BB219">
    <cfRule type="cellIs" dxfId="27041" priority="1305" operator="lessThan">
      <formula>0</formula>
    </cfRule>
    <cfRule type="cellIs" dxfId="27040" priority="1306" operator="lessThan">
      <formula>-105575</formula>
    </cfRule>
  </conditionalFormatting>
  <conditionalFormatting sqref="BB214:BB219">
    <cfRule type="cellIs" dxfId="27039" priority="1303" operator="lessThan">
      <formula>0</formula>
    </cfRule>
    <cfRule type="cellIs" dxfId="27038" priority="1304" operator="lessThan">
      <formula>-105575</formula>
    </cfRule>
  </conditionalFormatting>
  <conditionalFormatting sqref="BB222:BB224">
    <cfRule type="cellIs" dxfId="27037" priority="1301" operator="lessThan">
      <formula>0</formula>
    </cfRule>
    <cfRule type="cellIs" dxfId="27036" priority="1302" operator="lessThan">
      <formula>-105575</formula>
    </cfRule>
  </conditionalFormatting>
  <conditionalFormatting sqref="BB222:BB224">
    <cfRule type="cellIs" dxfId="27035" priority="1299" operator="lessThan">
      <formula>0</formula>
    </cfRule>
    <cfRule type="cellIs" dxfId="27034" priority="1300" operator="lessThan">
      <formula>-105575</formula>
    </cfRule>
  </conditionalFormatting>
  <conditionalFormatting sqref="BB222:BB224">
    <cfRule type="cellIs" dxfId="27033" priority="1297" operator="lessThan">
      <formula>0</formula>
    </cfRule>
    <cfRule type="cellIs" dxfId="27032" priority="1298" operator="lessThan">
      <formula>-105575</formula>
    </cfRule>
  </conditionalFormatting>
  <conditionalFormatting sqref="BB227:BB230">
    <cfRule type="cellIs" dxfId="27031" priority="1295" operator="lessThan">
      <formula>0</formula>
    </cfRule>
    <cfRule type="cellIs" dxfId="27030" priority="1296" operator="lessThan">
      <formula>-105575</formula>
    </cfRule>
  </conditionalFormatting>
  <conditionalFormatting sqref="BB227:BB230">
    <cfRule type="cellIs" dxfId="27029" priority="1293" operator="lessThan">
      <formula>0</formula>
    </cfRule>
    <cfRule type="cellIs" dxfId="27028" priority="1294" operator="lessThan">
      <formula>-105575</formula>
    </cfRule>
  </conditionalFormatting>
  <conditionalFormatting sqref="BB227:BB230">
    <cfRule type="cellIs" dxfId="27027" priority="1291" operator="lessThan">
      <formula>0</formula>
    </cfRule>
    <cfRule type="cellIs" dxfId="27026" priority="1292" operator="lessThan">
      <formula>-105575</formula>
    </cfRule>
  </conditionalFormatting>
  <conditionalFormatting sqref="BB246:BB249">
    <cfRule type="cellIs" dxfId="27025" priority="1289" operator="lessThan">
      <formula>0</formula>
    </cfRule>
    <cfRule type="cellIs" dxfId="27024" priority="1290" operator="lessThan">
      <formula>-105575</formula>
    </cfRule>
  </conditionalFormatting>
  <conditionalFormatting sqref="BB246:BB249">
    <cfRule type="cellIs" dxfId="27023" priority="1287" operator="lessThan">
      <formula>0</formula>
    </cfRule>
    <cfRule type="cellIs" dxfId="27022" priority="1288" operator="lessThan">
      <formula>-105575</formula>
    </cfRule>
  </conditionalFormatting>
  <conditionalFormatting sqref="BB246:BB249">
    <cfRule type="cellIs" dxfId="27021" priority="1285" operator="lessThan">
      <formula>0</formula>
    </cfRule>
    <cfRule type="cellIs" dxfId="27020" priority="1286" operator="lessThan">
      <formula>-105575</formula>
    </cfRule>
  </conditionalFormatting>
  <conditionalFormatting sqref="BB246:BB249">
    <cfRule type="cellIs" dxfId="27019" priority="1283" operator="lessThan">
      <formula>0</formula>
    </cfRule>
    <cfRule type="cellIs" dxfId="27018" priority="1284" operator="lessThan">
      <formula>-105575</formula>
    </cfRule>
  </conditionalFormatting>
  <conditionalFormatting sqref="BB246:BB249">
    <cfRule type="cellIs" dxfId="27017" priority="1281" operator="lessThan">
      <formula>0</formula>
    </cfRule>
    <cfRule type="cellIs" dxfId="27016" priority="1282" operator="lessThan">
      <formula>-105575</formula>
    </cfRule>
  </conditionalFormatting>
  <conditionalFormatting sqref="BB246:BB249">
    <cfRule type="cellIs" dxfId="27015" priority="1279" operator="lessThan">
      <formula>0</formula>
    </cfRule>
    <cfRule type="cellIs" dxfId="27014" priority="1280" operator="lessThan">
      <formula>-105575</formula>
    </cfRule>
  </conditionalFormatting>
  <conditionalFormatting sqref="BB246:BB249">
    <cfRule type="cellIs" dxfId="27013" priority="1277" operator="lessThan">
      <formula>0</formula>
    </cfRule>
    <cfRule type="cellIs" dxfId="27012" priority="1278" operator="lessThan">
      <formula>-105575</formula>
    </cfRule>
  </conditionalFormatting>
  <conditionalFormatting sqref="BB246:BB249">
    <cfRule type="cellIs" dxfId="27011" priority="1275" operator="lessThan">
      <formula>0</formula>
    </cfRule>
    <cfRule type="cellIs" dxfId="27010" priority="1276" operator="lessThan">
      <formula>-105575</formula>
    </cfRule>
  </conditionalFormatting>
  <conditionalFormatting sqref="BB246:BB249">
    <cfRule type="cellIs" dxfId="27009" priority="1273" operator="lessThan">
      <formula>0</formula>
    </cfRule>
    <cfRule type="cellIs" dxfId="27008" priority="1274" operator="lessThan">
      <formula>-105575</formula>
    </cfRule>
  </conditionalFormatting>
  <conditionalFormatting sqref="BB251:BB253">
    <cfRule type="cellIs" dxfId="27007" priority="1271" operator="lessThan">
      <formula>0</formula>
    </cfRule>
    <cfRule type="cellIs" dxfId="27006" priority="1272" operator="lessThan">
      <formula>-105575</formula>
    </cfRule>
  </conditionalFormatting>
  <conditionalFormatting sqref="BB251:BB253">
    <cfRule type="cellIs" dxfId="27005" priority="1269" operator="lessThan">
      <formula>0</formula>
    </cfRule>
    <cfRule type="cellIs" dxfId="27004" priority="1270" operator="lessThan">
      <formula>-105575</formula>
    </cfRule>
  </conditionalFormatting>
  <conditionalFormatting sqref="BB251:BB253">
    <cfRule type="cellIs" dxfId="27003" priority="1267" operator="lessThan">
      <formula>0</formula>
    </cfRule>
    <cfRule type="cellIs" dxfId="27002" priority="1268" operator="lessThan">
      <formula>-105575</formula>
    </cfRule>
  </conditionalFormatting>
  <conditionalFormatting sqref="BB251:BB253">
    <cfRule type="cellIs" dxfId="27001" priority="1265" operator="lessThan">
      <formula>0</formula>
    </cfRule>
    <cfRule type="cellIs" dxfId="27000" priority="1266" operator="lessThan">
      <formula>-105575</formula>
    </cfRule>
  </conditionalFormatting>
  <conditionalFormatting sqref="BB251:BB253">
    <cfRule type="cellIs" dxfId="26999" priority="1263" operator="lessThan">
      <formula>0</formula>
    </cfRule>
    <cfRule type="cellIs" dxfId="26998" priority="1264" operator="lessThan">
      <formula>-105575</formula>
    </cfRule>
  </conditionalFormatting>
  <conditionalFormatting sqref="BB251:BB253">
    <cfRule type="cellIs" dxfId="26997" priority="1261" operator="lessThan">
      <formula>0</formula>
    </cfRule>
    <cfRule type="cellIs" dxfId="26996" priority="1262" operator="lessThan">
      <formula>-105575</formula>
    </cfRule>
  </conditionalFormatting>
  <conditionalFormatting sqref="BB251:BB253">
    <cfRule type="cellIs" dxfId="26995" priority="1259" operator="lessThan">
      <formula>0</formula>
    </cfRule>
    <cfRule type="cellIs" dxfId="26994" priority="1260" operator="lessThan">
      <formula>-105575</formula>
    </cfRule>
  </conditionalFormatting>
  <conditionalFormatting sqref="BB251:BB253">
    <cfRule type="cellIs" dxfId="26993" priority="1257" operator="lessThan">
      <formula>0</formula>
    </cfRule>
    <cfRule type="cellIs" dxfId="26992" priority="1258" operator="lessThan">
      <formula>-105575</formula>
    </cfRule>
  </conditionalFormatting>
  <conditionalFormatting sqref="BB251:BB253">
    <cfRule type="cellIs" dxfId="26991" priority="1255" operator="lessThan">
      <formula>0</formula>
    </cfRule>
    <cfRule type="cellIs" dxfId="26990" priority="1256" operator="lessThan">
      <formula>-105575</formula>
    </cfRule>
  </conditionalFormatting>
  <conditionalFormatting sqref="BB255:BB257">
    <cfRule type="cellIs" dxfId="26989" priority="1253" operator="lessThan">
      <formula>0</formula>
    </cfRule>
    <cfRule type="cellIs" dxfId="26988" priority="1254" operator="lessThan">
      <formula>-105575</formula>
    </cfRule>
  </conditionalFormatting>
  <conditionalFormatting sqref="BB255:BB257">
    <cfRule type="cellIs" dxfId="26987" priority="1251" operator="lessThan">
      <formula>0</formula>
    </cfRule>
    <cfRule type="cellIs" dxfId="26986" priority="1252" operator="lessThan">
      <formula>-105575</formula>
    </cfRule>
  </conditionalFormatting>
  <conditionalFormatting sqref="BB255:BB257">
    <cfRule type="cellIs" dxfId="26985" priority="1249" operator="lessThan">
      <formula>0</formula>
    </cfRule>
    <cfRule type="cellIs" dxfId="26984" priority="1250" operator="lessThan">
      <formula>-105575</formula>
    </cfRule>
  </conditionalFormatting>
  <conditionalFormatting sqref="BB255:BB257">
    <cfRule type="cellIs" dxfId="26983" priority="1247" operator="lessThan">
      <formula>0</formula>
    </cfRule>
    <cfRule type="cellIs" dxfId="26982" priority="1248" operator="lessThan">
      <formula>-105575</formula>
    </cfRule>
  </conditionalFormatting>
  <conditionalFormatting sqref="BB255:BB257">
    <cfRule type="cellIs" dxfId="26981" priority="1245" operator="lessThan">
      <formula>0</formula>
    </cfRule>
    <cfRule type="cellIs" dxfId="26980" priority="1246" operator="lessThan">
      <formula>-105575</formula>
    </cfRule>
  </conditionalFormatting>
  <conditionalFormatting sqref="BB255:BB257">
    <cfRule type="cellIs" dxfId="26979" priority="1243" operator="lessThan">
      <formula>0</formula>
    </cfRule>
    <cfRule type="cellIs" dxfId="26978" priority="1244" operator="lessThan">
      <formula>-105575</formula>
    </cfRule>
  </conditionalFormatting>
  <conditionalFormatting sqref="BB255:BB257">
    <cfRule type="cellIs" dxfId="26977" priority="1241" operator="lessThan">
      <formula>0</formula>
    </cfRule>
    <cfRule type="cellIs" dxfId="26976" priority="1242" operator="lessThan">
      <formula>-105575</formula>
    </cfRule>
  </conditionalFormatting>
  <conditionalFormatting sqref="BB255:BB257">
    <cfRule type="cellIs" dxfId="26975" priority="1239" operator="lessThan">
      <formula>0</formula>
    </cfRule>
    <cfRule type="cellIs" dxfId="26974" priority="1240" operator="lessThan">
      <formula>-105575</formula>
    </cfRule>
  </conditionalFormatting>
  <conditionalFormatting sqref="BB255:BB257">
    <cfRule type="cellIs" dxfId="26973" priority="1237" operator="lessThan">
      <formula>0</formula>
    </cfRule>
    <cfRule type="cellIs" dxfId="26972" priority="1238" operator="lessThan">
      <formula>-105575</formula>
    </cfRule>
  </conditionalFormatting>
  <conditionalFormatting sqref="BB260:BB262">
    <cfRule type="cellIs" dxfId="26971" priority="1235" operator="lessThan">
      <formula>0</formula>
    </cfRule>
    <cfRule type="cellIs" dxfId="26970" priority="1236" operator="lessThan">
      <formula>-105575</formula>
    </cfRule>
  </conditionalFormatting>
  <conditionalFormatting sqref="BB260:BB262">
    <cfRule type="cellIs" dxfId="26969" priority="1233" operator="lessThan">
      <formula>0</formula>
    </cfRule>
    <cfRule type="cellIs" dxfId="26968" priority="1234" operator="lessThan">
      <formula>-105575</formula>
    </cfRule>
  </conditionalFormatting>
  <conditionalFormatting sqref="BB260:BB262">
    <cfRule type="cellIs" dxfId="26967" priority="1231" operator="lessThan">
      <formula>0</formula>
    </cfRule>
    <cfRule type="cellIs" dxfId="26966" priority="1232" operator="lessThan">
      <formula>-105575</formula>
    </cfRule>
  </conditionalFormatting>
  <conditionalFormatting sqref="BB260:BB262">
    <cfRule type="cellIs" dxfId="26965" priority="1229" operator="lessThan">
      <formula>0</formula>
    </cfRule>
    <cfRule type="cellIs" dxfId="26964" priority="1230" operator="lessThan">
      <formula>-105575</formula>
    </cfRule>
  </conditionalFormatting>
  <conditionalFormatting sqref="BB260:BB262">
    <cfRule type="cellIs" dxfId="26963" priority="1227" operator="lessThan">
      <formula>0</formula>
    </cfRule>
    <cfRule type="cellIs" dxfId="26962" priority="1228" operator="lessThan">
      <formula>-105575</formula>
    </cfRule>
  </conditionalFormatting>
  <conditionalFormatting sqref="BB260:BB262">
    <cfRule type="cellIs" dxfId="26961" priority="1225" operator="lessThan">
      <formula>0</formula>
    </cfRule>
    <cfRule type="cellIs" dxfId="26960" priority="1226" operator="lessThan">
      <formula>-105575</formula>
    </cfRule>
  </conditionalFormatting>
  <conditionalFormatting sqref="BB260:BB262">
    <cfRule type="cellIs" dxfId="26959" priority="1223" operator="lessThan">
      <formula>0</formula>
    </cfRule>
    <cfRule type="cellIs" dxfId="26958" priority="1224" operator="lessThan">
      <formula>-105575</formula>
    </cfRule>
  </conditionalFormatting>
  <conditionalFormatting sqref="BB260:BB262">
    <cfRule type="cellIs" dxfId="26957" priority="1221" operator="lessThan">
      <formula>0</formula>
    </cfRule>
    <cfRule type="cellIs" dxfId="26956" priority="1222" operator="lessThan">
      <formula>-105575</formula>
    </cfRule>
  </conditionalFormatting>
  <conditionalFormatting sqref="BB260:BB262">
    <cfRule type="cellIs" dxfId="26955" priority="1219" operator="lessThan">
      <formula>0</formula>
    </cfRule>
    <cfRule type="cellIs" dxfId="26954" priority="1220" operator="lessThan">
      <formula>-105575</formula>
    </cfRule>
  </conditionalFormatting>
  <conditionalFormatting sqref="BB264:BB267">
    <cfRule type="cellIs" dxfId="26953" priority="1217" operator="lessThan">
      <formula>0</formula>
    </cfRule>
    <cfRule type="cellIs" dxfId="26952" priority="1218" operator="lessThan">
      <formula>-105575</formula>
    </cfRule>
  </conditionalFormatting>
  <conditionalFormatting sqref="BB264:BB267">
    <cfRule type="cellIs" dxfId="26951" priority="1215" operator="lessThan">
      <formula>0</formula>
    </cfRule>
    <cfRule type="cellIs" dxfId="26950" priority="1216" operator="lessThan">
      <formula>-105575</formula>
    </cfRule>
  </conditionalFormatting>
  <conditionalFormatting sqref="BB264:BB267">
    <cfRule type="cellIs" dxfId="26949" priority="1213" operator="lessThan">
      <formula>0</formula>
    </cfRule>
    <cfRule type="cellIs" dxfId="26948" priority="1214" operator="lessThan">
      <formula>-105575</formula>
    </cfRule>
  </conditionalFormatting>
  <conditionalFormatting sqref="BB264:BB267">
    <cfRule type="cellIs" dxfId="26947" priority="1211" operator="lessThan">
      <formula>0</formula>
    </cfRule>
    <cfRule type="cellIs" dxfId="26946" priority="1212" operator="lessThan">
      <formula>-105575</formula>
    </cfRule>
  </conditionalFormatting>
  <conditionalFormatting sqref="BB264:BB267">
    <cfRule type="cellIs" dxfId="26945" priority="1209" operator="lessThan">
      <formula>0</formula>
    </cfRule>
    <cfRule type="cellIs" dxfId="26944" priority="1210" operator="lessThan">
      <formula>-105575</formula>
    </cfRule>
  </conditionalFormatting>
  <conditionalFormatting sqref="BB264:BB267">
    <cfRule type="cellIs" dxfId="26943" priority="1207" operator="lessThan">
      <formula>0</formula>
    </cfRule>
    <cfRule type="cellIs" dxfId="26942" priority="1208" operator="lessThan">
      <formula>-105575</formula>
    </cfRule>
  </conditionalFormatting>
  <conditionalFormatting sqref="BB264:BB267">
    <cfRule type="cellIs" dxfId="26941" priority="1205" operator="lessThan">
      <formula>0</formula>
    </cfRule>
    <cfRule type="cellIs" dxfId="26940" priority="1206" operator="lessThan">
      <formula>-105575</formula>
    </cfRule>
  </conditionalFormatting>
  <conditionalFormatting sqref="BB264:BB267">
    <cfRule type="cellIs" dxfId="26939" priority="1203" operator="lessThan">
      <formula>0</formula>
    </cfRule>
    <cfRule type="cellIs" dxfId="26938" priority="1204" operator="lessThan">
      <formula>-105575</formula>
    </cfRule>
  </conditionalFormatting>
  <conditionalFormatting sqref="BB264:BB267">
    <cfRule type="cellIs" dxfId="26937" priority="1201" operator="lessThan">
      <formula>0</formula>
    </cfRule>
    <cfRule type="cellIs" dxfId="26936" priority="1202" operator="lessThan">
      <formula>-105575</formula>
    </cfRule>
  </conditionalFormatting>
  <conditionalFormatting sqref="BB270:BB272">
    <cfRule type="cellIs" dxfId="26935" priority="1199" operator="lessThan">
      <formula>0</formula>
    </cfRule>
    <cfRule type="cellIs" dxfId="26934" priority="1200" operator="lessThan">
      <formula>-105575</formula>
    </cfRule>
  </conditionalFormatting>
  <conditionalFormatting sqref="BB270:BB272">
    <cfRule type="cellIs" dxfId="26933" priority="1197" operator="lessThan">
      <formula>0</formula>
    </cfRule>
    <cfRule type="cellIs" dxfId="26932" priority="1198" operator="lessThan">
      <formula>-105575</formula>
    </cfRule>
  </conditionalFormatting>
  <conditionalFormatting sqref="BB270:BB272">
    <cfRule type="cellIs" dxfId="26931" priority="1195" operator="lessThan">
      <formula>0</formula>
    </cfRule>
    <cfRule type="cellIs" dxfId="26930" priority="1196" operator="lessThan">
      <formula>-105575</formula>
    </cfRule>
  </conditionalFormatting>
  <conditionalFormatting sqref="BB270:BB272">
    <cfRule type="cellIs" dxfId="26929" priority="1193" operator="lessThan">
      <formula>0</formula>
    </cfRule>
    <cfRule type="cellIs" dxfId="26928" priority="1194" operator="lessThan">
      <formula>-105575</formula>
    </cfRule>
  </conditionalFormatting>
  <conditionalFormatting sqref="BB270:BB272">
    <cfRule type="cellIs" dxfId="26927" priority="1191" operator="lessThan">
      <formula>0</formula>
    </cfRule>
    <cfRule type="cellIs" dxfId="26926" priority="1192" operator="lessThan">
      <formula>-105575</formula>
    </cfRule>
  </conditionalFormatting>
  <conditionalFormatting sqref="BB270:BB272">
    <cfRule type="cellIs" dxfId="26925" priority="1189" operator="lessThan">
      <formula>0</formula>
    </cfRule>
    <cfRule type="cellIs" dxfId="26924" priority="1190" operator="lessThan">
      <formula>-105575</formula>
    </cfRule>
  </conditionalFormatting>
  <conditionalFormatting sqref="BB270:BB272">
    <cfRule type="cellIs" dxfId="26923" priority="1187" operator="lessThan">
      <formula>0</formula>
    </cfRule>
    <cfRule type="cellIs" dxfId="26922" priority="1188" operator="lessThan">
      <formula>-105575</formula>
    </cfRule>
  </conditionalFormatting>
  <conditionalFormatting sqref="BB270:BB272">
    <cfRule type="cellIs" dxfId="26921" priority="1185" operator="lessThan">
      <formula>0</formula>
    </cfRule>
    <cfRule type="cellIs" dxfId="26920" priority="1186" operator="lessThan">
      <formula>-105575</formula>
    </cfRule>
  </conditionalFormatting>
  <conditionalFormatting sqref="BB270:BB272">
    <cfRule type="cellIs" dxfId="26919" priority="1183" operator="lessThan">
      <formula>0</formula>
    </cfRule>
    <cfRule type="cellIs" dxfId="26918" priority="1184" operator="lessThan">
      <formula>-105575</formula>
    </cfRule>
  </conditionalFormatting>
  <conditionalFormatting sqref="BB274:BB275">
    <cfRule type="cellIs" dxfId="26917" priority="1181" operator="lessThan">
      <formula>0</formula>
    </cfRule>
    <cfRule type="cellIs" dxfId="26916" priority="1182" operator="lessThan">
      <formula>-105575</formula>
    </cfRule>
  </conditionalFormatting>
  <conditionalFormatting sqref="BB274:BB275">
    <cfRule type="cellIs" dxfId="26915" priority="1179" operator="lessThan">
      <formula>0</formula>
    </cfRule>
    <cfRule type="cellIs" dxfId="26914" priority="1180" operator="lessThan">
      <formula>-105575</formula>
    </cfRule>
  </conditionalFormatting>
  <conditionalFormatting sqref="BB274:BB275">
    <cfRule type="cellIs" dxfId="26913" priority="1177" operator="lessThan">
      <formula>0</formula>
    </cfRule>
    <cfRule type="cellIs" dxfId="26912" priority="1178" operator="lessThan">
      <formula>-105575</formula>
    </cfRule>
  </conditionalFormatting>
  <conditionalFormatting sqref="BB274:BB275">
    <cfRule type="cellIs" dxfId="26911" priority="1175" operator="lessThan">
      <formula>0</formula>
    </cfRule>
    <cfRule type="cellIs" dxfId="26910" priority="1176" operator="lessThan">
      <formula>-105575</formula>
    </cfRule>
  </conditionalFormatting>
  <conditionalFormatting sqref="BB274:BB275">
    <cfRule type="cellIs" dxfId="26909" priority="1173" operator="lessThan">
      <formula>0</formula>
    </cfRule>
    <cfRule type="cellIs" dxfId="26908" priority="1174" operator="lessThan">
      <formula>-105575</formula>
    </cfRule>
  </conditionalFormatting>
  <conditionalFormatting sqref="BB274:BB275">
    <cfRule type="cellIs" dxfId="26907" priority="1171" operator="lessThan">
      <formula>0</formula>
    </cfRule>
    <cfRule type="cellIs" dxfId="26906" priority="1172" operator="lessThan">
      <formula>-105575</formula>
    </cfRule>
  </conditionalFormatting>
  <conditionalFormatting sqref="BB274:BB275">
    <cfRule type="cellIs" dxfId="26905" priority="1169" operator="lessThan">
      <formula>0</formula>
    </cfRule>
    <cfRule type="cellIs" dxfId="26904" priority="1170" operator="lessThan">
      <formula>-105575</formula>
    </cfRule>
  </conditionalFormatting>
  <conditionalFormatting sqref="BB274:BB275">
    <cfRule type="cellIs" dxfId="26903" priority="1167" operator="lessThan">
      <formula>0</formula>
    </cfRule>
    <cfRule type="cellIs" dxfId="26902" priority="1168" operator="lessThan">
      <formula>-105575</formula>
    </cfRule>
  </conditionalFormatting>
  <conditionalFormatting sqref="BB274:BB275">
    <cfRule type="cellIs" dxfId="26901" priority="1165" operator="lessThan">
      <formula>0</formula>
    </cfRule>
    <cfRule type="cellIs" dxfId="26900" priority="1166" operator="lessThan">
      <formula>-105575</formula>
    </cfRule>
  </conditionalFormatting>
  <conditionalFormatting sqref="BB278:BB282">
    <cfRule type="cellIs" dxfId="26899" priority="1163" operator="lessThan">
      <formula>0</formula>
    </cfRule>
    <cfRule type="cellIs" dxfId="26898" priority="1164" operator="lessThan">
      <formula>-105575</formula>
    </cfRule>
  </conditionalFormatting>
  <conditionalFormatting sqref="BB278:BB282">
    <cfRule type="cellIs" dxfId="26897" priority="1161" operator="lessThan">
      <formula>0</formula>
    </cfRule>
    <cfRule type="cellIs" dxfId="26896" priority="1162" operator="lessThan">
      <formula>-105575</formula>
    </cfRule>
  </conditionalFormatting>
  <conditionalFormatting sqref="BB278:BB282">
    <cfRule type="cellIs" dxfId="26895" priority="1159" operator="lessThan">
      <formula>0</formula>
    </cfRule>
    <cfRule type="cellIs" dxfId="26894" priority="1160" operator="lessThan">
      <formula>-105575</formula>
    </cfRule>
  </conditionalFormatting>
  <conditionalFormatting sqref="BB278:BB282">
    <cfRule type="cellIs" dxfId="26893" priority="1157" operator="lessThan">
      <formula>0</formula>
    </cfRule>
    <cfRule type="cellIs" dxfId="26892" priority="1158" operator="lessThan">
      <formula>-105575</formula>
    </cfRule>
  </conditionalFormatting>
  <conditionalFormatting sqref="BB278:BB282">
    <cfRule type="cellIs" dxfId="26891" priority="1155" operator="lessThan">
      <formula>0</formula>
    </cfRule>
    <cfRule type="cellIs" dxfId="26890" priority="1156" operator="lessThan">
      <formula>-105575</formula>
    </cfRule>
  </conditionalFormatting>
  <conditionalFormatting sqref="BB278:BB282">
    <cfRule type="cellIs" dxfId="26889" priority="1153" operator="lessThan">
      <formula>0</formula>
    </cfRule>
    <cfRule type="cellIs" dxfId="26888" priority="1154" operator="lessThan">
      <formula>-105575</formula>
    </cfRule>
  </conditionalFormatting>
  <conditionalFormatting sqref="BB278:BB282">
    <cfRule type="cellIs" dxfId="26887" priority="1151" operator="lessThan">
      <formula>0</formula>
    </cfRule>
    <cfRule type="cellIs" dxfId="26886" priority="1152" operator="lessThan">
      <formula>-105575</formula>
    </cfRule>
  </conditionalFormatting>
  <conditionalFormatting sqref="BB278:BB282">
    <cfRule type="cellIs" dxfId="26885" priority="1149" operator="lessThan">
      <formula>0</formula>
    </cfRule>
    <cfRule type="cellIs" dxfId="26884" priority="1150" operator="lessThan">
      <formula>-105575</formula>
    </cfRule>
  </conditionalFormatting>
  <conditionalFormatting sqref="BB278:BB282">
    <cfRule type="cellIs" dxfId="26883" priority="1147" operator="lessThan">
      <formula>0</formula>
    </cfRule>
    <cfRule type="cellIs" dxfId="26882" priority="1148" operator="lessThan">
      <formula>-105575</formula>
    </cfRule>
  </conditionalFormatting>
  <conditionalFormatting sqref="BB285:BB288">
    <cfRule type="cellIs" dxfId="26881" priority="1145" operator="lessThan">
      <formula>0</formula>
    </cfRule>
    <cfRule type="cellIs" dxfId="26880" priority="1146" operator="lessThan">
      <formula>-105575</formula>
    </cfRule>
  </conditionalFormatting>
  <conditionalFormatting sqref="BB285:BB288">
    <cfRule type="cellIs" dxfId="26879" priority="1143" operator="lessThan">
      <formula>0</formula>
    </cfRule>
    <cfRule type="cellIs" dxfId="26878" priority="1144" operator="lessThan">
      <formula>-105575</formula>
    </cfRule>
  </conditionalFormatting>
  <conditionalFormatting sqref="BB285:BB288">
    <cfRule type="cellIs" dxfId="26877" priority="1141" operator="lessThan">
      <formula>0</formula>
    </cfRule>
    <cfRule type="cellIs" dxfId="26876" priority="1142" operator="lessThan">
      <formula>-105575</formula>
    </cfRule>
  </conditionalFormatting>
  <conditionalFormatting sqref="BB285:BB288">
    <cfRule type="cellIs" dxfId="26875" priority="1139" operator="lessThan">
      <formula>0</formula>
    </cfRule>
    <cfRule type="cellIs" dxfId="26874" priority="1140" operator="lessThan">
      <formula>-105575</formula>
    </cfRule>
  </conditionalFormatting>
  <conditionalFormatting sqref="BB285:BB288">
    <cfRule type="cellIs" dxfId="26873" priority="1137" operator="lessThan">
      <formula>0</formula>
    </cfRule>
    <cfRule type="cellIs" dxfId="26872" priority="1138" operator="lessThan">
      <formula>-105575</formula>
    </cfRule>
  </conditionalFormatting>
  <conditionalFormatting sqref="BB285:BB288">
    <cfRule type="cellIs" dxfId="26871" priority="1135" operator="lessThan">
      <formula>0</formula>
    </cfRule>
    <cfRule type="cellIs" dxfId="26870" priority="1136" operator="lessThan">
      <formula>-105575</formula>
    </cfRule>
  </conditionalFormatting>
  <conditionalFormatting sqref="BB285:BB288">
    <cfRule type="cellIs" dxfId="26869" priority="1133" operator="lessThan">
      <formula>0</formula>
    </cfRule>
    <cfRule type="cellIs" dxfId="26868" priority="1134" operator="lessThan">
      <formula>-105575</formula>
    </cfRule>
  </conditionalFormatting>
  <conditionalFormatting sqref="BB285:BB288">
    <cfRule type="cellIs" dxfId="26867" priority="1131" operator="lessThan">
      <formula>0</formula>
    </cfRule>
    <cfRule type="cellIs" dxfId="26866" priority="1132" operator="lessThan">
      <formula>-105575</formula>
    </cfRule>
  </conditionalFormatting>
  <conditionalFormatting sqref="BB285:BB288">
    <cfRule type="cellIs" dxfId="26865" priority="1129" operator="lessThan">
      <formula>0</formula>
    </cfRule>
    <cfRule type="cellIs" dxfId="26864" priority="1130" operator="lessThan">
      <formula>-105575</formula>
    </cfRule>
  </conditionalFormatting>
  <conditionalFormatting sqref="BB203 BB220:BB221 BB235:BB243 BB231:BB233 BB212:BB213 BB225:BB226">
    <cfRule type="cellIs" dxfId="26863" priority="1127" operator="lessThan">
      <formula>0</formula>
    </cfRule>
    <cfRule type="cellIs" dxfId="26862" priority="1128" operator="lessThan">
      <formula>-105575</formula>
    </cfRule>
  </conditionalFormatting>
  <conditionalFormatting sqref="BB220 BB212:BB213 BB235:BB238 BB240:BB243 BB225:BB226 BB231:BB233">
    <cfRule type="cellIs" dxfId="26861" priority="1125" operator="lessThan">
      <formula>0</formula>
    </cfRule>
    <cfRule type="cellIs" dxfId="26860" priority="1126" operator="lessThan">
      <formula>-105575</formula>
    </cfRule>
  </conditionalFormatting>
  <conditionalFormatting sqref="BB220:BB221 BB243 BB226 BB231:BB236 BB238:BB241 BB203 BB213">
    <cfRule type="cellIs" dxfId="26859" priority="1123" operator="lessThan">
      <formula>0</formula>
    </cfRule>
    <cfRule type="cellIs" dxfId="26858" priority="1124" operator="lessThan">
      <formula>-105575</formula>
    </cfRule>
  </conditionalFormatting>
  <conditionalFormatting sqref="BB235:BB243 BB231:BB233 BB220 BB212:BB213 BB225:BB226">
    <cfRule type="cellIs" dxfId="26857" priority="1121" operator="lessThan">
      <formula>0</formula>
    </cfRule>
    <cfRule type="cellIs" dxfId="26856" priority="1122" operator="lessThan">
      <formula>-105575</formula>
    </cfRule>
  </conditionalFormatting>
  <conditionalFormatting sqref="BB220:BB221 BB237:BB243 BB203 BB231:BB235 BB212:BB213 BB225:BB226">
    <cfRule type="cellIs" dxfId="26855" priority="1119" operator="lessThan">
      <formula>0</formula>
    </cfRule>
    <cfRule type="cellIs" dxfId="26854" priority="1120" operator="lessThan">
      <formula>-105575</formula>
    </cfRule>
  </conditionalFormatting>
  <conditionalFormatting sqref="BB220:BB221 BB237:BB240 BB242:BB243 BB225:BB226 BB231:BB235">
    <cfRule type="cellIs" dxfId="26853" priority="1117" operator="lessThan">
      <formula>0</formula>
    </cfRule>
    <cfRule type="cellIs" dxfId="26852" priority="1118" operator="lessThan">
      <formula>-105575</formula>
    </cfRule>
  </conditionalFormatting>
  <conditionalFormatting sqref="BB212 BB231 BB233:BB238 BB240:BB243 BB225">
    <cfRule type="cellIs" dxfId="26851" priority="1115" operator="lessThan">
      <formula>0</formula>
    </cfRule>
    <cfRule type="cellIs" dxfId="26850" priority="1116" operator="lessThan">
      <formula>-105575</formula>
    </cfRule>
  </conditionalFormatting>
  <conditionalFormatting sqref="BB237:BB243 BB231:BB235 BB220:BB221 BB225:BB226">
    <cfRule type="cellIs" dxfId="26849" priority="1113" operator="lessThan">
      <formula>0</formula>
    </cfRule>
    <cfRule type="cellIs" dxfId="26848" priority="1114" operator="lessThan">
      <formula>-105575</formula>
    </cfRule>
  </conditionalFormatting>
  <conditionalFormatting sqref="BB233:BB237 BB231 BB239:BB243">
    <cfRule type="cellIs" dxfId="26847" priority="1111" operator="lessThan">
      <formula>0</formula>
    </cfRule>
    <cfRule type="cellIs" dxfId="26846" priority="1112" operator="lessThan">
      <formula>-105575</formula>
    </cfRule>
  </conditionalFormatting>
  <conditionalFormatting sqref="BB233:BB237 BB231 BB239:BB243">
    <cfRule type="cellIs" dxfId="26845" priority="1109" operator="lessThan">
      <formula>0</formula>
    </cfRule>
    <cfRule type="cellIs" dxfId="26844" priority="1110" operator="lessThan">
      <formula>-105575</formula>
    </cfRule>
  </conditionalFormatting>
  <conditionalFormatting sqref="BB119:BB128 BB106:BB117 BB101:BB104 BB80:BB98">
    <cfRule type="cellIs" dxfId="26843" priority="1107" operator="lessThan">
      <formula>0</formula>
    </cfRule>
    <cfRule type="cellIs" dxfId="26842" priority="1108" operator="lessThan">
      <formula>-105575</formula>
    </cfRule>
  </conditionalFormatting>
  <conditionalFormatting sqref="BB130 BB132 BB134">
    <cfRule type="cellIs" dxfId="26841" priority="1105" operator="lessThan">
      <formula>0</formula>
    </cfRule>
    <cfRule type="cellIs" dxfId="26840" priority="1106" operator="lessThan">
      <formula>-105575</formula>
    </cfRule>
  </conditionalFormatting>
  <conditionalFormatting sqref="BB130 BB132 BB134">
    <cfRule type="cellIs" dxfId="26839" priority="1103" operator="lessThan">
      <formula>0</formula>
    </cfRule>
    <cfRule type="cellIs" dxfId="26838" priority="1104" operator="lessThan">
      <formula>-105575</formula>
    </cfRule>
  </conditionalFormatting>
  <conditionalFormatting sqref="BB129 BB131 BB133 BB135">
    <cfRule type="cellIs" dxfId="26837" priority="1101" operator="lessThan">
      <formula>0</formula>
    </cfRule>
    <cfRule type="cellIs" dxfId="26836" priority="1102" operator="lessThan">
      <formula>-105575</formula>
    </cfRule>
  </conditionalFormatting>
  <conditionalFormatting sqref="BB140 BB145 BB142:BB143 BB137:BB138">
    <cfRule type="cellIs" dxfId="26835" priority="1099" operator="lessThan">
      <formula>0</formula>
    </cfRule>
    <cfRule type="cellIs" dxfId="26834" priority="1100" operator="lessThan">
      <formula>-105575</formula>
    </cfRule>
  </conditionalFormatting>
  <conditionalFormatting sqref="BB149">
    <cfRule type="cellIs" dxfId="26833" priority="1097" operator="lessThan">
      <formula>0</formula>
    </cfRule>
    <cfRule type="cellIs" dxfId="26832" priority="1098" operator="lessThan">
      <formula>-105575</formula>
    </cfRule>
  </conditionalFormatting>
  <conditionalFormatting sqref="BB129:BB138 BB140:BB149">
    <cfRule type="cellIs" dxfId="26831" priority="1095" operator="lessThan">
      <formula>0</formula>
    </cfRule>
    <cfRule type="cellIs" dxfId="26830" priority="1096" operator="lessThan">
      <formula>-105575</formula>
    </cfRule>
  </conditionalFormatting>
  <conditionalFormatting sqref="BB86:BB87 BB89:BB91 BB141:BB149 BB124:BB133 BB107:BB110 BB112:BB117 BB119:BB122 BB135:BB138 BB101:BB104 BB80:BB84 BB94:BB98">
    <cfRule type="cellIs" dxfId="26829" priority="1093" operator="lessThan">
      <formula>0</formula>
    </cfRule>
    <cfRule type="cellIs" dxfId="26828" priority="1094" operator="lessThan">
      <formula>-105575</formula>
    </cfRule>
  </conditionalFormatting>
  <conditionalFormatting sqref="BB129 BB131 BB133 BB135">
    <cfRule type="cellIs" dxfId="26827" priority="1091" operator="lessThan">
      <formula>0</formula>
    </cfRule>
    <cfRule type="cellIs" dxfId="26826" priority="1092" operator="lessThan">
      <formula>-105575</formula>
    </cfRule>
  </conditionalFormatting>
  <conditionalFormatting sqref="BB146 BB144 BB141">
    <cfRule type="cellIs" dxfId="26825" priority="1089" operator="lessThan">
      <formula>0</formula>
    </cfRule>
    <cfRule type="cellIs" dxfId="26824" priority="1090" operator="lessThan">
      <formula>-105575</formula>
    </cfRule>
  </conditionalFormatting>
  <conditionalFormatting sqref="BB146 BB144 BB141">
    <cfRule type="cellIs" dxfId="26823" priority="1087" operator="lessThan">
      <formula>0</formula>
    </cfRule>
    <cfRule type="cellIs" dxfId="26822" priority="1088" operator="lessThan">
      <formula>-105575</formula>
    </cfRule>
  </conditionalFormatting>
  <conditionalFormatting sqref="BB140 BB145 BB142:BB143 BB137:BB138">
    <cfRule type="cellIs" dxfId="26821" priority="1085" operator="lessThan">
      <formula>0</formula>
    </cfRule>
    <cfRule type="cellIs" dxfId="26820" priority="1086" operator="lessThan">
      <formula>-105575</formula>
    </cfRule>
  </conditionalFormatting>
  <conditionalFormatting sqref="BB149">
    <cfRule type="cellIs" dxfId="26819" priority="1083" operator="lessThan">
      <formula>0</formula>
    </cfRule>
    <cfRule type="cellIs" dxfId="26818" priority="1084" operator="lessThan">
      <formula>-105575</formula>
    </cfRule>
  </conditionalFormatting>
  <conditionalFormatting sqref="BB86:BB87 BB89:BB91 BB141:BB149 BB124:BB133 BB107:BB110 BB112:BB117 BB119:BB122 BB135:BB138 BB101:BB104 BB80:BB84 BB94:BB98">
    <cfRule type="cellIs" dxfId="26817" priority="1081" operator="lessThan">
      <formula>0</formula>
    </cfRule>
    <cfRule type="cellIs" dxfId="26816" priority="1082" operator="lessThan">
      <formula>-105575</formula>
    </cfRule>
  </conditionalFormatting>
  <conditionalFormatting sqref="BB246:BB249 BB262 BB267 BB279:BB282 BB285:BB288 BB274:BB275 BB306:BB309 BB311:BB325 BB327:BB330 BB332:BB341 BB344:BB347 BB349:BB353 BB355:BB358 BB360:BB384 BB386:BB389 BB392:BB395 BB397:BB411 BB413:BB416 BB418:BB432 BB434:BB437 BB439:BB453 BB455:BB458 BB460:BB469 BB17:BB18 BB21:BB24 BB26:BB28 BB30:BB36 BB38 BB41:BB43 BB46:BB49 BB51:BB55 BB57:BB59 BB62:BB76 BB251:BB253 BB255:BB257 BB293:BB304 BB264:BB265 BB260 BB290:BB291 BB270:BB272 BB7:BB14">
    <cfRule type="cellIs" dxfId="26815" priority="1079" operator="lessThan">
      <formula>0</formula>
    </cfRule>
    <cfRule type="cellIs" dxfId="26814" priority="1080" operator="lessThan">
      <formula>-105575</formula>
    </cfRule>
  </conditionalFormatting>
  <conditionalFormatting sqref="BB41">
    <cfRule type="cellIs" dxfId="26813" priority="1077" operator="lessThan">
      <formula>0</formula>
    </cfRule>
    <cfRule type="cellIs" dxfId="26812" priority="1078" operator="lessThan">
      <formula>-105575</formula>
    </cfRule>
  </conditionalFormatting>
  <conditionalFormatting sqref="BB152:BB155">
    <cfRule type="cellIs" dxfId="26811" priority="1075" operator="lessThan">
      <formula>0</formula>
    </cfRule>
    <cfRule type="cellIs" dxfId="26810" priority="1076" operator="lessThan">
      <formula>-105575</formula>
    </cfRule>
  </conditionalFormatting>
  <conditionalFormatting sqref="BB152:BB155">
    <cfRule type="cellIs" dxfId="26809" priority="1073" operator="lessThan">
      <formula>0</formula>
    </cfRule>
    <cfRule type="cellIs" dxfId="26808" priority="1074" operator="lessThan">
      <formula>-105575</formula>
    </cfRule>
  </conditionalFormatting>
  <conditionalFormatting sqref="BB152:BB155">
    <cfRule type="cellIs" dxfId="26807" priority="1071" operator="lessThan">
      <formula>0</formula>
    </cfRule>
    <cfRule type="cellIs" dxfId="26806" priority="1072" operator="lessThan">
      <formula>-105575</formula>
    </cfRule>
  </conditionalFormatting>
  <conditionalFormatting sqref="BB157:BB158">
    <cfRule type="cellIs" dxfId="26805" priority="1069" operator="lessThan">
      <formula>0</formula>
    </cfRule>
    <cfRule type="cellIs" dxfId="26804" priority="1070" operator="lessThan">
      <formula>-105575</formula>
    </cfRule>
  </conditionalFormatting>
  <conditionalFormatting sqref="BB157:BB158">
    <cfRule type="cellIs" dxfId="26803" priority="1067" operator="lessThan">
      <formula>0</formula>
    </cfRule>
    <cfRule type="cellIs" dxfId="26802" priority="1068" operator="lessThan">
      <formula>-105575</formula>
    </cfRule>
  </conditionalFormatting>
  <conditionalFormatting sqref="BB157:BB158">
    <cfRule type="cellIs" dxfId="26801" priority="1065" operator="lessThan">
      <formula>0</formula>
    </cfRule>
    <cfRule type="cellIs" dxfId="26800" priority="1066" operator="lessThan">
      <formula>-105575</formula>
    </cfRule>
  </conditionalFormatting>
  <conditionalFormatting sqref="BB160:BB161">
    <cfRule type="cellIs" dxfId="26799" priority="1063" operator="lessThan">
      <formula>0</formula>
    </cfRule>
    <cfRule type="cellIs" dxfId="26798" priority="1064" operator="lessThan">
      <formula>-105575</formula>
    </cfRule>
  </conditionalFormatting>
  <conditionalFormatting sqref="BB160:BB161">
    <cfRule type="cellIs" dxfId="26797" priority="1061" operator="lessThan">
      <formula>0</formula>
    </cfRule>
    <cfRule type="cellIs" dxfId="26796" priority="1062" operator="lessThan">
      <formula>-105575</formula>
    </cfRule>
  </conditionalFormatting>
  <conditionalFormatting sqref="BB160:BB161">
    <cfRule type="cellIs" dxfId="26795" priority="1059" operator="lessThan">
      <formula>0</formula>
    </cfRule>
    <cfRule type="cellIs" dxfId="26794" priority="1060" operator="lessThan">
      <formula>-105575</formula>
    </cfRule>
  </conditionalFormatting>
  <conditionalFormatting sqref="BB164:BB167">
    <cfRule type="cellIs" dxfId="26793" priority="1057" operator="lessThan">
      <formula>0</formula>
    </cfRule>
    <cfRule type="cellIs" dxfId="26792" priority="1058" operator="lessThan">
      <formula>-105575</formula>
    </cfRule>
  </conditionalFormatting>
  <conditionalFormatting sqref="BB164:BB167">
    <cfRule type="cellIs" dxfId="26791" priority="1055" operator="lessThan">
      <formula>0</formula>
    </cfRule>
    <cfRule type="cellIs" dxfId="26790" priority="1056" operator="lessThan">
      <formula>-105575</formula>
    </cfRule>
  </conditionalFormatting>
  <conditionalFormatting sqref="BB164:BB167">
    <cfRule type="cellIs" dxfId="26789" priority="1053" operator="lessThan">
      <formula>0</formula>
    </cfRule>
    <cfRule type="cellIs" dxfId="26788" priority="1054" operator="lessThan">
      <formula>-105575</formula>
    </cfRule>
  </conditionalFormatting>
  <conditionalFormatting sqref="BB169:BB177">
    <cfRule type="cellIs" dxfId="26787" priority="1051" operator="lessThan">
      <formula>0</formula>
    </cfRule>
    <cfRule type="cellIs" dxfId="26786" priority="1052" operator="lessThan">
      <formula>-105575</formula>
    </cfRule>
  </conditionalFormatting>
  <conditionalFormatting sqref="BB169:BB177">
    <cfRule type="cellIs" dxfId="26785" priority="1049" operator="lessThan">
      <formula>0</formula>
    </cfRule>
    <cfRule type="cellIs" dxfId="26784" priority="1050" operator="lessThan">
      <formula>-105575</formula>
    </cfRule>
  </conditionalFormatting>
  <conditionalFormatting sqref="BB169:BB177">
    <cfRule type="cellIs" dxfId="26783" priority="1047" operator="lessThan">
      <formula>0</formula>
    </cfRule>
    <cfRule type="cellIs" dxfId="26782" priority="1048" operator="lessThan">
      <formula>-105575</formula>
    </cfRule>
  </conditionalFormatting>
  <conditionalFormatting sqref="BB179:BB180">
    <cfRule type="cellIs" dxfId="26781" priority="1045" operator="lessThan">
      <formula>0</formula>
    </cfRule>
    <cfRule type="cellIs" dxfId="26780" priority="1046" operator="lessThan">
      <formula>-105575</formula>
    </cfRule>
  </conditionalFormatting>
  <conditionalFormatting sqref="BB179:BB180">
    <cfRule type="cellIs" dxfId="26779" priority="1043" operator="lessThan">
      <formula>0</formula>
    </cfRule>
    <cfRule type="cellIs" dxfId="26778" priority="1044" operator="lessThan">
      <formula>-105575</formula>
    </cfRule>
  </conditionalFormatting>
  <conditionalFormatting sqref="BB179:BB180">
    <cfRule type="cellIs" dxfId="26777" priority="1041" operator="lessThan">
      <formula>0</formula>
    </cfRule>
    <cfRule type="cellIs" dxfId="26776" priority="1042" operator="lessThan">
      <formula>-105575</formula>
    </cfRule>
  </conditionalFormatting>
  <conditionalFormatting sqref="BB183:BB189">
    <cfRule type="cellIs" dxfId="26775" priority="1039" operator="lessThan">
      <formula>0</formula>
    </cfRule>
    <cfRule type="cellIs" dxfId="26774" priority="1040" operator="lessThan">
      <formula>-105575</formula>
    </cfRule>
  </conditionalFormatting>
  <conditionalFormatting sqref="BB183:BB189">
    <cfRule type="cellIs" dxfId="26773" priority="1037" operator="lessThan">
      <formula>0</formula>
    </cfRule>
    <cfRule type="cellIs" dxfId="26772" priority="1038" operator="lessThan">
      <formula>-105575</formula>
    </cfRule>
  </conditionalFormatting>
  <conditionalFormatting sqref="BB183:BB189">
    <cfRule type="cellIs" dxfId="26771" priority="1035" operator="lessThan">
      <formula>0</formula>
    </cfRule>
    <cfRule type="cellIs" dxfId="26770" priority="1036" operator="lessThan">
      <formula>-105575</formula>
    </cfRule>
  </conditionalFormatting>
  <conditionalFormatting sqref="BB191:BB192">
    <cfRule type="cellIs" dxfId="26769" priority="1033" operator="lessThan">
      <formula>0</formula>
    </cfRule>
    <cfRule type="cellIs" dxfId="26768" priority="1034" operator="lessThan">
      <formula>-105575</formula>
    </cfRule>
  </conditionalFormatting>
  <conditionalFormatting sqref="BB191:BB192">
    <cfRule type="cellIs" dxfId="26767" priority="1031" operator="lessThan">
      <formula>0</formula>
    </cfRule>
    <cfRule type="cellIs" dxfId="26766" priority="1032" operator="lessThan">
      <formula>-105575</formula>
    </cfRule>
  </conditionalFormatting>
  <conditionalFormatting sqref="BB191:BB192">
    <cfRule type="cellIs" dxfId="26765" priority="1029" operator="lessThan">
      <formula>0</formula>
    </cfRule>
    <cfRule type="cellIs" dxfId="26764" priority="1030" operator="lessThan">
      <formula>-105575</formula>
    </cfRule>
  </conditionalFormatting>
  <conditionalFormatting sqref="BB194:BB195">
    <cfRule type="cellIs" dxfId="26763" priority="1027" operator="lessThan">
      <formula>0</formula>
    </cfRule>
    <cfRule type="cellIs" dxfId="26762" priority="1028" operator="lessThan">
      <formula>-105575</formula>
    </cfRule>
  </conditionalFormatting>
  <conditionalFormatting sqref="BB194:BB195">
    <cfRule type="cellIs" dxfId="26761" priority="1025" operator="lessThan">
      <formula>0</formula>
    </cfRule>
    <cfRule type="cellIs" dxfId="26760" priority="1026" operator="lessThan">
      <formula>-105575</formula>
    </cfRule>
  </conditionalFormatting>
  <conditionalFormatting sqref="BB194:BB195">
    <cfRule type="cellIs" dxfId="26759" priority="1023" operator="lessThan">
      <formula>0</formula>
    </cfRule>
    <cfRule type="cellIs" dxfId="26758" priority="1024" operator="lessThan">
      <formula>-105575</formula>
    </cfRule>
  </conditionalFormatting>
  <conditionalFormatting sqref="BB199:BB202">
    <cfRule type="cellIs" dxfId="26757" priority="1021" operator="lessThan">
      <formula>0</formula>
    </cfRule>
    <cfRule type="cellIs" dxfId="26756" priority="1022" operator="lessThan">
      <formula>-105575</formula>
    </cfRule>
  </conditionalFormatting>
  <conditionalFormatting sqref="BB199:BB202">
    <cfRule type="cellIs" dxfId="26755" priority="1019" operator="lessThan">
      <formula>0</formula>
    </cfRule>
    <cfRule type="cellIs" dxfId="26754" priority="1020" operator="lessThan">
      <formula>-105575</formula>
    </cfRule>
  </conditionalFormatting>
  <conditionalFormatting sqref="BB199:BB202">
    <cfRule type="cellIs" dxfId="26753" priority="1017" operator="lessThan">
      <formula>0</formula>
    </cfRule>
    <cfRule type="cellIs" dxfId="26752" priority="1018" operator="lessThan">
      <formula>-105575</formula>
    </cfRule>
  </conditionalFormatting>
  <conditionalFormatting sqref="BB204:BB208">
    <cfRule type="cellIs" dxfId="26751" priority="1015" operator="lessThan">
      <formula>0</formula>
    </cfRule>
    <cfRule type="cellIs" dxfId="26750" priority="1016" operator="lessThan">
      <formula>-105575</formula>
    </cfRule>
  </conditionalFormatting>
  <conditionalFormatting sqref="BB204:BB208">
    <cfRule type="cellIs" dxfId="26749" priority="1013" operator="lessThan">
      <formula>0</formula>
    </cfRule>
    <cfRule type="cellIs" dxfId="26748" priority="1014" operator="lessThan">
      <formula>-105575</formula>
    </cfRule>
  </conditionalFormatting>
  <conditionalFormatting sqref="BB204:BB208">
    <cfRule type="cellIs" dxfId="26747" priority="1011" operator="lessThan">
      <formula>0</formula>
    </cfRule>
    <cfRule type="cellIs" dxfId="26746" priority="1012" operator="lessThan">
      <formula>-105575</formula>
    </cfRule>
  </conditionalFormatting>
  <conditionalFormatting sqref="BB210:BB211">
    <cfRule type="cellIs" dxfId="26745" priority="1009" operator="lessThan">
      <formula>0</formula>
    </cfRule>
    <cfRule type="cellIs" dxfId="26744" priority="1010" operator="lessThan">
      <formula>-105575</formula>
    </cfRule>
  </conditionalFormatting>
  <conditionalFormatting sqref="BB210:BB211">
    <cfRule type="cellIs" dxfId="26743" priority="1007" operator="lessThan">
      <formula>0</formula>
    </cfRule>
    <cfRule type="cellIs" dxfId="26742" priority="1008" operator="lessThan">
      <formula>-105575</formula>
    </cfRule>
  </conditionalFormatting>
  <conditionalFormatting sqref="BB210:BB211">
    <cfRule type="cellIs" dxfId="26741" priority="1005" operator="lessThan">
      <formula>0</formula>
    </cfRule>
    <cfRule type="cellIs" dxfId="26740" priority="1006" operator="lessThan">
      <formula>-105575</formula>
    </cfRule>
  </conditionalFormatting>
  <conditionalFormatting sqref="BB214:BB219">
    <cfRule type="cellIs" dxfId="26739" priority="1003" operator="lessThan">
      <formula>0</formula>
    </cfRule>
    <cfRule type="cellIs" dxfId="26738" priority="1004" operator="lessThan">
      <formula>-105575</formula>
    </cfRule>
  </conditionalFormatting>
  <conditionalFormatting sqref="BB214:BB219">
    <cfRule type="cellIs" dxfId="26737" priority="1001" operator="lessThan">
      <formula>0</formula>
    </cfRule>
    <cfRule type="cellIs" dxfId="26736" priority="1002" operator="lessThan">
      <formula>-105575</formula>
    </cfRule>
  </conditionalFormatting>
  <conditionalFormatting sqref="BB214:BB219">
    <cfRule type="cellIs" dxfId="26735" priority="999" operator="lessThan">
      <formula>0</formula>
    </cfRule>
    <cfRule type="cellIs" dxfId="26734" priority="1000" operator="lessThan">
      <formula>-105575</formula>
    </cfRule>
  </conditionalFormatting>
  <conditionalFormatting sqref="BB222:BB224">
    <cfRule type="cellIs" dxfId="26733" priority="997" operator="lessThan">
      <formula>0</formula>
    </cfRule>
    <cfRule type="cellIs" dxfId="26732" priority="998" operator="lessThan">
      <formula>-105575</formula>
    </cfRule>
  </conditionalFormatting>
  <conditionalFormatting sqref="BB222:BB224">
    <cfRule type="cellIs" dxfId="26731" priority="995" operator="lessThan">
      <formula>0</formula>
    </cfRule>
    <cfRule type="cellIs" dxfId="26730" priority="996" operator="lessThan">
      <formula>-105575</formula>
    </cfRule>
  </conditionalFormatting>
  <conditionalFormatting sqref="BB222:BB224">
    <cfRule type="cellIs" dxfId="26729" priority="993" operator="lessThan">
      <formula>0</formula>
    </cfRule>
    <cfRule type="cellIs" dxfId="26728" priority="994" operator="lessThan">
      <formula>-105575</formula>
    </cfRule>
  </conditionalFormatting>
  <conditionalFormatting sqref="BB227:BB230">
    <cfRule type="cellIs" dxfId="26727" priority="991" operator="lessThan">
      <formula>0</formula>
    </cfRule>
    <cfRule type="cellIs" dxfId="26726" priority="992" operator="lessThan">
      <formula>-105575</formula>
    </cfRule>
  </conditionalFormatting>
  <conditionalFormatting sqref="BB227:BB230">
    <cfRule type="cellIs" dxfId="26725" priority="989" operator="lessThan">
      <formula>0</formula>
    </cfRule>
    <cfRule type="cellIs" dxfId="26724" priority="990" operator="lessThan">
      <formula>-105575</formula>
    </cfRule>
  </conditionalFormatting>
  <conditionalFormatting sqref="BB227:BB230">
    <cfRule type="cellIs" dxfId="26723" priority="987" operator="lessThan">
      <formula>0</formula>
    </cfRule>
    <cfRule type="cellIs" dxfId="26722" priority="988" operator="lessThan">
      <formula>-105575</formula>
    </cfRule>
  </conditionalFormatting>
  <conditionalFormatting sqref="BB203 BB220:BB221 BB235:BB243 BB231:BB233 BB212:BB213 BB225:BB226">
    <cfRule type="cellIs" dxfId="26721" priority="985" operator="lessThan">
      <formula>0</formula>
    </cfRule>
    <cfRule type="cellIs" dxfId="26720" priority="986" operator="lessThan">
      <formula>-105575</formula>
    </cfRule>
  </conditionalFormatting>
  <conditionalFormatting sqref="BB220 BB212:BB213 BB235:BB238 BB240:BB243 BB225:BB226 BB231:BB233">
    <cfRule type="cellIs" dxfId="26719" priority="983" operator="lessThan">
      <formula>0</formula>
    </cfRule>
    <cfRule type="cellIs" dxfId="26718" priority="984" operator="lessThan">
      <formula>-105575</formula>
    </cfRule>
  </conditionalFormatting>
  <conditionalFormatting sqref="BB220:BB221 BB243 BB226 BB231:BB236 BB238:BB241 BB203 BB213">
    <cfRule type="cellIs" dxfId="26717" priority="981" operator="lessThan">
      <formula>0</formula>
    </cfRule>
    <cfRule type="cellIs" dxfId="26716" priority="982" operator="lessThan">
      <formula>-105575</formula>
    </cfRule>
  </conditionalFormatting>
  <conditionalFormatting sqref="BB235:BB243 BB231:BB233 BB220 BB212:BB213 BB225:BB226">
    <cfRule type="cellIs" dxfId="26715" priority="979" operator="lessThan">
      <formula>0</formula>
    </cfRule>
    <cfRule type="cellIs" dxfId="26714" priority="980" operator="lessThan">
      <formula>-105575</formula>
    </cfRule>
  </conditionalFormatting>
  <conditionalFormatting sqref="BB220:BB221 BB237:BB243 BB203 BB231:BB235 BB212:BB213 BB225:BB226">
    <cfRule type="cellIs" dxfId="26713" priority="977" operator="lessThan">
      <formula>0</formula>
    </cfRule>
    <cfRule type="cellIs" dxfId="26712" priority="978" operator="lessThan">
      <formula>-105575</formula>
    </cfRule>
  </conditionalFormatting>
  <conditionalFormatting sqref="BB220:BB221 BB237:BB240 BB242:BB243 BB225:BB226 BB231:BB235">
    <cfRule type="cellIs" dxfId="26711" priority="975" operator="lessThan">
      <formula>0</formula>
    </cfRule>
    <cfRule type="cellIs" dxfId="26710" priority="976" operator="lessThan">
      <formula>-105575</formula>
    </cfRule>
  </conditionalFormatting>
  <conditionalFormatting sqref="BB212 BB231 BB233:BB238 BB240:BB243 BB225">
    <cfRule type="cellIs" dxfId="26709" priority="973" operator="lessThan">
      <formula>0</formula>
    </cfRule>
    <cfRule type="cellIs" dxfId="26708" priority="974" operator="lessThan">
      <formula>-105575</formula>
    </cfRule>
  </conditionalFormatting>
  <conditionalFormatting sqref="BB237:BB243 BB231:BB235 BB220:BB221 BB225:BB226">
    <cfRule type="cellIs" dxfId="26707" priority="971" operator="lessThan">
      <formula>0</formula>
    </cfRule>
    <cfRule type="cellIs" dxfId="26706" priority="972" operator="lessThan">
      <formula>-105575</formula>
    </cfRule>
  </conditionalFormatting>
  <conditionalFormatting sqref="BB233:BB237 BB231 BB239:BB243">
    <cfRule type="cellIs" dxfId="26705" priority="969" operator="lessThan">
      <formula>0</formula>
    </cfRule>
    <cfRule type="cellIs" dxfId="26704" priority="970" operator="lessThan">
      <formula>-105575</formula>
    </cfRule>
  </conditionalFormatting>
  <conditionalFormatting sqref="BB233:BB237 BB231 BB239:BB243">
    <cfRule type="cellIs" dxfId="26703" priority="967" operator="lessThan">
      <formula>0</formula>
    </cfRule>
    <cfRule type="cellIs" dxfId="26702" priority="968" operator="lessThan">
      <formula>-105575</formula>
    </cfRule>
  </conditionalFormatting>
  <conditionalFormatting sqref="BB119:BB128 BB106:BB117 BB101:BB104 BB80:BB98">
    <cfRule type="cellIs" dxfId="26701" priority="965" operator="lessThan">
      <formula>0</formula>
    </cfRule>
    <cfRule type="cellIs" dxfId="26700" priority="966" operator="lessThan">
      <formula>-105575</formula>
    </cfRule>
  </conditionalFormatting>
  <conditionalFormatting sqref="BB130 BB132 BB134">
    <cfRule type="cellIs" dxfId="26699" priority="963" operator="lessThan">
      <formula>0</formula>
    </cfRule>
    <cfRule type="cellIs" dxfId="26698" priority="964" operator="lessThan">
      <formula>-105575</formula>
    </cfRule>
  </conditionalFormatting>
  <conditionalFormatting sqref="BB130 BB132 BB134">
    <cfRule type="cellIs" dxfId="26697" priority="961" operator="lessThan">
      <formula>0</formula>
    </cfRule>
    <cfRule type="cellIs" dxfId="26696" priority="962" operator="lessThan">
      <formula>-105575</formula>
    </cfRule>
  </conditionalFormatting>
  <conditionalFormatting sqref="BB129 BB131 BB133 BB135">
    <cfRule type="cellIs" dxfId="26695" priority="959" operator="lessThan">
      <formula>0</formula>
    </cfRule>
    <cfRule type="cellIs" dxfId="26694" priority="960" operator="lessThan">
      <formula>-105575</formula>
    </cfRule>
  </conditionalFormatting>
  <conditionalFormatting sqref="BB140 BB145 BB142:BB143 BB137:BB138">
    <cfRule type="cellIs" dxfId="26693" priority="957" operator="lessThan">
      <formula>0</formula>
    </cfRule>
    <cfRule type="cellIs" dxfId="26692" priority="958" operator="lessThan">
      <formula>-105575</formula>
    </cfRule>
  </conditionalFormatting>
  <conditionalFormatting sqref="BB149">
    <cfRule type="cellIs" dxfId="26691" priority="955" operator="lessThan">
      <formula>0</formula>
    </cfRule>
    <cfRule type="cellIs" dxfId="26690" priority="956" operator="lessThan">
      <formula>-105575</formula>
    </cfRule>
  </conditionalFormatting>
  <conditionalFormatting sqref="BB129:BB138 BB140:BB149">
    <cfRule type="cellIs" dxfId="26689" priority="953" operator="lessThan">
      <formula>0</formula>
    </cfRule>
    <cfRule type="cellIs" dxfId="26688" priority="954" operator="lessThan">
      <formula>-105575</formula>
    </cfRule>
  </conditionalFormatting>
  <conditionalFormatting sqref="BB86:BB87 BB89:BB91 BB141:BB149 BB124:BB133 BB107:BB110 BB112:BB117 BB119:BB122 BB135:BB138 BB101:BB104 BB80:BB84 BB94:BB98">
    <cfRule type="cellIs" dxfId="26687" priority="951" operator="lessThan">
      <formula>0</formula>
    </cfRule>
    <cfRule type="cellIs" dxfId="26686" priority="952" operator="lessThan">
      <formula>-105575</formula>
    </cfRule>
  </conditionalFormatting>
  <conditionalFormatting sqref="BB129 BB131 BB133 BB135">
    <cfRule type="cellIs" dxfId="26685" priority="949" operator="lessThan">
      <formula>0</formula>
    </cfRule>
    <cfRule type="cellIs" dxfId="26684" priority="950" operator="lessThan">
      <formula>-105575</formula>
    </cfRule>
  </conditionalFormatting>
  <conditionalFormatting sqref="BB146 BB144 BB141">
    <cfRule type="cellIs" dxfId="26683" priority="947" operator="lessThan">
      <formula>0</formula>
    </cfRule>
    <cfRule type="cellIs" dxfId="26682" priority="948" operator="lessThan">
      <formula>-105575</formula>
    </cfRule>
  </conditionalFormatting>
  <conditionalFormatting sqref="BB146 BB144 BB141">
    <cfRule type="cellIs" dxfId="26681" priority="945" operator="lessThan">
      <formula>0</formula>
    </cfRule>
    <cfRule type="cellIs" dxfId="26680" priority="946" operator="lessThan">
      <formula>-105575</formula>
    </cfRule>
  </conditionalFormatting>
  <conditionalFormatting sqref="BB140 BB145 BB142:BB143 BB137:BB138">
    <cfRule type="cellIs" dxfId="26679" priority="943" operator="lessThan">
      <formula>0</formula>
    </cfRule>
    <cfRule type="cellIs" dxfId="26678" priority="944" operator="lessThan">
      <formula>-105575</formula>
    </cfRule>
  </conditionalFormatting>
  <conditionalFormatting sqref="BB149">
    <cfRule type="cellIs" dxfId="26677" priority="941" operator="lessThan">
      <formula>0</formula>
    </cfRule>
    <cfRule type="cellIs" dxfId="26676" priority="942" operator="lessThan">
      <formula>-105575</formula>
    </cfRule>
  </conditionalFormatting>
  <conditionalFormatting sqref="BB86:BB87 BB89:BB91 BB141:BB149 BB124:BB133 BB107:BB110 BB112:BB117 BB119:BB122 BB135:BB138 BB101:BB104 BB80:BB84 BB94:BB98">
    <cfRule type="cellIs" dxfId="26675" priority="939" operator="lessThan">
      <formula>0</formula>
    </cfRule>
    <cfRule type="cellIs" dxfId="26674" priority="940" operator="lessThan">
      <formula>-105575</formula>
    </cfRule>
  </conditionalFormatting>
  <conditionalFormatting sqref="BB62:BB76 BB306:BB309 BB311:BB325 BB327:BB330 BB332:BB341 BB344:BB347 BB349:BB353 BB355:BB358 BB360:BB384 BB386:BB389 BB392:BB395 BB397:BB411 BB413:BB416 BB418:BB432 BB434:BB437 BB439:BB453 BB455:BB458 BB460:BB469 BB17:BB18 BB21:BB24 BB26:BB28 BB30:BB36 BB38 BB41:BB43 BB46:BB49 BB51:BB55 BB57:BB59 BB290:BB291 BB293:BB304 BB7:BB14">
    <cfRule type="cellIs" dxfId="26673" priority="937" operator="lessThan">
      <formula>0</formula>
    </cfRule>
    <cfRule type="cellIs" dxfId="26672" priority="938" operator="lessThan">
      <formula>-105575</formula>
    </cfRule>
  </conditionalFormatting>
  <conditionalFormatting sqref="BB41">
    <cfRule type="cellIs" dxfId="26671" priority="935" operator="lessThan">
      <formula>0</formula>
    </cfRule>
    <cfRule type="cellIs" dxfId="26670" priority="936" operator="lessThan">
      <formula>-105575</formula>
    </cfRule>
  </conditionalFormatting>
  <conditionalFormatting sqref="BB152:BB155">
    <cfRule type="cellIs" dxfId="26669" priority="933" operator="lessThan">
      <formula>0</formula>
    </cfRule>
    <cfRule type="cellIs" dxfId="26668" priority="934" operator="lessThan">
      <formula>-105575</formula>
    </cfRule>
  </conditionalFormatting>
  <conditionalFormatting sqref="BB152:BB155">
    <cfRule type="cellIs" dxfId="26667" priority="931" operator="lessThan">
      <formula>0</formula>
    </cfRule>
    <cfRule type="cellIs" dxfId="26666" priority="932" operator="lessThan">
      <formula>-105575</formula>
    </cfRule>
  </conditionalFormatting>
  <conditionalFormatting sqref="BB152:BB155">
    <cfRule type="cellIs" dxfId="26665" priority="929" operator="lessThan">
      <formula>0</formula>
    </cfRule>
    <cfRule type="cellIs" dxfId="26664" priority="930" operator="lessThan">
      <formula>-105575</formula>
    </cfRule>
  </conditionalFormatting>
  <conditionalFormatting sqref="BB157:BB158">
    <cfRule type="cellIs" dxfId="26663" priority="927" operator="lessThan">
      <formula>0</formula>
    </cfRule>
    <cfRule type="cellIs" dxfId="26662" priority="928" operator="lessThan">
      <formula>-105575</formula>
    </cfRule>
  </conditionalFormatting>
  <conditionalFormatting sqref="BB157:BB158">
    <cfRule type="cellIs" dxfId="26661" priority="925" operator="lessThan">
      <formula>0</formula>
    </cfRule>
    <cfRule type="cellIs" dxfId="26660" priority="926" operator="lessThan">
      <formula>-105575</formula>
    </cfRule>
  </conditionalFormatting>
  <conditionalFormatting sqref="BB157:BB158">
    <cfRule type="cellIs" dxfId="26659" priority="923" operator="lessThan">
      <formula>0</formula>
    </cfRule>
    <cfRule type="cellIs" dxfId="26658" priority="924" operator="lessThan">
      <formula>-105575</formula>
    </cfRule>
  </conditionalFormatting>
  <conditionalFormatting sqref="BB160:BB161">
    <cfRule type="cellIs" dxfId="26657" priority="921" operator="lessThan">
      <formula>0</formula>
    </cfRule>
    <cfRule type="cellIs" dxfId="26656" priority="922" operator="lessThan">
      <formula>-105575</formula>
    </cfRule>
  </conditionalFormatting>
  <conditionalFormatting sqref="BB160:BB161">
    <cfRule type="cellIs" dxfId="26655" priority="919" operator="lessThan">
      <formula>0</formula>
    </cfRule>
    <cfRule type="cellIs" dxfId="26654" priority="920" operator="lessThan">
      <formula>-105575</formula>
    </cfRule>
  </conditionalFormatting>
  <conditionalFormatting sqref="BB160:BB161">
    <cfRule type="cellIs" dxfId="26653" priority="917" operator="lessThan">
      <formula>0</formula>
    </cfRule>
    <cfRule type="cellIs" dxfId="26652" priority="918" operator="lessThan">
      <formula>-105575</formula>
    </cfRule>
  </conditionalFormatting>
  <conditionalFormatting sqref="BB164:BB167">
    <cfRule type="cellIs" dxfId="26651" priority="915" operator="lessThan">
      <formula>0</formula>
    </cfRule>
    <cfRule type="cellIs" dxfId="26650" priority="916" operator="lessThan">
      <formula>-105575</formula>
    </cfRule>
  </conditionalFormatting>
  <conditionalFormatting sqref="BB164:BB167">
    <cfRule type="cellIs" dxfId="26649" priority="913" operator="lessThan">
      <formula>0</formula>
    </cfRule>
    <cfRule type="cellIs" dxfId="26648" priority="914" operator="lessThan">
      <formula>-105575</formula>
    </cfRule>
  </conditionalFormatting>
  <conditionalFormatting sqref="BB164:BB167">
    <cfRule type="cellIs" dxfId="26647" priority="911" operator="lessThan">
      <formula>0</formula>
    </cfRule>
    <cfRule type="cellIs" dxfId="26646" priority="912" operator="lessThan">
      <formula>-105575</formula>
    </cfRule>
  </conditionalFormatting>
  <conditionalFormatting sqref="BB169:BB177">
    <cfRule type="cellIs" dxfId="26645" priority="909" operator="lessThan">
      <formula>0</formula>
    </cfRule>
    <cfRule type="cellIs" dxfId="26644" priority="910" operator="lessThan">
      <formula>-105575</formula>
    </cfRule>
  </conditionalFormatting>
  <conditionalFormatting sqref="BB169:BB177">
    <cfRule type="cellIs" dxfId="26643" priority="907" operator="lessThan">
      <formula>0</formula>
    </cfRule>
    <cfRule type="cellIs" dxfId="26642" priority="908" operator="lessThan">
      <formula>-105575</formula>
    </cfRule>
  </conditionalFormatting>
  <conditionalFormatting sqref="BB169:BB177">
    <cfRule type="cellIs" dxfId="26641" priority="905" operator="lessThan">
      <formula>0</formula>
    </cfRule>
    <cfRule type="cellIs" dxfId="26640" priority="906" operator="lessThan">
      <formula>-105575</formula>
    </cfRule>
  </conditionalFormatting>
  <conditionalFormatting sqref="BB179:BB180">
    <cfRule type="cellIs" dxfId="26639" priority="903" operator="lessThan">
      <formula>0</formula>
    </cfRule>
    <cfRule type="cellIs" dxfId="26638" priority="904" operator="lessThan">
      <formula>-105575</formula>
    </cfRule>
  </conditionalFormatting>
  <conditionalFormatting sqref="BB179:BB180">
    <cfRule type="cellIs" dxfId="26637" priority="901" operator="lessThan">
      <formula>0</formula>
    </cfRule>
    <cfRule type="cellIs" dxfId="26636" priority="902" operator="lessThan">
      <formula>-105575</formula>
    </cfRule>
  </conditionalFormatting>
  <conditionalFormatting sqref="BB179:BB180">
    <cfRule type="cellIs" dxfId="26635" priority="899" operator="lessThan">
      <formula>0</formula>
    </cfRule>
    <cfRule type="cellIs" dxfId="26634" priority="900" operator="lessThan">
      <formula>-105575</formula>
    </cfRule>
  </conditionalFormatting>
  <conditionalFormatting sqref="BB183:BB189">
    <cfRule type="cellIs" dxfId="26633" priority="897" operator="lessThan">
      <formula>0</formula>
    </cfRule>
    <cfRule type="cellIs" dxfId="26632" priority="898" operator="lessThan">
      <formula>-105575</formula>
    </cfRule>
  </conditionalFormatting>
  <conditionalFormatting sqref="BB183:BB189">
    <cfRule type="cellIs" dxfId="26631" priority="895" operator="lessThan">
      <formula>0</formula>
    </cfRule>
    <cfRule type="cellIs" dxfId="26630" priority="896" operator="lessThan">
      <formula>-105575</formula>
    </cfRule>
  </conditionalFormatting>
  <conditionalFormatting sqref="BB183:BB189">
    <cfRule type="cellIs" dxfId="26629" priority="893" operator="lessThan">
      <formula>0</formula>
    </cfRule>
    <cfRule type="cellIs" dxfId="26628" priority="894" operator="lessThan">
      <formula>-105575</formula>
    </cfRule>
  </conditionalFormatting>
  <conditionalFormatting sqref="BB191:BB192">
    <cfRule type="cellIs" dxfId="26627" priority="891" operator="lessThan">
      <formula>0</formula>
    </cfRule>
    <cfRule type="cellIs" dxfId="26626" priority="892" operator="lessThan">
      <formula>-105575</formula>
    </cfRule>
  </conditionalFormatting>
  <conditionalFormatting sqref="BB191:BB192">
    <cfRule type="cellIs" dxfId="26625" priority="889" operator="lessThan">
      <formula>0</formula>
    </cfRule>
    <cfRule type="cellIs" dxfId="26624" priority="890" operator="lessThan">
      <formula>-105575</formula>
    </cfRule>
  </conditionalFormatting>
  <conditionalFormatting sqref="BB191:BB192">
    <cfRule type="cellIs" dxfId="26623" priority="887" operator="lessThan">
      <formula>0</formula>
    </cfRule>
    <cfRule type="cellIs" dxfId="26622" priority="888" operator="lessThan">
      <formula>-105575</formula>
    </cfRule>
  </conditionalFormatting>
  <conditionalFormatting sqref="BB194:BB195">
    <cfRule type="cellIs" dxfId="26621" priority="885" operator="lessThan">
      <formula>0</formula>
    </cfRule>
    <cfRule type="cellIs" dxfId="26620" priority="886" operator="lessThan">
      <formula>-105575</formula>
    </cfRule>
  </conditionalFormatting>
  <conditionalFormatting sqref="BB194:BB195">
    <cfRule type="cellIs" dxfId="26619" priority="883" operator="lessThan">
      <formula>0</formula>
    </cfRule>
    <cfRule type="cellIs" dxfId="26618" priority="884" operator="lessThan">
      <formula>-105575</formula>
    </cfRule>
  </conditionalFormatting>
  <conditionalFormatting sqref="BB194:BB195">
    <cfRule type="cellIs" dxfId="26617" priority="881" operator="lessThan">
      <formula>0</formula>
    </cfRule>
    <cfRule type="cellIs" dxfId="26616" priority="882" operator="lessThan">
      <formula>-105575</formula>
    </cfRule>
  </conditionalFormatting>
  <conditionalFormatting sqref="BB199:BB202">
    <cfRule type="cellIs" dxfId="26615" priority="879" operator="lessThan">
      <formula>0</formula>
    </cfRule>
    <cfRule type="cellIs" dxfId="26614" priority="880" operator="lessThan">
      <formula>-105575</formula>
    </cfRule>
  </conditionalFormatting>
  <conditionalFormatting sqref="BB199:BB202">
    <cfRule type="cellIs" dxfId="26613" priority="877" operator="lessThan">
      <formula>0</formula>
    </cfRule>
    <cfRule type="cellIs" dxfId="26612" priority="878" operator="lessThan">
      <formula>-105575</formula>
    </cfRule>
  </conditionalFormatting>
  <conditionalFormatting sqref="BB199:BB202">
    <cfRule type="cellIs" dxfId="26611" priority="875" operator="lessThan">
      <formula>0</formula>
    </cfRule>
    <cfRule type="cellIs" dxfId="26610" priority="876" operator="lessThan">
      <formula>-105575</formula>
    </cfRule>
  </conditionalFormatting>
  <conditionalFormatting sqref="BB204:BB208">
    <cfRule type="cellIs" dxfId="26609" priority="873" operator="lessThan">
      <formula>0</formula>
    </cfRule>
    <cfRule type="cellIs" dxfId="26608" priority="874" operator="lessThan">
      <formula>-105575</formula>
    </cfRule>
  </conditionalFormatting>
  <conditionalFormatting sqref="BB204:BB208">
    <cfRule type="cellIs" dxfId="26607" priority="871" operator="lessThan">
      <formula>0</formula>
    </cfRule>
    <cfRule type="cellIs" dxfId="26606" priority="872" operator="lessThan">
      <formula>-105575</formula>
    </cfRule>
  </conditionalFormatting>
  <conditionalFormatting sqref="BB204:BB208">
    <cfRule type="cellIs" dxfId="26605" priority="869" operator="lessThan">
      <formula>0</formula>
    </cfRule>
    <cfRule type="cellIs" dxfId="26604" priority="870" operator="lessThan">
      <formula>-105575</formula>
    </cfRule>
  </conditionalFormatting>
  <conditionalFormatting sqref="BB210:BB211">
    <cfRule type="cellIs" dxfId="26603" priority="867" operator="lessThan">
      <formula>0</formula>
    </cfRule>
    <cfRule type="cellIs" dxfId="26602" priority="868" operator="lessThan">
      <formula>-105575</formula>
    </cfRule>
  </conditionalFormatting>
  <conditionalFormatting sqref="BB210:BB211">
    <cfRule type="cellIs" dxfId="26601" priority="865" operator="lessThan">
      <formula>0</formula>
    </cfRule>
    <cfRule type="cellIs" dxfId="26600" priority="866" operator="lessThan">
      <formula>-105575</formula>
    </cfRule>
  </conditionalFormatting>
  <conditionalFormatting sqref="BB210:BB211">
    <cfRule type="cellIs" dxfId="26599" priority="863" operator="lessThan">
      <formula>0</formula>
    </cfRule>
    <cfRule type="cellIs" dxfId="26598" priority="864" operator="lessThan">
      <formula>-105575</formula>
    </cfRule>
  </conditionalFormatting>
  <conditionalFormatting sqref="BB214:BB219">
    <cfRule type="cellIs" dxfId="26597" priority="861" operator="lessThan">
      <formula>0</formula>
    </cfRule>
    <cfRule type="cellIs" dxfId="26596" priority="862" operator="lessThan">
      <formula>-105575</formula>
    </cfRule>
  </conditionalFormatting>
  <conditionalFormatting sqref="BB214:BB219">
    <cfRule type="cellIs" dxfId="26595" priority="859" operator="lessThan">
      <formula>0</formula>
    </cfRule>
    <cfRule type="cellIs" dxfId="26594" priority="860" operator="lessThan">
      <formula>-105575</formula>
    </cfRule>
  </conditionalFormatting>
  <conditionalFormatting sqref="BB214:BB219">
    <cfRule type="cellIs" dxfId="26593" priority="857" operator="lessThan">
      <formula>0</formula>
    </cfRule>
    <cfRule type="cellIs" dxfId="26592" priority="858" operator="lessThan">
      <formula>-105575</formula>
    </cfRule>
  </conditionalFormatting>
  <conditionalFormatting sqref="BB222:BB224">
    <cfRule type="cellIs" dxfId="26591" priority="855" operator="lessThan">
      <formula>0</formula>
    </cfRule>
    <cfRule type="cellIs" dxfId="26590" priority="856" operator="lessThan">
      <formula>-105575</formula>
    </cfRule>
  </conditionalFormatting>
  <conditionalFormatting sqref="BB222:BB224">
    <cfRule type="cellIs" dxfId="26589" priority="853" operator="lessThan">
      <formula>0</formula>
    </cfRule>
    <cfRule type="cellIs" dxfId="26588" priority="854" operator="lessThan">
      <formula>-105575</formula>
    </cfRule>
  </conditionalFormatting>
  <conditionalFormatting sqref="BB222:BB224">
    <cfRule type="cellIs" dxfId="26587" priority="851" operator="lessThan">
      <formula>0</formula>
    </cfRule>
    <cfRule type="cellIs" dxfId="26586" priority="852" operator="lessThan">
      <formula>-105575</formula>
    </cfRule>
  </conditionalFormatting>
  <conditionalFormatting sqref="BB227:BB230">
    <cfRule type="cellIs" dxfId="26585" priority="849" operator="lessThan">
      <formula>0</formula>
    </cfRule>
    <cfRule type="cellIs" dxfId="26584" priority="850" operator="lessThan">
      <formula>-105575</formula>
    </cfRule>
  </conditionalFormatting>
  <conditionalFormatting sqref="BB227:BB230">
    <cfRule type="cellIs" dxfId="26583" priority="847" operator="lessThan">
      <formula>0</formula>
    </cfRule>
    <cfRule type="cellIs" dxfId="26582" priority="848" operator="lessThan">
      <formula>-105575</formula>
    </cfRule>
  </conditionalFormatting>
  <conditionalFormatting sqref="BB227:BB230">
    <cfRule type="cellIs" dxfId="26581" priority="845" operator="lessThan">
      <formula>0</formula>
    </cfRule>
    <cfRule type="cellIs" dxfId="26580" priority="846" operator="lessThan">
      <formula>-105575</formula>
    </cfRule>
  </conditionalFormatting>
  <conditionalFormatting sqref="BB246:BB249">
    <cfRule type="cellIs" dxfId="26579" priority="843" operator="lessThan">
      <formula>0</formula>
    </cfRule>
    <cfRule type="cellIs" dxfId="26578" priority="844" operator="lessThan">
      <formula>-105575</formula>
    </cfRule>
  </conditionalFormatting>
  <conditionalFormatting sqref="BB246:BB249">
    <cfRule type="cellIs" dxfId="26577" priority="841" operator="lessThan">
      <formula>0</formula>
    </cfRule>
    <cfRule type="cellIs" dxfId="26576" priority="842" operator="lessThan">
      <formula>-105575</formula>
    </cfRule>
  </conditionalFormatting>
  <conditionalFormatting sqref="BB246:BB249">
    <cfRule type="cellIs" dxfId="26575" priority="839" operator="lessThan">
      <formula>0</formula>
    </cfRule>
    <cfRule type="cellIs" dxfId="26574" priority="840" operator="lessThan">
      <formula>-105575</formula>
    </cfRule>
  </conditionalFormatting>
  <conditionalFormatting sqref="BB246:BB249">
    <cfRule type="cellIs" dxfId="26573" priority="837" operator="lessThan">
      <formula>0</formula>
    </cfRule>
    <cfRule type="cellIs" dxfId="26572" priority="838" operator="lessThan">
      <formula>-105575</formula>
    </cfRule>
  </conditionalFormatting>
  <conditionalFormatting sqref="BB246:BB249">
    <cfRule type="cellIs" dxfId="26571" priority="835" operator="lessThan">
      <formula>0</formula>
    </cfRule>
    <cfRule type="cellIs" dxfId="26570" priority="836" operator="lessThan">
      <formula>-105575</formula>
    </cfRule>
  </conditionalFormatting>
  <conditionalFormatting sqref="BB246:BB249">
    <cfRule type="cellIs" dxfId="26569" priority="833" operator="lessThan">
      <formula>0</formula>
    </cfRule>
    <cfRule type="cellIs" dxfId="26568" priority="834" operator="lessThan">
      <formula>-105575</formula>
    </cfRule>
  </conditionalFormatting>
  <conditionalFormatting sqref="BB246:BB249">
    <cfRule type="cellIs" dxfId="26567" priority="831" operator="lessThan">
      <formula>0</formula>
    </cfRule>
    <cfRule type="cellIs" dxfId="26566" priority="832" operator="lessThan">
      <formula>-105575</formula>
    </cfRule>
  </conditionalFormatting>
  <conditionalFormatting sqref="BB246:BB249">
    <cfRule type="cellIs" dxfId="26565" priority="829" operator="lessThan">
      <formula>0</formula>
    </cfRule>
    <cfRule type="cellIs" dxfId="26564" priority="830" operator="lessThan">
      <formula>-105575</formula>
    </cfRule>
  </conditionalFormatting>
  <conditionalFormatting sqref="BB246:BB249">
    <cfRule type="cellIs" dxfId="26563" priority="827" operator="lessThan">
      <formula>0</formula>
    </cfRule>
    <cfRule type="cellIs" dxfId="26562" priority="828" operator="lessThan">
      <formula>-105575</formula>
    </cfRule>
  </conditionalFormatting>
  <conditionalFormatting sqref="BB251:BB253">
    <cfRule type="cellIs" dxfId="26561" priority="825" operator="lessThan">
      <formula>0</formula>
    </cfRule>
    <cfRule type="cellIs" dxfId="26560" priority="826" operator="lessThan">
      <formula>-105575</formula>
    </cfRule>
  </conditionalFormatting>
  <conditionalFormatting sqref="BB251:BB253">
    <cfRule type="cellIs" dxfId="26559" priority="823" operator="lessThan">
      <formula>0</formula>
    </cfRule>
    <cfRule type="cellIs" dxfId="26558" priority="824" operator="lessThan">
      <formula>-105575</formula>
    </cfRule>
  </conditionalFormatting>
  <conditionalFormatting sqref="BB251:BB253">
    <cfRule type="cellIs" dxfId="26557" priority="821" operator="lessThan">
      <formula>0</formula>
    </cfRule>
    <cfRule type="cellIs" dxfId="26556" priority="822" operator="lessThan">
      <formula>-105575</formula>
    </cfRule>
  </conditionalFormatting>
  <conditionalFormatting sqref="BB251:BB253">
    <cfRule type="cellIs" dxfId="26555" priority="819" operator="lessThan">
      <formula>0</formula>
    </cfRule>
    <cfRule type="cellIs" dxfId="26554" priority="820" operator="lessThan">
      <formula>-105575</formula>
    </cfRule>
  </conditionalFormatting>
  <conditionalFormatting sqref="BB251:BB253">
    <cfRule type="cellIs" dxfId="26553" priority="817" operator="lessThan">
      <formula>0</formula>
    </cfRule>
    <cfRule type="cellIs" dxfId="26552" priority="818" operator="lessThan">
      <formula>-105575</formula>
    </cfRule>
  </conditionalFormatting>
  <conditionalFormatting sqref="BB251:BB253">
    <cfRule type="cellIs" dxfId="26551" priority="815" operator="lessThan">
      <formula>0</formula>
    </cfRule>
    <cfRule type="cellIs" dxfId="26550" priority="816" operator="lessThan">
      <formula>-105575</formula>
    </cfRule>
  </conditionalFormatting>
  <conditionalFormatting sqref="BB251:BB253">
    <cfRule type="cellIs" dxfId="26549" priority="813" operator="lessThan">
      <formula>0</formula>
    </cfRule>
    <cfRule type="cellIs" dxfId="26548" priority="814" operator="lessThan">
      <formula>-105575</formula>
    </cfRule>
  </conditionalFormatting>
  <conditionalFormatting sqref="BB251:BB253">
    <cfRule type="cellIs" dxfId="26547" priority="811" operator="lessThan">
      <formula>0</formula>
    </cfRule>
    <cfRule type="cellIs" dxfId="26546" priority="812" operator="lessThan">
      <formula>-105575</formula>
    </cfRule>
  </conditionalFormatting>
  <conditionalFormatting sqref="BB251:BB253">
    <cfRule type="cellIs" dxfId="26545" priority="809" operator="lessThan">
      <formula>0</formula>
    </cfRule>
    <cfRule type="cellIs" dxfId="26544" priority="810" operator="lessThan">
      <formula>-105575</formula>
    </cfRule>
  </conditionalFormatting>
  <conditionalFormatting sqref="BB255:BB257">
    <cfRule type="cellIs" dxfId="26543" priority="807" operator="lessThan">
      <formula>0</formula>
    </cfRule>
    <cfRule type="cellIs" dxfId="26542" priority="808" operator="lessThan">
      <formula>-105575</formula>
    </cfRule>
  </conditionalFormatting>
  <conditionalFormatting sqref="BB255:BB257">
    <cfRule type="cellIs" dxfId="26541" priority="805" operator="lessThan">
      <formula>0</formula>
    </cfRule>
    <cfRule type="cellIs" dxfId="26540" priority="806" operator="lessThan">
      <formula>-105575</formula>
    </cfRule>
  </conditionalFormatting>
  <conditionalFormatting sqref="BB255:BB257">
    <cfRule type="cellIs" dxfId="26539" priority="803" operator="lessThan">
      <formula>0</formula>
    </cfRule>
    <cfRule type="cellIs" dxfId="26538" priority="804" operator="lessThan">
      <formula>-105575</formula>
    </cfRule>
  </conditionalFormatting>
  <conditionalFormatting sqref="BB255:BB257">
    <cfRule type="cellIs" dxfId="26537" priority="801" operator="lessThan">
      <formula>0</formula>
    </cfRule>
    <cfRule type="cellIs" dxfId="26536" priority="802" operator="lessThan">
      <formula>-105575</formula>
    </cfRule>
  </conditionalFormatting>
  <conditionalFormatting sqref="BB255:BB257">
    <cfRule type="cellIs" dxfId="26535" priority="799" operator="lessThan">
      <formula>0</formula>
    </cfRule>
    <cfRule type="cellIs" dxfId="26534" priority="800" operator="lessThan">
      <formula>-105575</formula>
    </cfRule>
  </conditionalFormatting>
  <conditionalFormatting sqref="BB255:BB257">
    <cfRule type="cellIs" dxfId="26533" priority="797" operator="lessThan">
      <formula>0</formula>
    </cfRule>
    <cfRule type="cellIs" dxfId="26532" priority="798" operator="lessThan">
      <formula>-105575</formula>
    </cfRule>
  </conditionalFormatting>
  <conditionalFormatting sqref="BB255:BB257">
    <cfRule type="cellIs" dxfId="26531" priority="795" operator="lessThan">
      <formula>0</formula>
    </cfRule>
    <cfRule type="cellIs" dxfId="26530" priority="796" operator="lessThan">
      <formula>-105575</formula>
    </cfRule>
  </conditionalFormatting>
  <conditionalFormatting sqref="BB255:BB257">
    <cfRule type="cellIs" dxfId="26529" priority="793" operator="lessThan">
      <formula>0</formula>
    </cfRule>
    <cfRule type="cellIs" dxfId="26528" priority="794" operator="lessThan">
      <formula>-105575</formula>
    </cfRule>
  </conditionalFormatting>
  <conditionalFormatting sqref="BB255:BB257">
    <cfRule type="cellIs" dxfId="26527" priority="791" operator="lessThan">
      <formula>0</formula>
    </cfRule>
    <cfRule type="cellIs" dxfId="26526" priority="792" operator="lessThan">
      <formula>-105575</formula>
    </cfRule>
  </conditionalFormatting>
  <conditionalFormatting sqref="BB260:BB262">
    <cfRule type="cellIs" dxfId="26525" priority="789" operator="lessThan">
      <formula>0</formula>
    </cfRule>
    <cfRule type="cellIs" dxfId="26524" priority="790" operator="lessThan">
      <formula>-105575</formula>
    </cfRule>
  </conditionalFormatting>
  <conditionalFormatting sqref="BB260:BB262">
    <cfRule type="cellIs" dxfId="26523" priority="787" operator="lessThan">
      <formula>0</formula>
    </cfRule>
    <cfRule type="cellIs" dxfId="26522" priority="788" operator="lessThan">
      <formula>-105575</formula>
    </cfRule>
  </conditionalFormatting>
  <conditionalFormatting sqref="BB260:BB262">
    <cfRule type="cellIs" dxfId="26521" priority="785" operator="lessThan">
      <formula>0</formula>
    </cfRule>
    <cfRule type="cellIs" dxfId="26520" priority="786" operator="lessThan">
      <formula>-105575</formula>
    </cfRule>
  </conditionalFormatting>
  <conditionalFormatting sqref="BB260:BB262">
    <cfRule type="cellIs" dxfId="26519" priority="783" operator="lessThan">
      <formula>0</formula>
    </cfRule>
    <cfRule type="cellIs" dxfId="26518" priority="784" operator="lessThan">
      <formula>-105575</formula>
    </cfRule>
  </conditionalFormatting>
  <conditionalFormatting sqref="BB260:BB262">
    <cfRule type="cellIs" dxfId="26517" priority="781" operator="lessThan">
      <formula>0</formula>
    </cfRule>
    <cfRule type="cellIs" dxfId="26516" priority="782" operator="lessThan">
      <formula>-105575</formula>
    </cfRule>
  </conditionalFormatting>
  <conditionalFormatting sqref="BB260:BB262">
    <cfRule type="cellIs" dxfId="26515" priority="779" operator="lessThan">
      <formula>0</formula>
    </cfRule>
    <cfRule type="cellIs" dxfId="26514" priority="780" operator="lessThan">
      <formula>-105575</formula>
    </cfRule>
  </conditionalFormatting>
  <conditionalFormatting sqref="BB260:BB262">
    <cfRule type="cellIs" dxfId="26513" priority="777" operator="lessThan">
      <formula>0</formula>
    </cfRule>
    <cfRule type="cellIs" dxfId="26512" priority="778" operator="lessThan">
      <formula>-105575</formula>
    </cfRule>
  </conditionalFormatting>
  <conditionalFormatting sqref="BB260:BB262">
    <cfRule type="cellIs" dxfId="26511" priority="775" operator="lessThan">
      <formula>0</formula>
    </cfRule>
    <cfRule type="cellIs" dxfId="26510" priority="776" operator="lessThan">
      <formula>-105575</formula>
    </cfRule>
  </conditionalFormatting>
  <conditionalFormatting sqref="BB260:BB262">
    <cfRule type="cellIs" dxfId="26509" priority="773" operator="lessThan">
      <formula>0</formula>
    </cfRule>
    <cfRule type="cellIs" dxfId="26508" priority="774" operator="lessThan">
      <formula>-105575</formula>
    </cfRule>
  </conditionalFormatting>
  <conditionalFormatting sqref="BB264:BB267">
    <cfRule type="cellIs" dxfId="26507" priority="771" operator="lessThan">
      <formula>0</formula>
    </cfRule>
    <cfRule type="cellIs" dxfId="26506" priority="772" operator="lessThan">
      <formula>-105575</formula>
    </cfRule>
  </conditionalFormatting>
  <conditionalFormatting sqref="BB264:BB267">
    <cfRule type="cellIs" dxfId="26505" priority="769" operator="lessThan">
      <formula>0</formula>
    </cfRule>
    <cfRule type="cellIs" dxfId="26504" priority="770" operator="lessThan">
      <formula>-105575</formula>
    </cfRule>
  </conditionalFormatting>
  <conditionalFormatting sqref="BB264:BB267">
    <cfRule type="cellIs" dxfId="26503" priority="767" operator="lessThan">
      <formula>0</formula>
    </cfRule>
    <cfRule type="cellIs" dxfId="26502" priority="768" operator="lessThan">
      <formula>-105575</formula>
    </cfRule>
  </conditionalFormatting>
  <conditionalFormatting sqref="BB264:BB267">
    <cfRule type="cellIs" dxfId="26501" priority="765" operator="lessThan">
      <formula>0</formula>
    </cfRule>
    <cfRule type="cellIs" dxfId="26500" priority="766" operator="lessThan">
      <formula>-105575</formula>
    </cfRule>
  </conditionalFormatting>
  <conditionalFormatting sqref="BB264:BB267">
    <cfRule type="cellIs" dxfId="26499" priority="763" operator="lessThan">
      <formula>0</formula>
    </cfRule>
    <cfRule type="cellIs" dxfId="26498" priority="764" operator="lessThan">
      <formula>-105575</formula>
    </cfRule>
  </conditionalFormatting>
  <conditionalFormatting sqref="BB264:BB267">
    <cfRule type="cellIs" dxfId="26497" priority="761" operator="lessThan">
      <formula>0</formula>
    </cfRule>
    <cfRule type="cellIs" dxfId="26496" priority="762" operator="lessThan">
      <formula>-105575</formula>
    </cfRule>
  </conditionalFormatting>
  <conditionalFormatting sqref="BB264:BB267">
    <cfRule type="cellIs" dxfId="26495" priority="759" operator="lessThan">
      <formula>0</formula>
    </cfRule>
    <cfRule type="cellIs" dxfId="26494" priority="760" operator="lessThan">
      <formula>-105575</formula>
    </cfRule>
  </conditionalFormatting>
  <conditionalFormatting sqref="BB264:BB267">
    <cfRule type="cellIs" dxfId="26493" priority="757" operator="lessThan">
      <formula>0</formula>
    </cfRule>
    <cfRule type="cellIs" dxfId="26492" priority="758" operator="lessThan">
      <formula>-105575</formula>
    </cfRule>
  </conditionalFormatting>
  <conditionalFormatting sqref="BB264:BB267">
    <cfRule type="cellIs" dxfId="26491" priority="755" operator="lessThan">
      <formula>0</formula>
    </cfRule>
    <cfRule type="cellIs" dxfId="26490" priority="756" operator="lessThan">
      <formula>-105575</formula>
    </cfRule>
  </conditionalFormatting>
  <conditionalFormatting sqref="BB270:BB272">
    <cfRule type="cellIs" dxfId="26489" priority="753" operator="lessThan">
      <formula>0</formula>
    </cfRule>
    <cfRule type="cellIs" dxfId="26488" priority="754" operator="lessThan">
      <formula>-105575</formula>
    </cfRule>
  </conditionalFormatting>
  <conditionalFormatting sqref="BB270:BB272">
    <cfRule type="cellIs" dxfId="26487" priority="751" operator="lessThan">
      <formula>0</formula>
    </cfRule>
    <cfRule type="cellIs" dxfId="26486" priority="752" operator="lessThan">
      <formula>-105575</formula>
    </cfRule>
  </conditionalFormatting>
  <conditionalFormatting sqref="BB270:BB272">
    <cfRule type="cellIs" dxfId="26485" priority="749" operator="lessThan">
      <formula>0</formula>
    </cfRule>
    <cfRule type="cellIs" dxfId="26484" priority="750" operator="lessThan">
      <formula>-105575</formula>
    </cfRule>
  </conditionalFormatting>
  <conditionalFormatting sqref="BB270:BB272">
    <cfRule type="cellIs" dxfId="26483" priority="747" operator="lessThan">
      <formula>0</formula>
    </cfRule>
    <cfRule type="cellIs" dxfId="26482" priority="748" operator="lessThan">
      <formula>-105575</formula>
    </cfRule>
  </conditionalFormatting>
  <conditionalFormatting sqref="BB270:BB272">
    <cfRule type="cellIs" dxfId="26481" priority="745" operator="lessThan">
      <formula>0</formula>
    </cfRule>
    <cfRule type="cellIs" dxfId="26480" priority="746" operator="lessThan">
      <formula>-105575</formula>
    </cfRule>
  </conditionalFormatting>
  <conditionalFormatting sqref="BB270:BB272">
    <cfRule type="cellIs" dxfId="26479" priority="743" operator="lessThan">
      <formula>0</formula>
    </cfRule>
    <cfRule type="cellIs" dxfId="26478" priority="744" operator="lessThan">
      <formula>-105575</formula>
    </cfRule>
  </conditionalFormatting>
  <conditionalFormatting sqref="BB270:BB272">
    <cfRule type="cellIs" dxfId="26477" priority="741" operator="lessThan">
      <formula>0</formula>
    </cfRule>
    <cfRule type="cellIs" dxfId="26476" priority="742" operator="lessThan">
      <formula>-105575</formula>
    </cfRule>
  </conditionalFormatting>
  <conditionalFormatting sqref="BB270:BB272">
    <cfRule type="cellIs" dxfId="26475" priority="739" operator="lessThan">
      <formula>0</formula>
    </cfRule>
    <cfRule type="cellIs" dxfId="26474" priority="740" operator="lessThan">
      <formula>-105575</formula>
    </cfRule>
  </conditionalFormatting>
  <conditionalFormatting sqref="BB270:BB272">
    <cfRule type="cellIs" dxfId="26473" priority="737" operator="lessThan">
      <formula>0</formula>
    </cfRule>
    <cfRule type="cellIs" dxfId="26472" priority="738" operator="lessThan">
      <formula>-105575</formula>
    </cfRule>
  </conditionalFormatting>
  <conditionalFormatting sqref="BB274:BB275">
    <cfRule type="cellIs" dxfId="26471" priority="735" operator="lessThan">
      <formula>0</formula>
    </cfRule>
    <cfRule type="cellIs" dxfId="26470" priority="736" operator="lessThan">
      <formula>-105575</formula>
    </cfRule>
  </conditionalFormatting>
  <conditionalFormatting sqref="BB274:BB275">
    <cfRule type="cellIs" dxfId="26469" priority="733" operator="lessThan">
      <formula>0</formula>
    </cfRule>
    <cfRule type="cellIs" dxfId="26468" priority="734" operator="lessThan">
      <formula>-105575</formula>
    </cfRule>
  </conditionalFormatting>
  <conditionalFormatting sqref="BB274:BB275">
    <cfRule type="cellIs" dxfId="26467" priority="731" operator="lessThan">
      <formula>0</formula>
    </cfRule>
    <cfRule type="cellIs" dxfId="26466" priority="732" operator="lessThan">
      <formula>-105575</formula>
    </cfRule>
  </conditionalFormatting>
  <conditionalFormatting sqref="BB274:BB275">
    <cfRule type="cellIs" dxfId="26465" priority="729" operator="lessThan">
      <formula>0</formula>
    </cfRule>
    <cfRule type="cellIs" dxfId="26464" priority="730" operator="lessThan">
      <formula>-105575</formula>
    </cfRule>
  </conditionalFormatting>
  <conditionalFormatting sqref="BB274:BB275">
    <cfRule type="cellIs" dxfId="26463" priority="727" operator="lessThan">
      <formula>0</formula>
    </cfRule>
    <cfRule type="cellIs" dxfId="26462" priority="728" operator="lessThan">
      <formula>-105575</formula>
    </cfRule>
  </conditionalFormatting>
  <conditionalFormatting sqref="BB274:BB275">
    <cfRule type="cellIs" dxfId="26461" priority="725" operator="lessThan">
      <formula>0</formula>
    </cfRule>
    <cfRule type="cellIs" dxfId="26460" priority="726" operator="lessThan">
      <formula>-105575</formula>
    </cfRule>
  </conditionalFormatting>
  <conditionalFormatting sqref="BB274:BB275">
    <cfRule type="cellIs" dxfId="26459" priority="723" operator="lessThan">
      <formula>0</formula>
    </cfRule>
    <cfRule type="cellIs" dxfId="26458" priority="724" operator="lessThan">
      <formula>-105575</formula>
    </cfRule>
  </conditionalFormatting>
  <conditionalFormatting sqref="BB274:BB275">
    <cfRule type="cellIs" dxfId="26457" priority="721" operator="lessThan">
      <formula>0</formula>
    </cfRule>
    <cfRule type="cellIs" dxfId="26456" priority="722" operator="lessThan">
      <formula>-105575</formula>
    </cfRule>
  </conditionalFormatting>
  <conditionalFormatting sqref="BB274:BB275">
    <cfRule type="cellIs" dxfId="26455" priority="719" operator="lessThan">
      <formula>0</formula>
    </cfRule>
    <cfRule type="cellIs" dxfId="26454" priority="720" operator="lessThan">
      <formula>-105575</formula>
    </cfRule>
  </conditionalFormatting>
  <conditionalFormatting sqref="BB278:BB282">
    <cfRule type="cellIs" dxfId="26453" priority="717" operator="lessThan">
      <formula>0</formula>
    </cfRule>
    <cfRule type="cellIs" dxfId="26452" priority="718" operator="lessThan">
      <formula>-105575</formula>
    </cfRule>
  </conditionalFormatting>
  <conditionalFormatting sqref="BB278:BB282">
    <cfRule type="cellIs" dxfId="26451" priority="715" operator="lessThan">
      <formula>0</formula>
    </cfRule>
    <cfRule type="cellIs" dxfId="26450" priority="716" operator="lessThan">
      <formula>-105575</formula>
    </cfRule>
  </conditionalFormatting>
  <conditionalFormatting sqref="BB278:BB282">
    <cfRule type="cellIs" dxfId="26449" priority="713" operator="lessThan">
      <formula>0</formula>
    </cfRule>
    <cfRule type="cellIs" dxfId="26448" priority="714" operator="lessThan">
      <formula>-105575</formula>
    </cfRule>
  </conditionalFormatting>
  <conditionalFormatting sqref="BB278:BB282">
    <cfRule type="cellIs" dxfId="26447" priority="711" operator="lessThan">
      <formula>0</formula>
    </cfRule>
    <cfRule type="cellIs" dxfId="26446" priority="712" operator="lessThan">
      <formula>-105575</formula>
    </cfRule>
  </conditionalFormatting>
  <conditionalFormatting sqref="BB278:BB282">
    <cfRule type="cellIs" dxfId="26445" priority="709" operator="lessThan">
      <formula>0</formula>
    </cfRule>
    <cfRule type="cellIs" dxfId="26444" priority="710" operator="lessThan">
      <formula>-105575</formula>
    </cfRule>
  </conditionalFormatting>
  <conditionalFormatting sqref="BB278:BB282">
    <cfRule type="cellIs" dxfId="26443" priority="707" operator="lessThan">
      <formula>0</formula>
    </cfRule>
    <cfRule type="cellIs" dxfId="26442" priority="708" operator="lessThan">
      <formula>-105575</formula>
    </cfRule>
  </conditionalFormatting>
  <conditionalFormatting sqref="BB278:BB282">
    <cfRule type="cellIs" dxfId="26441" priority="705" operator="lessThan">
      <formula>0</formula>
    </cfRule>
    <cfRule type="cellIs" dxfId="26440" priority="706" operator="lessThan">
      <formula>-105575</formula>
    </cfRule>
  </conditionalFormatting>
  <conditionalFormatting sqref="BB278:BB282">
    <cfRule type="cellIs" dxfId="26439" priority="703" operator="lessThan">
      <formula>0</formula>
    </cfRule>
    <cfRule type="cellIs" dxfId="26438" priority="704" operator="lessThan">
      <formula>-105575</formula>
    </cfRule>
  </conditionalFormatting>
  <conditionalFormatting sqref="BB278:BB282">
    <cfRule type="cellIs" dxfId="26437" priority="701" operator="lessThan">
      <formula>0</formula>
    </cfRule>
    <cfRule type="cellIs" dxfId="26436" priority="702" operator="lessThan">
      <formula>-105575</formula>
    </cfRule>
  </conditionalFormatting>
  <conditionalFormatting sqref="BB285:BB288">
    <cfRule type="cellIs" dxfId="26435" priority="699" operator="lessThan">
      <formula>0</formula>
    </cfRule>
    <cfRule type="cellIs" dxfId="26434" priority="700" operator="lessThan">
      <formula>-105575</formula>
    </cfRule>
  </conditionalFormatting>
  <conditionalFormatting sqref="BB285:BB288">
    <cfRule type="cellIs" dxfId="26433" priority="697" operator="lessThan">
      <formula>0</formula>
    </cfRule>
    <cfRule type="cellIs" dxfId="26432" priority="698" operator="lessThan">
      <formula>-105575</formula>
    </cfRule>
  </conditionalFormatting>
  <conditionalFormatting sqref="BB285:BB288">
    <cfRule type="cellIs" dxfId="26431" priority="695" operator="lessThan">
      <formula>0</formula>
    </cfRule>
    <cfRule type="cellIs" dxfId="26430" priority="696" operator="lessThan">
      <formula>-105575</formula>
    </cfRule>
  </conditionalFormatting>
  <conditionalFormatting sqref="BB285:BB288">
    <cfRule type="cellIs" dxfId="26429" priority="693" operator="lessThan">
      <formula>0</formula>
    </cfRule>
    <cfRule type="cellIs" dxfId="26428" priority="694" operator="lessThan">
      <formula>-105575</formula>
    </cfRule>
  </conditionalFormatting>
  <conditionalFormatting sqref="BB285:BB288">
    <cfRule type="cellIs" dxfId="26427" priority="691" operator="lessThan">
      <formula>0</formula>
    </cfRule>
    <cfRule type="cellIs" dxfId="26426" priority="692" operator="lessThan">
      <formula>-105575</formula>
    </cfRule>
  </conditionalFormatting>
  <conditionalFormatting sqref="BB285:BB288">
    <cfRule type="cellIs" dxfId="26425" priority="689" operator="lessThan">
      <formula>0</formula>
    </cfRule>
    <cfRule type="cellIs" dxfId="26424" priority="690" operator="lessThan">
      <formula>-105575</formula>
    </cfRule>
  </conditionalFormatting>
  <conditionalFormatting sqref="BB285:BB288">
    <cfRule type="cellIs" dxfId="26423" priority="687" operator="lessThan">
      <formula>0</formula>
    </cfRule>
    <cfRule type="cellIs" dxfId="26422" priority="688" operator="lessThan">
      <formula>-105575</formula>
    </cfRule>
  </conditionalFormatting>
  <conditionalFormatting sqref="BB285:BB288">
    <cfRule type="cellIs" dxfId="26421" priority="685" operator="lessThan">
      <formula>0</formula>
    </cfRule>
    <cfRule type="cellIs" dxfId="26420" priority="686" operator="lessThan">
      <formula>-105575</formula>
    </cfRule>
  </conditionalFormatting>
  <conditionalFormatting sqref="BB285:BB288">
    <cfRule type="cellIs" dxfId="26419" priority="683" operator="lessThan">
      <formula>0</formula>
    </cfRule>
    <cfRule type="cellIs" dxfId="26418" priority="684" operator="lessThan">
      <formula>-105575</formula>
    </cfRule>
  </conditionalFormatting>
  <conditionalFormatting sqref="BB203 BB220:BB221 BB235:BB243 BB231:BB233 BB212:BB213 BB225:BB226">
    <cfRule type="cellIs" dxfId="26417" priority="681" operator="lessThan">
      <formula>0</formula>
    </cfRule>
    <cfRule type="cellIs" dxfId="26416" priority="682" operator="lessThan">
      <formula>-105575</formula>
    </cfRule>
  </conditionalFormatting>
  <conditionalFormatting sqref="BB220 BB212:BB213 BB235:BB238 BB240:BB243 BB225:BB226 BB231:BB233">
    <cfRule type="cellIs" dxfId="26415" priority="679" operator="lessThan">
      <formula>0</formula>
    </cfRule>
    <cfRule type="cellIs" dxfId="26414" priority="680" operator="lessThan">
      <formula>-105575</formula>
    </cfRule>
  </conditionalFormatting>
  <conditionalFormatting sqref="BB220:BB221 BB243 BB226 BB231:BB236 BB238:BB241 BB203 BB213">
    <cfRule type="cellIs" dxfId="26413" priority="677" operator="lessThan">
      <formula>0</formula>
    </cfRule>
    <cfRule type="cellIs" dxfId="26412" priority="678" operator="lessThan">
      <formula>-105575</formula>
    </cfRule>
  </conditionalFormatting>
  <conditionalFormatting sqref="BB235:BB243 BB231:BB233 BB220 BB212:BB213 BB225:BB226">
    <cfRule type="cellIs" dxfId="26411" priority="675" operator="lessThan">
      <formula>0</formula>
    </cfRule>
    <cfRule type="cellIs" dxfId="26410" priority="676" operator="lessThan">
      <formula>-105575</formula>
    </cfRule>
  </conditionalFormatting>
  <conditionalFormatting sqref="BB220:BB221 BB237:BB243 BB203 BB231:BB235 BB212:BB213 BB225:BB226">
    <cfRule type="cellIs" dxfId="26409" priority="673" operator="lessThan">
      <formula>0</formula>
    </cfRule>
    <cfRule type="cellIs" dxfId="26408" priority="674" operator="lessThan">
      <formula>-105575</formula>
    </cfRule>
  </conditionalFormatting>
  <conditionalFormatting sqref="BB220:BB221 BB237:BB240 BB242:BB243 BB225:BB226 BB231:BB235">
    <cfRule type="cellIs" dxfId="26407" priority="671" operator="lessThan">
      <formula>0</formula>
    </cfRule>
    <cfRule type="cellIs" dxfId="26406" priority="672" operator="lessThan">
      <formula>-105575</formula>
    </cfRule>
  </conditionalFormatting>
  <conditionalFormatting sqref="BB212 BB231 BB233:BB238 BB240:BB243 BB225">
    <cfRule type="cellIs" dxfId="26405" priority="669" operator="lessThan">
      <formula>0</formula>
    </cfRule>
    <cfRule type="cellIs" dxfId="26404" priority="670" operator="lessThan">
      <formula>-105575</formula>
    </cfRule>
  </conditionalFormatting>
  <conditionalFormatting sqref="BB237:BB243 BB231:BB235 BB220:BB221 BB225:BB226">
    <cfRule type="cellIs" dxfId="26403" priority="667" operator="lessThan">
      <formula>0</formula>
    </cfRule>
    <cfRule type="cellIs" dxfId="26402" priority="668" operator="lessThan">
      <formula>-105575</formula>
    </cfRule>
  </conditionalFormatting>
  <conditionalFormatting sqref="BB233:BB237 BB231 BB239:BB243">
    <cfRule type="cellIs" dxfId="26401" priority="665" operator="lessThan">
      <formula>0</formula>
    </cfRule>
    <cfRule type="cellIs" dxfId="26400" priority="666" operator="lessThan">
      <formula>-105575</formula>
    </cfRule>
  </conditionalFormatting>
  <conditionalFormatting sqref="BB233:BB237 BB231 BB239:BB243">
    <cfRule type="cellIs" dxfId="26399" priority="663" operator="lessThan">
      <formula>0</formula>
    </cfRule>
    <cfRule type="cellIs" dxfId="26398" priority="664" operator="lessThan">
      <formula>-105575</formula>
    </cfRule>
  </conditionalFormatting>
  <conditionalFormatting sqref="BB119:BB128 BB106:BB117 BB101:BB104 BB80:BB98">
    <cfRule type="cellIs" dxfId="26397" priority="661" operator="lessThan">
      <formula>0</formula>
    </cfRule>
    <cfRule type="cellIs" dxfId="26396" priority="662" operator="lessThan">
      <formula>-105575</formula>
    </cfRule>
  </conditionalFormatting>
  <conditionalFormatting sqref="BB130 BB132 BB134">
    <cfRule type="cellIs" dxfId="26395" priority="659" operator="lessThan">
      <formula>0</formula>
    </cfRule>
    <cfRule type="cellIs" dxfId="26394" priority="660" operator="lessThan">
      <formula>-105575</formula>
    </cfRule>
  </conditionalFormatting>
  <conditionalFormatting sqref="BB130 BB132 BB134">
    <cfRule type="cellIs" dxfId="26393" priority="657" operator="lessThan">
      <formula>0</formula>
    </cfRule>
    <cfRule type="cellIs" dxfId="26392" priority="658" operator="lessThan">
      <formula>-105575</formula>
    </cfRule>
  </conditionalFormatting>
  <conditionalFormatting sqref="BB129 BB131 BB133 BB135">
    <cfRule type="cellIs" dxfId="26391" priority="655" operator="lessThan">
      <formula>0</formula>
    </cfRule>
    <cfRule type="cellIs" dxfId="26390" priority="656" operator="lessThan">
      <formula>-105575</formula>
    </cfRule>
  </conditionalFormatting>
  <conditionalFormatting sqref="BB140 BB145 BB142:BB143 BB137:BB138">
    <cfRule type="cellIs" dxfId="26389" priority="653" operator="lessThan">
      <formula>0</formula>
    </cfRule>
    <cfRule type="cellIs" dxfId="26388" priority="654" operator="lessThan">
      <formula>-105575</formula>
    </cfRule>
  </conditionalFormatting>
  <conditionalFormatting sqref="BB149">
    <cfRule type="cellIs" dxfId="26387" priority="651" operator="lessThan">
      <formula>0</formula>
    </cfRule>
    <cfRule type="cellIs" dxfId="26386" priority="652" operator="lessThan">
      <formula>-105575</formula>
    </cfRule>
  </conditionalFormatting>
  <conditionalFormatting sqref="BB129:BB138 BB140:BB149">
    <cfRule type="cellIs" dxfId="26385" priority="649" operator="lessThan">
      <formula>0</formula>
    </cfRule>
    <cfRule type="cellIs" dxfId="26384" priority="650" operator="lessThan">
      <formula>-105575</formula>
    </cfRule>
  </conditionalFormatting>
  <conditionalFormatting sqref="BB86:BB87 BB89:BB91 BB141:BB149 BB124:BB133 BB107:BB110 BB112:BB117 BB119:BB122 BB135:BB138 BB101:BB104 BB80:BB84 BB94:BB98">
    <cfRule type="cellIs" dxfId="26383" priority="647" operator="lessThan">
      <formula>0</formula>
    </cfRule>
    <cfRule type="cellIs" dxfId="26382" priority="648" operator="lessThan">
      <formula>-105575</formula>
    </cfRule>
  </conditionalFormatting>
  <conditionalFormatting sqref="BB129 BB131 BB133 BB135">
    <cfRule type="cellIs" dxfId="26381" priority="645" operator="lessThan">
      <formula>0</formula>
    </cfRule>
    <cfRule type="cellIs" dxfId="26380" priority="646" operator="lessThan">
      <formula>-105575</formula>
    </cfRule>
  </conditionalFormatting>
  <conditionalFormatting sqref="BB146 BB144 BB141">
    <cfRule type="cellIs" dxfId="26379" priority="643" operator="lessThan">
      <formula>0</formula>
    </cfRule>
    <cfRule type="cellIs" dxfId="26378" priority="644" operator="lessThan">
      <formula>-105575</formula>
    </cfRule>
  </conditionalFormatting>
  <conditionalFormatting sqref="BB146 BB144 BB141">
    <cfRule type="cellIs" dxfId="26377" priority="641" operator="lessThan">
      <formula>0</formula>
    </cfRule>
    <cfRule type="cellIs" dxfId="26376" priority="642" operator="lessThan">
      <formula>-105575</formula>
    </cfRule>
  </conditionalFormatting>
  <conditionalFormatting sqref="BB140 BB145 BB142:BB143 BB137:BB138">
    <cfRule type="cellIs" dxfId="26375" priority="639" operator="lessThan">
      <formula>0</formula>
    </cfRule>
    <cfRule type="cellIs" dxfId="26374" priority="640" operator="lessThan">
      <formula>-105575</formula>
    </cfRule>
  </conditionalFormatting>
  <conditionalFormatting sqref="BB149">
    <cfRule type="cellIs" dxfId="26373" priority="637" operator="lessThan">
      <formula>0</formula>
    </cfRule>
    <cfRule type="cellIs" dxfId="26372" priority="638" operator="lessThan">
      <formula>-105575</formula>
    </cfRule>
  </conditionalFormatting>
  <conditionalFormatting sqref="BB86:BB87 BB89:BB91 BB141:BB149 BB124:BB133 BB107:BB110 BB112:BB117 BB119:BB122 BB135:BB138 BB101:BB104 BB80:BB84 BB94:BB98">
    <cfRule type="cellIs" dxfId="26371" priority="635" operator="lessThan">
      <formula>0</formula>
    </cfRule>
    <cfRule type="cellIs" dxfId="26370" priority="636" operator="lessThan">
      <formula>-105575</formula>
    </cfRule>
  </conditionalFormatting>
  <conditionalFormatting sqref="BB62:BB76 BB306:BB309 BB311:BB325 BB327:BB330 BB332:BB341 BB344:BB347 BB349:BB353 BB355:BB358 BB360:BB384 BB386:BB389 BB392:BB395 BB397:BB411 BB413:BB416 BB418:BB432 BB434:BB437 BB439:BB453 BB455:BB458 BB460:BB469 BB17:BB18 BB21:BB24 BB26:BB28 BB30:BB36 BB38 BB41:BB43 BB46:BB49 BB51:BB55 BB57:BB59 BB290:BB291 BB293:BB304 BB7:BB14">
    <cfRule type="cellIs" dxfId="26369" priority="633" operator="lessThan">
      <formula>0</formula>
    </cfRule>
    <cfRule type="cellIs" dxfId="26368" priority="634" operator="lessThan">
      <formula>-105575</formula>
    </cfRule>
  </conditionalFormatting>
  <conditionalFormatting sqref="BB41">
    <cfRule type="cellIs" dxfId="26367" priority="631" operator="lessThan">
      <formula>0</formula>
    </cfRule>
    <cfRule type="cellIs" dxfId="26366" priority="632" operator="lessThan">
      <formula>-105575</formula>
    </cfRule>
  </conditionalFormatting>
  <conditionalFormatting sqref="BB152:BB155">
    <cfRule type="cellIs" dxfId="26365" priority="629" operator="lessThan">
      <formula>0</formula>
    </cfRule>
    <cfRule type="cellIs" dxfId="26364" priority="630" operator="lessThan">
      <formula>-105575</formula>
    </cfRule>
  </conditionalFormatting>
  <conditionalFormatting sqref="BB152:BB155">
    <cfRule type="cellIs" dxfId="26363" priority="627" operator="lessThan">
      <formula>0</formula>
    </cfRule>
    <cfRule type="cellIs" dxfId="26362" priority="628" operator="lessThan">
      <formula>-105575</formula>
    </cfRule>
  </conditionalFormatting>
  <conditionalFormatting sqref="BB152:BB155">
    <cfRule type="cellIs" dxfId="26361" priority="625" operator="lessThan">
      <formula>0</formula>
    </cfRule>
    <cfRule type="cellIs" dxfId="26360" priority="626" operator="lessThan">
      <formula>-105575</formula>
    </cfRule>
  </conditionalFormatting>
  <conditionalFormatting sqref="BB157:BB158">
    <cfRule type="cellIs" dxfId="26359" priority="623" operator="lessThan">
      <formula>0</formula>
    </cfRule>
    <cfRule type="cellIs" dxfId="26358" priority="624" operator="lessThan">
      <formula>-105575</formula>
    </cfRule>
  </conditionalFormatting>
  <conditionalFormatting sqref="BB157:BB158">
    <cfRule type="cellIs" dxfId="26357" priority="621" operator="lessThan">
      <formula>0</formula>
    </cfRule>
    <cfRule type="cellIs" dxfId="26356" priority="622" operator="lessThan">
      <formula>-105575</formula>
    </cfRule>
  </conditionalFormatting>
  <conditionalFormatting sqref="BB157:BB158">
    <cfRule type="cellIs" dxfId="26355" priority="619" operator="lessThan">
      <formula>0</formula>
    </cfRule>
    <cfRule type="cellIs" dxfId="26354" priority="620" operator="lessThan">
      <formula>-105575</formula>
    </cfRule>
  </conditionalFormatting>
  <conditionalFormatting sqref="BB160:BB161">
    <cfRule type="cellIs" dxfId="26353" priority="617" operator="lessThan">
      <formula>0</formula>
    </cfRule>
    <cfRule type="cellIs" dxfId="26352" priority="618" operator="lessThan">
      <formula>-105575</formula>
    </cfRule>
  </conditionalFormatting>
  <conditionalFormatting sqref="BB160:BB161">
    <cfRule type="cellIs" dxfId="26351" priority="615" operator="lessThan">
      <formula>0</formula>
    </cfRule>
    <cfRule type="cellIs" dxfId="26350" priority="616" operator="lessThan">
      <formula>-105575</formula>
    </cfRule>
  </conditionalFormatting>
  <conditionalFormatting sqref="BB160:BB161">
    <cfRule type="cellIs" dxfId="26349" priority="613" operator="lessThan">
      <formula>0</formula>
    </cfRule>
    <cfRule type="cellIs" dxfId="26348" priority="614" operator="lessThan">
      <formula>-105575</formula>
    </cfRule>
  </conditionalFormatting>
  <conditionalFormatting sqref="BB164:BB167">
    <cfRule type="cellIs" dxfId="26347" priority="611" operator="lessThan">
      <formula>0</formula>
    </cfRule>
    <cfRule type="cellIs" dxfId="26346" priority="612" operator="lessThan">
      <formula>-105575</formula>
    </cfRule>
  </conditionalFormatting>
  <conditionalFormatting sqref="BB164:BB167">
    <cfRule type="cellIs" dxfId="26345" priority="609" operator="lessThan">
      <formula>0</formula>
    </cfRule>
    <cfRule type="cellIs" dxfId="26344" priority="610" operator="lessThan">
      <formula>-105575</formula>
    </cfRule>
  </conditionalFormatting>
  <conditionalFormatting sqref="BB164:BB167">
    <cfRule type="cellIs" dxfId="26343" priority="607" operator="lessThan">
      <formula>0</formula>
    </cfRule>
    <cfRule type="cellIs" dxfId="26342" priority="608" operator="lessThan">
      <formula>-105575</formula>
    </cfRule>
  </conditionalFormatting>
  <conditionalFormatting sqref="BB169:BB177">
    <cfRule type="cellIs" dxfId="26341" priority="605" operator="lessThan">
      <formula>0</formula>
    </cfRule>
    <cfRule type="cellIs" dxfId="26340" priority="606" operator="lessThan">
      <formula>-105575</formula>
    </cfRule>
  </conditionalFormatting>
  <conditionalFormatting sqref="BB169:BB177">
    <cfRule type="cellIs" dxfId="26339" priority="603" operator="lessThan">
      <formula>0</formula>
    </cfRule>
    <cfRule type="cellIs" dxfId="26338" priority="604" operator="lessThan">
      <formula>-105575</formula>
    </cfRule>
  </conditionalFormatting>
  <conditionalFormatting sqref="BB169:BB177">
    <cfRule type="cellIs" dxfId="26337" priority="601" operator="lessThan">
      <formula>0</formula>
    </cfRule>
    <cfRule type="cellIs" dxfId="26336" priority="602" operator="lessThan">
      <formula>-105575</formula>
    </cfRule>
  </conditionalFormatting>
  <conditionalFormatting sqref="BB179:BB180">
    <cfRule type="cellIs" dxfId="26335" priority="599" operator="lessThan">
      <formula>0</formula>
    </cfRule>
    <cfRule type="cellIs" dxfId="26334" priority="600" operator="lessThan">
      <formula>-105575</formula>
    </cfRule>
  </conditionalFormatting>
  <conditionalFormatting sqref="BB179:BB180">
    <cfRule type="cellIs" dxfId="26333" priority="597" operator="lessThan">
      <formula>0</formula>
    </cfRule>
    <cfRule type="cellIs" dxfId="26332" priority="598" operator="lessThan">
      <formula>-105575</formula>
    </cfRule>
  </conditionalFormatting>
  <conditionalFormatting sqref="BB179:BB180">
    <cfRule type="cellIs" dxfId="26331" priority="595" operator="lessThan">
      <formula>0</formula>
    </cfRule>
    <cfRule type="cellIs" dxfId="26330" priority="596" operator="lessThan">
      <formula>-105575</formula>
    </cfRule>
  </conditionalFormatting>
  <conditionalFormatting sqref="BB183:BB189">
    <cfRule type="cellIs" dxfId="26329" priority="593" operator="lessThan">
      <formula>0</formula>
    </cfRule>
    <cfRule type="cellIs" dxfId="26328" priority="594" operator="lessThan">
      <formula>-105575</formula>
    </cfRule>
  </conditionalFormatting>
  <conditionalFormatting sqref="BB183:BB189">
    <cfRule type="cellIs" dxfId="26327" priority="591" operator="lessThan">
      <formula>0</formula>
    </cfRule>
    <cfRule type="cellIs" dxfId="26326" priority="592" operator="lessThan">
      <formula>-105575</formula>
    </cfRule>
  </conditionalFormatting>
  <conditionalFormatting sqref="BB183:BB189">
    <cfRule type="cellIs" dxfId="26325" priority="589" operator="lessThan">
      <formula>0</formula>
    </cfRule>
    <cfRule type="cellIs" dxfId="26324" priority="590" operator="lessThan">
      <formula>-105575</formula>
    </cfRule>
  </conditionalFormatting>
  <conditionalFormatting sqref="BB191:BB192">
    <cfRule type="cellIs" dxfId="26323" priority="587" operator="lessThan">
      <formula>0</formula>
    </cfRule>
    <cfRule type="cellIs" dxfId="26322" priority="588" operator="lessThan">
      <formula>-105575</formula>
    </cfRule>
  </conditionalFormatting>
  <conditionalFormatting sqref="BB191:BB192">
    <cfRule type="cellIs" dxfId="26321" priority="585" operator="lessThan">
      <formula>0</formula>
    </cfRule>
    <cfRule type="cellIs" dxfId="26320" priority="586" operator="lessThan">
      <formula>-105575</formula>
    </cfRule>
  </conditionalFormatting>
  <conditionalFormatting sqref="BB191:BB192">
    <cfRule type="cellIs" dxfId="26319" priority="583" operator="lessThan">
      <formula>0</formula>
    </cfRule>
    <cfRule type="cellIs" dxfId="26318" priority="584" operator="lessThan">
      <formula>-105575</formula>
    </cfRule>
  </conditionalFormatting>
  <conditionalFormatting sqref="BB194:BB195">
    <cfRule type="cellIs" dxfId="26317" priority="581" operator="lessThan">
      <formula>0</formula>
    </cfRule>
    <cfRule type="cellIs" dxfId="26316" priority="582" operator="lessThan">
      <formula>-105575</formula>
    </cfRule>
  </conditionalFormatting>
  <conditionalFormatting sqref="BB194:BB195">
    <cfRule type="cellIs" dxfId="26315" priority="579" operator="lessThan">
      <formula>0</formula>
    </cfRule>
    <cfRule type="cellIs" dxfId="26314" priority="580" operator="lessThan">
      <formula>-105575</formula>
    </cfRule>
  </conditionalFormatting>
  <conditionalFormatting sqref="BB194:BB195">
    <cfRule type="cellIs" dxfId="26313" priority="577" operator="lessThan">
      <formula>0</formula>
    </cfRule>
    <cfRule type="cellIs" dxfId="26312" priority="578" operator="lessThan">
      <formula>-105575</formula>
    </cfRule>
  </conditionalFormatting>
  <conditionalFormatting sqref="BB199:BB202">
    <cfRule type="cellIs" dxfId="26311" priority="575" operator="lessThan">
      <formula>0</formula>
    </cfRule>
    <cfRule type="cellIs" dxfId="26310" priority="576" operator="lessThan">
      <formula>-105575</formula>
    </cfRule>
  </conditionalFormatting>
  <conditionalFormatting sqref="BB199:BB202">
    <cfRule type="cellIs" dxfId="26309" priority="573" operator="lessThan">
      <formula>0</formula>
    </cfRule>
    <cfRule type="cellIs" dxfId="26308" priority="574" operator="lessThan">
      <formula>-105575</formula>
    </cfRule>
  </conditionalFormatting>
  <conditionalFormatting sqref="BB199:BB202">
    <cfRule type="cellIs" dxfId="26307" priority="571" operator="lessThan">
      <formula>0</formula>
    </cfRule>
    <cfRule type="cellIs" dxfId="26306" priority="572" operator="lessThan">
      <formula>-105575</formula>
    </cfRule>
  </conditionalFormatting>
  <conditionalFormatting sqref="BB204:BB208">
    <cfRule type="cellIs" dxfId="26305" priority="569" operator="lessThan">
      <formula>0</formula>
    </cfRule>
    <cfRule type="cellIs" dxfId="26304" priority="570" operator="lessThan">
      <formula>-105575</formula>
    </cfRule>
  </conditionalFormatting>
  <conditionalFormatting sqref="BB204:BB208">
    <cfRule type="cellIs" dxfId="26303" priority="567" operator="lessThan">
      <formula>0</formula>
    </cfRule>
    <cfRule type="cellIs" dxfId="26302" priority="568" operator="lessThan">
      <formula>-105575</formula>
    </cfRule>
  </conditionalFormatting>
  <conditionalFormatting sqref="BB204:BB208">
    <cfRule type="cellIs" dxfId="26301" priority="565" operator="lessThan">
      <formula>0</formula>
    </cfRule>
    <cfRule type="cellIs" dxfId="26300" priority="566" operator="lessThan">
      <formula>-105575</formula>
    </cfRule>
  </conditionalFormatting>
  <conditionalFormatting sqref="BB210:BB211">
    <cfRule type="cellIs" dxfId="26299" priority="563" operator="lessThan">
      <formula>0</formula>
    </cfRule>
    <cfRule type="cellIs" dxfId="26298" priority="564" operator="lessThan">
      <formula>-105575</formula>
    </cfRule>
  </conditionalFormatting>
  <conditionalFormatting sqref="BB210:BB211">
    <cfRule type="cellIs" dxfId="26297" priority="561" operator="lessThan">
      <formula>0</formula>
    </cfRule>
    <cfRule type="cellIs" dxfId="26296" priority="562" operator="lessThan">
      <formula>-105575</formula>
    </cfRule>
  </conditionalFormatting>
  <conditionalFormatting sqref="BB210:BB211">
    <cfRule type="cellIs" dxfId="26295" priority="559" operator="lessThan">
      <formula>0</formula>
    </cfRule>
    <cfRule type="cellIs" dxfId="26294" priority="560" operator="lessThan">
      <formula>-105575</formula>
    </cfRule>
  </conditionalFormatting>
  <conditionalFormatting sqref="BB214:BB219">
    <cfRule type="cellIs" dxfId="26293" priority="557" operator="lessThan">
      <formula>0</formula>
    </cfRule>
    <cfRule type="cellIs" dxfId="26292" priority="558" operator="lessThan">
      <formula>-105575</formula>
    </cfRule>
  </conditionalFormatting>
  <conditionalFormatting sqref="BB214:BB219">
    <cfRule type="cellIs" dxfId="26291" priority="555" operator="lessThan">
      <formula>0</formula>
    </cfRule>
    <cfRule type="cellIs" dxfId="26290" priority="556" operator="lessThan">
      <formula>-105575</formula>
    </cfRule>
  </conditionalFormatting>
  <conditionalFormatting sqref="BB214:BB219">
    <cfRule type="cellIs" dxfId="26289" priority="553" operator="lessThan">
      <formula>0</formula>
    </cfRule>
    <cfRule type="cellIs" dxfId="26288" priority="554" operator="lessThan">
      <formula>-105575</formula>
    </cfRule>
  </conditionalFormatting>
  <conditionalFormatting sqref="BB222:BB224">
    <cfRule type="cellIs" dxfId="26287" priority="551" operator="lessThan">
      <formula>0</formula>
    </cfRule>
    <cfRule type="cellIs" dxfId="26286" priority="552" operator="lessThan">
      <formula>-105575</formula>
    </cfRule>
  </conditionalFormatting>
  <conditionalFormatting sqref="BB222:BB224">
    <cfRule type="cellIs" dxfId="26285" priority="549" operator="lessThan">
      <formula>0</formula>
    </cfRule>
    <cfRule type="cellIs" dxfId="26284" priority="550" operator="lessThan">
      <formula>-105575</formula>
    </cfRule>
  </conditionalFormatting>
  <conditionalFormatting sqref="BB222:BB224">
    <cfRule type="cellIs" dxfId="26283" priority="547" operator="lessThan">
      <formula>0</formula>
    </cfRule>
    <cfRule type="cellIs" dxfId="26282" priority="548" operator="lessThan">
      <formula>-105575</formula>
    </cfRule>
  </conditionalFormatting>
  <conditionalFormatting sqref="BB227:BB230">
    <cfRule type="cellIs" dxfId="26281" priority="545" operator="lessThan">
      <formula>0</formula>
    </cfRule>
    <cfRule type="cellIs" dxfId="26280" priority="546" operator="lessThan">
      <formula>-105575</formula>
    </cfRule>
  </conditionalFormatting>
  <conditionalFormatting sqref="BB227:BB230">
    <cfRule type="cellIs" dxfId="26279" priority="543" operator="lessThan">
      <formula>0</formula>
    </cfRule>
    <cfRule type="cellIs" dxfId="26278" priority="544" operator="lessThan">
      <formula>-105575</formula>
    </cfRule>
  </conditionalFormatting>
  <conditionalFormatting sqref="BB227:BB230">
    <cfRule type="cellIs" dxfId="26277" priority="541" operator="lessThan">
      <formula>0</formula>
    </cfRule>
    <cfRule type="cellIs" dxfId="26276" priority="542" operator="lessThan">
      <formula>-105575</formula>
    </cfRule>
  </conditionalFormatting>
  <conditionalFormatting sqref="BB246:BB249">
    <cfRule type="cellIs" dxfId="26275" priority="539" operator="lessThan">
      <formula>0</formula>
    </cfRule>
    <cfRule type="cellIs" dxfId="26274" priority="540" operator="lessThan">
      <formula>-105575</formula>
    </cfRule>
  </conditionalFormatting>
  <conditionalFormatting sqref="BB246:BB249">
    <cfRule type="cellIs" dxfId="26273" priority="537" operator="lessThan">
      <formula>0</formula>
    </cfRule>
    <cfRule type="cellIs" dxfId="26272" priority="538" operator="lessThan">
      <formula>-105575</formula>
    </cfRule>
  </conditionalFormatting>
  <conditionalFormatting sqref="BB246:BB249">
    <cfRule type="cellIs" dxfId="26271" priority="535" operator="lessThan">
      <formula>0</formula>
    </cfRule>
    <cfRule type="cellIs" dxfId="26270" priority="536" operator="lessThan">
      <formula>-105575</formula>
    </cfRule>
  </conditionalFormatting>
  <conditionalFormatting sqref="BB246:BB249">
    <cfRule type="cellIs" dxfId="26269" priority="533" operator="lessThan">
      <formula>0</formula>
    </cfRule>
    <cfRule type="cellIs" dxfId="26268" priority="534" operator="lessThan">
      <formula>-105575</formula>
    </cfRule>
  </conditionalFormatting>
  <conditionalFormatting sqref="BB246:BB249">
    <cfRule type="cellIs" dxfId="26267" priority="531" operator="lessThan">
      <formula>0</formula>
    </cfRule>
    <cfRule type="cellIs" dxfId="26266" priority="532" operator="lessThan">
      <formula>-105575</formula>
    </cfRule>
  </conditionalFormatting>
  <conditionalFormatting sqref="BB246:BB249">
    <cfRule type="cellIs" dxfId="26265" priority="529" operator="lessThan">
      <formula>0</formula>
    </cfRule>
    <cfRule type="cellIs" dxfId="26264" priority="530" operator="lessThan">
      <formula>-105575</formula>
    </cfRule>
  </conditionalFormatting>
  <conditionalFormatting sqref="BB246:BB249">
    <cfRule type="cellIs" dxfId="26263" priority="527" operator="lessThan">
      <formula>0</formula>
    </cfRule>
    <cfRule type="cellIs" dxfId="26262" priority="528" operator="lessThan">
      <formula>-105575</formula>
    </cfRule>
  </conditionalFormatting>
  <conditionalFormatting sqref="BB246:BB249">
    <cfRule type="cellIs" dxfId="26261" priority="525" operator="lessThan">
      <formula>0</formula>
    </cfRule>
    <cfRule type="cellIs" dxfId="26260" priority="526" operator="lessThan">
      <formula>-105575</formula>
    </cfRule>
  </conditionalFormatting>
  <conditionalFormatting sqref="BB246:BB249">
    <cfRule type="cellIs" dxfId="26259" priority="523" operator="lessThan">
      <formula>0</formula>
    </cfRule>
    <cfRule type="cellIs" dxfId="26258" priority="524" operator="lessThan">
      <formula>-105575</formula>
    </cfRule>
  </conditionalFormatting>
  <conditionalFormatting sqref="BB251:BB253">
    <cfRule type="cellIs" dxfId="26257" priority="521" operator="lessThan">
      <formula>0</formula>
    </cfRule>
    <cfRule type="cellIs" dxfId="26256" priority="522" operator="lessThan">
      <formula>-105575</formula>
    </cfRule>
  </conditionalFormatting>
  <conditionalFormatting sqref="BB251:BB253">
    <cfRule type="cellIs" dxfId="26255" priority="519" operator="lessThan">
      <formula>0</formula>
    </cfRule>
    <cfRule type="cellIs" dxfId="26254" priority="520" operator="lessThan">
      <formula>-105575</formula>
    </cfRule>
  </conditionalFormatting>
  <conditionalFormatting sqref="BB251:BB253">
    <cfRule type="cellIs" dxfId="26253" priority="517" operator="lessThan">
      <formula>0</formula>
    </cfRule>
    <cfRule type="cellIs" dxfId="26252" priority="518" operator="lessThan">
      <formula>-105575</formula>
    </cfRule>
  </conditionalFormatting>
  <conditionalFormatting sqref="BB251:BB253">
    <cfRule type="cellIs" dxfId="26251" priority="515" operator="lessThan">
      <formula>0</formula>
    </cfRule>
    <cfRule type="cellIs" dxfId="26250" priority="516" operator="lessThan">
      <formula>-105575</formula>
    </cfRule>
  </conditionalFormatting>
  <conditionalFormatting sqref="BB251:BB253">
    <cfRule type="cellIs" dxfId="26249" priority="513" operator="lessThan">
      <formula>0</formula>
    </cfRule>
    <cfRule type="cellIs" dxfId="26248" priority="514" operator="lessThan">
      <formula>-105575</formula>
    </cfRule>
  </conditionalFormatting>
  <conditionalFormatting sqref="BB251:BB253">
    <cfRule type="cellIs" dxfId="26247" priority="511" operator="lessThan">
      <formula>0</formula>
    </cfRule>
    <cfRule type="cellIs" dxfId="26246" priority="512" operator="lessThan">
      <formula>-105575</formula>
    </cfRule>
  </conditionalFormatting>
  <conditionalFormatting sqref="BB251:BB253">
    <cfRule type="cellIs" dxfId="26245" priority="509" operator="lessThan">
      <formula>0</formula>
    </cfRule>
    <cfRule type="cellIs" dxfId="26244" priority="510" operator="lessThan">
      <formula>-105575</formula>
    </cfRule>
  </conditionalFormatting>
  <conditionalFormatting sqref="BB251:BB253">
    <cfRule type="cellIs" dxfId="26243" priority="507" operator="lessThan">
      <formula>0</formula>
    </cfRule>
    <cfRule type="cellIs" dxfId="26242" priority="508" operator="lessThan">
      <formula>-105575</formula>
    </cfRule>
  </conditionalFormatting>
  <conditionalFormatting sqref="BB251:BB253">
    <cfRule type="cellIs" dxfId="26241" priority="505" operator="lessThan">
      <formula>0</formula>
    </cfRule>
    <cfRule type="cellIs" dxfId="26240" priority="506" operator="lessThan">
      <formula>-105575</formula>
    </cfRule>
  </conditionalFormatting>
  <conditionalFormatting sqref="BB255:BB257">
    <cfRule type="cellIs" dxfId="26239" priority="503" operator="lessThan">
      <formula>0</formula>
    </cfRule>
    <cfRule type="cellIs" dxfId="26238" priority="504" operator="lessThan">
      <formula>-105575</formula>
    </cfRule>
  </conditionalFormatting>
  <conditionalFormatting sqref="BB255:BB257">
    <cfRule type="cellIs" dxfId="26237" priority="501" operator="lessThan">
      <formula>0</formula>
    </cfRule>
    <cfRule type="cellIs" dxfId="26236" priority="502" operator="lessThan">
      <formula>-105575</formula>
    </cfRule>
  </conditionalFormatting>
  <conditionalFormatting sqref="BB255:BB257">
    <cfRule type="cellIs" dxfId="26235" priority="499" operator="lessThan">
      <formula>0</formula>
    </cfRule>
    <cfRule type="cellIs" dxfId="26234" priority="500" operator="lessThan">
      <formula>-105575</formula>
    </cfRule>
  </conditionalFormatting>
  <conditionalFormatting sqref="BB255:BB257">
    <cfRule type="cellIs" dxfId="26233" priority="497" operator="lessThan">
      <formula>0</formula>
    </cfRule>
    <cfRule type="cellIs" dxfId="26232" priority="498" operator="lessThan">
      <formula>-105575</formula>
    </cfRule>
  </conditionalFormatting>
  <conditionalFormatting sqref="BB255:BB257">
    <cfRule type="cellIs" dxfId="26231" priority="495" operator="lessThan">
      <formula>0</formula>
    </cfRule>
    <cfRule type="cellIs" dxfId="26230" priority="496" operator="lessThan">
      <formula>-105575</formula>
    </cfRule>
  </conditionalFormatting>
  <conditionalFormatting sqref="BB255:BB257">
    <cfRule type="cellIs" dxfId="26229" priority="493" operator="lessThan">
      <formula>0</formula>
    </cfRule>
    <cfRule type="cellIs" dxfId="26228" priority="494" operator="lessThan">
      <formula>-105575</formula>
    </cfRule>
  </conditionalFormatting>
  <conditionalFormatting sqref="BB255:BB257">
    <cfRule type="cellIs" dxfId="26227" priority="491" operator="lessThan">
      <formula>0</formula>
    </cfRule>
    <cfRule type="cellIs" dxfId="26226" priority="492" operator="lessThan">
      <formula>-105575</formula>
    </cfRule>
  </conditionalFormatting>
  <conditionalFormatting sqref="BB255:BB257">
    <cfRule type="cellIs" dxfId="26225" priority="489" operator="lessThan">
      <formula>0</formula>
    </cfRule>
    <cfRule type="cellIs" dxfId="26224" priority="490" operator="lessThan">
      <formula>-105575</formula>
    </cfRule>
  </conditionalFormatting>
  <conditionalFormatting sqref="BB255:BB257">
    <cfRule type="cellIs" dxfId="26223" priority="487" operator="lessThan">
      <formula>0</formula>
    </cfRule>
    <cfRule type="cellIs" dxfId="26222" priority="488" operator="lessThan">
      <formula>-105575</formula>
    </cfRule>
  </conditionalFormatting>
  <conditionalFormatting sqref="BB260:BB262">
    <cfRule type="cellIs" dxfId="26221" priority="485" operator="lessThan">
      <formula>0</formula>
    </cfRule>
    <cfRule type="cellIs" dxfId="26220" priority="486" operator="lessThan">
      <formula>-105575</formula>
    </cfRule>
  </conditionalFormatting>
  <conditionalFormatting sqref="BB260:BB262">
    <cfRule type="cellIs" dxfId="26219" priority="483" operator="lessThan">
      <formula>0</formula>
    </cfRule>
    <cfRule type="cellIs" dxfId="26218" priority="484" operator="lessThan">
      <formula>-105575</formula>
    </cfRule>
  </conditionalFormatting>
  <conditionalFormatting sqref="BB260:BB262">
    <cfRule type="cellIs" dxfId="26217" priority="481" operator="lessThan">
      <formula>0</formula>
    </cfRule>
    <cfRule type="cellIs" dxfId="26216" priority="482" operator="lessThan">
      <formula>-105575</formula>
    </cfRule>
  </conditionalFormatting>
  <conditionalFormatting sqref="BB260:BB262">
    <cfRule type="cellIs" dxfId="26215" priority="479" operator="lessThan">
      <formula>0</formula>
    </cfRule>
    <cfRule type="cellIs" dxfId="26214" priority="480" operator="lessThan">
      <formula>-105575</formula>
    </cfRule>
  </conditionalFormatting>
  <conditionalFormatting sqref="BB260:BB262">
    <cfRule type="cellIs" dxfId="26213" priority="477" operator="lessThan">
      <formula>0</formula>
    </cfRule>
    <cfRule type="cellIs" dxfId="26212" priority="478" operator="lessThan">
      <formula>-105575</formula>
    </cfRule>
  </conditionalFormatting>
  <conditionalFormatting sqref="BB260:BB262">
    <cfRule type="cellIs" dxfId="26211" priority="475" operator="lessThan">
      <formula>0</formula>
    </cfRule>
    <cfRule type="cellIs" dxfId="26210" priority="476" operator="lessThan">
      <formula>-105575</formula>
    </cfRule>
  </conditionalFormatting>
  <conditionalFormatting sqref="BB260:BB262">
    <cfRule type="cellIs" dxfId="26209" priority="473" operator="lessThan">
      <formula>0</formula>
    </cfRule>
    <cfRule type="cellIs" dxfId="26208" priority="474" operator="lessThan">
      <formula>-105575</formula>
    </cfRule>
  </conditionalFormatting>
  <conditionalFormatting sqref="BB260:BB262">
    <cfRule type="cellIs" dxfId="26207" priority="471" operator="lessThan">
      <formula>0</formula>
    </cfRule>
    <cfRule type="cellIs" dxfId="26206" priority="472" operator="lessThan">
      <formula>-105575</formula>
    </cfRule>
  </conditionalFormatting>
  <conditionalFormatting sqref="BB260:BB262">
    <cfRule type="cellIs" dxfId="26205" priority="469" operator="lessThan">
      <formula>0</formula>
    </cfRule>
    <cfRule type="cellIs" dxfId="26204" priority="470" operator="lessThan">
      <formula>-105575</formula>
    </cfRule>
  </conditionalFormatting>
  <conditionalFormatting sqref="BB264:BB267">
    <cfRule type="cellIs" dxfId="26203" priority="467" operator="lessThan">
      <formula>0</formula>
    </cfRule>
    <cfRule type="cellIs" dxfId="26202" priority="468" operator="lessThan">
      <formula>-105575</formula>
    </cfRule>
  </conditionalFormatting>
  <conditionalFormatting sqref="BB264:BB267">
    <cfRule type="cellIs" dxfId="26201" priority="465" operator="lessThan">
      <formula>0</formula>
    </cfRule>
    <cfRule type="cellIs" dxfId="26200" priority="466" operator="lessThan">
      <formula>-105575</formula>
    </cfRule>
  </conditionalFormatting>
  <conditionalFormatting sqref="BB264:BB267">
    <cfRule type="cellIs" dxfId="26199" priority="463" operator="lessThan">
      <formula>0</formula>
    </cfRule>
    <cfRule type="cellIs" dxfId="26198" priority="464" operator="lessThan">
      <formula>-105575</formula>
    </cfRule>
  </conditionalFormatting>
  <conditionalFormatting sqref="BB264:BB267">
    <cfRule type="cellIs" dxfId="26197" priority="461" operator="lessThan">
      <formula>0</formula>
    </cfRule>
    <cfRule type="cellIs" dxfId="26196" priority="462" operator="lessThan">
      <formula>-105575</formula>
    </cfRule>
  </conditionalFormatting>
  <conditionalFormatting sqref="BB264:BB267">
    <cfRule type="cellIs" dxfId="26195" priority="459" operator="lessThan">
      <formula>0</formula>
    </cfRule>
    <cfRule type="cellIs" dxfId="26194" priority="460" operator="lessThan">
      <formula>-105575</formula>
    </cfRule>
  </conditionalFormatting>
  <conditionalFormatting sqref="BB264:BB267">
    <cfRule type="cellIs" dxfId="26193" priority="457" operator="lessThan">
      <formula>0</formula>
    </cfRule>
    <cfRule type="cellIs" dxfId="26192" priority="458" operator="lessThan">
      <formula>-105575</formula>
    </cfRule>
  </conditionalFormatting>
  <conditionalFormatting sqref="BB264:BB267">
    <cfRule type="cellIs" dxfId="26191" priority="455" operator="lessThan">
      <formula>0</formula>
    </cfRule>
    <cfRule type="cellIs" dxfId="26190" priority="456" operator="lessThan">
      <formula>-105575</formula>
    </cfRule>
  </conditionalFormatting>
  <conditionalFormatting sqref="BB264:BB267">
    <cfRule type="cellIs" dxfId="26189" priority="453" operator="lessThan">
      <formula>0</formula>
    </cfRule>
    <cfRule type="cellIs" dxfId="26188" priority="454" operator="lessThan">
      <formula>-105575</formula>
    </cfRule>
  </conditionalFormatting>
  <conditionalFormatting sqref="BB264:BB267">
    <cfRule type="cellIs" dxfId="26187" priority="451" operator="lessThan">
      <formula>0</formula>
    </cfRule>
    <cfRule type="cellIs" dxfId="26186" priority="452" operator="lessThan">
      <formula>-105575</formula>
    </cfRule>
  </conditionalFormatting>
  <conditionalFormatting sqref="BB270:BB272">
    <cfRule type="cellIs" dxfId="26185" priority="449" operator="lessThan">
      <formula>0</formula>
    </cfRule>
    <cfRule type="cellIs" dxfId="26184" priority="450" operator="lessThan">
      <formula>-105575</formula>
    </cfRule>
  </conditionalFormatting>
  <conditionalFormatting sqref="BB270:BB272">
    <cfRule type="cellIs" dxfId="26183" priority="447" operator="lessThan">
      <formula>0</formula>
    </cfRule>
    <cfRule type="cellIs" dxfId="26182" priority="448" operator="lessThan">
      <formula>-105575</formula>
    </cfRule>
  </conditionalFormatting>
  <conditionalFormatting sqref="BB270:BB272">
    <cfRule type="cellIs" dxfId="26181" priority="445" operator="lessThan">
      <formula>0</formula>
    </cfRule>
    <cfRule type="cellIs" dxfId="26180" priority="446" operator="lessThan">
      <formula>-105575</formula>
    </cfRule>
  </conditionalFormatting>
  <conditionalFormatting sqref="BB270:BB272">
    <cfRule type="cellIs" dxfId="26179" priority="443" operator="lessThan">
      <formula>0</formula>
    </cfRule>
    <cfRule type="cellIs" dxfId="26178" priority="444" operator="lessThan">
      <formula>-105575</formula>
    </cfRule>
  </conditionalFormatting>
  <conditionalFormatting sqref="BB270:BB272">
    <cfRule type="cellIs" dxfId="26177" priority="441" operator="lessThan">
      <formula>0</formula>
    </cfRule>
    <cfRule type="cellIs" dxfId="26176" priority="442" operator="lessThan">
      <formula>-105575</formula>
    </cfRule>
  </conditionalFormatting>
  <conditionalFormatting sqref="BB270:BB272">
    <cfRule type="cellIs" dxfId="26175" priority="439" operator="lessThan">
      <formula>0</formula>
    </cfRule>
    <cfRule type="cellIs" dxfId="26174" priority="440" operator="lessThan">
      <formula>-105575</formula>
    </cfRule>
  </conditionalFormatting>
  <conditionalFormatting sqref="BB270:BB272">
    <cfRule type="cellIs" dxfId="26173" priority="437" operator="lessThan">
      <formula>0</formula>
    </cfRule>
    <cfRule type="cellIs" dxfId="26172" priority="438" operator="lessThan">
      <formula>-105575</formula>
    </cfRule>
  </conditionalFormatting>
  <conditionalFormatting sqref="BB270:BB272">
    <cfRule type="cellIs" dxfId="26171" priority="435" operator="lessThan">
      <formula>0</formula>
    </cfRule>
    <cfRule type="cellIs" dxfId="26170" priority="436" operator="lessThan">
      <formula>-105575</formula>
    </cfRule>
  </conditionalFormatting>
  <conditionalFormatting sqref="BB270:BB272">
    <cfRule type="cellIs" dxfId="26169" priority="433" operator="lessThan">
      <formula>0</formula>
    </cfRule>
    <cfRule type="cellIs" dxfId="26168" priority="434" operator="lessThan">
      <formula>-105575</formula>
    </cfRule>
  </conditionalFormatting>
  <conditionalFormatting sqref="BB274:BB275">
    <cfRule type="cellIs" dxfId="26167" priority="431" operator="lessThan">
      <formula>0</formula>
    </cfRule>
    <cfRule type="cellIs" dxfId="26166" priority="432" operator="lessThan">
      <formula>-105575</formula>
    </cfRule>
  </conditionalFormatting>
  <conditionalFormatting sqref="BB274:BB275">
    <cfRule type="cellIs" dxfId="26165" priority="429" operator="lessThan">
      <formula>0</formula>
    </cfRule>
    <cfRule type="cellIs" dxfId="26164" priority="430" operator="lessThan">
      <formula>-105575</formula>
    </cfRule>
  </conditionalFormatting>
  <conditionalFormatting sqref="BB274:BB275">
    <cfRule type="cellIs" dxfId="26163" priority="427" operator="lessThan">
      <formula>0</formula>
    </cfRule>
    <cfRule type="cellIs" dxfId="26162" priority="428" operator="lessThan">
      <formula>-105575</formula>
    </cfRule>
  </conditionalFormatting>
  <conditionalFormatting sqref="BB274:BB275">
    <cfRule type="cellIs" dxfId="26161" priority="425" operator="lessThan">
      <formula>0</formula>
    </cfRule>
    <cfRule type="cellIs" dxfId="26160" priority="426" operator="lessThan">
      <formula>-105575</formula>
    </cfRule>
  </conditionalFormatting>
  <conditionalFormatting sqref="BB274:BB275">
    <cfRule type="cellIs" dxfId="26159" priority="423" operator="lessThan">
      <formula>0</formula>
    </cfRule>
    <cfRule type="cellIs" dxfId="26158" priority="424" operator="lessThan">
      <formula>-105575</formula>
    </cfRule>
  </conditionalFormatting>
  <conditionalFormatting sqref="BB274:BB275">
    <cfRule type="cellIs" dxfId="26157" priority="421" operator="lessThan">
      <formula>0</formula>
    </cfRule>
    <cfRule type="cellIs" dxfId="26156" priority="422" operator="lessThan">
      <formula>-105575</formula>
    </cfRule>
  </conditionalFormatting>
  <conditionalFormatting sqref="BB274:BB275">
    <cfRule type="cellIs" dxfId="26155" priority="419" operator="lessThan">
      <formula>0</formula>
    </cfRule>
    <cfRule type="cellIs" dxfId="26154" priority="420" operator="lessThan">
      <formula>-105575</formula>
    </cfRule>
  </conditionalFormatting>
  <conditionalFormatting sqref="BB274:BB275">
    <cfRule type="cellIs" dxfId="26153" priority="417" operator="lessThan">
      <formula>0</formula>
    </cfRule>
    <cfRule type="cellIs" dxfId="26152" priority="418" operator="lessThan">
      <formula>-105575</formula>
    </cfRule>
  </conditionalFormatting>
  <conditionalFormatting sqref="BB274:BB275">
    <cfRule type="cellIs" dxfId="26151" priority="415" operator="lessThan">
      <formula>0</formula>
    </cfRule>
    <cfRule type="cellIs" dxfId="26150" priority="416" operator="lessThan">
      <formula>-105575</formula>
    </cfRule>
  </conditionalFormatting>
  <conditionalFormatting sqref="BB278:BB282">
    <cfRule type="cellIs" dxfId="26149" priority="413" operator="lessThan">
      <formula>0</formula>
    </cfRule>
    <cfRule type="cellIs" dxfId="26148" priority="414" operator="lessThan">
      <formula>-105575</formula>
    </cfRule>
  </conditionalFormatting>
  <conditionalFormatting sqref="BB278:BB282">
    <cfRule type="cellIs" dxfId="26147" priority="411" operator="lessThan">
      <formula>0</formula>
    </cfRule>
    <cfRule type="cellIs" dxfId="26146" priority="412" operator="lessThan">
      <formula>-105575</formula>
    </cfRule>
  </conditionalFormatting>
  <conditionalFormatting sqref="BB278:BB282">
    <cfRule type="cellIs" dxfId="26145" priority="409" operator="lessThan">
      <formula>0</formula>
    </cfRule>
    <cfRule type="cellIs" dxfId="26144" priority="410" operator="lessThan">
      <formula>-105575</formula>
    </cfRule>
  </conditionalFormatting>
  <conditionalFormatting sqref="BB278:BB282">
    <cfRule type="cellIs" dxfId="26143" priority="407" operator="lessThan">
      <formula>0</formula>
    </cfRule>
    <cfRule type="cellIs" dxfId="26142" priority="408" operator="lessThan">
      <formula>-105575</formula>
    </cfRule>
  </conditionalFormatting>
  <conditionalFormatting sqref="BB278:BB282">
    <cfRule type="cellIs" dxfId="26141" priority="405" operator="lessThan">
      <formula>0</formula>
    </cfRule>
    <cfRule type="cellIs" dxfId="26140" priority="406" operator="lessThan">
      <formula>-105575</formula>
    </cfRule>
  </conditionalFormatting>
  <conditionalFormatting sqref="BB278:BB282">
    <cfRule type="cellIs" dxfId="26139" priority="403" operator="lessThan">
      <formula>0</formula>
    </cfRule>
    <cfRule type="cellIs" dxfId="26138" priority="404" operator="lessThan">
      <formula>-105575</formula>
    </cfRule>
  </conditionalFormatting>
  <conditionalFormatting sqref="BB278:BB282">
    <cfRule type="cellIs" dxfId="26137" priority="401" operator="lessThan">
      <formula>0</formula>
    </cfRule>
    <cfRule type="cellIs" dxfId="26136" priority="402" operator="lessThan">
      <formula>-105575</formula>
    </cfRule>
  </conditionalFormatting>
  <conditionalFormatting sqref="BB278:BB282">
    <cfRule type="cellIs" dxfId="26135" priority="399" operator="lessThan">
      <formula>0</formula>
    </cfRule>
    <cfRule type="cellIs" dxfId="26134" priority="400" operator="lessThan">
      <formula>-105575</formula>
    </cfRule>
  </conditionalFormatting>
  <conditionalFormatting sqref="BB278:BB282">
    <cfRule type="cellIs" dxfId="26133" priority="397" operator="lessThan">
      <formula>0</formula>
    </cfRule>
    <cfRule type="cellIs" dxfId="26132" priority="398" operator="lessThan">
      <formula>-105575</formula>
    </cfRule>
  </conditionalFormatting>
  <conditionalFormatting sqref="BB285:BB288">
    <cfRule type="cellIs" dxfId="26131" priority="395" operator="lessThan">
      <formula>0</formula>
    </cfRule>
    <cfRule type="cellIs" dxfId="26130" priority="396" operator="lessThan">
      <formula>-105575</formula>
    </cfRule>
  </conditionalFormatting>
  <conditionalFormatting sqref="BB285:BB288">
    <cfRule type="cellIs" dxfId="26129" priority="393" operator="lessThan">
      <formula>0</formula>
    </cfRule>
    <cfRule type="cellIs" dxfId="26128" priority="394" operator="lessThan">
      <formula>-105575</formula>
    </cfRule>
  </conditionalFormatting>
  <conditionalFormatting sqref="BB285:BB288">
    <cfRule type="cellIs" dxfId="26127" priority="391" operator="lessThan">
      <formula>0</formula>
    </cfRule>
    <cfRule type="cellIs" dxfId="26126" priority="392" operator="lessThan">
      <formula>-105575</formula>
    </cfRule>
  </conditionalFormatting>
  <conditionalFormatting sqref="BB285:BB288">
    <cfRule type="cellIs" dxfId="26125" priority="389" operator="lessThan">
      <formula>0</formula>
    </cfRule>
    <cfRule type="cellIs" dxfId="26124" priority="390" operator="lessThan">
      <formula>-105575</formula>
    </cfRule>
  </conditionalFormatting>
  <conditionalFormatting sqref="BB285:BB288">
    <cfRule type="cellIs" dxfId="26123" priority="387" operator="lessThan">
      <formula>0</formula>
    </cfRule>
    <cfRule type="cellIs" dxfId="26122" priority="388" operator="lessThan">
      <formula>-105575</formula>
    </cfRule>
  </conditionalFormatting>
  <conditionalFormatting sqref="BB285:BB288">
    <cfRule type="cellIs" dxfId="26121" priority="385" operator="lessThan">
      <formula>0</formula>
    </cfRule>
    <cfRule type="cellIs" dxfId="26120" priority="386" operator="lessThan">
      <formula>-105575</formula>
    </cfRule>
  </conditionalFormatting>
  <conditionalFormatting sqref="BB285:BB288">
    <cfRule type="cellIs" dxfId="26119" priority="383" operator="lessThan">
      <formula>0</formula>
    </cfRule>
    <cfRule type="cellIs" dxfId="26118" priority="384" operator="lessThan">
      <formula>-105575</formula>
    </cfRule>
  </conditionalFormatting>
  <conditionalFormatting sqref="BB285:BB288">
    <cfRule type="cellIs" dxfId="26117" priority="381" operator="lessThan">
      <formula>0</formula>
    </cfRule>
    <cfRule type="cellIs" dxfId="26116" priority="382" operator="lessThan">
      <formula>-105575</formula>
    </cfRule>
  </conditionalFormatting>
  <conditionalFormatting sqref="BB285:BB288">
    <cfRule type="cellIs" dxfId="26115" priority="379" operator="lessThan">
      <formula>0</formula>
    </cfRule>
    <cfRule type="cellIs" dxfId="26114" priority="380" operator="lessThan">
      <formula>-105575</formula>
    </cfRule>
  </conditionalFormatting>
  <conditionalFormatting sqref="BB203 BB220:BB221 BB235:BB243 BB231:BB233 BB212:BB213 BB225:BB226">
    <cfRule type="cellIs" dxfId="26113" priority="377" operator="lessThan">
      <formula>0</formula>
    </cfRule>
    <cfRule type="cellIs" dxfId="26112" priority="378" operator="lessThan">
      <formula>-105575</formula>
    </cfRule>
  </conditionalFormatting>
  <conditionalFormatting sqref="BB220 BB212:BB213 BB235:BB238 BB240:BB243 BB225:BB226 BB231:BB233">
    <cfRule type="cellIs" dxfId="26111" priority="375" operator="lessThan">
      <formula>0</formula>
    </cfRule>
    <cfRule type="cellIs" dxfId="26110" priority="376" operator="lessThan">
      <formula>-105575</formula>
    </cfRule>
  </conditionalFormatting>
  <conditionalFormatting sqref="BB220:BB221 BB243 BB226 BB231:BB236 BB238:BB241 BB203 BB213">
    <cfRule type="cellIs" dxfId="26109" priority="373" operator="lessThan">
      <formula>0</formula>
    </cfRule>
    <cfRule type="cellIs" dxfId="26108" priority="374" operator="lessThan">
      <formula>-105575</formula>
    </cfRule>
  </conditionalFormatting>
  <conditionalFormatting sqref="BB235:BB243 BB231:BB233 BB220 BB212:BB213 BB225:BB226">
    <cfRule type="cellIs" dxfId="26107" priority="371" operator="lessThan">
      <formula>0</formula>
    </cfRule>
    <cfRule type="cellIs" dxfId="26106" priority="372" operator="lessThan">
      <formula>-105575</formula>
    </cfRule>
  </conditionalFormatting>
  <conditionalFormatting sqref="BB220:BB221 BB237:BB243 BB203 BB231:BB235 BB212:BB213 BB225:BB226">
    <cfRule type="cellIs" dxfId="26105" priority="369" operator="lessThan">
      <formula>0</formula>
    </cfRule>
    <cfRule type="cellIs" dxfId="26104" priority="370" operator="lessThan">
      <formula>-105575</formula>
    </cfRule>
  </conditionalFormatting>
  <conditionalFormatting sqref="BB220:BB221 BB237:BB240 BB242:BB243 BB225:BB226 BB231:BB235">
    <cfRule type="cellIs" dxfId="26103" priority="367" operator="lessThan">
      <formula>0</formula>
    </cfRule>
    <cfRule type="cellIs" dxfId="26102" priority="368" operator="lessThan">
      <formula>-105575</formula>
    </cfRule>
  </conditionalFormatting>
  <conditionalFormatting sqref="BB212 BB231 BB233:BB238 BB240:BB243 BB225">
    <cfRule type="cellIs" dxfId="26101" priority="365" operator="lessThan">
      <formula>0</formula>
    </cfRule>
    <cfRule type="cellIs" dxfId="26100" priority="366" operator="lessThan">
      <formula>-105575</formula>
    </cfRule>
  </conditionalFormatting>
  <conditionalFormatting sqref="BB237:BB243 BB231:BB235 BB220:BB221 BB225:BB226">
    <cfRule type="cellIs" dxfId="26099" priority="363" operator="lessThan">
      <formula>0</formula>
    </cfRule>
    <cfRule type="cellIs" dxfId="26098" priority="364" operator="lessThan">
      <formula>-105575</formula>
    </cfRule>
  </conditionalFormatting>
  <conditionalFormatting sqref="BB233:BB237 BB231 BB239:BB243">
    <cfRule type="cellIs" dxfId="26097" priority="361" operator="lessThan">
      <formula>0</formula>
    </cfRule>
    <cfRule type="cellIs" dxfId="26096" priority="362" operator="lessThan">
      <formula>-105575</formula>
    </cfRule>
  </conditionalFormatting>
  <conditionalFormatting sqref="BB233:BB237 BB231 BB239:BB243">
    <cfRule type="cellIs" dxfId="26095" priority="359" operator="lessThan">
      <formula>0</formula>
    </cfRule>
    <cfRule type="cellIs" dxfId="26094" priority="360" operator="lessThan">
      <formula>-105575</formula>
    </cfRule>
  </conditionalFormatting>
  <conditionalFormatting sqref="BB119:BB128 BB106:BB117 BB101:BB104 BB80:BB99">
    <cfRule type="cellIs" dxfId="26093" priority="357" operator="lessThan">
      <formula>0</formula>
    </cfRule>
    <cfRule type="cellIs" dxfId="26092" priority="358" operator="lessThan">
      <formula>-105575</formula>
    </cfRule>
  </conditionalFormatting>
  <conditionalFormatting sqref="BB130 BB132 BB134">
    <cfRule type="cellIs" dxfId="26091" priority="355" operator="lessThan">
      <formula>0</formula>
    </cfRule>
    <cfRule type="cellIs" dxfId="26090" priority="356" operator="lessThan">
      <formula>-105575</formula>
    </cfRule>
  </conditionalFormatting>
  <conditionalFormatting sqref="BB130 BB132 BB134">
    <cfRule type="cellIs" dxfId="26089" priority="353" operator="lessThan">
      <formula>0</formula>
    </cfRule>
    <cfRule type="cellIs" dxfId="26088" priority="354" operator="lessThan">
      <formula>-105575</formula>
    </cfRule>
  </conditionalFormatting>
  <conditionalFormatting sqref="BB129 BB131 BB133 BB135">
    <cfRule type="cellIs" dxfId="26087" priority="351" operator="lessThan">
      <formula>0</formula>
    </cfRule>
    <cfRule type="cellIs" dxfId="26086" priority="352" operator="lessThan">
      <formula>-105575</formula>
    </cfRule>
  </conditionalFormatting>
  <conditionalFormatting sqref="BB140 BB145 BB142:BB143 BB137:BB138">
    <cfRule type="cellIs" dxfId="26085" priority="349" operator="lessThan">
      <formula>0</formula>
    </cfRule>
    <cfRule type="cellIs" dxfId="26084" priority="350" operator="lessThan">
      <formula>-105575</formula>
    </cfRule>
  </conditionalFormatting>
  <conditionalFormatting sqref="BB149">
    <cfRule type="cellIs" dxfId="26083" priority="347" operator="lessThan">
      <formula>0</formula>
    </cfRule>
    <cfRule type="cellIs" dxfId="26082" priority="348" operator="lessThan">
      <formula>-105575</formula>
    </cfRule>
  </conditionalFormatting>
  <conditionalFormatting sqref="BB129:BB138 BB140:BB149">
    <cfRule type="cellIs" dxfId="26081" priority="345" operator="lessThan">
      <formula>0</formula>
    </cfRule>
    <cfRule type="cellIs" dxfId="26080" priority="346" operator="lessThan">
      <formula>-105575</formula>
    </cfRule>
  </conditionalFormatting>
  <conditionalFormatting sqref="BB86:BB87 BB89:BB91 BB141:BB149 BB124:BB133 BB107:BB110 BB112:BB117 BB119:BB122 BB135:BB138 BB101:BB104 BB80:BB84 BB94:BB99">
    <cfRule type="cellIs" dxfId="26079" priority="343" operator="lessThan">
      <formula>0</formula>
    </cfRule>
    <cfRule type="cellIs" dxfId="26078" priority="344" operator="lessThan">
      <formula>-105575</formula>
    </cfRule>
  </conditionalFormatting>
  <conditionalFormatting sqref="BB129 BB131 BB133 BB135">
    <cfRule type="cellIs" dxfId="26077" priority="341" operator="lessThan">
      <formula>0</formula>
    </cfRule>
    <cfRule type="cellIs" dxfId="26076" priority="342" operator="lessThan">
      <formula>-105575</formula>
    </cfRule>
  </conditionalFormatting>
  <conditionalFormatting sqref="BB146 BB144 BB141">
    <cfRule type="cellIs" dxfId="26075" priority="339" operator="lessThan">
      <formula>0</formula>
    </cfRule>
    <cfRule type="cellIs" dxfId="26074" priority="340" operator="lessThan">
      <formula>-105575</formula>
    </cfRule>
  </conditionalFormatting>
  <conditionalFormatting sqref="BB146 BB144 BB141">
    <cfRule type="cellIs" dxfId="26073" priority="337" operator="lessThan">
      <formula>0</formula>
    </cfRule>
    <cfRule type="cellIs" dxfId="26072" priority="338" operator="lessThan">
      <formula>-105575</formula>
    </cfRule>
  </conditionalFormatting>
  <conditionalFormatting sqref="BB140 BB145 BB142:BB143 BB137:BB138">
    <cfRule type="cellIs" dxfId="26071" priority="335" operator="lessThan">
      <formula>0</formula>
    </cfRule>
    <cfRule type="cellIs" dxfId="26070" priority="336" operator="lessThan">
      <formula>-105575</formula>
    </cfRule>
  </conditionalFormatting>
  <conditionalFormatting sqref="BB149">
    <cfRule type="cellIs" dxfId="26069" priority="333" operator="lessThan">
      <formula>0</formula>
    </cfRule>
    <cfRule type="cellIs" dxfId="26068" priority="334" operator="lessThan">
      <formula>-105575</formula>
    </cfRule>
  </conditionalFormatting>
  <conditionalFormatting sqref="BB86:BB87 BB89:BB91 BB141:BB149 BB124:BB133 BB107:BB110 BB112:BB117 BB119:BB122 BB135:BB138 BB101:BB104 BB80:BB84 BB94:BB99">
    <cfRule type="cellIs" dxfId="26067" priority="331" operator="lessThan">
      <formula>0</formula>
    </cfRule>
    <cfRule type="cellIs" dxfId="26066" priority="332" operator="lessThan">
      <formula>-105575</formula>
    </cfRule>
  </conditionalFormatting>
  <conditionalFormatting sqref="BB306:BB309 BB311:BB325 BB327:BB330 BB332:BB341 BB344:BB347 BB349:BB353 BB355:BB358 BB360:BB384 BB386:BB389 BB392:BB395 BB397:BB411 BB413:BB416 BB418:BB432 BB434:BB437 BB439:BB453 BB455:BB458 BB460:BB469 BB290:BB291 BB293:BB304 BB7:BB10 BB12:BB14 BB17:BB18 BB21:BB24 BB26:BB28 BB30:BB36 BB38 BB41:BB43 BB46:BB49 BB51:BB55 BB57:BB59 BB62:BB76">
    <cfRule type="cellIs" dxfId="26065" priority="329" operator="lessThan">
      <formula>0</formula>
    </cfRule>
    <cfRule type="cellIs" dxfId="26064" priority="330" operator="lessThan">
      <formula>-105575</formula>
    </cfRule>
  </conditionalFormatting>
  <conditionalFormatting sqref="BB41">
    <cfRule type="cellIs" dxfId="26063" priority="327" operator="lessThan">
      <formula>0</formula>
    </cfRule>
    <cfRule type="cellIs" dxfId="26062" priority="328" operator="lessThan">
      <formula>-105575</formula>
    </cfRule>
  </conditionalFormatting>
  <conditionalFormatting sqref="BB152:BB155">
    <cfRule type="cellIs" dxfId="26061" priority="325" operator="lessThan">
      <formula>0</formula>
    </cfRule>
    <cfRule type="cellIs" dxfId="26060" priority="326" operator="lessThan">
      <formula>-105575</formula>
    </cfRule>
  </conditionalFormatting>
  <conditionalFormatting sqref="BB152:BB155">
    <cfRule type="cellIs" dxfId="26059" priority="323" operator="lessThan">
      <formula>0</formula>
    </cfRule>
    <cfRule type="cellIs" dxfId="26058" priority="324" operator="lessThan">
      <formula>-105575</formula>
    </cfRule>
  </conditionalFormatting>
  <conditionalFormatting sqref="BB152:BB155">
    <cfRule type="cellIs" dxfId="26057" priority="321" operator="lessThan">
      <formula>0</formula>
    </cfRule>
    <cfRule type="cellIs" dxfId="26056" priority="322" operator="lessThan">
      <formula>-105575</formula>
    </cfRule>
  </conditionalFormatting>
  <conditionalFormatting sqref="BB157:BB158">
    <cfRule type="cellIs" dxfId="26055" priority="319" operator="lessThan">
      <formula>0</formula>
    </cfRule>
    <cfRule type="cellIs" dxfId="26054" priority="320" operator="lessThan">
      <formula>-105575</formula>
    </cfRule>
  </conditionalFormatting>
  <conditionalFormatting sqref="BB157:BB158">
    <cfRule type="cellIs" dxfId="26053" priority="317" operator="lessThan">
      <formula>0</formula>
    </cfRule>
    <cfRule type="cellIs" dxfId="26052" priority="318" operator="lessThan">
      <formula>-105575</formula>
    </cfRule>
  </conditionalFormatting>
  <conditionalFormatting sqref="BB157:BB158">
    <cfRule type="cellIs" dxfId="26051" priority="315" operator="lessThan">
      <formula>0</formula>
    </cfRule>
    <cfRule type="cellIs" dxfId="26050" priority="316" operator="lessThan">
      <formula>-105575</formula>
    </cfRule>
  </conditionalFormatting>
  <conditionalFormatting sqref="BB160:BB161">
    <cfRule type="cellIs" dxfId="26049" priority="313" operator="lessThan">
      <formula>0</formula>
    </cfRule>
    <cfRule type="cellIs" dxfId="26048" priority="314" operator="lessThan">
      <formula>-105575</formula>
    </cfRule>
  </conditionalFormatting>
  <conditionalFormatting sqref="BB160:BB161">
    <cfRule type="cellIs" dxfId="26047" priority="311" operator="lessThan">
      <formula>0</formula>
    </cfRule>
    <cfRule type="cellIs" dxfId="26046" priority="312" operator="lessThan">
      <formula>-105575</formula>
    </cfRule>
  </conditionalFormatting>
  <conditionalFormatting sqref="BB160:BB161">
    <cfRule type="cellIs" dxfId="26045" priority="309" operator="lessThan">
      <formula>0</formula>
    </cfRule>
    <cfRule type="cellIs" dxfId="26044" priority="310" operator="lessThan">
      <formula>-105575</formula>
    </cfRule>
  </conditionalFormatting>
  <conditionalFormatting sqref="BB164:BB167">
    <cfRule type="cellIs" dxfId="26043" priority="307" operator="lessThan">
      <formula>0</formula>
    </cfRule>
    <cfRule type="cellIs" dxfId="26042" priority="308" operator="lessThan">
      <formula>-105575</formula>
    </cfRule>
  </conditionalFormatting>
  <conditionalFormatting sqref="BB164:BB167">
    <cfRule type="cellIs" dxfId="26041" priority="305" operator="lessThan">
      <formula>0</formula>
    </cfRule>
    <cfRule type="cellIs" dxfId="26040" priority="306" operator="lessThan">
      <formula>-105575</formula>
    </cfRule>
  </conditionalFormatting>
  <conditionalFormatting sqref="BB164:BB167">
    <cfRule type="cellIs" dxfId="26039" priority="303" operator="lessThan">
      <formula>0</formula>
    </cfRule>
    <cfRule type="cellIs" dxfId="26038" priority="304" operator="lessThan">
      <formula>-105575</formula>
    </cfRule>
  </conditionalFormatting>
  <conditionalFormatting sqref="BB169:BB177">
    <cfRule type="cellIs" dxfId="26037" priority="301" operator="lessThan">
      <formula>0</formula>
    </cfRule>
    <cfRule type="cellIs" dxfId="26036" priority="302" operator="lessThan">
      <formula>-105575</formula>
    </cfRule>
  </conditionalFormatting>
  <conditionalFormatting sqref="BB169:BB177">
    <cfRule type="cellIs" dxfId="26035" priority="299" operator="lessThan">
      <formula>0</formula>
    </cfRule>
    <cfRule type="cellIs" dxfId="26034" priority="300" operator="lessThan">
      <formula>-105575</formula>
    </cfRule>
  </conditionalFormatting>
  <conditionalFormatting sqref="BB169:BB177">
    <cfRule type="cellIs" dxfId="26033" priority="297" operator="lessThan">
      <formula>0</formula>
    </cfRule>
    <cfRule type="cellIs" dxfId="26032" priority="298" operator="lessThan">
      <formula>-105575</formula>
    </cfRule>
  </conditionalFormatting>
  <conditionalFormatting sqref="BB179:BB180">
    <cfRule type="cellIs" dxfId="26031" priority="295" operator="lessThan">
      <formula>0</formula>
    </cfRule>
    <cfRule type="cellIs" dxfId="26030" priority="296" operator="lessThan">
      <formula>-105575</formula>
    </cfRule>
  </conditionalFormatting>
  <conditionalFormatting sqref="BB179:BB180">
    <cfRule type="cellIs" dxfId="26029" priority="293" operator="lessThan">
      <formula>0</formula>
    </cfRule>
    <cfRule type="cellIs" dxfId="26028" priority="294" operator="lessThan">
      <formula>-105575</formula>
    </cfRule>
  </conditionalFormatting>
  <conditionalFormatting sqref="BB179:BB180">
    <cfRule type="cellIs" dxfId="26027" priority="291" operator="lessThan">
      <formula>0</formula>
    </cfRule>
    <cfRule type="cellIs" dxfId="26026" priority="292" operator="lessThan">
      <formula>-105575</formula>
    </cfRule>
  </conditionalFormatting>
  <conditionalFormatting sqref="BB183:BB189">
    <cfRule type="cellIs" dxfId="26025" priority="289" operator="lessThan">
      <formula>0</formula>
    </cfRule>
    <cfRule type="cellIs" dxfId="26024" priority="290" operator="lessThan">
      <formula>-105575</formula>
    </cfRule>
  </conditionalFormatting>
  <conditionalFormatting sqref="BB183:BB189">
    <cfRule type="cellIs" dxfId="26023" priority="287" operator="lessThan">
      <formula>0</formula>
    </cfRule>
    <cfRule type="cellIs" dxfId="26022" priority="288" operator="lessThan">
      <formula>-105575</formula>
    </cfRule>
  </conditionalFormatting>
  <conditionalFormatting sqref="BB183:BB189">
    <cfRule type="cellIs" dxfId="26021" priority="285" operator="lessThan">
      <formula>0</formula>
    </cfRule>
    <cfRule type="cellIs" dxfId="26020" priority="286" operator="lessThan">
      <formula>-105575</formula>
    </cfRule>
  </conditionalFormatting>
  <conditionalFormatting sqref="BB191:BB192">
    <cfRule type="cellIs" dxfId="26019" priority="283" operator="lessThan">
      <formula>0</formula>
    </cfRule>
    <cfRule type="cellIs" dxfId="26018" priority="284" operator="lessThan">
      <formula>-105575</formula>
    </cfRule>
  </conditionalFormatting>
  <conditionalFormatting sqref="BB191:BB192">
    <cfRule type="cellIs" dxfId="26017" priority="281" operator="lessThan">
      <formula>0</formula>
    </cfRule>
    <cfRule type="cellIs" dxfId="26016" priority="282" operator="lessThan">
      <formula>-105575</formula>
    </cfRule>
  </conditionalFormatting>
  <conditionalFormatting sqref="BB191:BB192">
    <cfRule type="cellIs" dxfId="26015" priority="279" operator="lessThan">
      <formula>0</formula>
    </cfRule>
    <cfRule type="cellIs" dxfId="26014" priority="280" operator="lessThan">
      <formula>-105575</formula>
    </cfRule>
  </conditionalFormatting>
  <conditionalFormatting sqref="BB194:BB195">
    <cfRule type="cellIs" dxfId="26013" priority="277" operator="lessThan">
      <formula>0</formula>
    </cfRule>
    <cfRule type="cellIs" dxfId="26012" priority="278" operator="lessThan">
      <formula>-105575</formula>
    </cfRule>
  </conditionalFormatting>
  <conditionalFormatting sqref="BB194:BB195">
    <cfRule type="cellIs" dxfId="26011" priority="275" operator="lessThan">
      <formula>0</formula>
    </cfRule>
    <cfRule type="cellIs" dxfId="26010" priority="276" operator="lessThan">
      <formula>-105575</formula>
    </cfRule>
  </conditionalFormatting>
  <conditionalFormatting sqref="BB194:BB195">
    <cfRule type="cellIs" dxfId="26009" priority="273" operator="lessThan">
      <formula>0</formula>
    </cfRule>
    <cfRule type="cellIs" dxfId="26008" priority="274" operator="lessThan">
      <formula>-105575</formula>
    </cfRule>
  </conditionalFormatting>
  <conditionalFormatting sqref="BB199:BB202">
    <cfRule type="cellIs" dxfId="26007" priority="271" operator="lessThan">
      <formula>0</formula>
    </cfRule>
    <cfRule type="cellIs" dxfId="26006" priority="272" operator="lessThan">
      <formula>-105575</formula>
    </cfRule>
  </conditionalFormatting>
  <conditionalFormatting sqref="BB199:BB202">
    <cfRule type="cellIs" dxfId="26005" priority="269" operator="lessThan">
      <formula>0</formula>
    </cfRule>
    <cfRule type="cellIs" dxfId="26004" priority="270" operator="lessThan">
      <formula>-105575</formula>
    </cfRule>
  </conditionalFormatting>
  <conditionalFormatting sqref="BB199:BB202">
    <cfRule type="cellIs" dxfId="26003" priority="267" operator="lessThan">
      <formula>0</formula>
    </cfRule>
    <cfRule type="cellIs" dxfId="26002" priority="268" operator="lessThan">
      <formula>-105575</formula>
    </cfRule>
  </conditionalFormatting>
  <conditionalFormatting sqref="BB204:BB208">
    <cfRule type="cellIs" dxfId="26001" priority="265" operator="lessThan">
      <formula>0</formula>
    </cfRule>
    <cfRule type="cellIs" dxfId="26000" priority="266" operator="lessThan">
      <formula>-105575</formula>
    </cfRule>
  </conditionalFormatting>
  <conditionalFormatting sqref="BB204:BB208">
    <cfRule type="cellIs" dxfId="25999" priority="263" operator="lessThan">
      <formula>0</formula>
    </cfRule>
    <cfRule type="cellIs" dxfId="25998" priority="264" operator="lessThan">
      <formula>-105575</formula>
    </cfRule>
  </conditionalFormatting>
  <conditionalFormatting sqref="BB204:BB208">
    <cfRule type="cellIs" dxfId="25997" priority="261" operator="lessThan">
      <formula>0</formula>
    </cfRule>
    <cfRule type="cellIs" dxfId="25996" priority="262" operator="lessThan">
      <formula>-105575</formula>
    </cfRule>
  </conditionalFormatting>
  <conditionalFormatting sqref="BB210:BB211">
    <cfRule type="cellIs" dxfId="25995" priority="259" operator="lessThan">
      <formula>0</formula>
    </cfRule>
    <cfRule type="cellIs" dxfId="25994" priority="260" operator="lessThan">
      <formula>-105575</formula>
    </cfRule>
  </conditionalFormatting>
  <conditionalFormatting sqref="BB210:BB211">
    <cfRule type="cellIs" dxfId="25993" priority="257" operator="lessThan">
      <formula>0</formula>
    </cfRule>
    <cfRule type="cellIs" dxfId="25992" priority="258" operator="lessThan">
      <formula>-105575</formula>
    </cfRule>
  </conditionalFormatting>
  <conditionalFormatting sqref="BB210:BB211">
    <cfRule type="cellIs" dxfId="25991" priority="255" operator="lessThan">
      <formula>0</formula>
    </cfRule>
    <cfRule type="cellIs" dxfId="25990" priority="256" operator="lessThan">
      <formula>-105575</formula>
    </cfRule>
  </conditionalFormatting>
  <conditionalFormatting sqref="BB214:BB219">
    <cfRule type="cellIs" dxfId="25989" priority="253" operator="lessThan">
      <formula>0</formula>
    </cfRule>
    <cfRule type="cellIs" dxfId="25988" priority="254" operator="lessThan">
      <formula>-105575</formula>
    </cfRule>
  </conditionalFormatting>
  <conditionalFormatting sqref="BB214:BB219">
    <cfRule type="cellIs" dxfId="25987" priority="251" operator="lessThan">
      <formula>0</formula>
    </cfRule>
    <cfRule type="cellIs" dxfId="25986" priority="252" operator="lessThan">
      <formula>-105575</formula>
    </cfRule>
  </conditionalFormatting>
  <conditionalFormatting sqref="BB214:BB219">
    <cfRule type="cellIs" dxfId="25985" priority="249" operator="lessThan">
      <formula>0</formula>
    </cfRule>
    <cfRule type="cellIs" dxfId="25984" priority="250" operator="lessThan">
      <formula>-105575</formula>
    </cfRule>
  </conditionalFormatting>
  <conditionalFormatting sqref="BB222:BB224">
    <cfRule type="cellIs" dxfId="25983" priority="247" operator="lessThan">
      <formula>0</formula>
    </cfRule>
    <cfRule type="cellIs" dxfId="25982" priority="248" operator="lessThan">
      <formula>-105575</formula>
    </cfRule>
  </conditionalFormatting>
  <conditionalFormatting sqref="BB222:BB224">
    <cfRule type="cellIs" dxfId="25981" priority="245" operator="lessThan">
      <formula>0</formula>
    </cfRule>
    <cfRule type="cellIs" dxfId="25980" priority="246" operator="lessThan">
      <formula>-105575</formula>
    </cfRule>
  </conditionalFormatting>
  <conditionalFormatting sqref="BB222:BB224">
    <cfRule type="cellIs" dxfId="25979" priority="243" operator="lessThan">
      <formula>0</formula>
    </cfRule>
    <cfRule type="cellIs" dxfId="25978" priority="244" operator="lessThan">
      <formula>-105575</formula>
    </cfRule>
  </conditionalFormatting>
  <conditionalFormatting sqref="BB227:BB230">
    <cfRule type="cellIs" dxfId="25977" priority="241" operator="lessThan">
      <formula>0</formula>
    </cfRule>
    <cfRule type="cellIs" dxfId="25976" priority="242" operator="lessThan">
      <formula>-105575</formula>
    </cfRule>
  </conditionalFormatting>
  <conditionalFormatting sqref="BB227:BB230">
    <cfRule type="cellIs" dxfId="25975" priority="239" operator="lessThan">
      <formula>0</formula>
    </cfRule>
    <cfRule type="cellIs" dxfId="25974" priority="240" operator="lessThan">
      <formula>-105575</formula>
    </cfRule>
  </conditionalFormatting>
  <conditionalFormatting sqref="BB227:BB230">
    <cfRule type="cellIs" dxfId="25973" priority="237" operator="lessThan">
      <formula>0</formula>
    </cfRule>
    <cfRule type="cellIs" dxfId="25972" priority="238" operator="lessThan">
      <formula>-105575</formula>
    </cfRule>
  </conditionalFormatting>
  <conditionalFormatting sqref="BB246:BB249">
    <cfRule type="cellIs" dxfId="25971" priority="235" operator="lessThan">
      <formula>0</formula>
    </cfRule>
    <cfRule type="cellIs" dxfId="25970" priority="236" operator="lessThan">
      <formula>-105575</formula>
    </cfRule>
  </conditionalFormatting>
  <conditionalFormatting sqref="BB246:BB249">
    <cfRule type="cellIs" dxfId="25969" priority="233" operator="lessThan">
      <formula>0</formula>
    </cfRule>
    <cfRule type="cellIs" dxfId="25968" priority="234" operator="lessThan">
      <formula>-105575</formula>
    </cfRule>
  </conditionalFormatting>
  <conditionalFormatting sqref="BB246:BB249">
    <cfRule type="cellIs" dxfId="25967" priority="231" operator="lessThan">
      <formula>0</formula>
    </cfRule>
    <cfRule type="cellIs" dxfId="25966" priority="232" operator="lessThan">
      <formula>-105575</formula>
    </cfRule>
  </conditionalFormatting>
  <conditionalFormatting sqref="BB246:BB249">
    <cfRule type="cellIs" dxfId="25965" priority="229" operator="lessThan">
      <formula>0</formula>
    </cfRule>
    <cfRule type="cellIs" dxfId="25964" priority="230" operator="lessThan">
      <formula>-105575</formula>
    </cfRule>
  </conditionalFormatting>
  <conditionalFormatting sqref="BB246:BB249">
    <cfRule type="cellIs" dxfId="25963" priority="227" operator="lessThan">
      <formula>0</formula>
    </cfRule>
    <cfRule type="cellIs" dxfId="25962" priority="228" operator="lessThan">
      <formula>-105575</formula>
    </cfRule>
  </conditionalFormatting>
  <conditionalFormatting sqref="BB246:BB249">
    <cfRule type="cellIs" dxfId="25961" priority="225" operator="lessThan">
      <formula>0</formula>
    </cfRule>
    <cfRule type="cellIs" dxfId="25960" priority="226" operator="lessThan">
      <formula>-105575</formula>
    </cfRule>
  </conditionalFormatting>
  <conditionalFormatting sqref="BB246:BB249">
    <cfRule type="cellIs" dxfId="25959" priority="223" operator="lessThan">
      <formula>0</formula>
    </cfRule>
    <cfRule type="cellIs" dxfId="25958" priority="224" operator="lessThan">
      <formula>-105575</formula>
    </cfRule>
  </conditionalFormatting>
  <conditionalFormatting sqref="BB246:BB249">
    <cfRule type="cellIs" dxfId="25957" priority="221" operator="lessThan">
      <formula>0</formula>
    </cfRule>
    <cfRule type="cellIs" dxfId="25956" priority="222" operator="lessThan">
      <formula>-105575</formula>
    </cfRule>
  </conditionalFormatting>
  <conditionalFormatting sqref="BB246:BB249">
    <cfRule type="cellIs" dxfId="25955" priority="219" operator="lessThan">
      <formula>0</formula>
    </cfRule>
    <cfRule type="cellIs" dxfId="25954" priority="220" operator="lessThan">
      <formula>-105575</formula>
    </cfRule>
  </conditionalFormatting>
  <conditionalFormatting sqref="BB251:BB253">
    <cfRule type="cellIs" dxfId="25953" priority="217" operator="lessThan">
      <formula>0</formula>
    </cfRule>
    <cfRule type="cellIs" dxfId="25952" priority="218" operator="lessThan">
      <formula>-105575</formula>
    </cfRule>
  </conditionalFormatting>
  <conditionalFormatting sqref="BB251:BB253">
    <cfRule type="cellIs" dxfId="25951" priority="215" operator="lessThan">
      <formula>0</formula>
    </cfRule>
    <cfRule type="cellIs" dxfId="25950" priority="216" operator="lessThan">
      <formula>-105575</formula>
    </cfRule>
  </conditionalFormatting>
  <conditionalFormatting sqref="BB251:BB253">
    <cfRule type="cellIs" dxfId="25949" priority="213" operator="lessThan">
      <formula>0</formula>
    </cfRule>
    <cfRule type="cellIs" dxfId="25948" priority="214" operator="lessThan">
      <formula>-105575</formula>
    </cfRule>
  </conditionalFormatting>
  <conditionalFormatting sqref="BB251:BB253">
    <cfRule type="cellIs" dxfId="25947" priority="211" operator="lessThan">
      <formula>0</formula>
    </cfRule>
    <cfRule type="cellIs" dxfId="25946" priority="212" operator="lessThan">
      <formula>-105575</formula>
    </cfRule>
  </conditionalFormatting>
  <conditionalFormatting sqref="BB251:BB253">
    <cfRule type="cellIs" dxfId="25945" priority="209" operator="lessThan">
      <formula>0</formula>
    </cfRule>
    <cfRule type="cellIs" dxfId="25944" priority="210" operator="lessThan">
      <formula>-105575</formula>
    </cfRule>
  </conditionalFormatting>
  <conditionalFormatting sqref="BB251:BB253">
    <cfRule type="cellIs" dxfId="25943" priority="207" operator="lessThan">
      <formula>0</formula>
    </cfRule>
    <cfRule type="cellIs" dxfId="25942" priority="208" operator="lessThan">
      <formula>-105575</formula>
    </cfRule>
  </conditionalFormatting>
  <conditionalFormatting sqref="BB251:BB253">
    <cfRule type="cellIs" dxfId="25941" priority="205" operator="lessThan">
      <formula>0</formula>
    </cfRule>
    <cfRule type="cellIs" dxfId="25940" priority="206" operator="lessThan">
      <formula>-105575</formula>
    </cfRule>
  </conditionalFormatting>
  <conditionalFormatting sqref="BB251:BB253">
    <cfRule type="cellIs" dxfId="25939" priority="203" operator="lessThan">
      <formula>0</formula>
    </cfRule>
    <cfRule type="cellIs" dxfId="25938" priority="204" operator="lessThan">
      <formula>-105575</formula>
    </cfRule>
  </conditionalFormatting>
  <conditionalFormatting sqref="BB251:BB253">
    <cfRule type="cellIs" dxfId="25937" priority="201" operator="lessThan">
      <formula>0</formula>
    </cfRule>
    <cfRule type="cellIs" dxfId="25936" priority="202" operator="lessThan">
      <formula>-105575</formula>
    </cfRule>
  </conditionalFormatting>
  <conditionalFormatting sqref="BB255:BB257">
    <cfRule type="cellIs" dxfId="25935" priority="199" operator="lessThan">
      <formula>0</formula>
    </cfRule>
    <cfRule type="cellIs" dxfId="25934" priority="200" operator="lessThan">
      <formula>-105575</formula>
    </cfRule>
  </conditionalFormatting>
  <conditionalFormatting sqref="BB255:BB257">
    <cfRule type="cellIs" dxfId="25933" priority="197" operator="lessThan">
      <formula>0</formula>
    </cfRule>
    <cfRule type="cellIs" dxfId="25932" priority="198" operator="lessThan">
      <formula>-105575</formula>
    </cfRule>
  </conditionalFormatting>
  <conditionalFormatting sqref="BB255:BB257">
    <cfRule type="cellIs" dxfId="25931" priority="195" operator="lessThan">
      <formula>0</formula>
    </cfRule>
    <cfRule type="cellIs" dxfId="25930" priority="196" operator="lessThan">
      <formula>-105575</formula>
    </cfRule>
  </conditionalFormatting>
  <conditionalFormatting sqref="BB255:BB257">
    <cfRule type="cellIs" dxfId="25929" priority="193" operator="lessThan">
      <formula>0</formula>
    </cfRule>
    <cfRule type="cellIs" dxfId="25928" priority="194" operator="lessThan">
      <formula>-105575</formula>
    </cfRule>
  </conditionalFormatting>
  <conditionalFormatting sqref="BB255:BB257">
    <cfRule type="cellIs" dxfId="25927" priority="191" operator="lessThan">
      <formula>0</formula>
    </cfRule>
    <cfRule type="cellIs" dxfId="25926" priority="192" operator="lessThan">
      <formula>-105575</formula>
    </cfRule>
  </conditionalFormatting>
  <conditionalFormatting sqref="BB255:BB257">
    <cfRule type="cellIs" dxfId="25925" priority="189" operator="lessThan">
      <formula>0</formula>
    </cfRule>
    <cfRule type="cellIs" dxfId="25924" priority="190" operator="lessThan">
      <formula>-105575</formula>
    </cfRule>
  </conditionalFormatting>
  <conditionalFormatting sqref="BB255:BB257">
    <cfRule type="cellIs" dxfId="25923" priority="187" operator="lessThan">
      <formula>0</formula>
    </cfRule>
    <cfRule type="cellIs" dxfId="25922" priority="188" operator="lessThan">
      <formula>-105575</formula>
    </cfRule>
  </conditionalFormatting>
  <conditionalFormatting sqref="BB255:BB257">
    <cfRule type="cellIs" dxfId="25921" priority="185" operator="lessThan">
      <formula>0</formula>
    </cfRule>
    <cfRule type="cellIs" dxfId="25920" priority="186" operator="lessThan">
      <formula>-105575</formula>
    </cfRule>
  </conditionalFormatting>
  <conditionalFormatting sqref="BB255:BB257">
    <cfRule type="cellIs" dxfId="25919" priority="183" operator="lessThan">
      <formula>0</formula>
    </cfRule>
    <cfRule type="cellIs" dxfId="25918" priority="184" operator="lessThan">
      <formula>-105575</formula>
    </cfRule>
  </conditionalFormatting>
  <conditionalFormatting sqref="BB260:BB262">
    <cfRule type="cellIs" dxfId="25917" priority="181" operator="lessThan">
      <formula>0</formula>
    </cfRule>
    <cfRule type="cellIs" dxfId="25916" priority="182" operator="lessThan">
      <formula>-105575</formula>
    </cfRule>
  </conditionalFormatting>
  <conditionalFormatting sqref="BB260:BB262">
    <cfRule type="cellIs" dxfId="25915" priority="179" operator="lessThan">
      <formula>0</formula>
    </cfRule>
    <cfRule type="cellIs" dxfId="25914" priority="180" operator="lessThan">
      <formula>-105575</formula>
    </cfRule>
  </conditionalFormatting>
  <conditionalFormatting sqref="BB260:BB262">
    <cfRule type="cellIs" dxfId="25913" priority="177" operator="lessThan">
      <formula>0</formula>
    </cfRule>
    <cfRule type="cellIs" dxfId="25912" priority="178" operator="lessThan">
      <formula>-105575</formula>
    </cfRule>
  </conditionalFormatting>
  <conditionalFormatting sqref="BB260:BB262">
    <cfRule type="cellIs" dxfId="25911" priority="175" operator="lessThan">
      <formula>0</formula>
    </cfRule>
    <cfRule type="cellIs" dxfId="25910" priority="176" operator="lessThan">
      <formula>-105575</formula>
    </cfRule>
  </conditionalFormatting>
  <conditionalFormatting sqref="BB260:BB262">
    <cfRule type="cellIs" dxfId="25909" priority="173" operator="lessThan">
      <formula>0</formula>
    </cfRule>
    <cfRule type="cellIs" dxfId="25908" priority="174" operator="lessThan">
      <formula>-105575</formula>
    </cfRule>
  </conditionalFormatting>
  <conditionalFormatting sqref="BB260:BB262">
    <cfRule type="cellIs" dxfId="25907" priority="171" operator="lessThan">
      <formula>0</formula>
    </cfRule>
    <cfRule type="cellIs" dxfId="25906" priority="172" operator="lessThan">
      <formula>-105575</formula>
    </cfRule>
  </conditionalFormatting>
  <conditionalFormatting sqref="BB260:BB262">
    <cfRule type="cellIs" dxfId="25905" priority="169" operator="lessThan">
      <formula>0</formula>
    </cfRule>
    <cfRule type="cellIs" dxfId="25904" priority="170" operator="lessThan">
      <formula>-105575</formula>
    </cfRule>
  </conditionalFormatting>
  <conditionalFormatting sqref="BB260:BB262">
    <cfRule type="cellIs" dxfId="25903" priority="167" operator="lessThan">
      <formula>0</formula>
    </cfRule>
    <cfRule type="cellIs" dxfId="25902" priority="168" operator="lessThan">
      <formula>-105575</formula>
    </cfRule>
  </conditionalFormatting>
  <conditionalFormatting sqref="BB260:BB262">
    <cfRule type="cellIs" dxfId="25901" priority="165" operator="lessThan">
      <formula>0</formula>
    </cfRule>
    <cfRule type="cellIs" dxfId="25900" priority="166" operator="lessThan">
      <formula>-105575</formula>
    </cfRule>
  </conditionalFormatting>
  <conditionalFormatting sqref="BB264:BB267">
    <cfRule type="cellIs" dxfId="25899" priority="163" operator="lessThan">
      <formula>0</formula>
    </cfRule>
    <cfRule type="cellIs" dxfId="25898" priority="164" operator="lessThan">
      <formula>-105575</formula>
    </cfRule>
  </conditionalFormatting>
  <conditionalFormatting sqref="BB264:BB267">
    <cfRule type="cellIs" dxfId="25897" priority="161" operator="lessThan">
      <formula>0</formula>
    </cfRule>
    <cfRule type="cellIs" dxfId="25896" priority="162" operator="lessThan">
      <formula>-105575</formula>
    </cfRule>
  </conditionalFormatting>
  <conditionalFormatting sqref="BB264:BB267">
    <cfRule type="cellIs" dxfId="25895" priority="159" operator="lessThan">
      <formula>0</formula>
    </cfRule>
    <cfRule type="cellIs" dxfId="25894" priority="160" operator="lessThan">
      <formula>-105575</formula>
    </cfRule>
  </conditionalFormatting>
  <conditionalFormatting sqref="BB264:BB267">
    <cfRule type="cellIs" dxfId="25893" priority="157" operator="lessThan">
      <formula>0</formula>
    </cfRule>
    <cfRule type="cellIs" dxfId="25892" priority="158" operator="lessThan">
      <formula>-105575</formula>
    </cfRule>
  </conditionalFormatting>
  <conditionalFormatting sqref="BB264:BB267">
    <cfRule type="cellIs" dxfId="25891" priority="155" operator="lessThan">
      <formula>0</formula>
    </cfRule>
    <cfRule type="cellIs" dxfId="25890" priority="156" operator="lessThan">
      <formula>-105575</formula>
    </cfRule>
  </conditionalFormatting>
  <conditionalFormatting sqref="BB264:BB267">
    <cfRule type="cellIs" dxfId="25889" priority="153" operator="lessThan">
      <formula>0</formula>
    </cfRule>
    <cfRule type="cellIs" dxfId="25888" priority="154" operator="lessThan">
      <formula>-105575</formula>
    </cfRule>
  </conditionalFormatting>
  <conditionalFormatting sqref="BB264:BB267">
    <cfRule type="cellIs" dxfId="25887" priority="151" operator="lessThan">
      <formula>0</formula>
    </cfRule>
    <cfRule type="cellIs" dxfId="25886" priority="152" operator="lessThan">
      <formula>-105575</formula>
    </cfRule>
  </conditionalFormatting>
  <conditionalFormatting sqref="BB264:BB267">
    <cfRule type="cellIs" dxfId="25885" priority="149" operator="lessThan">
      <formula>0</formula>
    </cfRule>
    <cfRule type="cellIs" dxfId="25884" priority="150" operator="lessThan">
      <formula>-105575</formula>
    </cfRule>
  </conditionalFormatting>
  <conditionalFormatting sqref="BB264:BB267">
    <cfRule type="cellIs" dxfId="25883" priority="147" operator="lessThan">
      <formula>0</formula>
    </cfRule>
    <cfRule type="cellIs" dxfId="25882" priority="148" operator="lessThan">
      <formula>-105575</formula>
    </cfRule>
  </conditionalFormatting>
  <conditionalFormatting sqref="BB270:BB272">
    <cfRule type="cellIs" dxfId="25881" priority="145" operator="lessThan">
      <formula>0</formula>
    </cfRule>
    <cfRule type="cellIs" dxfId="25880" priority="146" operator="lessThan">
      <formula>-105575</formula>
    </cfRule>
  </conditionalFormatting>
  <conditionalFormatting sqref="BB270:BB272">
    <cfRule type="cellIs" dxfId="25879" priority="143" operator="lessThan">
      <formula>0</formula>
    </cfRule>
    <cfRule type="cellIs" dxfId="25878" priority="144" operator="lessThan">
      <formula>-105575</formula>
    </cfRule>
  </conditionalFormatting>
  <conditionalFormatting sqref="BB270:BB272">
    <cfRule type="cellIs" dxfId="25877" priority="141" operator="lessThan">
      <formula>0</formula>
    </cfRule>
    <cfRule type="cellIs" dxfId="25876" priority="142" operator="lessThan">
      <formula>-105575</formula>
    </cfRule>
  </conditionalFormatting>
  <conditionalFormatting sqref="BB270:BB272">
    <cfRule type="cellIs" dxfId="25875" priority="139" operator="lessThan">
      <formula>0</formula>
    </cfRule>
    <cfRule type="cellIs" dxfId="25874" priority="140" operator="lessThan">
      <formula>-105575</formula>
    </cfRule>
  </conditionalFormatting>
  <conditionalFormatting sqref="BB270:BB272">
    <cfRule type="cellIs" dxfId="25873" priority="137" operator="lessThan">
      <formula>0</formula>
    </cfRule>
    <cfRule type="cellIs" dxfId="25872" priority="138" operator="lessThan">
      <formula>-105575</formula>
    </cfRule>
  </conditionalFormatting>
  <conditionalFormatting sqref="BB270:BB272">
    <cfRule type="cellIs" dxfId="25871" priority="135" operator="lessThan">
      <formula>0</formula>
    </cfRule>
    <cfRule type="cellIs" dxfId="25870" priority="136" operator="lessThan">
      <formula>-105575</formula>
    </cfRule>
  </conditionalFormatting>
  <conditionalFormatting sqref="BB270:BB272">
    <cfRule type="cellIs" dxfId="25869" priority="133" operator="lessThan">
      <formula>0</formula>
    </cfRule>
    <cfRule type="cellIs" dxfId="25868" priority="134" operator="lessThan">
      <formula>-105575</formula>
    </cfRule>
  </conditionalFormatting>
  <conditionalFormatting sqref="BB270:BB272">
    <cfRule type="cellIs" dxfId="25867" priority="131" operator="lessThan">
      <formula>0</formula>
    </cfRule>
    <cfRule type="cellIs" dxfId="25866" priority="132" operator="lessThan">
      <formula>-105575</formula>
    </cfRule>
  </conditionalFormatting>
  <conditionalFormatting sqref="BB270:BB272">
    <cfRule type="cellIs" dxfId="25865" priority="129" operator="lessThan">
      <formula>0</formula>
    </cfRule>
    <cfRule type="cellIs" dxfId="25864" priority="130" operator="lessThan">
      <formula>-105575</formula>
    </cfRule>
  </conditionalFormatting>
  <conditionalFormatting sqref="BB274:BB275">
    <cfRule type="cellIs" dxfId="25863" priority="127" operator="lessThan">
      <formula>0</formula>
    </cfRule>
    <cfRule type="cellIs" dxfId="25862" priority="128" operator="lessThan">
      <formula>-105575</formula>
    </cfRule>
  </conditionalFormatting>
  <conditionalFormatting sqref="BB274:BB275">
    <cfRule type="cellIs" dxfId="25861" priority="125" operator="lessThan">
      <formula>0</formula>
    </cfRule>
    <cfRule type="cellIs" dxfId="25860" priority="126" operator="lessThan">
      <formula>-105575</formula>
    </cfRule>
  </conditionalFormatting>
  <conditionalFormatting sqref="BB274:BB275">
    <cfRule type="cellIs" dxfId="25859" priority="123" operator="lessThan">
      <formula>0</formula>
    </cfRule>
    <cfRule type="cellIs" dxfId="25858" priority="124" operator="lessThan">
      <formula>-105575</formula>
    </cfRule>
  </conditionalFormatting>
  <conditionalFormatting sqref="BB274:BB275">
    <cfRule type="cellIs" dxfId="25857" priority="121" operator="lessThan">
      <formula>0</formula>
    </cfRule>
    <cfRule type="cellIs" dxfId="25856" priority="122" operator="lessThan">
      <formula>-105575</formula>
    </cfRule>
  </conditionalFormatting>
  <conditionalFormatting sqref="BB274:BB275">
    <cfRule type="cellIs" dxfId="25855" priority="119" operator="lessThan">
      <formula>0</formula>
    </cfRule>
    <cfRule type="cellIs" dxfId="25854" priority="120" operator="lessThan">
      <formula>-105575</formula>
    </cfRule>
  </conditionalFormatting>
  <conditionalFormatting sqref="BB274:BB275">
    <cfRule type="cellIs" dxfId="25853" priority="117" operator="lessThan">
      <formula>0</formula>
    </cfRule>
    <cfRule type="cellIs" dxfId="25852" priority="118" operator="lessThan">
      <formula>-105575</formula>
    </cfRule>
  </conditionalFormatting>
  <conditionalFormatting sqref="BB274:BB275">
    <cfRule type="cellIs" dxfId="25851" priority="115" operator="lessThan">
      <formula>0</formula>
    </cfRule>
    <cfRule type="cellIs" dxfId="25850" priority="116" operator="lessThan">
      <formula>-105575</formula>
    </cfRule>
  </conditionalFormatting>
  <conditionalFormatting sqref="BB274:BB275">
    <cfRule type="cellIs" dxfId="25849" priority="113" operator="lessThan">
      <formula>0</formula>
    </cfRule>
    <cfRule type="cellIs" dxfId="25848" priority="114" operator="lessThan">
      <formula>-105575</formula>
    </cfRule>
  </conditionalFormatting>
  <conditionalFormatting sqref="BB274:BB275">
    <cfRule type="cellIs" dxfId="25847" priority="111" operator="lessThan">
      <formula>0</formula>
    </cfRule>
    <cfRule type="cellIs" dxfId="25846" priority="112" operator="lessThan">
      <formula>-105575</formula>
    </cfRule>
  </conditionalFormatting>
  <conditionalFormatting sqref="BB278:BB282">
    <cfRule type="cellIs" dxfId="25845" priority="109" operator="lessThan">
      <formula>0</formula>
    </cfRule>
    <cfRule type="cellIs" dxfId="25844" priority="110" operator="lessThan">
      <formula>-105575</formula>
    </cfRule>
  </conditionalFormatting>
  <conditionalFormatting sqref="BB278:BB282">
    <cfRule type="cellIs" dxfId="25843" priority="107" operator="lessThan">
      <formula>0</formula>
    </cfRule>
    <cfRule type="cellIs" dxfId="25842" priority="108" operator="lessThan">
      <formula>-105575</formula>
    </cfRule>
  </conditionalFormatting>
  <conditionalFormatting sqref="BB278:BB282">
    <cfRule type="cellIs" dxfId="25841" priority="105" operator="lessThan">
      <formula>0</formula>
    </cfRule>
    <cfRule type="cellIs" dxfId="25840" priority="106" operator="lessThan">
      <formula>-105575</formula>
    </cfRule>
  </conditionalFormatting>
  <conditionalFormatting sqref="BB278:BB282">
    <cfRule type="cellIs" dxfId="25839" priority="103" operator="lessThan">
      <formula>0</formula>
    </cfRule>
    <cfRule type="cellIs" dxfId="25838" priority="104" operator="lessThan">
      <formula>-105575</formula>
    </cfRule>
  </conditionalFormatting>
  <conditionalFormatting sqref="BB278:BB282">
    <cfRule type="cellIs" dxfId="25837" priority="101" operator="lessThan">
      <formula>0</formula>
    </cfRule>
    <cfRule type="cellIs" dxfId="25836" priority="102" operator="lessThan">
      <formula>-105575</formula>
    </cfRule>
  </conditionalFormatting>
  <conditionalFormatting sqref="BB278:BB282">
    <cfRule type="cellIs" dxfId="25835" priority="99" operator="lessThan">
      <formula>0</formula>
    </cfRule>
    <cfRule type="cellIs" dxfId="25834" priority="100" operator="lessThan">
      <formula>-105575</formula>
    </cfRule>
  </conditionalFormatting>
  <conditionalFormatting sqref="BB278:BB282">
    <cfRule type="cellIs" dxfId="25833" priority="97" operator="lessThan">
      <formula>0</formula>
    </cfRule>
    <cfRule type="cellIs" dxfId="25832" priority="98" operator="lessThan">
      <formula>-105575</formula>
    </cfRule>
  </conditionalFormatting>
  <conditionalFormatting sqref="BB278:BB282">
    <cfRule type="cellIs" dxfId="25831" priority="95" operator="lessThan">
      <formula>0</formula>
    </cfRule>
    <cfRule type="cellIs" dxfId="25830" priority="96" operator="lessThan">
      <formula>-105575</formula>
    </cfRule>
  </conditionalFormatting>
  <conditionalFormatting sqref="BB278:BB282">
    <cfRule type="cellIs" dxfId="25829" priority="93" operator="lessThan">
      <formula>0</formula>
    </cfRule>
    <cfRule type="cellIs" dxfId="25828" priority="94" operator="lessThan">
      <formula>-105575</formula>
    </cfRule>
  </conditionalFormatting>
  <conditionalFormatting sqref="BB285:BB288">
    <cfRule type="cellIs" dxfId="25827" priority="91" operator="lessThan">
      <formula>0</formula>
    </cfRule>
    <cfRule type="cellIs" dxfId="25826" priority="92" operator="lessThan">
      <formula>-105575</formula>
    </cfRule>
  </conditionalFormatting>
  <conditionalFormatting sqref="BB285:BB288">
    <cfRule type="cellIs" dxfId="25825" priority="89" operator="lessThan">
      <formula>0</formula>
    </cfRule>
    <cfRule type="cellIs" dxfId="25824" priority="90" operator="lessThan">
      <formula>-105575</formula>
    </cfRule>
  </conditionalFormatting>
  <conditionalFormatting sqref="BB285:BB288">
    <cfRule type="cellIs" dxfId="25823" priority="87" operator="lessThan">
      <formula>0</formula>
    </cfRule>
    <cfRule type="cellIs" dxfId="25822" priority="88" operator="lessThan">
      <formula>-105575</formula>
    </cfRule>
  </conditionalFormatting>
  <conditionalFormatting sqref="BB285:BB288">
    <cfRule type="cellIs" dxfId="25821" priority="85" operator="lessThan">
      <formula>0</formula>
    </cfRule>
    <cfRule type="cellIs" dxfId="25820" priority="86" operator="lessThan">
      <formula>-105575</formula>
    </cfRule>
  </conditionalFormatting>
  <conditionalFormatting sqref="BB285:BB288">
    <cfRule type="cellIs" dxfId="25819" priority="83" operator="lessThan">
      <formula>0</formula>
    </cfRule>
    <cfRule type="cellIs" dxfId="25818" priority="84" operator="lessThan">
      <formula>-105575</formula>
    </cfRule>
  </conditionalFormatting>
  <conditionalFormatting sqref="BB285:BB288">
    <cfRule type="cellIs" dxfId="25817" priority="81" operator="lessThan">
      <formula>0</formula>
    </cfRule>
    <cfRule type="cellIs" dxfId="25816" priority="82" operator="lessThan">
      <formula>-105575</formula>
    </cfRule>
  </conditionalFormatting>
  <conditionalFormatting sqref="BB285:BB288">
    <cfRule type="cellIs" dxfId="25815" priority="79" operator="lessThan">
      <formula>0</formula>
    </cfRule>
    <cfRule type="cellIs" dxfId="25814" priority="80" operator="lessThan">
      <formula>-105575</formula>
    </cfRule>
  </conditionalFormatting>
  <conditionalFormatting sqref="BB285:BB288">
    <cfRule type="cellIs" dxfId="25813" priority="77" operator="lessThan">
      <formula>0</formula>
    </cfRule>
    <cfRule type="cellIs" dxfId="25812" priority="78" operator="lessThan">
      <formula>-105575</formula>
    </cfRule>
  </conditionalFormatting>
  <conditionalFormatting sqref="BB285:BB288">
    <cfRule type="cellIs" dxfId="25811" priority="75" operator="lessThan">
      <formula>0</formula>
    </cfRule>
    <cfRule type="cellIs" dxfId="25810" priority="76" operator="lessThan">
      <formula>-105575</formula>
    </cfRule>
  </conditionalFormatting>
  <conditionalFormatting sqref="BB80:BB84">
    <cfRule type="cellIs" dxfId="25809" priority="73" operator="lessThan">
      <formula>0</formula>
    </cfRule>
    <cfRule type="cellIs" dxfId="25808" priority="74" operator="lessThan">
      <formula>-105575</formula>
    </cfRule>
  </conditionalFormatting>
  <conditionalFormatting sqref="BB86:BB87">
    <cfRule type="cellIs" dxfId="25807" priority="71" operator="lessThan">
      <formula>0</formula>
    </cfRule>
    <cfRule type="cellIs" dxfId="25806" priority="72" operator="lessThan">
      <formula>-105575</formula>
    </cfRule>
  </conditionalFormatting>
  <conditionalFormatting sqref="BB89:BB91">
    <cfRule type="cellIs" dxfId="25805" priority="69" operator="lessThan">
      <formula>0</formula>
    </cfRule>
    <cfRule type="cellIs" dxfId="25804" priority="70" operator="lessThan">
      <formula>-105575</formula>
    </cfRule>
  </conditionalFormatting>
  <conditionalFormatting sqref="BB94:BB98">
    <cfRule type="cellIs" dxfId="25803" priority="67" operator="lessThan">
      <formula>0</formula>
    </cfRule>
    <cfRule type="cellIs" dxfId="25802" priority="68" operator="lessThan">
      <formula>-105575</formula>
    </cfRule>
  </conditionalFormatting>
  <conditionalFormatting sqref="BB101:BB104">
    <cfRule type="cellIs" dxfId="25801" priority="65" operator="lessThan">
      <formula>0</formula>
    </cfRule>
    <cfRule type="cellIs" dxfId="25800" priority="66" operator="lessThan">
      <formula>-105575</formula>
    </cfRule>
  </conditionalFormatting>
  <conditionalFormatting sqref="BB107:BB109">
    <cfRule type="cellIs" dxfId="25799" priority="63" operator="lessThan">
      <formula>0</formula>
    </cfRule>
    <cfRule type="cellIs" dxfId="25798" priority="64" operator="lessThan">
      <formula>-105575</formula>
    </cfRule>
  </conditionalFormatting>
  <conditionalFormatting sqref="BB112:BB116">
    <cfRule type="cellIs" dxfId="25797" priority="61" operator="lessThan">
      <formula>0</formula>
    </cfRule>
    <cfRule type="cellIs" dxfId="25796" priority="62" operator="lessThan">
      <formula>-105575</formula>
    </cfRule>
  </conditionalFormatting>
  <conditionalFormatting sqref="BB119:BB121">
    <cfRule type="cellIs" dxfId="25795" priority="59" operator="lessThan">
      <formula>0</formula>
    </cfRule>
    <cfRule type="cellIs" dxfId="25794" priority="60" operator="lessThan">
      <formula>-105575</formula>
    </cfRule>
  </conditionalFormatting>
  <conditionalFormatting sqref="BB124:BB132">
    <cfRule type="cellIs" dxfId="25793" priority="57" operator="lessThan">
      <formula>0</formula>
    </cfRule>
    <cfRule type="cellIs" dxfId="25792" priority="58" operator="lessThan">
      <formula>-105575</formula>
    </cfRule>
  </conditionalFormatting>
  <conditionalFormatting sqref="BB135:BB138">
    <cfRule type="cellIs" dxfId="25791" priority="55" operator="lessThan">
      <formula>0</formula>
    </cfRule>
    <cfRule type="cellIs" dxfId="25790" priority="56" operator="lessThan">
      <formula>-105575</formula>
    </cfRule>
  </conditionalFormatting>
  <conditionalFormatting sqref="BB141:BB148">
    <cfRule type="cellIs" dxfId="25789" priority="53" operator="lessThan">
      <formula>0</formula>
    </cfRule>
    <cfRule type="cellIs" dxfId="25788" priority="54" operator="lessThan">
      <formula>-105575</formula>
    </cfRule>
  </conditionalFormatting>
  <conditionalFormatting sqref="BB152:BB155">
    <cfRule type="cellIs" dxfId="25787" priority="51" operator="lessThan">
      <formula>0</formula>
    </cfRule>
    <cfRule type="cellIs" dxfId="25786" priority="52" operator="lessThan">
      <formula>-105575</formula>
    </cfRule>
  </conditionalFormatting>
  <conditionalFormatting sqref="BB157:BB158">
    <cfRule type="cellIs" dxfId="25785" priority="49" operator="lessThan">
      <formula>0</formula>
    </cfRule>
    <cfRule type="cellIs" dxfId="25784" priority="50" operator="lessThan">
      <formula>-105575</formula>
    </cfRule>
  </conditionalFormatting>
  <conditionalFormatting sqref="BB160:BB161">
    <cfRule type="cellIs" dxfId="25783" priority="47" operator="lessThan">
      <formula>0</formula>
    </cfRule>
    <cfRule type="cellIs" dxfId="25782" priority="48" operator="lessThan">
      <formula>-105575</formula>
    </cfRule>
  </conditionalFormatting>
  <conditionalFormatting sqref="BB164:BB167">
    <cfRule type="cellIs" dxfId="25781" priority="45" operator="lessThan">
      <formula>0</formula>
    </cfRule>
    <cfRule type="cellIs" dxfId="25780" priority="46" operator="lessThan">
      <formula>-105575</formula>
    </cfRule>
  </conditionalFormatting>
  <conditionalFormatting sqref="BB169:BB177">
    <cfRule type="cellIs" dxfId="25779" priority="43" operator="lessThan">
      <formula>0</formula>
    </cfRule>
    <cfRule type="cellIs" dxfId="25778" priority="44" operator="lessThan">
      <formula>-105575</formula>
    </cfRule>
  </conditionalFormatting>
  <conditionalFormatting sqref="BB179:BB180">
    <cfRule type="cellIs" dxfId="25777" priority="41" operator="lessThan">
      <formula>0</formula>
    </cfRule>
    <cfRule type="cellIs" dxfId="25776" priority="42" operator="lessThan">
      <formula>-105575</formula>
    </cfRule>
  </conditionalFormatting>
  <conditionalFormatting sqref="BB183:BB189">
    <cfRule type="cellIs" dxfId="25775" priority="39" operator="lessThan">
      <formula>0</formula>
    </cfRule>
    <cfRule type="cellIs" dxfId="25774" priority="40" operator="lessThan">
      <formula>-105575</formula>
    </cfRule>
  </conditionalFormatting>
  <conditionalFormatting sqref="BB191:BB192">
    <cfRule type="cellIs" dxfId="25773" priority="37" operator="lessThan">
      <formula>0</formula>
    </cfRule>
    <cfRule type="cellIs" dxfId="25772" priority="38" operator="lessThan">
      <formula>-105575</formula>
    </cfRule>
  </conditionalFormatting>
  <conditionalFormatting sqref="BB194:BB195">
    <cfRule type="cellIs" dxfId="25771" priority="35" operator="lessThan">
      <formula>0</formula>
    </cfRule>
    <cfRule type="cellIs" dxfId="25770" priority="36" operator="lessThan">
      <formula>-105575</formula>
    </cfRule>
  </conditionalFormatting>
  <conditionalFormatting sqref="BB199:BB202">
    <cfRule type="cellIs" dxfId="25769" priority="33" operator="lessThan">
      <formula>0</formula>
    </cfRule>
    <cfRule type="cellIs" dxfId="25768" priority="34" operator="lessThan">
      <formula>-105575</formula>
    </cfRule>
  </conditionalFormatting>
  <conditionalFormatting sqref="BB204:BB208">
    <cfRule type="cellIs" dxfId="25767" priority="31" operator="lessThan">
      <formula>0</formula>
    </cfRule>
    <cfRule type="cellIs" dxfId="25766" priority="32" operator="lessThan">
      <formula>-105575</formula>
    </cfRule>
  </conditionalFormatting>
  <conditionalFormatting sqref="BB210:BB211">
    <cfRule type="cellIs" dxfId="25765" priority="29" operator="lessThan">
      <formula>0</formula>
    </cfRule>
    <cfRule type="cellIs" dxfId="25764" priority="30" operator="lessThan">
      <formula>-105575</formula>
    </cfRule>
  </conditionalFormatting>
  <conditionalFormatting sqref="BB214:BB219">
    <cfRule type="cellIs" dxfId="25763" priority="27" operator="lessThan">
      <formula>0</formula>
    </cfRule>
    <cfRule type="cellIs" dxfId="25762" priority="28" operator="lessThan">
      <formula>-105575</formula>
    </cfRule>
  </conditionalFormatting>
  <conditionalFormatting sqref="BB222:BB224">
    <cfRule type="cellIs" dxfId="25761" priority="25" operator="lessThan">
      <formula>0</formula>
    </cfRule>
    <cfRule type="cellIs" dxfId="25760" priority="26" operator="lessThan">
      <formula>-105575</formula>
    </cfRule>
  </conditionalFormatting>
  <conditionalFormatting sqref="BB227:BB230">
    <cfRule type="cellIs" dxfId="25759" priority="23" operator="lessThan">
      <formula>0</formula>
    </cfRule>
    <cfRule type="cellIs" dxfId="25758" priority="24" operator="lessThan">
      <formula>-105575</formula>
    </cfRule>
  </conditionalFormatting>
  <conditionalFormatting sqref="BB233:BB236">
    <cfRule type="cellIs" dxfId="25757" priority="21" operator="lessThan">
      <formula>0</formula>
    </cfRule>
    <cfRule type="cellIs" dxfId="25756" priority="22" operator="lessThan">
      <formula>-105575</formula>
    </cfRule>
  </conditionalFormatting>
  <conditionalFormatting sqref="BB239:BB242">
    <cfRule type="cellIs" dxfId="25755" priority="19" operator="lessThan">
      <formula>0</formula>
    </cfRule>
    <cfRule type="cellIs" dxfId="25754" priority="20" operator="lessThan">
      <formula>-105575</formula>
    </cfRule>
  </conditionalFormatting>
  <conditionalFormatting sqref="BB246:BB249">
    <cfRule type="cellIs" dxfId="25753" priority="17" operator="lessThan">
      <formula>0</formula>
    </cfRule>
    <cfRule type="cellIs" dxfId="25752" priority="18" operator="lessThan">
      <formula>-105575</formula>
    </cfRule>
  </conditionalFormatting>
  <conditionalFormatting sqref="BB251:BB253">
    <cfRule type="cellIs" dxfId="25751" priority="15" operator="lessThan">
      <formula>0</formula>
    </cfRule>
    <cfRule type="cellIs" dxfId="25750" priority="16" operator="lessThan">
      <formula>-105575</formula>
    </cfRule>
  </conditionalFormatting>
  <conditionalFormatting sqref="BB255:BB257">
    <cfRule type="cellIs" dxfId="25749" priority="13" operator="lessThan">
      <formula>0</formula>
    </cfRule>
    <cfRule type="cellIs" dxfId="25748" priority="14" operator="lessThan">
      <formula>-105575</formula>
    </cfRule>
  </conditionalFormatting>
  <conditionalFormatting sqref="BB260:BB262">
    <cfRule type="cellIs" dxfId="25747" priority="11" operator="lessThan">
      <formula>0</formula>
    </cfRule>
    <cfRule type="cellIs" dxfId="25746" priority="12" operator="lessThan">
      <formula>-105575</formula>
    </cfRule>
  </conditionalFormatting>
  <conditionalFormatting sqref="BB264:BB267">
    <cfRule type="cellIs" dxfId="25745" priority="9" operator="lessThan">
      <formula>0</formula>
    </cfRule>
    <cfRule type="cellIs" dxfId="25744" priority="10" operator="lessThan">
      <formula>-105575</formula>
    </cfRule>
  </conditionalFormatting>
  <conditionalFormatting sqref="BB270:BB272">
    <cfRule type="cellIs" dxfId="25743" priority="7" operator="lessThan">
      <formula>0</formula>
    </cfRule>
    <cfRule type="cellIs" dxfId="25742" priority="8" operator="lessThan">
      <formula>-105575</formula>
    </cfRule>
  </conditionalFormatting>
  <conditionalFormatting sqref="BB274:BB275">
    <cfRule type="cellIs" dxfId="25741" priority="5" operator="lessThan">
      <formula>0</formula>
    </cfRule>
    <cfRule type="cellIs" dxfId="25740" priority="6" operator="lessThan">
      <formula>-105575</formula>
    </cfRule>
  </conditionalFormatting>
  <conditionalFormatting sqref="BB278:BB282">
    <cfRule type="cellIs" dxfId="25739" priority="3" operator="lessThan">
      <formula>0</formula>
    </cfRule>
    <cfRule type="cellIs" dxfId="25738" priority="4" operator="lessThan">
      <formula>-105575</formula>
    </cfRule>
  </conditionalFormatting>
  <conditionalFormatting sqref="BB285:BB288">
    <cfRule type="cellIs" dxfId="25737" priority="1" operator="lessThan">
      <formula>0</formula>
    </cfRule>
    <cfRule type="cellIs" dxfId="25736" priority="2" operator="lessThan">
      <formula>-105575</formula>
    </cfRule>
  </conditionalFormatting>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BF292"/>
  <sheetViews>
    <sheetView topLeftCell="AO1" zoomScale="60" zoomScaleNormal="60" workbookViewId="0">
      <selection activeCell="AQ3" sqref="AQ3:BB4"/>
    </sheetView>
  </sheetViews>
  <sheetFormatPr defaultColWidth="8.85546875" defaultRowHeight="51.6" customHeight="1" outlineLevelRow="2" outlineLevelCol="2" x14ac:dyDescent="0.25"/>
  <cols>
    <col min="1" max="1" width="4.140625" style="183" bestFit="1" customWidth="1"/>
    <col min="2" max="2" width="3.28515625" style="183" customWidth="1"/>
    <col min="3" max="3" width="2.42578125" style="101" customWidth="1"/>
    <col min="4" max="4" width="24.7109375" style="101" customWidth="1"/>
    <col min="5" max="5" width="41.42578125" style="102" customWidth="1" outlineLevel="1"/>
    <col min="6" max="6" width="12.140625" style="101" customWidth="1" outlineLevel="1"/>
    <col min="7" max="7" width="12.7109375" style="101" customWidth="1" outlineLevel="1"/>
    <col min="8" max="8" width="97.85546875" style="101" customWidth="1" outlineLevel="2"/>
    <col min="9" max="9" width="16.140625" style="239" customWidth="1" outlineLevel="2"/>
    <col min="10" max="10" width="8.42578125" style="239" bestFit="1" customWidth="1" outlineLevel="2"/>
    <col min="11" max="11" width="12" style="239" bestFit="1" customWidth="1" outlineLevel="2"/>
    <col min="12" max="12" width="21.42578125" style="239" customWidth="1" outlineLevel="1"/>
    <col min="13" max="13" width="19.140625" style="239" customWidth="1" outlineLevel="1"/>
    <col min="14" max="14" width="10.5703125" style="239" customWidth="1" outlineLevel="2"/>
    <col min="15" max="15" width="11" style="239" customWidth="1" outlineLevel="2"/>
    <col min="16" max="16" width="13.28515625" style="239" customWidth="1" outlineLevel="2"/>
    <col min="17" max="17" width="14.140625" style="239" customWidth="1" outlineLevel="2"/>
    <col min="18" max="18" width="14.28515625" style="239" customWidth="1" outlineLevel="2"/>
    <col min="19" max="19" width="14.7109375" style="239" customWidth="1" outlineLevel="2"/>
    <col min="20" max="20" width="12.140625" style="239" customWidth="1" outlineLevel="2"/>
    <col min="21" max="21" width="14.28515625" style="239" customWidth="1" outlineLevel="2"/>
    <col min="22" max="23" width="8.42578125" style="239" bestFit="1" customWidth="1" outlineLevel="2"/>
    <col min="24" max="24" width="7.5703125" style="239" customWidth="1" outlineLevel="2"/>
    <col min="25" max="25" width="12" style="239" bestFit="1" customWidth="1" outlineLevel="1"/>
    <col min="26" max="26" width="8.42578125" style="239" bestFit="1" customWidth="1" outlineLevel="2"/>
    <col min="27" max="27" width="9" style="239" bestFit="1" customWidth="1" outlineLevel="2"/>
    <col min="28" max="28" width="14.42578125" style="239" customWidth="1" outlineLevel="1"/>
    <col min="29" max="29" width="24.140625" style="239" customWidth="1" outlineLevel="1"/>
    <col min="30" max="30" width="12.85546875" style="239" customWidth="1" outlineLevel="2"/>
    <col min="31" max="31" width="22.28515625" style="239" customWidth="1" outlineLevel="2"/>
    <col min="32" max="32" width="20.7109375" style="239" customWidth="1" outlineLevel="1"/>
    <col min="33" max="34" width="9" style="239" bestFit="1" customWidth="1" outlineLevel="2"/>
    <col min="35" max="35" width="7.28515625" style="239" customWidth="1" outlineLevel="2"/>
    <col min="36" max="36" width="18" style="239" customWidth="1" outlineLevel="2"/>
    <col min="37" max="37" width="13.28515625" style="239" customWidth="1" outlineLevel="2"/>
    <col min="38" max="38" width="17.5703125" style="239" customWidth="1" outlineLevel="2"/>
    <col min="39" max="39" width="20.28515625" style="239" customWidth="1" outlineLevel="1"/>
    <col min="40" max="40" width="17" style="239" customWidth="1" outlineLevel="1"/>
    <col min="41" max="41" width="39.85546875" style="239" customWidth="1" outlineLevel="2"/>
    <col min="42" max="42" width="2.7109375" style="239" customWidth="1"/>
    <col min="43" max="43" width="19.5703125" style="239" customWidth="1"/>
    <col min="44" max="44" width="26" style="239" customWidth="1"/>
    <col min="45" max="45" width="20.28515625" style="239" customWidth="1"/>
    <col min="46" max="46" width="25.7109375" style="239" customWidth="1"/>
    <col min="47" max="47" width="24" style="235" customWidth="1"/>
    <col min="48" max="48" width="21.42578125" style="235" customWidth="1"/>
    <col min="49" max="49" width="17.28515625" style="235" customWidth="1"/>
    <col min="50" max="51" width="15" style="235" customWidth="1"/>
    <col min="52" max="52" width="21.42578125" style="235" customWidth="1"/>
    <col min="53" max="53" width="15" style="235" customWidth="1"/>
    <col min="54" max="54" width="25.5703125" style="235" customWidth="1"/>
    <col min="55" max="58" width="9.140625" style="167" customWidth="1"/>
    <col min="59" max="16384" width="8.85546875" style="169"/>
  </cols>
  <sheetData>
    <row r="1" spans="1:58" s="183" customFormat="1" ht="51.6" customHeight="1" x14ac:dyDescent="0.25">
      <c r="A1" s="115"/>
      <c r="B1" s="395" t="s">
        <v>566</v>
      </c>
      <c r="C1" s="395"/>
      <c r="D1" s="395"/>
      <c r="E1" s="395"/>
      <c r="F1" s="395"/>
      <c r="G1" s="395"/>
      <c r="H1" s="395"/>
      <c r="I1" s="283"/>
      <c r="J1" s="283"/>
      <c r="K1" s="283"/>
      <c r="L1" s="283"/>
      <c r="M1" s="232"/>
      <c r="N1" s="233"/>
      <c r="O1" s="233"/>
      <c r="P1" s="233"/>
      <c r="Q1" s="233"/>
      <c r="R1" s="233"/>
      <c r="S1" s="233"/>
      <c r="T1" s="233"/>
      <c r="U1" s="233"/>
      <c r="V1" s="233"/>
      <c r="W1" s="233"/>
      <c r="X1" s="233"/>
      <c r="Y1" s="233"/>
      <c r="Z1" s="233"/>
      <c r="AA1" s="233"/>
      <c r="AB1" s="233"/>
      <c r="AC1" s="233"/>
      <c r="AD1" s="233"/>
      <c r="AE1" s="233"/>
      <c r="AF1" s="233"/>
      <c r="AG1" s="233"/>
      <c r="AH1" s="233"/>
      <c r="AI1" s="233"/>
      <c r="AJ1" s="233"/>
      <c r="AK1" s="233"/>
      <c r="AL1" s="233"/>
      <c r="AM1" s="233"/>
      <c r="AN1" s="233"/>
      <c r="AO1" s="233"/>
      <c r="AP1" s="234"/>
      <c r="AQ1" s="234"/>
      <c r="AR1" s="234"/>
      <c r="AS1" s="234"/>
      <c r="AT1" s="234"/>
      <c r="AU1" s="235"/>
      <c r="AV1" s="235"/>
      <c r="AW1" s="235"/>
      <c r="AX1" s="235"/>
      <c r="AY1" s="235"/>
      <c r="AZ1" s="235"/>
      <c r="BA1" s="235"/>
      <c r="BB1" s="235"/>
    </row>
    <row r="2" spans="1:58" ht="51.6" customHeight="1" x14ac:dyDescent="0.25">
      <c r="A2" s="115" t="s">
        <v>55</v>
      </c>
      <c r="B2" s="385" t="s">
        <v>120</v>
      </c>
      <c r="C2" s="386"/>
      <c r="D2" s="386"/>
      <c r="E2" s="387"/>
      <c r="F2" s="296" t="s">
        <v>133</v>
      </c>
      <c r="G2" s="296" t="s">
        <v>134</v>
      </c>
      <c r="H2" s="116" t="s">
        <v>54</v>
      </c>
      <c r="I2" s="236" t="s">
        <v>0</v>
      </c>
      <c r="J2" s="236" t="s">
        <v>14</v>
      </c>
      <c r="K2" s="236" t="s">
        <v>15</v>
      </c>
      <c r="L2" s="237" t="s">
        <v>11</v>
      </c>
      <c r="M2" s="237" t="s">
        <v>82</v>
      </c>
      <c r="N2" s="236" t="s">
        <v>16</v>
      </c>
      <c r="O2" s="236" t="s">
        <v>7</v>
      </c>
      <c r="P2" s="236" t="s">
        <v>6</v>
      </c>
      <c r="Q2" s="236" t="s">
        <v>8</v>
      </c>
      <c r="R2" s="237" t="s">
        <v>57</v>
      </c>
      <c r="S2" s="237" t="s">
        <v>65</v>
      </c>
      <c r="T2" s="237" t="s">
        <v>64</v>
      </c>
      <c r="U2" s="237" t="s">
        <v>63</v>
      </c>
      <c r="V2" s="236" t="s">
        <v>17</v>
      </c>
      <c r="W2" s="236" t="s">
        <v>67</v>
      </c>
      <c r="X2" s="236" t="s">
        <v>6</v>
      </c>
      <c r="Y2" s="237" t="s">
        <v>71</v>
      </c>
      <c r="Z2" s="236" t="s">
        <v>10</v>
      </c>
      <c r="AA2" s="236" t="s">
        <v>9</v>
      </c>
      <c r="AB2" s="237" t="s">
        <v>70</v>
      </c>
      <c r="AC2" s="238" t="s">
        <v>18</v>
      </c>
      <c r="AD2" s="237" t="s">
        <v>79</v>
      </c>
      <c r="AE2" s="237" t="s">
        <v>23</v>
      </c>
      <c r="AF2" s="237" t="s">
        <v>80</v>
      </c>
      <c r="AG2" s="236" t="s">
        <v>20</v>
      </c>
      <c r="AH2" s="236" t="s">
        <v>21</v>
      </c>
      <c r="AI2" s="236" t="s">
        <v>22</v>
      </c>
      <c r="AJ2" s="236" t="s">
        <v>99</v>
      </c>
      <c r="AK2" s="236" t="s">
        <v>101</v>
      </c>
      <c r="AL2" s="236" t="s">
        <v>90</v>
      </c>
      <c r="AM2" s="237" t="s">
        <v>92</v>
      </c>
      <c r="AN2" s="237" t="s">
        <v>13</v>
      </c>
      <c r="AO2" s="236"/>
      <c r="AQ2" s="402" t="s">
        <v>533</v>
      </c>
      <c r="AR2" s="403"/>
      <c r="AS2" s="403"/>
      <c r="AT2" s="403"/>
      <c r="AU2" s="403"/>
      <c r="AV2" s="403"/>
      <c r="AW2" s="403"/>
      <c r="AX2" s="403"/>
      <c r="AY2" s="403"/>
      <c r="AZ2" s="403"/>
      <c r="BA2" s="403"/>
      <c r="BB2" s="404"/>
      <c r="BC2" s="169"/>
      <c r="BD2" s="169"/>
      <c r="BE2" s="169"/>
      <c r="BF2" s="169"/>
    </row>
    <row r="3" spans="1:58" s="79" customFormat="1" ht="51.6" customHeight="1" x14ac:dyDescent="0.25">
      <c r="A3" s="118" t="s">
        <v>56</v>
      </c>
      <c r="B3" s="385" t="s">
        <v>121</v>
      </c>
      <c r="C3" s="386"/>
      <c r="D3" s="386"/>
      <c r="E3" s="387"/>
      <c r="F3" s="296" t="s">
        <v>135</v>
      </c>
      <c r="G3" s="296" t="s">
        <v>135</v>
      </c>
      <c r="H3" s="119" t="s">
        <v>45</v>
      </c>
      <c r="I3" s="236" t="s">
        <v>51</v>
      </c>
      <c r="J3" s="236" t="s">
        <v>52</v>
      </c>
      <c r="K3" s="236" t="s">
        <v>53</v>
      </c>
      <c r="L3" s="237" t="s">
        <v>117</v>
      </c>
      <c r="M3" s="237" t="s">
        <v>116</v>
      </c>
      <c r="N3" s="236" t="s">
        <v>73</v>
      </c>
      <c r="O3" s="236" t="s">
        <v>72</v>
      </c>
      <c r="P3" s="236" t="s">
        <v>74</v>
      </c>
      <c r="Q3" s="236" t="s">
        <v>75</v>
      </c>
      <c r="R3" s="237" t="s">
        <v>115</v>
      </c>
      <c r="S3" s="237" t="s">
        <v>114</v>
      </c>
      <c r="T3" s="237" t="s">
        <v>113</v>
      </c>
      <c r="U3" s="237" t="s">
        <v>112</v>
      </c>
      <c r="V3" s="236" t="s">
        <v>76</v>
      </c>
      <c r="W3" s="236" t="s">
        <v>77</v>
      </c>
      <c r="X3" s="236" t="s">
        <v>78</v>
      </c>
      <c r="Y3" s="237" t="s">
        <v>111</v>
      </c>
      <c r="Z3" s="236" t="s">
        <v>68</v>
      </c>
      <c r="AA3" s="236" t="s">
        <v>69</v>
      </c>
      <c r="AB3" s="237" t="s">
        <v>110</v>
      </c>
      <c r="AC3" s="238" t="s">
        <v>109</v>
      </c>
      <c r="AD3" s="237" t="s">
        <v>108</v>
      </c>
      <c r="AE3" s="237" t="s">
        <v>107</v>
      </c>
      <c r="AF3" s="237" t="s">
        <v>106</v>
      </c>
      <c r="AG3" s="236" t="s">
        <v>87</v>
      </c>
      <c r="AH3" s="236" t="s">
        <v>89</v>
      </c>
      <c r="AI3" s="236" t="s">
        <v>88</v>
      </c>
      <c r="AJ3" s="237" t="s">
        <v>100</v>
      </c>
      <c r="AK3" s="237" t="s">
        <v>102</v>
      </c>
      <c r="AL3" s="237" t="s">
        <v>96</v>
      </c>
      <c r="AM3" s="237" t="s">
        <v>104</v>
      </c>
      <c r="AN3" s="237" t="s">
        <v>105</v>
      </c>
      <c r="AO3" s="236"/>
      <c r="AP3" s="240"/>
      <c r="AQ3" s="370" t="s">
        <v>123</v>
      </c>
      <c r="AR3" s="370" t="s">
        <v>24</v>
      </c>
      <c r="AS3" s="370" t="s">
        <v>12</v>
      </c>
      <c r="AT3" s="370" t="s">
        <v>19</v>
      </c>
      <c r="AU3" s="371" t="s">
        <v>124</v>
      </c>
      <c r="AV3" s="371" t="s">
        <v>125</v>
      </c>
      <c r="AW3" s="371" t="s">
        <v>222</v>
      </c>
      <c r="AX3" s="371" t="s">
        <v>136</v>
      </c>
      <c r="AY3" s="371" t="s">
        <v>546</v>
      </c>
      <c r="AZ3" s="371" t="s">
        <v>565</v>
      </c>
      <c r="BA3" s="372" t="s">
        <v>126</v>
      </c>
      <c r="BB3" s="371" t="s">
        <v>25</v>
      </c>
    </row>
    <row r="4" spans="1:58" s="81" customFormat="1" ht="51.6" customHeight="1" x14ac:dyDescent="0.25">
      <c r="A4" s="120"/>
      <c r="B4" s="121"/>
      <c r="C4" s="122"/>
      <c r="D4" s="122"/>
      <c r="E4" s="123"/>
      <c r="F4" s="123" t="s">
        <v>131</v>
      </c>
      <c r="G4" s="123" t="s">
        <v>132</v>
      </c>
      <c r="H4" s="116" t="s">
        <v>119</v>
      </c>
      <c r="I4" s="241" t="s">
        <v>118</v>
      </c>
      <c r="J4" s="241">
        <v>2</v>
      </c>
      <c r="K4" s="241">
        <v>3</v>
      </c>
      <c r="L4" s="241" t="s">
        <v>81</v>
      </c>
      <c r="M4" s="241" t="s">
        <v>83</v>
      </c>
      <c r="N4" s="241">
        <v>6</v>
      </c>
      <c r="O4" s="241">
        <v>7</v>
      </c>
      <c r="P4" s="241">
        <v>8</v>
      </c>
      <c r="Q4" s="241">
        <v>9</v>
      </c>
      <c r="R4" s="241" t="s">
        <v>26</v>
      </c>
      <c r="S4" s="241" t="s">
        <v>27</v>
      </c>
      <c r="T4" s="241" t="s">
        <v>28</v>
      </c>
      <c r="U4" s="241" t="s">
        <v>29</v>
      </c>
      <c r="V4" s="241">
        <v>14</v>
      </c>
      <c r="W4" s="241">
        <v>15</v>
      </c>
      <c r="X4" s="241">
        <v>16</v>
      </c>
      <c r="Y4" s="241" t="s">
        <v>84</v>
      </c>
      <c r="Z4" s="241">
        <v>18</v>
      </c>
      <c r="AA4" s="241">
        <v>19</v>
      </c>
      <c r="AB4" s="241" t="s">
        <v>85</v>
      </c>
      <c r="AC4" s="241">
        <v>21</v>
      </c>
      <c r="AD4" s="241">
        <v>22</v>
      </c>
      <c r="AE4" s="241" t="s">
        <v>94</v>
      </c>
      <c r="AF4" s="241" t="s">
        <v>86</v>
      </c>
      <c r="AG4" s="241">
        <v>25</v>
      </c>
      <c r="AH4" s="241">
        <v>26</v>
      </c>
      <c r="AI4" s="241">
        <v>27</v>
      </c>
      <c r="AJ4" s="241">
        <v>28</v>
      </c>
      <c r="AK4" s="241">
        <v>29</v>
      </c>
      <c r="AL4" s="241">
        <v>30</v>
      </c>
      <c r="AM4" s="241" t="s">
        <v>95</v>
      </c>
      <c r="AN4" s="241" t="s">
        <v>103</v>
      </c>
      <c r="AO4" s="241"/>
      <c r="AP4" s="242"/>
      <c r="AQ4" s="241" t="s">
        <v>127</v>
      </c>
      <c r="AR4" s="241" t="s">
        <v>128</v>
      </c>
      <c r="AS4" s="241" t="s">
        <v>129</v>
      </c>
      <c r="AT4" s="241" t="s">
        <v>130</v>
      </c>
      <c r="AU4" s="377">
        <v>37</v>
      </c>
      <c r="AV4" s="377">
        <v>38</v>
      </c>
      <c r="AW4" s="377">
        <v>39</v>
      </c>
      <c r="AX4" s="377">
        <v>40</v>
      </c>
      <c r="AY4" s="377"/>
      <c r="AZ4" s="377">
        <v>41</v>
      </c>
      <c r="BA4" s="377">
        <v>42</v>
      </c>
      <c r="BB4" s="377" t="s">
        <v>142</v>
      </c>
    </row>
    <row r="5" spans="1:58" s="170" customFormat="1" ht="51.6" customHeight="1" x14ac:dyDescent="0.25">
      <c r="A5" s="120"/>
      <c r="B5" s="388" t="s">
        <v>312</v>
      </c>
      <c r="C5" s="389"/>
      <c r="D5" s="389"/>
      <c r="E5" s="390"/>
      <c r="F5" s="339"/>
      <c r="G5" s="339"/>
      <c r="H5" s="113" t="s">
        <v>58</v>
      </c>
      <c r="I5" s="243"/>
      <c r="J5" s="243"/>
      <c r="K5" s="243"/>
      <c r="L5" s="243">
        <f>SUM(L6+L16+L20+L40+L45+L61)</f>
        <v>2010117068.5714285</v>
      </c>
      <c r="M5" s="243">
        <f>SUM(M6+M16+M20+M40+M45+M61)</f>
        <v>335689550.45142853</v>
      </c>
      <c r="N5" s="243"/>
      <c r="O5" s="243"/>
      <c r="P5" s="243"/>
      <c r="Q5" s="243"/>
      <c r="R5" s="243">
        <f>SUM(R6+R16+R20+R40+R45+R61)</f>
        <v>930000</v>
      </c>
      <c r="S5" s="243">
        <f>SUM(S6+S16+S20+S40+S45+S61)</f>
        <v>907500</v>
      </c>
      <c r="T5" s="243">
        <f>SUM(T6+T16+T20+T40+T45+T61)</f>
        <v>0</v>
      </c>
      <c r="U5" s="243">
        <f>SUM(U6+U16+U20+U40+U45+U61)</f>
        <v>1160000</v>
      </c>
      <c r="V5" s="243"/>
      <c r="W5" s="243"/>
      <c r="X5" s="243"/>
      <c r="Y5" s="243">
        <f>SUM(Y6+Y16+Y20+Y40+Y45+Y61)</f>
        <v>0</v>
      </c>
      <c r="Z5" s="243">
        <f t="shared" ref="Z5:AF5" si="0">SUM(Z6+Z16+Z20+Z40+Z45+Z61)</f>
        <v>0</v>
      </c>
      <c r="AA5" s="243">
        <f t="shared" si="0"/>
        <v>0</v>
      </c>
      <c r="AB5" s="243">
        <f t="shared" si="0"/>
        <v>4293000</v>
      </c>
      <c r="AC5" s="243">
        <f t="shared" si="0"/>
        <v>1474930692</v>
      </c>
      <c r="AD5" s="243">
        <f t="shared" si="0"/>
        <v>0</v>
      </c>
      <c r="AE5" s="243">
        <f t="shared" si="0"/>
        <v>85890600</v>
      </c>
      <c r="AF5" s="243">
        <f t="shared" si="0"/>
        <v>1568111792</v>
      </c>
      <c r="AG5" s="243"/>
      <c r="AH5" s="243"/>
      <c r="AI5" s="243"/>
      <c r="AJ5" s="243">
        <f>SUM(AJ6+AJ16+AJ20+AJ40+AJ45+AJ61)</f>
        <v>0</v>
      </c>
      <c r="AK5" s="243">
        <f>SUM(AK6+AK16+AK20+AK40+AK45+AK61)</f>
        <v>0</v>
      </c>
      <c r="AL5" s="243">
        <f>SUM(AL6+AL16+AL20+AL40+AL45+AL61)</f>
        <v>650000000</v>
      </c>
      <c r="AM5" s="243">
        <f>SUM(AM6+AM16+AM20+AM40+AM45+AM61)</f>
        <v>653240000</v>
      </c>
      <c r="AN5" s="243">
        <f>SUM(AN6+AN16+AN20+AN40+AN45+AN61)</f>
        <v>97986000</v>
      </c>
      <c r="AO5" s="243"/>
      <c r="AP5" s="244"/>
      <c r="AQ5" s="245">
        <f>SUM(AQ6+AQ16+AQ20+AQ40+AQ45+AQ61)</f>
        <v>2345806619.0228567</v>
      </c>
      <c r="AR5" s="245">
        <f>SUM(AR6+AR16+AR20+AR40+AR45+AR61)</f>
        <v>1568111792</v>
      </c>
      <c r="AS5" s="245">
        <f>SUM(AS6+AS16+AS20+AS40+AS45+AS61)</f>
        <v>751226000</v>
      </c>
      <c r="AT5" s="245">
        <f>SUM(AT6+AT16+AT20+AT40+AT45+AT61)</f>
        <v>4665144411.0228577</v>
      </c>
      <c r="AU5" s="245">
        <f t="shared" ref="AU5:BB5" si="1">SUM(AU6+AU16+AU20+AU40+AU45+AU61)</f>
        <v>3901513801.0228572</v>
      </c>
      <c r="AV5" s="245">
        <f t="shared" si="1"/>
        <v>0</v>
      </c>
      <c r="AW5" s="245">
        <f>SUM(AW6+AW16+AW20+AW40+AW45+AW61)</f>
        <v>0</v>
      </c>
      <c r="AX5" s="245">
        <f t="shared" si="1"/>
        <v>0</v>
      </c>
      <c r="AY5" s="245">
        <f t="shared" si="1"/>
        <v>2346000</v>
      </c>
      <c r="AZ5" s="245">
        <f t="shared" si="1"/>
        <v>0</v>
      </c>
      <c r="BA5" s="245">
        <f t="shared" si="1"/>
        <v>0</v>
      </c>
      <c r="BB5" s="245">
        <f t="shared" si="1"/>
        <v>-761284610</v>
      </c>
    </row>
    <row r="6" spans="1:58" s="170" customFormat="1" ht="51.6" customHeight="1" x14ac:dyDescent="0.25">
      <c r="A6" s="120"/>
      <c r="B6" s="290"/>
      <c r="C6" s="391" t="s">
        <v>191</v>
      </c>
      <c r="D6" s="391"/>
      <c r="E6" s="392"/>
      <c r="F6" s="289"/>
      <c r="G6" s="288"/>
      <c r="H6" s="114" t="s">
        <v>59</v>
      </c>
      <c r="I6" s="246"/>
      <c r="J6" s="246"/>
      <c r="K6" s="246"/>
      <c r="L6" s="247">
        <f>SUM(L11+L15)</f>
        <v>1766200</v>
      </c>
      <c r="M6" s="247">
        <f>SUM(M11+M15)</f>
        <v>294955.40000000002</v>
      </c>
      <c r="N6" s="247"/>
      <c r="O6" s="247"/>
      <c r="P6" s="247"/>
      <c r="Q6" s="247"/>
      <c r="R6" s="247">
        <f>SUM(R11+R15)</f>
        <v>150000</v>
      </c>
      <c r="S6" s="247">
        <f>SUM(S11+S15)</f>
        <v>112500</v>
      </c>
      <c r="T6" s="247">
        <f>SUM(T11+T15)</f>
        <v>0</v>
      </c>
      <c r="U6" s="247">
        <f>SUM(U11+U15)</f>
        <v>200000</v>
      </c>
      <c r="V6" s="247"/>
      <c r="W6" s="247"/>
      <c r="X6" s="247"/>
      <c r="Y6" s="247">
        <f>SUM(Y11+Y15)</f>
        <v>0</v>
      </c>
      <c r="Z6" s="247">
        <f t="shared" ref="Z6:AF6" si="2">SUM(Z11+Z15)</f>
        <v>0</v>
      </c>
      <c r="AA6" s="247">
        <f t="shared" si="2"/>
        <v>0</v>
      </c>
      <c r="AB6" s="247">
        <f t="shared" si="2"/>
        <v>1624000</v>
      </c>
      <c r="AC6" s="247">
        <f t="shared" si="2"/>
        <v>515500</v>
      </c>
      <c r="AD6" s="247">
        <f t="shared" si="2"/>
        <v>0</v>
      </c>
      <c r="AE6" s="247">
        <f t="shared" si="2"/>
        <v>520400</v>
      </c>
      <c r="AF6" s="247">
        <f t="shared" si="2"/>
        <v>3122400</v>
      </c>
      <c r="AG6" s="247"/>
      <c r="AH6" s="247"/>
      <c r="AI6" s="247"/>
      <c r="AJ6" s="247">
        <f>SUM(AJ11+AJ15)</f>
        <v>0</v>
      </c>
      <c r="AK6" s="247">
        <f>SUM(AK11+AK15)</f>
        <v>0</v>
      </c>
      <c r="AL6" s="247">
        <f>SUM(AL11+AL15)</f>
        <v>0</v>
      </c>
      <c r="AM6" s="247">
        <f>SUM(AM11+AM15)</f>
        <v>0</v>
      </c>
      <c r="AN6" s="247">
        <f>SUM(AN11+AN15)</f>
        <v>0</v>
      </c>
      <c r="AO6" s="247"/>
      <c r="AP6" s="244"/>
      <c r="AQ6" s="248">
        <f>SUM(AQ11+AQ15)</f>
        <v>2061155.4</v>
      </c>
      <c r="AR6" s="248">
        <f>SUM(AR11+AR15)</f>
        <v>3122400</v>
      </c>
      <c r="AS6" s="248">
        <f>SUM(AS11+AS15)</f>
        <v>0</v>
      </c>
      <c r="AT6" s="248">
        <f>SUM(AT11+AT15)</f>
        <v>5183555.4000000004</v>
      </c>
      <c r="AU6" s="248">
        <f t="shared" ref="AU6:BB6" si="3">SUM(AU11+AU15)</f>
        <v>2061155.4</v>
      </c>
      <c r="AV6" s="248">
        <f t="shared" si="3"/>
        <v>0</v>
      </c>
      <c r="AW6" s="248">
        <f>SUM(AW11+AW15)</f>
        <v>0</v>
      </c>
      <c r="AX6" s="248">
        <f t="shared" si="3"/>
        <v>0</v>
      </c>
      <c r="AY6" s="248">
        <f t="shared" si="3"/>
        <v>0</v>
      </c>
      <c r="AZ6" s="248">
        <f t="shared" si="3"/>
        <v>0</v>
      </c>
      <c r="BA6" s="248">
        <f t="shared" si="3"/>
        <v>0</v>
      </c>
      <c r="BB6" s="248">
        <f t="shared" si="3"/>
        <v>-3122400</v>
      </c>
    </row>
    <row r="7" spans="1:58" ht="51.6" customHeight="1" outlineLevel="2" x14ac:dyDescent="0.25">
      <c r="A7" s="115"/>
      <c r="B7" s="200"/>
      <c r="C7" s="201"/>
      <c r="D7" s="138"/>
      <c r="E7" s="295"/>
      <c r="F7" s="295"/>
      <c r="G7" s="296"/>
      <c r="H7" s="199" t="s">
        <v>369</v>
      </c>
      <c r="I7" s="130"/>
      <c r="J7" s="126"/>
      <c r="K7" s="126"/>
      <c r="L7" s="125" t="str">
        <f>IF(I7&lt;&gt;0,((VLOOKUP(I7,'1. Standard_Cost'!$B$4:$D$11,2)+VLOOKUP(I7,'1. Standard_Cost'!$B$4:$D$11,3))*J7*K7),"0")</f>
        <v>0</v>
      </c>
      <c r="M7" s="125">
        <f>L7*'1. Standard_Cost'!$F$4</f>
        <v>0</v>
      </c>
      <c r="N7" s="126"/>
      <c r="O7" s="126"/>
      <c r="P7" s="126"/>
      <c r="Q7" s="126"/>
      <c r="R7" s="127">
        <f>'1. Standard_Cost'!$B$15*N7*P7</f>
        <v>0</v>
      </c>
      <c r="S7" s="127">
        <f>N7*O7*P7*'1. Standard_Cost'!$C$15</f>
        <v>0</v>
      </c>
      <c r="T7" s="127">
        <f>N7*P7*Q7*'1. Standard_Cost'!$D$15</f>
        <v>0</v>
      </c>
      <c r="U7" s="127">
        <f>N7*O7*'1. Standard_Cost'!$E$15</f>
        <v>0</v>
      </c>
      <c r="V7" s="126"/>
      <c r="W7" s="126"/>
      <c r="X7" s="126"/>
      <c r="Y7" s="127">
        <f>+V7*((X7*'1. Standard_Cost'!$B$19)+(W7*X7*'1. Standard_Cost'!$C$19))</f>
        <v>0</v>
      </c>
      <c r="Z7" s="126"/>
      <c r="AA7" s="126"/>
      <c r="AB7" s="127">
        <f>+Z7*'1. Standard_Cost'!$B$23+AA7*'1. Standard_Cost'!$C$23</f>
        <v>0</v>
      </c>
      <c r="AC7" s="128"/>
      <c r="AD7" s="129"/>
      <c r="AE7" s="127">
        <f>SUM(AD7,AC7,AB7,Y7,U7,T7,S7,R7)*'1. Standard_Cost'!$B$31</f>
        <v>0</v>
      </c>
      <c r="AF7" s="127">
        <f>SUM(AE7,AD7,AC7,AB7,Y7,U7,T7,S7,R7)</f>
        <v>0</v>
      </c>
      <c r="AG7" s="126"/>
      <c r="AH7" s="126"/>
      <c r="AI7" s="126"/>
      <c r="AJ7" s="130"/>
      <c r="AK7" s="130"/>
      <c r="AL7" s="130"/>
      <c r="AM7" s="127">
        <f>AG7*'1. Standard_Cost'!$B$27+'Incremental_Cost Year 5'!AH7*'1. Standard_Cost'!$C$27+'Incremental_Cost Year 5'!AI7*'1. Standard_Cost'!$D$27+'Incremental_Cost Year 5'!AJ7+'Incremental_Cost Year 5'!AL7+AK7</f>
        <v>0</v>
      </c>
      <c r="AN7" s="127">
        <f>AM7*'1. Standard_Cost'!$C$31</f>
        <v>0</v>
      </c>
      <c r="AO7" s="249"/>
      <c r="AQ7" s="171">
        <f>L7+M7</f>
        <v>0</v>
      </c>
      <c r="AR7" s="171">
        <f>AF7</f>
        <v>0</v>
      </c>
      <c r="AS7" s="171">
        <f>AM7+AN7</f>
        <v>0</v>
      </c>
      <c r="AT7" s="171">
        <f>SUM(AQ7,AR7,AS7)</f>
        <v>0</v>
      </c>
      <c r="AU7" s="250">
        <f>AQ7</f>
        <v>0</v>
      </c>
      <c r="AV7" s="250"/>
      <c r="AW7" s="250"/>
      <c r="AX7" s="250"/>
      <c r="AY7" s="250"/>
      <c r="AZ7" s="250"/>
      <c r="BA7" s="250"/>
      <c r="BB7" s="251">
        <f>SUM(AU7:BA7)-AT7</f>
        <v>0</v>
      </c>
      <c r="BC7" s="169"/>
      <c r="BD7" s="169"/>
      <c r="BE7" s="169"/>
      <c r="BF7" s="169"/>
    </row>
    <row r="8" spans="1:58" ht="51.6" customHeight="1" outlineLevel="2" x14ac:dyDescent="0.25">
      <c r="A8" s="115"/>
      <c r="B8" s="200"/>
      <c r="C8" s="201"/>
      <c r="D8" s="135"/>
      <c r="E8" s="219"/>
      <c r="F8" s="219"/>
      <c r="G8" s="313"/>
      <c r="H8" s="199" t="s">
        <v>370</v>
      </c>
      <c r="I8" s="130"/>
      <c r="J8" s="126"/>
      <c r="K8" s="126"/>
      <c r="L8" s="125" t="str">
        <f>IF(I8&lt;&gt;0,((VLOOKUP(I8,'1. Standard_Cost'!$B$4:$D$11,2)+VLOOKUP(I8,'1. Standard_Cost'!$B$4:$D$11,3))*J8*K8),"0")</f>
        <v>0</v>
      </c>
      <c r="M8" s="125">
        <f>L8*'1. Standard_Cost'!$F$4</f>
        <v>0</v>
      </c>
      <c r="N8" s="126"/>
      <c r="O8" s="126"/>
      <c r="P8" s="126"/>
      <c r="Q8" s="126"/>
      <c r="R8" s="127">
        <f>'1. Standard_Cost'!$B$15*N8*P8</f>
        <v>0</v>
      </c>
      <c r="S8" s="127">
        <f>N8*O8*P8*'1. Standard_Cost'!$C$15</f>
        <v>0</v>
      </c>
      <c r="T8" s="127">
        <f>N8*P8*Q8*'1. Standard_Cost'!$D$15</f>
        <v>0</v>
      </c>
      <c r="U8" s="127">
        <f>N8*O8*'1. Standard_Cost'!$E$15</f>
        <v>0</v>
      </c>
      <c r="V8" s="126"/>
      <c r="W8" s="126"/>
      <c r="X8" s="126"/>
      <c r="Y8" s="127">
        <f>+V8*((X8*'1. Standard_Cost'!$B$19)+(W8*X8*'1. Standard_Cost'!$C$19))</f>
        <v>0</v>
      </c>
      <c r="Z8" s="126"/>
      <c r="AA8" s="126"/>
      <c r="AB8" s="127">
        <f>+Z8*'1. Standard_Cost'!$B$23+AA8*'1. Standard_Cost'!$C$23</f>
        <v>0</v>
      </c>
      <c r="AC8" s="128"/>
      <c r="AD8" s="129"/>
      <c r="AE8" s="127">
        <f>SUM(AD8,AC8,AB8,Y8,U8,T8,S8,R8)*'1. Standard_Cost'!$B$31</f>
        <v>0</v>
      </c>
      <c r="AF8" s="127">
        <f>SUM(AE8,AD8,AC8,AB8,Y8,U8,T8,S8,R8)</f>
        <v>0</v>
      </c>
      <c r="AG8" s="126"/>
      <c r="AH8" s="126"/>
      <c r="AI8" s="126"/>
      <c r="AJ8" s="130"/>
      <c r="AK8" s="130"/>
      <c r="AL8" s="130"/>
      <c r="AM8" s="127">
        <f>AG8*'1. Standard_Cost'!$B$27+'Incremental_Cost Year 5'!AH8*'1. Standard_Cost'!$C$27+'Incremental_Cost Year 5'!AI8*'1. Standard_Cost'!$D$27+'Incremental_Cost Year 5'!AJ8+'Incremental_Cost Year 5'!AL8+AK8</f>
        <v>0</v>
      </c>
      <c r="AN8" s="127">
        <f>AM8*'1. Standard_Cost'!$C$31</f>
        <v>0</v>
      </c>
      <c r="AO8" s="130"/>
      <c r="AQ8" s="171">
        <f>L8+M8</f>
        <v>0</v>
      </c>
      <c r="AR8" s="171">
        <f>AF8</f>
        <v>0</v>
      </c>
      <c r="AS8" s="171">
        <f>AM8+AN8</f>
        <v>0</v>
      </c>
      <c r="AT8" s="171">
        <f>SUM(AQ8,AR8,AS8)</f>
        <v>0</v>
      </c>
      <c r="AU8" s="250">
        <f>AQ8</f>
        <v>0</v>
      </c>
      <c r="AV8" s="250"/>
      <c r="AW8" s="250"/>
      <c r="AX8" s="250"/>
      <c r="AY8" s="250"/>
      <c r="AZ8" s="250"/>
      <c r="BA8" s="250"/>
      <c r="BB8" s="251">
        <f t="shared" ref="BB8:BB14" si="4">SUM(AU8:BA8)-AT8</f>
        <v>0</v>
      </c>
      <c r="BC8" s="169"/>
      <c r="BD8" s="169"/>
      <c r="BE8" s="169"/>
      <c r="BF8" s="169"/>
    </row>
    <row r="9" spans="1:58" ht="51.6" customHeight="1" outlineLevel="2" x14ac:dyDescent="0.25">
      <c r="A9" s="115"/>
      <c r="B9" s="200"/>
      <c r="C9" s="201"/>
      <c r="D9" s="135"/>
      <c r="E9" s="219"/>
      <c r="F9" s="219"/>
      <c r="G9" s="313"/>
      <c r="H9" s="199" t="s">
        <v>371</v>
      </c>
      <c r="I9" s="130"/>
      <c r="J9" s="126"/>
      <c r="K9" s="126"/>
      <c r="L9" s="125" t="str">
        <f>IF(I9&lt;&gt;0,((VLOOKUP(I9,'1. Standard_Cost'!$B$4:$D$11,2)+VLOOKUP(I9,'1. Standard_Cost'!$B$4:$D$11,3))*J9*K9),"0")</f>
        <v>0</v>
      </c>
      <c r="M9" s="125">
        <f>L9*'1. Standard_Cost'!$F$4</f>
        <v>0</v>
      </c>
      <c r="N9" s="126"/>
      <c r="O9" s="126"/>
      <c r="P9" s="126"/>
      <c r="Q9" s="126"/>
      <c r="R9" s="127">
        <f>'1. Standard_Cost'!$B$15*N9*P9</f>
        <v>0</v>
      </c>
      <c r="S9" s="127">
        <f>N9*O9*P9*'1. Standard_Cost'!$C$15</f>
        <v>0</v>
      </c>
      <c r="T9" s="127">
        <f>N9*P9*Q9*'1. Standard_Cost'!$D$15</f>
        <v>0</v>
      </c>
      <c r="U9" s="127">
        <f>N9*O9*'1. Standard_Cost'!$E$15</f>
        <v>0</v>
      </c>
      <c r="V9" s="126"/>
      <c r="W9" s="126"/>
      <c r="X9" s="126"/>
      <c r="Y9" s="127">
        <f>+V9*((X9*'1. Standard_Cost'!$B$19)+(W9*X9*'1. Standard_Cost'!$C$19))</f>
        <v>0</v>
      </c>
      <c r="Z9" s="126"/>
      <c r="AA9" s="126">
        <v>0</v>
      </c>
      <c r="AB9" s="127">
        <f>+Z9*'1. Standard_Cost'!$B$23+AA9*'1. Standard_Cost'!$C$23</f>
        <v>0</v>
      </c>
      <c r="AC9" s="128">
        <v>0</v>
      </c>
      <c r="AD9" s="129"/>
      <c r="AE9" s="127">
        <f>SUM(AD9,AC9,AB9,Y9,U9,T9,S9,R9)*'1. Standard_Cost'!$B$31</f>
        <v>0</v>
      </c>
      <c r="AF9" s="127">
        <f>SUM(AE9,AD9,AC9,AB9,Y9,U9,T9,S9,R9)</f>
        <v>0</v>
      </c>
      <c r="AG9" s="126"/>
      <c r="AH9" s="126"/>
      <c r="AI9" s="126"/>
      <c r="AJ9" s="130"/>
      <c r="AK9" s="130"/>
      <c r="AL9" s="130"/>
      <c r="AM9" s="127">
        <f>AG9*'1. Standard_Cost'!$B$27+'Incremental_Cost Year 5'!AH9*'1. Standard_Cost'!$C$27+'Incremental_Cost Year 5'!AI9*'1. Standard_Cost'!$D$27+'Incremental_Cost Year 5'!AJ9+'Incremental_Cost Year 5'!AL9+AK9</f>
        <v>0</v>
      </c>
      <c r="AN9" s="127">
        <f>AM9*'1. Standard_Cost'!$C$31</f>
        <v>0</v>
      </c>
      <c r="AO9" s="130"/>
      <c r="AQ9" s="171">
        <f>L9+M9</f>
        <v>0</v>
      </c>
      <c r="AR9" s="171">
        <f>AF9</f>
        <v>0</v>
      </c>
      <c r="AS9" s="171">
        <f>AM9+AN9</f>
        <v>0</v>
      </c>
      <c r="AT9" s="171">
        <f>SUM(AQ9,AR9,AS9)</f>
        <v>0</v>
      </c>
      <c r="AU9" s="250">
        <f>AQ9</f>
        <v>0</v>
      </c>
      <c r="AV9" s="250"/>
      <c r="AW9" s="250"/>
      <c r="AX9" s="250"/>
      <c r="AY9" s="250"/>
      <c r="AZ9" s="250"/>
      <c r="BA9" s="250"/>
      <c r="BB9" s="251">
        <f t="shared" si="4"/>
        <v>0</v>
      </c>
      <c r="BC9" s="169"/>
      <c r="BD9" s="169"/>
      <c r="BE9" s="169"/>
      <c r="BF9" s="169"/>
    </row>
    <row r="10" spans="1:58" ht="51.6" customHeight="1" outlineLevel="2" x14ac:dyDescent="0.25">
      <c r="A10" s="115"/>
      <c r="B10" s="200"/>
      <c r="C10" s="201"/>
      <c r="D10" s="223"/>
      <c r="E10" s="219"/>
      <c r="F10" s="122"/>
      <c r="G10" s="123"/>
      <c r="H10" s="199" t="s">
        <v>372</v>
      </c>
      <c r="I10" s="130"/>
      <c r="J10" s="126"/>
      <c r="K10" s="126"/>
      <c r="L10" s="125" t="str">
        <f>IF(I10&lt;&gt;0,((VLOOKUP(I10,'1. Standard_Cost'!$B$4:$D$11,2)+VLOOKUP(I10,'1. Standard_Cost'!$B$4:$D$11,3))*J10*K10),"0")</f>
        <v>0</v>
      </c>
      <c r="M10" s="125">
        <f>L10*'1. Standard_Cost'!$F$4</f>
        <v>0</v>
      </c>
      <c r="N10" s="126"/>
      <c r="O10" s="126"/>
      <c r="P10" s="126"/>
      <c r="Q10" s="126"/>
      <c r="R10" s="127">
        <f>'1. Standard_Cost'!$B$15*N10*P10</f>
        <v>0</v>
      </c>
      <c r="S10" s="127">
        <f>N10*O10*P10*'1. Standard_Cost'!$C$15</f>
        <v>0</v>
      </c>
      <c r="T10" s="127">
        <f>N10*P10*Q10*'1. Standard_Cost'!$D$15</f>
        <v>0</v>
      </c>
      <c r="U10" s="127">
        <f>N10*O10*'1. Standard_Cost'!$E$15</f>
        <v>0</v>
      </c>
      <c r="V10" s="126"/>
      <c r="W10" s="126"/>
      <c r="X10" s="126"/>
      <c r="Y10" s="127">
        <f>+V10*((X10*'1. Standard_Cost'!$B$19)+(W10*X10*'1. Standard_Cost'!$C$19))</f>
        <v>0</v>
      </c>
      <c r="Z10" s="126"/>
      <c r="AA10" s="126"/>
      <c r="AB10" s="127">
        <f>+Z10*'1. Standard_Cost'!$B$23+AA10*'1. Standard_Cost'!$C$23</f>
        <v>0</v>
      </c>
      <c r="AC10" s="128"/>
      <c r="AD10" s="129"/>
      <c r="AE10" s="127">
        <f>SUM(AD10,AC10,AB10,Y10,U10,T10,S10,R10)*'1. Standard_Cost'!$B$31</f>
        <v>0</v>
      </c>
      <c r="AF10" s="127">
        <f>SUM(AE10,AD10,AC10,AB10,Y10,U10,T10,S10,R10)</f>
        <v>0</v>
      </c>
      <c r="AG10" s="126"/>
      <c r="AH10" s="126"/>
      <c r="AI10" s="126"/>
      <c r="AJ10" s="130"/>
      <c r="AK10" s="130"/>
      <c r="AL10" s="130"/>
      <c r="AM10" s="127">
        <f>AG10*'1. Standard_Cost'!$B$27+'Incremental_Cost Year 5'!AH10*'1. Standard_Cost'!$C$27+'Incremental_Cost Year 5'!AI10*'1. Standard_Cost'!$D$27+'Incremental_Cost Year 5'!AJ10+'Incremental_Cost Year 5'!AL10+AK10</f>
        <v>0</v>
      </c>
      <c r="AN10" s="127">
        <f>AM10*'1. Standard_Cost'!$C$31</f>
        <v>0</v>
      </c>
      <c r="AO10" s="130"/>
      <c r="AQ10" s="171">
        <f>L10+M10</f>
        <v>0</v>
      </c>
      <c r="AR10" s="171">
        <f>AF10</f>
        <v>0</v>
      </c>
      <c r="AS10" s="171">
        <f>AM10+AN10</f>
        <v>0</v>
      </c>
      <c r="AT10" s="171">
        <f>SUM(AQ10,AR10,AS10)</f>
        <v>0</v>
      </c>
      <c r="AU10" s="250">
        <f>AQ10</f>
        <v>0</v>
      </c>
      <c r="AV10" s="250"/>
      <c r="AW10" s="250"/>
      <c r="AX10" s="250"/>
      <c r="AY10" s="250"/>
      <c r="AZ10" s="250"/>
      <c r="BA10" s="250"/>
      <c r="BB10" s="251">
        <f t="shared" si="4"/>
        <v>0</v>
      </c>
      <c r="BC10" s="169"/>
      <c r="BD10" s="169"/>
      <c r="BE10" s="169"/>
      <c r="BF10" s="169"/>
    </row>
    <row r="11" spans="1:58" ht="51.6" customHeight="1" outlineLevel="1" x14ac:dyDescent="0.25">
      <c r="A11" s="115"/>
      <c r="B11" s="142"/>
      <c r="C11" s="297"/>
      <c r="D11" s="116" t="s">
        <v>373</v>
      </c>
      <c r="E11" s="209" t="s">
        <v>374</v>
      </c>
      <c r="F11" s="117">
        <v>2022</v>
      </c>
      <c r="G11" s="117">
        <v>2024</v>
      </c>
      <c r="H11" s="298" t="s">
        <v>46</v>
      </c>
      <c r="I11" s="252"/>
      <c r="J11" s="252"/>
      <c r="K11" s="252"/>
      <c r="L11" s="127">
        <f>SUM(L7:L10)</f>
        <v>0</v>
      </c>
      <c r="M11" s="127">
        <f>SUM(M7:M10)</f>
        <v>0</v>
      </c>
      <c r="N11" s="127"/>
      <c r="O11" s="252"/>
      <c r="P11" s="252"/>
      <c r="Q11" s="252"/>
      <c r="R11" s="127">
        <f>SUM(R7:R10)</f>
        <v>0</v>
      </c>
      <c r="S11" s="127">
        <f>SUM(S7:S10)</f>
        <v>0</v>
      </c>
      <c r="T11" s="127">
        <f>SUM(T7:T10)</f>
        <v>0</v>
      </c>
      <c r="U11" s="127">
        <f>SUM(U7:U10)</f>
        <v>0</v>
      </c>
      <c r="V11" s="252"/>
      <c r="W11" s="252"/>
      <c r="X11" s="252"/>
      <c r="Y11" s="127">
        <f>SUM(Y7:Y10)</f>
        <v>0</v>
      </c>
      <c r="Z11" s="252"/>
      <c r="AA11" s="252"/>
      <c r="AB11" s="127">
        <f>SUM(AB7:AB10)</f>
        <v>0</v>
      </c>
      <c r="AC11" s="127">
        <f>SUM(AC7:AC9)</f>
        <v>0</v>
      </c>
      <c r="AD11" s="127">
        <f>SUM(AD7:AD9)</f>
        <v>0</v>
      </c>
      <c r="AE11" s="127">
        <f>SUM(AE7:AE9)</f>
        <v>0</v>
      </c>
      <c r="AF11" s="127">
        <f>SUM(AF7:AF9)</f>
        <v>0</v>
      </c>
      <c r="AG11" s="252"/>
      <c r="AH11" s="252"/>
      <c r="AI11" s="252"/>
      <c r="AJ11" s="127">
        <f>SUM(AJ7:AJ9)</f>
        <v>0</v>
      </c>
      <c r="AK11" s="127">
        <f>SUM(AK7:AK9)</f>
        <v>0</v>
      </c>
      <c r="AL11" s="127">
        <f>SUM(AL7:AL9)</f>
        <v>0</v>
      </c>
      <c r="AM11" s="127">
        <f>SUM(AM7:AM9)</f>
        <v>0</v>
      </c>
      <c r="AN11" s="127">
        <f>SUM(AN7:AN9)</f>
        <v>0</v>
      </c>
      <c r="AO11" s="253"/>
      <c r="AP11" s="254"/>
      <c r="AQ11" s="175">
        <f>SUM(AQ7:AQ10)</f>
        <v>0</v>
      </c>
      <c r="AR11" s="175">
        <f>SUM(AR7:AR10)</f>
        <v>0</v>
      </c>
      <c r="AS11" s="175">
        <f>SUM(AS7:AS10)</f>
        <v>0</v>
      </c>
      <c r="AT11" s="175">
        <f>SUM(AT7:AT10)</f>
        <v>0</v>
      </c>
      <c r="AU11" s="175">
        <f t="shared" ref="AU11:BA11" si="5">SUM(AU7:AU9)</f>
        <v>0</v>
      </c>
      <c r="AV11" s="175">
        <f t="shared" si="5"/>
        <v>0</v>
      </c>
      <c r="AW11" s="175">
        <f>SUM(AW7:AW9)</f>
        <v>0</v>
      </c>
      <c r="AX11" s="175">
        <f t="shared" si="5"/>
        <v>0</v>
      </c>
      <c r="AY11" s="175">
        <f t="shared" si="5"/>
        <v>0</v>
      </c>
      <c r="AZ11" s="175">
        <f t="shared" si="5"/>
        <v>0</v>
      </c>
      <c r="BA11" s="175">
        <f t="shared" si="5"/>
        <v>0</v>
      </c>
      <c r="BB11" s="175">
        <f>SUM(BB7:BB10)</f>
        <v>0</v>
      </c>
      <c r="BC11" s="169"/>
      <c r="BD11" s="169"/>
      <c r="BE11" s="169"/>
      <c r="BF11" s="169"/>
    </row>
    <row r="12" spans="1:58" ht="51.6" customHeight="1" outlineLevel="2" x14ac:dyDescent="0.25">
      <c r="A12" s="115"/>
      <c r="B12" s="200"/>
      <c r="C12" s="201"/>
      <c r="D12" s="138"/>
      <c r="E12" s="295"/>
      <c r="F12" s="295"/>
      <c r="G12" s="296"/>
      <c r="H12" s="299" t="s">
        <v>375</v>
      </c>
      <c r="I12" s="130" t="s">
        <v>4</v>
      </c>
      <c r="J12" s="126">
        <v>1</v>
      </c>
      <c r="K12" s="126">
        <v>20</v>
      </c>
      <c r="L12" s="125">
        <f>IF(I12&lt;&gt;0,((VLOOKUP(I12,'1. Standard_Cost'!$B$4:$D$11,2)+VLOOKUP(I12,'1. Standard_Cost'!$B$4:$D$11,3))*J12*K12),"0")</f>
        <v>1615000</v>
      </c>
      <c r="M12" s="125">
        <f>L12*'1. Standard_Cost'!$F$4</f>
        <v>269705</v>
      </c>
      <c r="N12" s="126"/>
      <c r="O12" s="126"/>
      <c r="P12" s="126"/>
      <c r="Q12" s="126"/>
      <c r="R12" s="127">
        <f>'1. Standard_Cost'!$B$15*N12*P12</f>
        <v>0</v>
      </c>
      <c r="S12" s="127">
        <f>N12*O12*P12*'1. Standard_Cost'!$C$15</f>
        <v>0</v>
      </c>
      <c r="T12" s="127">
        <f>N12*P12*Q12*'1. Standard_Cost'!$D$15</f>
        <v>0</v>
      </c>
      <c r="U12" s="127">
        <f>N12*O12*'1. Standard_Cost'!$E$15</f>
        <v>0</v>
      </c>
      <c r="V12" s="126"/>
      <c r="W12" s="126"/>
      <c r="X12" s="126"/>
      <c r="Y12" s="127">
        <f>+V12*((X12*'1. Standard_Cost'!$B$19)+(W12*X12*'1. Standard_Cost'!$C$19))</f>
        <v>0</v>
      </c>
      <c r="Z12" s="126">
        <v>5</v>
      </c>
      <c r="AA12" s="126">
        <v>60</v>
      </c>
      <c r="AB12" s="127">
        <f>+Z12*'1. Standard_Cost'!$B$23+AA12*'1. Standard_Cost'!$C$23</f>
        <v>1510000</v>
      </c>
      <c r="AC12" s="128">
        <f>60*300+500*500</f>
        <v>268000</v>
      </c>
      <c r="AD12" s="129"/>
      <c r="AE12" s="127">
        <f>SUM(AD12,AC12,AB12,Y12,U12,T12,S12,R12)*'1. Standard_Cost'!$B$31</f>
        <v>355600</v>
      </c>
      <c r="AF12" s="127">
        <f>SUM(AE12,AD12,AC12,AB12,Y12,U12,T12,S12,R12)</f>
        <v>2133600</v>
      </c>
      <c r="AG12" s="126"/>
      <c r="AH12" s="126"/>
      <c r="AI12" s="126"/>
      <c r="AJ12" s="130"/>
      <c r="AK12" s="130"/>
      <c r="AL12" s="130"/>
      <c r="AM12" s="127">
        <f>AG12*'1. Standard_Cost'!$B$27+'Incremental_Cost Year 5'!AH12*'1. Standard_Cost'!$C$27+'Incremental_Cost Year 5'!AI12*'1. Standard_Cost'!$D$27+'Incremental_Cost Year 5'!AJ12+'Incremental_Cost Year 5'!AL12+AK12</f>
        <v>0</v>
      </c>
      <c r="AN12" s="127">
        <f>AM12*'1. Standard_Cost'!$C$31</f>
        <v>0</v>
      </c>
      <c r="AO12" s="130"/>
      <c r="AQ12" s="171">
        <f>L12+M12</f>
        <v>1884705</v>
      </c>
      <c r="AR12" s="171">
        <f>AF12</f>
        <v>2133600</v>
      </c>
      <c r="AS12" s="171">
        <f>AM12+AN12</f>
        <v>0</v>
      </c>
      <c r="AT12" s="171">
        <f>SUM(AQ12,AR12,AS12)</f>
        <v>4018305</v>
      </c>
      <c r="AU12" s="250">
        <f>AQ12</f>
        <v>1884705</v>
      </c>
      <c r="AV12" s="250"/>
      <c r="AW12" s="250"/>
      <c r="AX12" s="250"/>
      <c r="AY12" s="250"/>
      <c r="AZ12" s="250"/>
      <c r="BA12" s="250"/>
      <c r="BB12" s="251">
        <f t="shared" si="4"/>
        <v>-2133600</v>
      </c>
      <c r="BC12" s="169"/>
      <c r="BD12" s="169"/>
      <c r="BE12" s="169"/>
      <c r="BF12" s="169"/>
    </row>
    <row r="13" spans="1:58" ht="51.6" customHeight="1" outlineLevel="2" x14ac:dyDescent="0.25">
      <c r="A13" s="115"/>
      <c r="B13" s="200"/>
      <c r="C13" s="201"/>
      <c r="D13" s="135"/>
      <c r="E13" s="219"/>
      <c r="F13" s="219"/>
      <c r="G13" s="313"/>
      <c r="H13" s="213" t="s">
        <v>376</v>
      </c>
      <c r="I13" s="130"/>
      <c r="J13" s="126"/>
      <c r="K13" s="126"/>
      <c r="L13" s="125" t="str">
        <f>IF(I13&lt;&gt;0,((VLOOKUP(I13,'1. Standard_Cost'!$B$4:$D$11,2)+VLOOKUP(I13,'1. Standard_Cost'!$B$4:$D$11,3))*J13*K13),"0")</f>
        <v>0</v>
      </c>
      <c r="M13" s="125">
        <f>L13*'1. Standard_Cost'!$F$4</f>
        <v>0</v>
      </c>
      <c r="N13" s="126"/>
      <c r="O13" s="126"/>
      <c r="P13" s="126"/>
      <c r="Q13" s="126"/>
      <c r="R13" s="127">
        <f>'1. Standard_Cost'!$B$15*N13*P13</f>
        <v>0</v>
      </c>
      <c r="S13" s="127">
        <f>N13*O13*P13*'1. Standard_Cost'!$C$15</f>
        <v>0</v>
      </c>
      <c r="T13" s="127">
        <f>N13*P13*Q13*'1. Standard_Cost'!$D$15</f>
        <v>0</v>
      </c>
      <c r="U13" s="127">
        <f>N13*O13*'1. Standard_Cost'!$E$15</f>
        <v>0</v>
      </c>
      <c r="V13" s="126"/>
      <c r="W13" s="126"/>
      <c r="X13" s="126"/>
      <c r="Y13" s="127">
        <f>+V13*((X13*'1. Standard_Cost'!$B$19)+(W13*X13*'1. Standard_Cost'!$C$19))</f>
        <v>0</v>
      </c>
      <c r="Z13" s="126">
        <v>0</v>
      </c>
      <c r="AA13" s="126">
        <v>0</v>
      </c>
      <c r="AB13" s="127">
        <f>+Z13*'1. Standard_Cost'!$B$23+AA13*'1. Standard_Cost'!$C$23</f>
        <v>0</v>
      </c>
      <c r="AC13" s="128">
        <v>0</v>
      </c>
      <c r="AD13" s="129"/>
      <c r="AE13" s="127">
        <f>SUM(AD13,AC13,AB13,Y13,U13,T13,S13,R13)*'1. Standard_Cost'!$B$31</f>
        <v>0</v>
      </c>
      <c r="AF13" s="127">
        <f>SUM(AE13,AD13,AC13,AB13,Y13,U13,T13,S13,R13)</f>
        <v>0</v>
      </c>
      <c r="AG13" s="126"/>
      <c r="AH13" s="126"/>
      <c r="AI13" s="126"/>
      <c r="AJ13" s="130"/>
      <c r="AK13" s="130"/>
      <c r="AL13" s="130"/>
      <c r="AM13" s="127">
        <f>AG13*'1. Standard_Cost'!$B$27+'Incremental_Cost Year 5'!AH13*'1. Standard_Cost'!$C$27+'Incremental_Cost Year 5'!AI13*'1. Standard_Cost'!$D$27+'Incremental_Cost Year 5'!AJ13+'Incremental_Cost Year 5'!AL13+AK13</f>
        <v>0</v>
      </c>
      <c r="AN13" s="127">
        <f>AM13*'1. Standard_Cost'!$C$31</f>
        <v>0</v>
      </c>
      <c r="AO13" s="130"/>
      <c r="AQ13" s="171">
        <f>L13+M13</f>
        <v>0</v>
      </c>
      <c r="AR13" s="171">
        <f>AF13</f>
        <v>0</v>
      </c>
      <c r="AS13" s="171">
        <f>AM13+AN13</f>
        <v>0</v>
      </c>
      <c r="AT13" s="171">
        <f>SUM(AQ13,AR13,AS13)</f>
        <v>0</v>
      </c>
      <c r="AU13" s="250">
        <f>AQ13</f>
        <v>0</v>
      </c>
      <c r="AV13" s="250"/>
      <c r="AW13" s="250"/>
      <c r="AX13" s="250"/>
      <c r="AY13" s="250"/>
      <c r="AZ13" s="250"/>
      <c r="BA13" s="250"/>
      <c r="BB13" s="251">
        <f t="shared" si="4"/>
        <v>0</v>
      </c>
      <c r="BC13" s="169"/>
      <c r="BD13" s="169"/>
      <c r="BE13" s="169"/>
      <c r="BF13" s="169"/>
    </row>
    <row r="14" spans="1:58" ht="51.6" customHeight="1" outlineLevel="2" x14ac:dyDescent="0.25">
      <c r="A14" s="115"/>
      <c r="B14" s="200"/>
      <c r="C14" s="201"/>
      <c r="D14" s="223"/>
      <c r="E14" s="219"/>
      <c r="F14" s="219"/>
      <c r="G14" s="313"/>
      <c r="H14" s="213" t="s">
        <v>377</v>
      </c>
      <c r="I14" s="130" t="s">
        <v>3</v>
      </c>
      <c r="J14" s="126">
        <v>0.5</v>
      </c>
      <c r="K14" s="126">
        <v>3</v>
      </c>
      <c r="L14" s="125">
        <f>IF(I14&lt;&gt;0,((VLOOKUP(I14,'1. Standard_Cost'!$B$4:$D$11,2)+VLOOKUP(I14,'1. Standard_Cost'!$B$4:$D$11,3))*J14*K14),"0")</f>
        <v>151200</v>
      </c>
      <c r="M14" s="125">
        <f>L14*'1. Standard_Cost'!$F$4</f>
        <v>25250.400000000001</v>
      </c>
      <c r="N14" s="126">
        <v>5</v>
      </c>
      <c r="O14" s="126">
        <v>1</v>
      </c>
      <c r="P14" s="126">
        <v>15</v>
      </c>
      <c r="Q14" s="126"/>
      <c r="R14" s="127">
        <f>'1. Standard_Cost'!$B$15*N14*P14</f>
        <v>150000</v>
      </c>
      <c r="S14" s="127">
        <f>N14*O14*P14*'1. Standard_Cost'!$C$15</f>
        <v>112500</v>
      </c>
      <c r="T14" s="127">
        <f>N14*P14*Q14*'1. Standard_Cost'!$D$15</f>
        <v>0</v>
      </c>
      <c r="U14" s="127">
        <f>N14*O14*'1. Standard_Cost'!$E$15</f>
        <v>200000</v>
      </c>
      <c r="V14" s="126"/>
      <c r="W14" s="126"/>
      <c r="X14" s="126"/>
      <c r="Y14" s="127">
        <f>+V14*((X14*'1. Standard_Cost'!$B$19)+(W14*X14*'1. Standard_Cost'!$C$19))</f>
        <v>0</v>
      </c>
      <c r="Z14" s="126"/>
      <c r="AA14" s="126">
        <v>6</v>
      </c>
      <c r="AB14" s="127">
        <f>+Z14*'1. Standard_Cost'!$B$23+AA14*'1. Standard_Cost'!$C$23</f>
        <v>114000</v>
      </c>
      <c r="AC14" s="128">
        <f>75*3300</f>
        <v>247500</v>
      </c>
      <c r="AD14" s="129"/>
      <c r="AE14" s="127">
        <f>SUM(AD14,AC14,AB14,Y14,U14,T14,S14,R14)*'1. Standard_Cost'!$B$31</f>
        <v>164800</v>
      </c>
      <c r="AF14" s="127">
        <f>SUM(AE14,AD14,AC14,AB14,Y14,U14,T14,S14,R14)</f>
        <v>988800</v>
      </c>
      <c r="AG14" s="126"/>
      <c r="AH14" s="126"/>
      <c r="AI14" s="126"/>
      <c r="AJ14" s="130"/>
      <c r="AK14" s="130"/>
      <c r="AL14" s="130"/>
      <c r="AM14" s="127">
        <f>AG14*'1. Standard_Cost'!$B$27+'Incremental_Cost Year 5'!AH14*'1. Standard_Cost'!$C$27+'Incremental_Cost Year 5'!AI14*'1. Standard_Cost'!$D$27+'Incremental_Cost Year 5'!AJ14+'Incremental_Cost Year 5'!AL14+AK14</f>
        <v>0</v>
      </c>
      <c r="AN14" s="127">
        <f>AM14*'1. Standard_Cost'!$C$31</f>
        <v>0</v>
      </c>
      <c r="AO14" s="130"/>
      <c r="AQ14" s="171">
        <f>L14+M14</f>
        <v>176450.4</v>
      </c>
      <c r="AR14" s="171">
        <f>AF14</f>
        <v>988800</v>
      </c>
      <c r="AS14" s="171">
        <f>AM14+AN14</f>
        <v>0</v>
      </c>
      <c r="AT14" s="171">
        <f>SUM(AQ14,AR14,AS14)</f>
        <v>1165250.3999999999</v>
      </c>
      <c r="AU14" s="250">
        <f>AQ14</f>
        <v>176450.4</v>
      </c>
      <c r="AV14" s="250"/>
      <c r="AW14" s="250"/>
      <c r="AX14" s="250"/>
      <c r="AY14" s="250"/>
      <c r="AZ14" s="250"/>
      <c r="BA14" s="250"/>
      <c r="BB14" s="251">
        <f t="shared" si="4"/>
        <v>-988799.99999999988</v>
      </c>
      <c r="BC14" s="169"/>
      <c r="BD14" s="169"/>
      <c r="BE14" s="169"/>
      <c r="BF14" s="169"/>
    </row>
    <row r="15" spans="1:58" ht="51.6" customHeight="1" outlineLevel="1" x14ac:dyDescent="0.25">
      <c r="A15" s="115"/>
      <c r="B15" s="165"/>
      <c r="C15" s="166"/>
      <c r="D15" s="110" t="s">
        <v>378</v>
      </c>
      <c r="E15" s="116" t="s">
        <v>379</v>
      </c>
      <c r="F15" s="209">
        <v>2021</v>
      </c>
      <c r="G15" s="117">
        <v>2030</v>
      </c>
      <c r="H15" s="110" t="s">
        <v>47</v>
      </c>
      <c r="I15" s="252"/>
      <c r="J15" s="252"/>
      <c r="K15" s="252"/>
      <c r="L15" s="127">
        <f>SUM(L12:L14)</f>
        <v>1766200</v>
      </c>
      <c r="M15" s="127">
        <f>SUM(M12:M14)</f>
        <v>294955.40000000002</v>
      </c>
      <c r="N15" s="252"/>
      <c r="O15" s="252"/>
      <c r="P15" s="252"/>
      <c r="Q15" s="252"/>
      <c r="R15" s="127">
        <f>SUM(R12:R14)</f>
        <v>150000</v>
      </c>
      <c r="S15" s="127">
        <f>SUM(S12:S14)</f>
        <v>112500</v>
      </c>
      <c r="T15" s="127">
        <f>SUM(T12:T14)</f>
        <v>0</v>
      </c>
      <c r="U15" s="127">
        <f>SUM(U12:U14)</f>
        <v>200000</v>
      </c>
      <c r="V15" s="252"/>
      <c r="W15" s="252"/>
      <c r="X15" s="252"/>
      <c r="Y15" s="127">
        <f>SUM(Y12:Y14)</f>
        <v>0</v>
      </c>
      <c r="Z15" s="252"/>
      <c r="AA15" s="252"/>
      <c r="AB15" s="127">
        <f>SUM(AB12:AB14)</f>
        <v>1624000</v>
      </c>
      <c r="AC15" s="127">
        <f>SUM(AC12:AC14)</f>
        <v>515500</v>
      </c>
      <c r="AD15" s="127">
        <f>SUM(AD12:AD14)</f>
        <v>0</v>
      </c>
      <c r="AE15" s="127">
        <f>SUM(AE12:AE14)</f>
        <v>520400</v>
      </c>
      <c r="AF15" s="127">
        <f>SUM(AF12:AF14)</f>
        <v>3122400</v>
      </c>
      <c r="AG15" s="252"/>
      <c r="AH15" s="252"/>
      <c r="AI15" s="252"/>
      <c r="AJ15" s="127">
        <f>SUM(AJ12:AJ12)</f>
        <v>0</v>
      </c>
      <c r="AK15" s="127">
        <f>SUM(AK12:AK14)</f>
        <v>0</v>
      </c>
      <c r="AL15" s="127">
        <f>SUM(AL12:AL14)</f>
        <v>0</v>
      </c>
      <c r="AM15" s="127">
        <f>SUM(AM12:AM14)</f>
        <v>0</v>
      </c>
      <c r="AN15" s="127">
        <f>SUM(AN12:AN14)</f>
        <v>0</v>
      </c>
      <c r="AO15" s="253"/>
      <c r="AP15" s="254"/>
      <c r="AQ15" s="175">
        <f>SUM(AQ12:AQ14)</f>
        <v>2061155.4</v>
      </c>
      <c r="AR15" s="175">
        <f>SUM(AR12:AR14)</f>
        <v>3122400</v>
      </c>
      <c r="AS15" s="175">
        <f>SUM(AS12:AS14)</f>
        <v>0</v>
      </c>
      <c r="AT15" s="175">
        <f>SUM(AT12:AT14)</f>
        <v>5183555.4000000004</v>
      </c>
      <c r="AU15" s="175">
        <f t="shared" ref="AU15:BB15" si="6">SUM(AU12:AU14)</f>
        <v>2061155.4</v>
      </c>
      <c r="AV15" s="175">
        <f t="shared" si="6"/>
        <v>0</v>
      </c>
      <c r="AW15" s="175">
        <f>SUM(AW12:AW14)</f>
        <v>0</v>
      </c>
      <c r="AX15" s="175">
        <f t="shared" si="6"/>
        <v>0</v>
      </c>
      <c r="AY15" s="175">
        <f t="shared" si="6"/>
        <v>0</v>
      </c>
      <c r="AZ15" s="175">
        <f t="shared" si="6"/>
        <v>0</v>
      </c>
      <c r="BA15" s="175">
        <f t="shared" si="6"/>
        <v>0</v>
      </c>
      <c r="BB15" s="175">
        <f t="shared" si="6"/>
        <v>-3122400</v>
      </c>
      <c r="BC15" s="169"/>
      <c r="BD15" s="169"/>
      <c r="BE15" s="169"/>
      <c r="BF15" s="169"/>
    </row>
    <row r="16" spans="1:58" s="170" customFormat="1" ht="51.6" customHeight="1" x14ac:dyDescent="0.25">
      <c r="A16" s="120"/>
      <c r="B16" s="290"/>
      <c r="C16" s="391" t="s">
        <v>192</v>
      </c>
      <c r="D16" s="391"/>
      <c r="E16" s="392"/>
      <c r="F16" s="288"/>
      <c r="G16" s="288"/>
      <c r="H16" s="114" t="s">
        <v>209</v>
      </c>
      <c r="I16" s="246"/>
      <c r="J16" s="246"/>
      <c r="K16" s="246"/>
      <c r="L16" s="247">
        <f>SUM(L19)</f>
        <v>6460000</v>
      </c>
      <c r="M16" s="247">
        <f>SUM(M19)</f>
        <v>1078820</v>
      </c>
      <c r="N16" s="247"/>
      <c r="O16" s="247"/>
      <c r="P16" s="247"/>
      <c r="Q16" s="247"/>
      <c r="R16" s="247">
        <f>SUM(R19)</f>
        <v>0</v>
      </c>
      <c r="S16" s="247">
        <f>SUM(S19)</f>
        <v>0</v>
      </c>
      <c r="T16" s="247">
        <f>SUM(T19)</f>
        <v>0</v>
      </c>
      <c r="U16" s="247">
        <f>SUM(U19)</f>
        <v>0</v>
      </c>
      <c r="V16" s="247"/>
      <c r="W16" s="247"/>
      <c r="X16" s="247"/>
      <c r="Y16" s="247">
        <f>SUM(Y19)</f>
        <v>0</v>
      </c>
      <c r="Z16" s="247">
        <f t="shared" ref="Z16:AA16" si="7">SUM(Z19)</f>
        <v>0</v>
      </c>
      <c r="AA16" s="247">
        <f t="shared" si="7"/>
        <v>0</v>
      </c>
      <c r="AB16" s="247">
        <f t="shared" ref="AB16:AF16" si="8">SUM(AB19)</f>
        <v>2270000</v>
      </c>
      <c r="AC16" s="247">
        <f t="shared" si="8"/>
        <v>246000</v>
      </c>
      <c r="AD16" s="247">
        <f t="shared" si="8"/>
        <v>0</v>
      </c>
      <c r="AE16" s="247">
        <f t="shared" si="8"/>
        <v>503200</v>
      </c>
      <c r="AF16" s="247">
        <f t="shared" si="8"/>
        <v>3019200</v>
      </c>
      <c r="AG16" s="247"/>
      <c r="AH16" s="247"/>
      <c r="AI16" s="247"/>
      <c r="AJ16" s="247">
        <f>SUM(AJ19)</f>
        <v>0</v>
      </c>
      <c r="AK16" s="247">
        <f>SUM(AK19)</f>
        <v>0</v>
      </c>
      <c r="AL16" s="247">
        <f>SUM(AL19)</f>
        <v>0</v>
      </c>
      <c r="AM16" s="247">
        <f>SUM(AM19)</f>
        <v>0</v>
      </c>
      <c r="AN16" s="247">
        <f>SUM(AN19)</f>
        <v>0</v>
      </c>
      <c r="AO16" s="247"/>
      <c r="AP16" s="244"/>
      <c r="AQ16" s="248">
        <f>SUM(AQ19)</f>
        <v>7538820</v>
      </c>
      <c r="AR16" s="248">
        <f>SUM(AR19)</f>
        <v>3019200</v>
      </c>
      <c r="AS16" s="248">
        <f>SUM(AS19)</f>
        <v>0</v>
      </c>
      <c r="AT16" s="248">
        <f>SUM(AT19)</f>
        <v>10558020</v>
      </c>
      <c r="AU16" s="248">
        <f t="shared" ref="AU16:BB16" si="9">SUM(AU19)</f>
        <v>3769410</v>
      </c>
      <c r="AV16" s="248">
        <f t="shared" si="9"/>
        <v>0</v>
      </c>
      <c r="AW16" s="248">
        <f>SUM(AW19)</f>
        <v>0</v>
      </c>
      <c r="AX16" s="248">
        <f t="shared" si="9"/>
        <v>0</v>
      </c>
      <c r="AY16" s="248">
        <f t="shared" si="9"/>
        <v>0</v>
      </c>
      <c r="AZ16" s="248">
        <f t="shared" si="9"/>
        <v>0</v>
      </c>
      <c r="BA16" s="248">
        <f t="shared" si="9"/>
        <v>0</v>
      </c>
      <c r="BB16" s="248">
        <f t="shared" si="9"/>
        <v>-6788610</v>
      </c>
    </row>
    <row r="17" spans="1:58" ht="51.6" customHeight="1" outlineLevel="2" x14ac:dyDescent="0.25">
      <c r="A17" s="115"/>
      <c r="B17" s="200"/>
      <c r="C17" s="201"/>
      <c r="D17" s="220"/>
      <c r="E17" s="294"/>
      <c r="F17" s="295"/>
      <c r="G17" s="296"/>
      <c r="H17" s="199" t="s">
        <v>380</v>
      </c>
      <c r="I17" s="130" t="s">
        <v>4</v>
      </c>
      <c r="J17" s="126">
        <v>2</v>
      </c>
      <c r="K17" s="126">
        <v>20</v>
      </c>
      <c r="L17" s="125">
        <f>IF(I17&lt;&gt;0,((VLOOKUP(I17,'1. Standard_Cost'!$B$4:$D$11,2)+VLOOKUP(I17,'1. Standard_Cost'!$B$4:$D$11,3))*J17*K17),"0")</f>
        <v>3230000</v>
      </c>
      <c r="M17" s="125">
        <f>L17*'1. Standard_Cost'!$F$4</f>
        <v>539410</v>
      </c>
      <c r="N17" s="126"/>
      <c r="O17" s="126"/>
      <c r="P17" s="126"/>
      <c r="Q17" s="126"/>
      <c r="R17" s="127">
        <f>'1. Standard_Cost'!$B$15*N17*P17</f>
        <v>0</v>
      </c>
      <c r="S17" s="127">
        <f>N17*O17*P17*'1. Standard_Cost'!$C$15</f>
        <v>0</v>
      </c>
      <c r="T17" s="127">
        <f>N17*P17*Q17*'1. Standard_Cost'!$D$15</f>
        <v>0</v>
      </c>
      <c r="U17" s="127">
        <f>N17*O17*'1. Standard_Cost'!$E$15</f>
        <v>0</v>
      </c>
      <c r="V17" s="126"/>
      <c r="W17" s="126"/>
      <c r="X17" s="126"/>
      <c r="Y17" s="127">
        <f>+V17*((X17*'1. Standard_Cost'!$B$19)+(W17*X17*'1. Standard_Cost'!$C$19))</f>
        <v>0</v>
      </c>
      <c r="Z17" s="126">
        <v>5</v>
      </c>
      <c r="AA17" s="126">
        <v>60</v>
      </c>
      <c r="AB17" s="127">
        <f>+Z17*'1. Standard_Cost'!$B$23+AA17*'1. Standard_Cost'!$C$23</f>
        <v>1510000</v>
      </c>
      <c r="AC17" s="128">
        <f>10*6*300+300*700</f>
        <v>228000</v>
      </c>
      <c r="AD17" s="129"/>
      <c r="AE17" s="127">
        <f>SUM(AD17,AC17,AB17,Y17,U17,T17,S17,R17)*'1. Standard_Cost'!$B$31</f>
        <v>347600</v>
      </c>
      <c r="AF17" s="127">
        <f>SUM(AE17,AD17,AC17,AB17,Y17,U17,T17,S17,R17)</f>
        <v>2085600</v>
      </c>
      <c r="AG17" s="126"/>
      <c r="AH17" s="126"/>
      <c r="AI17" s="126"/>
      <c r="AJ17" s="130"/>
      <c r="AK17" s="130"/>
      <c r="AL17" s="130"/>
      <c r="AM17" s="127">
        <f>AG17*'1. Standard_Cost'!$B$27+'Incremental_Cost Year 5'!AH17*'1. Standard_Cost'!$C$27+'Incremental_Cost Year 5'!AI17*'1. Standard_Cost'!$D$27+'Incremental_Cost Year 5'!AJ17+'Incremental_Cost Year 5'!AL17+AK17</f>
        <v>0</v>
      </c>
      <c r="AN17" s="127">
        <f>AM17*'1. Standard_Cost'!$C$31</f>
        <v>0</v>
      </c>
      <c r="AO17" s="249"/>
      <c r="AQ17" s="171">
        <f>L17+M17</f>
        <v>3769410</v>
      </c>
      <c r="AR17" s="171">
        <f>AF17</f>
        <v>2085600</v>
      </c>
      <c r="AS17" s="171">
        <f>AM17+AN17</f>
        <v>0</v>
      </c>
      <c r="AT17" s="171">
        <f>SUM(AQ17,AR17,AS17)</f>
        <v>5855010</v>
      </c>
      <c r="AU17" s="250"/>
      <c r="AV17" s="250"/>
      <c r="AW17" s="250"/>
      <c r="AX17" s="250"/>
      <c r="AY17" s="250"/>
      <c r="AZ17" s="250"/>
      <c r="BA17" s="250"/>
      <c r="BB17" s="251">
        <f t="shared" ref="BB17:BB18" si="10">SUM(AU17:BA17)-AT17</f>
        <v>-5855010</v>
      </c>
      <c r="BC17" s="169"/>
      <c r="BD17" s="169"/>
      <c r="BE17" s="169"/>
      <c r="BF17" s="169"/>
    </row>
    <row r="18" spans="1:58" ht="51.6" customHeight="1" outlineLevel="2" x14ac:dyDescent="0.25">
      <c r="A18" s="115"/>
      <c r="B18" s="200"/>
      <c r="C18" s="201"/>
      <c r="D18" s="221"/>
      <c r="E18" s="121"/>
      <c r="F18" s="122"/>
      <c r="G18" s="123"/>
      <c r="H18" s="199" t="s">
        <v>381</v>
      </c>
      <c r="I18" s="130" t="s">
        <v>4</v>
      </c>
      <c r="J18" s="126">
        <v>2</v>
      </c>
      <c r="K18" s="126">
        <v>20</v>
      </c>
      <c r="L18" s="125">
        <f>IF(I18&lt;&gt;0,((VLOOKUP(I18,'1. Standard_Cost'!$B$4:$D$11,2)+VLOOKUP(I18,'1. Standard_Cost'!$B$4:$D$11,3))*J18*K18),"0")</f>
        <v>3230000</v>
      </c>
      <c r="M18" s="125">
        <f>L18*'1. Standard_Cost'!$F$4</f>
        <v>539410</v>
      </c>
      <c r="N18" s="126"/>
      <c r="O18" s="126"/>
      <c r="P18" s="126"/>
      <c r="Q18" s="126"/>
      <c r="R18" s="127">
        <f>'1. Standard_Cost'!$B$15*N18*P18</f>
        <v>0</v>
      </c>
      <c r="S18" s="127">
        <f>N18*O18*P18*'1. Standard_Cost'!$C$15</f>
        <v>0</v>
      </c>
      <c r="T18" s="127">
        <f>N18*P18*Q18*'1. Standard_Cost'!$D$15</f>
        <v>0</v>
      </c>
      <c r="U18" s="127">
        <f>N18*O18*'1. Standard_Cost'!$E$15</f>
        <v>0</v>
      </c>
      <c r="V18" s="126"/>
      <c r="W18" s="126"/>
      <c r="X18" s="126"/>
      <c r="Y18" s="127">
        <f>+V18*((X18*'1. Standard_Cost'!$B$19)+(W18*X18*'1. Standard_Cost'!$C$19))</f>
        <v>0</v>
      </c>
      <c r="Z18" s="126"/>
      <c r="AA18" s="126">
        <v>40</v>
      </c>
      <c r="AB18" s="127">
        <f>+Z18*'1. Standard_Cost'!$B$23+AA18*'1. Standard_Cost'!$C$23</f>
        <v>760000</v>
      </c>
      <c r="AC18" s="128">
        <f>60*300</f>
        <v>18000</v>
      </c>
      <c r="AD18" s="129"/>
      <c r="AE18" s="127">
        <f>SUM(AD18,AC18,AB18,Y18,U18,T18,S18,R18)*'1. Standard_Cost'!$B$31</f>
        <v>155600</v>
      </c>
      <c r="AF18" s="127">
        <f>SUM(AE18,AD18,AC18,AB18,Y18,U18,T18,S18,R18)</f>
        <v>933600</v>
      </c>
      <c r="AG18" s="126"/>
      <c r="AH18" s="126"/>
      <c r="AI18" s="126"/>
      <c r="AJ18" s="130"/>
      <c r="AK18" s="130"/>
      <c r="AL18" s="130"/>
      <c r="AM18" s="127">
        <f>AG18*'1. Standard_Cost'!$B$27+'Incremental_Cost Year 5'!AH18*'1. Standard_Cost'!$C$27+'Incremental_Cost Year 5'!AI18*'1. Standard_Cost'!$D$27+'Incremental_Cost Year 5'!AJ18+'Incremental_Cost Year 5'!AL18+AK18</f>
        <v>0</v>
      </c>
      <c r="AN18" s="127">
        <f>AM18*'1. Standard_Cost'!$C$31</f>
        <v>0</v>
      </c>
      <c r="AO18" s="130"/>
      <c r="AQ18" s="171">
        <f>L18+M18</f>
        <v>3769410</v>
      </c>
      <c r="AR18" s="171">
        <f>AF18</f>
        <v>933600</v>
      </c>
      <c r="AS18" s="171">
        <f>AM18+AN18</f>
        <v>0</v>
      </c>
      <c r="AT18" s="171">
        <f>SUM(AQ18,AR18,AS18)</f>
        <v>4703010</v>
      </c>
      <c r="AU18" s="250">
        <f>AQ18</f>
        <v>3769410</v>
      </c>
      <c r="AV18" s="250"/>
      <c r="AW18" s="250"/>
      <c r="AX18" s="250"/>
      <c r="AY18" s="250"/>
      <c r="AZ18" s="250"/>
      <c r="BA18" s="250"/>
      <c r="BB18" s="251">
        <f t="shared" si="10"/>
        <v>-933600</v>
      </c>
      <c r="BC18" s="169"/>
      <c r="BD18" s="169"/>
      <c r="BE18" s="169"/>
      <c r="BF18" s="169"/>
    </row>
    <row r="19" spans="1:58" ht="51.6" customHeight="1" outlineLevel="1" x14ac:dyDescent="0.25">
      <c r="A19" s="115"/>
      <c r="B19" s="200"/>
      <c r="C19" s="201"/>
      <c r="D19" s="107" t="s">
        <v>240</v>
      </c>
      <c r="E19" s="139" t="s">
        <v>193</v>
      </c>
      <c r="F19" s="136">
        <v>2024</v>
      </c>
      <c r="G19" s="117">
        <v>2027</v>
      </c>
      <c r="H19" s="134" t="s">
        <v>194</v>
      </c>
      <c r="I19" s="252"/>
      <c r="J19" s="252"/>
      <c r="K19" s="252"/>
      <c r="L19" s="127">
        <f>SUM(L17:L18)</f>
        <v>6460000</v>
      </c>
      <c r="M19" s="127">
        <f>SUM(M17:M18)</f>
        <v>1078820</v>
      </c>
      <c r="N19" s="127"/>
      <c r="O19" s="252"/>
      <c r="P19" s="252"/>
      <c r="Q19" s="252"/>
      <c r="R19" s="127">
        <f>SUM(R17:R18)</f>
        <v>0</v>
      </c>
      <c r="S19" s="127">
        <f>SUM(S17:S18)</f>
        <v>0</v>
      </c>
      <c r="T19" s="127">
        <f>SUM(T17:T18)</f>
        <v>0</v>
      </c>
      <c r="U19" s="127">
        <f>SUM(U17:U18)</f>
        <v>0</v>
      </c>
      <c r="V19" s="252"/>
      <c r="W19" s="252"/>
      <c r="X19" s="252"/>
      <c r="Y19" s="127">
        <f>SUM(Y17:Y18)</f>
        <v>0</v>
      </c>
      <c r="Z19" s="252"/>
      <c r="AA19" s="252"/>
      <c r="AB19" s="127">
        <f>SUM(AB17:AB18)</f>
        <v>2270000</v>
      </c>
      <c r="AC19" s="127">
        <f>SUM(AC17:AC18)</f>
        <v>246000</v>
      </c>
      <c r="AD19" s="127">
        <f>SUM(AD17:AD18)</f>
        <v>0</v>
      </c>
      <c r="AE19" s="127">
        <f>SUM(AE17:AE18)</f>
        <v>503200</v>
      </c>
      <c r="AF19" s="127">
        <f>SUM(AF17:AF18)</f>
        <v>3019200</v>
      </c>
      <c r="AG19" s="252"/>
      <c r="AH19" s="252"/>
      <c r="AI19" s="252"/>
      <c r="AJ19" s="127">
        <f>SUM(AJ17:AJ18)</f>
        <v>0</v>
      </c>
      <c r="AK19" s="127">
        <f>SUM(AK17:AK18)</f>
        <v>0</v>
      </c>
      <c r="AL19" s="127">
        <f>SUM(AL17:AL18)</f>
        <v>0</v>
      </c>
      <c r="AM19" s="127">
        <f>SUM(AM17:AM18)</f>
        <v>0</v>
      </c>
      <c r="AN19" s="127">
        <f>SUM(AN17:AN18)</f>
        <v>0</v>
      </c>
      <c r="AO19" s="253"/>
      <c r="AP19" s="254"/>
      <c r="AQ19" s="175">
        <f>SUM(AQ17:AQ18)</f>
        <v>7538820</v>
      </c>
      <c r="AR19" s="175">
        <f>SUM(AR17:AR18)</f>
        <v>3019200</v>
      </c>
      <c r="AS19" s="175">
        <f>SUM(AS17:AS18)</f>
        <v>0</v>
      </c>
      <c r="AT19" s="175">
        <f>SUM(AT17:AT18)</f>
        <v>10558020</v>
      </c>
      <c r="AU19" s="175">
        <f t="shared" ref="AU19:BB19" si="11">SUM(AU17:AU18)</f>
        <v>3769410</v>
      </c>
      <c r="AV19" s="175">
        <f t="shared" si="11"/>
        <v>0</v>
      </c>
      <c r="AW19" s="175">
        <f>SUM(AW17:AW18)</f>
        <v>0</v>
      </c>
      <c r="AX19" s="175">
        <f t="shared" si="11"/>
        <v>0</v>
      </c>
      <c r="AY19" s="175">
        <f t="shared" si="11"/>
        <v>0</v>
      </c>
      <c r="AZ19" s="175">
        <f t="shared" si="11"/>
        <v>0</v>
      </c>
      <c r="BA19" s="175">
        <f t="shared" si="11"/>
        <v>0</v>
      </c>
      <c r="BB19" s="175">
        <f t="shared" si="11"/>
        <v>-6788610</v>
      </c>
      <c r="BC19" s="169"/>
      <c r="BD19" s="169"/>
      <c r="BE19" s="169"/>
      <c r="BF19" s="169"/>
    </row>
    <row r="20" spans="1:58" s="170" customFormat="1" ht="51.6" customHeight="1" x14ac:dyDescent="0.25">
      <c r="A20" s="120"/>
      <c r="B20" s="290"/>
      <c r="C20" s="391" t="s">
        <v>195</v>
      </c>
      <c r="D20" s="391"/>
      <c r="E20" s="392"/>
      <c r="F20" s="288"/>
      <c r="G20" s="288"/>
      <c r="H20" s="114" t="s">
        <v>208</v>
      </c>
      <c r="I20" s="246"/>
      <c r="J20" s="246"/>
      <c r="K20" s="246"/>
      <c r="L20" s="247">
        <f>SUM(L25+L29+L37+L39)</f>
        <v>279312600</v>
      </c>
      <c r="M20" s="247">
        <f>SUM(M25+M29+M37+M39)</f>
        <v>46645204.200000003</v>
      </c>
      <c r="N20" s="247"/>
      <c r="O20" s="247"/>
      <c r="P20" s="247"/>
      <c r="Q20" s="247"/>
      <c r="R20" s="247">
        <f>SUM(R25+R29+R37+R39)</f>
        <v>0</v>
      </c>
      <c r="S20" s="247">
        <f>SUM(S25+S29+S37+S39)</f>
        <v>0</v>
      </c>
      <c r="T20" s="247">
        <f>SUM(T25+T29+T37+T39)</f>
        <v>0</v>
      </c>
      <c r="U20" s="247">
        <f>SUM(U25+U29+U37+U39)</f>
        <v>0</v>
      </c>
      <c r="V20" s="247"/>
      <c r="W20" s="247"/>
      <c r="X20" s="247"/>
      <c r="Y20" s="247">
        <f>SUM(Y25+Y29+Y37+Y39)</f>
        <v>0</v>
      </c>
      <c r="Z20" s="247">
        <f t="shared" ref="Z20:AA20" si="12">SUM(Z25+Z29+Z37+Z39)</f>
        <v>0</v>
      </c>
      <c r="AA20" s="247">
        <f t="shared" si="12"/>
        <v>0</v>
      </c>
      <c r="AB20" s="247">
        <f t="shared" ref="AB20:AF20" si="13">SUM(AB25+AB29+AB37+AB39)</f>
        <v>0</v>
      </c>
      <c r="AC20" s="247">
        <f t="shared" si="13"/>
        <v>913418192</v>
      </c>
      <c r="AD20" s="247">
        <f t="shared" si="13"/>
        <v>0</v>
      </c>
      <c r="AE20" s="247">
        <f t="shared" si="13"/>
        <v>570000</v>
      </c>
      <c r="AF20" s="247">
        <f t="shared" si="13"/>
        <v>913988192</v>
      </c>
      <c r="AG20" s="247"/>
      <c r="AH20" s="247"/>
      <c r="AI20" s="247"/>
      <c r="AJ20" s="247">
        <f>SUM(AJ25+AJ29+AJ37+AJ39)</f>
        <v>0</v>
      </c>
      <c r="AK20" s="247">
        <f>SUM(AK25+AK29+AK37+AK39)</f>
        <v>0</v>
      </c>
      <c r="AL20" s="247">
        <f>SUM(AL25+AL29+AL37+AL39)</f>
        <v>0</v>
      </c>
      <c r="AM20" s="247">
        <f>SUM(AM25+AM29+AM37+AM39)</f>
        <v>3240000</v>
      </c>
      <c r="AN20" s="247">
        <f>SUM(AN25+AN29+AN37+AN39)</f>
        <v>486000</v>
      </c>
      <c r="AO20" s="247"/>
      <c r="AP20" s="244"/>
      <c r="AQ20" s="248">
        <f>SUM(AQ25+AQ29+AQ37+AQ39)</f>
        <v>325957804.19999999</v>
      </c>
      <c r="AR20" s="248">
        <f>SUM(AR25+AR29+AR37+AR39)</f>
        <v>913988192</v>
      </c>
      <c r="AS20" s="248">
        <f>SUM(AS25+AS29+AS37+AS39)</f>
        <v>3726000</v>
      </c>
      <c r="AT20" s="248">
        <f>SUM(AT25+AT29+AT37+AT39)</f>
        <v>1243671996.1999998</v>
      </c>
      <c r="AU20" s="248">
        <f t="shared" ref="AU20:BB20" si="14">SUM(AU25+AU29+AU37+AU39)</f>
        <v>1243671996.1999998</v>
      </c>
      <c r="AV20" s="248">
        <f t="shared" si="14"/>
        <v>0</v>
      </c>
      <c r="AW20" s="248">
        <f>SUM(AW25+AW29+AW37+AW39)</f>
        <v>0</v>
      </c>
      <c r="AX20" s="248">
        <f t="shared" si="14"/>
        <v>0</v>
      </c>
      <c r="AY20" s="248">
        <f t="shared" si="14"/>
        <v>0</v>
      </c>
      <c r="AZ20" s="248">
        <f t="shared" si="14"/>
        <v>0</v>
      </c>
      <c r="BA20" s="248">
        <f t="shared" si="14"/>
        <v>0</v>
      </c>
      <c r="BB20" s="248">
        <f t="shared" si="14"/>
        <v>0</v>
      </c>
    </row>
    <row r="21" spans="1:58" ht="51.6" customHeight="1" outlineLevel="2" x14ac:dyDescent="0.25">
      <c r="A21" s="115"/>
      <c r="B21" s="200"/>
      <c r="C21" s="201"/>
      <c r="D21" s="135"/>
      <c r="E21" s="219"/>
      <c r="F21" s="219"/>
      <c r="G21" s="313"/>
      <c r="H21" s="199" t="s">
        <v>382</v>
      </c>
      <c r="I21" s="130"/>
      <c r="J21" s="126"/>
      <c r="K21" s="126"/>
      <c r="L21" s="125" t="str">
        <f>IF(I21&lt;&gt;0,((VLOOKUP(I21,'1. Standard_Cost'!$B$4:$D$11,2)+VLOOKUP(I21,'1. Standard_Cost'!$B$4:$D$11,3))*J21*K21),"0")</f>
        <v>0</v>
      </c>
      <c r="M21" s="125">
        <f>L21*'1. Standard_Cost'!$F$4</f>
        <v>0</v>
      </c>
      <c r="N21" s="126"/>
      <c r="O21" s="126"/>
      <c r="P21" s="126"/>
      <c r="Q21" s="126"/>
      <c r="R21" s="127">
        <f>'1. Standard_Cost'!$B$15*N21*P21</f>
        <v>0</v>
      </c>
      <c r="S21" s="127">
        <f>N21*O21*P21*'1. Standard_Cost'!$C$15</f>
        <v>0</v>
      </c>
      <c r="T21" s="127">
        <f>N21*P21*Q21*'1. Standard_Cost'!$D$15</f>
        <v>0</v>
      </c>
      <c r="U21" s="127">
        <f>N21*O21*'1. Standard_Cost'!$E$15</f>
        <v>0</v>
      </c>
      <c r="V21" s="126"/>
      <c r="W21" s="126"/>
      <c r="X21" s="126"/>
      <c r="Y21" s="127">
        <f>+V21*((X21*'1. Standard_Cost'!$B$19)+(W21*X21*'1. Standard_Cost'!$C$19))</f>
        <v>0</v>
      </c>
      <c r="Z21" s="126"/>
      <c r="AA21" s="126"/>
      <c r="AB21" s="127">
        <f>+Z21*'1. Standard_Cost'!$B$23+AA21*'1. Standard_Cost'!$C$23</f>
        <v>0</v>
      </c>
      <c r="AC21" s="128">
        <v>259026812</v>
      </c>
      <c r="AD21" s="129"/>
      <c r="AE21" s="127">
        <v>0</v>
      </c>
      <c r="AF21" s="127">
        <f>SUM(AE21,AD21,AC21,AB21,Y21,U21,T21,S21,R21)</f>
        <v>259026812</v>
      </c>
      <c r="AG21" s="126"/>
      <c r="AH21" s="126"/>
      <c r="AI21" s="126"/>
      <c r="AJ21" s="130"/>
      <c r="AK21" s="130"/>
      <c r="AL21" s="130"/>
      <c r="AM21" s="127">
        <f>AG21*'1. Standard_Cost'!$B$27+'Incremental_Cost Year 5'!AH21*'1. Standard_Cost'!$C$27+'Incremental_Cost Year 5'!AI21*'1. Standard_Cost'!$D$27+'Incremental_Cost Year 5'!AJ21+'Incremental_Cost Year 5'!AL21+AK21</f>
        <v>0</v>
      </c>
      <c r="AN21" s="127">
        <f>AM21*'1. Standard_Cost'!$C$31</f>
        <v>0</v>
      </c>
      <c r="AO21" s="249"/>
      <c r="AQ21" s="171">
        <f>L21+M21</f>
        <v>0</v>
      </c>
      <c r="AR21" s="171">
        <f>AF21</f>
        <v>259026812</v>
      </c>
      <c r="AS21" s="171">
        <f>AM21+AN21</f>
        <v>0</v>
      </c>
      <c r="AT21" s="171">
        <f>SUM(AQ21,AR21,AS21)</f>
        <v>259026812</v>
      </c>
      <c r="AU21" s="250">
        <f>AT21</f>
        <v>259026812</v>
      </c>
      <c r="AV21" s="250"/>
      <c r="AW21" s="250"/>
      <c r="AX21" s="250"/>
      <c r="AY21" s="250"/>
      <c r="AZ21" s="250"/>
      <c r="BA21" s="250"/>
      <c r="BB21" s="251">
        <f t="shared" ref="BB21:BB24" si="15">SUM(AU21:BA21)-AT21</f>
        <v>0</v>
      </c>
      <c r="BC21" s="169"/>
      <c r="BD21" s="169"/>
      <c r="BE21" s="169"/>
      <c r="BF21" s="169"/>
    </row>
    <row r="22" spans="1:58" ht="51.6" customHeight="1" outlineLevel="2" x14ac:dyDescent="0.25">
      <c r="A22" s="115"/>
      <c r="B22" s="200"/>
      <c r="C22" s="201"/>
      <c r="D22" s="135"/>
      <c r="E22" s="219"/>
      <c r="F22" s="219"/>
      <c r="G22" s="313"/>
      <c r="H22" s="199" t="s">
        <v>225</v>
      </c>
      <c r="I22" s="130" t="s">
        <v>3</v>
      </c>
      <c r="J22" s="126">
        <v>12</v>
      </c>
      <c r="K22" s="126">
        <v>10</v>
      </c>
      <c r="L22" s="125">
        <f>IF(I22&lt;&gt;0,((VLOOKUP(I22,'1. Standard_Cost'!$B$4:$D$11,2)+VLOOKUP(I22,'1. Standard_Cost'!$B$4:$D$11,3))*J22*K22),"0")</f>
        <v>12096000</v>
      </c>
      <c r="M22" s="125">
        <f>L22*'1. Standard_Cost'!$F$4</f>
        <v>2020032</v>
      </c>
      <c r="N22" s="126"/>
      <c r="O22" s="126"/>
      <c r="P22" s="126"/>
      <c r="Q22" s="126"/>
      <c r="R22" s="127">
        <f>'1. Standard_Cost'!$B$15*N22*P22</f>
        <v>0</v>
      </c>
      <c r="S22" s="127">
        <f>N22*O22*P22*'1. Standard_Cost'!$C$15</f>
        <v>0</v>
      </c>
      <c r="T22" s="127">
        <f>N22*P22*Q22*'1. Standard_Cost'!$D$15</f>
        <v>0</v>
      </c>
      <c r="U22" s="127">
        <f>N22*O22*'1. Standard_Cost'!$E$15</f>
        <v>0</v>
      </c>
      <c r="V22" s="126"/>
      <c r="W22" s="126"/>
      <c r="X22" s="126"/>
      <c r="Y22" s="127">
        <f>+V22*((X22*'1. Standard_Cost'!$B$19)+(W22*X22*'1. Standard_Cost'!$C$19))</f>
        <v>0</v>
      </c>
      <c r="Z22" s="126"/>
      <c r="AA22" s="126"/>
      <c r="AB22" s="127">
        <f>+Z22*'1. Standard_Cost'!$B$23+AA22*'1. Standard_Cost'!$C$23</f>
        <v>0</v>
      </c>
      <c r="AC22" s="128">
        <v>50000</v>
      </c>
      <c r="AD22" s="129"/>
      <c r="AE22" s="127">
        <f>SUM(AD22,AC22,AB22,Y22,U22,T22,S22,R22)*'1. Standard_Cost'!$B$31</f>
        <v>10000</v>
      </c>
      <c r="AF22" s="127">
        <f>SUM(AE22,AD22,AC22,AB22,Y22,U22,T22,S22,R22)</f>
        <v>60000</v>
      </c>
      <c r="AG22" s="126">
        <v>36</v>
      </c>
      <c r="AH22" s="126"/>
      <c r="AI22" s="126"/>
      <c r="AJ22" s="130"/>
      <c r="AK22" s="130"/>
      <c r="AL22" s="130"/>
      <c r="AM22" s="127">
        <f>AG22*'1. Standard_Cost'!$B$27+'Incremental_Cost Year 5'!AH22*'1. Standard_Cost'!$C$27+'Incremental_Cost Year 5'!AI22*'1. Standard_Cost'!$D$27+'Incremental_Cost Year 5'!AJ22+'Incremental_Cost Year 5'!AL22+AK22</f>
        <v>3240000</v>
      </c>
      <c r="AN22" s="127">
        <f>AM22*'1. Standard_Cost'!$C$31</f>
        <v>486000</v>
      </c>
      <c r="AO22" s="249"/>
      <c r="AQ22" s="171">
        <f>L22+M22</f>
        <v>14116032</v>
      </c>
      <c r="AR22" s="171">
        <f>AF22</f>
        <v>60000</v>
      </c>
      <c r="AS22" s="171">
        <f>AM22+AN22</f>
        <v>3726000</v>
      </c>
      <c r="AT22" s="171">
        <f>SUM(AQ22,AR22,AS22)</f>
        <v>17902032</v>
      </c>
      <c r="AU22" s="250">
        <f>AT22</f>
        <v>17902032</v>
      </c>
      <c r="AV22" s="250"/>
      <c r="AW22" s="250"/>
      <c r="AX22" s="250"/>
      <c r="AY22" s="250"/>
      <c r="AZ22" s="250"/>
      <c r="BA22" s="250"/>
      <c r="BB22" s="251">
        <f t="shared" si="15"/>
        <v>0</v>
      </c>
      <c r="BC22" s="169"/>
      <c r="BD22" s="169"/>
      <c r="BE22" s="169"/>
      <c r="BF22" s="169"/>
    </row>
    <row r="23" spans="1:58" ht="51.6" customHeight="1" outlineLevel="2" x14ac:dyDescent="0.25">
      <c r="A23" s="115"/>
      <c r="B23" s="200"/>
      <c r="C23" s="201"/>
      <c r="D23" s="135"/>
      <c r="E23" s="219"/>
      <c r="F23" s="219"/>
      <c r="G23" s="313"/>
      <c r="H23" s="199" t="s">
        <v>383</v>
      </c>
      <c r="I23" s="130" t="s">
        <v>5</v>
      </c>
      <c r="J23" s="126">
        <v>12</v>
      </c>
      <c r="K23" s="126">
        <v>36</v>
      </c>
      <c r="L23" s="125">
        <f>IF(I23&lt;&gt;0,((VLOOKUP(I23,'1. Standard_Cost'!$B$4:$D$11,2)+VLOOKUP(I23,'1. Standard_Cost'!$B$4:$D$11,3))*J23*K23),"0")</f>
        <v>30542400</v>
      </c>
      <c r="M23" s="125">
        <f>L23*'1. Standard_Cost'!$F$4</f>
        <v>5100580.8000000007</v>
      </c>
      <c r="N23" s="126"/>
      <c r="O23" s="126"/>
      <c r="P23" s="126"/>
      <c r="Q23" s="126"/>
      <c r="R23" s="127">
        <f>'1. Standard_Cost'!$B$15*N23*P23</f>
        <v>0</v>
      </c>
      <c r="S23" s="127">
        <f>N23*O23*P23*'1. Standard_Cost'!$C$15</f>
        <v>0</v>
      </c>
      <c r="T23" s="127">
        <f>N23*P23*Q23*'1. Standard_Cost'!$D$15</f>
        <v>0</v>
      </c>
      <c r="U23" s="127">
        <f>N23*O23*'1. Standard_Cost'!$E$15</f>
        <v>0</v>
      </c>
      <c r="V23" s="126"/>
      <c r="W23" s="126"/>
      <c r="X23" s="126"/>
      <c r="Y23" s="127">
        <f>+V23*((X23*'1. Standard_Cost'!$B$19)+(W23*X23*'1. Standard_Cost'!$C$19))</f>
        <v>0</v>
      </c>
      <c r="Z23" s="126"/>
      <c r="AA23" s="126"/>
      <c r="AB23" s="127">
        <f>+Z23*'1. Standard_Cost'!$B$23+AA23*'1. Standard_Cost'!$C$23</f>
        <v>0</v>
      </c>
      <c r="AC23" s="128">
        <f>50000*36</f>
        <v>1800000</v>
      </c>
      <c r="AD23" s="129"/>
      <c r="AE23" s="127">
        <f>SUM(AD23,AC23,AB23,Y23,U23,T23,S23,R23)*'1. Standard_Cost'!$B$31</f>
        <v>360000</v>
      </c>
      <c r="AF23" s="127">
        <f>SUM(AE23,AD23,AC23,AB23,Y23,U23,T23,S23,R23)</f>
        <v>2160000</v>
      </c>
      <c r="AG23" s="126"/>
      <c r="AH23" s="126"/>
      <c r="AI23" s="126"/>
      <c r="AJ23" s="130"/>
      <c r="AK23" s="130"/>
      <c r="AL23" s="130"/>
      <c r="AM23" s="127">
        <f>AG23*'1. Standard_Cost'!$B$27+'Incremental_Cost Year 5'!AH23*'1. Standard_Cost'!$C$27+'Incremental_Cost Year 5'!AI23*'1. Standard_Cost'!$D$27+'Incremental_Cost Year 5'!AJ23+'Incremental_Cost Year 5'!AL23+AK23</f>
        <v>0</v>
      </c>
      <c r="AN23" s="127">
        <f>AM23*'1. Standard_Cost'!$C$31</f>
        <v>0</v>
      </c>
      <c r="AO23" s="249"/>
      <c r="AQ23" s="171">
        <f>L23+M23</f>
        <v>35642980.799999997</v>
      </c>
      <c r="AR23" s="171">
        <f>AF23</f>
        <v>2160000</v>
      </c>
      <c r="AS23" s="171">
        <f>AM23+AN23</f>
        <v>0</v>
      </c>
      <c r="AT23" s="171">
        <f>SUM(AQ23,AR23,AS23)</f>
        <v>37802980.799999997</v>
      </c>
      <c r="AU23" s="250">
        <f>AT23</f>
        <v>37802980.799999997</v>
      </c>
      <c r="AV23" s="250"/>
      <c r="AW23" s="250"/>
      <c r="AX23" s="250"/>
      <c r="AY23" s="250"/>
      <c r="AZ23" s="250"/>
      <c r="BA23" s="250"/>
      <c r="BB23" s="251">
        <f t="shared" si="15"/>
        <v>0</v>
      </c>
      <c r="BC23" s="169"/>
      <c r="BD23" s="169"/>
      <c r="BE23" s="169"/>
      <c r="BF23" s="169"/>
    </row>
    <row r="24" spans="1:58" ht="51.6" customHeight="1" outlineLevel="2" x14ac:dyDescent="0.25">
      <c r="A24" s="115"/>
      <c r="B24" s="200"/>
      <c r="C24" s="201"/>
      <c r="D24" s="211"/>
      <c r="E24" s="124"/>
      <c r="F24" s="140"/>
      <c r="G24" s="351"/>
      <c r="H24" s="199"/>
      <c r="I24" s="130"/>
      <c r="J24" s="126"/>
      <c r="K24" s="126"/>
      <c r="L24" s="125" t="str">
        <f>IF(I24&lt;&gt;0,((VLOOKUP(I24,'1. Standard_Cost'!$B$4:$D$11,2)+VLOOKUP(I24,'1. Standard_Cost'!$B$4:$D$11,3))*J24*K24),"0")</f>
        <v>0</v>
      </c>
      <c r="M24" s="125">
        <f>L24*'1. Standard_Cost'!$F$4</f>
        <v>0</v>
      </c>
      <c r="N24" s="126"/>
      <c r="O24" s="126"/>
      <c r="P24" s="126"/>
      <c r="Q24" s="126"/>
      <c r="R24" s="127">
        <f>'1. Standard_Cost'!$B$15*N24*P24</f>
        <v>0</v>
      </c>
      <c r="S24" s="127">
        <f>N24*O24*P24*'1. Standard_Cost'!$C$15</f>
        <v>0</v>
      </c>
      <c r="T24" s="127">
        <f>N24*P24*Q24*'1. Standard_Cost'!$D$15</f>
        <v>0</v>
      </c>
      <c r="U24" s="127">
        <f>N24*O24*'1. Standard_Cost'!$E$15</f>
        <v>0</v>
      </c>
      <c r="V24" s="126"/>
      <c r="W24" s="126"/>
      <c r="X24" s="126"/>
      <c r="Y24" s="127">
        <f>+V24*((X24*'1. Standard_Cost'!$B$19)+(W24*X24*'1. Standard_Cost'!$C$19))</f>
        <v>0</v>
      </c>
      <c r="Z24" s="126"/>
      <c r="AA24" s="126"/>
      <c r="AB24" s="127">
        <f>+Z24*'1. Standard_Cost'!$B$23+AA24*'1. Standard_Cost'!$C$23</f>
        <v>0</v>
      </c>
      <c r="AC24" s="128"/>
      <c r="AD24" s="129"/>
      <c r="AE24" s="127">
        <f>SUM(AD24,AC24,AB24,Y24,U24,T24,S24,R24)*'1. Standard_Cost'!$B$31</f>
        <v>0</v>
      </c>
      <c r="AF24" s="127">
        <f>SUM(AE24,AD24,AC24,AB24,Y24,U24,T24,S24,R24)</f>
        <v>0</v>
      </c>
      <c r="AG24" s="126"/>
      <c r="AH24" s="126"/>
      <c r="AI24" s="126"/>
      <c r="AJ24" s="130"/>
      <c r="AK24" s="130"/>
      <c r="AL24" s="130"/>
      <c r="AM24" s="127">
        <f>AG24*'1. Standard_Cost'!$B$27+'Incremental_Cost Year 5'!AH24*'1. Standard_Cost'!$C$27+'Incremental_Cost Year 5'!AI24*'1. Standard_Cost'!$D$27+'Incremental_Cost Year 5'!AJ24+'Incremental_Cost Year 5'!AL24+AK24</f>
        <v>0</v>
      </c>
      <c r="AN24" s="127">
        <f>AM24*'1. Standard_Cost'!$C$31</f>
        <v>0</v>
      </c>
      <c r="AO24" s="130"/>
      <c r="AQ24" s="171">
        <f>L24+M24</f>
        <v>0</v>
      </c>
      <c r="AR24" s="171">
        <f>AF24</f>
        <v>0</v>
      </c>
      <c r="AS24" s="171">
        <f>AM24+AN24</f>
        <v>0</v>
      </c>
      <c r="AT24" s="171">
        <f>SUM(AQ24,AR24,AS24)</f>
        <v>0</v>
      </c>
      <c r="AU24" s="250">
        <f>AT24</f>
        <v>0</v>
      </c>
      <c r="AV24" s="250"/>
      <c r="AW24" s="250"/>
      <c r="AX24" s="250"/>
      <c r="AY24" s="250"/>
      <c r="AZ24" s="250"/>
      <c r="BA24" s="250"/>
      <c r="BB24" s="251">
        <f t="shared" si="15"/>
        <v>0</v>
      </c>
      <c r="BC24" s="169"/>
      <c r="BD24" s="169"/>
      <c r="BE24" s="169"/>
      <c r="BF24" s="169"/>
    </row>
    <row r="25" spans="1:58" ht="51.6" customHeight="1" outlineLevel="1" x14ac:dyDescent="0.25">
      <c r="A25" s="115"/>
      <c r="B25" s="165"/>
      <c r="C25" s="166"/>
      <c r="D25" s="150" t="s">
        <v>384</v>
      </c>
      <c r="E25" s="139" t="s">
        <v>196</v>
      </c>
      <c r="F25" s="222">
        <v>2021</v>
      </c>
      <c r="G25" s="117">
        <v>2030</v>
      </c>
      <c r="H25" s="134" t="s">
        <v>197</v>
      </c>
      <c r="I25" s="252"/>
      <c r="J25" s="252"/>
      <c r="K25" s="252"/>
      <c r="L25" s="127">
        <f>SUM(L21:L24)</f>
        <v>42638400</v>
      </c>
      <c r="M25" s="127">
        <f>SUM(M21:M24)</f>
        <v>7120612.8000000007</v>
      </c>
      <c r="N25" s="127"/>
      <c r="O25" s="252"/>
      <c r="P25" s="252"/>
      <c r="Q25" s="252"/>
      <c r="R25" s="127">
        <f>SUM(R21:R24)</f>
        <v>0</v>
      </c>
      <c r="S25" s="127">
        <f>SUM(S21:S24)</f>
        <v>0</v>
      </c>
      <c r="T25" s="127">
        <f>SUM(T21:T24)</f>
        <v>0</v>
      </c>
      <c r="U25" s="127">
        <f>SUM(U21:U24)</f>
        <v>0</v>
      </c>
      <c r="V25" s="252"/>
      <c r="W25" s="252"/>
      <c r="X25" s="252"/>
      <c r="Y25" s="127">
        <f>SUM(Y21:Y24)</f>
        <v>0</v>
      </c>
      <c r="Z25" s="252"/>
      <c r="AA25" s="252"/>
      <c r="AB25" s="127">
        <f>SUM(AB21:AB24)</f>
        <v>0</v>
      </c>
      <c r="AC25" s="127">
        <f>SUM(AC21:AC24)</f>
        <v>260876812</v>
      </c>
      <c r="AD25" s="127">
        <f>SUM(AD21:AD24)</f>
        <v>0</v>
      </c>
      <c r="AE25" s="127">
        <f>SUM(AE21:AE24)</f>
        <v>370000</v>
      </c>
      <c r="AF25" s="127">
        <f>SUM(AF21:AF24)</f>
        <v>261246812</v>
      </c>
      <c r="AG25" s="252"/>
      <c r="AH25" s="252"/>
      <c r="AI25" s="252"/>
      <c r="AJ25" s="127">
        <f>SUM(AJ21:AJ24)</f>
        <v>0</v>
      </c>
      <c r="AK25" s="127">
        <f>SUM(AK21:AK24)</f>
        <v>0</v>
      </c>
      <c r="AL25" s="127">
        <f>SUM(AL21:AL24)</f>
        <v>0</v>
      </c>
      <c r="AM25" s="127">
        <f>SUM(AM21:AM24)</f>
        <v>3240000</v>
      </c>
      <c r="AN25" s="127">
        <f>SUM(AN21:AN24)</f>
        <v>486000</v>
      </c>
      <c r="AO25" s="253"/>
      <c r="AP25" s="254"/>
      <c r="AQ25" s="175">
        <f>SUM(AQ21:AQ24)</f>
        <v>49759012.799999997</v>
      </c>
      <c r="AR25" s="175">
        <f>SUM(AR21:AR24)</f>
        <v>261246812</v>
      </c>
      <c r="AS25" s="175">
        <f>SUM(AS21:AS24)</f>
        <v>3726000</v>
      </c>
      <c r="AT25" s="175">
        <f>SUM(AT21:AT24)</f>
        <v>314731824.80000001</v>
      </c>
      <c r="AU25" s="175">
        <f t="shared" ref="AU25:BB25" si="16">SUM(AU21:AU24)</f>
        <v>314731824.80000001</v>
      </c>
      <c r="AV25" s="175">
        <f t="shared" si="16"/>
        <v>0</v>
      </c>
      <c r="AW25" s="175">
        <f>SUM(AW21:AW24)</f>
        <v>0</v>
      </c>
      <c r="AX25" s="175">
        <f t="shared" si="16"/>
        <v>0</v>
      </c>
      <c r="AY25" s="175">
        <f t="shared" si="16"/>
        <v>0</v>
      </c>
      <c r="AZ25" s="175">
        <f t="shared" si="16"/>
        <v>0</v>
      </c>
      <c r="BA25" s="175">
        <f t="shared" si="16"/>
        <v>0</v>
      </c>
      <c r="BB25" s="175">
        <f t="shared" si="16"/>
        <v>0</v>
      </c>
      <c r="BC25" s="169"/>
      <c r="BD25" s="169"/>
      <c r="BE25" s="169"/>
      <c r="BF25" s="169"/>
    </row>
    <row r="26" spans="1:58" ht="51.6" customHeight="1" outlineLevel="2" x14ac:dyDescent="0.25">
      <c r="A26" s="115"/>
      <c r="B26" s="200"/>
      <c r="C26" s="201"/>
      <c r="D26" s="138"/>
      <c r="E26" s="219"/>
      <c r="F26" s="219"/>
      <c r="G26" s="313"/>
      <c r="H26" s="199" t="s">
        <v>385</v>
      </c>
      <c r="I26" s="130"/>
      <c r="J26" s="126"/>
      <c r="K26" s="126"/>
      <c r="L26" s="125" t="str">
        <f>IF(I26&lt;&gt;0,((VLOOKUP(I26,'1. Standard_Cost'!$B$4:$D$11,2)+VLOOKUP(I26,'1. Standard_Cost'!$B$4:$D$11,3))*J26*K26),"0")</f>
        <v>0</v>
      </c>
      <c r="M26" s="125">
        <f>L26*'1. Standard_Cost'!$F$4</f>
        <v>0</v>
      </c>
      <c r="N26" s="126"/>
      <c r="O26" s="126"/>
      <c r="P26" s="126"/>
      <c r="Q26" s="126"/>
      <c r="R26" s="127">
        <f>'1. Standard_Cost'!$B$15*N26*P26</f>
        <v>0</v>
      </c>
      <c r="S26" s="127">
        <f>N26*O26*P26*'1. Standard_Cost'!$C$15</f>
        <v>0</v>
      </c>
      <c r="T26" s="127">
        <f>N26*P26*Q26*'1. Standard_Cost'!$D$15</f>
        <v>0</v>
      </c>
      <c r="U26" s="127">
        <f>N26*O26*'1. Standard_Cost'!$E$15</f>
        <v>0</v>
      </c>
      <c r="V26" s="126"/>
      <c r="W26" s="126"/>
      <c r="X26" s="126"/>
      <c r="Y26" s="127">
        <f>+V26*((X26*'1. Standard_Cost'!$B$19)+(W26*X26*'1. Standard_Cost'!$C$19))</f>
        <v>0</v>
      </c>
      <c r="Z26" s="126"/>
      <c r="AA26" s="126"/>
      <c r="AB26" s="127">
        <f>+Z26*'1. Standard_Cost'!$B$23+AA26*'1. Standard_Cost'!$C$23</f>
        <v>0</v>
      </c>
      <c r="AC26" s="128">
        <v>218101380</v>
      </c>
      <c r="AD26" s="129"/>
      <c r="AE26" s="127">
        <v>0</v>
      </c>
      <c r="AF26" s="127">
        <f>SUM(AE26,AD26,AC26,AB26,Y26,U26,T26,S26,R26)</f>
        <v>218101380</v>
      </c>
      <c r="AG26" s="126"/>
      <c r="AH26" s="126"/>
      <c r="AI26" s="126"/>
      <c r="AJ26" s="130"/>
      <c r="AK26" s="130"/>
      <c r="AL26" s="130"/>
      <c r="AM26" s="127">
        <f>AG26*'1. Standard_Cost'!$B$27+'Incremental_Cost Year 5'!AH26*'1. Standard_Cost'!$C$27+'Incremental_Cost Year 5'!AI26*'1. Standard_Cost'!$D$27+'Incremental_Cost Year 5'!AJ26+'Incremental_Cost Year 5'!AL26+AK26</f>
        <v>0</v>
      </c>
      <c r="AN26" s="127">
        <f>AM26*'1. Standard_Cost'!$C$31</f>
        <v>0</v>
      </c>
      <c r="AO26" s="249"/>
      <c r="AQ26" s="171">
        <f>L26+M26</f>
        <v>0</v>
      </c>
      <c r="AR26" s="171">
        <f>AF26</f>
        <v>218101380</v>
      </c>
      <c r="AS26" s="171">
        <f>AM26+AN26</f>
        <v>0</v>
      </c>
      <c r="AT26" s="171">
        <f>SUM(AQ26,AR26,AS26)</f>
        <v>218101380</v>
      </c>
      <c r="AU26" s="250">
        <f>AT26</f>
        <v>218101380</v>
      </c>
      <c r="AV26" s="250"/>
      <c r="AW26" s="250"/>
      <c r="AX26" s="250"/>
      <c r="AY26" s="250"/>
      <c r="AZ26" s="250"/>
      <c r="BA26" s="250"/>
      <c r="BB26" s="251">
        <f t="shared" ref="BB26:BB28" si="17">SUM(AU26:BA26)-AT26</f>
        <v>0</v>
      </c>
      <c r="BC26" s="169"/>
      <c r="BD26" s="169"/>
      <c r="BE26" s="169"/>
      <c r="BF26" s="169"/>
    </row>
    <row r="27" spans="1:58" ht="51.6" customHeight="1" outlineLevel="2" x14ac:dyDescent="0.25">
      <c r="A27" s="115"/>
      <c r="B27" s="200"/>
      <c r="C27" s="201"/>
      <c r="D27" s="135"/>
      <c r="E27" s="219"/>
      <c r="F27" s="219"/>
      <c r="G27" s="313"/>
      <c r="H27" s="199" t="s">
        <v>386</v>
      </c>
      <c r="I27" s="130"/>
      <c r="J27" s="126"/>
      <c r="K27" s="126"/>
      <c r="L27" s="125" t="str">
        <f>IF(I27&lt;&gt;0,((VLOOKUP(I27,'1. Standard_Cost'!$B$4:$D$11,2)+VLOOKUP(I27,'1. Standard_Cost'!$B$4:$D$11,3))*J27*K27),"0")</f>
        <v>0</v>
      </c>
      <c r="M27" s="125">
        <f>L27*'1. Standard_Cost'!$F$4</f>
        <v>0</v>
      </c>
      <c r="N27" s="126"/>
      <c r="O27" s="126"/>
      <c r="P27" s="126"/>
      <c r="Q27" s="126"/>
      <c r="R27" s="127">
        <f>'1. Standard_Cost'!$B$15*N27*P27</f>
        <v>0</v>
      </c>
      <c r="S27" s="127">
        <f>N27*O27*P27*'1. Standard_Cost'!$C$15</f>
        <v>0</v>
      </c>
      <c r="T27" s="127">
        <f>N27*P27*Q27*'1. Standard_Cost'!$D$15</f>
        <v>0</v>
      </c>
      <c r="U27" s="127">
        <f>N27*O27*'1. Standard_Cost'!$E$15</f>
        <v>0</v>
      </c>
      <c r="V27" s="126"/>
      <c r="W27" s="126"/>
      <c r="X27" s="126"/>
      <c r="Y27" s="127">
        <f>+V27*((X27*'1. Standard_Cost'!$B$19)+(W27*X27*'1. Standard_Cost'!$C$19))</f>
        <v>0</v>
      </c>
      <c r="Z27" s="126"/>
      <c r="AA27" s="126"/>
      <c r="AB27" s="127">
        <f>+Z27*'1. Standard_Cost'!$B$23+AA27*'1. Standard_Cost'!$C$23</f>
        <v>0</v>
      </c>
      <c r="AC27" s="128">
        <v>144690000</v>
      </c>
      <c r="AD27" s="129"/>
      <c r="AE27" s="127">
        <v>0</v>
      </c>
      <c r="AF27" s="127">
        <f>SUM(AE27,AD27,AC27,AB27,Y27,U27,T27,S27,R27)</f>
        <v>144690000</v>
      </c>
      <c r="AG27" s="126"/>
      <c r="AH27" s="126"/>
      <c r="AI27" s="126"/>
      <c r="AJ27" s="130"/>
      <c r="AK27" s="130"/>
      <c r="AL27" s="130"/>
      <c r="AM27" s="127">
        <f>AG27*'1. Standard_Cost'!$B$27+'Incremental_Cost Year 5'!AH27*'1. Standard_Cost'!$C$27+'Incremental_Cost Year 5'!AI27*'1. Standard_Cost'!$D$27+'Incremental_Cost Year 5'!AJ27+'Incremental_Cost Year 5'!AL27+AK27</f>
        <v>0</v>
      </c>
      <c r="AN27" s="127">
        <f>AM27*'1. Standard_Cost'!$C$31</f>
        <v>0</v>
      </c>
      <c r="AO27" s="130"/>
      <c r="AQ27" s="171">
        <f>L27+M27</f>
        <v>0</v>
      </c>
      <c r="AR27" s="171">
        <f>AF27</f>
        <v>144690000</v>
      </c>
      <c r="AS27" s="171">
        <f>AM27+AN27</f>
        <v>0</v>
      </c>
      <c r="AT27" s="171">
        <f>SUM(AQ27,AR27,AS27)</f>
        <v>144690000</v>
      </c>
      <c r="AU27" s="250">
        <f>AT27</f>
        <v>144690000</v>
      </c>
      <c r="AV27" s="250"/>
      <c r="AW27" s="250"/>
      <c r="AX27" s="250"/>
      <c r="AY27" s="250"/>
      <c r="AZ27" s="250"/>
      <c r="BA27" s="250"/>
      <c r="BB27" s="251">
        <f t="shared" si="17"/>
        <v>0</v>
      </c>
      <c r="BC27" s="169"/>
      <c r="BD27" s="169"/>
      <c r="BE27" s="169"/>
      <c r="BF27" s="169"/>
    </row>
    <row r="28" spans="1:58" ht="51.6" customHeight="1" outlineLevel="2" x14ac:dyDescent="0.25">
      <c r="A28" s="115"/>
      <c r="B28" s="200"/>
      <c r="C28" s="201"/>
      <c r="D28" s="223"/>
      <c r="E28" s="219"/>
      <c r="F28" s="219"/>
      <c r="G28" s="313"/>
      <c r="H28" s="103" t="s">
        <v>387</v>
      </c>
      <c r="I28" s="130"/>
      <c r="J28" s="126"/>
      <c r="K28" s="126"/>
      <c r="L28" s="125" t="str">
        <f>IF(I28&lt;&gt;0,((VLOOKUP(I28,'1. Standard_Cost'!$B$4:$D$11,2)+VLOOKUP(I28,'1. Standard_Cost'!$B$4:$D$11,3))*J28*K28),"0")</f>
        <v>0</v>
      </c>
      <c r="M28" s="125">
        <f>L28*'1. Standard_Cost'!$F$4</f>
        <v>0</v>
      </c>
      <c r="N28" s="126"/>
      <c r="O28" s="126"/>
      <c r="P28" s="126"/>
      <c r="Q28" s="126"/>
      <c r="R28" s="127">
        <f>'1. Standard_Cost'!$B$15*N28*P28</f>
        <v>0</v>
      </c>
      <c r="S28" s="127">
        <f>N28*O28*P28*'1. Standard_Cost'!$C$15</f>
        <v>0</v>
      </c>
      <c r="T28" s="127">
        <f>N28*P28*Q28*'1. Standard_Cost'!$D$15</f>
        <v>0</v>
      </c>
      <c r="U28" s="127">
        <f>N28*O28*'1. Standard_Cost'!$E$15</f>
        <v>0</v>
      </c>
      <c r="V28" s="126"/>
      <c r="W28" s="126"/>
      <c r="X28" s="126"/>
      <c r="Y28" s="127">
        <f>+V28*((X28*'1. Standard_Cost'!$B$19)+(W28*X28*'1. Standard_Cost'!$C$19))</f>
        <v>0</v>
      </c>
      <c r="Z28" s="126"/>
      <c r="AA28" s="126"/>
      <c r="AB28" s="127">
        <f>+Z28*'1. Standard_Cost'!$B$23+AA28*'1. Standard_Cost'!$C$23</f>
        <v>0</v>
      </c>
      <c r="AC28" s="128">
        <v>288750000</v>
      </c>
      <c r="AD28" s="129"/>
      <c r="AE28" s="127">
        <v>0</v>
      </c>
      <c r="AF28" s="127">
        <f>SUM(AE28,AD28,AC28,AB28,Y28,U28,T28,S28,R28)</f>
        <v>288750000</v>
      </c>
      <c r="AG28" s="126"/>
      <c r="AH28" s="126"/>
      <c r="AI28" s="126"/>
      <c r="AJ28" s="130"/>
      <c r="AK28" s="130"/>
      <c r="AL28" s="130"/>
      <c r="AM28" s="127">
        <f>AG28*'1. Standard_Cost'!$B$27+'Incremental_Cost Year 5'!AH28*'1. Standard_Cost'!$C$27+'Incremental_Cost Year 5'!AI28*'1. Standard_Cost'!$D$27+'Incremental_Cost Year 5'!AJ28+'Incremental_Cost Year 5'!AL28+AK28</f>
        <v>0</v>
      </c>
      <c r="AN28" s="127">
        <f>AM28*'1. Standard_Cost'!$C$31</f>
        <v>0</v>
      </c>
      <c r="AO28" s="130"/>
      <c r="AQ28" s="171">
        <f>L28+M28</f>
        <v>0</v>
      </c>
      <c r="AR28" s="171">
        <f>AF28</f>
        <v>288750000</v>
      </c>
      <c r="AS28" s="171">
        <f>AM28+AN28</f>
        <v>0</v>
      </c>
      <c r="AT28" s="171">
        <f>SUM(AQ28,AR28,AS28)</f>
        <v>288750000</v>
      </c>
      <c r="AU28" s="250">
        <f>AT28</f>
        <v>288750000</v>
      </c>
      <c r="AV28" s="250"/>
      <c r="AW28" s="250"/>
      <c r="AX28" s="250"/>
      <c r="AY28" s="250"/>
      <c r="AZ28" s="250"/>
      <c r="BA28" s="250"/>
      <c r="BB28" s="251">
        <f t="shared" si="17"/>
        <v>0</v>
      </c>
      <c r="BC28" s="169"/>
      <c r="BD28" s="169"/>
      <c r="BE28" s="169"/>
      <c r="BF28" s="169"/>
    </row>
    <row r="29" spans="1:58" ht="51.6" customHeight="1" outlineLevel="1" x14ac:dyDescent="0.25">
      <c r="A29" s="115"/>
      <c r="B29" s="165"/>
      <c r="C29" s="301"/>
      <c r="D29" s="150" t="s">
        <v>388</v>
      </c>
      <c r="E29" s="139" t="s">
        <v>198</v>
      </c>
      <c r="F29" s="300">
        <v>2021</v>
      </c>
      <c r="G29" s="209">
        <v>2030</v>
      </c>
      <c r="H29" s="134" t="s">
        <v>199</v>
      </c>
      <c r="I29" s="252"/>
      <c r="J29" s="252"/>
      <c r="K29" s="252"/>
      <c r="L29" s="127">
        <f>SUM(L26:L28)</f>
        <v>0</v>
      </c>
      <c r="M29" s="127">
        <f>SUM(M26:M28)</f>
        <v>0</v>
      </c>
      <c r="N29" s="127"/>
      <c r="O29" s="252"/>
      <c r="P29" s="252"/>
      <c r="Q29" s="252"/>
      <c r="R29" s="127">
        <f>SUM(R26:R28)</f>
        <v>0</v>
      </c>
      <c r="S29" s="127">
        <f>SUM(S26:S28)</f>
        <v>0</v>
      </c>
      <c r="T29" s="127">
        <f>SUM(T26:T28)</f>
        <v>0</v>
      </c>
      <c r="U29" s="127">
        <f>SUM(U26:U28)</f>
        <v>0</v>
      </c>
      <c r="V29" s="252"/>
      <c r="W29" s="252"/>
      <c r="X29" s="252"/>
      <c r="Y29" s="127">
        <f>SUM(Y26:Y28)</f>
        <v>0</v>
      </c>
      <c r="Z29" s="252"/>
      <c r="AA29" s="252"/>
      <c r="AB29" s="127">
        <f>SUM(AB26:AB28)</f>
        <v>0</v>
      </c>
      <c r="AC29" s="127">
        <f>SUM(AC26:AC28)</f>
        <v>651541380</v>
      </c>
      <c r="AD29" s="127">
        <f>SUM(AD26:AD28)</f>
        <v>0</v>
      </c>
      <c r="AE29" s="127">
        <f>SUM(AE26:AE28)</f>
        <v>0</v>
      </c>
      <c r="AF29" s="127">
        <f>SUM(AF26:AF28)</f>
        <v>651541380</v>
      </c>
      <c r="AG29" s="252"/>
      <c r="AH29" s="252"/>
      <c r="AI29" s="252"/>
      <c r="AJ29" s="127">
        <f>SUM(AJ26:AJ28)</f>
        <v>0</v>
      </c>
      <c r="AK29" s="127">
        <f>SUM(AK26:AK28)</f>
        <v>0</v>
      </c>
      <c r="AL29" s="127">
        <f>SUM(AL26:AL28)</f>
        <v>0</v>
      </c>
      <c r="AM29" s="127">
        <f>SUM(AM26:AM28)</f>
        <v>0</v>
      </c>
      <c r="AN29" s="127">
        <f>SUM(AN26:AN28)</f>
        <v>0</v>
      </c>
      <c r="AO29" s="253"/>
      <c r="AP29" s="254"/>
      <c r="AQ29" s="175">
        <f>SUM(AQ26:AQ28)</f>
        <v>0</v>
      </c>
      <c r="AR29" s="175">
        <f>SUM(AR26:AR28)</f>
        <v>651541380</v>
      </c>
      <c r="AS29" s="175">
        <f>SUM(AS26:AS28)</f>
        <v>0</v>
      </c>
      <c r="AT29" s="175">
        <f>SUM(AT26:AT28)</f>
        <v>651541380</v>
      </c>
      <c r="AU29" s="175">
        <f t="shared" ref="AU29:BB29" si="18">SUM(AU26:AU28)</f>
        <v>651541380</v>
      </c>
      <c r="AV29" s="175">
        <f t="shared" si="18"/>
        <v>0</v>
      </c>
      <c r="AW29" s="175">
        <f t="shared" si="18"/>
        <v>0</v>
      </c>
      <c r="AX29" s="175">
        <f t="shared" si="18"/>
        <v>0</v>
      </c>
      <c r="AY29" s="175">
        <f t="shared" si="18"/>
        <v>0</v>
      </c>
      <c r="AZ29" s="175">
        <f t="shared" si="18"/>
        <v>0</v>
      </c>
      <c r="BA29" s="175">
        <f t="shared" si="18"/>
        <v>0</v>
      </c>
      <c r="BB29" s="175">
        <f t="shared" si="18"/>
        <v>0</v>
      </c>
      <c r="BC29" s="169"/>
      <c r="BD29" s="169"/>
      <c r="BE29" s="169"/>
      <c r="BF29" s="169"/>
    </row>
    <row r="30" spans="1:58" ht="51.6" customHeight="1" outlineLevel="2" x14ac:dyDescent="0.25">
      <c r="A30" s="115"/>
      <c r="B30" s="200"/>
      <c r="C30" s="201"/>
      <c r="D30" s="138"/>
      <c r="E30" s="295"/>
      <c r="F30" s="295"/>
      <c r="G30" s="296"/>
      <c r="H30" s="299" t="s">
        <v>305</v>
      </c>
      <c r="I30" s="130" t="s">
        <v>3</v>
      </c>
      <c r="J30" s="126">
        <v>12</v>
      </c>
      <c r="K30" s="126">
        <v>4</v>
      </c>
      <c r="L30" s="125">
        <f>IF(I30&lt;&gt;0,((VLOOKUP(I30,'1. Standard_Cost'!$B$4:$D$11,2)+VLOOKUP(I30,'1. Standard_Cost'!$B$4:$D$11,3))*J30*K30),"0")</f>
        <v>4838400</v>
      </c>
      <c r="M30" s="125">
        <f>L30*'1. Standard_Cost'!$F$4</f>
        <v>808012.80000000005</v>
      </c>
      <c r="N30" s="126"/>
      <c r="O30" s="126"/>
      <c r="P30" s="126"/>
      <c r="Q30" s="126"/>
      <c r="R30" s="127">
        <f>'1. Standard_Cost'!$B$15*N30*P30</f>
        <v>0</v>
      </c>
      <c r="S30" s="127">
        <f>N30*O30*P30*'1. Standard_Cost'!$C$15</f>
        <v>0</v>
      </c>
      <c r="T30" s="127">
        <f>N30*P30*Q30*'1. Standard_Cost'!$D$15</f>
        <v>0</v>
      </c>
      <c r="U30" s="127">
        <f>N30*O30*'1. Standard_Cost'!$E$15</f>
        <v>0</v>
      </c>
      <c r="V30" s="126"/>
      <c r="W30" s="126"/>
      <c r="X30" s="126"/>
      <c r="Y30" s="127">
        <f>+V30*((X30*'1. Standard_Cost'!$B$19)+(W30*X30*'1. Standard_Cost'!$C$19))</f>
        <v>0</v>
      </c>
      <c r="Z30" s="126"/>
      <c r="AA30" s="126"/>
      <c r="AB30" s="127">
        <f>+Z30*'1. Standard_Cost'!$B$23+AA30*'1. Standard_Cost'!$C$23</f>
        <v>0</v>
      </c>
      <c r="AC30" s="128"/>
      <c r="AD30" s="129"/>
      <c r="AE30" s="127">
        <f>SUM(AD30,AC30,AB30,Y30,U30,T30,S30,R30)*'1. Standard_Cost'!$B$31</f>
        <v>0</v>
      </c>
      <c r="AF30" s="127">
        <f t="shared" ref="AF30:AF36" si="19">SUM(AE30,AD30,AC30,AB30,Y30,U30,T30,S30,R30)</f>
        <v>0</v>
      </c>
      <c r="AG30" s="126"/>
      <c r="AH30" s="126"/>
      <c r="AI30" s="126"/>
      <c r="AJ30" s="130"/>
      <c r="AK30" s="130"/>
      <c r="AL30" s="130"/>
      <c r="AM30" s="127">
        <f>AG30*'1. Standard_Cost'!$B$27+'Incremental_Cost Year 5'!AH30*'1. Standard_Cost'!$C$27+'Incremental_Cost Year 5'!AI30*'1. Standard_Cost'!$D$27+'Incremental_Cost Year 5'!AJ30+'Incremental_Cost Year 5'!AL30+AK30</f>
        <v>0</v>
      </c>
      <c r="AN30" s="127">
        <f>AM30*'1. Standard_Cost'!$C$31</f>
        <v>0</v>
      </c>
      <c r="AO30" s="249"/>
      <c r="AQ30" s="171">
        <f t="shared" ref="AQ30:AQ36" si="20">L30+M30</f>
        <v>5646412.7999999998</v>
      </c>
      <c r="AR30" s="171">
        <f t="shared" ref="AR30:AR36" si="21">AF30</f>
        <v>0</v>
      </c>
      <c r="AS30" s="171">
        <f t="shared" ref="AS30:AS36" si="22">AM30+AN30</f>
        <v>0</v>
      </c>
      <c r="AT30" s="171">
        <f t="shared" ref="AT30:AT36" si="23">SUM(AQ30,AR30,AS30)</f>
        <v>5646412.7999999998</v>
      </c>
      <c r="AU30" s="250">
        <f>AT30</f>
        <v>5646412.7999999998</v>
      </c>
      <c r="AV30" s="250"/>
      <c r="AW30" s="250"/>
      <c r="AX30" s="250"/>
      <c r="AY30" s="250"/>
      <c r="AZ30" s="250"/>
      <c r="BA30" s="250"/>
      <c r="BB30" s="251">
        <f t="shared" ref="BB30" si="24">SUM(AU30:BA30)-AT30</f>
        <v>0</v>
      </c>
      <c r="BC30" s="169"/>
      <c r="BD30" s="169"/>
      <c r="BE30" s="169"/>
      <c r="BF30" s="169"/>
    </row>
    <row r="31" spans="1:58" ht="51.6" customHeight="1" outlineLevel="2" x14ac:dyDescent="0.25">
      <c r="A31" s="115"/>
      <c r="B31" s="200"/>
      <c r="C31" s="201"/>
      <c r="D31" s="135"/>
      <c r="E31" s="219"/>
      <c r="F31" s="219"/>
      <c r="G31" s="313"/>
      <c r="H31" s="213" t="s">
        <v>226</v>
      </c>
      <c r="I31" s="130" t="s">
        <v>5</v>
      </c>
      <c r="J31" s="126">
        <v>6</v>
      </c>
      <c r="K31" s="126">
        <v>420</v>
      </c>
      <c r="L31" s="125">
        <f>IF(I31&lt;&gt;0,((VLOOKUP(I31,'1. Standard_Cost'!$B$4:$D$11,2)+VLOOKUP(I31,'1. Standard_Cost'!$B$4:$D$11,3))*J31*K31),"0")</f>
        <v>178164000</v>
      </c>
      <c r="M31" s="125">
        <f>L31*'1. Standard_Cost'!$F$4</f>
        <v>29753388</v>
      </c>
      <c r="N31" s="126"/>
      <c r="O31" s="126"/>
      <c r="P31" s="126"/>
      <c r="Q31" s="126"/>
      <c r="R31" s="127">
        <f>'1. Standard_Cost'!$B$15*N31*P31</f>
        <v>0</v>
      </c>
      <c r="S31" s="127">
        <f>N31*O31*P31*'1. Standard_Cost'!$C$15</f>
        <v>0</v>
      </c>
      <c r="T31" s="127">
        <f>N31*P31*Q31*'1. Standard_Cost'!$D$15</f>
        <v>0</v>
      </c>
      <c r="U31" s="127">
        <f>N31*O31*'1. Standard_Cost'!$E$15</f>
        <v>0</v>
      </c>
      <c r="V31" s="126"/>
      <c r="W31" s="126"/>
      <c r="X31" s="126"/>
      <c r="Y31" s="127">
        <f>+V31*((X31*'1. Standard_Cost'!$B$19)+(W31*X31*'1. Standard_Cost'!$C$19))</f>
        <v>0</v>
      </c>
      <c r="Z31" s="126"/>
      <c r="AA31" s="126"/>
      <c r="AB31" s="127">
        <f>+Z31*'1. Standard_Cost'!$B$23+AA31*'1. Standard_Cost'!$C$23</f>
        <v>0</v>
      </c>
      <c r="AC31" s="128"/>
      <c r="AD31" s="129"/>
      <c r="AE31" s="127">
        <f>SUM(AD31,AC31,AB31,Y31,U31,T31,S31,R31)*'1. Standard_Cost'!$B$31</f>
        <v>0</v>
      </c>
      <c r="AF31" s="127">
        <f t="shared" si="19"/>
        <v>0</v>
      </c>
      <c r="AG31" s="126"/>
      <c r="AH31" s="126"/>
      <c r="AI31" s="126"/>
      <c r="AJ31" s="130"/>
      <c r="AK31" s="130"/>
      <c r="AL31" s="130"/>
      <c r="AM31" s="127">
        <f>AG31*'1. Standard_Cost'!$B$27+'Incremental_Cost Year 5'!AH31*'1. Standard_Cost'!$C$27+'Incremental_Cost Year 5'!AI31*'1. Standard_Cost'!$D$27+'Incremental_Cost Year 5'!AJ31+'Incremental_Cost Year 5'!AL31+AK31</f>
        <v>0</v>
      </c>
      <c r="AN31" s="127">
        <f>AM31*'1. Standard_Cost'!$C$31</f>
        <v>0</v>
      </c>
      <c r="AO31" s="249"/>
      <c r="AQ31" s="171">
        <f t="shared" si="20"/>
        <v>207917388</v>
      </c>
      <c r="AR31" s="171">
        <f t="shared" si="21"/>
        <v>0</v>
      </c>
      <c r="AS31" s="171">
        <f t="shared" si="22"/>
        <v>0</v>
      </c>
      <c r="AT31" s="171">
        <f t="shared" si="23"/>
        <v>207917388</v>
      </c>
      <c r="AU31" s="250">
        <f>AT31</f>
        <v>207917388</v>
      </c>
      <c r="AV31" s="250"/>
      <c r="AW31" s="250"/>
      <c r="AX31" s="250"/>
      <c r="AY31" s="250"/>
      <c r="AZ31" s="250"/>
      <c r="BA31" s="250"/>
      <c r="BB31" s="251">
        <f t="shared" ref="BB31:BB36" si="25">SUM(AU31:BA31)-AT31</f>
        <v>0</v>
      </c>
      <c r="BC31" s="169"/>
      <c r="BD31" s="169"/>
      <c r="BE31" s="169"/>
      <c r="BF31" s="169"/>
    </row>
    <row r="32" spans="1:58" ht="51.6" customHeight="1" outlineLevel="2" x14ac:dyDescent="0.25">
      <c r="A32" s="115"/>
      <c r="B32" s="200"/>
      <c r="C32" s="201"/>
      <c r="D32" s="135"/>
      <c r="E32" s="219"/>
      <c r="F32" s="219"/>
      <c r="G32" s="313"/>
      <c r="H32" s="213" t="s">
        <v>306</v>
      </c>
      <c r="I32" s="130" t="s">
        <v>4</v>
      </c>
      <c r="J32" s="126">
        <v>6</v>
      </c>
      <c r="K32" s="126">
        <v>36</v>
      </c>
      <c r="L32" s="125">
        <f>IF(I32&lt;&gt;0,((VLOOKUP(I32,'1. Standard_Cost'!$B$4:$D$11,2)+VLOOKUP(I32,'1. Standard_Cost'!$B$4:$D$11,3))*J32*K32),"0")</f>
        <v>17442000</v>
      </c>
      <c r="M32" s="125">
        <f>L32*'1. Standard_Cost'!$F$4</f>
        <v>2912814</v>
      </c>
      <c r="N32" s="126"/>
      <c r="O32" s="126"/>
      <c r="P32" s="126"/>
      <c r="Q32" s="126"/>
      <c r="R32" s="127">
        <f>'1. Standard_Cost'!$B$15*N32*P32</f>
        <v>0</v>
      </c>
      <c r="S32" s="127">
        <f>N32*O32*P32*'1. Standard_Cost'!$C$15</f>
        <v>0</v>
      </c>
      <c r="T32" s="127">
        <f>N32*P32*Q32*'1. Standard_Cost'!$D$15</f>
        <v>0</v>
      </c>
      <c r="U32" s="127">
        <f>N32*O32*'1. Standard_Cost'!$E$15</f>
        <v>0</v>
      </c>
      <c r="V32" s="126"/>
      <c r="W32" s="126"/>
      <c r="X32" s="126"/>
      <c r="Y32" s="127">
        <f>+V32*((X32*'1. Standard_Cost'!$B$19)+(W32*X32*'1. Standard_Cost'!$C$19))</f>
        <v>0</v>
      </c>
      <c r="Z32" s="126"/>
      <c r="AA32" s="126"/>
      <c r="AB32" s="127">
        <f>+Z32*'1. Standard_Cost'!$B$23+AA32*'1. Standard_Cost'!$C$23</f>
        <v>0</v>
      </c>
      <c r="AC32" s="128"/>
      <c r="AD32" s="129"/>
      <c r="AE32" s="127">
        <f>SUM(AD32,AC32,AB32,Y32,U32,T32,S32,R32)*'1. Standard_Cost'!$B$31</f>
        <v>0</v>
      </c>
      <c r="AF32" s="127">
        <f t="shared" si="19"/>
        <v>0</v>
      </c>
      <c r="AG32" s="126"/>
      <c r="AH32" s="126"/>
      <c r="AI32" s="126"/>
      <c r="AJ32" s="130"/>
      <c r="AK32" s="130"/>
      <c r="AL32" s="130"/>
      <c r="AM32" s="127">
        <f>AG32*'1. Standard_Cost'!$B$27+'Incremental_Cost Year 5'!AH32*'1. Standard_Cost'!$C$27+'Incremental_Cost Year 5'!AI32*'1. Standard_Cost'!$D$27+'Incremental_Cost Year 5'!AJ32+'Incremental_Cost Year 5'!AL32+AK32</f>
        <v>0</v>
      </c>
      <c r="AN32" s="127">
        <f>AM32*'1. Standard_Cost'!$C$31</f>
        <v>0</v>
      </c>
      <c r="AO32" s="249"/>
      <c r="AQ32" s="171">
        <f t="shared" si="20"/>
        <v>20354814</v>
      </c>
      <c r="AR32" s="171">
        <f t="shared" si="21"/>
        <v>0</v>
      </c>
      <c r="AS32" s="171">
        <f t="shared" si="22"/>
        <v>0</v>
      </c>
      <c r="AT32" s="171">
        <f t="shared" si="23"/>
        <v>20354814</v>
      </c>
      <c r="AU32" s="250">
        <f>AT32</f>
        <v>20354814</v>
      </c>
      <c r="AV32" s="250"/>
      <c r="AW32" s="250"/>
      <c r="AX32" s="250"/>
      <c r="AY32" s="250"/>
      <c r="AZ32" s="250"/>
      <c r="BA32" s="250"/>
      <c r="BB32" s="251">
        <f t="shared" si="25"/>
        <v>0</v>
      </c>
      <c r="BC32" s="169"/>
      <c r="BD32" s="169"/>
      <c r="BE32" s="169"/>
      <c r="BF32" s="169"/>
    </row>
    <row r="33" spans="1:58" ht="51.6" customHeight="1" outlineLevel="2" x14ac:dyDescent="0.25">
      <c r="A33" s="115"/>
      <c r="B33" s="200"/>
      <c r="C33" s="201"/>
      <c r="D33" s="135"/>
      <c r="E33" s="219"/>
      <c r="F33" s="219"/>
      <c r="G33" s="313"/>
      <c r="H33" s="213" t="s">
        <v>389</v>
      </c>
      <c r="I33" s="130"/>
      <c r="J33" s="126"/>
      <c r="K33" s="126"/>
      <c r="L33" s="125" t="str">
        <f>IF(I33&lt;&gt;0,((VLOOKUP(I33,'1. Standard_Cost'!$B$4:$D$11,2)+VLOOKUP(I33,'1. Standard_Cost'!$B$4:$D$11,3))*J33*K33),"0")</f>
        <v>0</v>
      </c>
      <c r="M33" s="125">
        <f>L33*'1. Standard_Cost'!$F$4</f>
        <v>0</v>
      </c>
      <c r="N33" s="126"/>
      <c r="O33" s="126"/>
      <c r="P33" s="126"/>
      <c r="Q33" s="126"/>
      <c r="R33" s="127">
        <f>'1. Standard_Cost'!$B$15*N33*P33</f>
        <v>0</v>
      </c>
      <c r="S33" s="127">
        <f>N33*O33*P33*'1. Standard_Cost'!$C$15</f>
        <v>0</v>
      </c>
      <c r="T33" s="127">
        <f>N33*P33*Q33*'1. Standard_Cost'!$D$15</f>
        <v>0</v>
      </c>
      <c r="U33" s="127">
        <f>N33*O33*'1. Standard_Cost'!$E$15</f>
        <v>0</v>
      </c>
      <c r="V33" s="126"/>
      <c r="W33" s="126"/>
      <c r="X33" s="126"/>
      <c r="Y33" s="127">
        <f>+V33*((X33*'1. Standard_Cost'!$B$19)+(W33*X33*'1. Standard_Cost'!$C$19))</f>
        <v>0</v>
      </c>
      <c r="Z33" s="126"/>
      <c r="AA33" s="126"/>
      <c r="AB33" s="127">
        <f>+Z33*'1. Standard_Cost'!$B$23+AA33*'1. Standard_Cost'!$C$23</f>
        <v>0</v>
      </c>
      <c r="AC33" s="128"/>
      <c r="AD33" s="129"/>
      <c r="AE33" s="127">
        <f>SUM(AD33,AC33,AB33,Y33,U33,T33,S33,R33)*'1. Standard_Cost'!$B$31</f>
        <v>0</v>
      </c>
      <c r="AF33" s="127">
        <f t="shared" si="19"/>
        <v>0</v>
      </c>
      <c r="AG33" s="126"/>
      <c r="AH33" s="126"/>
      <c r="AI33" s="126"/>
      <c r="AJ33" s="130"/>
      <c r="AK33" s="130"/>
      <c r="AL33" s="130"/>
      <c r="AM33" s="127">
        <f>AG33*'1. Standard_Cost'!$B$27+'Incremental_Cost Year 5'!AH33*'1. Standard_Cost'!$C$27+'Incremental_Cost Year 5'!AI33*'1. Standard_Cost'!$D$27+'Incremental_Cost Year 5'!AJ33+'Incremental_Cost Year 5'!AL33+AK33</f>
        <v>0</v>
      </c>
      <c r="AN33" s="127">
        <f>AM33*'1. Standard_Cost'!$C$31</f>
        <v>0</v>
      </c>
      <c r="AO33" s="130"/>
      <c r="AQ33" s="171">
        <f t="shared" si="20"/>
        <v>0</v>
      </c>
      <c r="AR33" s="171">
        <f t="shared" si="21"/>
        <v>0</v>
      </c>
      <c r="AS33" s="171">
        <f t="shared" si="22"/>
        <v>0</v>
      </c>
      <c r="AT33" s="171">
        <f t="shared" si="23"/>
        <v>0</v>
      </c>
      <c r="AU33" s="250"/>
      <c r="AV33" s="250"/>
      <c r="AW33" s="250"/>
      <c r="AX33" s="250"/>
      <c r="AY33" s="250"/>
      <c r="AZ33" s="250"/>
      <c r="BA33" s="250"/>
      <c r="BB33" s="251">
        <f t="shared" si="25"/>
        <v>0</v>
      </c>
      <c r="BC33" s="169"/>
      <c r="BD33" s="169"/>
      <c r="BE33" s="169"/>
      <c r="BF33" s="169"/>
    </row>
    <row r="34" spans="1:58" ht="51.6" customHeight="1" outlineLevel="2" x14ac:dyDescent="0.25">
      <c r="A34" s="115"/>
      <c r="B34" s="200"/>
      <c r="C34" s="201"/>
      <c r="D34" s="135"/>
      <c r="E34" s="219"/>
      <c r="F34" s="219"/>
      <c r="G34" s="313"/>
      <c r="H34" s="213" t="s">
        <v>390</v>
      </c>
      <c r="I34" s="130" t="s">
        <v>3</v>
      </c>
      <c r="J34" s="126">
        <v>12</v>
      </c>
      <c r="K34" s="126">
        <v>3</v>
      </c>
      <c r="L34" s="125">
        <f>IF(I34&lt;&gt;0,((VLOOKUP(I34,'1. Standard_Cost'!$B$4:$D$11,2)+VLOOKUP(I34,'1. Standard_Cost'!$B$4:$D$11,3))*J34*K34),"0")</f>
        <v>3628800</v>
      </c>
      <c r="M34" s="125">
        <f>L34*'1. Standard_Cost'!$F$4</f>
        <v>606009.59999999998</v>
      </c>
      <c r="N34" s="126"/>
      <c r="O34" s="126"/>
      <c r="P34" s="126"/>
      <c r="Q34" s="126"/>
      <c r="R34" s="127">
        <f>'1. Standard_Cost'!$B$15*N34*P34</f>
        <v>0</v>
      </c>
      <c r="S34" s="127">
        <f>N34*O34*P34*'1. Standard_Cost'!$C$15</f>
        <v>0</v>
      </c>
      <c r="T34" s="127">
        <f>N34*P34*Q34*'1. Standard_Cost'!$D$15</f>
        <v>0</v>
      </c>
      <c r="U34" s="127">
        <f>N34*O34*'1. Standard_Cost'!$E$15</f>
        <v>0</v>
      </c>
      <c r="V34" s="126"/>
      <c r="W34" s="126"/>
      <c r="X34" s="126"/>
      <c r="Y34" s="127">
        <f>+V34*((X34*'1. Standard_Cost'!$B$19)+(W34*X34*'1. Standard_Cost'!$C$19))</f>
        <v>0</v>
      </c>
      <c r="Z34" s="126"/>
      <c r="AA34" s="126"/>
      <c r="AB34" s="127">
        <f>+Z34*'1. Standard_Cost'!$B$23+AA34*'1. Standard_Cost'!$C$23</f>
        <v>0</v>
      </c>
      <c r="AC34" s="128">
        <v>1000000</v>
      </c>
      <c r="AD34" s="129"/>
      <c r="AE34" s="127">
        <f>SUM(AD34,AC34,AB34,Y34,U34,T34,S34,R34)*'1. Standard_Cost'!$B$31</f>
        <v>200000</v>
      </c>
      <c r="AF34" s="127">
        <f t="shared" si="19"/>
        <v>1200000</v>
      </c>
      <c r="AG34" s="126"/>
      <c r="AH34" s="126"/>
      <c r="AI34" s="126"/>
      <c r="AJ34" s="130"/>
      <c r="AK34" s="130"/>
      <c r="AL34" s="130"/>
      <c r="AM34" s="127">
        <f>AG34*'1. Standard_Cost'!$B$27+'Incremental_Cost Year 5'!AH34*'1. Standard_Cost'!$C$27+'Incremental_Cost Year 5'!AI34*'1. Standard_Cost'!$D$27+'Incremental_Cost Year 5'!AJ34+'Incremental_Cost Year 5'!AL34+AK34</f>
        <v>0</v>
      </c>
      <c r="AN34" s="127">
        <f>AM34*'1. Standard_Cost'!$C$31</f>
        <v>0</v>
      </c>
      <c r="AO34" s="130"/>
      <c r="AQ34" s="171">
        <f t="shared" si="20"/>
        <v>4234809.5999999996</v>
      </c>
      <c r="AR34" s="171">
        <f t="shared" si="21"/>
        <v>1200000</v>
      </c>
      <c r="AS34" s="171">
        <f t="shared" si="22"/>
        <v>0</v>
      </c>
      <c r="AT34" s="171">
        <f t="shared" si="23"/>
        <v>5434809.5999999996</v>
      </c>
      <c r="AU34" s="250">
        <f>AT34</f>
        <v>5434809.5999999996</v>
      </c>
      <c r="AV34" s="250"/>
      <c r="AW34" s="250"/>
      <c r="AX34" s="250"/>
      <c r="AY34" s="250"/>
      <c r="AZ34" s="250"/>
      <c r="BA34" s="250"/>
      <c r="BB34" s="251">
        <f t="shared" si="25"/>
        <v>0</v>
      </c>
      <c r="BC34" s="169"/>
      <c r="BD34" s="169"/>
      <c r="BE34" s="169"/>
      <c r="BF34" s="169"/>
    </row>
    <row r="35" spans="1:58" ht="51.6" customHeight="1" outlineLevel="2" x14ac:dyDescent="0.25">
      <c r="A35" s="115"/>
      <c r="B35" s="200"/>
      <c r="C35" s="201"/>
      <c r="D35" s="135"/>
      <c r="E35" s="219"/>
      <c r="F35" s="219"/>
      <c r="G35" s="313"/>
      <c r="H35" s="213" t="s">
        <v>391</v>
      </c>
      <c r="I35" s="130" t="s">
        <v>5</v>
      </c>
      <c r="J35" s="126">
        <v>1</v>
      </c>
      <c r="K35" s="126">
        <v>420</v>
      </c>
      <c r="L35" s="125">
        <f>IF(I35&lt;&gt;0,((VLOOKUP(I35,'1. Standard_Cost'!$B$4:$D$11,2)+VLOOKUP(I35,'1. Standard_Cost'!$B$4:$D$11,3))*J35*K35),"0")</f>
        <v>29694000</v>
      </c>
      <c r="M35" s="125">
        <f>L35*'1. Standard_Cost'!$F$4</f>
        <v>4958898</v>
      </c>
      <c r="N35" s="126"/>
      <c r="O35" s="126"/>
      <c r="P35" s="126"/>
      <c r="Q35" s="126"/>
      <c r="R35" s="127">
        <f>'1. Standard_Cost'!$B$15*N35*P35</f>
        <v>0</v>
      </c>
      <c r="S35" s="127">
        <f>N35*O35*P35*'1. Standard_Cost'!$C$15</f>
        <v>0</v>
      </c>
      <c r="T35" s="127">
        <f>N35*P35*Q35*'1. Standard_Cost'!$D$15</f>
        <v>0</v>
      </c>
      <c r="U35" s="127">
        <f>N35*O35*'1. Standard_Cost'!$E$15</f>
        <v>0</v>
      </c>
      <c r="V35" s="126"/>
      <c r="W35" s="126"/>
      <c r="X35" s="126"/>
      <c r="Y35" s="127">
        <f>+V35*((X35*'1. Standard_Cost'!$B$19)+(W35*X35*'1. Standard_Cost'!$C$19))</f>
        <v>0</v>
      </c>
      <c r="Z35" s="126"/>
      <c r="AA35" s="126"/>
      <c r="AB35" s="127">
        <f>+Z35*'1. Standard_Cost'!$B$23+AA35*'1. Standard_Cost'!$C$23</f>
        <v>0</v>
      </c>
      <c r="AC35" s="128"/>
      <c r="AD35" s="129"/>
      <c r="AE35" s="127">
        <f>SUM(AD35,AC35,AB35,Y35,U35,T35,S35,R35)*'1. Standard_Cost'!$B$31</f>
        <v>0</v>
      </c>
      <c r="AF35" s="127">
        <f t="shared" si="19"/>
        <v>0</v>
      </c>
      <c r="AG35" s="126"/>
      <c r="AH35" s="126"/>
      <c r="AI35" s="126"/>
      <c r="AJ35" s="130"/>
      <c r="AK35" s="130"/>
      <c r="AL35" s="130"/>
      <c r="AM35" s="127">
        <f>AG35*'1. Standard_Cost'!$B$27+'Incremental_Cost Year 5'!AH35*'1. Standard_Cost'!$C$27+'Incremental_Cost Year 5'!AI35*'1. Standard_Cost'!$D$27+'Incremental_Cost Year 5'!AJ35+'Incremental_Cost Year 5'!AL35+AK35</f>
        <v>0</v>
      </c>
      <c r="AN35" s="127">
        <f>AM35*'1. Standard_Cost'!$C$31</f>
        <v>0</v>
      </c>
      <c r="AO35" s="130"/>
      <c r="AQ35" s="171">
        <f t="shared" si="20"/>
        <v>34652898</v>
      </c>
      <c r="AR35" s="171">
        <f t="shared" si="21"/>
        <v>0</v>
      </c>
      <c r="AS35" s="171">
        <f t="shared" si="22"/>
        <v>0</v>
      </c>
      <c r="AT35" s="171">
        <f t="shared" si="23"/>
        <v>34652898</v>
      </c>
      <c r="AU35" s="250">
        <f>AT35</f>
        <v>34652898</v>
      </c>
      <c r="AV35" s="250"/>
      <c r="AW35" s="250"/>
      <c r="AX35" s="250"/>
      <c r="AY35" s="250"/>
      <c r="AZ35" s="250"/>
      <c r="BA35" s="250"/>
      <c r="BB35" s="251">
        <f t="shared" si="25"/>
        <v>0</v>
      </c>
      <c r="BC35" s="169"/>
      <c r="BD35" s="169"/>
      <c r="BE35" s="169"/>
      <c r="BF35" s="169"/>
    </row>
    <row r="36" spans="1:58" ht="51.6" customHeight="1" outlineLevel="2" x14ac:dyDescent="0.25">
      <c r="A36" s="115"/>
      <c r="B36" s="200"/>
      <c r="C36" s="201"/>
      <c r="D36" s="223"/>
      <c r="E36" s="122"/>
      <c r="F36" s="122"/>
      <c r="G36" s="123"/>
      <c r="H36" s="213" t="s">
        <v>392</v>
      </c>
      <c r="I36" s="130" t="s">
        <v>4</v>
      </c>
      <c r="J36" s="126">
        <v>1</v>
      </c>
      <c r="K36" s="126">
        <v>36</v>
      </c>
      <c r="L36" s="125">
        <f>IF(I36&lt;&gt;0,((VLOOKUP(I36,'1. Standard_Cost'!$B$4:$D$11,2)+VLOOKUP(I36,'1. Standard_Cost'!$B$4:$D$11,3))*J36*K36),"0")</f>
        <v>2907000</v>
      </c>
      <c r="M36" s="125">
        <f>L36*'1. Standard_Cost'!$F$4</f>
        <v>485469</v>
      </c>
      <c r="N36" s="126"/>
      <c r="O36" s="126"/>
      <c r="P36" s="126"/>
      <c r="Q36" s="126"/>
      <c r="R36" s="127">
        <f>'1. Standard_Cost'!$B$15*N36*P36</f>
        <v>0</v>
      </c>
      <c r="S36" s="127">
        <f>N36*O36*P36*'1. Standard_Cost'!$C$15</f>
        <v>0</v>
      </c>
      <c r="T36" s="127">
        <f>N36*P36*Q36*'1. Standard_Cost'!$D$15</f>
        <v>0</v>
      </c>
      <c r="U36" s="127">
        <f>N36*O36*'1. Standard_Cost'!$E$15</f>
        <v>0</v>
      </c>
      <c r="V36" s="126"/>
      <c r="W36" s="126"/>
      <c r="X36" s="126"/>
      <c r="Y36" s="127">
        <f>+V36*((X36*'1. Standard_Cost'!$B$19)+(W36*X36*'1. Standard_Cost'!$C$19))</f>
        <v>0</v>
      </c>
      <c r="Z36" s="126"/>
      <c r="AA36" s="126"/>
      <c r="AB36" s="127">
        <f>+Z36*'1. Standard_Cost'!$B$23+AA36*'1. Standard_Cost'!$C$23</f>
        <v>0</v>
      </c>
      <c r="AC36" s="128"/>
      <c r="AD36" s="129"/>
      <c r="AE36" s="127">
        <f>SUM(AD36,AC36,AB36,Y36,U36,T36,S36,R36)*'1. Standard_Cost'!$B$31</f>
        <v>0</v>
      </c>
      <c r="AF36" s="127">
        <f t="shared" si="19"/>
        <v>0</v>
      </c>
      <c r="AG36" s="126"/>
      <c r="AH36" s="126"/>
      <c r="AI36" s="126"/>
      <c r="AJ36" s="130"/>
      <c r="AK36" s="130"/>
      <c r="AL36" s="130"/>
      <c r="AM36" s="127">
        <f>AG36*'1. Standard_Cost'!$B$27+'Incremental_Cost Year 5'!AH36*'1. Standard_Cost'!$C$27+'Incremental_Cost Year 5'!AI36*'1. Standard_Cost'!$D$27+'Incremental_Cost Year 5'!AJ36+'Incremental_Cost Year 5'!AL36+AK36</f>
        <v>0</v>
      </c>
      <c r="AN36" s="127">
        <f>AM36*'1. Standard_Cost'!$C$31</f>
        <v>0</v>
      </c>
      <c r="AO36" s="130"/>
      <c r="AQ36" s="171">
        <f t="shared" si="20"/>
        <v>3392469</v>
      </c>
      <c r="AR36" s="171">
        <f t="shared" si="21"/>
        <v>0</v>
      </c>
      <c r="AS36" s="171">
        <f t="shared" si="22"/>
        <v>0</v>
      </c>
      <c r="AT36" s="171">
        <f t="shared" si="23"/>
        <v>3392469</v>
      </c>
      <c r="AU36" s="250">
        <f>AT36</f>
        <v>3392469</v>
      </c>
      <c r="AV36" s="250"/>
      <c r="AW36" s="250"/>
      <c r="AX36" s="250"/>
      <c r="AY36" s="250"/>
      <c r="AZ36" s="250"/>
      <c r="BA36" s="250"/>
      <c r="BB36" s="251">
        <f t="shared" si="25"/>
        <v>0</v>
      </c>
      <c r="BC36" s="169"/>
      <c r="BD36" s="169"/>
      <c r="BE36" s="169"/>
      <c r="BF36" s="169"/>
    </row>
    <row r="37" spans="1:58" ht="51.6" customHeight="1" outlineLevel="1" x14ac:dyDescent="0.25">
      <c r="A37" s="115"/>
      <c r="B37" s="165"/>
      <c r="C37" s="166"/>
      <c r="D37" s="150" t="s">
        <v>384</v>
      </c>
      <c r="E37" s="139" t="s">
        <v>200</v>
      </c>
      <c r="F37" s="222">
        <v>2021</v>
      </c>
      <c r="G37" s="117">
        <v>2030</v>
      </c>
      <c r="H37" s="134" t="s">
        <v>201</v>
      </c>
      <c r="I37" s="252"/>
      <c r="J37" s="252"/>
      <c r="K37" s="252"/>
      <c r="L37" s="127">
        <f>SUM(L30:L36)</f>
        <v>236674200</v>
      </c>
      <c r="M37" s="127">
        <f>SUM(M30:M36)</f>
        <v>39524591.399999999</v>
      </c>
      <c r="N37" s="127"/>
      <c r="O37" s="252"/>
      <c r="P37" s="252"/>
      <c r="Q37" s="252"/>
      <c r="R37" s="127">
        <f>SUM(R30:R36)</f>
        <v>0</v>
      </c>
      <c r="S37" s="127">
        <f>SUM(S30:S36)</f>
        <v>0</v>
      </c>
      <c r="T37" s="127">
        <f>SUM(T30:T36)</f>
        <v>0</v>
      </c>
      <c r="U37" s="127">
        <f>SUM(U30:U36)</f>
        <v>0</v>
      </c>
      <c r="V37" s="252"/>
      <c r="W37" s="252"/>
      <c r="X37" s="252"/>
      <c r="Y37" s="127">
        <f>SUM(Y30:Y36)</f>
        <v>0</v>
      </c>
      <c r="Z37" s="252"/>
      <c r="AA37" s="252"/>
      <c r="AB37" s="127">
        <f>SUM(AB30:AB36)</f>
        <v>0</v>
      </c>
      <c r="AC37" s="127">
        <f>SUM(AC30:AC36)</f>
        <v>1000000</v>
      </c>
      <c r="AD37" s="127">
        <f>SUM(AD30:AD36)</f>
        <v>0</v>
      </c>
      <c r="AE37" s="127">
        <f>SUM(AE30:AE36)</f>
        <v>200000</v>
      </c>
      <c r="AF37" s="127">
        <f>SUM(AF30:AF36)</f>
        <v>1200000</v>
      </c>
      <c r="AG37" s="252"/>
      <c r="AH37" s="252"/>
      <c r="AI37" s="252"/>
      <c r="AJ37" s="127">
        <f>SUM(AJ30:AJ36)</f>
        <v>0</v>
      </c>
      <c r="AK37" s="127">
        <f>SUM(AK30:AK36)</f>
        <v>0</v>
      </c>
      <c r="AL37" s="127">
        <f>SUM(AL30:AL36)</f>
        <v>0</v>
      </c>
      <c r="AM37" s="127">
        <f>SUM(AM30:AM36)</f>
        <v>0</v>
      </c>
      <c r="AN37" s="127">
        <f>SUM(AN30:AN36)</f>
        <v>0</v>
      </c>
      <c r="AO37" s="253"/>
      <c r="AP37" s="254"/>
      <c r="AQ37" s="175">
        <f>SUM(AQ30:AQ36)</f>
        <v>276198791.39999998</v>
      </c>
      <c r="AR37" s="175">
        <f>SUM(AR30:AR36)</f>
        <v>1200000</v>
      </c>
      <c r="AS37" s="175">
        <f>SUM(AS30:AS36)</f>
        <v>0</v>
      </c>
      <c r="AT37" s="175">
        <f>SUM(AT30:AT36)</f>
        <v>277398791.39999998</v>
      </c>
      <c r="AU37" s="175">
        <f t="shared" ref="AU37:BB37" si="26">SUM(AU30:AU36)</f>
        <v>277398791.39999998</v>
      </c>
      <c r="AV37" s="175">
        <f t="shared" si="26"/>
        <v>0</v>
      </c>
      <c r="AW37" s="175">
        <f t="shared" si="26"/>
        <v>0</v>
      </c>
      <c r="AX37" s="175">
        <f t="shared" si="26"/>
        <v>0</v>
      </c>
      <c r="AY37" s="175">
        <f t="shared" si="26"/>
        <v>0</v>
      </c>
      <c r="AZ37" s="175">
        <f t="shared" si="26"/>
        <v>0</v>
      </c>
      <c r="BA37" s="175">
        <f t="shared" si="26"/>
        <v>0</v>
      </c>
      <c r="BB37" s="175">
        <f t="shared" si="26"/>
        <v>0</v>
      </c>
      <c r="BC37" s="169"/>
      <c r="BD37" s="169"/>
      <c r="BE37" s="169"/>
      <c r="BF37" s="169"/>
    </row>
    <row r="38" spans="1:58" ht="51.6" customHeight="1" outlineLevel="2" x14ac:dyDescent="0.25">
      <c r="A38" s="115"/>
      <c r="B38" s="200"/>
      <c r="C38" s="201"/>
      <c r="D38" s="224"/>
      <c r="E38" s="135" t="s">
        <v>393</v>
      </c>
      <c r="F38" s="302">
        <v>2021</v>
      </c>
      <c r="G38" s="302">
        <v>2023</v>
      </c>
      <c r="H38" s="199" t="s">
        <v>394</v>
      </c>
      <c r="I38" s="130"/>
      <c r="J38" s="126"/>
      <c r="K38" s="126"/>
      <c r="L38" s="125" t="str">
        <f>IF(I38&lt;&gt;0,((VLOOKUP(I38,'1. Standard_Cost'!$B$4:$D$11,2)+VLOOKUP(I38,'1. Standard_Cost'!$B$4:$D$11,3))*J38*K38),"0")</f>
        <v>0</v>
      </c>
      <c r="M38" s="125">
        <f>L38*'1. Standard_Cost'!$F$4</f>
        <v>0</v>
      </c>
      <c r="N38" s="126"/>
      <c r="O38" s="126"/>
      <c r="P38" s="126"/>
      <c r="Q38" s="126"/>
      <c r="R38" s="127">
        <f>'1. Standard_Cost'!$B$15*N38*P38</f>
        <v>0</v>
      </c>
      <c r="S38" s="127">
        <f>N38*O38*P38*'1. Standard_Cost'!$C$15</f>
        <v>0</v>
      </c>
      <c r="T38" s="127">
        <f>N38*P38*Q38*'1. Standard_Cost'!$D$15</f>
        <v>0</v>
      </c>
      <c r="U38" s="127">
        <f>N38*O38*'1. Standard_Cost'!$E$15</f>
        <v>0</v>
      </c>
      <c r="V38" s="126"/>
      <c r="W38" s="126"/>
      <c r="X38" s="126"/>
      <c r="Y38" s="127">
        <f>+V38*((X38*'1. Standard_Cost'!$B$19)+(W38*X38*'1. Standard_Cost'!$C$19))</f>
        <v>0</v>
      </c>
      <c r="Z38" s="126"/>
      <c r="AA38" s="126"/>
      <c r="AB38" s="127">
        <f>+Z38*'1. Standard_Cost'!$B$23+AA38*'1. Standard_Cost'!$C$23</f>
        <v>0</v>
      </c>
      <c r="AC38" s="128"/>
      <c r="AD38" s="129"/>
      <c r="AE38" s="127"/>
      <c r="AF38" s="127">
        <f>SUM(AE38,AD38,AC38,AB38,Y38,U38,T38,S38,R38)</f>
        <v>0</v>
      </c>
      <c r="AG38" s="126"/>
      <c r="AH38" s="126"/>
      <c r="AI38" s="126"/>
      <c r="AJ38" s="130"/>
      <c r="AK38" s="130"/>
      <c r="AL38" s="130"/>
      <c r="AM38" s="127">
        <f>AG38*'1. Standard_Cost'!$B$27+'Incremental_Cost Year 5'!AH38*'1. Standard_Cost'!$C$27+'Incremental_Cost Year 5'!AI38*'1. Standard_Cost'!$D$27+'Incremental_Cost Year 5'!AJ38+'Incremental_Cost Year 5'!AL38+AK38</f>
        <v>0</v>
      </c>
      <c r="AN38" s="127">
        <f>AM38*'1. Standard_Cost'!$C$31</f>
        <v>0</v>
      </c>
      <c r="AO38" s="249"/>
      <c r="AQ38" s="171">
        <f>L38+M38</f>
        <v>0</v>
      </c>
      <c r="AR38" s="171">
        <f>AF38</f>
        <v>0</v>
      </c>
      <c r="AS38" s="171">
        <f>AM38+AN38</f>
        <v>0</v>
      </c>
      <c r="AT38" s="171">
        <f>SUM(AQ38,AR38,AS38)</f>
        <v>0</v>
      </c>
      <c r="AU38" s="250">
        <f>AT38</f>
        <v>0</v>
      </c>
      <c r="AV38" s="250"/>
      <c r="AW38" s="250"/>
      <c r="AX38" s="250"/>
      <c r="AY38" s="250"/>
      <c r="AZ38" s="250"/>
      <c r="BA38" s="250"/>
      <c r="BB38" s="251">
        <f t="shared" ref="BB38" si="27">SUM(AU38:BA38)-AT38</f>
        <v>0</v>
      </c>
      <c r="BC38" s="169"/>
      <c r="BD38" s="169"/>
      <c r="BE38" s="169"/>
      <c r="BF38" s="169"/>
    </row>
    <row r="39" spans="1:58" ht="51.6" customHeight="1" outlineLevel="1" x14ac:dyDescent="0.25">
      <c r="A39" s="115"/>
      <c r="B39" s="303"/>
      <c r="C39" s="304"/>
      <c r="D39" s="107" t="s">
        <v>388</v>
      </c>
      <c r="E39" s="139" t="s">
        <v>202</v>
      </c>
      <c r="F39" s="122">
        <v>2021</v>
      </c>
      <c r="G39" s="223">
        <v>2030</v>
      </c>
      <c r="H39" s="134" t="s">
        <v>203</v>
      </c>
      <c r="I39" s="252"/>
      <c r="J39" s="252"/>
      <c r="K39" s="252"/>
      <c r="L39" s="127">
        <f>SUM(L38:L38)</f>
        <v>0</v>
      </c>
      <c r="M39" s="127">
        <f>SUM(M38:M38)</f>
        <v>0</v>
      </c>
      <c r="N39" s="127"/>
      <c r="O39" s="252"/>
      <c r="P39" s="252"/>
      <c r="Q39" s="252"/>
      <c r="R39" s="127">
        <f>SUM(R38:R38)</f>
        <v>0</v>
      </c>
      <c r="S39" s="127">
        <f>SUM(S38:S38)</f>
        <v>0</v>
      </c>
      <c r="T39" s="127">
        <f>SUM(T38:T38)</f>
        <v>0</v>
      </c>
      <c r="U39" s="127">
        <f>SUM(U38:U38)</f>
        <v>0</v>
      </c>
      <c r="V39" s="252"/>
      <c r="W39" s="252"/>
      <c r="X39" s="252"/>
      <c r="Y39" s="127">
        <f>SUM(Y38:Y38)</f>
        <v>0</v>
      </c>
      <c r="Z39" s="252"/>
      <c r="AA39" s="252"/>
      <c r="AB39" s="127">
        <f>SUM(AB38:AB38)</f>
        <v>0</v>
      </c>
      <c r="AC39" s="127">
        <f>SUM(AC38:AC38)</f>
        <v>0</v>
      </c>
      <c r="AD39" s="127">
        <f>SUM(AD38:AD38)</f>
        <v>0</v>
      </c>
      <c r="AE39" s="127">
        <f>SUM(AE38:AE38)</f>
        <v>0</v>
      </c>
      <c r="AF39" s="127">
        <f>SUM(AF38:AF38)</f>
        <v>0</v>
      </c>
      <c r="AG39" s="252"/>
      <c r="AH39" s="252"/>
      <c r="AI39" s="252"/>
      <c r="AJ39" s="127">
        <f>SUM(AJ38:AJ38)</f>
        <v>0</v>
      </c>
      <c r="AK39" s="127">
        <f>SUM(AK38:AK38)</f>
        <v>0</v>
      </c>
      <c r="AL39" s="127">
        <f>SUM(AL38:AL38)</f>
        <v>0</v>
      </c>
      <c r="AM39" s="127">
        <f>SUM(AM38:AM38)</f>
        <v>0</v>
      </c>
      <c r="AN39" s="127">
        <f>SUM(AN38:AN38)</f>
        <v>0</v>
      </c>
      <c r="AO39" s="253"/>
      <c r="AP39" s="254"/>
      <c r="AQ39" s="175">
        <f>SUM(AQ38:AQ38)</f>
        <v>0</v>
      </c>
      <c r="AR39" s="175">
        <f>SUM(AR38:AR38)</f>
        <v>0</v>
      </c>
      <c r="AS39" s="175">
        <f>SUM(AS38:AS38)</f>
        <v>0</v>
      </c>
      <c r="AT39" s="175">
        <f>SUM(AT38:AT38)</f>
        <v>0</v>
      </c>
      <c r="AU39" s="175">
        <f t="shared" ref="AU39:BB39" si="28">SUM(AU38:AU38)</f>
        <v>0</v>
      </c>
      <c r="AV39" s="175">
        <f t="shared" si="28"/>
        <v>0</v>
      </c>
      <c r="AW39" s="175">
        <f t="shared" si="28"/>
        <v>0</v>
      </c>
      <c r="AX39" s="175">
        <f t="shared" si="28"/>
        <v>0</v>
      </c>
      <c r="AY39" s="175">
        <f t="shared" si="28"/>
        <v>0</v>
      </c>
      <c r="AZ39" s="175">
        <f t="shared" si="28"/>
        <v>0</v>
      </c>
      <c r="BA39" s="175">
        <f t="shared" si="28"/>
        <v>0</v>
      </c>
      <c r="BB39" s="175">
        <f t="shared" si="28"/>
        <v>0</v>
      </c>
      <c r="BC39" s="169"/>
      <c r="BD39" s="169"/>
      <c r="BE39" s="169"/>
      <c r="BF39" s="169"/>
    </row>
    <row r="40" spans="1:58" s="170" customFormat="1" ht="51.6" customHeight="1" x14ac:dyDescent="0.25">
      <c r="A40" s="120"/>
      <c r="B40" s="290"/>
      <c r="C40" s="391" t="s">
        <v>204</v>
      </c>
      <c r="D40" s="391"/>
      <c r="E40" s="392"/>
      <c r="F40" s="289"/>
      <c r="G40" s="288"/>
      <c r="H40" s="114" t="s">
        <v>207</v>
      </c>
      <c r="I40" s="246"/>
      <c r="J40" s="246"/>
      <c r="K40" s="246"/>
      <c r="L40" s="247">
        <f>SUM(L44)</f>
        <v>201875</v>
      </c>
      <c r="M40" s="247">
        <f>SUM(M44)</f>
        <v>33713.125</v>
      </c>
      <c r="N40" s="247"/>
      <c r="O40" s="247"/>
      <c r="P40" s="247"/>
      <c r="Q40" s="247"/>
      <c r="R40" s="247">
        <f>SUM(R44)</f>
        <v>500000</v>
      </c>
      <c r="S40" s="247">
        <f>SUM(S44)</f>
        <v>375000</v>
      </c>
      <c r="T40" s="247">
        <f>SUM(T44)</f>
        <v>0</v>
      </c>
      <c r="U40" s="247">
        <f>SUM(U44)</f>
        <v>400000</v>
      </c>
      <c r="V40" s="247"/>
      <c r="W40" s="247"/>
      <c r="X40" s="247"/>
      <c r="Y40" s="247">
        <f>SUM(Y44)</f>
        <v>0</v>
      </c>
      <c r="Z40" s="247">
        <f t="shared" ref="Z40:AA40" si="29">SUM(Z44)</f>
        <v>0</v>
      </c>
      <c r="AA40" s="247">
        <f t="shared" si="29"/>
        <v>0</v>
      </c>
      <c r="AB40" s="247">
        <f t="shared" ref="AB40:AF40" si="30">SUM(AB44)</f>
        <v>228000</v>
      </c>
      <c r="AC40" s="247">
        <f t="shared" si="30"/>
        <v>825000</v>
      </c>
      <c r="AD40" s="247">
        <f t="shared" si="30"/>
        <v>0</v>
      </c>
      <c r="AE40" s="247">
        <f t="shared" si="30"/>
        <v>465600</v>
      </c>
      <c r="AF40" s="247">
        <f t="shared" si="30"/>
        <v>2793600</v>
      </c>
      <c r="AG40" s="247"/>
      <c r="AH40" s="247"/>
      <c r="AI40" s="247"/>
      <c r="AJ40" s="247">
        <f>SUM(AJ44)</f>
        <v>0</v>
      </c>
      <c r="AK40" s="247">
        <f>SUM(AK44)</f>
        <v>0</v>
      </c>
      <c r="AL40" s="247">
        <f>SUM(AL44)</f>
        <v>0</v>
      </c>
      <c r="AM40" s="247">
        <f>SUM(AM44)</f>
        <v>0</v>
      </c>
      <c r="AN40" s="247">
        <f>SUM(AN44)</f>
        <v>0</v>
      </c>
      <c r="AO40" s="247"/>
      <c r="AP40" s="244"/>
      <c r="AQ40" s="248">
        <f>SUM(AQ44)</f>
        <v>235588.125</v>
      </c>
      <c r="AR40" s="248">
        <f>SUM(AR44)</f>
        <v>2793600</v>
      </c>
      <c r="AS40" s="248">
        <f>SUM(AS44)</f>
        <v>0</v>
      </c>
      <c r="AT40" s="248">
        <f>SUM(AT44)</f>
        <v>3029188.125</v>
      </c>
      <c r="AU40" s="248">
        <f t="shared" ref="AU40:BB40" si="31">SUM(AU44)</f>
        <v>235588.125</v>
      </c>
      <c r="AV40" s="248">
        <f t="shared" si="31"/>
        <v>0</v>
      </c>
      <c r="AW40" s="248">
        <f t="shared" si="31"/>
        <v>0</v>
      </c>
      <c r="AX40" s="248">
        <f t="shared" si="31"/>
        <v>0</v>
      </c>
      <c r="AY40" s="248">
        <f t="shared" si="31"/>
        <v>0</v>
      </c>
      <c r="AZ40" s="248">
        <f t="shared" si="31"/>
        <v>0</v>
      </c>
      <c r="BA40" s="248">
        <f t="shared" si="31"/>
        <v>0</v>
      </c>
      <c r="BB40" s="248">
        <f t="shared" si="31"/>
        <v>-2793600</v>
      </c>
    </row>
    <row r="41" spans="1:58" ht="51.6" customHeight="1" outlineLevel="2" x14ac:dyDescent="0.25">
      <c r="A41" s="115"/>
      <c r="B41" s="200"/>
      <c r="C41" s="201"/>
      <c r="D41" s="138"/>
      <c r="E41" s="295"/>
      <c r="F41" s="295"/>
      <c r="G41" s="296"/>
      <c r="H41" s="213" t="s">
        <v>395</v>
      </c>
      <c r="I41" s="130"/>
      <c r="J41" s="126"/>
      <c r="K41" s="126"/>
      <c r="L41" s="125" t="str">
        <f>IF(I41&lt;&gt;0,((VLOOKUP(I41,'1. Standard_Cost'!$B$4:$D$11,2)+VLOOKUP(I41,'1. Standard_Cost'!$B$4:$D$11,3))*J41*K41),"0")</f>
        <v>0</v>
      </c>
      <c r="M41" s="125">
        <f>L41*'1. Standard_Cost'!$F$4</f>
        <v>0</v>
      </c>
      <c r="N41" s="126"/>
      <c r="O41" s="126"/>
      <c r="P41" s="126"/>
      <c r="Q41" s="126"/>
      <c r="R41" s="127">
        <f>'1. Standard_Cost'!$B$15*N41*P41</f>
        <v>0</v>
      </c>
      <c r="S41" s="127">
        <f>N41*O41*P41*'1. Standard_Cost'!$C$15</f>
        <v>0</v>
      </c>
      <c r="T41" s="127">
        <f>N41*P41*Q41*'1. Standard_Cost'!$D$15</f>
        <v>0</v>
      </c>
      <c r="U41" s="127">
        <f>N41*O41*'1. Standard_Cost'!$E$15</f>
        <v>0</v>
      </c>
      <c r="V41" s="126"/>
      <c r="W41" s="126"/>
      <c r="X41" s="126"/>
      <c r="Y41" s="127">
        <f>+V41*((X41*'1. Standard_Cost'!$B$19)+(W41*X41*'1. Standard_Cost'!$C$19))</f>
        <v>0</v>
      </c>
      <c r="Z41" s="126"/>
      <c r="AA41" s="126"/>
      <c r="AB41" s="127">
        <f>+Z41*'1. Standard_Cost'!$B$23+AA41*'1. Standard_Cost'!$C$23</f>
        <v>0</v>
      </c>
      <c r="AC41" s="128">
        <v>0</v>
      </c>
      <c r="AD41" s="129"/>
      <c r="AE41" s="127"/>
      <c r="AF41" s="127">
        <f>SUM(AE41,AD41,AC41,AB41,Y41,U41,T41,S41,R41)</f>
        <v>0</v>
      </c>
      <c r="AG41" s="126"/>
      <c r="AH41" s="126"/>
      <c r="AI41" s="126"/>
      <c r="AJ41" s="130"/>
      <c r="AK41" s="130"/>
      <c r="AL41" s="130"/>
      <c r="AM41" s="127">
        <f>AG41*'1. Standard_Cost'!$B$27+'Incremental_Cost Year 5'!AH41*'1. Standard_Cost'!$C$27+'Incremental_Cost Year 5'!AI41*'1. Standard_Cost'!$D$27+'Incremental_Cost Year 5'!AJ41+'Incremental_Cost Year 5'!AL41+AK41</f>
        <v>0</v>
      </c>
      <c r="AN41" s="127">
        <f>AM41*'1. Standard_Cost'!$C$31</f>
        <v>0</v>
      </c>
      <c r="AO41" s="249"/>
      <c r="AQ41" s="171">
        <f>L41+M41</f>
        <v>0</v>
      </c>
      <c r="AR41" s="171">
        <f>AF41</f>
        <v>0</v>
      </c>
      <c r="AS41" s="171">
        <f>AM41+AN41</f>
        <v>0</v>
      </c>
      <c r="AT41" s="171">
        <f>SUM(AQ41,AR41,AS41)</f>
        <v>0</v>
      </c>
      <c r="AU41" s="250">
        <f>AQ41</f>
        <v>0</v>
      </c>
      <c r="AV41" s="250"/>
      <c r="AW41" s="250"/>
      <c r="AX41" s="250">
        <v>0</v>
      </c>
      <c r="AY41" s="250"/>
      <c r="AZ41" s="250">
        <f>AT41</f>
        <v>0</v>
      </c>
      <c r="BA41" s="250"/>
      <c r="BB41" s="251">
        <f t="shared" ref="BB41:BB43" si="32">SUM(AU41:BA41)-AT41</f>
        <v>0</v>
      </c>
      <c r="BC41" s="169"/>
      <c r="BD41" s="169"/>
      <c r="BE41" s="169"/>
      <c r="BF41" s="169"/>
    </row>
    <row r="42" spans="1:58" ht="51.6" customHeight="1" outlineLevel="2" x14ac:dyDescent="0.25">
      <c r="A42" s="115"/>
      <c r="B42" s="200"/>
      <c r="C42" s="201"/>
      <c r="D42" s="135"/>
      <c r="E42" s="219"/>
      <c r="F42" s="219"/>
      <c r="G42" s="313"/>
      <c r="H42" s="213" t="s">
        <v>538</v>
      </c>
      <c r="I42" s="130" t="s">
        <v>4</v>
      </c>
      <c r="J42" s="126">
        <v>0.5</v>
      </c>
      <c r="K42" s="126">
        <v>5</v>
      </c>
      <c r="L42" s="125">
        <f>IF(I42&lt;&gt;0,((VLOOKUP(I42,'1. Standard_Cost'!$B$4:$D$11,2)+VLOOKUP(I42,'1. Standard_Cost'!$B$4:$D$11,3))*J42*K42),"0")</f>
        <v>201875</v>
      </c>
      <c r="M42" s="125">
        <f>L42*'1. Standard_Cost'!$F$4</f>
        <v>33713.125</v>
      </c>
      <c r="N42" s="126">
        <v>10</v>
      </c>
      <c r="O42" s="126">
        <v>1</v>
      </c>
      <c r="P42" s="126">
        <v>25</v>
      </c>
      <c r="Q42" s="126"/>
      <c r="R42" s="127">
        <f>'1. Standard_Cost'!$B$15*N42*P42</f>
        <v>500000</v>
      </c>
      <c r="S42" s="127">
        <f>N42*O42*P42*'1. Standard_Cost'!$C$15</f>
        <v>375000</v>
      </c>
      <c r="T42" s="127">
        <f>N42*P42*Q42*'1. Standard_Cost'!$D$15</f>
        <v>0</v>
      </c>
      <c r="U42" s="127">
        <f>N42*O42*'1. Standard_Cost'!$E$15</f>
        <v>400000</v>
      </c>
      <c r="V42" s="126"/>
      <c r="W42" s="126"/>
      <c r="X42" s="126"/>
      <c r="Y42" s="127">
        <f>+V42*((X42*'1. Standard_Cost'!$B$19)+(W42*X42*'1. Standard_Cost'!$C$19))</f>
        <v>0</v>
      </c>
      <c r="Z42" s="126"/>
      <c r="AA42" s="126">
        <v>12</v>
      </c>
      <c r="AB42" s="127">
        <f>+Z42*'1. Standard_Cost'!$B$23+AA42*'1. Standard_Cost'!$C$23</f>
        <v>228000</v>
      </c>
      <c r="AC42" s="128">
        <f>250*300+250*3000</f>
        <v>825000</v>
      </c>
      <c r="AD42" s="129"/>
      <c r="AE42" s="127">
        <f>SUM(AD42,AC42,AB42,Y42,U42,T42,S42,R42)*'1. Standard_Cost'!$B$31</f>
        <v>465600</v>
      </c>
      <c r="AF42" s="127">
        <f>SUM(AE42,AD42,AC42,AB42,Y42,U42,T42,S42,R42)</f>
        <v>2793600</v>
      </c>
      <c r="AG42" s="126"/>
      <c r="AH42" s="126"/>
      <c r="AI42" s="126"/>
      <c r="AJ42" s="130"/>
      <c r="AK42" s="130"/>
      <c r="AL42" s="130"/>
      <c r="AM42" s="127">
        <f>AG42*'1. Standard_Cost'!$B$27+'Incremental_Cost Year 5'!AH42*'1. Standard_Cost'!$C$27+'Incremental_Cost Year 5'!AI42*'1. Standard_Cost'!$D$27+'Incremental_Cost Year 5'!AJ42+'Incremental_Cost Year 5'!AL42+AK42</f>
        <v>0</v>
      </c>
      <c r="AN42" s="127">
        <f>AM42*'1. Standard_Cost'!$C$31</f>
        <v>0</v>
      </c>
      <c r="AO42" s="130"/>
      <c r="AQ42" s="171">
        <f>L42+M42</f>
        <v>235588.125</v>
      </c>
      <c r="AR42" s="171">
        <f>AF42</f>
        <v>2793600</v>
      </c>
      <c r="AS42" s="171">
        <f>AM42+AN42</f>
        <v>0</v>
      </c>
      <c r="AT42" s="171">
        <f>SUM(AQ42,AR42,AS42)</f>
        <v>3029188.125</v>
      </c>
      <c r="AU42" s="250">
        <f>AQ42</f>
        <v>235588.125</v>
      </c>
      <c r="AV42" s="250"/>
      <c r="AW42" s="250"/>
      <c r="AX42" s="250"/>
      <c r="AY42" s="250"/>
      <c r="AZ42" s="250"/>
      <c r="BA42" s="250"/>
      <c r="BB42" s="251">
        <f t="shared" si="32"/>
        <v>-2793600</v>
      </c>
      <c r="BC42" s="169"/>
      <c r="BD42" s="169"/>
      <c r="BE42" s="169"/>
      <c r="BF42" s="169"/>
    </row>
    <row r="43" spans="1:58" ht="51.6" customHeight="1" outlineLevel="2" x14ac:dyDescent="0.25">
      <c r="A43" s="115"/>
      <c r="B43" s="200"/>
      <c r="C43" s="201"/>
      <c r="D43" s="223"/>
      <c r="E43" s="219"/>
      <c r="F43" s="219"/>
      <c r="G43" s="313"/>
      <c r="H43" s="199" t="s">
        <v>223</v>
      </c>
      <c r="I43" s="130"/>
      <c r="J43" s="126"/>
      <c r="K43" s="126"/>
      <c r="L43" s="125" t="str">
        <f>IF(I43&lt;&gt;0,((VLOOKUP(I43,'1. Standard_Cost'!$B$4:$D$11,2)+VLOOKUP(I43,'1. Standard_Cost'!$B$4:$D$11,3))*J43*K43),"0")</f>
        <v>0</v>
      </c>
      <c r="M43" s="125">
        <f>L43*'1. Standard_Cost'!$F$4</f>
        <v>0</v>
      </c>
      <c r="N43" s="126"/>
      <c r="O43" s="126"/>
      <c r="P43" s="126"/>
      <c r="Q43" s="126"/>
      <c r="R43" s="127">
        <f>'1. Standard_Cost'!$B$15*N43*P43</f>
        <v>0</v>
      </c>
      <c r="S43" s="127">
        <f>N43*O43*P43*'1. Standard_Cost'!$C$15</f>
        <v>0</v>
      </c>
      <c r="T43" s="127">
        <f>N43*P43*Q43*'1. Standard_Cost'!$D$15</f>
        <v>0</v>
      </c>
      <c r="U43" s="127">
        <f>N43*O43*'1. Standard_Cost'!$E$15</f>
        <v>0</v>
      </c>
      <c r="V43" s="126"/>
      <c r="W43" s="126"/>
      <c r="X43" s="126"/>
      <c r="Y43" s="127">
        <f>+V43*((X43*'1. Standard_Cost'!$B$19)+(W43*X43*'1. Standard_Cost'!$C$19))</f>
        <v>0</v>
      </c>
      <c r="Z43" s="126"/>
      <c r="AA43" s="126"/>
      <c r="AB43" s="127">
        <f>+Z43*'1. Standard_Cost'!$B$23+AA43*'1. Standard_Cost'!$C$23</f>
        <v>0</v>
      </c>
      <c r="AC43" s="128"/>
      <c r="AD43" s="129"/>
      <c r="AE43" s="127">
        <v>0</v>
      </c>
      <c r="AF43" s="127">
        <f>SUM(AE43,AD43,AC43,AB43,Y43,U43,T43,S43,R43)</f>
        <v>0</v>
      </c>
      <c r="AG43" s="126"/>
      <c r="AH43" s="126"/>
      <c r="AI43" s="126"/>
      <c r="AJ43" s="130"/>
      <c r="AK43" s="130"/>
      <c r="AL43" s="130"/>
      <c r="AM43" s="127">
        <f>AG43*'1. Standard_Cost'!$B$27+'Incremental_Cost Year 5'!AH43*'1. Standard_Cost'!$C$27+'Incremental_Cost Year 5'!AI43*'1. Standard_Cost'!$D$27+'Incremental_Cost Year 5'!AJ43+'Incremental_Cost Year 5'!AL43+AK43</f>
        <v>0</v>
      </c>
      <c r="AN43" s="127">
        <f>AM43*'1. Standard_Cost'!$C$31</f>
        <v>0</v>
      </c>
      <c r="AO43" s="130"/>
      <c r="AQ43" s="171">
        <f>L43+M43</f>
        <v>0</v>
      </c>
      <c r="AR43" s="171">
        <f>AF43</f>
        <v>0</v>
      </c>
      <c r="AS43" s="171">
        <f>AM43+AN43</f>
        <v>0</v>
      </c>
      <c r="AT43" s="171">
        <f>SUM(AQ43,AR43,AS43)</f>
        <v>0</v>
      </c>
      <c r="AU43" s="250"/>
      <c r="AV43" s="250"/>
      <c r="AW43" s="250"/>
      <c r="AX43" s="250"/>
      <c r="AY43" s="250"/>
      <c r="AZ43" s="250"/>
      <c r="BA43" s="250"/>
      <c r="BB43" s="251">
        <f t="shared" si="32"/>
        <v>0</v>
      </c>
      <c r="BC43" s="169"/>
      <c r="BD43" s="169"/>
      <c r="BE43" s="169"/>
      <c r="BF43" s="169"/>
    </row>
    <row r="44" spans="1:58" ht="51.6" customHeight="1" outlineLevel="1" x14ac:dyDescent="0.25">
      <c r="A44" s="115"/>
      <c r="B44" s="165"/>
      <c r="C44" s="166"/>
      <c r="D44" s="150" t="s">
        <v>396</v>
      </c>
      <c r="E44" s="139" t="s">
        <v>205</v>
      </c>
      <c r="F44" s="222">
        <v>2022</v>
      </c>
      <c r="G44" s="117">
        <v>2030</v>
      </c>
      <c r="H44" s="134" t="s">
        <v>206</v>
      </c>
      <c r="I44" s="252"/>
      <c r="J44" s="252"/>
      <c r="K44" s="252"/>
      <c r="L44" s="127">
        <f>SUM(L41:L43)</f>
        <v>201875</v>
      </c>
      <c r="M44" s="127">
        <f>SUM(M41:M43)</f>
        <v>33713.125</v>
      </c>
      <c r="N44" s="127"/>
      <c r="O44" s="252"/>
      <c r="P44" s="252"/>
      <c r="Q44" s="252"/>
      <c r="R44" s="127">
        <f>SUM(R41:R43)</f>
        <v>500000</v>
      </c>
      <c r="S44" s="127">
        <f>SUM(S41:S43)</f>
        <v>375000</v>
      </c>
      <c r="T44" s="127">
        <f>SUM(T41:T43)</f>
        <v>0</v>
      </c>
      <c r="U44" s="127">
        <f>SUM(U41:U43)</f>
        <v>400000</v>
      </c>
      <c r="V44" s="252"/>
      <c r="W44" s="252"/>
      <c r="X44" s="252"/>
      <c r="Y44" s="127">
        <f>SUM(Y41:Y43)</f>
        <v>0</v>
      </c>
      <c r="Z44" s="252"/>
      <c r="AA44" s="252"/>
      <c r="AB44" s="127">
        <f>SUM(AB41:AB43)</f>
        <v>228000</v>
      </c>
      <c r="AC44" s="127">
        <f>SUM(AC41:AC43)</f>
        <v>825000</v>
      </c>
      <c r="AD44" s="127">
        <f>SUM(AD41:AD43)</f>
        <v>0</v>
      </c>
      <c r="AE44" s="127">
        <f>SUM(AE41:AE43)</f>
        <v>465600</v>
      </c>
      <c r="AF44" s="127">
        <f>SUM(AF41:AF43)</f>
        <v>2793600</v>
      </c>
      <c r="AG44" s="252"/>
      <c r="AH44" s="252"/>
      <c r="AI44" s="252"/>
      <c r="AJ44" s="127">
        <f>SUM(AJ41:AJ43)</f>
        <v>0</v>
      </c>
      <c r="AK44" s="127">
        <f>SUM(AK41:AK43)</f>
        <v>0</v>
      </c>
      <c r="AL44" s="127">
        <f>SUM(AL41:AL43)</f>
        <v>0</v>
      </c>
      <c r="AM44" s="127">
        <f>SUM(AM41:AM43)</f>
        <v>0</v>
      </c>
      <c r="AN44" s="127">
        <f>SUM(AN41:AN43)</f>
        <v>0</v>
      </c>
      <c r="AO44" s="253"/>
      <c r="AP44" s="254"/>
      <c r="AQ44" s="175">
        <f>SUM(AQ41:AQ43)</f>
        <v>235588.125</v>
      </c>
      <c r="AR44" s="175">
        <f>SUM(AR41:AR43)</f>
        <v>2793600</v>
      </c>
      <c r="AS44" s="175">
        <f>SUM(AS41:AS43)</f>
        <v>0</v>
      </c>
      <c r="AT44" s="175">
        <f>SUM(AT41:AT43)</f>
        <v>3029188.125</v>
      </c>
      <c r="AU44" s="175">
        <f t="shared" ref="AU44:BB44" si="33">SUM(AU41:AU43)</f>
        <v>235588.125</v>
      </c>
      <c r="AV44" s="175">
        <f t="shared" si="33"/>
        <v>0</v>
      </c>
      <c r="AW44" s="175">
        <f t="shared" si="33"/>
        <v>0</v>
      </c>
      <c r="AX44" s="175">
        <f t="shared" si="33"/>
        <v>0</v>
      </c>
      <c r="AY44" s="175">
        <f t="shared" si="33"/>
        <v>0</v>
      </c>
      <c r="AZ44" s="175">
        <f t="shared" si="33"/>
        <v>0</v>
      </c>
      <c r="BA44" s="175">
        <f t="shared" si="33"/>
        <v>0</v>
      </c>
      <c r="BB44" s="175">
        <f t="shared" si="33"/>
        <v>-2793600</v>
      </c>
      <c r="BC44" s="169"/>
      <c r="BD44" s="169"/>
      <c r="BE44" s="169"/>
      <c r="BF44" s="169"/>
    </row>
    <row r="45" spans="1:58" s="170" customFormat="1" ht="51.6" customHeight="1" x14ac:dyDescent="0.25">
      <c r="A45" s="120"/>
      <c r="B45" s="290"/>
      <c r="C45" s="391" t="s">
        <v>210</v>
      </c>
      <c r="D45" s="391"/>
      <c r="E45" s="392"/>
      <c r="F45" s="289"/>
      <c r="G45" s="288"/>
      <c r="H45" s="114" t="s">
        <v>213</v>
      </c>
      <c r="I45" s="246"/>
      <c r="J45" s="246"/>
      <c r="K45" s="246"/>
      <c r="L45" s="247">
        <f>SUM(L50+L56+L60)</f>
        <v>1075889568.5714285</v>
      </c>
      <c r="M45" s="247">
        <f>SUM(M50+M56+M60)</f>
        <v>179673557.95142856</v>
      </c>
      <c r="N45" s="247"/>
      <c r="O45" s="247"/>
      <c r="P45" s="247"/>
      <c r="Q45" s="247"/>
      <c r="R45" s="247">
        <f>SUM(R50+R56+R60)</f>
        <v>0</v>
      </c>
      <c r="S45" s="247">
        <f>SUM(S50+S56+S60)</f>
        <v>0</v>
      </c>
      <c r="T45" s="247">
        <f>SUM(T50+T56+T60)</f>
        <v>0</v>
      </c>
      <c r="U45" s="247">
        <f>SUM(U50+U56+U60)</f>
        <v>0</v>
      </c>
      <c r="V45" s="247"/>
      <c r="W45" s="247"/>
      <c r="X45" s="247"/>
      <c r="Y45" s="247">
        <f>SUM(Y50+Y56+Y60)</f>
        <v>0</v>
      </c>
      <c r="Z45" s="247">
        <f t="shared" ref="Z45:AA45" si="34">SUM(Z50+Z56+Z60)</f>
        <v>0</v>
      </c>
      <c r="AA45" s="247">
        <f t="shared" si="34"/>
        <v>0</v>
      </c>
      <c r="AB45" s="247">
        <f t="shared" ref="AB45:AF45" si="35">SUM(AB50+AB56+AB60)</f>
        <v>0</v>
      </c>
      <c r="AC45" s="247">
        <f t="shared" si="35"/>
        <v>10050000</v>
      </c>
      <c r="AD45" s="247">
        <f t="shared" si="35"/>
        <v>0</v>
      </c>
      <c r="AE45" s="247">
        <f t="shared" si="35"/>
        <v>2010000</v>
      </c>
      <c r="AF45" s="247">
        <f t="shared" si="35"/>
        <v>12060000</v>
      </c>
      <c r="AG45" s="247"/>
      <c r="AH45" s="247"/>
      <c r="AI45" s="247"/>
      <c r="AJ45" s="247">
        <f>SUM(AJ50+AJ56+AJ60)</f>
        <v>0</v>
      </c>
      <c r="AK45" s="247">
        <f>SUM(AK50+AK56+AK60)</f>
        <v>0</v>
      </c>
      <c r="AL45" s="247">
        <f>SUM(AL50+AL56+AL60)</f>
        <v>0</v>
      </c>
      <c r="AM45" s="247">
        <f>SUM(AM50+AM56+AM60)</f>
        <v>0</v>
      </c>
      <c r="AN45" s="247">
        <f>SUM(AN50+AN56+AN60)</f>
        <v>0</v>
      </c>
      <c r="AO45" s="247"/>
      <c r="AP45" s="244"/>
      <c r="AQ45" s="248">
        <f>SUM(AQ50+AQ56+AQ60)</f>
        <v>1255563126.522857</v>
      </c>
      <c r="AR45" s="248">
        <f>SUM(AR50+AR56+AR60)</f>
        <v>12060000</v>
      </c>
      <c r="AS45" s="248">
        <f>SUM(AS50+AS56+AS60)</f>
        <v>0</v>
      </c>
      <c r="AT45" s="248">
        <f>SUM(AT50+AT56+AT60)</f>
        <v>1267623126.522857</v>
      </c>
      <c r="AU45" s="248">
        <f t="shared" ref="AU45:BB45" si="36">SUM(AU50+AU56+AU60)</f>
        <v>1267623126.522857</v>
      </c>
      <c r="AV45" s="248">
        <f t="shared" si="36"/>
        <v>0</v>
      </c>
      <c r="AW45" s="248">
        <f t="shared" si="36"/>
        <v>0</v>
      </c>
      <c r="AX45" s="248">
        <f t="shared" si="36"/>
        <v>0</v>
      </c>
      <c r="AY45" s="248">
        <f t="shared" si="36"/>
        <v>0</v>
      </c>
      <c r="AZ45" s="248">
        <f t="shared" si="36"/>
        <v>0</v>
      </c>
      <c r="BA45" s="248">
        <f t="shared" si="36"/>
        <v>0</v>
      </c>
      <c r="BB45" s="248">
        <f t="shared" si="36"/>
        <v>0</v>
      </c>
    </row>
    <row r="46" spans="1:58" ht="51.6" customHeight="1" outlineLevel="2" x14ac:dyDescent="0.25">
      <c r="A46" s="115"/>
      <c r="B46" s="200"/>
      <c r="C46" s="201"/>
      <c r="D46" s="138"/>
      <c r="E46" s="295"/>
      <c r="F46" s="295"/>
      <c r="G46" s="296"/>
      <c r="H46" s="199" t="s">
        <v>397</v>
      </c>
      <c r="I46" s="130"/>
      <c r="J46" s="126"/>
      <c r="K46" s="126"/>
      <c r="L46" s="125" t="str">
        <f>IF(I46&lt;&gt;0,((VLOOKUP(I46,'1. Standard_Cost'!$B$4:$D$11,2)+VLOOKUP(I46,'1. Standard_Cost'!$B$4:$D$11,3))*J46*K46),"0")</f>
        <v>0</v>
      </c>
      <c r="M46" s="125">
        <f>L46*'1. Standard_Cost'!$F$4</f>
        <v>0</v>
      </c>
      <c r="N46" s="126"/>
      <c r="O46" s="126"/>
      <c r="P46" s="126"/>
      <c r="Q46" s="126"/>
      <c r="R46" s="127">
        <f>'1. Standard_Cost'!$B$15*N46*P46</f>
        <v>0</v>
      </c>
      <c r="S46" s="127">
        <f>N46*O46*P46*'1. Standard_Cost'!$C$15</f>
        <v>0</v>
      </c>
      <c r="T46" s="127">
        <f>N46*P46*Q46*'1. Standard_Cost'!$D$15</f>
        <v>0</v>
      </c>
      <c r="U46" s="127">
        <f>N46*O46*'1. Standard_Cost'!$E$15</f>
        <v>0</v>
      </c>
      <c r="V46" s="126"/>
      <c r="W46" s="126"/>
      <c r="X46" s="126"/>
      <c r="Y46" s="127">
        <f>+V46*((X46*'1. Standard_Cost'!$B$19)+(W46*X46*'1. Standard_Cost'!$C$19))</f>
        <v>0</v>
      </c>
      <c r="Z46" s="126"/>
      <c r="AA46" s="126"/>
      <c r="AB46" s="127">
        <f>+Z46*'1. Standard_Cost'!$B$23+AA46*'1. Standard_Cost'!$C$23</f>
        <v>0</v>
      </c>
      <c r="AC46" s="128"/>
      <c r="AD46" s="129"/>
      <c r="AE46" s="127">
        <f>SUM(AD46,AC46,AB46,Y46,U46,T46,S46,R46)*'1. Standard_Cost'!$B$31</f>
        <v>0</v>
      </c>
      <c r="AF46" s="127">
        <f>SUM(AE46,AD46,AC46,AB46,Y46,U46,T46,S46,R46)</f>
        <v>0</v>
      </c>
      <c r="AG46" s="126"/>
      <c r="AH46" s="126"/>
      <c r="AI46" s="126"/>
      <c r="AJ46" s="130"/>
      <c r="AK46" s="130"/>
      <c r="AL46" s="130"/>
      <c r="AM46" s="127">
        <f>AG46*'1. Standard_Cost'!$B$27+'Incremental_Cost Year 5'!AH46*'1. Standard_Cost'!$C$27+'Incremental_Cost Year 5'!AI46*'1. Standard_Cost'!$D$27+'Incremental_Cost Year 5'!AJ46+'Incremental_Cost Year 5'!AL46+AK46</f>
        <v>0</v>
      </c>
      <c r="AN46" s="127">
        <f>AM46*'1. Standard_Cost'!$C$31</f>
        <v>0</v>
      </c>
      <c r="AO46" s="249"/>
      <c r="AQ46" s="171">
        <f>L46+M46</f>
        <v>0</v>
      </c>
      <c r="AR46" s="171">
        <f>AF46</f>
        <v>0</v>
      </c>
      <c r="AS46" s="171">
        <f>AM46+AN46</f>
        <v>0</v>
      </c>
      <c r="AT46" s="171">
        <f>SUM(AQ46,AR46,AS46)</f>
        <v>0</v>
      </c>
      <c r="AU46" s="250">
        <f>AQ46</f>
        <v>0</v>
      </c>
      <c r="AV46" s="250"/>
      <c r="AW46" s="250"/>
      <c r="AX46" s="250"/>
      <c r="AY46" s="250"/>
      <c r="AZ46" s="250"/>
      <c r="BA46" s="250"/>
      <c r="BB46" s="251">
        <f t="shared" ref="BB46:BB49" si="37">SUM(AU46:BA46)-AT46</f>
        <v>0</v>
      </c>
      <c r="BC46" s="169"/>
      <c r="BD46" s="169"/>
      <c r="BE46" s="169"/>
      <c r="BF46" s="169"/>
    </row>
    <row r="47" spans="1:58" ht="51.6" customHeight="1" outlineLevel="2" x14ac:dyDescent="0.25">
      <c r="A47" s="115"/>
      <c r="B47" s="200"/>
      <c r="C47" s="201"/>
      <c r="D47" s="135"/>
      <c r="E47" s="219"/>
      <c r="F47" s="219"/>
      <c r="G47" s="313"/>
      <c r="H47" s="199" t="s">
        <v>307</v>
      </c>
      <c r="I47" s="130"/>
      <c r="J47" s="126"/>
      <c r="K47" s="126"/>
      <c r="L47" s="125" t="str">
        <f>IF(I47&lt;&gt;0,((VLOOKUP(I47,'1. Standard_Cost'!$B$4:$D$11,2)+VLOOKUP(I47,'1. Standard_Cost'!$B$4:$D$11,3))*J47*K47),"0")</f>
        <v>0</v>
      </c>
      <c r="M47" s="125">
        <f>L47*'1. Standard_Cost'!$F$4</f>
        <v>0</v>
      </c>
      <c r="N47" s="126"/>
      <c r="O47" s="126"/>
      <c r="P47" s="126"/>
      <c r="Q47" s="126"/>
      <c r="R47" s="127">
        <f>'1. Standard_Cost'!$B$15*N47*P47</f>
        <v>0</v>
      </c>
      <c r="S47" s="127">
        <f>N47*O47*P47*'1. Standard_Cost'!$C$15</f>
        <v>0</v>
      </c>
      <c r="T47" s="127">
        <f>N47*P47*Q47*'1. Standard_Cost'!$D$15</f>
        <v>0</v>
      </c>
      <c r="U47" s="127">
        <f>N47*O47*'1. Standard_Cost'!$E$15</f>
        <v>0</v>
      </c>
      <c r="V47" s="126"/>
      <c r="W47" s="126"/>
      <c r="X47" s="126"/>
      <c r="Y47" s="127">
        <f>+V47*((X47*'1. Standard_Cost'!$B$19)+(W47*X47*'1. Standard_Cost'!$C$19))</f>
        <v>0</v>
      </c>
      <c r="Z47" s="126"/>
      <c r="AA47" s="126"/>
      <c r="AB47" s="127">
        <f>+Z47*'1. Standard_Cost'!$B$23+AA47*'1. Standard_Cost'!$C$23</f>
        <v>0</v>
      </c>
      <c r="AC47" s="128"/>
      <c r="AD47" s="129"/>
      <c r="AE47" s="127">
        <f>SUM(AD47,AC47,AB47,Y47,U47,T47,S47,R47)*'1. Standard_Cost'!$B$31</f>
        <v>0</v>
      </c>
      <c r="AF47" s="127">
        <f>SUM(AE47,AD47,AC47,AB47,Y47,U47,T47,S47,R47)</f>
        <v>0</v>
      </c>
      <c r="AG47" s="126"/>
      <c r="AH47" s="126"/>
      <c r="AI47" s="126"/>
      <c r="AJ47" s="130"/>
      <c r="AK47" s="130"/>
      <c r="AL47" s="130"/>
      <c r="AM47" s="127">
        <f>AG47*'1. Standard_Cost'!$B$27+'Incremental_Cost Year 5'!AH47*'1. Standard_Cost'!$C$27+'Incremental_Cost Year 5'!AI47*'1. Standard_Cost'!$D$27+'Incremental_Cost Year 5'!AJ47+'Incremental_Cost Year 5'!AL47+AK47</f>
        <v>0</v>
      </c>
      <c r="AN47" s="127">
        <f>AM47*'1. Standard_Cost'!$C$31</f>
        <v>0</v>
      </c>
      <c r="AO47" s="130"/>
      <c r="AQ47" s="171">
        <f>L47+M47</f>
        <v>0</v>
      </c>
      <c r="AR47" s="171">
        <f>AF47</f>
        <v>0</v>
      </c>
      <c r="AS47" s="171">
        <f>AM47+AN47</f>
        <v>0</v>
      </c>
      <c r="AT47" s="171">
        <f>SUM(AQ47,AR47,AS47)</f>
        <v>0</v>
      </c>
      <c r="AU47" s="250"/>
      <c r="AV47" s="250"/>
      <c r="AW47" s="250"/>
      <c r="AX47" s="250"/>
      <c r="AY47" s="250"/>
      <c r="AZ47" s="250"/>
      <c r="BA47" s="250"/>
      <c r="BB47" s="251">
        <f t="shared" si="37"/>
        <v>0</v>
      </c>
      <c r="BC47" s="169"/>
      <c r="BD47" s="169"/>
      <c r="BE47" s="169"/>
      <c r="BF47" s="169"/>
    </row>
    <row r="48" spans="1:58" ht="51.6" customHeight="1" outlineLevel="2" x14ac:dyDescent="0.25">
      <c r="A48" s="115"/>
      <c r="B48" s="200"/>
      <c r="C48" s="201"/>
      <c r="D48" s="135"/>
      <c r="E48" s="219"/>
      <c r="F48" s="219"/>
      <c r="G48" s="313"/>
      <c r="H48" s="199" t="s">
        <v>308</v>
      </c>
      <c r="I48" s="130"/>
      <c r="J48" s="126"/>
      <c r="K48" s="126"/>
      <c r="L48" s="125" t="str">
        <f>IF(I48&lt;&gt;0,((VLOOKUP(I48,'1. Standard_Cost'!$B$4:$D$11,2)+VLOOKUP(I48,'1. Standard_Cost'!$B$4:$D$11,3))*J48*K48),"0")</f>
        <v>0</v>
      </c>
      <c r="M48" s="125">
        <f>L48*'1. Standard_Cost'!$F$4</f>
        <v>0</v>
      </c>
      <c r="N48" s="126"/>
      <c r="O48" s="126"/>
      <c r="P48" s="126"/>
      <c r="Q48" s="126"/>
      <c r="R48" s="127">
        <f>'1. Standard_Cost'!$B$15*N48*P48</f>
        <v>0</v>
      </c>
      <c r="S48" s="127">
        <f>N48*O48*P48*'1. Standard_Cost'!$C$15</f>
        <v>0</v>
      </c>
      <c r="T48" s="127">
        <f>N48*P48*Q48*'1. Standard_Cost'!$D$15</f>
        <v>0</v>
      </c>
      <c r="U48" s="127">
        <f>N48*O48*'1. Standard_Cost'!$E$15</f>
        <v>0</v>
      </c>
      <c r="V48" s="126"/>
      <c r="W48" s="126"/>
      <c r="X48" s="126"/>
      <c r="Y48" s="127">
        <f>+V48*((X48*'1. Standard_Cost'!$B$19)+(W48*X48*'1. Standard_Cost'!$C$19))</f>
        <v>0</v>
      </c>
      <c r="Z48" s="126"/>
      <c r="AA48" s="126"/>
      <c r="AB48" s="127">
        <f>+Z48*'1. Standard_Cost'!$B$23+AA48*'1. Standard_Cost'!$C$23</f>
        <v>0</v>
      </c>
      <c r="AC48" s="128"/>
      <c r="AD48" s="129"/>
      <c r="AE48" s="127">
        <f>SUM(AD48,AC48,AB48,Y48,U48,T48,S48,R48)*'1. Standard_Cost'!$B$31</f>
        <v>0</v>
      </c>
      <c r="AF48" s="127">
        <f>SUM(AE48,AD48,AC48,AB48,Y48,U48,T48,S48,R48)</f>
        <v>0</v>
      </c>
      <c r="AG48" s="126"/>
      <c r="AH48" s="126"/>
      <c r="AI48" s="126"/>
      <c r="AJ48" s="130"/>
      <c r="AK48" s="130"/>
      <c r="AL48" s="130"/>
      <c r="AM48" s="127">
        <f>AG48*'1. Standard_Cost'!$B$27+'Incremental_Cost Year 5'!AH48*'1. Standard_Cost'!$C$27+'Incremental_Cost Year 5'!AI48*'1. Standard_Cost'!$D$27+'Incremental_Cost Year 5'!AJ48+'Incremental_Cost Year 5'!AL48+AK48</f>
        <v>0</v>
      </c>
      <c r="AN48" s="127">
        <f>AM48*'1. Standard_Cost'!$C$31</f>
        <v>0</v>
      </c>
      <c r="AO48" s="249"/>
      <c r="AQ48" s="171">
        <f>L48+M48</f>
        <v>0</v>
      </c>
      <c r="AR48" s="171">
        <f>AF48</f>
        <v>0</v>
      </c>
      <c r="AS48" s="171">
        <f>AM48+AN48</f>
        <v>0</v>
      </c>
      <c r="AT48" s="171">
        <f>SUM(AQ48,AR48,AS48)</f>
        <v>0</v>
      </c>
      <c r="AU48" s="250"/>
      <c r="AV48" s="250"/>
      <c r="AW48" s="250"/>
      <c r="AX48" s="250"/>
      <c r="AY48" s="250"/>
      <c r="AZ48" s="250"/>
      <c r="BA48" s="250"/>
      <c r="BB48" s="251">
        <f t="shared" si="37"/>
        <v>0</v>
      </c>
      <c r="BC48" s="169"/>
      <c r="BD48" s="169"/>
      <c r="BE48" s="169"/>
      <c r="BF48" s="169"/>
    </row>
    <row r="49" spans="1:58" ht="51.6" customHeight="1" outlineLevel="2" x14ac:dyDescent="0.25">
      <c r="A49" s="115"/>
      <c r="B49" s="200"/>
      <c r="C49" s="201"/>
      <c r="D49" s="223"/>
      <c r="E49" s="219"/>
      <c r="F49" s="219"/>
      <c r="G49" s="313"/>
      <c r="H49" s="199" t="s">
        <v>398</v>
      </c>
      <c r="I49" s="130"/>
      <c r="J49" s="126"/>
      <c r="K49" s="126"/>
      <c r="L49" s="125" t="str">
        <f>IF(I49&lt;&gt;0,((VLOOKUP(I49,'1. Standard_Cost'!$B$4:$D$11,2)+VLOOKUP(I49,'1. Standard_Cost'!$B$4:$D$11,3))*J49*K49),"0")</f>
        <v>0</v>
      </c>
      <c r="M49" s="125">
        <f>L49*'1. Standard_Cost'!$F$4</f>
        <v>0</v>
      </c>
      <c r="N49" s="126"/>
      <c r="O49" s="126"/>
      <c r="P49" s="126"/>
      <c r="Q49" s="126"/>
      <c r="R49" s="127">
        <f>'1. Standard_Cost'!$B$15*N49*P49</f>
        <v>0</v>
      </c>
      <c r="S49" s="127">
        <f>N49*O49*P49*'1. Standard_Cost'!$C$15</f>
        <v>0</v>
      </c>
      <c r="T49" s="127">
        <f>N49*P49*Q49*'1. Standard_Cost'!$D$15</f>
        <v>0</v>
      </c>
      <c r="U49" s="127">
        <f>N49*O49*'1. Standard_Cost'!$E$15</f>
        <v>0</v>
      </c>
      <c r="V49" s="126"/>
      <c r="W49" s="126"/>
      <c r="X49" s="126"/>
      <c r="Y49" s="127">
        <f>+V49*((X49*'1. Standard_Cost'!$B$19)+(W49*X49*'1. Standard_Cost'!$C$19))</f>
        <v>0</v>
      </c>
      <c r="Z49" s="126"/>
      <c r="AA49" s="126"/>
      <c r="AB49" s="127">
        <f>+Z49*'1. Standard_Cost'!$B$23+AA49*'1. Standard_Cost'!$C$23</f>
        <v>0</v>
      </c>
      <c r="AC49" s="128">
        <v>0</v>
      </c>
      <c r="AD49" s="129"/>
      <c r="AE49" s="127">
        <f>SUM(AD49,AC49,AB49,Y49,U49,T49,S49,R49)*'1. Standard_Cost'!$B$31</f>
        <v>0</v>
      </c>
      <c r="AF49" s="127">
        <f>SUM(AE49,AD49,AC49,AB49,Y49,U49,T49,S49,R49)</f>
        <v>0</v>
      </c>
      <c r="AG49" s="126"/>
      <c r="AH49" s="126"/>
      <c r="AI49" s="126"/>
      <c r="AJ49" s="130"/>
      <c r="AK49" s="130"/>
      <c r="AL49" s="130"/>
      <c r="AM49" s="127">
        <f>AG49*'1. Standard_Cost'!$B$27+'Incremental_Cost Year 5'!AH49*'1. Standard_Cost'!$C$27+'Incremental_Cost Year 5'!AI49*'1. Standard_Cost'!$D$27+'Incremental_Cost Year 5'!AJ49+'Incremental_Cost Year 5'!AL49+AK49</f>
        <v>0</v>
      </c>
      <c r="AN49" s="127">
        <f>AM49*'1. Standard_Cost'!$C$31</f>
        <v>0</v>
      </c>
      <c r="AO49" s="130"/>
      <c r="AQ49" s="171">
        <f>L49+M49</f>
        <v>0</v>
      </c>
      <c r="AR49" s="171">
        <f>AF49</f>
        <v>0</v>
      </c>
      <c r="AS49" s="171">
        <f>AM49+AN49</f>
        <v>0</v>
      </c>
      <c r="AT49" s="171">
        <f>SUM(AQ49,AR49,AS49)</f>
        <v>0</v>
      </c>
      <c r="AU49" s="250"/>
      <c r="AV49" s="250"/>
      <c r="AW49" s="250"/>
      <c r="AX49" s="250"/>
      <c r="AY49" s="250"/>
      <c r="AZ49" s="250"/>
      <c r="BA49" s="250"/>
      <c r="BB49" s="251">
        <f t="shared" si="37"/>
        <v>0</v>
      </c>
      <c r="BC49" s="169"/>
      <c r="BD49" s="169"/>
      <c r="BE49" s="169"/>
      <c r="BF49" s="169"/>
    </row>
    <row r="50" spans="1:58" ht="51.6" customHeight="1" outlineLevel="1" x14ac:dyDescent="0.25">
      <c r="A50" s="115"/>
      <c r="B50" s="165"/>
      <c r="C50" s="166"/>
      <c r="D50" s="107" t="s">
        <v>388</v>
      </c>
      <c r="E50" s="139" t="s">
        <v>211</v>
      </c>
      <c r="F50" s="222">
        <v>2021</v>
      </c>
      <c r="G50" s="117">
        <v>2023</v>
      </c>
      <c r="H50" s="134" t="s">
        <v>212</v>
      </c>
      <c r="I50" s="252"/>
      <c r="J50" s="252"/>
      <c r="K50" s="252"/>
      <c r="L50" s="127">
        <f>SUM(L46:L49)</f>
        <v>0</v>
      </c>
      <c r="M50" s="127">
        <f>SUM(M46:M49)</f>
        <v>0</v>
      </c>
      <c r="N50" s="127"/>
      <c r="O50" s="252"/>
      <c r="P50" s="252"/>
      <c r="Q50" s="252"/>
      <c r="R50" s="127">
        <f>SUM(R46:R49)</f>
        <v>0</v>
      </c>
      <c r="S50" s="127">
        <f>SUM(S46:S49)</f>
        <v>0</v>
      </c>
      <c r="T50" s="127">
        <f>SUM(T46:T49)</f>
        <v>0</v>
      </c>
      <c r="U50" s="127">
        <f>SUM(U46:U49)</f>
        <v>0</v>
      </c>
      <c r="V50" s="252"/>
      <c r="W50" s="252"/>
      <c r="X50" s="252"/>
      <c r="Y50" s="127">
        <f>SUM(Y46:Y49)</f>
        <v>0</v>
      </c>
      <c r="Z50" s="252"/>
      <c r="AA50" s="252"/>
      <c r="AB50" s="127">
        <f>SUM(AB46:AB49)</f>
        <v>0</v>
      </c>
      <c r="AC50" s="127">
        <f>SUM(AC46:AC49)</f>
        <v>0</v>
      </c>
      <c r="AD50" s="127">
        <f>SUM(AD46:AD49)</f>
        <v>0</v>
      </c>
      <c r="AE50" s="127">
        <f>SUM(AE46:AE49)</f>
        <v>0</v>
      </c>
      <c r="AF50" s="127">
        <f>SUM(AF46:AF49)</f>
        <v>0</v>
      </c>
      <c r="AG50" s="252"/>
      <c r="AH50" s="252"/>
      <c r="AI50" s="252"/>
      <c r="AJ50" s="127">
        <f>SUM(AJ46:AJ49)</f>
        <v>0</v>
      </c>
      <c r="AK50" s="127">
        <f>SUM(AK46:AK49)</f>
        <v>0</v>
      </c>
      <c r="AL50" s="127">
        <f>SUM(AL46:AL49)</f>
        <v>0</v>
      </c>
      <c r="AM50" s="127">
        <f>SUM(AM46:AM49)</f>
        <v>0</v>
      </c>
      <c r="AN50" s="127">
        <f>SUM(AN46:AN49)</f>
        <v>0</v>
      </c>
      <c r="AO50" s="253"/>
      <c r="AP50" s="254"/>
      <c r="AQ50" s="175">
        <f>SUM(AQ46:AQ49)</f>
        <v>0</v>
      </c>
      <c r="AR50" s="175">
        <f>SUM(AR46:AR49)</f>
        <v>0</v>
      </c>
      <c r="AS50" s="175">
        <f>SUM(AS46:AS49)</f>
        <v>0</v>
      </c>
      <c r="AT50" s="175">
        <f>SUM(AT46:AT49)</f>
        <v>0</v>
      </c>
      <c r="AU50" s="175">
        <f t="shared" ref="AU50:BB50" si="38">SUM(AU46:AU49)</f>
        <v>0</v>
      </c>
      <c r="AV50" s="175">
        <f t="shared" si="38"/>
        <v>0</v>
      </c>
      <c r="AW50" s="175">
        <f t="shared" si="38"/>
        <v>0</v>
      </c>
      <c r="AX50" s="175">
        <f t="shared" si="38"/>
        <v>0</v>
      </c>
      <c r="AY50" s="175">
        <f t="shared" si="38"/>
        <v>0</v>
      </c>
      <c r="AZ50" s="175">
        <f t="shared" si="38"/>
        <v>0</v>
      </c>
      <c r="BA50" s="175">
        <f t="shared" si="38"/>
        <v>0</v>
      </c>
      <c r="BB50" s="175">
        <f t="shared" si="38"/>
        <v>0</v>
      </c>
      <c r="BC50" s="169"/>
      <c r="BD50" s="169"/>
      <c r="BE50" s="169"/>
      <c r="BF50" s="169"/>
    </row>
    <row r="51" spans="1:58" ht="51.6" customHeight="1" outlineLevel="2" x14ac:dyDescent="0.25">
      <c r="A51" s="115"/>
      <c r="B51" s="200"/>
      <c r="C51" s="201"/>
      <c r="D51" s="138"/>
      <c r="E51" s="295"/>
      <c r="F51" s="295"/>
      <c r="G51" s="296"/>
      <c r="H51" s="199" t="s">
        <v>399</v>
      </c>
      <c r="I51" s="130"/>
      <c r="J51" s="126"/>
      <c r="K51" s="126"/>
      <c r="L51" s="125" t="str">
        <f>IF(I51&lt;&gt;0,((VLOOKUP(I51,'1. Standard_Cost'!$B$4:$D$11,2)+VLOOKUP(I51,'1. Standard_Cost'!$B$4:$D$11,3))*J51*K51),"0")</f>
        <v>0</v>
      </c>
      <c r="M51" s="125">
        <f>L51*'1. Standard_Cost'!$F$4</f>
        <v>0</v>
      </c>
      <c r="N51" s="126"/>
      <c r="O51" s="126"/>
      <c r="P51" s="126"/>
      <c r="Q51" s="126"/>
      <c r="R51" s="127">
        <f>'1. Standard_Cost'!$B$15*N51*P51</f>
        <v>0</v>
      </c>
      <c r="S51" s="127">
        <f>N51*O51*P51*'1. Standard_Cost'!$C$15</f>
        <v>0</v>
      </c>
      <c r="T51" s="127">
        <f>N51*P51*Q51*'1. Standard_Cost'!$D$15</f>
        <v>0</v>
      </c>
      <c r="U51" s="127">
        <f>N51*O51*'1. Standard_Cost'!$E$15</f>
        <v>0</v>
      </c>
      <c r="V51" s="126"/>
      <c r="W51" s="126"/>
      <c r="X51" s="126"/>
      <c r="Y51" s="127">
        <f>+V51*((X51*'1. Standard_Cost'!$B$19)+(W51*X51*'1. Standard_Cost'!$C$19))</f>
        <v>0</v>
      </c>
      <c r="Z51" s="126"/>
      <c r="AA51" s="126"/>
      <c r="AB51" s="127">
        <f>+Z51*'1. Standard_Cost'!$B$23+AA51*'1. Standard_Cost'!$C$23</f>
        <v>0</v>
      </c>
      <c r="AC51" s="128"/>
      <c r="AD51" s="129"/>
      <c r="AE51" s="127">
        <f>SUM(AD51,AC51,AB51,Y51,U51,T51,S51,R51)*'1. Standard_Cost'!$B$31</f>
        <v>0</v>
      </c>
      <c r="AF51" s="127">
        <f>SUM(AE51,AD51,AC51,AB51,Y51,U51,T51,S51,R51)</f>
        <v>0</v>
      </c>
      <c r="AG51" s="126"/>
      <c r="AH51" s="126"/>
      <c r="AI51" s="126"/>
      <c r="AJ51" s="130"/>
      <c r="AK51" s="130"/>
      <c r="AL51" s="130"/>
      <c r="AM51" s="127">
        <f>AG51*'1. Standard_Cost'!$B$27+'Incremental_Cost Year 5'!AH51*'1. Standard_Cost'!$C$27+'Incremental_Cost Year 5'!AI51*'1. Standard_Cost'!$D$27+'Incremental_Cost Year 5'!AJ51+'Incremental_Cost Year 5'!AL51+AK51</f>
        <v>0</v>
      </c>
      <c r="AN51" s="127">
        <f>AM51*'1. Standard_Cost'!$C$31</f>
        <v>0</v>
      </c>
      <c r="AO51" s="249"/>
      <c r="AQ51" s="171">
        <f>L51+M51</f>
        <v>0</v>
      </c>
      <c r="AR51" s="171">
        <f>AF51</f>
        <v>0</v>
      </c>
      <c r="AS51" s="171">
        <f>AM51+AN51</f>
        <v>0</v>
      </c>
      <c r="AT51" s="171">
        <f>SUM(AQ51,AR51,AS51)</f>
        <v>0</v>
      </c>
      <c r="AU51" s="250">
        <f>AQ51</f>
        <v>0</v>
      </c>
      <c r="AV51" s="250"/>
      <c r="AW51" s="250"/>
      <c r="AX51" s="250"/>
      <c r="AY51" s="250">
        <f>AR51</f>
        <v>0</v>
      </c>
      <c r="AZ51" s="250"/>
      <c r="BA51" s="250"/>
      <c r="BB51" s="251">
        <f t="shared" ref="BB51:BB55" si="39">SUM(AU51:BA51)-AT51</f>
        <v>0</v>
      </c>
      <c r="BC51" s="169"/>
      <c r="BD51" s="169"/>
      <c r="BE51" s="169"/>
      <c r="BF51" s="169"/>
    </row>
    <row r="52" spans="1:58" ht="51.6" customHeight="1" outlineLevel="2" x14ac:dyDescent="0.25">
      <c r="A52" s="115"/>
      <c r="B52" s="200"/>
      <c r="C52" s="201"/>
      <c r="D52" s="135"/>
      <c r="E52" s="219"/>
      <c r="F52" s="219"/>
      <c r="G52" s="313"/>
      <c r="H52" s="213" t="s">
        <v>400</v>
      </c>
      <c r="I52" s="130" t="s">
        <v>1</v>
      </c>
      <c r="J52" s="126">
        <v>12</v>
      </c>
      <c r="K52" s="126">
        <f>416*3</f>
        <v>1248</v>
      </c>
      <c r="L52" s="125">
        <f>IF(I52&lt;&gt;0,((VLOOKUP(I52,'1. Standard_Cost'!$B$4:$D$11,2)+VLOOKUP(I52,'1. Standard_Cost'!$B$4:$D$11,3))*J52*K52),"0")</f>
        <v>1075169828.5714285</v>
      </c>
      <c r="M52" s="125">
        <f>L52*'1. Standard_Cost'!$F$4</f>
        <v>179553361.37142858</v>
      </c>
      <c r="N52" s="126"/>
      <c r="O52" s="126"/>
      <c r="P52" s="126"/>
      <c r="Q52" s="126"/>
      <c r="R52" s="127">
        <f>'1. Standard_Cost'!$B$15*N52*P52</f>
        <v>0</v>
      </c>
      <c r="S52" s="127">
        <f>N52*O52*P52*'1. Standard_Cost'!$C$15</f>
        <v>0</v>
      </c>
      <c r="T52" s="127">
        <f>N52*P52*Q52*'1. Standard_Cost'!$D$15</f>
        <v>0</v>
      </c>
      <c r="U52" s="127">
        <f>N52*O52*'1. Standard_Cost'!$E$15</f>
        <v>0</v>
      </c>
      <c r="V52" s="126"/>
      <c r="W52" s="126"/>
      <c r="X52" s="126"/>
      <c r="Y52" s="127">
        <f>+V52*((X52*'1. Standard_Cost'!$B$19)+(W52*X52*'1. Standard_Cost'!$C$19))</f>
        <v>0</v>
      </c>
      <c r="Z52" s="126"/>
      <c r="AA52" s="126"/>
      <c r="AB52" s="127">
        <f>+Z52*'1. Standard_Cost'!$B$23+AA52*'1. Standard_Cost'!$C$23</f>
        <v>0</v>
      </c>
      <c r="AC52" s="128">
        <f>100000/12*3*402</f>
        <v>10050000</v>
      </c>
      <c r="AD52" s="129"/>
      <c r="AE52" s="127">
        <f>SUM(AD52,AC52,AB52,Y52,U52,T52,S52,R52)*'1. Standard_Cost'!$B$31</f>
        <v>2010000</v>
      </c>
      <c r="AF52" s="127">
        <f>SUM(AE52,AD52,AC52,AB52,Y52,U52,T52,S52,R52)</f>
        <v>12060000</v>
      </c>
      <c r="AG52" s="126"/>
      <c r="AH52" s="126"/>
      <c r="AI52" s="126"/>
      <c r="AJ52" s="130"/>
      <c r="AK52" s="130"/>
      <c r="AL52" s="130"/>
      <c r="AM52" s="127">
        <f>AG52*'1. Standard_Cost'!$B$27+'Incremental_Cost Year 5'!AH52*'1. Standard_Cost'!$C$27+'Incremental_Cost Year 5'!AI52*'1. Standard_Cost'!$D$27+'Incremental_Cost Year 5'!AJ52+'Incremental_Cost Year 5'!AL52+AK52</f>
        <v>0</v>
      </c>
      <c r="AN52" s="127">
        <f>AM52*'1. Standard_Cost'!$C$31</f>
        <v>0</v>
      </c>
      <c r="AO52" s="130"/>
      <c r="AQ52" s="171">
        <f>L52+M52</f>
        <v>1254723189.942857</v>
      </c>
      <c r="AR52" s="171">
        <f>AF52</f>
        <v>12060000</v>
      </c>
      <c r="AS52" s="171">
        <f>AM52+AN52</f>
        <v>0</v>
      </c>
      <c r="AT52" s="171">
        <f>SUM(AQ52,AR52,AS52)</f>
        <v>1266783189.942857</v>
      </c>
      <c r="AU52" s="250">
        <f>AT52</f>
        <v>1266783189.942857</v>
      </c>
      <c r="AV52" s="250"/>
      <c r="AW52" s="250"/>
      <c r="AX52" s="250"/>
      <c r="AY52" s="250"/>
      <c r="AZ52" s="250"/>
      <c r="BA52" s="250"/>
      <c r="BB52" s="251">
        <f t="shared" si="39"/>
        <v>0</v>
      </c>
      <c r="BC52" s="169"/>
      <c r="BD52" s="169"/>
      <c r="BE52" s="169"/>
      <c r="BF52" s="169"/>
    </row>
    <row r="53" spans="1:58" ht="51.6" customHeight="1" outlineLevel="2" x14ac:dyDescent="0.25">
      <c r="A53" s="115"/>
      <c r="B53" s="200"/>
      <c r="C53" s="201"/>
      <c r="D53" s="135"/>
      <c r="E53" s="219"/>
      <c r="F53" s="219"/>
      <c r="G53" s="313"/>
      <c r="H53" s="199" t="s">
        <v>227</v>
      </c>
      <c r="I53" s="130" t="s">
        <v>3</v>
      </c>
      <c r="J53" s="126">
        <v>6</v>
      </c>
      <c r="K53" s="126">
        <v>1</v>
      </c>
      <c r="L53" s="125">
        <f>IF(I53&lt;&gt;0,((VLOOKUP(I53,'1. Standard_Cost'!$B$4:$D$11,2)+VLOOKUP(I53,'1. Standard_Cost'!$B$4:$D$11,3))*J53*K53),"0")</f>
        <v>604800</v>
      </c>
      <c r="M53" s="125">
        <f>L53*'1. Standard_Cost'!$F$4</f>
        <v>101001.60000000001</v>
      </c>
      <c r="N53" s="126"/>
      <c r="O53" s="126"/>
      <c r="P53" s="126"/>
      <c r="Q53" s="126"/>
      <c r="R53" s="127">
        <f>'1. Standard_Cost'!$B$15*N53*P53</f>
        <v>0</v>
      </c>
      <c r="S53" s="127">
        <f>N53*O53*P53*'1. Standard_Cost'!$C$15</f>
        <v>0</v>
      </c>
      <c r="T53" s="127">
        <f>N53*P53*Q53*'1. Standard_Cost'!$D$15</f>
        <v>0</v>
      </c>
      <c r="U53" s="127">
        <f>N53*O53*'1. Standard_Cost'!$E$15</f>
        <v>0</v>
      </c>
      <c r="V53" s="126"/>
      <c r="W53" s="126"/>
      <c r="X53" s="126"/>
      <c r="Y53" s="127">
        <f>+V53*((X53*'1. Standard_Cost'!$B$19)+(W53*X53*'1. Standard_Cost'!$C$19))</f>
        <v>0</v>
      </c>
      <c r="Z53" s="126"/>
      <c r="AA53" s="126"/>
      <c r="AB53" s="127">
        <f>+Z53*'1. Standard_Cost'!$B$23+AA53*'1. Standard_Cost'!$C$23</f>
        <v>0</v>
      </c>
      <c r="AC53" s="128"/>
      <c r="AD53" s="129"/>
      <c r="AE53" s="127">
        <f>SUM(AD53,AC53,AB53,Y53,U53,T53,S53,R53)*'1. Standard_Cost'!$B$31</f>
        <v>0</v>
      </c>
      <c r="AF53" s="127">
        <f>SUM(AE53,AD53,AC53,AB53,Y53,U53,T53,S53,R53)</f>
        <v>0</v>
      </c>
      <c r="AG53" s="126"/>
      <c r="AH53" s="126"/>
      <c r="AI53" s="126"/>
      <c r="AJ53" s="130"/>
      <c r="AK53" s="130"/>
      <c r="AL53" s="130"/>
      <c r="AM53" s="127">
        <f>AG53*'1. Standard_Cost'!$B$27+'Incremental_Cost Year 5'!AH53*'1. Standard_Cost'!$C$27+'Incremental_Cost Year 5'!AI53*'1. Standard_Cost'!$D$27+'Incremental_Cost Year 5'!AJ53+'Incremental_Cost Year 5'!AL53+AK53</f>
        <v>0</v>
      </c>
      <c r="AN53" s="127">
        <f>AM53*'1. Standard_Cost'!$C$31</f>
        <v>0</v>
      </c>
      <c r="AO53" s="130"/>
      <c r="AQ53" s="171">
        <f>L53+M53</f>
        <v>705801.6</v>
      </c>
      <c r="AR53" s="171">
        <f>AF53</f>
        <v>0</v>
      </c>
      <c r="AS53" s="171">
        <f>AM53+AN53</f>
        <v>0</v>
      </c>
      <c r="AT53" s="171">
        <f>SUM(AQ53,AR53,AS53)</f>
        <v>705801.6</v>
      </c>
      <c r="AU53" s="250">
        <f>AQ53</f>
        <v>705801.6</v>
      </c>
      <c r="AV53" s="250"/>
      <c r="AW53" s="250"/>
      <c r="AX53" s="250"/>
      <c r="AY53" s="250"/>
      <c r="AZ53" s="250"/>
      <c r="BA53" s="250"/>
      <c r="BB53" s="251">
        <f t="shared" si="39"/>
        <v>0</v>
      </c>
      <c r="BC53" s="169"/>
      <c r="BD53" s="169"/>
      <c r="BE53" s="169"/>
      <c r="BF53" s="169"/>
    </row>
    <row r="54" spans="1:58" ht="51.6" customHeight="1" outlineLevel="2" x14ac:dyDescent="0.25">
      <c r="A54" s="115"/>
      <c r="B54" s="200"/>
      <c r="C54" s="201"/>
      <c r="D54" s="135"/>
      <c r="E54" s="219"/>
      <c r="F54" s="219"/>
      <c r="G54" s="313"/>
      <c r="H54" s="199" t="s">
        <v>228</v>
      </c>
      <c r="I54" s="130" t="s">
        <v>5</v>
      </c>
      <c r="J54" s="126">
        <v>0.2</v>
      </c>
      <c r="K54" s="126">
        <v>1</v>
      </c>
      <c r="L54" s="125">
        <f>IF(I54&lt;&gt;0,((VLOOKUP(I54,'1. Standard_Cost'!$B$4:$D$11,2)+VLOOKUP(I54,'1. Standard_Cost'!$B$4:$D$11,3))*J54*K54),"0")</f>
        <v>14140</v>
      </c>
      <c r="M54" s="125">
        <f>L54*'1. Standard_Cost'!$F$4</f>
        <v>2361.38</v>
      </c>
      <c r="N54" s="126"/>
      <c r="O54" s="126"/>
      <c r="P54" s="126"/>
      <c r="Q54" s="126"/>
      <c r="R54" s="127">
        <f>'1. Standard_Cost'!$B$15*N54*P54</f>
        <v>0</v>
      </c>
      <c r="S54" s="127">
        <f>N54*O54*P54*'1. Standard_Cost'!$C$15</f>
        <v>0</v>
      </c>
      <c r="T54" s="127">
        <f>N54*P54*Q54*'1. Standard_Cost'!$D$15</f>
        <v>0</v>
      </c>
      <c r="U54" s="127">
        <f>N54*O54*'1. Standard_Cost'!$E$15</f>
        <v>0</v>
      </c>
      <c r="V54" s="126"/>
      <c r="W54" s="126"/>
      <c r="X54" s="126"/>
      <c r="Y54" s="127">
        <f>+V54*((X54*'1. Standard_Cost'!$B$19)+(W54*X54*'1. Standard_Cost'!$C$19))</f>
        <v>0</v>
      </c>
      <c r="Z54" s="126"/>
      <c r="AA54" s="126"/>
      <c r="AB54" s="127">
        <f>+Z54*'1. Standard_Cost'!$B$23+AA54*'1. Standard_Cost'!$C$23</f>
        <v>0</v>
      </c>
      <c r="AC54" s="128"/>
      <c r="AD54" s="129"/>
      <c r="AE54" s="127">
        <f>SUM(AD54,AC54,AB54,Y54,U54,T54,S54,R54)*'1. Standard_Cost'!$B$31</f>
        <v>0</v>
      </c>
      <c r="AF54" s="127">
        <f>SUM(AE54,AD54,AC54,AB54,Y54,U54,T54,S54,R54)</f>
        <v>0</v>
      </c>
      <c r="AG54" s="126"/>
      <c r="AH54" s="126"/>
      <c r="AI54" s="126"/>
      <c r="AJ54" s="130"/>
      <c r="AK54" s="130"/>
      <c r="AL54" s="130"/>
      <c r="AM54" s="127">
        <f>AG54*'1. Standard_Cost'!$B$27+'Incremental_Cost Year 5'!AH54*'1. Standard_Cost'!$C$27+'Incremental_Cost Year 5'!AI54*'1. Standard_Cost'!$D$27+'Incremental_Cost Year 5'!AJ54+'Incremental_Cost Year 5'!AL54+AK54</f>
        <v>0</v>
      </c>
      <c r="AN54" s="127">
        <f>AM54*'1. Standard_Cost'!$C$31</f>
        <v>0</v>
      </c>
      <c r="AO54" s="130"/>
      <c r="AQ54" s="171">
        <f>L54+M54</f>
        <v>16501.38</v>
      </c>
      <c r="AR54" s="171">
        <f>AF54</f>
        <v>0</v>
      </c>
      <c r="AS54" s="171">
        <f>AM54+AN54</f>
        <v>0</v>
      </c>
      <c r="AT54" s="171">
        <f>SUM(AQ54,AR54,AS54)</f>
        <v>16501.38</v>
      </c>
      <c r="AU54" s="250">
        <f>AQ54</f>
        <v>16501.38</v>
      </c>
      <c r="AV54" s="250"/>
      <c r="AW54" s="250"/>
      <c r="AX54" s="250"/>
      <c r="AY54" s="250"/>
      <c r="AZ54" s="250"/>
      <c r="BA54" s="250"/>
      <c r="BB54" s="251">
        <f t="shared" si="39"/>
        <v>0</v>
      </c>
      <c r="BC54" s="169"/>
      <c r="BD54" s="169"/>
      <c r="BE54" s="169"/>
      <c r="BF54" s="169"/>
    </row>
    <row r="55" spans="1:58" ht="51.6" customHeight="1" outlineLevel="2" x14ac:dyDescent="0.25">
      <c r="A55" s="115"/>
      <c r="B55" s="200"/>
      <c r="C55" s="201"/>
      <c r="D55" s="223"/>
      <c r="E55" s="219"/>
      <c r="F55" s="219"/>
      <c r="G55" s="313"/>
      <c r="H55" s="199" t="s">
        <v>229</v>
      </c>
      <c r="I55" s="130" t="s">
        <v>3</v>
      </c>
      <c r="J55" s="126">
        <v>1</v>
      </c>
      <c r="K55" s="126">
        <v>1</v>
      </c>
      <c r="L55" s="125">
        <f>IF(I55&lt;&gt;0,((VLOOKUP(I55,'1. Standard_Cost'!$B$4:$D$11,2)+VLOOKUP(I55,'1. Standard_Cost'!$B$4:$D$11,3))*J55*K55),"0")</f>
        <v>100800</v>
      </c>
      <c r="M55" s="125">
        <f>L55*'1. Standard_Cost'!$F$4</f>
        <v>16833.600000000002</v>
      </c>
      <c r="N55" s="126"/>
      <c r="O55" s="126"/>
      <c r="P55" s="126"/>
      <c r="Q55" s="126"/>
      <c r="R55" s="127">
        <f>'1. Standard_Cost'!$B$15*N55*P55</f>
        <v>0</v>
      </c>
      <c r="S55" s="127">
        <f>N55*O55*P55*'1. Standard_Cost'!$C$15</f>
        <v>0</v>
      </c>
      <c r="T55" s="127">
        <f>N55*P55*Q55*'1. Standard_Cost'!$D$15</f>
        <v>0</v>
      </c>
      <c r="U55" s="127">
        <f>N55*O55*'1. Standard_Cost'!$E$15</f>
        <v>0</v>
      </c>
      <c r="V55" s="126"/>
      <c r="W55" s="126"/>
      <c r="X55" s="126"/>
      <c r="Y55" s="127">
        <f>+V55*((X55*'1. Standard_Cost'!$B$19)+(W55*X55*'1. Standard_Cost'!$C$19))</f>
        <v>0</v>
      </c>
      <c r="Z55" s="126"/>
      <c r="AA55" s="126"/>
      <c r="AB55" s="127">
        <f>+Z55*'1. Standard_Cost'!$B$23+AA55*'1. Standard_Cost'!$C$23</f>
        <v>0</v>
      </c>
      <c r="AC55" s="128"/>
      <c r="AD55" s="129"/>
      <c r="AE55" s="127">
        <f>SUM(AD55,AC55,AB55,Y55,U55,T55,S55,R55)*'1. Standard_Cost'!$B$31</f>
        <v>0</v>
      </c>
      <c r="AF55" s="127">
        <f>SUM(AE55,AD55,AC55,AB55,Y55,U55,T55,S55,R55)</f>
        <v>0</v>
      </c>
      <c r="AG55" s="126"/>
      <c r="AH55" s="126"/>
      <c r="AI55" s="126"/>
      <c r="AJ55" s="130"/>
      <c r="AK55" s="130"/>
      <c r="AL55" s="130"/>
      <c r="AM55" s="127">
        <f>AG55*'1. Standard_Cost'!$B$27+'Incremental_Cost Year 5'!AH55*'1. Standard_Cost'!$C$27+'Incremental_Cost Year 5'!AI55*'1. Standard_Cost'!$D$27+'Incremental_Cost Year 5'!AJ55+'Incremental_Cost Year 5'!AL55+AK55</f>
        <v>0</v>
      </c>
      <c r="AN55" s="127">
        <f>AM55*'1. Standard_Cost'!$C$31</f>
        <v>0</v>
      </c>
      <c r="AO55" s="130"/>
      <c r="AQ55" s="171">
        <f>L55+M55</f>
        <v>117633.60000000001</v>
      </c>
      <c r="AR55" s="171">
        <f>AF55</f>
        <v>0</v>
      </c>
      <c r="AS55" s="171">
        <f>AM55+AN55</f>
        <v>0</v>
      </c>
      <c r="AT55" s="171">
        <f>SUM(AQ55,AR55,AS55)</f>
        <v>117633.60000000001</v>
      </c>
      <c r="AU55" s="250">
        <f>AQ55</f>
        <v>117633.60000000001</v>
      </c>
      <c r="AV55" s="250"/>
      <c r="AW55" s="250"/>
      <c r="AX55" s="250"/>
      <c r="AY55" s="250"/>
      <c r="AZ55" s="250"/>
      <c r="BA55" s="250"/>
      <c r="BB55" s="251">
        <f t="shared" si="39"/>
        <v>0</v>
      </c>
      <c r="BC55" s="169"/>
      <c r="BD55" s="169"/>
      <c r="BE55" s="169"/>
      <c r="BF55" s="169"/>
    </row>
    <row r="56" spans="1:58" ht="51.6" customHeight="1" outlineLevel="1" x14ac:dyDescent="0.25">
      <c r="A56" s="115"/>
      <c r="B56" s="165"/>
      <c r="C56" s="166"/>
      <c r="D56" s="107" t="s">
        <v>401</v>
      </c>
      <c r="E56" s="139" t="s">
        <v>214</v>
      </c>
      <c r="F56" s="222">
        <v>2021</v>
      </c>
      <c r="G56" s="117">
        <v>2030</v>
      </c>
      <c r="H56" s="134" t="s">
        <v>215</v>
      </c>
      <c r="I56" s="252"/>
      <c r="J56" s="252"/>
      <c r="K56" s="252"/>
      <c r="L56" s="127">
        <f>SUM(L51:L55)</f>
        <v>1075889568.5714285</v>
      </c>
      <c r="M56" s="127">
        <f>SUM(M51:M55)</f>
        <v>179673557.95142856</v>
      </c>
      <c r="N56" s="127"/>
      <c r="O56" s="252"/>
      <c r="P56" s="252"/>
      <c r="Q56" s="252"/>
      <c r="R56" s="127">
        <f>SUM(R51:R55)</f>
        <v>0</v>
      </c>
      <c r="S56" s="127">
        <f>SUM(S51:S55)</f>
        <v>0</v>
      </c>
      <c r="T56" s="127">
        <f>SUM(T51:T55)</f>
        <v>0</v>
      </c>
      <c r="U56" s="127">
        <f>SUM(U51:U55)</f>
        <v>0</v>
      </c>
      <c r="V56" s="252"/>
      <c r="W56" s="252"/>
      <c r="X56" s="252"/>
      <c r="Y56" s="127">
        <f>SUM(Y51:Y55)</f>
        <v>0</v>
      </c>
      <c r="Z56" s="252"/>
      <c r="AA56" s="252"/>
      <c r="AB56" s="127">
        <f>SUM(AB51:AB55)</f>
        <v>0</v>
      </c>
      <c r="AC56" s="127">
        <f>SUM(AC51:AC55)</f>
        <v>10050000</v>
      </c>
      <c r="AD56" s="127">
        <f>SUM(AD51:AD55)</f>
        <v>0</v>
      </c>
      <c r="AE56" s="127">
        <f>SUM(AE51:AE55)</f>
        <v>2010000</v>
      </c>
      <c r="AF56" s="127">
        <f>SUM(AF51:AF55)</f>
        <v>12060000</v>
      </c>
      <c r="AG56" s="252"/>
      <c r="AH56" s="252"/>
      <c r="AI56" s="252"/>
      <c r="AJ56" s="127">
        <f>SUM(AJ51:AJ55)</f>
        <v>0</v>
      </c>
      <c r="AK56" s="127">
        <f>SUM(AK51:AK55)</f>
        <v>0</v>
      </c>
      <c r="AL56" s="127">
        <f>SUM(AL51:AL55)</f>
        <v>0</v>
      </c>
      <c r="AM56" s="127">
        <f>SUM(AM51:AM55)</f>
        <v>0</v>
      </c>
      <c r="AN56" s="127">
        <f>SUM(AN51:AN55)</f>
        <v>0</v>
      </c>
      <c r="AO56" s="253"/>
      <c r="AP56" s="254"/>
      <c r="AQ56" s="175">
        <f>SUM(AQ51:AQ55)</f>
        <v>1255563126.522857</v>
      </c>
      <c r="AR56" s="175">
        <f>SUM(AR51:AR55)</f>
        <v>12060000</v>
      </c>
      <c r="AS56" s="175">
        <f>SUM(AS51:AS55)</f>
        <v>0</v>
      </c>
      <c r="AT56" s="175">
        <f>SUM(AT51:AT55)</f>
        <v>1267623126.522857</v>
      </c>
      <c r="AU56" s="175">
        <f t="shared" ref="AU56:BB56" si="40">SUM(AU51:AU55)</f>
        <v>1267623126.522857</v>
      </c>
      <c r="AV56" s="175">
        <f t="shared" si="40"/>
        <v>0</v>
      </c>
      <c r="AW56" s="175">
        <f t="shared" si="40"/>
        <v>0</v>
      </c>
      <c r="AX56" s="175">
        <f t="shared" si="40"/>
        <v>0</v>
      </c>
      <c r="AY56" s="175">
        <f t="shared" si="40"/>
        <v>0</v>
      </c>
      <c r="AZ56" s="175">
        <f t="shared" si="40"/>
        <v>0</v>
      </c>
      <c r="BA56" s="175">
        <f t="shared" si="40"/>
        <v>0</v>
      </c>
      <c r="BB56" s="175">
        <f t="shared" si="40"/>
        <v>0</v>
      </c>
      <c r="BC56" s="169"/>
      <c r="BD56" s="169"/>
      <c r="BE56" s="169"/>
      <c r="BF56" s="169"/>
    </row>
    <row r="57" spans="1:58" ht="51.6" customHeight="1" outlineLevel="2" x14ac:dyDescent="0.25">
      <c r="A57" s="115"/>
      <c r="B57" s="200"/>
      <c r="C57" s="201"/>
      <c r="D57" s="138"/>
      <c r="E57" s="219"/>
      <c r="F57" s="219"/>
      <c r="G57" s="313"/>
      <c r="H57" s="199" t="s">
        <v>402</v>
      </c>
      <c r="I57" s="130"/>
      <c r="J57" s="126"/>
      <c r="K57" s="126"/>
      <c r="L57" s="125" t="str">
        <f>IF(I57&lt;&gt;0,((VLOOKUP(I57,'1. Standard_Cost'!$B$4:$D$11,2)+VLOOKUP(I57,'1. Standard_Cost'!$B$4:$D$11,3))*J57*K57),"0")</f>
        <v>0</v>
      </c>
      <c r="M57" s="125">
        <f>L57*'1. Standard_Cost'!$F$4</f>
        <v>0</v>
      </c>
      <c r="N57" s="126"/>
      <c r="O57" s="126"/>
      <c r="P57" s="126"/>
      <c r="Q57" s="126"/>
      <c r="R57" s="127">
        <f>'1. Standard_Cost'!$B$15*N57*P57</f>
        <v>0</v>
      </c>
      <c r="S57" s="127">
        <f>N57*O57*P57*'1. Standard_Cost'!$C$15</f>
        <v>0</v>
      </c>
      <c r="T57" s="127">
        <f>N57*P57*Q57*'1. Standard_Cost'!$D$15</f>
        <v>0</v>
      </c>
      <c r="U57" s="127">
        <f>N57*O57*'1. Standard_Cost'!$E$15</f>
        <v>0</v>
      </c>
      <c r="V57" s="126"/>
      <c r="W57" s="126"/>
      <c r="X57" s="126"/>
      <c r="Y57" s="127">
        <f>+V57*((X57*'1. Standard_Cost'!$B$19)+(W57*X57*'1. Standard_Cost'!$C$19))</f>
        <v>0</v>
      </c>
      <c r="Z57" s="126"/>
      <c r="AA57" s="126"/>
      <c r="AB57" s="127">
        <f>+Z57*'1. Standard_Cost'!$B$23+AA57*'1. Standard_Cost'!$C$23</f>
        <v>0</v>
      </c>
      <c r="AC57" s="128"/>
      <c r="AD57" s="129"/>
      <c r="AE57" s="127">
        <f>SUM(AD57,AC57,AB57,Y57,U57,T57,S57,R57)*'1. Standard_Cost'!$B$31</f>
        <v>0</v>
      </c>
      <c r="AF57" s="127">
        <f>SUM(AE57,AD57,AC57,AB57,Y57,U57,T57,S57,R57)</f>
        <v>0</v>
      </c>
      <c r="AG57" s="126"/>
      <c r="AH57" s="126"/>
      <c r="AI57" s="126"/>
      <c r="AJ57" s="130"/>
      <c r="AK57" s="130"/>
      <c r="AL57" s="130"/>
      <c r="AM57" s="127">
        <f>AG57*'1. Standard_Cost'!$B$27+'Incremental_Cost Year 5'!AH57*'1. Standard_Cost'!$C$27+'Incremental_Cost Year 5'!AI57*'1. Standard_Cost'!$D$27+'Incremental_Cost Year 5'!AJ57+'Incremental_Cost Year 5'!AL57+AK57</f>
        <v>0</v>
      </c>
      <c r="AN57" s="127">
        <f>AM57*'1. Standard_Cost'!$C$31</f>
        <v>0</v>
      </c>
      <c r="AO57" s="249"/>
      <c r="AQ57" s="171">
        <f>L57+M57</f>
        <v>0</v>
      </c>
      <c r="AR57" s="171">
        <f>AF57</f>
        <v>0</v>
      </c>
      <c r="AS57" s="171">
        <f>AM57+AN57</f>
        <v>0</v>
      </c>
      <c r="AT57" s="171">
        <f>SUM(AQ57,AR57,AS57)</f>
        <v>0</v>
      </c>
      <c r="AU57" s="250"/>
      <c r="AV57" s="250"/>
      <c r="AW57" s="250"/>
      <c r="AX57" s="250"/>
      <c r="AY57" s="250"/>
      <c r="AZ57" s="250"/>
      <c r="BA57" s="250"/>
      <c r="BB57" s="251">
        <f t="shared" ref="BB57:BB59" si="41">SUM(AU57:BA57)-AT57</f>
        <v>0</v>
      </c>
      <c r="BC57" s="169"/>
      <c r="BD57" s="169"/>
      <c r="BE57" s="169"/>
      <c r="BF57" s="169"/>
    </row>
    <row r="58" spans="1:58" ht="51.6" customHeight="1" outlineLevel="2" x14ac:dyDescent="0.25">
      <c r="A58" s="115"/>
      <c r="B58" s="200"/>
      <c r="C58" s="201"/>
      <c r="D58" s="135"/>
      <c r="E58" s="219"/>
      <c r="F58" s="219"/>
      <c r="G58" s="313"/>
      <c r="H58" s="199" t="s">
        <v>403</v>
      </c>
      <c r="I58" s="130"/>
      <c r="J58" s="126"/>
      <c r="K58" s="126"/>
      <c r="L58" s="125" t="str">
        <f>IF(I58&lt;&gt;0,((VLOOKUP(I58,'1. Standard_Cost'!$B$4:$D$11,2)+VLOOKUP(I58,'1. Standard_Cost'!$B$4:$D$11,3))*J58*K58),"0")</f>
        <v>0</v>
      </c>
      <c r="M58" s="125">
        <f>L58*'1. Standard_Cost'!$F$4</f>
        <v>0</v>
      </c>
      <c r="N58" s="126"/>
      <c r="O58" s="126"/>
      <c r="P58" s="126"/>
      <c r="Q58" s="126"/>
      <c r="R58" s="127">
        <f>'1. Standard_Cost'!$B$15*N58*P58</f>
        <v>0</v>
      </c>
      <c r="S58" s="127">
        <f>N58*O58*P58*'1. Standard_Cost'!$C$15</f>
        <v>0</v>
      </c>
      <c r="T58" s="127">
        <f>N58*P58*Q58*'1. Standard_Cost'!$D$15</f>
        <v>0</v>
      </c>
      <c r="U58" s="127">
        <f>N58*O58*'1. Standard_Cost'!$E$15</f>
        <v>0</v>
      </c>
      <c r="V58" s="126"/>
      <c r="W58" s="126"/>
      <c r="X58" s="126"/>
      <c r="Y58" s="127">
        <f>+V58*((X58*'1. Standard_Cost'!$B$19)+(W58*X58*'1. Standard_Cost'!$C$19))</f>
        <v>0</v>
      </c>
      <c r="Z58" s="126"/>
      <c r="AA58" s="126"/>
      <c r="AB58" s="127">
        <f>+Z58*'1. Standard_Cost'!$B$23+AA58*'1. Standard_Cost'!$C$23</f>
        <v>0</v>
      </c>
      <c r="AC58" s="128"/>
      <c r="AD58" s="129"/>
      <c r="AE58" s="127">
        <f>SUM(AD58,AC58,AB58,Y58,U58,T58,S58,R58)*'1. Standard_Cost'!$B$31</f>
        <v>0</v>
      </c>
      <c r="AF58" s="127">
        <f>SUM(AE58,AD58,AC58,AB58,Y58,U58,T58,S58,R58)</f>
        <v>0</v>
      </c>
      <c r="AG58" s="126"/>
      <c r="AH58" s="126"/>
      <c r="AI58" s="126"/>
      <c r="AJ58" s="130"/>
      <c r="AK58" s="130"/>
      <c r="AL58" s="130"/>
      <c r="AM58" s="127">
        <f>AG58*'1. Standard_Cost'!$B$27+'Incremental_Cost Year 5'!AH58*'1. Standard_Cost'!$C$27+'Incremental_Cost Year 5'!AI58*'1. Standard_Cost'!$D$27+'Incremental_Cost Year 5'!AJ58+'Incremental_Cost Year 5'!AL58+AK58</f>
        <v>0</v>
      </c>
      <c r="AN58" s="127">
        <f>AM58*'1. Standard_Cost'!$C$31</f>
        <v>0</v>
      </c>
      <c r="AO58" s="130"/>
      <c r="AQ58" s="171">
        <f>L58+M58</f>
        <v>0</v>
      </c>
      <c r="AR58" s="171">
        <f>AF58</f>
        <v>0</v>
      </c>
      <c r="AS58" s="171">
        <f>AM58+AN58</f>
        <v>0</v>
      </c>
      <c r="AT58" s="171">
        <f>SUM(AQ58,AR58,AS58)</f>
        <v>0</v>
      </c>
      <c r="AU58" s="250"/>
      <c r="AV58" s="250"/>
      <c r="AW58" s="250"/>
      <c r="AX58" s="250"/>
      <c r="AY58" s="250"/>
      <c r="AZ58" s="250"/>
      <c r="BA58" s="250"/>
      <c r="BB58" s="251">
        <f t="shared" si="41"/>
        <v>0</v>
      </c>
      <c r="BC58" s="169"/>
      <c r="BD58" s="169"/>
      <c r="BE58" s="169"/>
      <c r="BF58" s="169"/>
    </row>
    <row r="59" spans="1:58" ht="51.6" customHeight="1" outlineLevel="2" x14ac:dyDescent="0.25">
      <c r="A59" s="115"/>
      <c r="B59" s="147"/>
      <c r="C59" s="314"/>
      <c r="D59" s="223"/>
      <c r="E59" s="122"/>
      <c r="F59" s="122"/>
      <c r="G59" s="123"/>
      <c r="H59" s="199" t="s">
        <v>309</v>
      </c>
      <c r="I59" s="130"/>
      <c r="J59" s="126"/>
      <c r="K59" s="126"/>
      <c r="L59" s="125" t="str">
        <f>IF(I59&lt;&gt;0,((VLOOKUP(I59,'1. Standard_Cost'!$B$4:$D$11,2)+VLOOKUP(I59,'1. Standard_Cost'!$B$4:$D$11,3))*J59*K59),"0")</f>
        <v>0</v>
      </c>
      <c r="M59" s="125">
        <f>L59*'1. Standard_Cost'!$F$4</f>
        <v>0</v>
      </c>
      <c r="N59" s="126"/>
      <c r="O59" s="126"/>
      <c r="P59" s="126"/>
      <c r="Q59" s="126"/>
      <c r="R59" s="127">
        <f>'1. Standard_Cost'!$B$15*N59*P59</f>
        <v>0</v>
      </c>
      <c r="S59" s="127">
        <f>N59*O59*P59*'1. Standard_Cost'!$C$15</f>
        <v>0</v>
      </c>
      <c r="T59" s="127">
        <f>N59*P59*Q59*'1. Standard_Cost'!$D$15</f>
        <v>0</v>
      </c>
      <c r="U59" s="127">
        <f>N59*O59*'1. Standard_Cost'!$E$15</f>
        <v>0</v>
      </c>
      <c r="V59" s="126"/>
      <c r="W59" s="126"/>
      <c r="X59" s="126"/>
      <c r="Y59" s="127">
        <f>+V59*((X59*'1. Standard_Cost'!$B$19)+(W59*X59*'1. Standard_Cost'!$C$19))</f>
        <v>0</v>
      </c>
      <c r="Z59" s="126"/>
      <c r="AA59" s="126"/>
      <c r="AB59" s="127">
        <f>+Z59*'1. Standard_Cost'!$B$23+AA59*'1. Standard_Cost'!$C$23</f>
        <v>0</v>
      </c>
      <c r="AC59" s="128"/>
      <c r="AD59" s="129"/>
      <c r="AE59" s="127">
        <f>SUM(AD59,AC59,AB59,Y59,U59,T59,S59,R59)*'1. Standard_Cost'!$B$31</f>
        <v>0</v>
      </c>
      <c r="AF59" s="127">
        <f>SUM(AE59,AD59,AC59,AB59,Y59,U59,T59,S59,R59)</f>
        <v>0</v>
      </c>
      <c r="AG59" s="126"/>
      <c r="AH59" s="126"/>
      <c r="AI59" s="126"/>
      <c r="AJ59" s="130"/>
      <c r="AK59" s="130"/>
      <c r="AL59" s="130"/>
      <c r="AM59" s="127">
        <f>AG59*'1. Standard_Cost'!$B$27+'Incremental_Cost Year 5'!AH59*'1. Standard_Cost'!$C$27+'Incremental_Cost Year 5'!AI59*'1. Standard_Cost'!$D$27+'Incremental_Cost Year 5'!AJ59+'Incremental_Cost Year 5'!AL59+AK59</f>
        <v>0</v>
      </c>
      <c r="AN59" s="127">
        <f>AM59*'1. Standard_Cost'!$C$31</f>
        <v>0</v>
      </c>
      <c r="AO59" s="130"/>
      <c r="AQ59" s="171">
        <f>L59+M59</f>
        <v>0</v>
      </c>
      <c r="AR59" s="171">
        <f>AF59</f>
        <v>0</v>
      </c>
      <c r="AS59" s="171">
        <f>AM59+AN59</f>
        <v>0</v>
      </c>
      <c r="AT59" s="171">
        <f>SUM(AQ59,AR59,AS59)</f>
        <v>0</v>
      </c>
      <c r="AU59" s="250"/>
      <c r="AV59" s="250"/>
      <c r="AW59" s="250"/>
      <c r="AX59" s="250"/>
      <c r="AY59" s="250"/>
      <c r="AZ59" s="250"/>
      <c r="BA59" s="250"/>
      <c r="BB59" s="251">
        <f t="shared" si="41"/>
        <v>0</v>
      </c>
      <c r="BC59" s="169"/>
      <c r="BD59" s="169"/>
      <c r="BE59" s="169"/>
      <c r="BF59" s="169"/>
    </row>
    <row r="60" spans="1:58" ht="51.6" customHeight="1" outlineLevel="1" x14ac:dyDescent="0.25">
      <c r="A60" s="115"/>
      <c r="B60" s="200"/>
      <c r="C60" s="201"/>
      <c r="D60" s="132" t="s">
        <v>388</v>
      </c>
      <c r="E60" s="133" t="s">
        <v>216</v>
      </c>
      <c r="F60" s="122">
        <v>2021</v>
      </c>
      <c r="G60" s="223">
        <v>2030</v>
      </c>
      <c r="H60" s="134" t="s">
        <v>217</v>
      </c>
      <c r="I60" s="252"/>
      <c r="J60" s="252"/>
      <c r="K60" s="252"/>
      <c r="L60" s="127">
        <f>SUM(L57:L59)</f>
        <v>0</v>
      </c>
      <c r="M60" s="127">
        <f>SUM(M57:M59)</f>
        <v>0</v>
      </c>
      <c r="N60" s="127"/>
      <c r="O60" s="252"/>
      <c r="P60" s="252"/>
      <c r="Q60" s="252"/>
      <c r="R60" s="127">
        <f>SUM(R57:R59)</f>
        <v>0</v>
      </c>
      <c r="S60" s="127">
        <f>SUM(S57:S59)</f>
        <v>0</v>
      </c>
      <c r="T60" s="127">
        <f>SUM(T57:T59)</f>
        <v>0</v>
      </c>
      <c r="U60" s="127">
        <f>SUM(U57:U59)</f>
        <v>0</v>
      </c>
      <c r="V60" s="252"/>
      <c r="W60" s="252"/>
      <c r="X60" s="252"/>
      <c r="Y60" s="127">
        <f>SUM(Y57:Y59)</f>
        <v>0</v>
      </c>
      <c r="Z60" s="252"/>
      <c r="AA60" s="252"/>
      <c r="AB60" s="127">
        <f>SUM(AB57:AB59)</f>
        <v>0</v>
      </c>
      <c r="AC60" s="127">
        <f>SUM(AC57:AC59)</f>
        <v>0</v>
      </c>
      <c r="AD60" s="127">
        <f>SUM(AD57:AD59)</f>
        <v>0</v>
      </c>
      <c r="AE60" s="127">
        <f>SUM(AE57:AE59)</f>
        <v>0</v>
      </c>
      <c r="AF60" s="127">
        <f>SUM(AF57:AF59)</f>
        <v>0</v>
      </c>
      <c r="AG60" s="252"/>
      <c r="AH60" s="252"/>
      <c r="AI60" s="252"/>
      <c r="AJ60" s="127">
        <f>SUM(AJ57:AJ59)</f>
        <v>0</v>
      </c>
      <c r="AK60" s="127">
        <f>SUM(AK57:AK59)</f>
        <v>0</v>
      </c>
      <c r="AL60" s="127">
        <f>SUM(AL57:AL59)</f>
        <v>0</v>
      </c>
      <c r="AM60" s="127">
        <f>SUM(AM57:AM59)</f>
        <v>0</v>
      </c>
      <c r="AN60" s="127">
        <f>SUM(AN57:AN59)</f>
        <v>0</v>
      </c>
      <c r="AO60" s="253"/>
      <c r="AP60" s="254"/>
      <c r="AQ60" s="175">
        <f>SUM(AQ57:AQ59)</f>
        <v>0</v>
      </c>
      <c r="AR60" s="175">
        <f>SUM(AR57:AR59)</f>
        <v>0</v>
      </c>
      <c r="AS60" s="175">
        <f>SUM(AS57:AS59)</f>
        <v>0</v>
      </c>
      <c r="AT60" s="175">
        <f>SUM(AT57:AT59)</f>
        <v>0</v>
      </c>
      <c r="AU60" s="175">
        <f t="shared" ref="AU60:BB60" si="42">SUM(AU57:AU59)</f>
        <v>0</v>
      </c>
      <c r="AV60" s="175">
        <f t="shared" si="42"/>
        <v>0</v>
      </c>
      <c r="AW60" s="175">
        <f t="shared" si="42"/>
        <v>0</v>
      </c>
      <c r="AX60" s="175">
        <f t="shared" si="42"/>
        <v>0</v>
      </c>
      <c r="AY60" s="175">
        <f t="shared" si="42"/>
        <v>0</v>
      </c>
      <c r="AZ60" s="175">
        <f t="shared" si="42"/>
        <v>0</v>
      </c>
      <c r="BA60" s="175">
        <f t="shared" si="42"/>
        <v>0</v>
      </c>
      <c r="BB60" s="175">
        <f t="shared" si="42"/>
        <v>0</v>
      </c>
      <c r="BC60" s="169"/>
      <c r="BD60" s="169"/>
      <c r="BE60" s="169"/>
      <c r="BF60" s="169"/>
    </row>
    <row r="61" spans="1:58" s="170" customFormat="1" ht="51.6" customHeight="1" x14ac:dyDescent="0.25">
      <c r="A61" s="120"/>
      <c r="B61" s="290"/>
      <c r="C61" s="391" t="s">
        <v>218</v>
      </c>
      <c r="D61" s="391"/>
      <c r="E61" s="392"/>
      <c r="F61" s="289"/>
      <c r="G61" s="288"/>
      <c r="H61" s="114" t="s">
        <v>219</v>
      </c>
      <c r="I61" s="246"/>
      <c r="J61" s="246"/>
      <c r="K61" s="246"/>
      <c r="L61" s="247">
        <f>SUM(L77)</f>
        <v>646486825</v>
      </c>
      <c r="M61" s="247">
        <f>SUM(M77)</f>
        <v>107963299.77500001</v>
      </c>
      <c r="N61" s="247"/>
      <c r="O61" s="247"/>
      <c r="P61" s="247"/>
      <c r="Q61" s="247"/>
      <c r="R61" s="247">
        <f>SUM(R77)</f>
        <v>280000</v>
      </c>
      <c r="S61" s="247">
        <f>SUM(S77)</f>
        <v>420000</v>
      </c>
      <c r="T61" s="247">
        <f>SUM(T77)</f>
        <v>0</v>
      </c>
      <c r="U61" s="247">
        <f>SUM(U77)</f>
        <v>560000</v>
      </c>
      <c r="V61" s="247"/>
      <c r="W61" s="247"/>
      <c r="X61" s="247"/>
      <c r="Y61" s="247">
        <f>SUM(Y77)</f>
        <v>0</v>
      </c>
      <c r="Z61" s="247">
        <f t="shared" ref="Z61:AA61" si="43">SUM(Z77)</f>
        <v>0</v>
      </c>
      <c r="AA61" s="247">
        <f t="shared" si="43"/>
        <v>0</v>
      </c>
      <c r="AB61" s="247">
        <f t="shared" ref="AB61:AF61" si="44">SUM(AB77)</f>
        <v>171000</v>
      </c>
      <c r="AC61" s="247">
        <f t="shared" si="44"/>
        <v>549876000</v>
      </c>
      <c r="AD61" s="247">
        <f t="shared" si="44"/>
        <v>0</v>
      </c>
      <c r="AE61" s="247">
        <f t="shared" si="44"/>
        <v>81821400</v>
      </c>
      <c r="AF61" s="247">
        <f t="shared" si="44"/>
        <v>633128400</v>
      </c>
      <c r="AG61" s="247"/>
      <c r="AH61" s="247"/>
      <c r="AI61" s="247"/>
      <c r="AJ61" s="247">
        <f>SUM(AJ77)</f>
        <v>0</v>
      </c>
      <c r="AK61" s="247">
        <f>SUM(AK77)</f>
        <v>0</v>
      </c>
      <c r="AL61" s="247">
        <f>SUM(AL77)</f>
        <v>650000000</v>
      </c>
      <c r="AM61" s="247">
        <f>SUM(AM77)</f>
        <v>650000000</v>
      </c>
      <c r="AN61" s="247">
        <f>SUM(AN77)</f>
        <v>97500000</v>
      </c>
      <c r="AO61" s="247"/>
      <c r="AP61" s="244"/>
      <c r="AQ61" s="248">
        <f>SUM(AQ77)</f>
        <v>754450124.77499998</v>
      </c>
      <c r="AR61" s="248">
        <f>SUM(AR77)</f>
        <v>633128400</v>
      </c>
      <c r="AS61" s="248">
        <f>SUM(AS77)</f>
        <v>747500000</v>
      </c>
      <c r="AT61" s="248">
        <f>SUM(AT77)</f>
        <v>2135078524.7750001</v>
      </c>
      <c r="AU61" s="248">
        <f t="shared" ref="AU61:BB61" si="45">SUM(AU77)</f>
        <v>1384152524.7750001</v>
      </c>
      <c r="AV61" s="248">
        <f t="shared" si="45"/>
        <v>0</v>
      </c>
      <c r="AW61" s="248">
        <f t="shared" si="45"/>
        <v>0</v>
      </c>
      <c r="AX61" s="248">
        <f t="shared" si="45"/>
        <v>0</v>
      </c>
      <c r="AY61" s="248">
        <f t="shared" si="45"/>
        <v>2346000</v>
      </c>
      <c r="AZ61" s="248">
        <f t="shared" si="45"/>
        <v>0</v>
      </c>
      <c r="BA61" s="248">
        <f t="shared" si="45"/>
        <v>0</v>
      </c>
      <c r="BB61" s="248">
        <f t="shared" si="45"/>
        <v>-748580000</v>
      </c>
    </row>
    <row r="62" spans="1:58" ht="51.6" customHeight="1" outlineLevel="2" x14ac:dyDescent="0.25">
      <c r="A62" s="115"/>
      <c r="B62" s="200"/>
      <c r="C62" s="201"/>
      <c r="D62" s="350"/>
      <c r="E62" s="315"/>
      <c r="F62" s="316"/>
      <c r="G62" s="317"/>
      <c r="H62" s="199" t="s">
        <v>404</v>
      </c>
      <c r="I62" s="130"/>
      <c r="J62" s="126"/>
      <c r="K62" s="126"/>
      <c r="L62" s="125" t="str">
        <f>IF(I62&lt;&gt;0,((VLOOKUP(I62,'1. Standard_Cost'!$B$4:$D$11,2)+VLOOKUP(I62,'1. Standard_Cost'!$B$4:$D$11,3))*J62*K62),"0")</f>
        <v>0</v>
      </c>
      <c r="M62" s="125">
        <f>L62*'1. Standard_Cost'!$F$4</f>
        <v>0</v>
      </c>
      <c r="N62" s="126"/>
      <c r="O62" s="126"/>
      <c r="P62" s="126"/>
      <c r="Q62" s="126"/>
      <c r="R62" s="127">
        <f>'1. Standard_Cost'!$B$15*N62*P62</f>
        <v>0</v>
      </c>
      <c r="S62" s="127">
        <f>N62*O62*P62*'1. Standard_Cost'!$C$15</f>
        <v>0</v>
      </c>
      <c r="T62" s="127">
        <f>N62*P62*Q62*'1. Standard_Cost'!$D$15</f>
        <v>0</v>
      </c>
      <c r="U62" s="127">
        <f>N62*O62*'1. Standard_Cost'!$E$15</f>
        <v>0</v>
      </c>
      <c r="V62" s="126"/>
      <c r="W62" s="126"/>
      <c r="X62" s="126"/>
      <c r="Y62" s="127">
        <f>+V62*((X62*'1. Standard_Cost'!$B$19)+(W62*X62*'1. Standard_Cost'!$C$19))</f>
        <v>0</v>
      </c>
      <c r="Z62" s="126"/>
      <c r="AA62" s="126"/>
      <c r="AB62" s="127">
        <f>+Z62*'1. Standard_Cost'!$B$23+AA62*'1. Standard_Cost'!$C$23</f>
        <v>0</v>
      </c>
      <c r="AC62" s="128"/>
      <c r="AD62" s="129"/>
      <c r="AE62" s="127">
        <f>SUM(AD62,AC62,AB62,Y62,U62,T62,S62,R62)*'1. Standard_Cost'!$B$31</f>
        <v>0</v>
      </c>
      <c r="AF62" s="127">
        <f t="shared" ref="AF62:AF67" si="46">SUM(AE62,AD62,AC62,AB62,Y62,U62,T62,S62,R62)</f>
        <v>0</v>
      </c>
      <c r="AG62" s="126"/>
      <c r="AH62" s="126"/>
      <c r="AI62" s="126"/>
      <c r="AJ62" s="130"/>
      <c r="AK62" s="130"/>
      <c r="AL62" s="130"/>
      <c r="AM62" s="127">
        <f>AG62*'1. Standard_Cost'!$B$27+'Incremental_Cost Year 5'!AH62*'1. Standard_Cost'!$C$27+'Incremental_Cost Year 5'!AI62*'1. Standard_Cost'!$D$27+'Incremental_Cost Year 5'!AJ62+'Incremental_Cost Year 5'!AL62+AK62</f>
        <v>0</v>
      </c>
      <c r="AN62" s="127">
        <f>AM62*'1. Standard_Cost'!$C$31</f>
        <v>0</v>
      </c>
      <c r="AO62" s="249"/>
      <c r="AQ62" s="171">
        <f t="shared" ref="AQ62:AQ76" si="47">L62+M62</f>
        <v>0</v>
      </c>
      <c r="AR62" s="171">
        <f t="shared" ref="AR62:AR76" si="48">AF62</f>
        <v>0</v>
      </c>
      <c r="AS62" s="171">
        <f t="shared" ref="AS62:AS76" si="49">AM62+AN62</f>
        <v>0</v>
      </c>
      <c r="AT62" s="171">
        <f t="shared" ref="AT62:AT76" si="50">SUM(AQ62,AR62,AS62)</f>
        <v>0</v>
      </c>
      <c r="AU62" s="250">
        <f>AQ62</f>
        <v>0</v>
      </c>
      <c r="AV62" s="250"/>
      <c r="AW62" s="250"/>
      <c r="AX62" s="250"/>
      <c r="AY62" s="250">
        <f>AR62</f>
        <v>0</v>
      </c>
      <c r="AZ62" s="250"/>
      <c r="BA62" s="250"/>
      <c r="BB62" s="251">
        <f t="shared" ref="BB62" si="51">SUM(AU62:BA62)-AT62</f>
        <v>0</v>
      </c>
      <c r="BC62" s="169"/>
      <c r="BD62" s="169"/>
      <c r="BE62" s="169"/>
      <c r="BF62" s="169"/>
    </row>
    <row r="63" spans="1:58" ht="51.6" customHeight="1" outlineLevel="2" x14ac:dyDescent="0.25">
      <c r="A63" s="115"/>
      <c r="B63" s="200"/>
      <c r="C63" s="201"/>
      <c r="D63" s="141"/>
      <c r="E63" s="318"/>
      <c r="F63" s="219"/>
      <c r="G63" s="313"/>
      <c r="H63" s="199" t="s">
        <v>405</v>
      </c>
      <c r="I63" s="130"/>
      <c r="J63" s="126"/>
      <c r="K63" s="126"/>
      <c r="L63" s="125" t="str">
        <f>IF(I63&lt;&gt;0,((VLOOKUP(I63,'1. Standard_Cost'!$B$4:$D$11,2)+VLOOKUP(I63,'1. Standard_Cost'!$B$4:$D$11,3))*J63*K63),"0")</f>
        <v>0</v>
      </c>
      <c r="M63" s="125">
        <f>L63*'1. Standard_Cost'!$F$4</f>
        <v>0</v>
      </c>
      <c r="N63" s="126"/>
      <c r="O63" s="126"/>
      <c r="P63" s="126"/>
      <c r="Q63" s="126"/>
      <c r="R63" s="127">
        <f>'1. Standard_Cost'!$B$15*N63*P63</f>
        <v>0</v>
      </c>
      <c r="S63" s="127">
        <f>N63*O63*P63*'1. Standard_Cost'!$C$15</f>
        <v>0</v>
      </c>
      <c r="T63" s="127">
        <f>N63*P63*Q63*'1. Standard_Cost'!$D$15</f>
        <v>0</v>
      </c>
      <c r="U63" s="127">
        <f>N63*O63*'1. Standard_Cost'!$E$15</f>
        <v>0</v>
      </c>
      <c r="V63" s="126"/>
      <c r="W63" s="126"/>
      <c r="X63" s="126"/>
      <c r="Y63" s="127">
        <f>+V63*((X63*'1. Standard_Cost'!$B$19)+(W63*X63*'1. Standard_Cost'!$C$19))</f>
        <v>0</v>
      </c>
      <c r="Z63" s="126"/>
      <c r="AA63" s="126"/>
      <c r="AB63" s="127">
        <f>+Z63*'1. Standard_Cost'!$B$23+AA63*'1. Standard_Cost'!$C$23</f>
        <v>0</v>
      </c>
      <c r="AC63" s="128"/>
      <c r="AD63" s="129"/>
      <c r="AE63" s="127">
        <f>SUM(AD63,AC63,AB63,Y63,U63,T63,S63,R63)*'1. Standard_Cost'!$B$31</f>
        <v>0</v>
      </c>
      <c r="AF63" s="127">
        <f t="shared" si="46"/>
        <v>0</v>
      </c>
      <c r="AG63" s="126"/>
      <c r="AH63" s="126"/>
      <c r="AI63" s="126"/>
      <c r="AJ63" s="130"/>
      <c r="AK63" s="130"/>
      <c r="AL63" s="130"/>
      <c r="AM63" s="127">
        <f>AG63*'1. Standard_Cost'!$B$27+'Incremental_Cost Year 5'!AH63*'1. Standard_Cost'!$C$27+'Incremental_Cost Year 5'!AI63*'1. Standard_Cost'!$D$27+'Incremental_Cost Year 5'!AJ63+'Incremental_Cost Year 5'!AL63+AK63</f>
        <v>0</v>
      </c>
      <c r="AN63" s="127">
        <f>AM63*'1. Standard_Cost'!$C$31</f>
        <v>0</v>
      </c>
      <c r="AO63" s="249"/>
      <c r="AQ63" s="171">
        <f t="shared" si="47"/>
        <v>0</v>
      </c>
      <c r="AR63" s="171">
        <f t="shared" si="48"/>
        <v>0</v>
      </c>
      <c r="AS63" s="171">
        <f t="shared" si="49"/>
        <v>0</v>
      </c>
      <c r="AT63" s="171">
        <f t="shared" si="50"/>
        <v>0</v>
      </c>
      <c r="AU63" s="250"/>
      <c r="AV63" s="250"/>
      <c r="AW63" s="250"/>
      <c r="AX63" s="250"/>
      <c r="AY63" s="250"/>
      <c r="AZ63" s="250"/>
      <c r="BA63" s="250"/>
      <c r="BB63" s="251">
        <f t="shared" ref="BB63:BB76" si="52">SUM(AU63:BA63)-AT63</f>
        <v>0</v>
      </c>
      <c r="BC63" s="169"/>
      <c r="BD63" s="169"/>
      <c r="BE63" s="169"/>
      <c r="BF63" s="169"/>
    </row>
    <row r="64" spans="1:58" ht="51.6" customHeight="1" outlineLevel="2" x14ac:dyDescent="0.25">
      <c r="A64" s="115"/>
      <c r="B64" s="200"/>
      <c r="C64" s="201"/>
      <c r="D64" s="131"/>
      <c r="E64" s="319"/>
      <c r="F64" s="219"/>
      <c r="G64" s="313"/>
      <c r="H64" s="199" t="s">
        <v>406</v>
      </c>
      <c r="I64" s="130" t="s">
        <v>1</v>
      </c>
      <c r="J64" s="126">
        <v>12</v>
      </c>
      <c r="K64" s="126">
        <v>130</v>
      </c>
      <c r="L64" s="125">
        <f>IF(I64&lt;&gt;0,((VLOOKUP(I64,'1. Standard_Cost'!$B$4:$D$11,2)+VLOOKUP(I64,'1. Standard_Cost'!$B$4:$D$11,3))*J64*K64),"0")</f>
        <v>111996857.14285713</v>
      </c>
      <c r="M64" s="125">
        <f>L64*'1. Standard_Cost'!$F$4</f>
        <v>18703475.142857142</v>
      </c>
      <c r="N64" s="126"/>
      <c r="O64" s="126"/>
      <c r="P64" s="126"/>
      <c r="Q64" s="126"/>
      <c r="R64" s="127">
        <f>'1. Standard_Cost'!$B$15*N64*P64</f>
        <v>0</v>
      </c>
      <c r="S64" s="127">
        <f>N64*O64*P64*'1. Standard_Cost'!$C$15</f>
        <v>0</v>
      </c>
      <c r="T64" s="127">
        <f>N64*P64*Q64*'1. Standard_Cost'!$D$15</f>
        <v>0</v>
      </c>
      <c r="U64" s="127">
        <f>N64*O64*'1. Standard_Cost'!$E$15</f>
        <v>0</v>
      </c>
      <c r="V64" s="126"/>
      <c r="W64" s="126"/>
      <c r="X64" s="126"/>
      <c r="Y64" s="127">
        <f>+V64*((X64*'1. Standard_Cost'!$B$19)+(W64*X64*'1. Standard_Cost'!$C$19))</f>
        <v>0</v>
      </c>
      <c r="Z64" s="126"/>
      <c r="AA64" s="126"/>
      <c r="AB64" s="127">
        <f>+Z64*'1. Standard_Cost'!$B$23+AA64*'1. Standard_Cost'!$C$23</f>
        <v>0</v>
      </c>
      <c r="AC64" s="128">
        <f>10*500000</f>
        <v>5000000</v>
      </c>
      <c r="AD64" s="129"/>
      <c r="AE64" s="127">
        <v>0</v>
      </c>
      <c r="AF64" s="127">
        <f t="shared" si="46"/>
        <v>5000000</v>
      </c>
      <c r="AG64" s="126"/>
      <c r="AH64" s="126"/>
      <c r="AI64" s="126"/>
      <c r="AJ64" s="130"/>
      <c r="AK64" s="130"/>
      <c r="AL64" s="130"/>
      <c r="AM64" s="127">
        <f>AG64*'1. Standard_Cost'!$B$27+'Incremental_Cost Year 5'!AH64*'1. Standard_Cost'!$C$27+'Incremental_Cost Year 5'!AI64*'1. Standard_Cost'!$D$27+'Incremental_Cost Year 5'!AJ64+'Incremental_Cost Year 5'!AL64+AK64</f>
        <v>0</v>
      </c>
      <c r="AN64" s="127">
        <f>AM64*'1. Standard_Cost'!$C$31</f>
        <v>0</v>
      </c>
      <c r="AO64" s="130"/>
      <c r="AQ64" s="171">
        <f t="shared" si="47"/>
        <v>130700332.28571427</v>
      </c>
      <c r="AR64" s="171">
        <f t="shared" si="48"/>
        <v>5000000</v>
      </c>
      <c r="AS64" s="171">
        <f t="shared" si="49"/>
        <v>0</v>
      </c>
      <c r="AT64" s="171">
        <f t="shared" si="50"/>
        <v>135700332.28571427</v>
      </c>
      <c r="AU64" s="250">
        <f>AT64</f>
        <v>135700332.28571427</v>
      </c>
      <c r="AV64" s="250"/>
      <c r="AW64" s="250"/>
      <c r="AX64" s="250"/>
      <c r="AY64" s="250"/>
      <c r="AZ64" s="250"/>
      <c r="BA64" s="250"/>
      <c r="BB64" s="251">
        <f t="shared" si="52"/>
        <v>0</v>
      </c>
      <c r="BC64" s="169"/>
      <c r="BD64" s="169"/>
      <c r="BE64" s="169"/>
      <c r="BF64" s="169"/>
    </row>
    <row r="65" spans="1:58" ht="51.6" customHeight="1" outlineLevel="2" x14ac:dyDescent="0.25">
      <c r="A65" s="115"/>
      <c r="B65" s="200"/>
      <c r="C65" s="201"/>
      <c r="D65" s="131"/>
      <c r="E65" s="318"/>
      <c r="F65" s="219"/>
      <c r="G65" s="313"/>
      <c r="H65" s="199" t="s">
        <v>407</v>
      </c>
      <c r="I65" s="130" t="s">
        <v>1</v>
      </c>
      <c r="J65" s="126">
        <v>12</v>
      </c>
      <c r="K65" s="126">
        <v>93</v>
      </c>
      <c r="L65" s="125">
        <f>IF(I65&lt;&gt;0,((VLOOKUP(I65,'1. Standard_Cost'!$B$4:$D$11,2)+VLOOKUP(I65,'1. Standard_Cost'!$B$4:$D$11,3))*J65*K65),"0")</f>
        <v>80120828.571428567</v>
      </c>
      <c r="M65" s="125">
        <f>L65*'1. Standard_Cost'!$F$4</f>
        <v>13380178.371428572</v>
      </c>
      <c r="N65" s="126"/>
      <c r="O65" s="126"/>
      <c r="P65" s="126"/>
      <c r="Q65" s="126"/>
      <c r="R65" s="127">
        <f>'1. Standard_Cost'!$B$15*N65*P65</f>
        <v>0</v>
      </c>
      <c r="S65" s="127">
        <f>N65*O65*P65*'1. Standard_Cost'!$C$15</f>
        <v>0</v>
      </c>
      <c r="T65" s="127">
        <f>N65*P65*Q65*'1. Standard_Cost'!$D$15</f>
        <v>0</v>
      </c>
      <c r="U65" s="127">
        <f>N65*O65*'1. Standard_Cost'!$E$15</f>
        <v>0</v>
      </c>
      <c r="V65" s="126"/>
      <c r="W65" s="126"/>
      <c r="X65" s="126"/>
      <c r="Y65" s="127">
        <f>+V65*((X65*'1. Standard_Cost'!$B$19)+(W65*X65*'1. Standard_Cost'!$C$19))</f>
        <v>0</v>
      </c>
      <c r="Z65" s="126"/>
      <c r="AA65" s="126"/>
      <c r="AB65" s="127">
        <f>+Z65*'1. Standard_Cost'!$B$23+AA65*'1. Standard_Cost'!$C$23</f>
        <v>0</v>
      </c>
      <c r="AC65" s="128">
        <f>300000*14</f>
        <v>4200000</v>
      </c>
      <c r="AD65" s="129"/>
      <c r="AE65" s="127">
        <v>0</v>
      </c>
      <c r="AF65" s="127">
        <f t="shared" si="46"/>
        <v>4200000</v>
      </c>
      <c r="AG65" s="126"/>
      <c r="AH65" s="126"/>
      <c r="AI65" s="126"/>
      <c r="AJ65" s="130"/>
      <c r="AK65" s="130"/>
      <c r="AL65" s="130"/>
      <c r="AM65" s="127">
        <f>AG65*'1. Standard_Cost'!$B$27+'Incremental_Cost Year 5'!AH65*'1. Standard_Cost'!$C$27+'Incremental_Cost Year 5'!AI65*'1. Standard_Cost'!$D$27+'Incremental_Cost Year 5'!AJ65+'Incremental_Cost Year 5'!AL65+AK65</f>
        <v>0</v>
      </c>
      <c r="AN65" s="127">
        <f>AM65*'1. Standard_Cost'!$C$31</f>
        <v>0</v>
      </c>
      <c r="AO65" s="130"/>
      <c r="AQ65" s="171">
        <f t="shared" si="47"/>
        <v>93501006.942857146</v>
      </c>
      <c r="AR65" s="171">
        <f t="shared" si="48"/>
        <v>4200000</v>
      </c>
      <c r="AS65" s="171">
        <f t="shared" si="49"/>
        <v>0</v>
      </c>
      <c r="AT65" s="171">
        <f t="shared" si="50"/>
        <v>97701006.942857146</v>
      </c>
      <c r="AU65" s="250">
        <f>AT65</f>
        <v>97701006.942857146</v>
      </c>
      <c r="AV65" s="250"/>
      <c r="AW65" s="250"/>
      <c r="AX65" s="250"/>
      <c r="AY65" s="250"/>
      <c r="AZ65" s="250"/>
      <c r="BA65" s="250"/>
      <c r="BB65" s="251">
        <f t="shared" si="52"/>
        <v>0</v>
      </c>
      <c r="BC65" s="169"/>
      <c r="BD65" s="169"/>
      <c r="BE65" s="169"/>
      <c r="BF65" s="169"/>
    </row>
    <row r="66" spans="1:58" ht="51.6" customHeight="1" outlineLevel="2" x14ac:dyDescent="0.25">
      <c r="A66" s="115"/>
      <c r="B66" s="200"/>
      <c r="C66" s="201"/>
      <c r="D66" s="131"/>
      <c r="E66" s="318"/>
      <c r="F66" s="219"/>
      <c r="G66" s="313"/>
      <c r="H66" s="199" t="s">
        <v>548</v>
      </c>
      <c r="I66" s="130" t="s">
        <v>1</v>
      </c>
      <c r="J66" s="126">
        <v>12</v>
      </c>
      <c r="K66" s="126">
        <f>14*2+14*2</f>
        <v>56</v>
      </c>
      <c r="L66" s="125">
        <f>IF(I66&lt;&gt;0,((VLOOKUP(I66,'1. Standard_Cost'!$B$4:$D$11,2)+VLOOKUP(I66,'1. Standard_Cost'!$B$4:$D$11,3))*J66*K66),"0")</f>
        <v>48244800</v>
      </c>
      <c r="M66" s="125">
        <f>L66*'1. Standard_Cost'!$F$4</f>
        <v>8056881.6000000006</v>
      </c>
      <c r="N66" s="126"/>
      <c r="O66" s="126"/>
      <c r="P66" s="126"/>
      <c r="Q66" s="126"/>
      <c r="R66" s="127">
        <f>'1. Standard_Cost'!$B$15*N66*P66</f>
        <v>0</v>
      </c>
      <c r="S66" s="127">
        <f>N66*O66*P66*'1. Standard_Cost'!$C$15</f>
        <v>0</v>
      </c>
      <c r="T66" s="127">
        <f>N66*P66*Q66*'1. Standard_Cost'!$D$15</f>
        <v>0</v>
      </c>
      <c r="U66" s="127">
        <f>N66*O66*'1. Standard_Cost'!$E$15</f>
        <v>0</v>
      </c>
      <c r="V66" s="126"/>
      <c r="W66" s="126"/>
      <c r="X66" s="126"/>
      <c r="Y66" s="127">
        <f>+V66*((X66*'1. Standard_Cost'!$B$19)+(W66*X66*'1. Standard_Cost'!$C$19))</f>
        <v>0</v>
      </c>
      <c r="Z66" s="126"/>
      <c r="AA66" s="126"/>
      <c r="AB66" s="127">
        <f>+Z66*'1. Standard_Cost'!$B$23+AA66*'1. Standard_Cost'!$C$23</f>
        <v>0</v>
      </c>
      <c r="AC66" s="128">
        <f>30000000*4</f>
        <v>120000000</v>
      </c>
      <c r="AD66" s="129"/>
      <c r="AE66" s="127"/>
      <c r="AF66" s="127">
        <f t="shared" si="46"/>
        <v>120000000</v>
      </c>
      <c r="AG66" s="126"/>
      <c r="AH66" s="126"/>
      <c r="AI66" s="126"/>
      <c r="AJ66" s="130"/>
      <c r="AK66" s="130"/>
      <c r="AL66" s="130"/>
      <c r="AM66" s="127">
        <f>AG66*'1. Standard_Cost'!$B$27+'Incremental_Cost Year 5'!AH66*'1. Standard_Cost'!$C$27+'Incremental_Cost Year 5'!AI66*'1. Standard_Cost'!$D$27+'Incremental_Cost Year 5'!AJ66+'Incremental_Cost Year 5'!AL66+AK66</f>
        <v>0</v>
      </c>
      <c r="AN66" s="127">
        <f>AM66*'1. Standard_Cost'!$C$31</f>
        <v>0</v>
      </c>
      <c r="AO66" s="130"/>
      <c r="AQ66" s="171">
        <f t="shared" si="47"/>
        <v>56301681.600000001</v>
      </c>
      <c r="AR66" s="171">
        <f t="shared" si="48"/>
        <v>120000000</v>
      </c>
      <c r="AS66" s="171">
        <f t="shared" si="49"/>
        <v>0</v>
      </c>
      <c r="AT66" s="171">
        <f t="shared" si="50"/>
        <v>176301681.59999999</v>
      </c>
      <c r="AU66" s="250">
        <f>AT66</f>
        <v>176301681.59999999</v>
      </c>
      <c r="AV66" s="250"/>
      <c r="AW66" s="250"/>
      <c r="AX66" s="250"/>
      <c r="AY66" s="250"/>
      <c r="AZ66" s="250"/>
      <c r="BA66" s="250"/>
      <c r="BB66" s="251">
        <f t="shared" si="52"/>
        <v>0</v>
      </c>
      <c r="BC66" s="169"/>
      <c r="BD66" s="169"/>
      <c r="BE66" s="169"/>
      <c r="BF66" s="169"/>
    </row>
    <row r="67" spans="1:58" ht="51.6" customHeight="1" outlineLevel="2" x14ac:dyDescent="0.25">
      <c r="A67" s="115"/>
      <c r="B67" s="200"/>
      <c r="C67" s="201"/>
      <c r="D67" s="131"/>
      <c r="E67" s="318"/>
      <c r="F67" s="219"/>
      <c r="G67" s="313"/>
      <c r="H67" s="199" t="s">
        <v>408</v>
      </c>
      <c r="I67" s="130" t="s">
        <v>1</v>
      </c>
      <c r="J67" s="126">
        <v>12</v>
      </c>
      <c r="K67" s="126">
        <v>400</v>
      </c>
      <c r="L67" s="125">
        <f>IF(I67&lt;&gt;0,((VLOOKUP(I67,'1. Standard_Cost'!$B$4:$D$11,2)+VLOOKUP(I67,'1. Standard_Cost'!$B$4:$D$11,3))*J67*K67),"0")</f>
        <v>344605714.28571427</v>
      </c>
      <c r="M67" s="125">
        <f>L67*'1. Standard_Cost'!$F$4</f>
        <v>57549154.285714284</v>
      </c>
      <c r="N67" s="126"/>
      <c r="O67" s="126"/>
      <c r="P67" s="126"/>
      <c r="Q67" s="126"/>
      <c r="R67" s="127">
        <f>'1. Standard_Cost'!$B$15*N67*P67</f>
        <v>0</v>
      </c>
      <c r="S67" s="127">
        <f>N67*O67*P67*'1. Standard_Cost'!$C$15</f>
        <v>0</v>
      </c>
      <c r="T67" s="127">
        <f>N67*P67*Q67*'1. Standard_Cost'!$D$15</f>
        <v>0</v>
      </c>
      <c r="U67" s="127">
        <f>N67*O67*'1. Standard_Cost'!$E$15</f>
        <v>0</v>
      </c>
      <c r="V67" s="126"/>
      <c r="W67" s="126"/>
      <c r="X67" s="126"/>
      <c r="Y67" s="127">
        <f>+V67*((X67*'1. Standard_Cost'!$B$19)+(W67*X67*'1. Standard_Cost'!$C$19))</f>
        <v>0</v>
      </c>
      <c r="Z67" s="126"/>
      <c r="AA67" s="126"/>
      <c r="AB67" s="127">
        <f>+Z67*'1. Standard_Cost'!$B$23+AA67*'1. Standard_Cost'!$C$23</f>
        <v>0</v>
      </c>
      <c r="AC67" s="128">
        <v>406252000</v>
      </c>
      <c r="AD67" s="129"/>
      <c r="AE67" s="127">
        <f>SUM(AD67,AC67,AB67,Y67,U67,T67,S67,R67)*'1. Standard_Cost'!$B$31</f>
        <v>81250400</v>
      </c>
      <c r="AF67" s="127">
        <f t="shared" si="46"/>
        <v>487502400</v>
      </c>
      <c r="AG67" s="126"/>
      <c r="AH67" s="126"/>
      <c r="AI67" s="126"/>
      <c r="AJ67" s="130"/>
      <c r="AK67" s="130"/>
      <c r="AL67" s="130"/>
      <c r="AM67" s="127">
        <f>AG67*'1. Standard_Cost'!$B$27+'Incremental_Cost Year 5'!AH67*'1. Standard_Cost'!$C$27+'Incremental_Cost Year 5'!AI67*'1. Standard_Cost'!$D$27+'Incremental_Cost Year 5'!AJ67+'Incremental_Cost Year 5'!AL67+AK67</f>
        <v>0</v>
      </c>
      <c r="AN67" s="127">
        <f>AM67*'1. Standard_Cost'!$C$31</f>
        <v>0</v>
      </c>
      <c r="AO67" s="130"/>
      <c r="AQ67" s="171">
        <f t="shared" si="47"/>
        <v>402154868.57142854</v>
      </c>
      <c r="AR67" s="171">
        <f t="shared" si="48"/>
        <v>487502400</v>
      </c>
      <c r="AS67" s="171">
        <f t="shared" si="49"/>
        <v>0</v>
      </c>
      <c r="AT67" s="171">
        <f t="shared" si="50"/>
        <v>889657268.57142854</v>
      </c>
      <c r="AU67" s="250">
        <f>AT67</f>
        <v>889657268.57142854</v>
      </c>
      <c r="AV67" s="250"/>
      <c r="AW67" s="250"/>
      <c r="AX67" s="250"/>
      <c r="AY67" s="250"/>
      <c r="AZ67" s="250"/>
      <c r="BA67" s="250"/>
      <c r="BB67" s="251">
        <f t="shared" si="52"/>
        <v>0</v>
      </c>
      <c r="BC67" s="169"/>
      <c r="BD67" s="169"/>
      <c r="BE67" s="169"/>
      <c r="BF67" s="169"/>
    </row>
    <row r="68" spans="1:58" ht="51.6" customHeight="1" outlineLevel="2" x14ac:dyDescent="0.25">
      <c r="A68" s="115"/>
      <c r="B68" s="200"/>
      <c r="C68" s="201"/>
      <c r="D68" s="131"/>
      <c r="E68" s="318"/>
      <c r="F68" s="219"/>
      <c r="G68" s="313"/>
      <c r="H68" s="199" t="s">
        <v>409</v>
      </c>
      <c r="I68" s="130"/>
      <c r="J68" s="126"/>
      <c r="K68" s="126"/>
      <c r="L68" s="125" t="str">
        <f>IF(I68&lt;&gt;0,((VLOOKUP(I68,'1. Standard_Cost'!$B$4:$D$11,2)+VLOOKUP(I68,'1. Standard_Cost'!$B$4:$D$11,3))*J68*K68),"0")</f>
        <v>0</v>
      </c>
      <c r="M68" s="125">
        <f>L68*'1. Standard_Cost'!$F$4</f>
        <v>0</v>
      </c>
      <c r="N68" s="126"/>
      <c r="O68" s="126"/>
      <c r="P68" s="126"/>
      <c r="Q68" s="126"/>
      <c r="R68" s="127">
        <f>'1. Standard_Cost'!$B$15*N68*P68</f>
        <v>0</v>
      </c>
      <c r="S68" s="127">
        <f>N68*O68*P68*'1. Standard_Cost'!$C$15</f>
        <v>0</v>
      </c>
      <c r="T68" s="127">
        <f>N68*P68*Q68*'1. Standard_Cost'!$D$15</f>
        <v>0</v>
      </c>
      <c r="U68" s="127">
        <f>N68*O68*'1. Standard_Cost'!$E$15</f>
        <v>0</v>
      </c>
      <c r="V68" s="126"/>
      <c r="W68" s="126"/>
      <c r="X68" s="126"/>
      <c r="Y68" s="127">
        <f>+V68*((X68*'1. Standard_Cost'!$B$19)+(W68*X68*'1. Standard_Cost'!$C$19))</f>
        <v>0</v>
      </c>
      <c r="Z68" s="126"/>
      <c r="AA68" s="126"/>
      <c r="AB68" s="127">
        <f>+Z68*'1. Standard_Cost'!$B$23+AA68*'1. Standard_Cost'!$C$23</f>
        <v>0</v>
      </c>
      <c r="AC68" s="128"/>
      <c r="AD68" s="129"/>
      <c r="AE68" s="127">
        <f>SUM(AD68,AC68,AB68,Y68,U68,T68,S68,R68)*'1. Standard_Cost'!$B$31</f>
        <v>0</v>
      </c>
      <c r="AF68" s="127">
        <f>SUM(AE68,AD68,AC68,AB68,Y68,U68,T68,S68,R68)</f>
        <v>0</v>
      </c>
      <c r="AG68" s="126"/>
      <c r="AH68" s="126"/>
      <c r="AI68" s="126"/>
      <c r="AJ68" s="130"/>
      <c r="AK68" s="130"/>
      <c r="AL68" s="130"/>
      <c r="AM68" s="127">
        <f>AG68*'1. Standard_Cost'!$B$27+'Incremental_Cost Year 5'!AH68*'1. Standard_Cost'!$C$27+'Incremental_Cost Year 5'!AI68*'1. Standard_Cost'!$D$27+'Incremental_Cost Year 5'!AJ68+'Incremental_Cost Year 5'!AL68+AK68</f>
        <v>0</v>
      </c>
      <c r="AN68" s="127">
        <f>AM68*'1. Standard_Cost'!$C$31</f>
        <v>0</v>
      </c>
      <c r="AO68" s="130"/>
      <c r="AQ68" s="171">
        <f t="shared" si="47"/>
        <v>0</v>
      </c>
      <c r="AR68" s="171">
        <f t="shared" si="48"/>
        <v>0</v>
      </c>
      <c r="AS68" s="171">
        <f t="shared" si="49"/>
        <v>0</v>
      </c>
      <c r="AT68" s="171">
        <f t="shared" si="50"/>
        <v>0</v>
      </c>
      <c r="AU68" s="250">
        <f>AT68</f>
        <v>0</v>
      </c>
      <c r="AV68" s="250">
        <f>AQ68</f>
        <v>0</v>
      </c>
      <c r="AW68" s="250"/>
      <c r="AX68" s="250"/>
      <c r="AY68" s="250"/>
      <c r="AZ68" s="250"/>
      <c r="BA68" s="250"/>
      <c r="BB68" s="251">
        <f t="shared" si="52"/>
        <v>0</v>
      </c>
      <c r="BC68" s="169"/>
      <c r="BD68" s="169"/>
      <c r="BE68" s="169"/>
      <c r="BF68" s="169"/>
    </row>
    <row r="69" spans="1:58" ht="51.6" customHeight="1" outlineLevel="2" x14ac:dyDescent="0.25">
      <c r="A69" s="115"/>
      <c r="B69" s="200"/>
      <c r="C69" s="201"/>
      <c r="D69" s="131"/>
      <c r="E69" s="318"/>
      <c r="F69" s="219"/>
      <c r="G69" s="313"/>
      <c r="H69" s="199" t="s">
        <v>224</v>
      </c>
      <c r="I69" s="130"/>
      <c r="J69" s="126"/>
      <c r="K69" s="126"/>
      <c r="L69" s="125" t="str">
        <f>IF(I69&lt;&gt;0,((VLOOKUP(I69,'1. Standard_Cost'!$B$4:$D$11,2)+VLOOKUP(I69,'1. Standard_Cost'!$B$4:$D$11,3))*J69*K69),"0")</f>
        <v>0</v>
      </c>
      <c r="M69" s="125">
        <f>L69*'1. Standard_Cost'!$F$4</f>
        <v>0</v>
      </c>
      <c r="N69" s="126"/>
      <c r="O69" s="126"/>
      <c r="P69" s="126"/>
      <c r="Q69" s="126"/>
      <c r="R69" s="127">
        <f>'1. Standard_Cost'!$B$15*N69*P69</f>
        <v>0</v>
      </c>
      <c r="S69" s="127">
        <f>N69*O69*P69*'1. Standard_Cost'!$C$15</f>
        <v>0</v>
      </c>
      <c r="T69" s="127">
        <f>N69*P69*Q69*'1. Standard_Cost'!$D$15</f>
        <v>0</v>
      </c>
      <c r="U69" s="127">
        <f>N69*O69*'1. Standard_Cost'!$E$15</f>
        <v>0</v>
      </c>
      <c r="V69" s="126"/>
      <c r="W69" s="126"/>
      <c r="X69" s="126"/>
      <c r="Y69" s="127">
        <f>+V69*((X69*'1. Standard_Cost'!$B$19)+(W69*X69*'1. Standard_Cost'!$C$19))</f>
        <v>0</v>
      </c>
      <c r="Z69" s="126"/>
      <c r="AA69" s="126"/>
      <c r="AB69" s="127">
        <f>+Z69*'1. Standard_Cost'!$B$23+AA69*'1. Standard_Cost'!$C$23</f>
        <v>0</v>
      </c>
      <c r="AC69" s="128"/>
      <c r="AD69" s="129"/>
      <c r="AE69" s="127">
        <f>SUM(AD69,AC69,AB69,Y69,U69,T69,S69,R69)*'1. Standard_Cost'!$B$31</f>
        <v>0</v>
      </c>
      <c r="AF69" s="127"/>
      <c r="AG69" s="126"/>
      <c r="AH69" s="126"/>
      <c r="AI69" s="126"/>
      <c r="AJ69" s="130"/>
      <c r="AK69" s="130"/>
      <c r="AL69" s="130">
        <v>650000000</v>
      </c>
      <c r="AM69" s="127">
        <f>AG69*'1. Standard_Cost'!$B$27+'Incremental_Cost Year 5'!AH69*'1. Standard_Cost'!$C$27+'Incremental_Cost Year 5'!AI69*'1. Standard_Cost'!$D$27+'Incremental_Cost Year 5'!AJ69+'Incremental_Cost Year 5'!AL69+AK69</f>
        <v>650000000</v>
      </c>
      <c r="AN69" s="127">
        <f>AM69*'1. Standard_Cost'!$C$31</f>
        <v>97500000</v>
      </c>
      <c r="AO69" s="130"/>
      <c r="AQ69" s="171">
        <f t="shared" si="47"/>
        <v>0</v>
      </c>
      <c r="AR69" s="171">
        <f t="shared" si="48"/>
        <v>0</v>
      </c>
      <c r="AS69" s="171">
        <f t="shared" si="49"/>
        <v>747500000</v>
      </c>
      <c r="AT69" s="171">
        <f t="shared" si="50"/>
        <v>747500000</v>
      </c>
      <c r="AU69" s="250"/>
      <c r="AV69" s="250"/>
      <c r="AW69" s="250"/>
      <c r="AX69" s="250"/>
      <c r="AY69" s="250"/>
      <c r="AZ69" s="250"/>
      <c r="BA69" s="250"/>
      <c r="BB69" s="251">
        <f t="shared" si="52"/>
        <v>-747500000</v>
      </c>
      <c r="BC69" s="169"/>
      <c r="BD69" s="169"/>
      <c r="BE69" s="169"/>
      <c r="BF69" s="169"/>
    </row>
    <row r="70" spans="1:58" ht="51.6" customHeight="1" outlineLevel="2" x14ac:dyDescent="0.25">
      <c r="A70" s="115"/>
      <c r="B70" s="200"/>
      <c r="C70" s="201"/>
      <c r="D70" s="131"/>
      <c r="E70" s="318"/>
      <c r="F70" s="219"/>
      <c r="G70" s="313"/>
      <c r="H70" s="111" t="s">
        <v>410</v>
      </c>
      <c r="I70" s="130"/>
      <c r="J70" s="126"/>
      <c r="K70" s="126"/>
      <c r="L70" s="125" t="str">
        <f>IF(I70&lt;&gt;0,((VLOOKUP(I70,'1. Standard_Cost'!$B$4:$D$11,2)+VLOOKUP(I70,'1. Standard_Cost'!$B$4:$D$11,3))*J70*K70),"0")</f>
        <v>0</v>
      </c>
      <c r="M70" s="125">
        <f>L70*'1. Standard_Cost'!$F$4</f>
        <v>0</v>
      </c>
      <c r="N70" s="126"/>
      <c r="O70" s="126"/>
      <c r="P70" s="126"/>
      <c r="Q70" s="126"/>
      <c r="R70" s="127">
        <f>'1. Standard_Cost'!$B$15*N70*P70</f>
        <v>0</v>
      </c>
      <c r="S70" s="127">
        <f>N70*O70*P70*'1. Standard_Cost'!$C$15</f>
        <v>0</v>
      </c>
      <c r="T70" s="127">
        <f>N70*P70*Q70*'1. Standard_Cost'!$D$15</f>
        <v>0</v>
      </c>
      <c r="U70" s="127">
        <f>N70*O70*'1. Standard_Cost'!$E$15</f>
        <v>0</v>
      </c>
      <c r="V70" s="126"/>
      <c r="W70" s="126"/>
      <c r="X70" s="126"/>
      <c r="Y70" s="127">
        <f>+V70*((X70*'1. Standard_Cost'!$B$19)+(W70*X70*'1. Standard_Cost'!$C$19))</f>
        <v>0</v>
      </c>
      <c r="Z70" s="126"/>
      <c r="AA70" s="126"/>
      <c r="AB70" s="127">
        <f>+Z70*'1. Standard_Cost'!$B$23+AA70*'1. Standard_Cost'!$C$23</f>
        <v>0</v>
      </c>
      <c r="AC70" s="128"/>
      <c r="AD70" s="129"/>
      <c r="AE70" s="127">
        <f>SUM(AD70,AC70,AB70,Y70,U70,T70,S70,R70)*'1. Standard_Cost'!$B$31</f>
        <v>0</v>
      </c>
      <c r="AF70" s="127">
        <f t="shared" ref="AF70:AF76" si="53">SUM(AE70,AD70,AC70,AB70,Y70,U70,T70,S70,R70)</f>
        <v>0</v>
      </c>
      <c r="AG70" s="126"/>
      <c r="AH70" s="126"/>
      <c r="AI70" s="126"/>
      <c r="AJ70" s="130"/>
      <c r="AK70" s="130"/>
      <c r="AL70" s="130"/>
      <c r="AM70" s="127">
        <f>AG70*'1. Standard_Cost'!$B$27+'Incremental_Cost Year 5'!AH70*'1. Standard_Cost'!$C$27+'Incremental_Cost Year 5'!AI70*'1. Standard_Cost'!$D$27+'Incremental_Cost Year 5'!AJ70+'Incremental_Cost Year 5'!AL70+AK70</f>
        <v>0</v>
      </c>
      <c r="AN70" s="127">
        <f>AM70*'1. Standard_Cost'!$C$31</f>
        <v>0</v>
      </c>
      <c r="AO70" s="130"/>
      <c r="AQ70" s="171">
        <f t="shared" si="47"/>
        <v>0</v>
      </c>
      <c r="AR70" s="171">
        <f t="shared" si="48"/>
        <v>0</v>
      </c>
      <c r="AS70" s="171">
        <f t="shared" si="49"/>
        <v>0</v>
      </c>
      <c r="AT70" s="171">
        <f t="shared" si="50"/>
        <v>0</v>
      </c>
      <c r="AU70" s="250">
        <f>AQ70</f>
        <v>0</v>
      </c>
      <c r="AV70" s="250"/>
      <c r="AW70" s="250"/>
      <c r="AX70" s="250"/>
      <c r="AY70" s="250">
        <f>AR70</f>
        <v>0</v>
      </c>
      <c r="AZ70" s="250"/>
      <c r="BA70" s="250"/>
      <c r="BB70" s="251">
        <f t="shared" si="52"/>
        <v>0</v>
      </c>
      <c r="BC70" s="169"/>
      <c r="BD70" s="169"/>
      <c r="BE70" s="169"/>
      <c r="BF70" s="169"/>
    </row>
    <row r="71" spans="1:58" ht="51.6" customHeight="1" outlineLevel="2" x14ac:dyDescent="0.25">
      <c r="A71" s="115"/>
      <c r="B71" s="200"/>
      <c r="C71" s="201"/>
      <c r="D71" s="131"/>
      <c r="E71" s="318"/>
      <c r="F71" s="219"/>
      <c r="G71" s="313"/>
      <c r="H71" s="111" t="s">
        <v>411</v>
      </c>
      <c r="I71" s="130"/>
      <c r="J71" s="126"/>
      <c r="K71" s="126"/>
      <c r="L71" s="125" t="str">
        <f>IF(I71&lt;&gt;0,((VLOOKUP(I71,'1. Standard_Cost'!$B$4:$D$11,2)+VLOOKUP(I71,'1. Standard_Cost'!$B$4:$D$11,3))*J71*K71),"0")</f>
        <v>0</v>
      </c>
      <c r="M71" s="125">
        <f>L71*'1. Standard_Cost'!$F$4</f>
        <v>0</v>
      </c>
      <c r="N71" s="126"/>
      <c r="O71" s="126"/>
      <c r="P71" s="126"/>
      <c r="Q71" s="126"/>
      <c r="R71" s="127">
        <f>'1. Standard_Cost'!$B$15*N71*P71</f>
        <v>0</v>
      </c>
      <c r="S71" s="127">
        <f>N71*O71*P71*'1. Standard_Cost'!$C$15</f>
        <v>0</v>
      </c>
      <c r="T71" s="127">
        <f>N71*P71*Q71*'1. Standard_Cost'!$D$15</f>
        <v>0</v>
      </c>
      <c r="U71" s="127">
        <f>N71*O71*'1. Standard_Cost'!$E$15</f>
        <v>0</v>
      </c>
      <c r="V71" s="126"/>
      <c r="W71" s="126"/>
      <c r="X71" s="126"/>
      <c r="Y71" s="127">
        <f>+V71*((X71*'1. Standard_Cost'!$B$19)+(W71*X71*'1. Standard_Cost'!$C$19))</f>
        <v>0</v>
      </c>
      <c r="Z71" s="126"/>
      <c r="AA71" s="126"/>
      <c r="AB71" s="127">
        <f>+Z71*'1. Standard_Cost'!$B$23+AA71*'1. Standard_Cost'!$C$23</f>
        <v>0</v>
      </c>
      <c r="AC71" s="128"/>
      <c r="AD71" s="129"/>
      <c r="AE71" s="127">
        <f>SUM(AD71,AC71,AB71,Y71,U71,T71,S71,R71)*'1. Standard_Cost'!$B$31</f>
        <v>0</v>
      </c>
      <c r="AF71" s="127">
        <f t="shared" si="53"/>
        <v>0</v>
      </c>
      <c r="AG71" s="126"/>
      <c r="AH71" s="126"/>
      <c r="AI71" s="126"/>
      <c r="AJ71" s="130"/>
      <c r="AK71" s="130"/>
      <c r="AL71" s="130"/>
      <c r="AM71" s="127">
        <f>AG71*'1. Standard_Cost'!$B$27+'Incremental_Cost Year 5'!AH71*'1. Standard_Cost'!$C$27+'Incremental_Cost Year 5'!AI71*'1. Standard_Cost'!$D$27+'Incremental_Cost Year 5'!AJ71+'Incremental_Cost Year 5'!AL71+AK71</f>
        <v>0</v>
      </c>
      <c r="AN71" s="127">
        <f>AM71*'1. Standard_Cost'!$C$31</f>
        <v>0</v>
      </c>
      <c r="AO71" s="130"/>
      <c r="AQ71" s="171">
        <f t="shared" si="47"/>
        <v>0</v>
      </c>
      <c r="AR71" s="171">
        <f t="shared" si="48"/>
        <v>0</v>
      </c>
      <c r="AS71" s="171">
        <f t="shared" si="49"/>
        <v>0</v>
      </c>
      <c r="AT71" s="171">
        <f t="shared" si="50"/>
        <v>0</v>
      </c>
      <c r="AU71" s="250">
        <f>AQ71</f>
        <v>0</v>
      </c>
      <c r="AV71" s="250"/>
      <c r="AW71" s="250"/>
      <c r="AX71" s="250"/>
      <c r="AY71" s="250"/>
      <c r="AZ71" s="250"/>
      <c r="BA71" s="250"/>
      <c r="BB71" s="251">
        <f t="shared" si="52"/>
        <v>0</v>
      </c>
      <c r="BC71" s="169"/>
      <c r="BD71" s="169"/>
      <c r="BE71" s="169"/>
      <c r="BF71" s="169"/>
    </row>
    <row r="72" spans="1:58" ht="51.6" customHeight="1" outlineLevel="2" x14ac:dyDescent="0.25">
      <c r="A72" s="115"/>
      <c r="B72" s="200"/>
      <c r="C72" s="201"/>
      <c r="D72" s="131"/>
      <c r="E72" s="318"/>
      <c r="F72" s="219"/>
      <c r="G72" s="313"/>
      <c r="H72" s="199" t="s">
        <v>412</v>
      </c>
      <c r="I72" s="130" t="s">
        <v>4</v>
      </c>
      <c r="J72" s="126">
        <v>0.5</v>
      </c>
      <c r="K72" s="126">
        <v>5</v>
      </c>
      <c r="L72" s="125">
        <f>IF(I72&lt;&gt;0,((VLOOKUP(I72,'1. Standard_Cost'!$B$4:$D$11,2)+VLOOKUP(I72,'1. Standard_Cost'!$B$4:$D$11,3))*J72*K72),"0")</f>
        <v>201875</v>
      </c>
      <c r="M72" s="125">
        <f>L72*'1. Standard_Cost'!$F$4</f>
        <v>33713.125</v>
      </c>
      <c r="N72" s="126">
        <v>5</v>
      </c>
      <c r="O72" s="126">
        <v>2</v>
      </c>
      <c r="P72" s="126">
        <v>20</v>
      </c>
      <c r="Q72" s="126"/>
      <c r="R72" s="127">
        <f>'1. Standard_Cost'!$B$15*N72*P72</f>
        <v>200000</v>
      </c>
      <c r="S72" s="127">
        <f>N72*O72*P72*'1. Standard_Cost'!$C$15</f>
        <v>300000</v>
      </c>
      <c r="T72" s="127">
        <f>N72*P72*Q72*'1. Standard_Cost'!$D$15</f>
        <v>0</v>
      </c>
      <c r="U72" s="127">
        <f>N72*O72*'1. Standard_Cost'!$E$15</f>
        <v>400000</v>
      </c>
      <c r="V72" s="126"/>
      <c r="W72" s="126"/>
      <c r="X72" s="126"/>
      <c r="Y72" s="127">
        <f>+V72*((X72*'1. Standard_Cost'!$B$19)+(W72*X72*'1. Standard_Cost'!$C$19))</f>
        <v>0</v>
      </c>
      <c r="Z72" s="126"/>
      <c r="AA72" s="126">
        <v>6</v>
      </c>
      <c r="AB72" s="127">
        <f>+Z72*'1. Standard_Cost'!$B$23+AA72*'1. Standard_Cost'!$C$23</f>
        <v>114000</v>
      </c>
      <c r="AC72" s="128">
        <f>100*300*2+100*3000*2</f>
        <v>660000</v>
      </c>
      <c r="AD72" s="129"/>
      <c r="AE72" s="127">
        <f>SUM(AD72,AC72,AB72,Y72,U72,T72,S72,R72)*'1. Standard_Cost'!$B$31</f>
        <v>334800</v>
      </c>
      <c r="AF72" s="127">
        <f t="shared" si="53"/>
        <v>2008800</v>
      </c>
      <c r="AG72" s="126"/>
      <c r="AH72" s="126"/>
      <c r="AI72" s="126"/>
      <c r="AJ72" s="130"/>
      <c r="AK72" s="130"/>
      <c r="AL72" s="130"/>
      <c r="AM72" s="127">
        <f>AG72*'1. Standard_Cost'!$B$27+'Incremental_Cost Year 5'!AH72*'1. Standard_Cost'!$C$27+'Incremental_Cost Year 5'!AI72*'1. Standard_Cost'!$D$27+'Incremental_Cost Year 5'!AJ72+'Incremental_Cost Year 5'!AL72+AK72</f>
        <v>0</v>
      </c>
      <c r="AN72" s="127">
        <f>AM72*'1. Standard_Cost'!$C$31</f>
        <v>0</v>
      </c>
      <c r="AO72" s="249"/>
      <c r="AQ72" s="171">
        <f t="shared" si="47"/>
        <v>235588.125</v>
      </c>
      <c r="AR72" s="171">
        <f t="shared" si="48"/>
        <v>2008800</v>
      </c>
      <c r="AS72" s="171">
        <f t="shared" si="49"/>
        <v>0</v>
      </c>
      <c r="AT72" s="171">
        <f t="shared" si="50"/>
        <v>2244388.125</v>
      </c>
      <c r="AU72" s="250">
        <f>AQ72</f>
        <v>235588.125</v>
      </c>
      <c r="AV72" s="250"/>
      <c r="AW72" s="250"/>
      <c r="AX72" s="250"/>
      <c r="AY72" s="250">
        <f>928800</f>
        <v>928800</v>
      </c>
      <c r="AZ72" s="250"/>
      <c r="BA72" s="250"/>
      <c r="BB72" s="251">
        <f t="shared" si="52"/>
        <v>-1080000</v>
      </c>
      <c r="BC72" s="169"/>
      <c r="BD72" s="169"/>
      <c r="BE72" s="169"/>
      <c r="BF72" s="169"/>
    </row>
    <row r="73" spans="1:58" ht="51.6" customHeight="1" outlineLevel="2" x14ac:dyDescent="0.25">
      <c r="A73" s="115"/>
      <c r="B73" s="200"/>
      <c r="C73" s="201"/>
      <c r="D73" s="131"/>
      <c r="E73" s="318"/>
      <c r="F73" s="219"/>
      <c r="G73" s="313"/>
      <c r="H73" s="199" t="s">
        <v>413</v>
      </c>
      <c r="I73" s="130" t="s">
        <v>4</v>
      </c>
      <c r="J73" s="126">
        <v>0.2</v>
      </c>
      <c r="K73" s="126">
        <v>5</v>
      </c>
      <c r="L73" s="125">
        <f>IF(I73&lt;&gt;0,((VLOOKUP(I73,'1. Standard_Cost'!$B$4:$D$11,2)+VLOOKUP(I73,'1. Standard_Cost'!$B$4:$D$11,3))*J73*K73),"0")</f>
        <v>80750</v>
      </c>
      <c r="M73" s="125">
        <f>L73*'1. Standard_Cost'!$F$4</f>
        <v>13485.25</v>
      </c>
      <c r="N73" s="126">
        <v>2</v>
      </c>
      <c r="O73" s="126">
        <v>2</v>
      </c>
      <c r="P73" s="126">
        <v>20</v>
      </c>
      <c r="Q73" s="126"/>
      <c r="R73" s="127">
        <f>'1. Standard_Cost'!$B$15*N73*P73</f>
        <v>80000</v>
      </c>
      <c r="S73" s="127">
        <f>N73*O73*P73*'1. Standard_Cost'!$C$15</f>
        <v>120000</v>
      </c>
      <c r="T73" s="127">
        <f>N73*P73*Q73*'1. Standard_Cost'!$D$15</f>
        <v>0</v>
      </c>
      <c r="U73" s="127">
        <f>N73*O73*'1. Standard_Cost'!$E$15</f>
        <v>160000</v>
      </c>
      <c r="V73" s="126"/>
      <c r="W73" s="126"/>
      <c r="X73" s="126"/>
      <c r="Y73" s="127">
        <f>+V73*((X73*'1. Standard_Cost'!$B$19)+(W73*X73*'1. Standard_Cost'!$C$19))</f>
        <v>0</v>
      </c>
      <c r="Z73" s="126"/>
      <c r="AA73" s="126">
        <v>3</v>
      </c>
      <c r="AB73" s="127">
        <f>+Z73*'1. Standard_Cost'!$B$23+AA73*'1. Standard_Cost'!$C$23</f>
        <v>57000</v>
      </c>
      <c r="AC73" s="128">
        <f>40*3300*2</f>
        <v>264000</v>
      </c>
      <c r="AD73" s="129"/>
      <c r="AE73" s="127">
        <f>SUM(AD73,AC73,AB73,Y73,U73,T73,S73,R73)*'1. Standard_Cost'!$B$31</f>
        <v>136200</v>
      </c>
      <c r="AF73" s="127">
        <f t="shared" si="53"/>
        <v>817200</v>
      </c>
      <c r="AG73" s="126"/>
      <c r="AH73" s="126"/>
      <c r="AI73" s="126"/>
      <c r="AJ73" s="130"/>
      <c r="AK73" s="130"/>
      <c r="AL73" s="130"/>
      <c r="AM73" s="127">
        <f>AG73*'1. Standard_Cost'!$B$27+'Incremental_Cost Year 5'!AH73*'1. Standard_Cost'!$C$27+'Incremental_Cost Year 5'!AI73*'1. Standard_Cost'!$D$27+'Incremental_Cost Year 5'!AJ73+'Incremental_Cost Year 5'!AL73+AK73</f>
        <v>0</v>
      </c>
      <c r="AN73" s="127">
        <f>AM73*'1. Standard_Cost'!$C$31</f>
        <v>0</v>
      </c>
      <c r="AO73" s="249"/>
      <c r="AQ73" s="171">
        <f t="shared" si="47"/>
        <v>94235.25</v>
      </c>
      <c r="AR73" s="171">
        <f t="shared" si="48"/>
        <v>817200</v>
      </c>
      <c r="AS73" s="171">
        <f t="shared" si="49"/>
        <v>0</v>
      </c>
      <c r="AT73" s="171">
        <f t="shared" si="50"/>
        <v>911435.25</v>
      </c>
      <c r="AU73" s="250">
        <f>AQ73</f>
        <v>94235.25</v>
      </c>
      <c r="AV73" s="250"/>
      <c r="AW73" s="250"/>
      <c r="AX73" s="250"/>
      <c r="AY73" s="250">
        <f>AR73</f>
        <v>817200</v>
      </c>
      <c r="AZ73" s="250"/>
      <c r="BA73" s="250"/>
      <c r="BB73" s="251">
        <f t="shared" si="52"/>
        <v>0</v>
      </c>
      <c r="BC73" s="169"/>
      <c r="BD73" s="169"/>
      <c r="BE73" s="169"/>
      <c r="BF73" s="169"/>
    </row>
    <row r="74" spans="1:58" ht="51.6" customHeight="1" outlineLevel="2" x14ac:dyDescent="0.25">
      <c r="A74" s="115"/>
      <c r="B74" s="200"/>
      <c r="C74" s="201"/>
      <c r="D74" s="131"/>
      <c r="E74" s="318"/>
      <c r="F74" s="219"/>
      <c r="G74" s="313"/>
      <c r="H74" s="199" t="s">
        <v>310</v>
      </c>
      <c r="I74" s="130"/>
      <c r="J74" s="126"/>
      <c r="K74" s="126"/>
      <c r="L74" s="125" t="str">
        <f>IF(I74&lt;&gt;0,((VLOOKUP(I74,'1. Standard_Cost'!$B$4:$D$11,2)+VLOOKUP(I74,'1. Standard_Cost'!$B$4:$D$11,3))*J74*K74),"0")</f>
        <v>0</v>
      </c>
      <c r="M74" s="125">
        <f>L74*'1. Standard_Cost'!$F$4</f>
        <v>0</v>
      </c>
      <c r="N74" s="126"/>
      <c r="O74" s="126"/>
      <c r="P74" s="126"/>
      <c r="Q74" s="126"/>
      <c r="R74" s="127">
        <f>'1. Standard_Cost'!$B$15*N74*P74</f>
        <v>0</v>
      </c>
      <c r="S74" s="127">
        <f>N74*O74*P74*'1. Standard_Cost'!$C$15</f>
        <v>0</v>
      </c>
      <c r="T74" s="127">
        <f>N74*P74*Q74*'1. Standard_Cost'!$D$15</f>
        <v>0</v>
      </c>
      <c r="U74" s="127">
        <f>N74*O74*'1. Standard_Cost'!$E$15</f>
        <v>0</v>
      </c>
      <c r="V74" s="126"/>
      <c r="W74" s="126"/>
      <c r="X74" s="126"/>
      <c r="Y74" s="127">
        <f>+V74*((X74*'1. Standard_Cost'!$B$19)+(W74*X74*'1. Standard_Cost'!$C$19))</f>
        <v>0</v>
      </c>
      <c r="Z74" s="126"/>
      <c r="AA74" s="126"/>
      <c r="AB74" s="127">
        <f>+Z74*'1. Standard_Cost'!$B$23+AA74*'1. Standard_Cost'!$C$23</f>
        <v>0</v>
      </c>
      <c r="AC74" s="128"/>
      <c r="AD74" s="129"/>
      <c r="AE74" s="127">
        <f>SUM(AD74,AC74,AB74,Y74,U74,T74,S74,R74)*'1. Standard_Cost'!$B$31</f>
        <v>0</v>
      </c>
      <c r="AF74" s="127">
        <f t="shared" si="53"/>
        <v>0</v>
      </c>
      <c r="AG74" s="126"/>
      <c r="AH74" s="126"/>
      <c r="AI74" s="126"/>
      <c r="AJ74" s="130"/>
      <c r="AK74" s="130"/>
      <c r="AL74" s="130"/>
      <c r="AM74" s="127">
        <f>AG74*'1. Standard_Cost'!$B$27+'Incremental_Cost Year 5'!AH74*'1. Standard_Cost'!$C$27+'Incremental_Cost Year 5'!AI74*'1. Standard_Cost'!$D$27+'Incremental_Cost Year 5'!AJ74+'Incremental_Cost Year 5'!AL74+AK74</f>
        <v>0</v>
      </c>
      <c r="AN74" s="127">
        <f>AM74*'1. Standard_Cost'!$C$31</f>
        <v>0</v>
      </c>
      <c r="AO74" s="130"/>
      <c r="AQ74" s="171">
        <f t="shared" si="47"/>
        <v>0</v>
      </c>
      <c r="AR74" s="171">
        <f t="shared" si="48"/>
        <v>0</v>
      </c>
      <c r="AS74" s="171">
        <f t="shared" si="49"/>
        <v>0</v>
      </c>
      <c r="AT74" s="171">
        <f t="shared" si="50"/>
        <v>0</v>
      </c>
      <c r="AU74" s="250"/>
      <c r="AV74" s="250"/>
      <c r="AW74" s="250"/>
      <c r="AX74" s="250"/>
      <c r="AY74" s="250"/>
      <c r="AZ74" s="250"/>
      <c r="BA74" s="250"/>
      <c r="BB74" s="251">
        <f t="shared" si="52"/>
        <v>0</v>
      </c>
      <c r="BC74" s="169"/>
      <c r="BD74" s="169"/>
      <c r="BE74" s="169"/>
      <c r="BF74" s="169"/>
    </row>
    <row r="75" spans="1:58" ht="51.6" customHeight="1" outlineLevel="2" x14ac:dyDescent="0.25">
      <c r="A75" s="115"/>
      <c r="B75" s="200"/>
      <c r="C75" s="201"/>
      <c r="D75" s="131"/>
      <c r="E75" s="219"/>
      <c r="F75" s="219"/>
      <c r="G75" s="313"/>
      <c r="H75" s="112" t="s">
        <v>414</v>
      </c>
      <c r="I75" s="130" t="s">
        <v>5</v>
      </c>
      <c r="J75" s="126">
        <v>12</v>
      </c>
      <c r="K75" s="126">
        <v>72</v>
      </c>
      <c r="L75" s="125">
        <f>IF(I75&lt;&gt;0,((VLOOKUP(I75,'1. Standard_Cost'!$B$4:$D$11,2)+VLOOKUP(I75,'1. Standard_Cost'!$B$4:$D$11,3))*J75*K75),"0")</f>
        <v>61084800</v>
      </c>
      <c r="M75" s="125">
        <f>L75*'1. Standard_Cost'!$F$4</f>
        <v>10201161.600000001</v>
      </c>
      <c r="N75" s="126"/>
      <c r="O75" s="126"/>
      <c r="P75" s="126"/>
      <c r="Q75" s="126"/>
      <c r="R75" s="127">
        <f>'1. Standard_Cost'!$B$15*N75*P75</f>
        <v>0</v>
      </c>
      <c r="S75" s="127">
        <f>N75*O75*P75*'1. Standard_Cost'!$C$15</f>
        <v>0</v>
      </c>
      <c r="T75" s="127">
        <f>N75*P75*Q75*'1. Standard_Cost'!$D$15</f>
        <v>0</v>
      </c>
      <c r="U75" s="127">
        <f>N75*O75*'1. Standard_Cost'!$E$15</f>
        <v>0</v>
      </c>
      <c r="V75" s="126"/>
      <c r="W75" s="126"/>
      <c r="X75" s="126"/>
      <c r="Y75" s="127">
        <f>+V75*((X75*'1. Standard_Cost'!$B$19)+(W75*X75*'1. Standard_Cost'!$C$19))</f>
        <v>0</v>
      </c>
      <c r="Z75" s="126"/>
      <c r="AA75" s="126"/>
      <c r="AB75" s="127">
        <f>+Z75*'1. Standard_Cost'!$B$23+AA75*'1. Standard_Cost'!$C$23</f>
        <v>0</v>
      </c>
      <c r="AC75" s="128">
        <v>13000000</v>
      </c>
      <c r="AD75" s="129"/>
      <c r="AE75" s="127"/>
      <c r="AF75" s="127">
        <f t="shared" si="53"/>
        <v>13000000</v>
      </c>
      <c r="AG75" s="126"/>
      <c r="AH75" s="126"/>
      <c r="AI75" s="126"/>
      <c r="AJ75" s="130"/>
      <c r="AK75" s="130"/>
      <c r="AL75" s="130"/>
      <c r="AM75" s="127">
        <f>AG75*'1. Standard_Cost'!$B$27+'Incremental_Cost Year 5'!AH75*'1. Standard_Cost'!$C$27+'Incremental_Cost Year 5'!AI75*'1. Standard_Cost'!$D$27+'Incremental_Cost Year 5'!AJ75+'Incremental_Cost Year 5'!AL75+AK75</f>
        <v>0</v>
      </c>
      <c r="AN75" s="127">
        <f>AM75*'1. Standard_Cost'!$C$31</f>
        <v>0</v>
      </c>
      <c r="AO75" s="130"/>
      <c r="AQ75" s="171">
        <f t="shared" si="47"/>
        <v>71285961.599999994</v>
      </c>
      <c r="AR75" s="171">
        <f t="shared" si="48"/>
        <v>13000000</v>
      </c>
      <c r="AS75" s="171">
        <f t="shared" si="49"/>
        <v>0</v>
      </c>
      <c r="AT75" s="171">
        <f t="shared" si="50"/>
        <v>84285961.599999994</v>
      </c>
      <c r="AU75" s="250">
        <f>AT75</f>
        <v>84285961.599999994</v>
      </c>
      <c r="AV75" s="250"/>
      <c r="AW75" s="250"/>
      <c r="AX75" s="250"/>
      <c r="AY75" s="250"/>
      <c r="AZ75" s="250"/>
      <c r="BA75" s="250"/>
      <c r="BB75" s="251">
        <f t="shared" si="52"/>
        <v>0</v>
      </c>
      <c r="BC75" s="169"/>
      <c r="BD75" s="169"/>
      <c r="BE75" s="169"/>
      <c r="BF75" s="169"/>
    </row>
    <row r="76" spans="1:58" ht="51.6" customHeight="1" outlineLevel="2" x14ac:dyDescent="0.25">
      <c r="A76" s="115"/>
      <c r="B76" s="200"/>
      <c r="C76" s="201"/>
      <c r="D76" s="305"/>
      <c r="E76" s="320"/>
      <c r="F76" s="122"/>
      <c r="G76" s="123"/>
      <c r="H76" s="199" t="s">
        <v>415</v>
      </c>
      <c r="I76" s="130" t="s">
        <v>3</v>
      </c>
      <c r="J76" s="126">
        <v>0.5</v>
      </c>
      <c r="K76" s="126">
        <v>3</v>
      </c>
      <c r="L76" s="125">
        <f>IF(I76&lt;&gt;0,((VLOOKUP(I76,'1. Standard_Cost'!$B$4:$D$11,2)+VLOOKUP(I76,'1. Standard_Cost'!$B$4:$D$11,3))*J76*K76),"0")</f>
        <v>151200</v>
      </c>
      <c r="M76" s="125">
        <f>L76*'1. Standard_Cost'!$F$4</f>
        <v>25250.400000000001</v>
      </c>
      <c r="N76" s="126"/>
      <c r="O76" s="126"/>
      <c r="P76" s="126"/>
      <c r="Q76" s="126"/>
      <c r="R76" s="127">
        <f>'1. Standard_Cost'!$B$15*N76*P76</f>
        <v>0</v>
      </c>
      <c r="S76" s="127">
        <f>N76*O76*P76*'1. Standard_Cost'!$C$15</f>
        <v>0</v>
      </c>
      <c r="T76" s="127">
        <f>N76*P76*Q76*'1. Standard_Cost'!$D$15</f>
        <v>0</v>
      </c>
      <c r="U76" s="127">
        <f>N76*O76*'1. Standard_Cost'!$E$15</f>
        <v>0</v>
      </c>
      <c r="V76" s="126"/>
      <c r="W76" s="126"/>
      <c r="X76" s="126"/>
      <c r="Y76" s="127">
        <f>+V76*((X76*'1. Standard_Cost'!$B$19)+(W76*X76*'1. Standard_Cost'!$C$19))</f>
        <v>0</v>
      </c>
      <c r="Z76" s="126"/>
      <c r="AA76" s="126"/>
      <c r="AB76" s="127">
        <f>+Z76*'1. Standard_Cost'!$B$23+AA76*'1. Standard_Cost'!$C$23</f>
        <v>0</v>
      </c>
      <c r="AC76" s="128">
        <v>500000</v>
      </c>
      <c r="AD76" s="129"/>
      <c r="AE76" s="127">
        <f>SUM(AD76,AC76,AB76,Y76,U76,T76,S76,R76)*'1. Standard_Cost'!$B$31</f>
        <v>100000</v>
      </c>
      <c r="AF76" s="127">
        <f t="shared" si="53"/>
        <v>600000</v>
      </c>
      <c r="AG76" s="126"/>
      <c r="AH76" s="126"/>
      <c r="AI76" s="126"/>
      <c r="AJ76" s="130"/>
      <c r="AK76" s="130"/>
      <c r="AL76" s="130"/>
      <c r="AM76" s="127">
        <f>AG76*'1. Standard_Cost'!$B$27+'Incremental_Cost Year 5'!AH76*'1. Standard_Cost'!$C$27+'Incremental_Cost Year 5'!AI76*'1. Standard_Cost'!$D$27+'Incremental_Cost Year 5'!AJ76+'Incremental_Cost Year 5'!AL76+AK76</f>
        <v>0</v>
      </c>
      <c r="AN76" s="127">
        <f>AM76*'1. Standard_Cost'!$C$31</f>
        <v>0</v>
      </c>
      <c r="AO76" s="130"/>
      <c r="AQ76" s="171">
        <f t="shared" si="47"/>
        <v>176450.4</v>
      </c>
      <c r="AR76" s="171">
        <f t="shared" si="48"/>
        <v>600000</v>
      </c>
      <c r="AS76" s="171">
        <f t="shared" si="49"/>
        <v>0</v>
      </c>
      <c r="AT76" s="171">
        <f t="shared" si="50"/>
        <v>776450.4</v>
      </c>
      <c r="AU76" s="250">
        <f>AQ76</f>
        <v>176450.4</v>
      </c>
      <c r="AV76" s="250"/>
      <c r="AW76" s="250"/>
      <c r="AX76" s="250"/>
      <c r="AY76" s="250">
        <v>600000</v>
      </c>
      <c r="AZ76" s="250"/>
      <c r="BA76" s="250"/>
      <c r="BB76" s="251">
        <f t="shared" si="52"/>
        <v>0</v>
      </c>
      <c r="BC76" s="169"/>
      <c r="BD76" s="169"/>
      <c r="BE76" s="169"/>
      <c r="BF76" s="169"/>
    </row>
    <row r="77" spans="1:58" ht="51.6" customHeight="1" outlineLevel="1" x14ac:dyDescent="0.25">
      <c r="A77" s="115"/>
      <c r="B77" s="165"/>
      <c r="C77" s="166"/>
      <c r="D77" s="107" t="s">
        <v>416</v>
      </c>
      <c r="E77" s="139" t="s">
        <v>221</v>
      </c>
      <c r="F77" s="222">
        <v>2021</v>
      </c>
      <c r="G77" s="117">
        <v>2030</v>
      </c>
      <c r="H77" s="134" t="s">
        <v>220</v>
      </c>
      <c r="I77" s="252"/>
      <c r="J77" s="252"/>
      <c r="K77" s="252"/>
      <c r="L77" s="127">
        <f>SUM(L62:L76)</f>
        <v>646486825</v>
      </c>
      <c r="M77" s="127">
        <f>SUM(M62:M76)</f>
        <v>107963299.77500001</v>
      </c>
      <c r="N77" s="127"/>
      <c r="O77" s="252"/>
      <c r="P77" s="252"/>
      <c r="Q77" s="252"/>
      <c r="R77" s="127">
        <f>SUM(R62:R76)</f>
        <v>280000</v>
      </c>
      <c r="S77" s="127">
        <f>SUM(S62:S76)</f>
        <v>420000</v>
      </c>
      <c r="T77" s="127">
        <f>SUM(T62:T76)</f>
        <v>0</v>
      </c>
      <c r="U77" s="127">
        <f>SUM(U62:U76)</f>
        <v>560000</v>
      </c>
      <c r="V77" s="252"/>
      <c r="W77" s="252"/>
      <c r="X77" s="252"/>
      <c r="Y77" s="127">
        <f>SUM(Y62:Y76)</f>
        <v>0</v>
      </c>
      <c r="Z77" s="252"/>
      <c r="AA77" s="252"/>
      <c r="AB77" s="127">
        <f>SUM(AB62:AB76)</f>
        <v>171000</v>
      </c>
      <c r="AC77" s="127">
        <f>SUM(AC62:AC76)</f>
        <v>549876000</v>
      </c>
      <c r="AD77" s="127">
        <f>SUM(AD62:AD76)</f>
        <v>0</v>
      </c>
      <c r="AE77" s="127">
        <f>SUM(AE62:AE76)</f>
        <v>81821400</v>
      </c>
      <c r="AF77" s="127">
        <f>SUM(AF62:AF76)</f>
        <v>633128400</v>
      </c>
      <c r="AG77" s="252"/>
      <c r="AH77" s="252"/>
      <c r="AI77" s="252"/>
      <c r="AJ77" s="127">
        <f>SUM(AJ62:AJ76)</f>
        <v>0</v>
      </c>
      <c r="AK77" s="127">
        <f>SUM(AK62:AK76)</f>
        <v>0</v>
      </c>
      <c r="AL77" s="127">
        <f>SUM(AL62:AL76)</f>
        <v>650000000</v>
      </c>
      <c r="AM77" s="127">
        <f>SUM(AM62:AM76)</f>
        <v>650000000</v>
      </c>
      <c r="AN77" s="127">
        <f>SUM(AN62:AN76)</f>
        <v>97500000</v>
      </c>
      <c r="AO77" s="253"/>
      <c r="AP77" s="254"/>
      <c r="AQ77" s="175">
        <f>SUM(AQ62:AQ76)</f>
        <v>754450124.77499998</v>
      </c>
      <c r="AR77" s="175">
        <f>SUM(AR62:AR76)</f>
        <v>633128400</v>
      </c>
      <c r="AS77" s="175">
        <f>SUM(AS62:AS76)</f>
        <v>747500000</v>
      </c>
      <c r="AT77" s="175">
        <f>SUM(AT62:AT76)</f>
        <v>2135078524.7750001</v>
      </c>
      <c r="AU77" s="175">
        <f t="shared" ref="AU77:BB77" si="54">SUM(AU62:AU76)</f>
        <v>1384152524.7750001</v>
      </c>
      <c r="AV77" s="175">
        <f t="shared" si="54"/>
        <v>0</v>
      </c>
      <c r="AW77" s="175">
        <f t="shared" si="54"/>
        <v>0</v>
      </c>
      <c r="AX77" s="175">
        <f t="shared" si="54"/>
        <v>0</v>
      </c>
      <c r="AY77" s="175">
        <f t="shared" si="54"/>
        <v>2346000</v>
      </c>
      <c r="AZ77" s="175">
        <f t="shared" si="54"/>
        <v>0</v>
      </c>
      <c r="BA77" s="175">
        <f t="shared" si="54"/>
        <v>0</v>
      </c>
      <c r="BB77" s="175">
        <f t="shared" si="54"/>
        <v>-748580000</v>
      </c>
      <c r="BC77" s="169"/>
      <c r="BD77" s="169"/>
      <c r="BE77" s="169"/>
      <c r="BF77" s="169"/>
    </row>
    <row r="78" spans="1:58" s="170" customFormat="1" ht="51.6" customHeight="1" x14ac:dyDescent="0.25">
      <c r="A78" s="120"/>
      <c r="B78" s="396" t="s">
        <v>298</v>
      </c>
      <c r="C78" s="389"/>
      <c r="D78" s="389"/>
      <c r="E78" s="390"/>
      <c r="F78" s="339"/>
      <c r="G78" s="339"/>
      <c r="H78" s="113" t="s">
        <v>60</v>
      </c>
      <c r="I78" s="243"/>
      <c r="J78" s="243"/>
      <c r="K78" s="243"/>
      <c r="L78" s="243">
        <f>SUM(L79,L93,L100,L106,L111,L118,L123,L134,L140)</f>
        <v>99985632.857142866</v>
      </c>
      <c r="M78" s="243">
        <f>SUM(M79,M93,M100,M106,M111,M118,M123,M134,M140)</f>
        <v>16697600.687142858</v>
      </c>
      <c r="N78" s="243"/>
      <c r="O78" s="243"/>
      <c r="P78" s="243"/>
      <c r="Q78" s="243"/>
      <c r="R78" s="243">
        <f>SUM(R79,R93,R100,R106,R111,R118,R123,R134,R140)</f>
        <v>400000</v>
      </c>
      <c r="S78" s="243">
        <f>SUM(S79,S93,S100,S106,S111,S118,S123,S134,S140)</f>
        <v>300000</v>
      </c>
      <c r="T78" s="243">
        <f>SUM(T79,T93,T100,T106,T111,T118,T123,T134,T140)</f>
        <v>0</v>
      </c>
      <c r="U78" s="243">
        <f>SUM(U79,U93,U100,U106,U111,U118,U123,U134,U140)</f>
        <v>400000</v>
      </c>
      <c r="V78" s="243"/>
      <c r="W78" s="243"/>
      <c r="X78" s="243"/>
      <c r="Y78" s="243">
        <f>SUM(Y79,Y93,Y100,Y106,Y111,Y118,Y123,Y134,Y140)</f>
        <v>510000</v>
      </c>
      <c r="Z78" s="243"/>
      <c r="AA78" s="243"/>
      <c r="AB78" s="243">
        <f>SUM(AB79,AB93,AB100,AB106,AB111,AB118,AB123,AB134,AB140)</f>
        <v>5794000</v>
      </c>
      <c r="AC78" s="243">
        <f>SUM(AC79,AC93,AC100,AC106,AC111,AC118,AC123,AC134,AC140)</f>
        <v>15270581528</v>
      </c>
      <c r="AD78" s="243">
        <f>SUM(AD79,AD93,AD100,AD106,AD111,AD118,AD123,AD134,AD140)</f>
        <v>0</v>
      </c>
      <c r="AE78" s="243">
        <f>SUM(AE79,AE93,AE100,AE106,AE111,AE118,AE123,AE134,AE140)</f>
        <v>318544105.60000002</v>
      </c>
      <c r="AF78" s="243">
        <f>SUM(AF79,AF93,AF100,AF106,AF111,AF118,AF123,AF134,AF140)</f>
        <v>15608769633.599998</v>
      </c>
      <c r="AG78" s="243"/>
      <c r="AH78" s="243"/>
      <c r="AI78" s="243"/>
      <c r="AJ78" s="243">
        <f>SUM(AJ79,AJ93,AJ100,AJ106,AJ111,AJ118,AJ123,AJ134,AJ140)</f>
        <v>0</v>
      </c>
      <c r="AK78" s="243">
        <f>SUM(AK79,AK93,AK100,AK106,AK111,AK118,AK123,AK134,AK140)</f>
        <v>0</v>
      </c>
      <c r="AL78" s="243">
        <f>SUM(AL79,AL93,AL100,AL106,AL111,AL118,AL123,AL134,AL140)</f>
        <v>30000000</v>
      </c>
      <c r="AM78" s="243">
        <f>SUM(AM79,AM93,AM100,AM106,AM111,AM118,AM123,AM134,AM140)</f>
        <v>30000000</v>
      </c>
      <c r="AN78" s="243">
        <f>SUM(AN79,AN93,AN100,AN106,AN111,AN118,AN123,AN134,AN140)</f>
        <v>4500000</v>
      </c>
      <c r="AO78" s="243"/>
      <c r="AP78" s="244"/>
      <c r="AQ78" s="245">
        <f>SUM(AQ79,AQ93,AQ100,AQ106,AQ111,AQ118,AQ123,AQ134,AQ140)</f>
        <v>116683233.54428573</v>
      </c>
      <c r="AR78" s="245">
        <f>SUM(AR79,AR93,AR100,AR106,AR111,AR118,AR123,AR134,AR140)</f>
        <v>15608769633.599998</v>
      </c>
      <c r="AS78" s="245">
        <f>SUM(AS79,AS93,AS100,AS106,AS111,AS118,AS123,AS134,AS140)</f>
        <v>34500000</v>
      </c>
      <c r="AT78" s="245">
        <f>SUM(AT79,AT93,AT100,AT106,AT111,AT118,AT123,AT134,AT140)</f>
        <v>15759952867.144287</v>
      </c>
      <c r="AU78" s="245">
        <f t="shared" ref="AU78:BB78" si="55">SUM(AU79,AU93,AU100,AU106,AU111,AU118,AU123,AU134,AU140)</f>
        <v>15402213067.5</v>
      </c>
      <c r="AV78" s="245">
        <f t="shared" si="55"/>
        <v>0</v>
      </c>
      <c r="AW78" s="245">
        <f t="shared" si="55"/>
        <v>0</v>
      </c>
      <c r="AX78" s="245">
        <f t="shared" si="55"/>
        <v>0</v>
      </c>
      <c r="AY78" s="245">
        <f t="shared" si="55"/>
        <v>0</v>
      </c>
      <c r="AZ78" s="245">
        <f t="shared" si="55"/>
        <v>0</v>
      </c>
      <c r="BA78" s="245">
        <f t="shared" si="55"/>
        <v>0</v>
      </c>
      <c r="BB78" s="245">
        <f t="shared" si="55"/>
        <v>-357739799.64428574</v>
      </c>
    </row>
    <row r="79" spans="1:58" s="170" customFormat="1" ht="51.6" customHeight="1" x14ac:dyDescent="0.25">
      <c r="A79" s="120"/>
      <c r="B79" s="290"/>
      <c r="C79" s="391" t="s">
        <v>313</v>
      </c>
      <c r="D79" s="391"/>
      <c r="E79" s="392"/>
      <c r="F79" s="293"/>
      <c r="G79" s="293"/>
      <c r="H79" s="114" t="s">
        <v>163</v>
      </c>
      <c r="I79" s="246"/>
      <c r="J79" s="246"/>
      <c r="K79" s="246"/>
      <c r="L79" s="247">
        <f>SUM(L85,L88,L92)</f>
        <v>6705740</v>
      </c>
      <c r="M79" s="247">
        <f>SUM(M85,M88,M92)</f>
        <v>1119858.58</v>
      </c>
      <c r="N79" s="247"/>
      <c r="O79" s="247"/>
      <c r="P79" s="247"/>
      <c r="Q79" s="247"/>
      <c r="R79" s="247">
        <f>SUM(R85,R88,R92)</f>
        <v>0</v>
      </c>
      <c r="S79" s="247">
        <f>SUM(S85,S88,S92)</f>
        <v>0</v>
      </c>
      <c r="T79" s="247">
        <f>SUM(T85,T88,T92)</f>
        <v>0</v>
      </c>
      <c r="U79" s="247">
        <f>SUM(U85,U88,U92)</f>
        <v>0</v>
      </c>
      <c r="V79" s="247"/>
      <c r="W79" s="247"/>
      <c r="X79" s="247"/>
      <c r="Y79" s="247">
        <f>SUM(Y85,Y88,Y92)</f>
        <v>255000</v>
      </c>
      <c r="Z79" s="247"/>
      <c r="AA79" s="247"/>
      <c r="AB79" s="247">
        <f>SUM(AB85,AB88,AB92)</f>
        <v>2375000</v>
      </c>
      <c r="AC79" s="247">
        <f>SUM(AC85,AC88,AC92)</f>
        <v>3114246744</v>
      </c>
      <c r="AD79" s="247">
        <f>SUM(AD85,AD88,AD92)</f>
        <v>0</v>
      </c>
      <c r="AE79" s="247">
        <f>SUM(AE85,AE88,AE92)</f>
        <v>314328348.80000001</v>
      </c>
      <c r="AF79" s="247">
        <f>SUM(AF85,AF88,AF92)</f>
        <v>3431205092.7999997</v>
      </c>
      <c r="AG79" s="247"/>
      <c r="AH79" s="247"/>
      <c r="AI79" s="247"/>
      <c r="AJ79" s="247">
        <f>SUM(AJ85,AJ88,AJ92)</f>
        <v>0</v>
      </c>
      <c r="AK79" s="247">
        <f>SUM(AK85,AK88,AK92)</f>
        <v>0</v>
      </c>
      <c r="AL79" s="247">
        <f>SUM(AL85,AL88,AL92)</f>
        <v>0</v>
      </c>
      <c r="AM79" s="247">
        <f>SUM(AM85,AM88,AM92)</f>
        <v>0</v>
      </c>
      <c r="AN79" s="247">
        <f>SUM(AN85,AN88,AN92)</f>
        <v>0</v>
      </c>
      <c r="AO79" s="247"/>
      <c r="AP79" s="255"/>
      <c r="AQ79" s="248">
        <f>SUM(AQ85,AQ88,AQ92)</f>
        <v>7825598.5800000001</v>
      </c>
      <c r="AR79" s="248">
        <f>SUM(AR85,AR88,AR92)</f>
        <v>3431205092.7999997</v>
      </c>
      <c r="AS79" s="248">
        <f>SUM(AS85,AS88,AS92)</f>
        <v>0</v>
      </c>
      <c r="AT79" s="248">
        <f>SUM(AT85,AT88,AT92)</f>
        <v>3439030691.3800001</v>
      </c>
      <c r="AU79" s="248">
        <f t="shared" ref="AU79:BB79" si="56">SUM(AU85,AU88,AU92)</f>
        <v>3122354691</v>
      </c>
      <c r="AV79" s="248">
        <f t="shared" si="56"/>
        <v>0</v>
      </c>
      <c r="AW79" s="248">
        <f t="shared" si="56"/>
        <v>0</v>
      </c>
      <c r="AX79" s="248">
        <f t="shared" si="56"/>
        <v>0</v>
      </c>
      <c r="AY79" s="248">
        <f t="shared" si="56"/>
        <v>0</v>
      </c>
      <c r="AZ79" s="248">
        <f t="shared" si="56"/>
        <v>0</v>
      </c>
      <c r="BA79" s="248">
        <f t="shared" si="56"/>
        <v>0</v>
      </c>
      <c r="BB79" s="248">
        <f t="shared" si="56"/>
        <v>-316676000.38</v>
      </c>
    </row>
    <row r="80" spans="1:58" ht="51.6" customHeight="1" outlineLevel="2" x14ac:dyDescent="0.25">
      <c r="A80" s="115"/>
      <c r="B80" s="200"/>
      <c r="C80" s="201"/>
      <c r="D80" s="202"/>
      <c r="E80" s="226"/>
      <c r="F80" s="306"/>
      <c r="G80" s="307"/>
      <c r="H80" s="164" t="s">
        <v>417</v>
      </c>
      <c r="I80" s="130"/>
      <c r="J80" s="126"/>
      <c r="K80" s="126"/>
      <c r="L80" s="125" t="str">
        <f>IF(I80&lt;&gt;0,((VLOOKUP(I80,'1. Standard_Cost'!$B$4:$D$11,2)+VLOOKUP(I80,'1. Standard_Cost'!$B$4:$D$11,3))*J80*K80),"0")</f>
        <v>0</v>
      </c>
      <c r="M80" s="125">
        <f>L80*'1. Standard_Cost'!$F$4</f>
        <v>0</v>
      </c>
      <c r="N80" s="126"/>
      <c r="O80" s="126"/>
      <c r="P80" s="126"/>
      <c r="Q80" s="126"/>
      <c r="R80" s="127">
        <f>'1. Standard_Cost'!$B$15*N80*P80</f>
        <v>0</v>
      </c>
      <c r="S80" s="127">
        <f>N80*O80*P80*'1. Standard_Cost'!$C$15</f>
        <v>0</v>
      </c>
      <c r="T80" s="127">
        <f>N80*P80*Q80*'1. Standard_Cost'!$D$15</f>
        <v>0</v>
      </c>
      <c r="U80" s="127">
        <f>N80*O80*'1. Standard_Cost'!$E$15</f>
        <v>0</v>
      </c>
      <c r="V80" s="126"/>
      <c r="W80" s="126"/>
      <c r="X80" s="126"/>
      <c r="Y80" s="127">
        <f>+V80*((X80*'1. Standard_Cost'!$B$19)+(W80*X80*'1. Standard_Cost'!$C$19))</f>
        <v>0</v>
      </c>
      <c r="Z80" s="126"/>
      <c r="AA80" s="126"/>
      <c r="AB80" s="127">
        <f>+Z80*'1. Standard_Cost'!$B$23+AA80*'1. Standard_Cost'!$C$23</f>
        <v>0</v>
      </c>
      <c r="AC80" s="128">
        <v>876090000</v>
      </c>
      <c r="AD80" s="129"/>
      <c r="AE80" s="127">
        <f>0</f>
        <v>0</v>
      </c>
      <c r="AF80" s="127">
        <f>SUM(AE80,AD80,AC80,AB80,Y80,U80,T80,S80,R80)</f>
        <v>876090000</v>
      </c>
      <c r="AG80" s="126"/>
      <c r="AH80" s="126"/>
      <c r="AI80" s="126"/>
      <c r="AJ80" s="130"/>
      <c r="AK80" s="130"/>
      <c r="AL80" s="130"/>
      <c r="AM80" s="127">
        <f>AG80*'1. Standard_Cost'!$B$27+'Incremental_Cost Year 5'!AH80*'1. Standard_Cost'!$C$27+'Incremental_Cost Year 5'!AI80*'1. Standard_Cost'!$D$27+'Incremental_Cost Year 5'!AJ80+'Incremental_Cost Year 5'!AL80+AK80</f>
        <v>0</v>
      </c>
      <c r="AN80" s="127">
        <f>AM80*'1. Standard_Cost'!$C$31</f>
        <v>0</v>
      </c>
      <c r="AO80" s="130"/>
      <c r="AP80" s="256"/>
      <c r="AQ80" s="171">
        <f>L80+M80</f>
        <v>0</v>
      </c>
      <c r="AR80" s="171">
        <f>AF80</f>
        <v>876090000</v>
      </c>
      <c r="AS80" s="171">
        <f>AM80+AN80</f>
        <v>0</v>
      </c>
      <c r="AT80" s="171">
        <f>SUM(AQ80,AR80,AS80)</f>
        <v>876090000</v>
      </c>
      <c r="AU80" s="250">
        <v>876090000</v>
      </c>
      <c r="AV80" s="250"/>
      <c r="AW80" s="250"/>
      <c r="AX80" s="250"/>
      <c r="AY80" s="250"/>
      <c r="AZ80" s="250"/>
      <c r="BA80" s="250"/>
      <c r="BB80" s="251">
        <f t="shared" ref="BB80:BB84" si="57">SUM(AU80:BA80)-AT80</f>
        <v>0</v>
      </c>
      <c r="BC80" s="169"/>
      <c r="BD80" s="169"/>
      <c r="BE80" s="169"/>
      <c r="BF80" s="169"/>
    </row>
    <row r="81" spans="1:58" ht="51.6" customHeight="1" outlineLevel="2" x14ac:dyDescent="0.25">
      <c r="A81" s="115"/>
      <c r="B81" s="200"/>
      <c r="C81" s="201"/>
      <c r="D81" s="202"/>
      <c r="E81" s="202"/>
      <c r="F81" s="308"/>
      <c r="G81" s="309"/>
      <c r="H81" s="164" t="s">
        <v>418</v>
      </c>
      <c r="I81" s="130"/>
      <c r="J81" s="126"/>
      <c r="K81" s="126"/>
      <c r="L81" s="125" t="str">
        <f>IF(I81&lt;&gt;0,((VLOOKUP(I81,'1. Standard_Cost'!$B$4:$D$11,2)+VLOOKUP(I81,'1. Standard_Cost'!$B$4:$D$11,3))*J81*K81),"0")</f>
        <v>0</v>
      </c>
      <c r="M81" s="125">
        <f>L81*'1. Standard_Cost'!$F$4</f>
        <v>0</v>
      </c>
      <c r="N81" s="126"/>
      <c r="O81" s="126"/>
      <c r="P81" s="126"/>
      <c r="Q81" s="126"/>
      <c r="R81" s="127">
        <f>'1. Standard_Cost'!$B$15*N81*P81</f>
        <v>0</v>
      </c>
      <c r="S81" s="127">
        <f>N81*O81*P81*'1. Standard_Cost'!$C$15</f>
        <v>0</v>
      </c>
      <c r="T81" s="127">
        <f>N81*P81*Q81*'1. Standard_Cost'!$D$15</f>
        <v>0</v>
      </c>
      <c r="U81" s="127">
        <f>N81*O81*'1. Standard_Cost'!$E$15</f>
        <v>0</v>
      </c>
      <c r="V81" s="126"/>
      <c r="W81" s="126"/>
      <c r="X81" s="126"/>
      <c r="Y81" s="127">
        <f>+V81*((X81*'1. Standard_Cost'!$B$19)+(W81*X81*'1. Standard_Cost'!$C$19))</f>
        <v>0</v>
      </c>
      <c r="Z81" s="126"/>
      <c r="AA81" s="126"/>
      <c r="AB81" s="127">
        <f>+Z81*'1. Standard_Cost'!$B$23+AA81*'1. Standard_Cost'!$C$23</f>
        <v>0</v>
      </c>
      <c r="AC81" s="128">
        <v>56520000</v>
      </c>
      <c r="AD81" s="129"/>
      <c r="AE81" s="127">
        <f>0</f>
        <v>0</v>
      </c>
      <c r="AF81" s="127">
        <f>SUM(AE81,AD81,AC81,AB81,Y81,U81,T81,S81,R81)</f>
        <v>56520000</v>
      </c>
      <c r="AG81" s="126"/>
      <c r="AH81" s="126"/>
      <c r="AI81" s="126"/>
      <c r="AJ81" s="130"/>
      <c r="AK81" s="130"/>
      <c r="AL81" s="130"/>
      <c r="AM81" s="127">
        <f>AG81*'1. Standard_Cost'!$B$27+'Incremental_Cost Year 5'!AH81*'1. Standard_Cost'!$C$27+'Incremental_Cost Year 5'!AI81*'1. Standard_Cost'!$D$27+'Incremental_Cost Year 5'!AJ81+'Incremental_Cost Year 5'!AL81+AK81</f>
        <v>0</v>
      </c>
      <c r="AN81" s="127">
        <f>AM81*'1. Standard_Cost'!$C$31</f>
        <v>0</v>
      </c>
      <c r="AO81" s="130"/>
      <c r="AP81" s="256"/>
      <c r="AQ81" s="171">
        <f>L81+M81</f>
        <v>0</v>
      </c>
      <c r="AR81" s="171">
        <f>AF81</f>
        <v>56520000</v>
      </c>
      <c r="AS81" s="171">
        <f>AM81+AN81</f>
        <v>0</v>
      </c>
      <c r="AT81" s="171">
        <f>SUM(AQ81,AR81,AS81)</f>
        <v>56520000</v>
      </c>
      <c r="AU81" s="250">
        <v>56520000</v>
      </c>
      <c r="AV81" s="250"/>
      <c r="AW81" s="250"/>
      <c r="AX81" s="250"/>
      <c r="AY81" s="250"/>
      <c r="AZ81" s="250"/>
      <c r="BA81" s="250"/>
      <c r="BB81" s="251">
        <f t="shared" si="57"/>
        <v>0</v>
      </c>
      <c r="BC81" s="169"/>
      <c r="BD81" s="169"/>
      <c r="BE81" s="169"/>
      <c r="BF81" s="169"/>
    </row>
    <row r="82" spans="1:58" ht="51.6" customHeight="1" outlineLevel="2" x14ac:dyDescent="0.25">
      <c r="A82" s="115"/>
      <c r="B82" s="200"/>
      <c r="C82" s="201"/>
      <c r="D82" s="202"/>
      <c r="E82" s="202"/>
      <c r="F82" s="308"/>
      <c r="G82" s="309"/>
      <c r="H82" s="164" t="s">
        <v>419</v>
      </c>
      <c r="I82" s="130"/>
      <c r="J82" s="126"/>
      <c r="K82" s="126"/>
      <c r="L82" s="125" t="str">
        <f>IF(I82&lt;&gt;0,((VLOOKUP(I82,'1. Standard_Cost'!$B$4:$D$11,2)+VLOOKUP(I82,'1. Standard_Cost'!$B$4:$D$11,3))*J82*K82),"0")</f>
        <v>0</v>
      </c>
      <c r="M82" s="125">
        <f>L82*'1. Standard_Cost'!$F$4</f>
        <v>0</v>
      </c>
      <c r="N82" s="126"/>
      <c r="O82" s="126"/>
      <c r="P82" s="126"/>
      <c r="Q82" s="126"/>
      <c r="R82" s="127">
        <f>'1. Standard_Cost'!$B$15*N82*P82</f>
        <v>0</v>
      </c>
      <c r="S82" s="127">
        <f>N82*O82*P82*'1. Standard_Cost'!$C$15</f>
        <v>0</v>
      </c>
      <c r="T82" s="127">
        <f>N82*P82*Q82*'1. Standard_Cost'!$D$15</f>
        <v>0</v>
      </c>
      <c r="U82" s="127">
        <f>N82*O82*'1. Standard_Cost'!$E$15</f>
        <v>0</v>
      </c>
      <c r="V82" s="126"/>
      <c r="W82" s="126"/>
      <c r="X82" s="126"/>
      <c r="Y82" s="127">
        <f>+V82*((X82*'1. Standard_Cost'!$B$19)+(W82*X82*'1. Standard_Cost'!$C$19))</f>
        <v>0</v>
      </c>
      <c r="Z82" s="126"/>
      <c r="AA82" s="126"/>
      <c r="AB82" s="127">
        <f>+Z82*'1. Standard_Cost'!$B$23+AA82*'1. Standard_Cost'!$C$23</f>
        <v>0</v>
      </c>
      <c r="AC82" s="128">
        <v>12625000</v>
      </c>
      <c r="AD82" s="129"/>
      <c r="AE82" s="127">
        <f>0</f>
        <v>0</v>
      </c>
      <c r="AF82" s="127">
        <f>SUM(AE82,AD82,AC82,AB82,Y82,U82,T82,S82,R82)</f>
        <v>12625000</v>
      </c>
      <c r="AG82" s="126"/>
      <c r="AH82" s="126"/>
      <c r="AI82" s="126"/>
      <c r="AJ82" s="130"/>
      <c r="AK82" s="130"/>
      <c r="AL82" s="130"/>
      <c r="AM82" s="127">
        <f>AG82*'1. Standard_Cost'!$B$27+'Incremental_Cost Year 5'!AH82*'1. Standard_Cost'!$C$27+'Incremental_Cost Year 5'!AI82*'1. Standard_Cost'!$D$27+'Incremental_Cost Year 5'!AJ82+'Incremental_Cost Year 5'!AL82+AK82</f>
        <v>0</v>
      </c>
      <c r="AN82" s="127">
        <f>AM82*'1. Standard_Cost'!$C$31</f>
        <v>0</v>
      </c>
      <c r="AO82" s="130"/>
      <c r="AP82" s="256"/>
      <c r="AQ82" s="171">
        <f>L82+M82</f>
        <v>0</v>
      </c>
      <c r="AR82" s="171">
        <f>AF82</f>
        <v>12625000</v>
      </c>
      <c r="AS82" s="171">
        <f>AM82+AN82</f>
        <v>0</v>
      </c>
      <c r="AT82" s="171">
        <f>SUM(AQ82,AR82,AS82)</f>
        <v>12625000</v>
      </c>
      <c r="AU82" s="250">
        <v>12625000</v>
      </c>
      <c r="AV82" s="250"/>
      <c r="AW82" s="250"/>
      <c r="AX82" s="250"/>
      <c r="AY82" s="250"/>
      <c r="AZ82" s="250"/>
      <c r="BA82" s="250"/>
      <c r="BB82" s="251">
        <f t="shared" si="57"/>
        <v>0</v>
      </c>
      <c r="BC82" s="169"/>
      <c r="BD82" s="169"/>
      <c r="BE82" s="169"/>
      <c r="BF82" s="169"/>
    </row>
    <row r="83" spans="1:58" ht="51.6" customHeight="1" outlineLevel="2" x14ac:dyDescent="0.25">
      <c r="A83" s="115"/>
      <c r="B83" s="200"/>
      <c r="C83" s="201"/>
      <c r="D83" s="137"/>
      <c r="E83" s="105"/>
      <c r="F83" s="308"/>
      <c r="G83" s="309"/>
      <c r="H83" s="199" t="s">
        <v>539</v>
      </c>
      <c r="I83" s="130"/>
      <c r="J83" s="126"/>
      <c r="K83" s="126"/>
      <c r="L83" s="125" t="str">
        <f>IF(I83&lt;&gt;0,((VLOOKUP(I83,'1. Standard_Cost'!$B$4:$D$11,2)+VLOOKUP(I83,'1. Standard_Cost'!$B$4:$D$11,3))*J83*K83),"0")</f>
        <v>0</v>
      </c>
      <c r="M83" s="125">
        <f>L83*'1. Standard_Cost'!$F$4</f>
        <v>0</v>
      </c>
      <c r="N83" s="126"/>
      <c r="O83" s="126"/>
      <c r="P83" s="126"/>
      <c r="Q83" s="126"/>
      <c r="R83" s="127">
        <f>'1. Standard_Cost'!$B$15*N83*P83</f>
        <v>0</v>
      </c>
      <c r="S83" s="127">
        <f>N83*O83*P83*'1. Standard_Cost'!$C$15</f>
        <v>0</v>
      </c>
      <c r="T83" s="127">
        <f>N83*P83*Q83*'1. Standard_Cost'!$D$15</f>
        <v>0</v>
      </c>
      <c r="U83" s="127">
        <f>N83*O83*'1. Standard_Cost'!$E$15</f>
        <v>0</v>
      </c>
      <c r="V83" s="126"/>
      <c r="W83" s="126"/>
      <c r="X83" s="126"/>
      <c r="Y83" s="127">
        <f>+V83*((X83*'1. Standard_Cost'!$B$19)+(W83*X83*'1. Standard_Cost'!$C$19))</f>
        <v>0</v>
      </c>
      <c r="Z83" s="126"/>
      <c r="AA83" s="126"/>
      <c r="AB83" s="127">
        <f>+Z83*'1. Standard_Cost'!$B$23+AA83*'1. Standard_Cost'!$C$23</f>
        <v>0</v>
      </c>
      <c r="AC83" s="128">
        <v>1567230000</v>
      </c>
      <c r="AD83" s="129"/>
      <c r="AE83" s="127">
        <f>SUM(AD83,AC83,AB83,Y83,U83,T83,S83,R83)*'1. Standard_Cost'!$B$31</f>
        <v>313446000</v>
      </c>
      <c r="AF83" s="127">
        <f>SUM(AE83,AD83,AC83,AB83,Y83,U83,T83,S83,R83)</f>
        <v>1880676000</v>
      </c>
      <c r="AG83" s="126"/>
      <c r="AH83" s="126"/>
      <c r="AI83" s="126"/>
      <c r="AJ83" s="130"/>
      <c r="AK83" s="130"/>
      <c r="AL83" s="130"/>
      <c r="AM83" s="127">
        <f>AG83*'1. Standard_Cost'!$B$27+'Incremental_Cost Year 5'!AH83*'1. Standard_Cost'!$C$27+'Incremental_Cost Year 5'!AI83*'1. Standard_Cost'!$D$27+'Incremental_Cost Year 5'!AJ83+'Incremental_Cost Year 5'!AL83+AK83</f>
        <v>0</v>
      </c>
      <c r="AN83" s="127">
        <f>AM83*'1. Standard_Cost'!$C$31</f>
        <v>0</v>
      </c>
      <c r="AO83" s="130"/>
      <c r="AP83" s="256"/>
      <c r="AQ83" s="171">
        <f>L83+M83</f>
        <v>0</v>
      </c>
      <c r="AR83" s="171">
        <f>AF83</f>
        <v>1880676000</v>
      </c>
      <c r="AS83" s="171">
        <f>AM83+AN83</f>
        <v>0</v>
      </c>
      <c r="AT83" s="171">
        <f>SUM(AQ83,AR83,AS83)</f>
        <v>1880676000</v>
      </c>
      <c r="AU83" s="250">
        <v>1567230000</v>
      </c>
      <c r="AV83" s="250"/>
      <c r="AW83" s="250"/>
      <c r="AX83" s="250"/>
      <c r="AY83" s="250"/>
      <c r="AZ83" s="250"/>
      <c r="BA83" s="250"/>
      <c r="BB83" s="251">
        <f t="shared" si="57"/>
        <v>-313446000</v>
      </c>
      <c r="BC83" s="169"/>
      <c r="BD83" s="169"/>
      <c r="BE83" s="169"/>
      <c r="BF83" s="169"/>
    </row>
    <row r="84" spans="1:58" ht="51.6" customHeight="1" outlineLevel="2" x14ac:dyDescent="0.25">
      <c r="A84" s="115"/>
      <c r="B84" s="200"/>
      <c r="C84" s="201"/>
      <c r="D84" s="137"/>
      <c r="E84" s="202"/>
      <c r="F84" s="308"/>
      <c r="G84" s="309"/>
      <c r="H84" s="164" t="s">
        <v>420</v>
      </c>
      <c r="I84" s="130"/>
      <c r="J84" s="126"/>
      <c r="K84" s="126"/>
      <c r="L84" s="125" t="str">
        <f>IF(I84&lt;&gt;0,((VLOOKUP(I84,'1. Standard_Cost'!$B$4:$D$11,2)+VLOOKUP(I84,'1. Standard_Cost'!$B$4:$D$11,3))*J84*K84),"0")</f>
        <v>0</v>
      </c>
      <c r="M84" s="125">
        <f>L84*'1. Standard_Cost'!$F$4</f>
        <v>0</v>
      </c>
      <c r="N84" s="126"/>
      <c r="O84" s="126"/>
      <c r="P84" s="126"/>
      <c r="Q84" s="126"/>
      <c r="R84" s="127">
        <f>'1. Standard_Cost'!$B$15*N84*P84</f>
        <v>0</v>
      </c>
      <c r="S84" s="127">
        <f>N84*O84*P84*'1. Standard_Cost'!$C$15</f>
        <v>0</v>
      </c>
      <c r="T84" s="127">
        <f>N84*P84*Q84*'1. Standard_Cost'!$D$15</f>
        <v>0</v>
      </c>
      <c r="U84" s="127">
        <f>N84*O84*'1. Standard_Cost'!$E$15</f>
        <v>0</v>
      </c>
      <c r="V84" s="126"/>
      <c r="W84" s="126"/>
      <c r="X84" s="126"/>
      <c r="Y84" s="127">
        <f>+V84*((X84*'1. Standard_Cost'!$B$19)+(W84*X84*'1. Standard_Cost'!$C$19))</f>
        <v>0</v>
      </c>
      <c r="Z84" s="126"/>
      <c r="AA84" s="126"/>
      <c r="AB84" s="127">
        <f>+Z84*'1. Standard_Cost'!$B$23+AA84*'1. Standard_Cost'!$C$23</f>
        <v>0</v>
      </c>
      <c r="AC84" s="128">
        <v>600000000</v>
      </c>
      <c r="AD84" s="129"/>
      <c r="AE84" s="127">
        <f>0</f>
        <v>0</v>
      </c>
      <c r="AF84" s="127">
        <f>SUM(AE84,AD84,AC84,AB84,Y84,U84,T84,S84,R84)</f>
        <v>600000000</v>
      </c>
      <c r="AG84" s="126"/>
      <c r="AH84" s="126"/>
      <c r="AI84" s="126"/>
      <c r="AJ84" s="130"/>
      <c r="AK84" s="130"/>
      <c r="AL84" s="130"/>
      <c r="AM84" s="127">
        <f>AG84*'1. Standard_Cost'!$B$27+'Incremental_Cost Year 5'!AH84*'1. Standard_Cost'!$C$27+'Incremental_Cost Year 5'!AI84*'1. Standard_Cost'!$D$27+'Incremental_Cost Year 5'!AJ84+'Incremental_Cost Year 5'!AL84+AK84</f>
        <v>0</v>
      </c>
      <c r="AN84" s="127">
        <f>AM84*'1. Standard_Cost'!$C$31</f>
        <v>0</v>
      </c>
      <c r="AO84" s="130"/>
      <c r="AP84" s="256"/>
      <c r="AQ84" s="171">
        <f>L84+M84</f>
        <v>0</v>
      </c>
      <c r="AR84" s="171">
        <f>AF84</f>
        <v>600000000</v>
      </c>
      <c r="AS84" s="171">
        <f>AM84+AN84</f>
        <v>0</v>
      </c>
      <c r="AT84" s="171">
        <f>SUM(AQ84,AR84,AS84)</f>
        <v>600000000</v>
      </c>
      <c r="AU84" s="250">
        <v>600000000</v>
      </c>
      <c r="AV84" s="250"/>
      <c r="AW84" s="250"/>
      <c r="AX84" s="250"/>
      <c r="AY84" s="250"/>
      <c r="AZ84" s="250"/>
      <c r="BA84" s="250"/>
      <c r="BB84" s="251">
        <f t="shared" si="57"/>
        <v>0</v>
      </c>
      <c r="BC84" s="169"/>
      <c r="BD84" s="169"/>
      <c r="BE84" s="169"/>
      <c r="BF84" s="169"/>
    </row>
    <row r="85" spans="1:58" ht="51.6" customHeight="1" outlineLevel="1" x14ac:dyDescent="0.25">
      <c r="A85" s="115"/>
      <c r="B85" s="165"/>
      <c r="C85" s="166"/>
      <c r="D85" s="139" t="s">
        <v>421</v>
      </c>
      <c r="E85" s="212" t="s">
        <v>273</v>
      </c>
      <c r="F85" s="136">
        <v>2021</v>
      </c>
      <c r="G85" s="117">
        <v>2030</v>
      </c>
      <c r="H85" s="110" t="s">
        <v>175</v>
      </c>
      <c r="I85" s="252"/>
      <c r="J85" s="252"/>
      <c r="K85" s="252"/>
      <c r="L85" s="127">
        <f>SUM(L80:L84)</f>
        <v>0</v>
      </c>
      <c r="M85" s="127">
        <f>SUM(M80:M84)</f>
        <v>0</v>
      </c>
      <c r="N85" s="252"/>
      <c r="O85" s="252"/>
      <c r="P85" s="252"/>
      <c r="Q85" s="252"/>
      <c r="R85" s="127">
        <f>SUM(R80:R84)</f>
        <v>0</v>
      </c>
      <c r="S85" s="127">
        <f>SUM(S80:S84)</f>
        <v>0</v>
      </c>
      <c r="T85" s="127">
        <f>SUM(T80:T84)</f>
        <v>0</v>
      </c>
      <c r="U85" s="127">
        <f>SUM(U80:U84)</f>
        <v>0</v>
      </c>
      <c r="V85" s="252"/>
      <c r="W85" s="252"/>
      <c r="X85" s="252"/>
      <c r="Y85" s="127">
        <f>SUM(Y80:Y84)</f>
        <v>0</v>
      </c>
      <c r="Z85" s="252"/>
      <c r="AA85" s="252"/>
      <c r="AB85" s="127">
        <f>SUM(AB80:AB84)</f>
        <v>0</v>
      </c>
      <c r="AC85" s="127">
        <f>SUM(AC80:AC84)</f>
        <v>3112465000</v>
      </c>
      <c r="AD85" s="127">
        <f>SUM(AD80:AD84)</f>
        <v>0</v>
      </c>
      <c r="AE85" s="127">
        <f>SUM(AE80:AE84)</f>
        <v>313446000</v>
      </c>
      <c r="AF85" s="127">
        <f>SUM(AF80:AF84)</f>
        <v>3425911000</v>
      </c>
      <c r="AG85" s="252"/>
      <c r="AH85" s="252"/>
      <c r="AI85" s="252"/>
      <c r="AJ85" s="127">
        <f>SUM(AJ80:AJ84)</f>
        <v>0</v>
      </c>
      <c r="AK85" s="127">
        <f>SUM(AK80:AK84)</f>
        <v>0</v>
      </c>
      <c r="AL85" s="127">
        <f>SUM(AL80:AL84)</f>
        <v>0</v>
      </c>
      <c r="AM85" s="127">
        <f>SUM(AM80:AM84)</f>
        <v>0</v>
      </c>
      <c r="AN85" s="127">
        <f>SUM(AN80:AN84)</f>
        <v>0</v>
      </c>
      <c r="AO85" s="253"/>
      <c r="AP85" s="254"/>
      <c r="AQ85" s="175">
        <f>SUM(AQ80:AQ84)</f>
        <v>0</v>
      </c>
      <c r="AR85" s="175">
        <f>SUM(AR80:AR84)</f>
        <v>3425911000</v>
      </c>
      <c r="AS85" s="175">
        <f>SUM(AS80:AS84)</f>
        <v>0</v>
      </c>
      <c r="AT85" s="175">
        <f>SUM(AT80:AT84)</f>
        <v>3425911000</v>
      </c>
      <c r="AU85" s="175">
        <f t="shared" ref="AU85:BB85" si="58">SUM(AU80:AU84)</f>
        <v>3112465000</v>
      </c>
      <c r="AV85" s="175">
        <f t="shared" si="58"/>
        <v>0</v>
      </c>
      <c r="AW85" s="175">
        <f t="shared" si="58"/>
        <v>0</v>
      </c>
      <c r="AX85" s="175">
        <f t="shared" si="58"/>
        <v>0</v>
      </c>
      <c r="AY85" s="175">
        <f t="shared" si="58"/>
        <v>0</v>
      </c>
      <c r="AZ85" s="175">
        <f t="shared" si="58"/>
        <v>0</v>
      </c>
      <c r="BA85" s="175">
        <f t="shared" si="58"/>
        <v>0</v>
      </c>
      <c r="BB85" s="175">
        <f t="shared" si="58"/>
        <v>-313446000</v>
      </c>
      <c r="BC85" s="169"/>
      <c r="BD85" s="169"/>
      <c r="BE85" s="169"/>
      <c r="BF85" s="169"/>
    </row>
    <row r="86" spans="1:58" ht="51.6" customHeight="1" outlineLevel="2" x14ac:dyDescent="0.25">
      <c r="A86" s="115"/>
      <c r="B86" s="200"/>
      <c r="C86" s="201"/>
      <c r="D86" s="346"/>
      <c r="E86" s="321"/>
      <c r="F86" s="295"/>
      <c r="G86" s="296"/>
      <c r="H86" s="164" t="s">
        <v>422</v>
      </c>
      <c r="I86" s="130" t="s">
        <v>3</v>
      </c>
      <c r="J86" s="126">
        <v>0.7</v>
      </c>
      <c r="K86" s="126">
        <v>9</v>
      </c>
      <c r="L86" s="125">
        <f>IF(I86&lt;&gt;0,((VLOOKUP(I86,'1. Standard_Cost'!$B$4:$D$11,2)+VLOOKUP(I86,'1. Standard_Cost'!$B$4:$D$11,3))*J86*K86),"0")</f>
        <v>635040</v>
      </c>
      <c r="M86" s="125">
        <f>L86*'1. Standard_Cost'!$F$4</f>
        <v>106051.68000000001</v>
      </c>
      <c r="N86" s="126"/>
      <c r="O86" s="126"/>
      <c r="P86" s="126"/>
      <c r="Q86" s="126"/>
      <c r="R86" s="127">
        <f>'1. Standard_Cost'!$B$15*N86*P86</f>
        <v>0</v>
      </c>
      <c r="S86" s="127">
        <f>N86*O86*P86*'1. Standard_Cost'!$C$15</f>
        <v>0</v>
      </c>
      <c r="T86" s="127">
        <f>N86*P86*Q86*'1. Standard_Cost'!$D$15</f>
        <v>0</v>
      </c>
      <c r="U86" s="127">
        <f>N86*O86*'1. Standard_Cost'!$E$15</f>
        <v>0</v>
      </c>
      <c r="V86" s="126"/>
      <c r="W86" s="126"/>
      <c r="X86" s="126"/>
      <c r="Y86" s="127">
        <f>+V86*((X86*'1. Standard_Cost'!$B$19)+(W86*X86*'1. Standard_Cost'!$C$19))</f>
        <v>0</v>
      </c>
      <c r="Z86" s="126"/>
      <c r="AA86" s="126"/>
      <c r="AB86" s="127">
        <f>+Z86*'1. Standard_Cost'!$B$23+AA86*'1. Standard_Cost'!$C$23</f>
        <v>0</v>
      </c>
      <c r="AC86" s="128">
        <v>102430</v>
      </c>
      <c r="AD86" s="129"/>
      <c r="AE86" s="127">
        <f>SUM(AD86,AC86,AB86,Y86,U86,T86,S86,R86)*'1. Standard_Cost'!$B$31</f>
        <v>20486</v>
      </c>
      <c r="AF86" s="127">
        <f>SUM(AE86,AD86,AC86,AB86,Y86,U86,T86,S86,R86)</f>
        <v>122916</v>
      </c>
      <c r="AG86" s="126"/>
      <c r="AH86" s="126"/>
      <c r="AI86" s="126"/>
      <c r="AJ86" s="130"/>
      <c r="AK86" s="130"/>
      <c r="AL86" s="130"/>
      <c r="AM86" s="127">
        <f>AG86*'1. Standard_Cost'!$B$27+'Incremental_Cost Year 5'!AH86*'1. Standard_Cost'!$C$27+'Incremental_Cost Year 5'!AI86*'1. Standard_Cost'!$D$27+'Incremental_Cost Year 5'!AJ86+'Incremental_Cost Year 5'!AL86+AK86</f>
        <v>0</v>
      </c>
      <c r="AN86" s="127">
        <f>AM86*'1. Standard_Cost'!$C$31</f>
        <v>0</v>
      </c>
      <c r="AO86" s="130"/>
      <c r="AQ86" s="171">
        <f>L86+M86</f>
        <v>741091.68</v>
      </c>
      <c r="AR86" s="171">
        <f>AF86</f>
        <v>122916</v>
      </c>
      <c r="AS86" s="171">
        <f>AM86+AN86</f>
        <v>0</v>
      </c>
      <c r="AT86" s="171">
        <f>SUM(AQ86,AR86,AS86)</f>
        <v>864007.68000000005</v>
      </c>
      <c r="AU86" s="250">
        <v>864008</v>
      </c>
      <c r="AV86" s="250"/>
      <c r="AW86" s="250"/>
      <c r="AX86" s="250"/>
      <c r="AY86" s="250"/>
      <c r="AZ86" s="250"/>
      <c r="BA86" s="250"/>
      <c r="BB86" s="251">
        <f t="shared" ref="BB86:BB87" si="59">SUM(AU86:BA86)-AT86</f>
        <v>0.31999999994877726</v>
      </c>
      <c r="BC86" s="169"/>
      <c r="BD86" s="169"/>
      <c r="BE86" s="169"/>
      <c r="BF86" s="169"/>
    </row>
    <row r="87" spans="1:58" ht="51.6" customHeight="1" outlineLevel="2" x14ac:dyDescent="0.25">
      <c r="A87" s="115"/>
      <c r="B87" s="200"/>
      <c r="C87" s="201"/>
      <c r="D87" s="133"/>
      <c r="E87" s="322"/>
      <c r="F87" s="122"/>
      <c r="G87" s="123"/>
      <c r="H87" s="199" t="s">
        <v>423</v>
      </c>
      <c r="I87" s="130" t="s">
        <v>4</v>
      </c>
      <c r="J87" s="126">
        <v>2</v>
      </c>
      <c r="K87" s="126">
        <v>5</v>
      </c>
      <c r="L87" s="125">
        <f>IF(I87&lt;&gt;0,((VLOOKUP(I87,'1. Standard_Cost'!$B$4:$D$11,2)+VLOOKUP(I87,'1. Standard_Cost'!$B$4:$D$11,3))*J87*K87),"0")</f>
        <v>807500</v>
      </c>
      <c r="M87" s="125">
        <f>L87*'1. Standard_Cost'!$F$4</f>
        <v>134852.5</v>
      </c>
      <c r="N87" s="126"/>
      <c r="O87" s="126"/>
      <c r="P87" s="126"/>
      <c r="Q87" s="126"/>
      <c r="R87" s="127">
        <f>'1. Standard_Cost'!$B$15*N87*P87</f>
        <v>0</v>
      </c>
      <c r="S87" s="127">
        <f>N87*O87*P87*'1. Standard_Cost'!$C$15</f>
        <v>0</v>
      </c>
      <c r="T87" s="127">
        <f>N87*P87*Q87*'1. Standard_Cost'!$D$15</f>
        <v>0</v>
      </c>
      <c r="U87" s="127">
        <f>N87*O87*'1. Standard_Cost'!$E$15</f>
        <v>0</v>
      </c>
      <c r="V87" s="126"/>
      <c r="W87" s="126"/>
      <c r="X87" s="126"/>
      <c r="Y87" s="127">
        <f>+V87*((X87*'1. Standard_Cost'!$B$19)+(W87*X87*'1. Standard_Cost'!$C$19))</f>
        <v>0</v>
      </c>
      <c r="Z87" s="126"/>
      <c r="AA87" s="126">
        <v>100</v>
      </c>
      <c r="AB87" s="127">
        <f>+Z87*'1. Standard_Cost'!$B$23+AA87*'1. Standard_Cost'!$C$23</f>
        <v>1900000</v>
      </c>
      <c r="AC87" s="128">
        <v>942353</v>
      </c>
      <c r="AD87" s="129"/>
      <c r="AE87" s="127">
        <f>SUM(AD87,AC87,AB87,Y87,U87,T87,S87,R87)*'1. Standard_Cost'!$B$31</f>
        <v>568470.6</v>
      </c>
      <c r="AF87" s="127">
        <f>SUM(AE87,AD87,AC87,AB87,Y87,U87,T87,S87,R87)</f>
        <v>3410823.6</v>
      </c>
      <c r="AG87" s="126"/>
      <c r="AH87" s="126"/>
      <c r="AI87" s="126"/>
      <c r="AJ87" s="130"/>
      <c r="AK87" s="130"/>
      <c r="AL87" s="130"/>
      <c r="AM87" s="127">
        <f>AG87*'1. Standard_Cost'!$B$27+'Incremental_Cost Year 5'!AH87*'1. Standard_Cost'!$C$27+'Incremental_Cost Year 5'!AI87*'1. Standard_Cost'!$D$27+'Incremental_Cost Year 5'!AJ87+'Incremental_Cost Year 5'!AL87+AK87</f>
        <v>0</v>
      </c>
      <c r="AN87" s="127">
        <f>AM87*'1. Standard_Cost'!$C$31</f>
        <v>0</v>
      </c>
      <c r="AO87" s="130"/>
      <c r="AQ87" s="171">
        <f>L87+M87</f>
        <v>942352.5</v>
      </c>
      <c r="AR87" s="171">
        <f>AF87</f>
        <v>3410823.6</v>
      </c>
      <c r="AS87" s="171">
        <f>AM87+AN87</f>
        <v>0</v>
      </c>
      <c r="AT87" s="171">
        <f>SUM(AQ87,AR87,AS87)</f>
        <v>4353176.0999999996</v>
      </c>
      <c r="AU87" s="250">
        <v>1693176</v>
      </c>
      <c r="AV87" s="250"/>
      <c r="AW87" s="250"/>
      <c r="AX87" s="250"/>
      <c r="AY87" s="250"/>
      <c r="AZ87" s="250"/>
      <c r="BA87" s="250"/>
      <c r="BB87" s="251">
        <f t="shared" si="59"/>
        <v>-2660000.0999999996</v>
      </c>
      <c r="BC87" s="169"/>
      <c r="BD87" s="169"/>
      <c r="BE87" s="169"/>
      <c r="BF87" s="169"/>
    </row>
    <row r="88" spans="1:58" ht="51.6" customHeight="1" outlineLevel="1" x14ac:dyDescent="0.25">
      <c r="A88" s="115"/>
      <c r="B88" s="165"/>
      <c r="C88" s="166"/>
      <c r="D88" s="212" t="s">
        <v>240</v>
      </c>
      <c r="E88" s="212" t="s">
        <v>269</v>
      </c>
      <c r="F88" s="117">
        <v>2024</v>
      </c>
      <c r="G88" s="117">
        <v>2030</v>
      </c>
      <c r="H88" s="110" t="s">
        <v>270</v>
      </c>
      <c r="I88" s="252"/>
      <c r="J88" s="252"/>
      <c r="K88" s="252"/>
      <c r="L88" s="127">
        <f>SUM(L86:L87)</f>
        <v>1442540</v>
      </c>
      <c r="M88" s="127">
        <f>SUM(M86:M87)</f>
        <v>240904.18</v>
      </c>
      <c r="N88" s="252"/>
      <c r="O88" s="252"/>
      <c r="P88" s="252"/>
      <c r="Q88" s="252"/>
      <c r="R88" s="127">
        <f>SUM(R86:R87)</f>
        <v>0</v>
      </c>
      <c r="S88" s="127">
        <f>SUM(S86:S87)</f>
        <v>0</v>
      </c>
      <c r="T88" s="127">
        <f>SUM(T86:T87)</f>
        <v>0</v>
      </c>
      <c r="U88" s="127">
        <f>SUM(U86:U87)</f>
        <v>0</v>
      </c>
      <c r="V88" s="252"/>
      <c r="W88" s="252"/>
      <c r="X88" s="252"/>
      <c r="Y88" s="127">
        <f>SUM(Y86:Y87)</f>
        <v>0</v>
      </c>
      <c r="Z88" s="252"/>
      <c r="AA88" s="252"/>
      <c r="AB88" s="127">
        <f>SUM(AB86:AB87)</f>
        <v>1900000</v>
      </c>
      <c r="AC88" s="127">
        <f>SUM(AC86:AC87)</f>
        <v>1044783</v>
      </c>
      <c r="AD88" s="127">
        <f>SUM(AD86:AD87)</f>
        <v>0</v>
      </c>
      <c r="AE88" s="127">
        <f>SUM(AE86:AE87)</f>
        <v>588956.6</v>
      </c>
      <c r="AF88" s="127">
        <f>SUM(AF86:AF87)</f>
        <v>3533739.6</v>
      </c>
      <c r="AG88" s="252"/>
      <c r="AH88" s="252"/>
      <c r="AI88" s="252"/>
      <c r="AJ88" s="127">
        <f>SUM(AJ86:AJ87)</f>
        <v>0</v>
      </c>
      <c r="AK88" s="127">
        <f>SUM(AK86:AK87)</f>
        <v>0</v>
      </c>
      <c r="AL88" s="127">
        <f>SUM(AL86:AL87)</f>
        <v>0</v>
      </c>
      <c r="AM88" s="127">
        <f>SUM(AM86:AM87)</f>
        <v>0</v>
      </c>
      <c r="AN88" s="127">
        <f>SUM(AN86:AN87)</f>
        <v>0</v>
      </c>
      <c r="AO88" s="253"/>
      <c r="AP88" s="254"/>
      <c r="AQ88" s="175">
        <f>SUM(AQ86:AQ87)</f>
        <v>1683444.1800000002</v>
      </c>
      <c r="AR88" s="175">
        <f>SUM(AR86:AR87)</f>
        <v>3533739.6</v>
      </c>
      <c r="AS88" s="175">
        <f>SUM(AS86:AS87)</f>
        <v>0</v>
      </c>
      <c r="AT88" s="175">
        <f>SUM(AT86:AT87)</f>
        <v>5217183.7799999993</v>
      </c>
      <c r="AU88" s="175">
        <f t="shared" ref="AU88:BB88" si="60">SUM(AU86:AU87)</f>
        <v>2557184</v>
      </c>
      <c r="AV88" s="175">
        <f t="shared" si="60"/>
        <v>0</v>
      </c>
      <c r="AW88" s="175">
        <f t="shared" si="60"/>
        <v>0</v>
      </c>
      <c r="AX88" s="175">
        <f t="shared" si="60"/>
        <v>0</v>
      </c>
      <c r="AY88" s="175">
        <f t="shared" si="60"/>
        <v>0</v>
      </c>
      <c r="AZ88" s="175">
        <f t="shared" si="60"/>
        <v>0</v>
      </c>
      <c r="BA88" s="175">
        <f t="shared" si="60"/>
        <v>0</v>
      </c>
      <c r="BB88" s="175">
        <f t="shared" si="60"/>
        <v>-2659999.7799999998</v>
      </c>
      <c r="BC88" s="169"/>
      <c r="BD88" s="169"/>
      <c r="BE88" s="169"/>
      <c r="BF88" s="169"/>
    </row>
    <row r="89" spans="1:58" ht="51.6" customHeight="1" outlineLevel="2" x14ac:dyDescent="0.25">
      <c r="A89" s="115"/>
      <c r="B89" s="200"/>
      <c r="C89" s="201"/>
      <c r="D89" s="346"/>
      <c r="E89" s="321"/>
      <c r="F89" s="306"/>
      <c r="G89" s="307"/>
      <c r="H89" s="199" t="s">
        <v>424</v>
      </c>
      <c r="I89" s="130" t="s">
        <v>2</v>
      </c>
      <c r="J89" s="126">
        <v>12</v>
      </c>
      <c r="K89" s="126">
        <v>2</v>
      </c>
      <c r="L89" s="125">
        <f>IF(I89&lt;&gt;0,((VLOOKUP(I89,'1. Standard_Cost'!$B$4:$D$11,2)+VLOOKUP(I89,'1. Standard_Cost'!$B$4:$D$11,3))*J89*K89),"0")</f>
        <v>2904000</v>
      </c>
      <c r="M89" s="125">
        <f>L89*'1. Standard_Cost'!$F$4</f>
        <v>484968</v>
      </c>
      <c r="N89" s="126"/>
      <c r="O89" s="126"/>
      <c r="P89" s="126"/>
      <c r="Q89" s="126"/>
      <c r="R89" s="127">
        <f>'1. Standard_Cost'!$B$15*N89*P89</f>
        <v>0</v>
      </c>
      <c r="S89" s="127">
        <f>N89*O89*P89*'1. Standard_Cost'!$C$15</f>
        <v>0</v>
      </c>
      <c r="T89" s="127">
        <f>N89*P89*Q89*'1. Standard_Cost'!$D$15</f>
        <v>0</v>
      </c>
      <c r="U89" s="127">
        <f>N89*O89*'1. Standard_Cost'!$E$15</f>
        <v>0</v>
      </c>
      <c r="V89" s="126"/>
      <c r="W89" s="126"/>
      <c r="X89" s="126"/>
      <c r="Y89" s="127">
        <f>+V89*((X89*'1. Standard_Cost'!$B$19)+(W89*X89*'1. Standard_Cost'!$C$19))</f>
        <v>0</v>
      </c>
      <c r="Z89" s="126"/>
      <c r="AA89" s="126"/>
      <c r="AB89" s="127">
        <f>+Z89*'1. Standard_Cost'!$B$23+AA89*'1. Standard_Cost'!$C$23</f>
        <v>0</v>
      </c>
      <c r="AC89" s="128">
        <v>406676</v>
      </c>
      <c r="AD89" s="129"/>
      <c r="AE89" s="127">
        <f>SUM(AD89,AC89,AB89,Y89,U89,T89,S89,R89)*'1. Standard_Cost'!$B$31</f>
        <v>81335.200000000012</v>
      </c>
      <c r="AF89" s="127">
        <f>SUM(AE89,AD89,AC89,AB89,Y89,U89,T89,S89,R89)</f>
        <v>488011.2</v>
      </c>
      <c r="AG89" s="126"/>
      <c r="AH89" s="126"/>
      <c r="AI89" s="126"/>
      <c r="AJ89" s="130"/>
      <c r="AK89" s="130"/>
      <c r="AL89" s="130"/>
      <c r="AM89" s="127">
        <f>AG89*'1. Standard_Cost'!$B$27+'Incremental_Cost Year 5'!AH89*'1. Standard_Cost'!$C$27+'Incremental_Cost Year 5'!AI89*'1. Standard_Cost'!$D$27+'Incremental_Cost Year 5'!AJ89+'Incremental_Cost Year 5'!AL89+AK89</f>
        <v>0</v>
      </c>
      <c r="AN89" s="127">
        <f>AM89*'1. Standard_Cost'!$C$31</f>
        <v>0</v>
      </c>
      <c r="AO89" s="130"/>
      <c r="AQ89" s="171">
        <f>L89+M89</f>
        <v>3388968</v>
      </c>
      <c r="AR89" s="171">
        <f>AF89</f>
        <v>488011.2</v>
      </c>
      <c r="AS89" s="171">
        <f>AM89+AN89</f>
        <v>0</v>
      </c>
      <c r="AT89" s="171">
        <f>SUM(AQ89,AR89,AS89)</f>
        <v>3876979.2</v>
      </c>
      <c r="AU89" s="250">
        <v>3876979</v>
      </c>
      <c r="AV89" s="250"/>
      <c r="AW89" s="250"/>
      <c r="AX89" s="250"/>
      <c r="AY89" s="250"/>
      <c r="AZ89" s="250"/>
      <c r="BA89" s="250"/>
      <c r="BB89" s="251">
        <f t="shared" ref="BB89:BB91" si="61">SUM(AU89:BA89)-AT89</f>
        <v>-0.20000000018626451</v>
      </c>
      <c r="BC89" s="169"/>
      <c r="BD89" s="169"/>
      <c r="BE89" s="169"/>
      <c r="BF89" s="169"/>
    </row>
    <row r="90" spans="1:58" ht="51.6" customHeight="1" outlineLevel="2" x14ac:dyDescent="0.25">
      <c r="A90" s="115"/>
      <c r="B90" s="200"/>
      <c r="C90" s="201"/>
      <c r="D90" s="203"/>
      <c r="E90" s="323"/>
      <c r="F90" s="308"/>
      <c r="G90" s="309"/>
      <c r="H90" s="199" t="s">
        <v>425</v>
      </c>
      <c r="I90" s="130" t="s">
        <v>2</v>
      </c>
      <c r="J90" s="126">
        <v>12</v>
      </c>
      <c r="K90" s="126">
        <v>1</v>
      </c>
      <c r="L90" s="125">
        <f>IF(I90&lt;&gt;0,((VLOOKUP(I90,'1. Standard_Cost'!$B$4:$D$11,2)+VLOOKUP(I90,'1. Standard_Cost'!$B$4:$D$11,3))*J90*K90),"0")</f>
        <v>1452000</v>
      </c>
      <c r="M90" s="125">
        <f>L90*'1. Standard_Cost'!$F$4</f>
        <v>242484</v>
      </c>
      <c r="N90" s="126"/>
      <c r="O90" s="126"/>
      <c r="P90" s="126"/>
      <c r="Q90" s="126"/>
      <c r="R90" s="127">
        <f>'1. Standard_Cost'!$B$15*N90*P90</f>
        <v>0</v>
      </c>
      <c r="S90" s="127">
        <f>N90*O90*P90*'1. Standard_Cost'!$C$15</f>
        <v>0</v>
      </c>
      <c r="T90" s="127">
        <f>N90*P90*Q90*'1. Standard_Cost'!$D$15</f>
        <v>0</v>
      </c>
      <c r="U90" s="127">
        <f>N90*O90*'1. Standard_Cost'!$E$15</f>
        <v>0</v>
      </c>
      <c r="V90" s="126"/>
      <c r="W90" s="126"/>
      <c r="X90" s="126"/>
      <c r="Y90" s="127">
        <f>+V90*((X90*'1. Standard_Cost'!$B$19)+(W90*X90*'1. Standard_Cost'!$C$19))</f>
        <v>0</v>
      </c>
      <c r="Z90" s="126"/>
      <c r="AA90" s="126">
        <v>25</v>
      </c>
      <c r="AB90" s="127">
        <f>+Z90*'1. Standard_Cost'!$B$23+AA90*'1. Standard_Cost'!$C$23</f>
        <v>475000</v>
      </c>
      <c r="AC90" s="128">
        <v>203240</v>
      </c>
      <c r="AD90" s="129"/>
      <c r="AE90" s="127">
        <f>SUM(AD90,AC90,AB90,Y90,U90,T90,S90,R90)*'1. Standard_Cost'!$B$31</f>
        <v>135648</v>
      </c>
      <c r="AF90" s="127">
        <f>SUM(AE90,AD90,AC90,AB90,Y90,U90,T90,S90,R90)</f>
        <v>813888</v>
      </c>
      <c r="AG90" s="126"/>
      <c r="AH90" s="126"/>
      <c r="AI90" s="126"/>
      <c r="AJ90" s="130"/>
      <c r="AK90" s="130"/>
      <c r="AL90" s="130"/>
      <c r="AM90" s="127">
        <f>AG90*'1. Standard_Cost'!$B$27+'Incremental_Cost Year 5'!AH90*'1. Standard_Cost'!$C$27+'Incremental_Cost Year 5'!AI90*'1. Standard_Cost'!$D$27+'Incremental_Cost Year 5'!AJ90+'Incremental_Cost Year 5'!AL90+AK90</f>
        <v>0</v>
      </c>
      <c r="AN90" s="127">
        <f>AM90*'1. Standard_Cost'!$C$31</f>
        <v>0</v>
      </c>
      <c r="AO90" s="130"/>
      <c r="AQ90" s="171">
        <f>L90+M90</f>
        <v>1694484</v>
      </c>
      <c r="AR90" s="171">
        <f>AF90</f>
        <v>813888</v>
      </c>
      <c r="AS90" s="171">
        <f>AM90+AN90</f>
        <v>0</v>
      </c>
      <c r="AT90" s="171">
        <f>SUM(AQ90,AR90,AS90)</f>
        <v>2508372</v>
      </c>
      <c r="AU90" s="250">
        <v>1938372</v>
      </c>
      <c r="AV90" s="250"/>
      <c r="AW90" s="250"/>
      <c r="AX90" s="250"/>
      <c r="AY90" s="250"/>
      <c r="AZ90" s="250"/>
      <c r="BA90" s="250"/>
      <c r="BB90" s="251">
        <f t="shared" si="61"/>
        <v>-570000</v>
      </c>
      <c r="BC90" s="169"/>
      <c r="BD90" s="169"/>
      <c r="BE90" s="169"/>
      <c r="BF90" s="169"/>
    </row>
    <row r="91" spans="1:58" ht="51.6" customHeight="1" outlineLevel="2" x14ac:dyDescent="0.25">
      <c r="A91" s="115"/>
      <c r="B91" s="200"/>
      <c r="C91" s="201"/>
      <c r="D91" s="133"/>
      <c r="E91" s="322"/>
      <c r="F91" s="324"/>
      <c r="G91" s="325"/>
      <c r="H91" s="109" t="s">
        <v>426</v>
      </c>
      <c r="I91" s="130" t="s">
        <v>3</v>
      </c>
      <c r="J91" s="126">
        <v>3</v>
      </c>
      <c r="K91" s="126">
        <v>3</v>
      </c>
      <c r="L91" s="125">
        <f>IF(I91&lt;&gt;0,((VLOOKUP(I91,'1. Standard_Cost'!$B$4:$D$11,2)+VLOOKUP(I91,'1. Standard_Cost'!$B$4:$D$11,3))*J91*K91),"0")</f>
        <v>907200</v>
      </c>
      <c r="M91" s="125">
        <f>L91*'1. Standard_Cost'!$F$4</f>
        <v>151502.39999999999</v>
      </c>
      <c r="N91" s="126"/>
      <c r="O91" s="126"/>
      <c r="P91" s="126"/>
      <c r="Q91" s="126"/>
      <c r="R91" s="127">
        <f>'1. Standard_Cost'!$B$15*N91*P91</f>
        <v>0</v>
      </c>
      <c r="S91" s="127">
        <f>N91*O91*P91*'1. Standard_Cost'!$C$15</f>
        <v>0</v>
      </c>
      <c r="T91" s="127">
        <f>N91*P91*Q91*'1. Standard_Cost'!$D$15</f>
        <v>0</v>
      </c>
      <c r="U91" s="127">
        <f>N91*O91*'1. Standard_Cost'!$E$15</f>
        <v>0</v>
      </c>
      <c r="V91" s="126">
        <v>1</v>
      </c>
      <c r="W91" s="126">
        <v>5</v>
      </c>
      <c r="X91" s="126">
        <v>3</v>
      </c>
      <c r="Y91" s="127">
        <f>+V91*((X91*'1. Standard_Cost'!$B$19)+(W91*X91*'1. Standard_Cost'!$C$19))</f>
        <v>255000</v>
      </c>
      <c r="Z91" s="126"/>
      <c r="AA91" s="126"/>
      <c r="AB91" s="127">
        <f>+Z91*'1. Standard_Cost'!$B$23+AA91*'1. Standard_Cost'!$C$23</f>
        <v>0</v>
      </c>
      <c r="AC91" s="128">
        <v>127045</v>
      </c>
      <c r="AD91" s="129"/>
      <c r="AE91" s="127">
        <f>SUM(AD91,AC91,AB91,Y91,U91,T91,S91,R91)*'1. Standard_Cost'!$B$31</f>
        <v>76409</v>
      </c>
      <c r="AF91" s="127">
        <f>SUM(AE91,AD91,AC91,AB91,Y91,U91,T91,S91,R91)</f>
        <v>458454</v>
      </c>
      <c r="AG91" s="126"/>
      <c r="AH91" s="126"/>
      <c r="AI91" s="126"/>
      <c r="AJ91" s="130"/>
      <c r="AK91" s="130"/>
      <c r="AL91" s="130"/>
      <c r="AM91" s="127">
        <f>AG91*'1. Standard_Cost'!$B$27+'Incremental_Cost Year 5'!AH91*'1. Standard_Cost'!$C$27+'Incremental_Cost Year 5'!AI91*'1. Standard_Cost'!$D$27+'Incremental_Cost Year 5'!AJ91+'Incremental_Cost Year 5'!AL91+AK91</f>
        <v>0</v>
      </c>
      <c r="AN91" s="127">
        <f>AM91*'1. Standard_Cost'!$C$31</f>
        <v>0</v>
      </c>
      <c r="AO91" s="130"/>
      <c r="AQ91" s="171">
        <f>L91+M91</f>
        <v>1058702.3999999999</v>
      </c>
      <c r="AR91" s="171">
        <f>AF91</f>
        <v>458454</v>
      </c>
      <c r="AS91" s="171">
        <f>AM91+AN91</f>
        <v>0</v>
      </c>
      <c r="AT91" s="171">
        <f>SUM(AQ91,AR91,AS91)</f>
        <v>1517156.4</v>
      </c>
      <c r="AU91" s="250">
        <v>1517156</v>
      </c>
      <c r="AV91" s="250"/>
      <c r="AW91" s="250"/>
      <c r="AX91" s="250"/>
      <c r="AY91" s="250"/>
      <c r="AZ91" s="250"/>
      <c r="BA91" s="250"/>
      <c r="BB91" s="251">
        <f t="shared" si="61"/>
        <v>-0.39999999990686774</v>
      </c>
      <c r="BC91" s="169"/>
      <c r="BD91" s="169"/>
      <c r="BE91" s="169"/>
      <c r="BF91" s="169"/>
    </row>
    <row r="92" spans="1:58" ht="51.6" customHeight="1" outlineLevel="1" x14ac:dyDescent="0.25">
      <c r="A92" s="115"/>
      <c r="B92" s="165"/>
      <c r="C92" s="166"/>
      <c r="D92" s="150" t="s">
        <v>240</v>
      </c>
      <c r="E92" s="212" t="s">
        <v>271</v>
      </c>
      <c r="F92" s="104">
        <v>2021</v>
      </c>
      <c r="G92" s="104">
        <v>2030</v>
      </c>
      <c r="H92" s="110" t="s">
        <v>272</v>
      </c>
      <c r="I92" s="252"/>
      <c r="J92" s="252"/>
      <c r="K92" s="252"/>
      <c r="L92" s="127">
        <f>SUM(L89:L91)</f>
        <v>5263200</v>
      </c>
      <c r="M92" s="127">
        <f>SUM(M89:M91)</f>
        <v>878954.4</v>
      </c>
      <c r="N92" s="252"/>
      <c r="O92" s="252"/>
      <c r="P92" s="252"/>
      <c r="Q92" s="252"/>
      <c r="R92" s="127">
        <f>SUM(R89:R91)</f>
        <v>0</v>
      </c>
      <c r="S92" s="127">
        <f>SUM(S89:S91)</f>
        <v>0</v>
      </c>
      <c r="T92" s="127">
        <f>SUM(T89:T91)</f>
        <v>0</v>
      </c>
      <c r="U92" s="127">
        <f>SUM(U89:U91)</f>
        <v>0</v>
      </c>
      <c r="V92" s="252"/>
      <c r="W92" s="252"/>
      <c r="X92" s="252"/>
      <c r="Y92" s="127">
        <f>SUM(Y89:Y91)</f>
        <v>255000</v>
      </c>
      <c r="Z92" s="252"/>
      <c r="AA92" s="252"/>
      <c r="AB92" s="127">
        <f>SUM(AB89:AB91)</f>
        <v>475000</v>
      </c>
      <c r="AC92" s="127">
        <f>SUM(AC89:AC91)</f>
        <v>736961</v>
      </c>
      <c r="AD92" s="127">
        <f>SUM(AD89:AD91)</f>
        <v>0</v>
      </c>
      <c r="AE92" s="127">
        <f>SUM(AE89:AE91)</f>
        <v>293392.2</v>
      </c>
      <c r="AF92" s="127">
        <f>SUM(AF89:AF91)</f>
        <v>1760353.2</v>
      </c>
      <c r="AG92" s="252"/>
      <c r="AH92" s="252"/>
      <c r="AI92" s="252"/>
      <c r="AJ92" s="127">
        <f>SUM(AJ89:AJ91)</f>
        <v>0</v>
      </c>
      <c r="AK92" s="127">
        <f>SUM(AK89:AK91)</f>
        <v>0</v>
      </c>
      <c r="AL92" s="127">
        <f>SUM(AL89:AL91)</f>
        <v>0</v>
      </c>
      <c r="AM92" s="127">
        <f>SUM(AM89:AM91)</f>
        <v>0</v>
      </c>
      <c r="AN92" s="127">
        <f>SUM(AN89:AN91)</f>
        <v>0</v>
      </c>
      <c r="AO92" s="253"/>
      <c r="AP92" s="254"/>
      <c r="AQ92" s="175">
        <f>SUM(AQ89:AQ91)</f>
        <v>6142154.4000000004</v>
      </c>
      <c r="AR92" s="175">
        <f>SUM(AR89:AR91)</f>
        <v>1760353.2</v>
      </c>
      <c r="AS92" s="175">
        <f>SUM(AS89:AS91)</f>
        <v>0</v>
      </c>
      <c r="AT92" s="175">
        <f>SUM(AT89:AT91)</f>
        <v>7902507.5999999996</v>
      </c>
      <c r="AU92" s="175">
        <f t="shared" ref="AU92:BB92" si="62">SUM(AU89:AU91)</f>
        <v>7332507</v>
      </c>
      <c r="AV92" s="175">
        <f t="shared" si="62"/>
        <v>0</v>
      </c>
      <c r="AW92" s="175">
        <f t="shared" si="62"/>
        <v>0</v>
      </c>
      <c r="AX92" s="175">
        <f t="shared" si="62"/>
        <v>0</v>
      </c>
      <c r="AY92" s="175">
        <f t="shared" si="62"/>
        <v>0</v>
      </c>
      <c r="AZ92" s="175">
        <f t="shared" si="62"/>
        <v>0</v>
      </c>
      <c r="BA92" s="175">
        <f t="shared" si="62"/>
        <v>0</v>
      </c>
      <c r="BB92" s="175">
        <f t="shared" si="62"/>
        <v>-570000.60000000009</v>
      </c>
      <c r="BC92" s="169"/>
      <c r="BD92" s="169"/>
      <c r="BE92" s="169"/>
      <c r="BF92" s="169"/>
    </row>
    <row r="93" spans="1:58" s="184" customFormat="1" ht="51.6" customHeight="1" x14ac:dyDescent="0.25">
      <c r="A93" s="143"/>
      <c r="B93" s="290"/>
      <c r="C93" s="391" t="s">
        <v>537</v>
      </c>
      <c r="D93" s="391"/>
      <c r="E93" s="392"/>
      <c r="F93" s="291"/>
      <c r="G93" s="291"/>
      <c r="H93" s="144" t="s">
        <v>165</v>
      </c>
      <c r="I93" s="257"/>
      <c r="J93" s="257"/>
      <c r="K93" s="257"/>
      <c r="L93" s="258">
        <f>SUM(L99)</f>
        <v>1850850</v>
      </c>
      <c r="M93" s="258">
        <f>SUM(M99)</f>
        <v>309091.95</v>
      </c>
      <c r="N93" s="257"/>
      <c r="O93" s="257"/>
      <c r="P93" s="257"/>
      <c r="Q93" s="257"/>
      <c r="R93" s="258">
        <f>SUM(R99)</f>
        <v>0</v>
      </c>
      <c r="S93" s="258">
        <f>SUM(S99)</f>
        <v>0</v>
      </c>
      <c r="T93" s="258">
        <f>SUM(T99)</f>
        <v>0</v>
      </c>
      <c r="U93" s="258">
        <f>SUM(U99)</f>
        <v>0</v>
      </c>
      <c r="V93" s="257"/>
      <c r="W93" s="257"/>
      <c r="X93" s="257"/>
      <c r="Y93" s="258">
        <f>SUM(Y99)</f>
        <v>0</v>
      </c>
      <c r="Z93" s="257"/>
      <c r="AA93" s="257"/>
      <c r="AB93" s="258">
        <f>SUM(AB99)</f>
        <v>0</v>
      </c>
      <c r="AC93" s="258">
        <f>SUM(AC99)</f>
        <v>302282</v>
      </c>
      <c r="AD93" s="258">
        <f>SUM(AD99)</f>
        <v>0</v>
      </c>
      <c r="AE93" s="258">
        <f>SUM(AE99)</f>
        <v>54456.4</v>
      </c>
      <c r="AF93" s="258">
        <f>SUM(AF99)</f>
        <v>356738.4</v>
      </c>
      <c r="AG93" s="257"/>
      <c r="AH93" s="257"/>
      <c r="AI93" s="257"/>
      <c r="AJ93" s="258">
        <f>SUM(AJ99)</f>
        <v>0</v>
      </c>
      <c r="AK93" s="258">
        <f>SUM(AK99)</f>
        <v>0</v>
      </c>
      <c r="AL93" s="258">
        <f>SUM(AL99)</f>
        <v>0</v>
      </c>
      <c r="AM93" s="258">
        <f>SUM(AM99)</f>
        <v>0</v>
      </c>
      <c r="AN93" s="258">
        <f>SUM(AN99)</f>
        <v>0</v>
      </c>
      <c r="AO93" s="259"/>
      <c r="AP93" s="260"/>
      <c r="AQ93" s="261">
        <f>SUM(AQ99)</f>
        <v>2159941.9500000002</v>
      </c>
      <c r="AR93" s="261">
        <f>SUM(AR99)</f>
        <v>356738.4</v>
      </c>
      <c r="AS93" s="261">
        <f>SUM(AS99)</f>
        <v>0</v>
      </c>
      <c r="AT93" s="261">
        <f>SUM(AT99)</f>
        <v>2516680.35</v>
      </c>
      <c r="AU93" s="261">
        <f t="shared" ref="AU93:BA93" si="63">SUM(AU99)</f>
        <v>2486680</v>
      </c>
      <c r="AV93" s="261">
        <f t="shared" si="63"/>
        <v>0</v>
      </c>
      <c r="AW93" s="261">
        <f t="shared" si="63"/>
        <v>0</v>
      </c>
      <c r="AX93" s="261">
        <f t="shared" si="63"/>
        <v>0</v>
      </c>
      <c r="AY93" s="261">
        <f t="shared" si="63"/>
        <v>0</v>
      </c>
      <c r="AZ93" s="261">
        <f t="shared" si="63"/>
        <v>0</v>
      </c>
      <c r="BA93" s="261">
        <f t="shared" si="63"/>
        <v>0</v>
      </c>
      <c r="BB93" s="261">
        <f>SUM(BB99)</f>
        <v>-30000.350000000093</v>
      </c>
    </row>
    <row r="94" spans="1:58" ht="51.6" customHeight="1" outlineLevel="2" x14ac:dyDescent="0.25">
      <c r="A94" s="115"/>
      <c r="B94" s="200"/>
      <c r="C94" s="201"/>
      <c r="D94" s="346"/>
      <c r="E94" s="321"/>
      <c r="F94" s="306"/>
      <c r="G94" s="307"/>
      <c r="H94" s="109" t="s">
        <v>427</v>
      </c>
      <c r="I94" s="130"/>
      <c r="J94" s="126"/>
      <c r="K94" s="126"/>
      <c r="L94" s="125" t="str">
        <f>IF(I94&lt;&gt;0,((VLOOKUP(I94,'1. Standard_Cost'!$B$4:$D$11,2)+VLOOKUP(I94,'1. Standard_Cost'!$B$4:$D$11,3))*J94*K94),"0")</f>
        <v>0</v>
      </c>
      <c r="M94" s="125">
        <f>L94*'1. Standard_Cost'!$F$4</f>
        <v>0</v>
      </c>
      <c r="N94" s="126"/>
      <c r="O94" s="126"/>
      <c r="P94" s="126"/>
      <c r="Q94" s="126"/>
      <c r="R94" s="127">
        <f>'1. Standard_Cost'!$B$15*N94*P94</f>
        <v>0</v>
      </c>
      <c r="S94" s="127">
        <f>N94*O94*P94*'1. Standard_Cost'!$C$15</f>
        <v>0</v>
      </c>
      <c r="T94" s="127">
        <f>N94*P94*Q94*'1. Standard_Cost'!$D$15</f>
        <v>0</v>
      </c>
      <c r="U94" s="127">
        <f>N94*O94*'1. Standard_Cost'!$E$15</f>
        <v>0</v>
      </c>
      <c r="V94" s="126"/>
      <c r="W94" s="126"/>
      <c r="X94" s="126"/>
      <c r="Y94" s="127">
        <f>+V94*((X94*'1. Standard_Cost'!$B$19)+(W94*X94*'1. Standard_Cost'!$C$19))</f>
        <v>0</v>
      </c>
      <c r="Z94" s="126"/>
      <c r="AA94" s="126"/>
      <c r="AB94" s="127">
        <f>+Z94*'1. Standard_Cost'!$B$23+AA94*'1. Standard_Cost'!$C$23</f>
        <v>0</v>
      </c>
      <c r="AC94" s="128"/>
      <c r="AD94" s="129"/>
      <c r="AE94" s="127">
        <f>SUM(AD94,AC94,AB94,Y94,U94,T94,S94,R94)*'1. Standard_Cost'!$B$31</f>
        <v>0</v>
      </c>
      <c r="AF94" s="127">
        <f>SUM(AE94,AD94,AC94,AB94,Y94,U94,T94,S94,R94)</f>
        <v>0</v>
      </c>
      <c r="AG94" s="126"/>
      <c r="AH94" s="126"/>
      <c r="AI94" s="126"/>
      <c r="AJ94" s="130"/>
      <c r="AK94" s="130"/>
      <c r="AL94" s="130"/>
      <c r="AM94" s="127">
        <f>AG94*'1. Standard_Cost'!$B$27+'Incremental_Cost Year 5'!AH94*'1. Standard_Cost'!$C$27+'Incremental_Cost Year 5'!AI94*'1. Standard_Cost'!$D$27+'Incremental_Cost Year 5'!AJ94+'Incremental_Cost Year 5'!AL94+AK94</f>
        <v>0</v>
      </c>
      <c r="AN94" s="127">
        <f>AM94*'1. Standard_Cost'!$C$31</f>
        <v>0</v>
      </c>
      <c r="AO94" s="130"/>
      <c r="AQ94" s="171">
        <f>L94+M94</f>
        <v>0</v>
      </c>
      <c r="AR94" s="171">
        <f>AF94</f>
        <v>0</v>
      </c>
      <c r="AS94" s="171">
        <f>AM94+AN94</f>
        <v>0</v>
      </c>
      <c r="AT94" s="171">
        <f>SUM(AQ94,AR94,AS94)</f>
        <v>0</v>
      </c>
      <c r="AU94" s="250"/>
      <c r="AV94" s="250"/>
      <c r="AW94" s="250"/>
      <c r="AX94" s="250"/>
      <c r="AY94" s="250"/>
      <c r="AZ94" s="250"/>
      <c r="BA94" s="250"/>
      <c r="BB94" s="251">
        <f t="shared" ref="BB94:BB98" si="64">SUM(AU94:BA94)-AT94</f>
        <v>0</v>
      </c>
      <c r="BC94" s="169"/>
      <c r="BD94" s="169"/>
      <c r="BE94" s="169"/>
      <c r="BF94" s="169"/>
    </row>
    <row r="95" spans="1:58" ht="51.6" customHeight="1" outlineLevel="2" x14ac:dyDescent="0.25">
      <c r="A95" s="115"/>
      <c r="B95" s="200"/>
      <c r="C95" s="201"/>
      <c r="D95" s="203"/>
      <c r="E95" s="323"/>
      <c r="F95" s="308"/>
      <c r="G95" s="309"/>
      <c r="H95" s="109" t="s">
        <v>428</v>
      </c>
      <c r="I95" s="130" t="s">
        <v>3</v>
      </c>
      <c r="J95" s="126">
        <v>2</v>
      </c>
      <c r="K95" s="126">
        <v>5</v>
      </c>
      <c r="L95" s="125">
        <f>IF(I95&lt;&gt;0,((VLOOKUP(I95,'1. Standard_Cost'!$B$4:$D$11,2)+VLOOKUP(I95,'1. Standard_Cost'!$B$4:$D$11,3))*J95*K95),"0")</f>
        <v>1008000</v>
      </c>
      <c r="M95" s="125">
        <f>L95*'1. Standard_Cost'!$F$4</f>
        <v>168336</v>
      </c>
      <c r="N95" s="126"/>
      <c r="O95" s="126"/>
      <c r="P95" s="126"/>
      <c r="Q95" s="126"/>
      <c r="R95" s="127">
        <f>'1. Standard_Cost'!$B$15*N95*P95</f>
        <v>0</v>
      </c>
      <c r="S95" s="127">
        <f>N95*O95*P95*'1. Standard_Cost'!$C$15</f>
        <v>0</v>
      </c>
      <c r="T95" s="127">
        <f>N95*P95*Q95*'1. Standard_Cost'!$D$15</f>
        <v>0</v>
      </c>
      <c r="U95" s="127">
        <f>N95*O95*'1. Standard_Cost'!$E$15</f>
        <v>0</v>
      </c>
      <c r="V95" s="126"/>
      <c r="W95" s="126"/>
      <c r="X95" s="126"/>
      <c r="Y95" s="127">
        <f>+V95*((X95*'1. Standard_Cost'!$B$19)+(W95*X95*'1. Standard_Cost'!$C$19))</f>
        <v>0</v>
      </c>
      <c r="Z95" s="126"/>
      <c r="AA95" s="126"/>
      <c r="AB95" s="127">
        <f>+Z95*'1. Standard_Cost'!$B$23+AA95*'1. Standard_Cost'!$C$23</f>
        <v>0</v>
      </c>
      <c r="AC95" s="128">
        <v>141200</v>
      </c>
      <c r="AD95" s="129"/>
      <c r="AE95" s="127">
        <f>SUM(AD95,AC95,AB95,Y95,U95,T95,S95,R95)*'1. Standard_Cost'!$B$31</f>
        <v>28240</v>
      </c>
      <c r="AF95" s="127">
        <f>SUM(AE95,AD95,AC95,AB95,Y95,U95,T95,S95,R95)</f>
        <v>169440</v>
      </c>
      <c r="AG95" s="126"/>
      <c r="AH95" s="126"/>
      <c r="AI95" s="126"/>
      <c r="AJ95" s="130"/>
      <c r="AK95" s="130"/>
      <c r="AL95" s="130"/>
      <c r="AM95" s="127">
        <f>AG95*'1. Standard_Cost'!$B$27+'Incremental_Cost Year 5'!AH95*'1. Standard_Cost'!$C$27+'Incremental_Cost Year 5'!AI95*'1. Standard_Cost'!$D$27+'Incremental_Cost Year 5'!AJ95+'Incremental_Cost Year 5'!AL95+AK95</f>
        <v>0</v>
      </c>
      <c r="AN95" s="127">
        <f>AM95*'1. Standard_Cost'!$C$31</f>
        <v>0</v>
      </c>
      <c r="AO95" s="130"/>
      <c r="AQ95" s="171">
        <f>L95+M95</f>
        <v>1176336</v>
      </c>
      <c r="AR95" s="171">
        <f>AF95</f>
        <v>169440</v>
      </c>
      <c r="AS95" s="171">
        <f>AM95+AN95</f>
        <v>0</v>
      </c>
      <c r="AT95" s="171">
        <f>SUM(AQ95,AR95,AS95)</f>
        <v>1345776</v>
      </c>
      <c r="AU95" s="250">
        <v>1345776</v>
      </c>
      <c r="AV95" s="250"/>
      <c r="AW95" s="250"/>
      <c r="AX95" s="250"/>
      <c r="AY95" s="250"/>
      <c r="AZ95" s="250"/>
      <c r="BA95" s="250"/>
      <c r="BB95" s="251">
        <f t="shared" si="64"/>
        <v>0</v>
      </c>
      <c r="BC95" s="169"/>
      <c r="BD95" s="169"/>
      <c r="BE95" s="169"/>
      <c r="BF95" s="169"/>
    </row>
    <row r="96" spans="1:58" ht="51.6" customHeight="1" outlineLevel="2" x14ac:dyDescent="0.25">
      <c r="A96" s="115"/>
      <c r="B96" s="200"/>
      <c r="C96" s="201"/>
      <c r="D96" s="203"/>
      <c r="E96" s="323"/>
      <c r="F96" s="326"/>
      <c r="G96" s="327"/>
      <c r="H96" s="109" t="s">
        <v>429</v>
      </c>
      <c r="I96" s="130"/>
      <c r="J96" s="126"/>
      <c r="K96" s="126"/>
      <c r="L96" s="125" t="str">
        <f>IF(I96&lt;&gt;0,((VLOOKUP(I96,'1. Standard_Cost'!$B$4:$D$11,2)+VLOOKUP(I96,'1. Standard_Cost'!$B$4:$D$11,3))*J96*K96),"0")</f>
        <v>0</v>
      </c>
      <c r="M96" s="125">
        <f>L96*'1. Standard_Cost'!$F$4</f>
        <v>0</v>
      </c>
      <c r="N96" s="126"/>
      <c r="O96" s="126"/>
      <c r="P96" s="126"/>
      <c r="Q96" s="126"/>
      <c r="R96" s="127">
        <f>'1. Standard_Cost'!$B$15*N96*P96</f>
        <v>0</v>
      </c>
      <c r="S96" s="127">
        <f>N96*O96*P96*'1. Standard_Cost'!$C$15</f>
        <v>0</v>
      </c>
      <c r="T96" s="127">
        <f>N96*P96*Q96*'1. Standard_Cost'!$D$15</f>
        <v>0</v>
      </c>
      <c r="U96" s="127">
        <f>N96*O96*'1. Standard_Cost'!$E$15</f>
        <v>0</v>
      </c>
      <c r="V96" s="126"/>
      <c r="W96" s="126"/>
      <c r="X96" s="126"/>
      <c r="Y96" s="127">
        <f>+V96*((X96*'1. Standard_Cost'!$B$19)+(W96*X96*'1. Standard_Cost'!$C$19))</f>
        <v>0</v>
      </c>
      <c r="Z96" s="126"/>
      <c r="AA96" s="126"/>
      <c r="AB96" s="127">
        <f>+Z96*'1. Standard_Cost'!$B$23+AA96*'1. Standard_Cost'!$C$23</f>
        <v>0</v>
      </c>
      <c r="AC96" s="128"/>
      <c r="AD96" s="129"/>
      <c r="AE96" s="127">
        <f>SUM(AD96,AC96,AB96,Y96,U96,T96,S96,R96)*'1. Standard_Cost'!$B$31</f>
        <v>0</v>
      </c>
      <c r="AF96" s="127">
        <f>SUM(AE96,AD96,AC96,AB96,Y96,U96,T96,S96,R96)</f>
        <v>0</v>
      </c>
      <c r="AG96" s="126"/>
      <c r="AH96" s="126"/>
      <c r="AI96" s="126"/>
      <c r="AJ96" s="130"/>
      <c r="AK96" s="130"/>
      <c r="AL96" s="130"/>
      <c r="AM96" s="127">
        <f>AG96*'1. Standard_Cost'!$B$27+'Incremental_Cost Year 5'!AH96*'1. Standard_Cost'!$C$27+'Incremental_Cost Year 5'!AI96*'1. Standard_Cost'!$D$27+'Incremental_Cost Year 5'!AJ96+'Incremental_Cost Year 5'!AL96+AK96</f>
        <v>0</v>
      </c>
      <c r="AN96" s="127">
        <f>AM96*'1. Standard_Cost'!$C$31</f>
        <v>0</v>
      </c>
      <c r="AO96" s="130"/>
      <c r="AQ96" s="171">
        <f>L96+M96</f>
        <v>0</v>
      </c>
      <c r="AR96" s="171">
        <f>AF96</f>
        <v>0</v>
      </c>
      <c r="AS96" s="171">
        <f>AM96+AN96</f>
        <v>0</v>
      </c>
      <c r="AT96" s="171">
        <f>SUM(AQ96,AR96,AS96)</f>
        <v>0</v>
      </c>
      <c r="AU96" s="250"/>
      <c r="AV96" s="250"/>
      <c r="AW96" s="250"/>
      <c r="AX96" s="250"/>
      <c r="AY96" s="250"/>
      <c r="AZ96" s="250"/>
      <c r="BA96" s="250"/>
      <c r="BB96" s="251">
        <f t="shared" si="64"/>
        <v>0</v>
      </c>
      <c r="BC96" s="169"/>
      <c r="BD96" s="169"/>
      <c r="BE96" s="169"/>
      <c r="BF96" s="169"/>
    </row>
    <row r="97" spans="1:58" ht="51.6" customHeight="1" outlineLevel="2" x14ac:dyDescent="0.25">
      <c r="A97" s="115"/>
      <c r="B97" s="200"/>
      <c r="C97" s="201"/>
      <c r="D97" s="203"/>
      <c r="E97" s="323"/>
      <c r="F97" s="308"/>
      <c r="G97" s="309"/>
      <c r="H97" s="225" t="s">
        <v>430</v>
      </c>
      <c r="I97" s="130" t="s">
        <v>4</v>
      </c>
      <c r="J97" s="126">
        <v>2</v>
      </c>
      <c r="K97" s="126">
        <v>5</v>
      </c>
      <c r="L97" s="125">
        <f>IF(I97&lt;&gt;0,((VLOOKUP(I97,'1. Standard_Cost'!$B$4:$D$11,2)+VLOOKUP(I97,'1. Standard_Cost'!$B$4:$D$11,3))*J97*K97),"0")</f>
        <v>807500</v>
      </c>
      <c r="M97" s="125">
        <f>L97*'1. Standard_Cost'!$F$4</f>
        <v>134852.5</v>
      </c>
      <c r="N97" s="126"/>
      <c r="O97" s="126"/>
      <c r="P97" s="126"/>
      <c r="Q97" s="126"/>
      <c r="R97" s="127">
        <f>'1. Standard_Cost'!$B$15*N97*P97</f>
        <v>0</v>
      </c>
      <c r="S97" s="127">
        <f>N97*O97*P97*'1. Standard_Cost'!$C$15</f>
        <v>0</v>
      </c>
      <c r="T97" s="127">
        <f>N97*P97*Q97*'1. Standard_Cost'!$D$15</f>
        <v>0</v>
      </c>
      <c r="U97" s="127">
        <f>N97*O97*'1. Standard_Cost'!$E$15</f>
        <v>0</v>
      </c>
      <c r="V97" s="126"/>
      <c r="W97" s="126"/>
      <c r="X97" s="126"/>
      <c r="Y97" s="127">
        <f>+V97*((X97*'1. Standard_Cost'!$B$19)+(W97*X97*'1. Standard_Cost'!$C$19))</f>
        <v>0</v>
      </c>
      <c r="Z97" s="126"/>
      <c r="AA97" s="126"/>
      <c r="AB97" s="127">
        <f>+Z97*'1. Standard_Cost'!$B$23+AA97*'1. Standard_Cost'!$C$23</f>
        <v>0</v>
      </c>
      <c r="AC97" s="128">
        <v>131082</v>
      </c>
      <c r="AD97" s="129"/>
      <c r="AE97" s="127">
        <f>SUM(AD97,AC97,AB97,Y97,U97,T97,S97,R97)*'1. Standard_Cost'!$B$31</f>
        <v>26216.400000000001</v>
      </c>
      <c r="AF97" s="127">
        <f>SUM(AE97,AD97,AC97,AB97,Y97,U97,T97,S97,R97)</f>
        <v>157298.4</v>
      </c>
      <c r="AG97" s="126"/>
      <c r="AH97" s="126"/>
      <c r="AI97" s="126"/>
      <c r="AJ97" s="130"/>
      <c r="AK97" s="130"/>
      <c r="AL97" s="130"/>
      <c r="AM97" s="127">
        <f>AG97*'1. Standard_Cost'!$B$27+'Incremental_Cost Year 5'!AH97*'1. Standard_Cost'!$C$27+'Incremental_Cost Year 5'!AI97*'1. Standard_Cost'!$D$27+'Incremental_Cost Year 5'!AJ97+'Incremental_Cost Year 5'!AL97+AK97</f>
        <v>0</v>
      </c>
      <c r="AN97" s="127">
        <f>AM97*'1. Standard_Cost'!$C$31</f>
        <v>0</v>
      </c>
      <c r="AO97" s="130"/>
      <c r="AQ97" s="171">
        <f>L97+M97</f>
        <v>942352.5</v>
      </c>
      <c r="AR97" s="171">
        <f>AF97</f>
        <v>157298.4</v>
      </c>
      <c r="AS97" s="171">
        <f>AM97+AN97</f>
        <v>0</v>
      </c>
      <c r="AT97" s="171">
        <f>SUM(AQ97,AR97,AS97)</f>
        <v>1099650.8999999999</v>
      </c>
      <c r="AU97" s="250">
        <v>1099651</v>
      </c>
      <c r="AV97" s="250"/>
      <c r="AW97" s="250"/>
      <c r="AX97" s="250"/>
      <c r="AY97" s="250"/>
      <c r="AZ97" s="250"/>
      <c r="BA97" s="250"/>
      <c r="BB97" s="251">
        <f t="shared" si="64"/>
        <v>0.10000000009313226</v>
      </c>
      <c r="BC97" s="169"/>
      <c r="BD97" s="169"/>
      <c r="BE97" s="169"/>
      <c r="BF97" s="169"/>
    </row>
    <row r="98" spans="1:58" ht="51.6" customHeight="1" outlineLevel="2" x14ac:dyDescent="0.25">
      <c r="A98" s="115"/>
      <c r="B98" s="200"/>
      <c r="C98" s="201"/>
      <c r="D98" s="133"/>
      <c r="E98" s="323"/>
      <c r="F98" s="308"/>
      <c r="G98" s="309"/>
      <c r="H98" s="109" t="s">
        <v>431</v>
      </c>
      <c r="I98" s="130" t="s">
        <v>5</v>
      </c>
      <c r="J98" s="126">
        <v>0.5</v>
      </c>
      <c r="K98" s="126">
        <v>1</v>
      </c>
      <c r="L98" s="125">
        <f>IF(I98&lt;&gt;0,((VLOOKUP(I98,'1. Standard_Cost'!$B$4:$D$11,2)+VLOOKUP(I98,'1. Standard_Cost'!$B$4:$D$11,3))*J98*K98),"0")</f>
        <v>35350</v>
      </c>
      <c r="M98" s="125">
        <f>L98*'1. Standard_Cost'!$F$4</f>
        <v>5903.4500000000007</v>
      </c>
      <c r="N98" s="126"/>
      <c r="O98" s="126"/>
      <c r="P98" s="126"/>
      <c r="Q98" s="126"/>
      <c r="R98" s="127">
        <f>'1. Standard_Cost'!$B$15*N98*P98</f>
        <v>0</v>
      </c>
      <c r="S98" s="127">
        <f>N98*O98*P98*'1. Standard_Cost'!$C$15</f>
        <v>0</v>
      </c>
      <c r="T98" s="127">
        <f>N98*P98*Q98*'1. Standard_Cost'!$D$15</f>
        <v>0</v>
      </c>
      <c r="U98" s="127">
        <f>N98*O98*'1. Standard_Cost'!$E$15</f>
        <v>0</v>
      </c>
      <c r="V98" s="126"/>
      <c r="W98" s="126"/>
      <c r="X98" s="126"/>
      <c r="Y98" s="127">
        <f>+V98*((X98*'1. Standard_Cost'!$B$19)+(W98*X98*'1. Standard_Cost'!$C$19))</f>
        <v>0</v>
      </c>
      <c r="Z98" s="126"/>
      <c r="AA98" s="145"/>
      <c r="AB98" s="127">
        <f>+Z98*'1. Standard_Cost'!$B$23+AA98*'1. Standard_Cost'!$C$23</f>
        <v>0</v>
      </c>
      <c r="AC98" s="128">
        <v>30000</v>
      </c>
      <c r="AD98" s="129"/>
      <c r="AE98" s="127"/>
      <c r="AF98" s="127">
        <f>SUM(AE98,AD98,AC98,AB98,Y98,U98,T98,S98,R98)</f>
        <v>30000</v>
      </c>
      <c r="AG98" s="126"/>
      <c r="AH98" s="126"/>
      <c r="AI98" s="126"/>
      <c r="AJ98" s="130"/>
      <c r="AK98" s="130"/>
      <c r="AL98" s="130"/>
      <c r="AM98" s="127">
        <f>AG98*'1. Standard_Cost'!$B$27+'Incremental_Cost Year 5'!AH98*'1. Standard_Cost'!$C$27+'Incremental_Cost Year 5'!AI98*'1. Standard_Cost'!$D$27+'Incremental_Cost Year 5'!AJ98+'Incremental_Cost Year 5'!AL98+AK98</f>
        <v>0</v>
      </c>
      <c r="AN98" s="127">
        <f>AM98*'1. Standard_Cost'!$C$31</f>
        <v>0</v>
      </c>
      <c r="AO98" s="262"/>
      <c r="AQ98" s="171">
        <f>L98+M98</f>
        <v>41253.449999999997</v>
      </c>
      <c r="AR98" s="171">
        <f>AF98</f>
        <v>30000</v>
      </c>
      <c r="AS98" s="171">
        <f>AM98+AN98</f>
        <v>0</v>
      </c>
      <c r="AT98" s="171">
        <f>SUM(AQ98,AR98,AS98)</f>
        <v>71253.45</v>
      </c>
      <c r="AU98" s="250">
        <v>41253</v>
      </c>
      <c r="AV98" s="250"/>
      <c r="AW98" s="250"/>
      <c r="AX98" s="250"/>
      <c r="AY98" s="250"/>
      <c r="AZ98" s="250"/>
      <c r="BA98" s="250"/>
      <c r="BB98" s="251">
        <f t="shared" si="64"/>
        <v>-30000.449999999997</v>
      </c>
      <c r="BC98" s="169"/>
      <c r="BD98" s="169"/>
      <c r="BE98" s="169"/>
      <c r="BF98" s="169"/>
    </row>
    <row r="99" spans="1:58" ht="51.6" customHeight="1" outlineLevel="1" x14ac:dyDescent="0.25">
      <c r="A99" s="115"/>
      <c r="B99" s="165"/>
      <c r="C99" s="166"/>
      <c r="D99" s="212" t="s">
        <v>432</v>
      </c>
      <c r="E99" s="212" t="s">
        <v>274</v>
      </c>
      <c r="F99" s="136">
        <v>2022</v>
      </c>
      <c r="G99" s="117">
        <v>2030</v>
      </c>
      <c r="H99" s="110" t="s">
        <v>164</v>
      </c>
      <c r="I99" s="252"/>
      <c r="J99" s="252"/>
      <c r="K99" s="252"/>
      <c r="L99" s="127">
        <f>SUM(L94:L98)</f>
        <v>1850850</v>
      </c>
      <c r="M99" s="127">
        <f>SUM(M94:M98)</f>
        <v>309091.95</v>
      </c>
      <c r="N99" s="252"/>
      <c r="O99" s="252"/>
      <c r="P99" s="252"/>
      <c r="Q99" s="252"/>
      <c r="R99" s="127">
        <f>SUM(R94:R98)</f>
        <v>0</v>
      </c>
      <c r="S99" s="127">
        <f>SUM(S94:S98)</f>
        <v>0</v>
      </c>
      <c r="T99" s="127">
        <f>SUM(T94:T98)</f>
        <v>0</v>
      </c>
      <c r="U99" s="127">
        <f>SUM(U94:U98)</f>
        <v>0</v>
      </c>
      <c r="V99" s="252"/>
      <c r="W99" s="252"/>
      <c r="X99" s="252"/>
      <c r="Y99" s="127">
        <f>SUM(Y94:Y98)</f>
        <v>0</v>
      </c>
      <c r="Z99" s="127"/>
      <c r="AA99" s="252"/>
      <c r="AB99" s="127">
        <f>SUM(AB94:AB98)</f>
        <v>0</v>
      </c>
      <c r="AC99" s="127">
        <f>SUM(AC94:AC98)</f>
        <v>302282</v>
      </c>
      <c r="AD99" s="127">
        <f>SUM(AD94:AD98)</f>
        <v>0</v>
      </c>
      <c r="AE99" s="127">
        <f>SUM(AE94:AE98)</f>
        <v>54456.4</v>
      </c>
      <c r="AF99" s="127">
        <f>SUM(AF94:AF98)</f>
        <v>356738.4</v>
      </c>
      <c r="AG99" s="252"/>
      <c r="AH99" s="252"/>
      <c r="AI99" s="252"/>
      <c r="AJ99" s="127">
        <f>SUM(AJ94:AJ98)</f>
        <v>0</v>
      </c>
      <c r="AK99" s="127">
        <f>SUM(AK94:AK98)</f>
        <v>0</v>
      </c>
      <c r="AL99" s="127">
        <f>SUM(AL94:AL98)</f>
        <v>0</v>
      </c>
      <c r="AM99" s="127">
        <f>SUM(AM94:AM98)</f>
        <v>0</v>
      </c>
      <c r="AN99" s="127">
        <f>SUM(AN94:AN98)</f>
        <v>0</v>
      </c>
      <c r="AO99" s="253"/>
      <c r="AP99" s="254"/>
      <c r="AQ99" s="175">
        <f>SUM(AQ94:AQ98)</f>
        <v>2159941.9500000002</v>
      </c>
      <c r="AR99" s="175">
        <f>SUM(AR94:AR98)</f>
        <v>356738.4</v>
      </c>
      <c r="AS99" s="175">
        <f>SUM(AS94:AS98)</f>
        <v>0</v>
      </c>
      <c r="AT99" s="175">
        <f>SUM(AT94:AT98)</f>
        <v>2516680.35</v>
      </c>
      <c r="AU99" s="175">
        <f t="shared" ref="AU99:BA99" si="65">SUM(AU94:AU98)</f>
        <v>2486680</v>
      </c>
      <c r="AV99" s="175">
        <f t="shared" si="65"/>
        <v>0</v>
      </c>
      <c r="AW99" s="175">
        <f t="shared" si="65"/>
        <v>0</v>
      </c>
      <c r="AX99" s="175">
        <f t="shared" si="65"/>
        <v>0</v>
      </c>
      <c r="AY99" s="175">
        <f t="shared" si="65"/>
        <v>0</v>
      </c>
      <c r="AZ99" s="175">
        <f t="shared" si="65"/>
        <v>0</v>
      </c>
      <c r="BA99" s="175">
        <f t="shared" si="65"/>
        <v>0</v>
      </c>
      <c r="BB99" s="251">
        <f t="shared" ref="BB99" si="66">SUM(AU99:BA99)-AT99</f>
        <v>-30000.350000000093</v>
      </c>
      <c r="BC99" s="169"/>
      <c r="BD99" s="169"/>
      <c r="BE99" s="169"/>
      <c r="BF99" s="169"/>
    </row>
    <row r="100" spans="1:58" s="184" customFormat="1" ht="51.6" customHeight="1" x14ac:dyDescent="0.25">
      <c r="A100" s="143"/>
      <c r="B100" s="290"/>
      <c r="C100" s="391" t="s">
        <v>176</v>
      </c>
      <c r="D100" s="391"/>
      <c r="E100" s="392"/>
      <c r="F100" s="291"/>
      <c r="G100" s="291"/>
      <c r="H100" s="144" t="s">
        <v>178</v>
      </c>
      <c r="I100" s="257"/>
      <c r="J100" s="257"/>
      <c r="K100" s="257"/>
      <c r="L100" s="258">
        <f>SUM(L105)</f>
        <v>2520000</v>
      </c>
      <c r="M100" s="258">
        <f>SUM(M105)</f>
        <v>420840</v>
      </c>
      <c r="N100" s="257"/>
      <c r="O100" s="257"/>
      <c r="P100" s="257"/>
      <c r="Q100" s="257"/>
      <c r="R100" s="258">
        <f>SUM(R105)</f>
        <v>0</v>
      </c>
      <c r="S100" s="258">
        <f>SUM(S105)</f>
        <v>0</v>
      </c>
      <c r="T100" s="258">
        <f>SUM(T105)</f>
        <v>0</v>
      </c>
      <c r="U100" s="258">
        <f>SUM(U105)</f>
        <v>0</v>
      </c>
      <c r="V100" s="257"/>
      <c r="W100" s="257"/>
      <c r="X100" s="257"/>
      <c r="Y100" s="258">
        <f>SUM(Y105)</f>
        <v>0</v>
      </c>
      <c r="Z100" s="257"/>
      <c r="AA100" s="257"/>
      <c r="AB100" s="258">
        <f>SUM(AB105)</f>
        <v>0</v>
      </c>
      <c r="AC100" s="258">
        <f>SUM(AC105)</f>
        <v>359445</v>
      </c>
      <c r="AD100" s="258">
        <f>SUM(AD105)</f>
        <v>0</v>
      </c>
      <c r="AE100" s="258">
        <f>SUM(AE105)</f>
        <v>71889</v>
      </c>
      <c r="AF100" s="258">
        <f>SUM(AF105)</f>
        <v>431334</v>
      </c>
      <c r="AG100" s="257"/>
      <c r="AH100" s="257"/>
      <c r="AI100" s="257"/>
      <c r="AJ100" s="258">
        <f>SUM(AJ105)</f>
        <v>0</v>
      </c>
      <c r="AK100" s="258">
        <f>SUM(AK105)</f>
        <v>0</v>
      </c>
      <c r="AL100" s="258">
        <f>SUM(AL105)</f>
        <v>0</v>
      </c>
      <c r="AM100" s="258">
        <f>SUM(AM105)</f>
        <v>0</v>
      </c>
      <c r="AN100" s="258">
        <f>SUM(AN105)</f>
        <v>0</v>
      </c>
      <c r="AO100" s="259"/>
      <c r="AP100" s="260"/>
      <c r="AQ100" s="261">
        <f>SUM(AQ105)</f>
        <v>2940840</v>
      </c>
      <c r="AR100" s="261">
        <f>SUM(AR105)</f>
        <v>431334</v>
      </c>
      <c r="AS100" s="261">
        <f>SUM(AS105)</f>
        <v>0</v>
      </c>
      <c r="AT100" s="261">
        <f>SUM(AT105)</f>
        <v>3372174</v>
      </c>
      <c r="AU100" s="261">
        <f t="shared" ref="AU100:BA100" si="67">SUM(AU105)</f>
        <v>3372173</v>
      </c>
      <c r="AV100" s="261">
        <f t="shared" si="67"/>
        <v>0</v>
      </c>
      <c r="AW100" s="261">
        <f t="shared" si="67"/>
        <v>0</v>
      </c>
      <c r="AX100" s="261">
        <f t="shared" si="67"/>
        <v>0</v>
      </c>
      <c r="AY100" s="261">
        <f t="shared" si="67"/>
        <v>0</v>
      </c>
      <c r="AZ100" s="261">
        <f t="shared" si="67"/>
        <v>0</v>
      </c>
      <c r="BA100" s="261">
        <f t="shared" si="67"/>
        <v>0</v>
      </c>
      <c r="BB100" s="261">
        <f>SUM(BB105)</f>
        <v>-0.99999999982537702</v>
      </c>
    </row>
    <row r="101" spans="1:58" ht="51.6" customHeight="1" outlineLevel="2" x14ac:dyDescent="0.25">
      <c r="A101" s="115"/>
      <c r="B101" s="303"/>
      <c r="C101" s="329"/>
      <c r="D101" s="342"/>
      <c r="E101" s="328"/>
      <c r="F101" s="328"/>
      <c r="G101" s="328"/>
      <c r="H101" s="199" t="s">
        <v>433</v>
      </c>
      <c r="I101" s="130" t="s">
        <v>3</v>
      </c>
      <c r="J101" s="126">
        <v>2</v>
      </c>
      <c r="K101" s="126">
        <v>7</v>
      </c>
      <c r="L101" s="125">
        <f>IF(I101&lt;&gt;0,((VLOOKUP(I101,'1. Standard_Cost'!$B$4:$D$11,2)+VLOOKUP(I101,'1. Standard_Cost'!$B$4:$D$11,3))*J101*K101),"0")</f>
        <v>1411200</v>
      </c>
      <c r="M101" s="125">
        <f>L101*'1. Standard_Cost'!$F$4</f>
        <v>235670.40000000002</v>
      </c>
      <c r="N101" s="126"/>
      <c r="O101" s="126"/>
      <c r="P101" s="126"/>
      <c r="Q101" s="126"/>
      <c r="R101" s="127">
        <f>'1. Standard_Cost'!$B$15*N101*P101</f>
        <v>0</v>
      </c>
      <c r="S101" s="127">
        <f>N101*O101*P101*'1. Standard_Cost'!$C$15</f>
        <v>0</v>
      </c>
      <c r="T101" s="127">
        <f>N101*P101*Q101*'1. Standard_Cost'!$D$15</f>
        <v>0</v>
      </c>
      <c r="U101" s="127">
        <f>N101*O101*'1. Standard_Cost'!$E$15</f>
        <v>0</v>
      </c>
      <c r="V101" s="126"/>
      <c r="W101" s="126"/>
      <c r="X101" s="126"/>
      <c r="Y101" s="127">
        <f>+V101*((X101*'1. Standard_Cost'!$B$19)+(W101*X101*'1. Standard_Cost'!$C$19))</f>
        <v>0</v>
      </c>
      <c r="Z101" s="126"/>
      <c r="AA101" s="126"/>
      <c r="AB101" s="127">
        <f>+Z101*'1. Standard_Cost'!$B$23+AA101*'1. Standard_Cost'!$C$23</f>
        <v>0</v>
      </c>
      <c r="AC101" s="128">
        <v>211145</v>
      </c>
      <c r="AD101" s="129"/>
      <c r="AE101" s="127">
        <f>SUM(AD101,AC101,AB101,Y101,U101,T101,S101,R101)*'1. Standard_Cost'!$B$31</f>
        <v>42229</v>
      </c>
      <c r="AF101" s="127">
        <f>SUM(AE101,AD101,AC101,AB101,Y101,U101,T101,S101,R101)</f>
        <v>253374</v>
      </c>
      <c r="AG101" s="126"/>
      <c r="AH101" s="126"/>
      <c r="AI101" s="126"/>
      <c r="AJ101" s="130"/>
      <c r="AK101" s="130"/>
      <c r="AL101" s="130"/>
      <c r="AM101" s="127">
        <f>AG101*'1. Standard_Cost'!$B$27+'Incremental_Cost Year 5'!AH101*'1. Standard_Cost'!$C$27+'Incremental_Cost Year 5'!AI101*'1. Standard_Cost'!$D$27+'Incremental_Cost Year 5'!AJ101+'Incremental_Cost Year 5'!AL101+AK101</f>
        <v>0</v>
      </c>
      <c r="AN101" s="127">
        <f>AM101*'1. Standard_Cost'!$C$31</f>
        <v>0</v>
      </c>
      <c r="AO101" s="130"/>
      <c r="AQ101" s="171">
        <f>L101+M101</f>
        <v>1646870.4</v>
      </c>
      <c r="AR101" s="171">
        <f>AF101</f>
        <v>253374</v>
      </c>
      <c r="AS101" s="171">
        <f>AM101+AN101</f>
        <v>0</v>
      </c>
      <c r="AT101" s="171">
        <f>SUM(AQ101,AR101,AS101)</f>
        <v>1900244.4</v>
      </c>
      <c r="AU101" s="250">
        <v>1900244</v>
      </c>
      <c r="AV101" s="250"/>
      <c r="AW101" s="250"/>
      <c r="AX101" s="250"/>
      <c r="AY101" s="250"/>
      <c r="AZ101" s="250"/>
      <c r="BA101" s="250"/>
      <c r="BB101" s="251">
        <f t="shared" ref="BB101:BB104" si="68">SUM(AU101:BA101)-AT101</f>
        <v>-0.39999999990686774</v>
      </c>
      <c r="BC101" s="169"/>
      <c r="BD101" s="169"/>
      <c r="BE101" s="169"/>
      <c r="BF101" s="169"/>
    </row>
    <row r="102" spans="1:58" ht="51.6" customHeight="1" outlineLevel="2" x14ac:dyDescent="0.25">
      <c r="A102" s="115"/>
      <c r="B102" s="200"/>
      <c r="C102" s="330"/>
      <c r="D102" s="343"/>
      <c r="E102" s="328"/>
      <c r="F102" s="328"/>
      <c r="G102" s="328"/>
      <c r="H102" s="199" t="s">
        <v>434</v>
      </c>
      <c r="I102" s="130" t="s">
        <v>3</v>
      </c>
      <c r="J102" s="126">
        <v>1</v>
      </c>
      <c r="K102" s="126">
        <v>2</v>
      </c>
      <c r="L102" s="125">
        <f>IF(I102&lt;&gt;0,((VLOOKUP(I102,'1. Standard_Cost'!$B$4:$D$11,2)+VLOOKUP(I102,'1. Standard_Cost'!$B$4:$D$11,3))*J102*K102),"0")</f>
        <v>201600</v>
      </c>
      <c r="M102" s="125">
        <f>L102*'1. Standard_Cost'!$F$4</f>
        <v>33667.200000000004</v>
      </c>
      <c r="N102" s="126"/>
      <c r="O102" s="126"/>
      <c r="P102" s="126"/>
      <c r="Q102" s="126"/>
      <c r="R102" s="127">
        <f>'1. Standard_Cost'!$B$15*N102*P102</f>
        <v>0</v>
      </c>
      <c r="S102" s="127">
        <f>N102*O102*P102*'1. Standard_Cost'!$C$15</f>
        <v>0</v>
      </c>
      <c r="T102" s="127">
        <f>N102*P102*Q102*'1. Standard_Cost'!$D$15</f>
        <v>0</v>
      </c>
      <c r="U102" s="127">
        <f>N102*O102*'1. Standard_Cost'!$E$15</f>
        <v>0</v>
      </c>
      <c r="V102" s="126"/>
      <c r="W102" s="126"/>
      <c r="X102" s="126"/>
      <c r="Y102" s="127">
        <f>+V102*((X102*'1. Standard_Cost'!$B$19)+(W102*X102*'1. Standard_Cost'!$C$19))</f>
        <v>0</v>
      </c>
      <c r="Z102" s="126"/>
      <c r="AA102" s="126"/>
      <c r="AB102" s="127">
        <f>+Z102*'1. Standard_Cost'!$B$23+AA102*'1. Standard_Cost'!$C$23</f>
        <v>0</v>
      </c>
      <c r="AC102" s="128">
        <v>28300</v>
      </c>
      <c r="AD102" s="129"/>
      <c r="AE102" s="127">
        <f>SUM(AD102,AC102,AB102,Y102,U102,T102,S102,R102)*'1. Standard_Cost'!$B$31</f>
        <v>5660</v>
      </c>
      <c r="AF102" s="127">
        <f>SUM(AE102,AD102,AC102,AB102,Y102,U102,T102,S102,R102)</f>
        <v>33960</v>
      </c>
      <c r="AG102" s="126"/>
      <c r="AH102" s="126"/>
      <c r="AI102" s="126"/>
      <c r="AJ102" s="130"/>
      <c r="AK102" s="130"/>
      <c r="AL102" s="130"/>
      <c r="AM102" s="127">
        <f>AG102*'1. Standard_Cost'!$B$27+'Incremental_Cost Year 5'!AH102*'1. Standard_Cost'!$C$27+'Incremental_Cost Year 5'!AI102*'1. Standard_Cost'!$D$27+'Incremental_Cost Year 5'!AJ102+'Incremental_Cost Year 5'!AL102+AK102</f>
        <v>0</v>
      </c>
      <c r="AN102" s="127">
        <f>AM102*'1. Standard_Cost'!$C$31</f>
        <v>0</v>
      </c>
      <c r="AO102" s="130"/>
      <c r="AQ102" s="171">
        <f>L102+M102</f>
        <v>235267.20000000001</v>
      </c>
      <c r="AR102" s="171">
        <f>AF102</f>
        <v>33960</v>
      </c>
      <c r="AS102" s="171">
        <f>AM102+AN102</f>
        <v>0</v>
      </c>
      <c r="AT102" s="171">
        <f>SUM(AQ102,AR102,AS102)</f>
        <v>269227.2</v>
      </c>
      <c r="AU102" s="250">
        <v>269227</v>
      </c>
      <c r="AV102" s="250"/>
      <c r="AW102" s="250"/>
      <c r="AX102" s="250"/>
      <c r="AY102" s="250"/>
      <c r="AZ102" s="250"/>
      <c r="BA102" s="250"/>
      <c r="BB102" s="251">
        <f t="shared" si="68"/>
        <v>-0.20000000001164153</v>
      </c>
      <c r="BC102" s="169"/>
      <c r="BD102" s="169"/>
      <c r="BE102" s="169"/>
      <c r="BF102" s="169"/>
    </row>
    <row r="103" spans="1:58" ht="51.6" customHeight="1" outlineLevel="2" x14ac:dyDescent="0.25">
      <c r="A103" s="115"/>
      <c r="B103" s="200"/>
      <c r="C103" s="330"/>
      <c r="D103" s="343"/>
      <c r="E103" s="328"/>
      <c r="F103" s="328"/>
      <c r="G103" s="328"/>
      <c r="H103" s="103" t="s">
        <v>435</v>
      </c>
      <c r="I103" s="130"/>
      <c r="J103" s="126"/>
      <c r="K103" s="126"/>
      <c r="L103" s="125" t="str">
        <f>IF(I103&lt;&gt;0,((VLOOKUP(I103,'1. Standard_Cost'!$B$4:$D$11,2)+VLOOKUP(I103,'1. Standard_Cost'!$B$4:$D$11,3))*J103*K103),"0")</f>
        <v>0</v>
      </c>
      <c r="M103" s="125">
        <f>L103*'1. Standard_Cost'!$F$4</f>
        <v>0</v>
      </c>
      <c r="N103" s="126"/>
      <c r="O103" s="126"/>
      <c r="P103" s="126"/>
      <c r="Q103" s="126"/>
      <c r="R103" s="127">
        <f>'1. Standard_Cost'!$B$15*N103*P103</f>
        <v>0</v>
      </c>
      <c r="S103" s="127">
        <f>N103*O103*P103*'1. Standard_Cost'!$C$15</f>
        <v>0</v>
      </c>
      <c r="T103" s="127">
        <f>N103*P103*Q103*'1. Standard_Cost'!$D$15</f>
        <v>0</v>
      </c>
      <c r="U103" s="127">
        <f>N103*O103*'1. Standard_Cost'!$E$15</f>
        <v>0</v>
      </c>
      <c r="V103" s="126"/>
      <c r="W103" s="126"/>
      <c r="X103" s="126"/>
      <c r="Y103" s="127">
        <f>+V103*((X103*'1. Standard_Cost'!$B$19)+(W103*X103*'1. Standard_Cost'!$C$19))</f>
        <v>0</v>
      </c>
      <c r="Z103" s="126"/>
      <c r="AA103" s="126"/>
      <c r="AB103" s="127">
        <f>+Z103*'1. Standard_Cost'!$B$23+AA103*'1. Standard_Cost'!$C$23</f>
        <v>0</v>
      </c>
      <c r="AC103" s="128"/>
      <c r="AD103" s="129"/>
      <c r="AE103" s="127">
        <f>SUM(AD103,AC103,AB103,Y103,U103,T103,S103,R103)*'1. Standard_Cost'!$B$31</f>
        <v>0</v>
      </c>
      <c r="AF103" s="127">
        <f>SUM(AE103,AD103,AC103,AB103,Y103,U103,T103,S103,R103)</f>
        <v>0</v>
      </c>
      <c r="AG103" s="126"/>
      <c r="AH103" s="126"/>
      <c r="AI103" s="126"/>
      <c r="AJ103" s="130"/>
      <c r="AK103" s="130"/>
      <c r="AL103" s="130"/>
      <c r="AM103" s="127">
        <f>AG103*'1. Standard_Cost'!$B$27+'Incremental_Cost Year 5'!AH103*'1. Standard_Cost'!$C$27+'Incremental_Cost Year 5'!AI103*'1. Standard_Cost'!$D$27+'Incremental_Cost Year 5'!AJ103+'Incremental_Cost Year 5'!AL103+AK103</f>
        <v>0</v>
      </c>
      <c r="AN103" s="127">
        <f>AM103*'1. Standard_Cost'!$C$31</f>
        <v>0</v>
      </c>
      <c r="AO103" s="130"/>
      <c r="AQ103" s="171">
        <f>L103+M103</f>
        <v>0</v>
      </c>
      <c r="AR103" s="171">
        <f>AF103</f>
        <v>0</v>
      </c>
      <c r="AS103" s="171">
        <f>AM103+AN103</f>
        <v>0</v>
      </c>
      <c r="AT103" s="171">
        <f>SUM(AQ103,AR103,AS103)</f>
        <v>0</v>
      </c>
      <c r="AU103" s="250"/>
      <c r="AV103" s="250"/>
      <c r="AW103" s="250"/>
      <c r="AX103" s="250"/>
      <c r="AY103" s="250"/>
      <c r="AZ103" s="250"/>
      <c r="BA103" s="250"/>
      <c r="BB103" s="251">
        <f t="shared" si="68"/>
        <v>0</v>
      </c>
      <c r="BC103" s="169"/>
      <c r="BD103" s="169"/>
      <c r="BE103" s="169"/>
      <c r="BF103" s="169"/>
    </row>
    <row r="104" spans="1:58" ht="51.6" customHeight="1" outlineLevel="2" x14ac:dyDescent="0.25">
      <c r="A104" s="115"/>
      <c r="B104" s="310"/>
      <c r="C104" s="331"/>
      <c r="D104" s="344"/>
      <c r="E104" s="328"/>
      <c r="F104" s="328"/>
      <c r="G104" s="328"/>
      <c r="H104" s="103" t="s">
        <v>436</v>
      </c>
      <c r="I104" s="130" t="s">
        <v>3</v>
      </c>
      <c r="J104" s="126">
        <v>3</v>
      </c>
      <c r="K104" s="126">
        <v>3</v>
      </c>
      <c r="L104" s="125">
        <f>IF(I104&lt;&gt;0,((VLOOKUP(I104,'1. Standard_Cost'!$B$4:$D$11,2)+VLOOKUP(I104,'1. Standard_Cost'!$B$4:$D$11,3))*J104*K104),"0")</f>
        <v>907200</v>
      </c>
      <c r="M104" s="125">
        <f>L104*'1. Standard_Cost'!$F$4</f>
        <v>151502.39999999999</v>
      </c>
      <c r="N104" s="126"/>
      <c r="O104" s="126"/>
      <c r="P104" s="126"/>
      <c r="Q104" s="126"/>
      <c r="R104" s="127">
        <f>'1. Standard_Cost'!$B$15*N104*P104</f>
        <v>0</v>
      </c>
      <c r="S104" s="127">
        <f>N104*O104*P104*'1. Standard_Cost'!$C$15</f>
        <v>0</v>
      </c>
      <c r="T104" s="127">
        <f>N104*P104*Q104*'1. Standard_Cost'!$D$15</f>
        <v>0</v>
      </c>
      <c r="U104" s="127">
        <f>N104*O104*'1. Standard_Cost'!$E$15</f>
        <v>0</v>
      </c>
      <c r="V104" s="126"/>
      <c r="W104" s="126"/>
      <c r="X104" s="126"/>
      <c r="Y104" s="127">
        <f>+V104*((X104*'1. Standard_Cost'!$B$19)+(W104*X104*'1. Standard_Cost'!$C$19))</f>
        <v>0</v>
      </c>
      <c r="Z104" s="126"/>
      <c r="AA104" s="145"/>
      <c r="AB104" s="127">
        <f>+Z104*'1. Standard_Cost'!$B$23+AA104*'1. Standard_Cost'!$C$23</f>
        <v>0</v>
      </c>
      <c r="AC104" s="128">
        <v>120000</v>
      </c>
      <c r="AD104" s="129"/>
      <c r="AE104" s="127">
        <f>SUM(AD104,AC104,AB104,Y104,U104,T104,S104,R104)*'1. Standard_Cost'!$B$31</f>
        <v>24000</v>
      </c>
      <c r="AF104" s="127">
        <f>SUM(AE104,AD104,AC104,AB104,Y104,U104,T104,S104,R104)</f>
        <v>144000</v>
      </c>
      <c r="AG104" s="126"/>
      <c r="AH104" s="126"/>
      <c r="AI104" s="126"/>
      <c r="AJ104" s="130"/>
      <c r="AK104" s="130"/>
      <c r="AL104" s="130"/>
      <c r="AM104" s="127">
        <f>AG104*'1. Standard_Cost'!$B$27+'Incremental_Cost Year 5'!AH104*'1. Standard_Cost'!$C$27+'Incremental_Cost Year 5'!AI104*'1. Standard_Cost'!$D$27+'Incremental_Cost Year 5'!AJ104+'Incremental_Cost Year 5'!AL104+AK104</f>
        <v>0</v>
      </c>
      <c r="AN104" s="127">
        <f>AM104*'1. Standard_Cost'!$C$31</f>
        <v>0</v>
      </c>
      <c r="AO104" s="262"/>
      <c r="AQ104" s="171">
        <f>L104+M104</f>
        <v>1058702.3999999999</v>
      </c>
      <c r="AR104" s="171">
        <f>AF104</f>
        <v>144000</v>
      </c>
      <c r="AS104" s="171">
        <f>AM104+AN104</f>
        <v>0</v>
      </c>
      <c r="AT104" s="171">
        <f>SUM(AQ104,AR104,AS104)</f>
        <v>1202702.3999999999</v>
      </c>
      <c r="AU104" s="250">
        <v>1202702</v>
      </c>
      <c r="AV104" s="250"/>
      <c r="AW104" s="250"/>
      <c r="AX104" s="250"/>
      <c r="AY104" s="250"/>
      <c r="AZ104" s="250"/>
      <c r="BA104" s="250"/>
      <c r="BB104" s="251">
        <f t="shared" si="68"/>
        <v>-0.39999999990686774</v>
      </c>
      <c r="BC104" s="169"/>
      <c r="BD104" s="169"/>
      <c r="BE104" s="169"/>
      <c r="BF104" s="169"/>
    </row>
    <row r="105" spans="1:58" ht="51.6" customHeight="1" outlineLevel="1" x14ac:dyDescent="0.25">
      <c r="A105" s="115"/>
      <c r="B105" s="165"/>
      <c r="C105" s="166"/>
      <c r="D105" s="229" t="s">
        <v>432</v>
      </c>
      <c r="E105" s="212" t="s">
        <v>275</v>
      </c>
      <c r="F105" s="136">
        <v>2023</v>
      </c>
      <c r="G105" s="117">
        <v>2030</v>
      </c>
      <c r="H105" s="110" t="s">
        <v>177</v>
      </c>
      <c r="I105" s="252"/>
      <c r="J105" s="252"/>
      <c r="K105" s="252"/>
      <c r="L105" s="127">
        <f>SUM(L101:L104)</f>
        <v>2520000</v>
      </c>
      <c r="M105" s="127">
        <f>SUM(M101:M104)</f>
        <v>420840</v>
      </c>
      <c r="N105" s="127"/>
      <c r="O105" s="252"/>
      <c r="P105" s="252"/>
      <c r="Q105" s="252"/>
      <c r="R105" s="127">
        <f>SUM(R101:R104)</f>
        <v>0</v>
      </c>
      <c r="S105" s="127">
        <f>SUM(S101:S104)</f>
        <v>0</v>
      </c>
      <c r="T105" s="127">
        <f>SUM(T101:T104)</f>
        <v>0</v>
      </c>
      <c r="U105" s="127">
        <f>SUM(U101:U104)</f>
        <v>0</v>
      </c>
      <c r="V105" s="252"/>
      <c r="W105" s="252"/>
      <c r="X105" s="252"/>
      <c r="Y105" s="127">
        <f>SUM(Y101:Y104)</f>
        <v>0</v>
      </c>
      <c r="Z105" s="252"/>
      <c r="AA105" s="252"/>
      <c r="AB105" s="127">
        <f>SUM(AB101:AB104)</f>
        <v>0</v>
      </c>
      <c r="AC105" s="127">
        <f>SUM(AC101:AC104)</f>
        <v>359445</v>
      </c>
      <c r="AD105" s="127">
        <f>SUM(AD101:AD104)</f>
        <v>0</v>
      </c>
      <c r="AE105" s="127">
        <f>SUM(AE101:AE104)</f>
        <v>71889</v>
      </c>
      <c r="AF105" s="127">
        <f>SUM(AF101:AF104)</f>
        <v>431334</v>
      </c>
      <c r="AG105" s="252"/>
      <c r="AH105" s="252"/>
      <c r="AI105" s="252"/>
      <c r="AJ105" s="127">
        <f>SUM(AJ101:AJ104)</f>
        <v>0</v>
      </c>
      <c r="AK105" s="127">
        <f>SUM(AK101:AK104)</f>
        <v>0</v>
      </c>
      <c r="AL105" s="127">
        <f>SUM(AL101:AL104)</f>
        <v>0</v>
      </c>
      <c r="AM105" s="127">
        <f>SUM(AM101:AM104)</f>
        <v>0</v>
      </c>
      <c r="AN105" s="127">
        <f>SUM(AN101:AN104)</f>
        <v>0</v>
      </c>
      <c r="AO105" s="253"/>
      <c r="AP105" s="254"/>
      <c r="AQ105" s="175">
        <f>SUM(AQ101:AQ104)</f>
        <v>2940840</v>
      </c>
      <c r="AR105" s="175">
        <f t="shared" ref="AR105:BB105" si="69">SUM(AR101:AR104)</f>
        <v>431334</v>
      </c>
      <c r="AS105" s="175">
        <f t="shared" si="69"/>
        <v>0</v>
      </c>
      <c r="AT105" s="175">
        <f t="shared" si="69"/>
        <v>3372174</v>
      </c>
      <c r="AU105" s="175">
        <f>SUM(AU101:AU104)</f>
        <v>3372173</v>
      </c>
      <c r="AV105" s="175">
        <f t="shared" si="69"/>
        <v>0</v>
      </c>
      <c r="AW105" s="175">
        <f t="shared" si="69"/>
        <v>0</v>
      </c>
      <c r="AX105" s="175">
        <f t="shared" si="69"/>
        <v>0</v>
      </c>
      <c r="AY105" s="175">
        <f t="shared" si="69"/>
        <v>0</v>
      </c>
      <c r="AZ105" s="175">
        <f t="shared" si="69"/>
        <v>0</v>
      </c>
      <c r="BA105" s="175">
        <f t="shared" si="69"/>
        <v>0</v>
      </c>
      <c r="BB105" s="175">
        <f t="shared" si="69"/>
        <v>-0.99999999982537702</v>
      </c>
      <c r="BC105" s="169"/>
      <c r="BD105" s="169"/>
      <c r="BE105" s="169"/>
      <c r="BF105" s="169"/>
    </row>
    <row r="106" spans="1:58" s="184" customFormat="1" ht="51.6" customHeight="1" x14ac:dyDescent="0.25">
      <c r="A106" s="143"/>
      <c r="B106" s="290"/>
      <c r="C106" s="391" t="s">
        <v>276</v>
      </c>
      <c r="D106" s="391"/>
      <c r="E106" s="392"/>
      <c r="F106" s="291"/>
      <c r="G106" s="291"/>
      <c r="H106" s="144" t="s">
        <v>258</v>
      </c>
      <c r="I106" s="257"/>
      <c r="J106" s="257"/>
      <c r="K106" s="257"/>
      <c r="L106" s="258">
        <f>SUM(L110)</f>
        <v>1655900</v>
      </c>
      <c r="M106" s="258">
        <f>SUM(M110)</f>
        <v>276535.3</v>
      </c>
      <c r="N106" s="257"/>
      <c r="O106" s="257"/>
      <c r="P106" s="257"/>
      <c r="Q106" s="257"/>
      <c r="R106" s="258">
        <f>SUM(R110)</f>
        <v>0</v>
      </c>
      <c r="S106" s="258">
        <f>SUM(S110)</f>
        <v>0</v>
      </c>
      <c r="T106" s="258">
        <f>SUM(T110)</f>
        <v>0</v>
      </c>
      <c r="U106" s="258">
        <f>SUM(U110)</f>
        <v>0</v>
      </c>
      <c r="V106" s="257"/>
      <c r="W106" s="257"/>
      <c r="X106" s="257"/>
      <c r="Y106" s="258">
        <f>SUM(Y110)</f>
        <v>0</v>
      </c>
      <c r="Z106" s="258"/>
      <c r="AA106" s="258"/>
      <c r="AB106" s="258">
        <f>SUM(AB110)</f>
        <v>1140000</v>
      </c>
      <c r="AC106" s="258">
        <f>SUM(AC110)</f>
        <v>253100</v>
      </c>
      <c r="AD106" s="258">
        <f>SUM(AD110)</f>
        <v>0</v>
      </c>
      <c r="AE106" s="258">
        <f>SUM(AE110)</f>
        <v>278620</v>
      </c>
      <c r="AF106" s="258">
        <f>SUM(AF110)</f>
        <v>1671720</v>
      </c>
      <c r="AG106" s="257"/>
      <c r="AH106" s="257"/>
      <c r="AI106" s="257"/>
      <c r="AJ106" s="258">
        <f>SUM(AJ110)</f>
        <v>0</v>
      </c>
      <c r="AK106" s="258">
        <f>SUM(AK110)</f>
        <v>0</v>
      </c>
      <c r="AL106" s="258">
        <f>SUM(AL110)</f>
        <v>0</v>
      </c>
      <c r="AM106" s="258">
        <f>SUM(AM110)</f>
        <v>0</v>
      </c>
      <c r="AN106" s="258">
        <f>SUM(AN110)</f>
        <v>0</v>
      </c>
      <c r="AO106" s="259"/>
      <c r="AP106" s="260"/>
      <c r="AQ106" s="261">
        <f>SUM(AQ110)</f>
        <v>1932435.3</v>
      </c>
      <c r="AR106" s="261">
        <f>SUM(AR110)</f>
        <v>1671720</v>
      </c>
      <c r="AS106" s="261">
        <f>SUM(AS110)</f>
        <v>0</v>
      </c>
      <c r="AT106" s="261">
        <f>SUM(AT110)</f>
        <v>3604155.3</v>
      </c>
      <c r="AU106" s="261">
        <f t="shared" ref="AU106:BA106" si="70">SUM(AU110)</f>
        <v>2236156</v>
      </c>
      <c r="AV106" s="261">
        <f t="shared" si="70"/>
        <v>0</v>
      </c>
      <c r="AW106" s="261">
        <f t="shared" si="70"/>
        <v>0</v>
      </c>
      <c r="AX106" s="261">
        <f t="shared" si="70"/>
        <v>0</v>
      </c>
      <c r="AY106" s="261">
        <f t="shared" si="70"/>
        <v>0</v>
      </c>
      <c r="AZ106" s="261">
        <f t="shared" si="70"/>
        <v>0</v>
      </c>
      <c r="BA106" s="261">
        <f t="shared" si="70"/>
        <v>0</v>
      </c>
      <c r="BB106" s="261">
        <f>SUM(BB110)</f>
        <v>-1367999.3</v>
      </c>
    </row>
    <row r="107" spans="1:58" ht="51.6" customHeight="1" outlineLevel="2" x14ac:dyDescent="0.25">
      <c r="A107" s="115"/>
      <c r="B107" s="200"/>
      <c r="C107" s="201"/>
      <c r="D107" s="202"/>
      <c r="E107" s="226"/>
      <c r="F107" s="306"/>
      <c r="G107" s="307"/>
      <c r="H107" s="199" t="s">
        <v>437</v>
      </c>
      <c r="I107" s="130" t="s">
        <v>5</v>
      </c>
      <c r="J107" s="126">
        <v>2</v>
      </c>
      <c r="K107" s="126">
        <v>1</v>
      </c>
      <c r="L107" s="125">
        <f>IF(I107&lt;&gt;0,((VLOOKUP(I107,'1. Standard_Cost'!$B$4:$D$11,2)+VLOOKUP(I107,'1. Standard_Cost'!$B$4:$D$11,3))*J107*K107),"0")</f>
        <v>141400</v>
      </c>
      <c r="M107" s="125">
        <f>L107*'1. Standard_Cost'!$F$4</f>
        <v>23613.800000000003</v>
      </c>
      <c r="N107" s="126"/>
      <c r="O107" s="126"/>
      <c r="P107" s="126"/>
      <c r="Q107" s="126"/>
      <c r="R107" s="127">
        <f>'1. Standard_Cost'!$B$15*N107*P107</f>
        <v>0</v>
      </c>
      <c r="S107" s="127">
        <f>N107*O107*P107*'1. Standard_Cost'!$C$15</f>
        <v>0</v>
      </c>
      <c r="T107" s="127">
        <f>N107*P107*Q107*'1. Standard_Cost'!$D$15</f>
        <v>0</v>
      </c>
      <c r="U107" s="127">
        <f>N107*O107*'1. Standard_Cost'!$E$15</f>
        <v>0</v>
      </c>
      <c r="V107" s="126"/>
      <c r="W107" s="126"/>
      <c r="X107" s="126"/>
      <c r="Y107" s="127">
        <f>+V107*((X107*'1. Standard_Cost'!$B$19)+(W107*X107*'1. Standard_Cost'!$C$19))</f>
        <v>0</v>
      </c>
      <c r="Z107" s="126"/>
      <c r="AA107" s="126">
        <v>40</v>
      </c>
      <c r="AB107" s="127">
        <f>+Z107*'1. Standard_Cost'!$B$23+AA107*'1. Standard_Cost'!$C$23</f>
        <v>760000</v>
      </c>
      <c r="AC107" s="128">
        <v>20000</v>
      </c>
      <c r="AD107" s="129"/>
      <c r="AE107" s="127">
        <f>SUM(AD107,AC107,AB107,Y107,U107,T107,S107,R107)*'1. Standard_Cost'!$B$31</f>
        <v>156000</v>
      </c>
      <c r="AF107" s="127">
        <f>SUM(AE107,AD107,AC107,AB107,Y107,U107,T107,S107,R107)</f>
        <v>936000</v>
      </c>
      <c r="AG107" s="126"/>
      <c r="AH107" s="126"/>
      <c r="AI107" s="126"/>
      <c r="AJ107" s="130"/>
      <c r="AK107" s="130"/>
      <c r="AL107" s="130"/>
      <c r="AM107" s="127">
        <f>AG107*'1. Standard_Cost'!$B$27+'Incremental_Cost Year 5'!AH107*'1. Standard_Cost'!$C$27+'Incremental_Cost Year 5'!AI107*'1. Standard_Cost'!$D$27+'Incremental_Cost Year 5'!AJ107+'Incremental_Cost Year 5'!AL107+AK107</f>
        <v>0</v>
      </c>
      <c r="AN107" s="127">
        <f>AM107*'1. Standard_Cost'!$C$31</f>
        <v>0</v>
      </c>
      <c r="AO107" s="130"/>
      <c r="AQ107" s="171">
        <f>L107+M107</f>
        <v>165013.79999999999</v>
      </c>
      <c r="AR107" s="171">
        <f>AF107</f>
        <v>936000</v>
      </c>
      <c r="AS107" s="171">
        <f>AM107+AN107</f>
        <v>0</v>
      </c>
      <c r="AT107" s="171">
        <f>SUM(AQ107,AR107,AS107)</f>
        <v>1101013.8</v>
      </c>
      <c r="AU107" s="250">
        <v>189014</v>
      </c>
      <c r="AV107" s="250"/>
      <c r="AW107" s="250"/>
      <c r="AX107" s="250"/>
      <c r="AY107" s="250"/>
      <c r="AZ107" s="250"/>
      <c r="BA107" s="250"/>
      <c r="BB107" s="251">
        <f t="shared" ref="BB107:BB109" si="71">SUM(AU107:BA107)-AT107</f>
        <v>-911999.8</v>
      </c>
      <c r="BC107" s="169"/>
      <c r="BD107" s="169"/>
      <c r="BE107" s="169"/>
      <c r="BF107" s="169"/>
    </row>
    <row r="108" spans="1:58" ht="51.6" customHeight="1" outlineLevel="2" x14ac:dyDescent="0.25">
      <c r="A108" s="115"/>
      <c r="B108" s="200"/>
      <c r="C108" s="201"/>
      <c r="D108" s="202"/>
      <c r="E108" s="202"/>
      <c r="F108" s="308"/>
      <c r="G108" s="309"/>
      <c r="H108" s="199" t="s">
        <v>438</v>
      </c>
      <c r="I108" s="130" t="s">
        <v>4</v>
      </c>
      <c r="J108" s="126">
        <v>2</v>
      </c>
      <c r="K108" s="126">
        <v>5</v>
      </c>
      <c r="L108" s="125">
        <f>IF(I108&lt;&gt;0,((VLOOKUP(I108,'1. Standard_Cost'!$B$4:$D$11,2)+VLOOKUP(I108,'1. Standard_Cost'!$B$4:$D$11,3))*J108*K108),"0")</f>
        <v>807500</v>
      </c>
      <c r="M108" s="125">
        <f>L108*'1. Standard_Cost'!$F$4</f>
        <v>134852.5</v>
      </c>
      <c r="N108" s="126"/>
      <c r="O108" s="126"/>
      <c r="P108" s="126"/>
      <c r="Q108" s="126"/>
      <c r="R108" s="127">
        <f>'1. Standard_Cost'!$B$15*N108*P108</f>
        <v>0</v>
      </c>
      <c r="S108" s="127">
        <f>N108*O108*P108*'1. Standard_Cost'!$C$15</f>
        <v>0</v>
      </c>
      <c r="T108" s="127">
        <f>N108*P108*Q108*'1. Standard_Cost'!$D$15</f>
        <v>0</v>
      </c>
      <c r="U108" s="127">
        <f>N108*O108*'1. Standard_Cost'!$E$15</f>
        <v>0</v>
      </c>
      <c r="V108" s="126"/>
      <c r="W108" s="126"/>
      <c r="X108" s="126"/>
      <c r="Y108" s="127">
        <f>+V108*((X108*'1. Standard_Cost'!$B$19)+(W108*X108*'1. Standard_Cost'!$C$19))</f>
        <v>0</v>
      </c>
      <c r="Z108" s="126"/>
      <c r="AA108" s="126">
        <v>20</v>
      </c>
      <c r="AB108" s="127">
        <f>+Z108*'1. Standard_Cost'!$B$23+AA108*'1. Standard_Cost'!$C$23</f>
        <v>380000</v>
      </c>
      <c r="AC108" s="128">
        <v>113100</v>
      </c>
      <c r="AD108" s="129"/>
      <c r="AE108" s="127">
        <f>SUM(AD108,AC108,AB108,Y108,U108,T108,S108,R108)*'1. Standard_Cost'!$B$31</f>
        <v>98620</v>
      </c>
      <c r="AF108" s="127">
        <f>SUM(AE108,AD108,AC108,AB108,Y108,U108,T108,S108,R108)</f>
        <v>591720</v>
      </c>
      <c r="AG108" s="126"/>
      <c r="AH108" s="126"/>
      <c r="AI108" s="126"/>
      <c r="AJ108" s="130"/>
      <c r="AK108" s="130"/>
      <c r="AL108" s="130"/>
      <c r="AM108" s="127">
        <f>AG108*'1. Standard_Cost'!$B$27+'Incremental_Cost Year 5'!AH108*'1. Standard_Cost'!$C$27+'Incremental_Cost Year 5'!AI108*'1. Standard_Cost'!$D$27+'Incremental_Cost Year 5'!AJ108+'Incremental_Cost Year 5'!AL108+AK108</f>
        <v>0</v>
      </c>
      <c r="AN108" s="127">
        <f>AM108*'1. Standard_Cost'!$C$31</f>
        <v>0</v>
      </c>
      <c r="AO108" s="130"/>
      <c r="AQ108" s="171">
        <f>L108+M108</f>
        <v>942352.5</v>
      </c>
      <c r="AR108" s="171">
        <f>AF108</f>
        <v>591720</v>
      </c>
      <c r="AS108" s="171">
        <f>AM108+AN108</f>
        <v>0</v>
      </c>
      <c r="AT108" s="171">
        <f>SUM(AQ108,AR108,AS108)</f>
        <v>1534072.5</v>
      </c>
      <c r="AU108" s="250">
        <v>1078073</v>
      </c>
      <c r="AV108" s="250"/>
      <c r="AW108" s="250"/>
      <c r="AX108" s="250"/>
      <c r="AY108" s="250"/>
      <c r="AZ108" s="250"/>
      <c r="BA108" s="250"/>
      <c r="BB108" s="251">
        <f t="shared" si="71"/>
        <v>-455999.5</v>
      </c>
      <c r="BC108" s="169"/>
      <c r="BD108" s="169"/>
      <c r="BE108" s="169"/>
      <c r="BF108" s="169"/>
    </row>
    <row r="109" spans="1:58" ht="51.6" customHeight="1" outlineLevel="2" x14ac:dyDescent="0.25">
      <c r="A109" s="115"/>
      <c r="B109" s="200"/>
      <c r="C109" s="201"/>
      <c r="D109" s="202"/>
      <c r="E109" s="310"/>
      <c r="F109" s="311"/>
      <c r="G109" s="312"/>
      <c r="H109" s="199" t="s">
        <v>439</v>
      </c>
      <c r="I109" s="130" t="s">
        <v>5</v>
      </c>
      <c r="J109" s="126">
        <v>2</v>
      </c>
      <c r="K109" s="126">
        <v>5</v>
      </c>
      <c r="L109" s="125">
        <f>IF(I109&lt;&gt;0,((VLOOKUP(I109,'1. Standard_Cost'!$B$4:$D$11,2)+VLOOKUP(I109,'1. Standard_Cost'!$B$4:$D$11,3))*J109*K109),"0")</f>
        <v>707000</v>
      </c>
      <c r="M109" s="125">
        <f>L109*'1. Standard_Cost'!$F$4</f>
        <v>118069</v>
      </c>
      <c r="N109" s="126"/>
      <c r="O109" s="126"/>
      <c r="P109" s="126"/>
      <c r="Q109" s="126"/>
      <c r="R109" s="127">
        <f>'1. Standard_Cost'!$B$15*N109*P109</f>
        <v>0</v>
      </c>
      <c r="S109" s="127">
        <f>N109*O109*P109*'1. Standard_Cost'!$C$15</f>
        <v>0</v>
      </c>
      <c r="T109" s="127">
        <f>N109*P109*Q109*'1. Standard_Cost'!$D$15</f>
        <v>0</v>
      </c>
      <c r="U109" s="127">
        <f>N109*O109*'1. Standard_Cost'!$E$15</f>
        <v>0</v>
      </c>
      <c r="V109" s="126"/>
      <c r="W109" s="126"/>
      <c r="X109" s="126"/>
      <c r="Y109" s="127">
        <f>+V109*((X109*'1. Standard_Cost'!$B$19)+(W109*X109*'1. Standard_Cost'!$C$19))</f>
        <v>0</v>
      </c>
      <c r="Z109" s="126"/>
      <c r="AA109" s="126"/>
      <c r="AB109" s="127">
        <f>+Z109*'1. Standard_Cost'!$B$23+AA109*'1. Standard_Cost'!$C$23</f>
        <v>0</v>
      </c>
      <c r="AC109" s="128">
        <v>120000</v>
      </c>
      <c r="AD109" s="129"/>
      <c r="AE109" s="127">
        <f>SUM(AD109,AC109,AB109,Y109,U109,T109,S109,R109)*'1. Standard_Cost'!$B$31</f>
        <v>24000</v>
      </c>
      <c r="AF109" s="127">
        <f>SUM(AE109,AD109,AC109,AB109,Y109,U109,T109,S109,R109)</f>
        <v>144000</v>
      </c>
      <c r="AG109" s="126"/>
      <c r="AH109" s="126"/>
      <c r="AI109" s="126"/>
      <c r="AJ109" s="130"/>
      <c r="AK109" s="130"/>
      <c r="AL109" s="130"/>
      <c r="AM109" s="127">
        <f>AG109*'1. Standard_Cost'!$B$27+'Incremental_Cost Year 5'!AH109*'1. Standard_Cost'!$C$27+'Incremental_Cost Year 5'!AI109*'1. Standard_Cost'!$D$27+'Incremental_Cost Year 5'!AJ109+'Incremental_Cost Year 5'!AL109+AK109</f>
        <v>0</v>
      </c>
      <c r="AN109" s="127">
        <f>AM109*'1. Standard_Cost'!$C$31</f>
        <v>0</v>
      </c>
      <c r="AO109" s="130"/>
      <c r="AQ109" s="171">
        <f>L109+M109</f>
        <v>825069</v>
      </c>
      <c r="AR109" s="171">
        <f>AF109</f>
        <v>144000</v>
      </c>
      <c r="AS109" s="171">
        <f>AM109+AN109</f>
        <v>0</v>
      </c>
      <c r="AT109" s="171">
        <f>SUM(AQ109,AR109,AS109)</f>
        <v>969069</v>
      </c>
      <c r="AU109" s="250">
        <v>969069</v>
      </c>
      <c r="AV109" s="250"/>
      <c r="AW109" s="250"/>
      <c r="AX109" s="250"/>
      <c r="AY109" s="250"/>
      <c r="AZ109" s="250"/>
      <c r="BA109" s="250"/>
      <c r="BB109" s="251">
        <f t="shared" si="71"/>
        <v>0</v>
      </c>
      <c r="BC109" s="169"/>
      <c r="BD109" s="169"/>
      <c r="BE109" s="169"/>
      <c r="BF109" s="169"/>
    </row>
    <row r="110" spans="1:58" ht="51.6" customHeight="1" outlineLevel="1" x14ac:dyDescent="0.25">
      <c r="A110" s="115"/>
      <c r="B110" s="200"/>
      <c r="C110" s="201"/>
      <c r="D110" s="227" t="s">
        <v>432</v>
      </c>
      <c r="E110" s="226" t="s">
        <v>275</v>
      </c>
      <c r="F110" s="136">
        <v>2025</v>
      </c>
      <c r="G110" s="117">
        <v>2030</v>
      </c>
      <c r="H110" s="110" t="s">
        <v>277</v>
      </c>
      <c r="I110" s="252"/>
      <c r="J110" s="252"/>
      <c r="K110" s="252"/>
      <c r="L110" s="127">
        <f>SUM(L107:L109)</f>
        <v>1655900</v>
      </c>
      <c r="M110" s="127">
        <f>SUM(M107:M109)</f>
        <v>276535.3</v>
      </c>
      <c r="N110" s="127"/>
      <c r="O110" s="252"/>
      <c r="P110" s="252"/>
      <c r="Q110" s="252"/>
      <c r="R110" s="127">
        <f>SUM(R107:R109)</f>
        <v>0</v>
      </c>
      <c r="S110" s="127">
        <f>SUM(S107:S109)</f>
        <v>0</v>
      </c>
      <c r="T110" s="127">
        <f>SUM(T107:T109)</f>
        <v>0</v>
      </c>
      <c r="U110" s="127">
        <f>SUM(U107:U109)</f>
        <v>0</v>
      </c>
      <c r="V110" s="252"/>
      <c r="W110" s="252"/>
      <c r="X110" s="252"/>
      <c r="Y110" s="127">
        <f>SUM(Y107:Y109)</f>
        <v>0</v>
      </c>
      <c r="Z110" s="252"/>
      <c r="AA110" s="252"/>
      <c r="AB110" s="127">
        <f>SUM(AB107:AB109)</f>
        <v>1140000</v>
      </c>
      <c r="AC110" s="127">
        <f>SUM(AC107:AC109)</f>
        <v>253100</v>
      </c>
      <c r="AD110" s="127">
        <f>SUM(AD107:AD109)</f>
        <v>0</v>
      </c>
      <c r="AE110" s="127">
        <f>SUM(AE107:AE109)</f>
        <v>278620</v>
      </c>
      <c r="AF110" s="127">
        <f>SUM(AF107:AF109)</f>
        <v>1671720</v>
      </c>
      <c r="AG110" s="252"/>
      <c r="AH110" s="252"/>
      <c r="AI110" s="252"/>
      <c r="AJ110" s="127">
        <f>SUM(AJ107:AJ109)</f>
        <v>0</v>
      </c>
      <c r="AK110" s="127">
        <f>SUM(AK107:AK109)</f>
        <v>0</v>
      </c>
      <c r="AL110" s="127">
        <f>SUM(AL107:AL109)</f>
        <v>0</v>
      </c>
      <c r="AM110" s="127">
        <f>SUM(AM107:AM109)</f>
        <v>0</v>
      </c>
      <c r="AN110" s="127">
        <f>SUM(AN107:AN109)</f>
        <v>0</v>
      </c>
      <c r="AO110" s="253"/>
      <c r="AP110" s="254"/>
      <c r="AQ110" s="175">
        <f>SUM(AQ107:AQ109)</f>
        <v>1932435.3</v>
      </c>
      <c r="AR110" s="175">
        <f>SUM(AR107:AR109)</f>
        <v>1671720</v>
      </c>
      <c r="AS110" s="175">
        <f>SUM(AS107:AS109)</f>
        <v>0</v>
      </c>
      <c r="AT110" s="175">
        <f>SUM(AT107:AT109)</f>
        <v>3604155.3</v>
      </c>
      <c r="AU110" s="175">
        <f t="shared" ref="AU110:BB110" si="72">SUM(AU107:AU109)</f>
        <v>2236156</v>
      </c>
      <c r="AV110" s="175">
        <f t="shared" si="72"/>
        <v>0</v>
      </c>
      <c r="AW110" s="175">
        <f t="shared" si="72"/>
        <v>0</v>
      </c>
      <c r="AX110" s="175">
        <f t="shared" si="72"/>
        <v>0</v>
      </c>
      <c r="AY110" s="175">
        <f t="shared" si="72"/>
        <v>0</v>
      </c>
      <c r="AZ110" s="175">
        <f t="shared" si="72"/>
        <v>0</v>
      </c>
      <c r="BA110" s="175">
        <f t="shared" si="72"/>
        <v>0</v>
      </c>
      <c r="BB110" s="175">
        <f t="shared" si="72"/>
        <v>-1367999.3</v>
      </c>
      <c r="BC110" s="169"/>
      <c r="BD110" s="169"/>
      <c r="BE110" s="169"/>
      <c r="BF110" s="169"/>
    </row>
    <row r="111" spans="1:58" s="184" customFormat="1" ht="51.6" customHeight="1" x14ac:dyDescent="0.25">
      <c r="A111" s="143"/>
      <c r="B111" s="290"/>
      <c r="C111" s="391" t="s">
        <v>278</v>
      </c>
      <c r="D111" s="391"/>
      <c r="E111" s="392"/>
      <c r="F111" s="291"/>
      <c r="G111" s="291"/>
      <c r="H111" s="144" t="s">
        <v>262</v>
      </c>
      <c r="I111" s="257"/>
      <c r="J111" s="257"/>
      <c r="K111" s="257"/>
      <c r="L111" s="258">
        <f>SUM(L117)</f>
        <v>2562100</v>
      </c>
      <c r="M111" s="258">
        <f>SUM(M117)</f>
        <v>427870.7</v>
      </c>
      <c r="N111" s="257"/>
      <c r="O111" s="257"/>
      <c r="P111" s="257"/>
      <c r="Q111" s="257"/>
      <c r="R111" s="258">
        <f>SUM(R117)</f>
        <v>0</v>
      </c>
      <c r="S111" s="258">
        <f>SUM(S117)</f>
        <v>0</v>
      </c>
      <c r="T111" s="258">
        <f>SUM(T117)</f>
        <v>0</v>
      </c>
      <c r="U111" s="258">
        <f>SUM(U117)</f>
        <v>0</v>
      </c>
      <c r="V111" s="257"/>
      <c r="W111" s="257"/>
      <c r="X111" s="257"/>
      <c r="Y111" s="258">
        <f>SUM(Y117)</f>
        <v>0</v>
      </c>
      <c r="Z111" s="258"/>
      <c r="AA111" s="258"/>
      <c r="AB111" s="258">
        <f>SUM(AB117)</f>
        <v>475000</v>
      </c>
      <c r="AC111" s="258">
        <f>SUM(AC117)</f>
        <v>358920</v>
      </c>
      <c r="AD111" s="258">
        <f>SUM(AD117)</f>
        <v>0</v>
      </c>
      <c r="AE111" s="258">
        <f>SUM(AE117)</f>
        <v>166784</v>
      </c>
      <c r="AF111" s="258">
        <f>SUM(AF117)</f>
        <v>1000704</v>
      </c>
      <c r="AG111" s="257"/>
      <c r="AH111" s="257"/>
      <c r="AI111" s="257"/>
      <c r="AJ111" s="258">
        <f>SUM(AJ117)</f>
        <v>0</v>
      </c>
      <c r="AK111" s="258">
        <f>SUM(AK117)</f>
        <v>0</v>
      </c>
      <c r="AL111" s="258">
        <f>SUM(AL117)</f>
        <v>0</v>
      </c>
      <c r="AM111" s="258">
        <f>SUM(AM117)</f>
        <v>0</v>
      </c>
      <c r="AN111" s="258">
        <f>SUM(AN117)</f>
        <v>0</v>
      </c>
      <c r="AO111" s="259"/>
      <c r="AP111" s="260"/>
      <c r="AQ111" s="261">
        <f>SUM(AQ117)</f>
        <v>2989970.7</v>
      </c>
      <c r="AR111" s="261">
        <f>SUM(AR117)</f>
        <v>1000704</v>
      </c>
      <c r="AS111" s="261">
        <f>SUM(AS117)</f>
        <v>0</v>
      </c>
      <c r="AT111" s="261">
        <f>SUM(AT117)</f>
        <v>3990674.7</v>
      </c>
      <c r="AU111" s="261">
        <f t="shared" ref="AU111:BA111" si="73">SUM(AU117)</f>
        <v>3420675</v>
      </c>
      <c r="AV111" s="261">
        <f t="shared" si="73"/>
        <v>0</v>
      </c>
      <c r="AW111" s="261">
        <f t="shared" si="73"/>
        <v>0</v>
      </c>
      <c r="AX111" s="261">
        <f t="shared" si="73"/>
        <v>0</v>
      </c>
      <c r="AY111" s="261">
        <f t="shared" si="73"/>
        <v>0</v>
      </c>
      <c r="AZ111" s="261">
        <f t="shared" si="73"/>
        <v>0</v>
      </c>
      <c r="BA111" s="261">
        <f t="shared" si="73"/>
        <v>0</v>
      </c>
      <c r="BB111" s="261">
        <f>SUM(BB117)</f>
        <v>-569999.69999999995</v>
      </c>
    </row>
    <row r="112" spans="1:58" ht="51.6" customHeight="1" outlineLevel="2" x14ac:dyDescent="0.25">
      <c r="A112" s="115"/>
      <c r="B112" s="200"/>
      <c r="C112" s="201"/>
      <c r="D112" s="210"/>
      <c r="E112" s="321"/>
      <c r="F112" s="306"/>
      <c r="G112" s="307"/>
      <c r="H112" s="199" t="s">
        <v>440</v>
      </c>
      <c r="I112" s="130" t="s">
        <v>2</v>
      </c>
      <c r="J112" s="126">
        <v>1</v>
      </c>
      <c r="K112" s="126">
        <v>6</v>
      </c>
      <c r="L112" s="125">
        <f>IF(I112&lt;&gt;0,((VLOOKUP(I112,'1. Standard_Cost'!$B$4:$D$11,2)+VLOOKUP(I112,'1. Standard_Cost'!$B$4:$D$11,3))*J112*K112),"0")</f>
        <v>726000</v>
      </c>
      <c r="M112" s="125">
        <f>L112*'1. Standard_Cost'!$F$4</f>
        <v>121242</v>
      </c>
      <c r="N112" s="126"/>
      <c r="O112" s="126"/>
      <c r="P112" s="126"/>
      <c r="Q112" s="126"/>
      <c r="R112" s="127">
        <f>'1. Standard_Cost'!$B$15*N112*P112</f>
        <v>0</v>
      </c>
      <c r="S112" s="127">
        <f>N112*O112*P112*'1. Standard_Cost'!$C$15</f>
        <v>0</v>
      </c>
      <c r="T112" s="127">
        <f>N112*P112*Q112*'1. Standard_Cost'!$D$15</f>
        <v>0</v>
      </c>
      <c r="U112" s="127">
        <f>N112*O112*'1. Standard_Cost'!$E$15</f>
        <v>0</v>
      </c>
      <c r="V112" s="126"/>
      <c r="W112" s="126"/>
      <c r="X112" s="126"/>
      <c r="Y112" s="127">
        <f>+V112*((X112*'1. Standard_Cost'!$B$19)+(W112*X112*'1. Standard_Cost'!$C$19))</f>
        <v>0</v>
      </c>
      <c r="Z112" s="126"/>
      <c r="AA112" s="126"/>
      <c r="AB112" s="127">
        <f>+Z112*'1. Standard_Cost'!$B$23+AA112*'1. Standard_Cost'!$C$23</f>
        <v>0</v>
      </c>
      <c r="AC112" s="128">
        <v>101700</v>
      </c>
      <c r="AD112" s="129"/>
      <c r="AE112" s="127">
        <f>SUM(AD112,AC112,AB112,Y112,U112,T112,S112,R112)*'1. Standard_Cost'!$B$31</f>
        <v>20340</v>
      </c>
      <c r="AF112" s="127">
        <f>SUM(AE112,AD112,AC112,AB112,Y112,U112,T112,S112,R112)</f>
        <v>122040</v>
      </c>
      <c r="AG112" s="126"/>
      <c r="AH112" s="126"/>
      <c r="AI112" s="126"/>
      <c r="AJ112" s="130"/>
      <c r="AK112" s="130"/>
      <c r="AL112" s="130"/>
      <c r="AM112" s="127">
        <f>AG112*'1. Standard_Cost'!$B$27+'Incremental_Cost Year 5'!AH112*'1. Standard_Cost'!$C$27+'Incremental_Cost Year 5'!AI112*'1. Standard_Cost'!$D$27+'Incremental_Cost Year 5'!AJ112+'Incremental_Cost Year 5'!AL112+AK112</f>
        <v>0</v>
      </c>
      <c r="AN112" s="127">
        <f>AM112*'1. Standard_Cost'!$C$31</f>
        <v>0</v>
      </c>
      <c r="AO112" s="130"/>
      <c r="AQ112" s="171">
        <f>L112+M112</f>
        <v>847242</v>
      </c>
      <c r="AR112" s="171">
        <f>AF112</f>
        <v>122040</v>
      </c>
      <c r="AS112" s="171">
        <f>AM112+AN112</f>
        <v>0</v>
      </c>
      <c r="AT112" s="171">
        <f>SUM(AQ112,AR112,AS112)</f>
        <v>969282</v>
      </c>
      <c r="AU112" s="250">
        <v>969282</v>
      </c>
      <c r="AV112" s="250"/>
      <c r="AW112" s="250"/>
      <c r="AX112" s="250"/>
      <c r="AY112" s="250"/>
      <c r="AZ112" s="250"/>
      <c r="BA112" s="250"/>
      <c r="BB112" s="251">
        <f t="shared" ref="BB112:BB116" si="74">SUM(AU112:BA112)-AT112</f>
        <v>0</v>
      </c>
      <c r="BC112" s="169"/>
      <c r="BD112" s="169"/>
      <c r="BE112" s="169"/>
      <c r="BF112" s="169"/>
    </row>
    <row r="113" spans="1:58" ht="51.6" customHeight="1" outlineLevel="2" x14ac:dyDescent="0.25">
      <c r="A113" s="115"/>
      <c r="B113" s="200"/>
      <c r="C113" s="201"/>
      <c r="D113" s="208"/>
      <c r="E113" s="323"/>
      <c r="F113" s="308"/>
      <c r="G113" s="309"/>
      <c r="H113" s="199" t="s">
        <v>441</v>
      </c>
      <c r="I113" s="130" t="s">
        <v>3</v>
      </c>
      <c r="J113" s="126">
        <v>1</v>
      </c>
      <c r="K113" s="126">
        <v>7</v>
      </c>
      <c r="L113" s="125">
        <f>IF(I113&lt;&gt;0,((VLOOKUP(I113,'1. Standard_Cost'!$B$4:$D$11,2)+VLOOKUP(I113,'1. Standard_Cost'!$B$4:$D$11,3))*J113*K113),"0")</f>
        <v>705600</v>
      </c>
      <c r="M113" s="125">
        <f>L113*'1. Standard_Cost'!$F$4</f>
        <v>117835.20000000001</v>
      </c>
      <c r="N113" s="126"/>
      <c r="O113" s="126"/>
      <c r="P113" s="126"/>
      <c r="Q113" s="126"/>
      <c r="R113" s="127">
        <f>'1. Standard_Cost'!$B$15*N113*P113</f>
        <v>0</v>
      </c>
      <c r="S113" s="127">
        <f>N113*O113*P113*'1. Standard_Cost'!$C$15</f>
        <v>0</v>
      </c>
      <c r="T113" s="127">
        <f>N113*P113*Q113*'1. Standard_Cost'!$D$15</f>
        <v>0</v>
      </c>
      <c r="U113" s="127">
        <f>N113*O113*'1. Standard_Cost'!$E$15</f>
        <v>0</v>
      </c>
      <c r="V113" s="126"/>
      <c r="W113" s="126"/>
      <c r="X113" s="126"/>
      <c r="Y113" s="127">
        <f>+V113*((X113*'1. Standard_Cost'!$B$19)+(W113*X113*'1. Standard_Cost'!$C$19))</f>
        <v>0</v>
      </c>
      <c r="Z113" s="126"/>
      <c r="AA113" s="126"/>
      <c r="AB113" s="127">
        <f>+Z113*'1. Standard_Cost'!$B$23+AA113*'1. Standard_Cost'!$C$23</f>
        <v>0</v>
      </c>
      <c r="AC113" s="128">
        <v>98900</v>
      </c>
      <c r="AD113" s="129"/>
      <c r="AE113" s="127">
        <f>SUM(AD113,AC113,AB113,Y113,U113,T113,S113,R113)*'1. Standard_Cost'!$B$31</f>
        <v>19780</v>
      </c>
      <c r="AF113" s="127">
        <f>SUM(AE113,AD113,AC113,AB113,Y113,U113,T113,S113,R113)</f>
        <v>118680</v>
      </c>
      <c r="AG113" s="126"/>
      <c r="AH113" s="126"/>
      <c r="AI113" s="126"/>
      <c r="AJ113" s="130"/>
      <c r="AK113" s="130"/>
      <c r="AL113" s="130"/>
      <c r="AM113" s="127">
        <f>AG113*'1. Standard_Cost'!$B$27+'Incremental_Cost Year 5'!AH113*'1. Standard_Cost'!$C$27+'Incremental_Cost Year 5'!AI113*'1. Standard_Cost'!$D$27+'Incremental_Cost Year 5'!AJ113+'Incremental_Cost Year 5'!AL113+AK113</f>
        <v>0</v>
      </c>
      <c r="AN113" s="127">
        <f>AM113*'1. Standard_Cost'!$C$31</f>
        <v>0</v>
      </c>
      <c r="AO113" s="130"/>
      <c r="AQ113" s="171">
        <f>L113+M113</f>
        <v>823435.2</v>
      </c>
      <c r="AR113" s="171">
        <f>AF113</f>
        <v>118680</v>
      </c>
      <c r="AS113" s="171">
        <f>AM113+AN113</f>
        <v>0</v>
      </c>
      <c r="AT113" s="171">
        <f>SUM(AQ113,AR113,AS113)</f>
        <v>942115.2</v>
      </c>
      <c r="AU113" s="250">
        <v>942115</v>
      </c>
      <c r="AV113" s="250"/>
      <c r="AW113" s="250"/>
      <c r="AX113" s="250"/>
      <c r="AY113" s="250"/>
      <c r="AZ113" s="250"/>
      <c r="BA113" s="250"/>
      <c r="BB113" s="251">
        <f t="shared" si="74"/>
        <v>-0.19999999995343387</v>
      </c>
      <c r="BC113" s="169"/>
      <c r="BD113" s="169"/>
      <c r="BE113" s="169"/>
      <c r="BF113" s="169"/>
    </row>
    <row r="114" spans="1:58" ht="51.6" customHeight="1" outlineLevel="2" x14ac:dyDescent="0.25">
      <c r="A114" s="115"/>
      <c r="B114" s="200"/>
      <c r="C114" s="201"/>
      <c r="D114" s="203"/>
      <c r="E114" s="323"/>
      <c r="F114" s="308"/>
      <c r="G114" s="309"/>
      <c r="H114" s="199" t="s">
        <v>547</v>
      </c>
      <c r="I114" s="130" t="s">
        <v>4</v>
      </c>
      <c r="J114" s="126">
        <v>2</v>
      </c>
      <c r="K114" s="126">
        <v>7</v>
      </c>
      <c r="L114" s="125">
        <f>IF(I114&lt;&gt;0,((VLOOKUP(I114,'1. Standard_Cost'!$B$4:$D$11,2)+VLOOKUP(I114,'1. Standard_Cost'!$B$4:$D$11,3))*J114*K114),"0")</f>
        <v>1130500</v>
      </c>
      <c r="M114" s="125">
        <f>L114*'1. Standard_Cost'!$F$4</f>
        <v>188793.5</v>
      </c>
      <c r="N114" s="126"/>
      <c r="O114" s="126"/>
      <c r="P114" s="126"/>
      <c r="Q114" s="126"/>
      <c r="R114" s="127">
        <f>'1. Standard_Cost'!$B$15*N114*P114</f>
        <v>0</v>
      </c>
      <c r="S114" s="127">
        <f>N114*O114*P114*'1. Standard_Cost'!$C$15</f>
        <v>0</v>
      </c>
      <c r="T114" s="127">
        <f>N114*P114*Q114*'1. Standard_Cost'!$D$15</f>
        <v>0</v>
      </c>
      <c r="U114" s="127">
        <f>N114*O114*'1. Standard_Cost'!$E$15</f>
        <v>0</v>
      </c>
      <c r="V114" s="126"/>
      <c r="W114" s="126"/>
      <c r="X114" s="126"/>
      <c r="Y114" s="127">
        <f>+V114*((X114*'1. Standard_Cost'!$B$19)+(W114*X114*'1. Standard_Cost'!$C$19))</f>
        <v>0</v>
      </c>
      <c r="Z114" s="126"/>
      <c r="AA114" s="126">
        <v>25</v>
      </c>
      <c r="AB114" s="127">
        <f>+Z114*'1. Standard_Cost'!$B$23+AA114*'1. Standard_Cost'!$C$23</f>
        <v>475000</v>
      </c>
      <c r="AC114" s="128">
        <v>158320</v>
      </c>
      <c r="AD114" s="129"/>
      <c r="AE114" s="127">
        <f>SUM(AD114,AC114,AB114,Y114,U114,T114,S114,R114)*'1. Standard_Cost'!$B$31</f>
        <v>126664</v>
      </c>
      <c r="AF114" s="127">
        <f>SUM(AE114,AD114,AC114,AB114,Y114,U114,T114,S114,R114)</f>
        <v>759984</v>
      </c>
      <c r="AG114" s="126"/>
      <c r="AH114" s="126"/>
      <c r="AI114" s="126"/>
      <c r="AJ114" s="130"/>
      <c r="AK114" s="130"/>
      <c r="AL114" s="130"/>
      <c r="AM114" s="127">
        <f>AG114*'1. Standard_Cost'!$B$27+'Incremental_Cost Year 5'!AH114*'1. Standard_Cost'!$C$27+'Incremental_Cost Year 5'!AI114*'1. Standard_Cost'!$D$27+'Incremental_Cost Year 5'!AJ114+'Incremental_Cost Year 5'!AL114+AK114</f>
        <v>0</v>
      </c>
      <c r="AN114" s="127">
        <f>AM114*'1. Standard_Cost'!$C$31</f>
        <v>0</v>
      </c>
      <c r="AO114" s="130"/>
      <c r="AQ114" s="171">
        <f>L114+M114</f>
        <v>1319293.5</v>
      </c>
      <c r="AR114" s="171">
        <f>AF114</f>
        <v>759984</v>
      </c>
      <c r="AS114" s="171">
        <f>AM114+AN114</f>
        <v>0</v>
      </c>
      <c r="AT114" s="171">
        <f>SUM(AQ114,AR114,AS114)</f>
        <v>2079277.5</v>
      </c>
      <c r="AU114" s="250">
        <v>1509278</v>
      </c>
      <c r="AV114" s="250"/>
      <c r="AW114" s="250"/>
      <c r="AX114" s="250"/>
      <c r="AY114" s="250"/>
      <c r="AZ114" s="250"/>
      <c r="BA114" s="250"/>
      <c r="BB114" s="251">
        <f t="shared" si="74"/>
        <v>-569999.5</v>
      </c>
      <c r="BC114" s="169"/>
      <c r="BD114" s="169"/>
      <c r="BE114" s="169"/>
      <c r="BF114" s="169"/>
    </row>
    <row r="115" spans="1:58" ht="51.6" customHeight="1" outlineLevel="2" x14ac:dyDescent="0.25">
      <c r="A115" s="115"/>
      <c r="B115" s="200"/>
      <c r="C115" s="201"/>
      <c r="D115" s="203"/>
      <c r="E115" s="323"/>
      <c r="F115" s="308"/>
      <c r="G115" s="309"/>
      <c r="H115" s="199" t="s">
        <v>279</v>
      </c>
      <c r="I115" s="130"/>
      <c r="J115" s="126"/>
      <c r="K115" s="126"/>
      <c r="L115" s="125" t="str">
        <f>IF(I115&lt;&gt;0,((VLOOKUP(I115,'1. Standard_Cost'!$B$4:$D$11,2)+VLOOKUP(I115,'1. Standard_Cost'!$B$4:$D$11,3))*J115*K115),"0")</f>
        <v>0</v>
      </c>
      <c r="M115" s="125">
        <f>L115*'1. Standard_Cost'!$F$4</f>
        <v>0</v>
      </c>
      <c r="N115" s="126"/>
      <c r="O115" s="126"/>
      <c r="P115" s="126"/>
      <c r="Q115" s="126"/>
      <c r="R115" s="127">
        <f>'1. Standard_Cost'!$B$15*N115*P115</f>
        <v>0</v>
      </c>
      <c r="S115" s="127">
        <f>N115*O115*P115*'1. Standard_Cost'!$C$15</f>
        <v>0</v>
      </c>
      <c r="T115" s="127">
        <f>N115*P115*Q115*'1. Standard_Cost'!$D$15</f>
        <v>0</v>
      </c>
      <c r="U115" s="127">
        <f>N115*O115*'1. Standard_Cost'!$E$15</f>
        <v>0</v>
      </c>
      <c r="V115" s="126"/>
      <c r="W115" s="126"/>
      <c r="X115" s="126"/>
      <c r="Y115" s="127">
        <f>+V115*((X115*'1. Standard_Cost'!$B$19)+(W115*X115*'1. Standard_Cost'!$C$19))</f>
        <v>0</v>
      </c>
      <c r="Z115" s="126"/>
      <c r="AA115" s="126"/>
      <c r="AB115" s="127">
        <f>+Z115*'1. Standard_Cost'!$B$23+AA115*'1. Standard_Cost'!$C$23</f>
        <v>0</v>
      </c>
      <c r="AC115" s="128"/>
      <c r="AD115" s="129"/>
      <c r="AE115" s="127">
        <f>SUM(AD115,AC115,AB115,Y115,U115,T115,S115,R115)*'1. Standard_Cost'!$B$31</f>
        <v>0</v>
      </c>
      <c r="AF115" s="127">
        <f>SUM(AE115,AD115,AC115,AB115,Y115,U115,T115,S115,R115)</f>
        <v>0</v>
      </c>
      <c r="AG115" s="126"/>
      <c r="AH115" s="126"/>
      <c r="AI115" s="126"/>
      <c r="AJ115" s="130"/>
      <c r="AK115" s="130"/>
      <c r="AL115" s="130"/>
      <c r="AM115" s="127">
        <f>AG115*'1. Standard_Cost'!$B$27+'Incremental_Cost Year 5'!AH115*'1. Standard_Cost'!$C$27+'Incremental_Cost Year 5'!AI115*'1. Standard_Cost'!$D$27+'Incremental_Cost Year 5'!AJ115+'Incremental_Cost Year 5'!AL115+AK115</f>
        <v>0</v>
      </c>
      <c r="AN115" s="127">
        <f>AM115*'1. Standard_Cost'!$C$31</f>
        <v>0</v>
      </c>
      <c r="AO115" s="130"/>
      <c r="AQ115" s="171">
        <f>L115+M115</f>
        <v>0</v>
      </c>
      <c r="AR115" s="171">
        <f>AF115</f>
        <v>0</v>
      </c>
      <c r="AS115" s="171">
        <f>AM115+AN115</f>
        <v>0</v>
      </c>
      <c r="AT115" s="171">
        <f>SUM(AQ115,AR115,AS115)</f>
        <v>0</v>
      </c>
      <c r="AU115" s="250"/>
      <c r="AV115" s="250"/>
      <c r="AW115" s="250"/>
      <c r="AX115" s="250"/>
      <c r="AY115" s="250"/>
      <c r="AZ115" s="250"/>
      <c r="BA115" s="250"/>
      <c r="BB115" s="251">
        <f t="shared" si="74"/>
        <v>0</v>
      </c>
      <c r="BC115" s="169"/>
      <c r="BD115" s="169"/>
      <c r="BE115" s="169"/>
      <c r="BF115" s="169"/>
    </row>
    <row r="116" spans="1:58" ht="51.6" customHeight="1" outlineLevel="2" x14ac:dyDescent="0.25">
      <c r="A116" s="115"/>
      <c r="B116" s="200"/>
      <c r="C116" s="201"/>
      <c r="D116" s="211"/>
      <c r="E116" s="322"/>
      <c r="F116" s="311"/>
      <c r="G116" s="312"/>
      <c r="H116" s="199" t="s">
        <v>442</v>
      </c>
      <c r="I116" s="130"/>
      <c r="J116" s="126"/>
      <c r="K116" s="126"/>
      <c r="L116" s="125" t="str">
        <f>IF(I116&lt;&gt;0,((VLOOKUP(I116,'1. Standard_Cost'!$B$4:$D$11,2)+VLOOKUP(I116,'1. Standard_Cost'!$B$4:$D$11,3))*J116*K116),"0")</f>
        <v>0</v>
      </c>
      <c r="M116" s="125">
        <f>L116*'1. Standard_Cost'!$F$4</f>
        <v>0</v>
      </c>
      <c r="N116" s="126"/>
      <c r="O116" s="126"/>
      <c r="P116" s="126"/>
      <c r="Q116" s="126"/>
      <c r="R116" s="127">
        <f>'1. Standard_Cost'!$B$15*N116*P116</f>
        <v>0</v>
      </c>
      <c r="S116" s="127">
        <f>N116*O116*P116*'1. Standard_Cost'!$C$15</f>
        <v>0</v>
      </c>
      <c r="T116" s="127">
        <f>N116*P116*Q116*'1. Standard_Cost'!$D$15</f>
        <v>0</v>
      </c>
      <c r="U116" s="127">
        <f>N116*O116*'1. Standard_Cost'!$E$15</f>
        <v>0</v>
      </c>
      <c r="V116" s="126"/>
      <c r="W116" s="126"/>
      <c r="X116" s="126"/>
      <c r="Y116" s="127">
        <f>+V116*((X116*'1. Standard_Cost'!$B$19)+(W116*X116*'1. Standard_Cost'!$C$19))</f>
        <v>0</v>
      </c>
      <c r="Z116" s="126"/>
      <c r="AA116" s="126"/>
      <c r="AB116" s="127">
        <f>+Z116*'1. Standard_Cost'!$B$23+AA116*'1. Standard_Cost'!$C$23</f>
        <v>0</v>
      </c>
      <c r="AC116" s="128"/>
      <c r="AD116" s="129"/>
      <c r="AE116" s="127">
        <f>SUM(AD116,AC116,AB116,Y116,U116,T116,S116,R116)*'1. Standard_Cost'!$B$31</f>
        <v>0</v>
      </c>
      <c r="AF116" s="127">
        <f>SUM(AE116,AD116,AC116,AB116,Y116,U116,T116,S116,R116)</f>
        <v>0</v>
      </c>
      <c r="AG116" s="126"/>
      <c r="AH116" s="126"/>
      <c r="AI116" s="126"/>
      <c r="AJ116" s="130"/>
      <c r="AK116" s="130"/>
      <c r="AL116" s="130"/>
      <c r="AM116" s="127">
        <f>AG116*'1. Standard_Cost'!$B$27+'Incremental_Cost Year 5'!AH116*'1. Standard_Cost'!$C$27+'Incremental_Cost Year 5'!AI116*'1. Standard_Cost'!$D$27+'Incremental_Cost Year 5'!AJ116+'Incremental_Cost Year 5'!AL116+AK116</f>
        <v>0</v>
      </c>
      <c r="AN116" s="127">
        <f>AM116*'1. Standard_Cost'!$C$31</f>
        <v>0</v>
      </c>
      <c r="AO116" s="130"/>
      <c r="AQ116" s="171">
        <f>L116+M116</f>
        <v>0</v>
      </c>
      <c r="AR116" s="171">
        <f>AF116</f>
        <v>0</v>
      </c>
      <c r="AS116" s="171">
        <f>AM116+AN116</f>
        <v>0</v>
      </c>
      <c r="AT116" s="171">
        <f>SUM(AQ116,AR116,AS116)</f>
        <v>0</v>
      </c>
      <c r="AU116" s="250"/>
      <c r="AV116" s="250"/>
      <c r="AW116" s="250"/>
      <c r="AX116" s="250"/>
      <c r="AY116" s="250"/>
      <c r="AZ116" s="250"/>
      <c r="BA116" s="250"/>
      <c r="BB116" s="251">
        <f t="shared" si="74"/>
        <v>0</v>
      </c>
      <c r="BC116" s="169"/>
      <c r="BD116" s="169"/>
      <c r="BE116" s="169"/>
      <c r="BF116" s="169"/>
    </row>
    <row r="117" spans="1:58" ht="51.6" customHeight="1" outlineLevel="1" x14ac:dyDescent="0.25">
      <c r="A117" s="115"/>
      <c r="B117" s="165"/>
      <c r="C117" s="166"/>
      <c r="D117" s="229" t="s">
        <v>432</v>
      </c>
      <c r="E117" s="212" t="s">
        <v>280</v>
      </c>
      <c r="F117" s="136">
        <v>2021</v>
      </c>
      <c r="G117" s="117">
        <v>2030</v>
      </c>
      <c r="H117" s="110" t="s">
        <v>281</v>
      </c>
      <c r="I117" s="252"/>
      <c r="J117" s="252"/>
      <c r="K117" s="252"/>
      <c r="L117" s="127">
        <f>SUM(L112:L116)</f>
        <v>2562100</v>
      </c>
      <c r="M117" s="127">
        <f>SUM(M112:M116)</f>
        <v>427870.7</v>
      </c>
      <c r="N117" s="127"/>
      <c r="O117" s="252"/>
      <c r="P117" s="252"/>
      <c r="Q117" s="252"/>
      <c r="R117" s="127">
        <f>SUM(R112:R116)</f>
        <v>0</v>
      </c>
      <c r="S117" s="127">
        <f>SUM(S112:S116)</f>
        <v>0</v>
      </c>
      <c r="T117" s="127">
        <f>SUM(T112:T116)</f>
        <v>0</v>
      </c>
      <c r="U117" s="127">
        <f>SUM(U112:U116)</f>
        <v>0</v>
      </c>
      <c r="V117" s="252"/>
      <c r="W117" s="252"/>
      <c r="X117" s="252"/>
      <c r="Y117" s="127">
        <f>SUM(Y112:Y116)</f>
        <v>0</v>
      </c>
      <c r="Z117" s="252"/>
      <c r="AA117" s="252"/>
      <c r="AB117" s="127">
        <f>SUM(AB112:AB116)</f>
        <v>475000</v>
      </c>
      <c r="AC117" s="127">
        <f>SUM(AC112:AC116)</f>
        <v>358920</v>
      </c>
      <c r="AD117" s="127">
        <f>SUM(AD112:AD116)</f>
        <v>0</v>
      </c>
      <c r="AE117" s="127">
        <f>SUM(AE112:AE116)</f>
        <v>166784</v>
      </c>
      <c r="AF117" s="127">
        <f>SUM(AF112:AF116)</f>
        <v>1000704</v>
      </c>
      <c r="AG117" s="252"/>
      <c r="AH117" s="252"/>
      <c r="AI117" s="252"/>
      <c r="AJ117" s="127">
        <f>SUM(AJ112:AJ116)</f>
        <v>0</v>
      </c>
      <c r="AK117" s="127">
        <f>SUM(AK112:AK116)</f>
        <v>0</v>
      </c>
      <c r="AL117" s="127">
        <f>SUM(AL112:AL116)</f>
        <v>0</v>
      </c>
      <c r="AM117" s="127">
        <f>SUM(AM112:AM116)</f>
        <v>0</v>
      </c>
      <c r="AN117" s="127">
        <f>SUM(AN112:AN116)</f>
        <v>0</v>
      </c>
      <c r="AO117" s="253"/>
      <c r="AP117" s="254"/>
      <c r="AQ117" s="175">
        <f>SUM(AQ112:AQ116)</f>
        <v>2989970.7</v>
      </c>
      <c r="AR117" s="175">
        <f>SUM(AR112:AR116)</f>
        <v>1000704</v>
      </c>
      <c r="AS117" s="175">
        <f>SUM(AS112:AS116)</f>
        <v>0</v>
      </c>
      <c r="AT117" s="175">
        <f>SUM(AT112:AT116)</f>
        <v>3990674.7</v>
      </c>
      <c r="AU117" s="175">
        <f t="shared" ref="AU117:BB117" si="75">SUM(AU112:AU116)</f>
        <v>3420675</v>
      </c>
      <c r="AV117" s="175">
        <f t="shared" si="75"/>
        <v>0</v>
      </c>
      <c r="AW117" s="175">
        <f t="shared" si="75"/>
        <v>0</v>
      </c>
      <c r="AX117" s="175">
        <f t="shared" si="75"/>
        <v>0</v>
      </c>
      <c r="AY117" s="175">
        <f t="shared" si="75"/>
        <v>0</v>
      </c>
      <c r="AZ117" s="175">
        <f t="shared" si="75"/>
        <v>0</v>
      </c>
      <c r="BA117" s="175">
        <f t="shared" si="75"/>
        <v>0</v>
      </c>
      <c r="BB117" s="175">
        <f t="shared" si="75"/>
        <v>-569999.69999999995</v>
      </c>
      <c r="BC117" s="169"/>
      <c r="BD117" s="169"/>
      <c r="BE117" s="169"/>
      <c r="BF117" s="169"/>
    </row>
    <row r="118" spans="1:58" s="184" customFormat="1" ht="51.6" customHeight="1" x14ac:dyDescent="0.25">
      <c r="A118" s="143"/>
      <c r="B118" s="290"/>
      <c r="C118" s="391" t="s">
        <v>282</v>
      </c>
      <c r="D118" s="391"/>
      <c r="E118" s="392"/>
      <c r="F118" s="291"/>
      <c r="G118" s="291"/>
      <c r="H118" s="144" t="s">
        <v>266</v>
      </c>
      <c r="I118" s="257"/>
      <c r="J118" s="257"/>
      <c r="K118" s="257"/>
      <c r="L118" s="258">
        <f>SUM(L122)</f>
        <v>1512000</v>
      </c>
      <c r="M118" s="258">
        <f>SUM(M122)</f>
        <v>252504</v>
      </c>
      <c r="N118" s="257"/>
      <c r="O118" s="257"/>
      <c r="P118" s="257"/>
      <c r="Q118" s="257"/>
      <c r="R118" s="258">
        <f>SUM(R122)</f>
        <v>0</v>
      </c>
      <c r="S118" s="258">
        <f>SUM(S122)</f>
        <v>0</v>
      </c>
      <c r="T118" s="258">
        <f>SUM(T122)</f>
        <v>0</v>
      </c>
      <c r="U118" s="258">
        <f>SUM(U122)</f>
        <v>0</v>
      </c>
      <c r="V118" s="257"/>
      <c r="W118" s="257"/>
      <c r="X118" s="257"/>
      <c r="Y118" s="258">
        <f>SUM(Y122)</f>
        <v>0</v>
      </c>
      <c r="Z118" s="258"/>
      <c r="AA118" s="258"/>
      <c r="AB118" s="258">
        <f>SUM(AB122)</f>
        <v>0</v>
      </c>
      <c r="AC118" s="258">
        <f>SUM(AC122)</f>
        <v>265000</v>
      </c>
      <c r="AD118" s="258">
        <f>SUM(AD122)</f>
        <v>0</v>
      </c>
      <c r="AE118" s="258">
        <f>SUM(AE122)</f>
        <v>53000</v>
      </c>
      <c r="AF118" s="258">
        <f>SUM(AF122)</f>
        <v>318000</v>
      </c>
      <c r="AG118" s="257"/>
      <c r="AH118" s="257"/>
      <c r="AI118" s="257"/>
      <c r="AJ118" s="258">
        <f>SUM(AJ122)</f>
        <v>0</v>
      </c>
      <c r="AK118" s="258">
        <f>SUM(AK122)</f>
        <v>0</v>
      </c>
      <c r="AL118" s="258">
        <f>SUM(AL122)</f>
        <v>0</v>
      </c>
      <c r="AM118" s="258">
        <f>SUM(AM122)</f>
        <v>0</v>
      </c>
      <c r="AN118" s="258">
        <f>SUM(AN122)</f>
        <v>0</v>
      </c>
      <c r="AO118" s="259"/>
      <c r="AP118" s="260"/>
      <c r="AQ118" s="261">
        <f>SUM(AQ122)</f>
        <v>1764504</v>
      </c>
      <c r="AR118" s="261">
        <f>SUM(AR122)</f>
        <v>318000</v>
      </c>
      <c r="AS118" s="261">
        <f>SUM(AS122)</f>
        <v>0</v>
      </c>
      <c r="AT118" s="261">
        <f>SUM(AT122)</f>
        <v>2082504</v>
      </c>
      <c r="AU118" s="261">
        <f t="shared" ref="AU118:BA118" si="76">SUM(AU122)</f>
        <v>2082504</v>
      </c>
      <c r="AV118" s="261">
        <f t="shared" si="76"/>
        <v>0</v>
      </c>
      <c r="AW118" s="261">
        <f t="shared" si="76"/>
        <v>0</v>
      </c>
      <c r="AX118" s="261">
        <f t="shared" si="76"/>
        <v>0</v>
      </c>
      <c r="AY118" s="261">
        <f t="shared" si="76"/>
        <v>0</v>
      </c>
      <c r="AZ118" s="261">
        <f t="shared" si="76"/>
        <v>0</v>
      </c>
      <c r="BA118" s="261">
        <f t="shared" si="76"/>
        <v>0</v>
      </c>
      <c r="BB118" s="261">
        <f>SUM(BB122)</f>
        <v>0</v>
      </c>
    </row>
    <row r="119" spans="1:58" ht="51.6" customHeight="1" outlineLevel="2" x14ac:dyDescent="0.25">
      <c r="A119" s="115"/>
      <c r="B119" s="200"/>
      <c r="C119" s="201"/>
      <c r="D119" s="348"/>
      <c r="E119" s="321"/>
      <c r="F119" s="306"/>
      <c r="G119" s="307"/>
      <c r="H119" s="199" t="s">
        <v>443</v>
      </c>
      <c r="I119" s="130"/>
      <c r="J119" s="126"/>
      <c r="K119" s="126"/>
      <c r="L119" s="125" t="str">
        <f>IF(I119&lt;&gt;0,((VLOOKUP(I119,'1. Standard_Cost'!$B$4:$D$11,2)+VLOOKUP(I119,'1. Standard_Cost'!$B$4:$D$11,3))*J119*K119),"0")</f>
        <v>0</v>
      </c>
      <c r="M119" s="125">
        <f>L119*'1. Standard_Cost'!$F$4</f>
        <v>0</v>
      </c>
      <c r="N119" s="126"/>
      <c r="O119" s="126"/>
      <c r="P119" s="126"/>
      <c r="Q119" s="126"/>
      <c r="R119" s="127">
        <f>'1. Standard_Cost'!$B$15*N119*P119</f>
        <v>0</v>
      </c>
      <c r="S119" s="127">
        <f>N119*O119*P119*'1. Standard_Cost'!$C$15</f>
        <v>0</v>
      </c>
      <c r="T119" s="127">
        <f>N119*P119*Q119*'1. Standard_Cost'!$D$15</f>
        <v>0</v>
      </c>
      <c r="U119" s="127">
        <f>N119*O119*'1. Standard_Cost'!$E$15</f>
        <v>0</v>
      </c>
      <c r="V119" s="126"/>
      <c r="W119" s="126"/>
      <c r="X119" s="126"/>
      <c r="Y119" s="127">
        <f>+V119*((X119*'1. Standard_Cost'!$B$19)+(W119*X119*'1. Standard_Cost'!$C$19))</f>
        <v>0</v>
      </c>
      <c r="Z119" s="126"/>
      <c r="AA119" s="126"/>
      <c r="AB119" s="127">
        <f>+Z119*'1. Standard_Cost'!$B$23+AA119*'1. Standard_Cost'!$C$23</f>
        <v>0</v>
      </c>
      <c r="AC119" s="128"/>
      <c r="AD119" s="129"/>
      <c r="AE119" s="127">
        <f>SUM(AD119,AC119,AB119,Y119,U119,T119,S119,R119)*'1. Standard_Cost'!$B$31</f>
        <v>0</v>
      </c>
      <c r="AF119" s="127">
        <f>SUM(AE119,AD119,AC119,AB119,Y119,U119,T119,S119,R119)</f>
        <v>0</v>
      </c>
      <c r="AG119" s="126"/>
      <c r="AH119" s="126"/>
      <c r="AI119" s="126"/>
      <c r="AJ119" s="130"/>
      <c r="AK119" s="130"/>
      <c r="AL119" s="130"/>
      <c r="AM119" s="127">
        <f>AG119*'1. Standard_Cost'!$B$27+'Incremental_Cost Year 5'!AH119*'1. Standard_Cost'!$C$27+'Incremental_Cost Year 5'!AI119*'1. Standard_Cost'!$D$27+'Incremental_Cost Year 5'!AJ119+'Incremental_Cost Year 5'!AL119+AK119</f>
        <v>0</v>
      </c>
      <c r="AN119" s="127">
        <f>AM119*'1. Standard_Cost'!$C$31</f>
        <v>0</v>
      </c>
      <c r="AO119" s="130"/>
      <c r="AQ119" s="171">
        <f>L119+M119</f>
        <v>0</v>
      </c>
      <c r="AR119" s="171">
        <f>AF119</f>
        <v>0</v>
      </c>
      <c r="AS119" s="171">
        <f>AM119+AN119</f>
        <v>0</v>
      </c>
      <c r="AT119" s="171">
        <f>SUM(AQ119,AR119,AS119)</f>
        <v>0</v>
      </c>
      <c r="AU119" s="250"/>
      <c r="AV119" s="250"/>
      <c r="AW119" s="250"/>
      <c r="AX119" s="250"/>
      <c r="AY119" s="250"/>
      <c r="AZ119" s="250"/>
      <c r="BA119" s="250"/>
      <c r="BB119" s="251">
        <f t="shared" ref="BB119:BB121" si="77">SUM(AU119:BA119)-AT119</f>
        <v>0</v>
      </c>
      <c r="BC119" s="169"/>
      <c r="BD119" s="169"/>
      <c r="BE119" s="169"/>
      <c r="BF119" s="169"/>
    </row>
    <row r="120" spans="1:58" ht="51.6" customHeight="1" outlineLevel="2" x14ac:dyDescent="0.25">
      <c r="A120" s="115"/>
      <c r="B120" s="200"/>
      <c r="C120" s="201"/>
      <c r="D120" s="132"/>
      <c r="E120" s="323"/>
      <c r="F120" s="308"/>
      <c r="G120" s="309"/>
      <c r="H120" s="199" t="s">
        <v>444</v>
      </c>
      <c r="I120" s="130"/>
      <c r="J120" s="126"/>
      <c r="K120" s="126"/>
      <c r="L120" s="125" t="str">
        <f>IF(I120&lt;&gt;0,((VLOOKUP(I120,'1. Standard_Cost'!$B$4:$D$11,2)+VLOOKUP(I120,'1. Standard_Cost'!$B$4:$D$11,3))*J120*K120),"0")</f>
        <v>0</v>
      </c>
      <c r="M120" s="125">
        <f>L120*'1. Standard_Cost'!$F$4</f>
        <v>0</v>
      </c>
      <c r="N120" s="126"/>
      <c r="O120" s="126"/>
      <c r="P120" s="126"/>
      <c r="Q120" s="126"/>
      <c r="R120" s="127">
        <f>'1. Standard_Cost'!$B$15*N120*P120</f>
        <v>0</v>
      </c>
      <c r="S120" s="127">
        <f>N120*O120*P120*'1. Standard_Cost'!$C$15</f>
        <v>0</v>
      </c>
      <c r="T120" s="127">
        <f>N120*P120*Q120*'1. Standard_Cost'!$D$15</f>
        <v>0</v>
      </c>
      <c r="U120" s="127">
        <f>N120*O120*'1. Standard_Cost'!$E$15</f>
        <v>0</v>
      </c>
      <c r="V120" s="126"/>
      <c r="W120" s="126"/>
      <c r="X120" s="126"/>
      <c r="Y120" s="127">
        <f>+V120*((X120*'1. Standard_Cost'!$B$19)+(W120*X120*'1. Standard_Cost'!$C$19))</f>
        <v>0</v>
      </c>
      <c r="Z120" s="126"/>
      <c r="AA120" s="126"/>
      <c r="AB120" s="127">
        <f>+Z120*'1. Standard_Cost'!$B$23+AA120*'1. Standard_Cost'!$C$23</f>
        <v>0</v>
      </c>
      <c r="AC120" s="128"/>
      <c r="AD120" s="129"/>
      <c r="AE120" s="127">
        <f>SUM(AD120,AC120,AB120,Y120,U120,T120,S120,R120)*'1. Standard_Cost'!$B$31</f>
        <v>0</v>
      </c>
      <c r="AF120" s="127">
        <f>SUM(AE120,AD120,AC120,AB120,Y120,U120,T120,S120,R120)</f>
        <v>0</v>
      </c>
      <c r="AG120" s="126"/>
      <c r="AH120" s="126"/>
      <c r="AI120" s="126"/>
      <c r="AJ120" s="130"/>
      <c r="AK120" s="130"/>
      <c r="AL120" s="130"/>
      <c r="AM120" s="127">
        <f>AG120*'1. Standard_Cost'!$B$27+'Incremental_Cost Year 5'!AH120*'1. Standard_Cost'!$C$27+'Incremental_Cost Year 5'!AI120*'1. Standard_Cost'!$D$27+'Incremental_Cost Year 5'!AJ120+'Incremental_Cost Year 5'!AL120+AK120</f>
        <v>0</v>
      </c>
      <c r="AN120" s="127">
        <f>AM120*'1. Standard_Cost'!$C$31</f>
        <v>0</v>
      </c>
      <c r="AO120" s="130"/>
      <c r="AQ120" s="171">
        <f>L120+M120</f>
        <v>0</v>
      </c>
      <c r="AR120" s="171">
        <f>AF120</f>
        <v>0</v>
      </c>
      <c r="AS120" s="171">
        <f>AM120+AN120</f>
        <v>0</v>
      </c>
      <c r="AT120" s="171">
        <f>SUM(AQ120,AR120,AS120)</f>
        <v>0</v>
      </c>
      <c r="AU120" s="250"/>
      <c r="AV120" s="250"/>
      <c r="AW120" s="250"/>
      <c r="AX120" s="250"/>
      <c r="AY120" s="250"/>
      <c r="AZ120" s="250"/>
      <c r="BA120" s="250"/>
      <c r="BB120" s="251">
        <f t="shared" si="77"/>
        <v>0</v>
      </c>
      <c r="BC120" s="169"/>
      <c r="BD120" s="169"/>
      <c r="BE120" s="169"/>
      <c r="BF120" s="169"/>
    </row>
    <row r="121" spans="1:58" ht="51.6" customHeight="1" outlineLevel="2" x14ac:dyDescent="0.25">
      <c r="A121" s="115"/>
      <c r="B121" s="200"/>
      <c r="C121" s="201"/>
      <c r="D121" s="349"/>
      <c r="E121" s="322"/>
      <c r="F121" s="311"/>
      <c r="G121" s="312"/>
      <c r="H121" s="199" t="s">
        <v>445</v>
      </c>
      <c r="I121" s="130" t="s">
        <v>3</v>
      </c>
      <c r="J121" s="126">
        <v>3</v>
      </c>
      <c r="K121" s="126">
        <v>5</v>
      </c>
      <c r="L121" s="125">
        <f>IF(I121&lt;&gt;0,((VLOOKUP(I121,'1. Standard_Cost'!$B$4:$D$11,2)+VLOOKUP(I121,'1. Standard_Cost'!$B$4:$D$11,3))*J121*K121),"0")</f>
        <v>1512000</v>
      </c>
      <c r="M121" s="125">
        <f>L121*'1. Standard_Cost'!$F$4</f>
        <v>252504</v>
      </c>
      <c r="N121" s="126"/>
      <c r="O121" s="126"/>
      <c r="P121" s="126"/>
      <c r="Q121" s="126"/>
      <c r="R121" s="127">
        <f>'1. Standard_Cost'!$B$15*N121*P121</f>
        <v>0</v>
      </c>
      <c r="S121" s="127">
        <f>N121*O121*P121*'1. Standard_Cost'!$C$15</f>
        <v>0</v>
      </c>
      <c r="T121" s="127">
        <f>N121*P121*Q121*'1. Standard_Cost'!$D$15</f>
        <v>0</v>
      </c>
      <c r="U121" s="127">
        <f>N121*O121*'1. Standard_Cost'!$E$15</f>
        <v>0</v>
      </c>
      <c r="V121" s="126"/>
      <c r="W121" s="126"/>
      <c r="X121" s="126"/>
      <c r="Y121" s="127">
        <f>+V121*((X121*'1. Standard_Cost'!$B$19)+(W121*X121*'1. Standard_Cost'!$C$19))</f>
        <v>0</v>
      </c>
      <c r="Z121" s="126"/>
      <c r="AA121" s="126"/>
      <c r="AB121" s="127">
        <f>+Z121*'1. Standard_Cost'!$B$23+AA121*'1. Standard_Cost'!$C$23</f>
        <v>0</v>
      </c>
      <c r="AC121" s="128">
        <v>265000</v>
      </c>
      <c r="AD121" s="129"/>
      <c r="AE121" s="127">
        <f>SUM(AD121,AC121,AB121,Y121,U121,T121,S121,R121)*'1. Standard_Cost'!$B$31</f>
        <v>53000</v>
      </c>
      <c r="AF121" s="127">
        <f>SUM(AE121,AD121,AC121,AB121,Y121,U121,T121,S121,R121)</f>
        <v>318000</v>
      </c>
      <c r="AG121" s="126"/>
      <c r="AH121" s="126"/>
      <c r="AI121" s="126"/>
      <c r="AJ121" s="130"/>
      <c r="AK121" s="130"/>
      <c r="AL121" s="130"/>
      <c r="AM121" s="127">
        <f>AG121*'1. Standard_Cost'!$B$27+'Incremental_Cost Year 5'!AH121*'1. Standard_Cost'!$C$27+'Incremental_Cost Year 5'!AI121*'1. Standard_Cost'!$D$27+'Incremental_Cost Year 5'!AJ121+'Incremental_Cost Year 5'!AL121+AK121</f>
        <v>0</v>
      </c>
      <c r="AN121" s="127">
        <f>AM121*'1. Standard_Cost'!$C$31</f>
        <v>0</v>
      </c>
      <c r="AO121" s="130"/>
      <c r="AQ121" s="171">
        <f>L121+M121</f>
        <v>1764504</v>
      </c>
      <c r="AR121" s="171">
        <f>AF121</f>
        <v>318000</v>
      </c>
      <c r="AS121" s="171">
        <f>AM121+AN121</f>
        <v>0</v>
      </c>
      <c r="AT121" s="171">
        <f>SUM(AQ121,AR121,AS121)</f>
        <v>2082504</v>
      </c>
      <c r="AU121" s="250">
        <v>2082504</v>
      </c>
      <c r="AV121" s="250"/>
      <c r="AW121" s="250"/>
      <c r="AX121" s="250"/>
      <c r="AY121" s="250"/>
      <c r="AZ121" s="250"/>
      <c r="BA121" s="250"/>
      <c r="BB121" s="251">
        <f t="shared" si="77"/>
        <v>0</v>
      </c>
      <c r="BC121" s="169"/>
      <c r="BD121" s="169"/>
      <c r="BE121" s="169"/>
      <c r="BF121" s="169"/>
    </row>
    <row r="122" spans="1:58" ht="51.6" customHeight="1" outlineLevel="1" x14ac:dyDescent="0.25">
      <c r="A122" s="115"/>
      <c r="B122" s="200"/>
      <c r="C122" s="201"/>
      <c r="D122" s="146" t="s">
        <v>432</v>
      </c>
      <c r="E122" s="212" t="s">
        <v>283</v>
      </c>
      <c r="F122" s="136">
        <v>2022</v>
      </c>
      <c r="G122" s="117">
        <v>2025</v>
      </c>
      <c r="H122" s="110" t="s">
        <v>268</v>
      </c>
      <c r="I122" s="252"/>
      <c r="J122" s="252"/>
      <c r="K122" s="252"/>
      <c r="L122" s="127">
        <f>SUM(L119:L121)</f>
        <v>1512000</v>
      </c>
      <c r="M122" s="127">
        <f>SUM(M119:M121)</f>
        <v>252504</v>
      </c>
      <c r="N122" s="127"/>
      <c r="O122" s="252"/>
      <c r="P122" s="252"/>
      <c r="Q122" s="252"/>
      <c r="R122" s="127">
        <f>SUM(R119:R121)</f>
        <v>0</v>
      </c>
      <c r="S122" s="127">
        <f>SUM(S119:S121)</f>
        <v>0</v>
      </c>
      <c r="T122" s="127">
        <f>SUM(T119:T121)</f>
        <v>0</v>
      </c>
      <c r="U122" s="127">
        <f>SUM(U119:U121)</f>
        <v>0</v>
      </c>
      <c r="V122" s="252"/>
      <c r="W122" s="252"/>
      <c r="X122" s="252"/>
      <c r="Y122" s="127">
        <f>SUM(Y119:Y121)</f>
        <v>0</v>
      </c>
      <c r="Z122" s="252"/>
      <c r="AA122" s="252"/>
      <c r="AB122" s="127">
        <f>SUM(AB119:AB121)</f>
        <v>0</v>
      </c>
      <c r="AC122" s="127">
        <f>SUM(AC119:AC121)</f>
        <v>265000</v>
      </c>
      <c r="AD122" s="127">
        <f>SUM(AD119:AD121)</f>
        <v>0</v>
      </c>
      <c r="AE122" s="127">
        <f>SUM(AE119:AE121)</f>
        <v>53000</v>
      </c>
      <c r="AF122" s="127">
        <f>SUM(AF119:AF121)</f>
        <v>318000</v>
      </c>
      <c r="AG122" s="252"/>
      <c r="AH122" s="252"/>
      <c r="AI122" s="252"/>
      <c r="AJ122" s="127">
        <f>SUM(AJ119:AJ121)</f>
        <v>0</v>
      </c>
      <c r="AK122" s="127">
        <f>SUM(AK119:AK121)</f>
        <v>0</v>
      </c>
      <c r="AL122" s="127">
        <f>SUM(AL119:AL121)</f>
        <v>0</v>
      </c>
      <c r="AM122" s="127">
        <f>SUM(AM119:AM121)</f>
        <v>0</v>
      </c>
      <c r="AN122" s="127">
        <f>SUM(AN119:AN121)</f>
        <v>0</v>
      </c>
      <c r="AO122" s="253"/>
      <c r="AP122" s="254"/>
      <c r="AQ122" s="175">
        <f>SUM(AQ119:AQ121)</f>
        <v>1764504</v>
      </c>
      <c r="AR122" s="175">
        <f>SUM(AR119:AR121)</f>
        <v>318000</v>
      </c>
      <c r="AS122" s="175">
        <f>SUM(AS119:AS121)</f>
        <v>0</v>
      </c>
      <c r="AT122" s="175">
        <f>SUM(AT119:AT121)</f>
        <v>2082504</v>
      </c>
      <c r="AU122" s="175">
        <f t="shared" ref="AU122:BB122" si="78">SUM(AU119:AU121)</f>
        <v>2082504</v>
      </c>
      <c r="AV122" s="175">
        <f t="shared" si="78"/>
        <v>0</v>
      </c>
      <c r="AW122" s="175">
        <f t="shared" si="78"/>
        <v>0</v>
      </c>
      <c r="AX122" s="175">
        <f t="shared" si="78"/>
        <v>0</v>
      </c>
      <c r="AY122" s="175">
        <f t="shared" si="78"/>
        <v>0</v>
      </c>
      <c r="AZ122" s="175">
        <f t="shared" si="78"/>
        <v>0</v>
      </c>
      <c r="BA122" s="175">
        <f t="shared" si="78"/>
        <v>0</v>
      </c>
      <c r="BB122" s="175">
        <f t="shared" si="78"/>
        <v>0</v>
      </c>
      <c r="BC122" s="169"/>
      <c r="BD122" s="169"/>
      <c r="BE122" s="169"/>
      <c r="BF122" s="169"/>
    </row>
    <row r="123" spans="1:58" s="184" customFormat="1" ht="51.6" customHeight="1" x14ac:dyDescent="0.25">
      <c r="A123" s="143"/>
      <c r="B123" s="290"/>
      <c r="C123" s="391" t="s">
        <v>287</v>
      </c>
      <c r="D123" s="391"/>
      <c r="E123" s="392"/>
      <c r="F123" s="291"/>
      <c r="G123" s="289"/>
      <c r="H123" s="144" t="s">
        <v>288</v>
      </c>
      <c r="I123" s="257"/>
      <c r="J123" s="257"/>
      <c r="K123" s="257"/>
      <c r="L123" s="258">
        <f>SUM(L133)</f>
        <v>64119942.857142858</v>
      </c>
      <c r="M123" s="258">
        <f>SUM(M133)</f>
        <v>10708030.457142858</v>
      </c>
      <c r="N123" s="257"/>
      <c r="O123" s="257"/>
      <c r="P123" s="257"/>
      <c r="Q123" s="257"/>
      <c r="R123" s="258">
        <f>SUM(R133)</f>
        <v>0</v>
      </c>
      <c r="S123" s="258">
        <f>SUM(S133)</f>
        <v>0</v>
      </c>
      <c r="T123" s="258">
        <f>SUM(T133)</f>
        <v>0</v>
      </c>
      <c r="U123" s="258">
        <f>SUM(U133)</f>
        <v>0</v>
      </c>
      <c r="V123" s="257"/>
      <c r="W123" s="257"/>
      <c r="X123" s="257"/>
      <c r="Y123" s="258">
        <f>SUM(Y133)</f>
        <v>0</v>
      </c>
      <c r="Z123" s="258"/>
      <c r="AA123" s="258"/>
      <c r="AB123" s="258">
        <f>SUM(AB133)</f>
        <v>0</v>
      </c>
      <c r="AC123" s="258">
        <f>SUM(AC133)</f>
        <v>10872553</v>
      </c>
      <c r="AD123" s="258">
        <f>SUM(AD133)</f>
        <v>0</v>
      </c>
      <c r="AE123" s="258">
        <f>SUM(AE133)</f>
        <v>2174510.6</v>
      </c>
      <c r="AF123" s="258">
        <f>SUM(AF133)</f>
        <v>13047063.6</v>
      </c>
      <c r="AG123" s="257"/>
      <c r="AH123" s="257"/>
      <c r="AI123" s="257"/>
      <c r="AJ123" s="258">
        <f>SUM(AJ133)</f>
        <v>0</v>
      </c>
      <c r="AK123" s="258">
        <f>SUM(AK133)</f>
        <v>0</v>
      </c>
      <c r="AL123" s="258">
        <f>SUM(AL133)</f>
        <v>0</v>
      </c>
      <c r="AM123" s="258">
        <f>SUM(AM133)</f>
        <v>0</v>
      </c>
      <c r="AN123" s="258">
        <f>SUM(AN133)</f>
        <v>0</v>
      </c>
      <c r="AO123" s="259"/>
      <c r="AP123" s="260"/>
      <c r="AQ123" s="261">
        <f>SUM(AQ133)</f>
        <v>74827973.314285725</v>
      </c>
      <c r="AR123" s="261">
        <f>SUM(AR133)</f>
        <v>13047063.6</v>
      </c>
      <c r="AS123" s="261">
        <f>SUM(AS133)</f>
        <v>0</v>
      </c>
      <c r="AT123" s="261">
        <f>SUM(AT133)</f>
        <v>87875036.914285704</v>
      </c>
      <c r="AU123" s="261">
        <f t="shared" ref="AU123:BB123" si="79">SUM(AU133)</f>
        <v>87875038</v>
      </c>
      <c r="AV123" s="261">
        <f t="shared" si="79"/>
        <v>0</v>
      </c>
      <c r="AW123" s="261">
        <f t="shared" si="79"/>
        <v>0</v>
      </c>
      <c r="AX123" s="261">
        <f t="shared" si="79"/>
        <v>0</v>
      </c>
      <c r="AY123" s="261">
        <f t="shared" si="79"/>
        <v>0</v>
      </c>
      <c r="AZ123" s="261">
        <f t="shared" si="79"/>
        <v>0</v>
      </c>
      <c r="BA123" s="261">
        <f t="shared" si="79"/>
        <v>0</v>
      </c>
      <c r="BB123" s="261">
        <f t="shared" si="79"/>
        <v>1.0857142880558968</v>
      </c>
    </row>
    <row r="124" spans="1:58" ht="51.6" customHeight="1" outlineLevel="2" x14ac:dyDescent="0.25">
      <c r="A124" s="115"/>
      <c r="B124" s="200"/>
      <c r="C124" s="201"/>
      <c r="D124" s="346"/>
      <c r="E124" s="321"/>
      <c r="F124" s="306"/>
      <c r="G124" s="307"/>
      <c r="H124" s="199" t="s">
        <v>549</v>
      </c>
      <c r="I124" s="130"/>
      <c r="J124" s="126"/>
      <c r="K124" s="126"/>
      <c r="L124" s="125" t="str">
        <f>IF(I124&lt;&gt;0,((VLOOKUP(I124,'1. Standard_Cost'!$B$4:$D$11,2)+VLOOKUP(I124,'1. Standard_Cost'!$B$4:$D$11,3))*J124*K124),"0")</f>
        <v>0</v>
      </c>
      <c r="M124" s="125">
        <f>L124*'1. Standard_Cost'!$F$4</f>
        <v>0</v>
      </c>
      <c r="N124" s="126"/>
      <c r="O124" s="126"/>
      <c r="P124" s="126"/>
      <c r="Q124" s="126"/>
      <c r="R124" s="127">
        <f>'1. Standard_Cost'!$B$15*N124*P124</f>
        <v>0</v>
      </c>
      <c r="S124" s="127">
        <f>N124*O124*P124*'1. Standard_Cost'!$C$15</f>
        <v>0</v>
      </c>
      <c r="T124" s="127">
        <f>N124*P124*Q124*'1. Standard_Cost'!$D$15</f>
        <v>0</v>
      </c>
      <c r="U124" s="127">
        <f>N124*O124*'1. Standard_Cost'!$E$15</f>
        <v>0</v>
      </c>
      <c r="V124" s="126"/>
      <c r="W124" s="126"/>
      <c r="X124" s="126"/>
      <c r="Y124" s="127">
        <f>+V124*((X124*'1. Standard_Cost'!$B$19)+(W124*X124*'1. Standard_Cost'!$C$19))</f>
        <v>0</v>
      </c>
      <c r="Z124" s="126"/>
      <c r="AA124" s="126"/>
      <c r="AB124" s="127">
        <f>+Z124*'1. Standard_Cost'!$B$23+AA124*'1. Standard_Cost'!$C$23</f>
        <v>0</v>
      </c>
      <c r="AC124" s="128"/>
      <c r="AD124" s="129"/>
      <c r="AE124" s="127">
        <f>SUM(AD124,AC124,AB124,Y124,U124,T124,S124,R124)*'1. Standard_Cost'!$B$31</f>
        <v>0</v>
      </c>
      <c r="AF124" s="127">
        <f t="shared" ref="AF124:AF132" si="80">SUM(AE124,AD124,AC124,AB124,Y124,U124,T124,S124,R124)</f>
        <v>0</v>
      </c>
      <c r="AG124" s="126"/>
      <c r="AH124" s="126"/>
      <c r="AI124" s="126"/>
      <c r="AJ124" s="130"/>
      <c r="AK124" s="130"/>
      <c r="AL124" s="130"/>
      <c r="AM124" s="127">
        <f>AG124*'1. Standard_Cost'!$B$27+'Incremental_Cost Year 5'!AH124*'1. Standard_Cost'!$C$27+'Incremental_Cost Year 5'!AI124*'1. Standard_Cost'!$D$27+'Incremental_Cost Year 5'!AJ124+'Incremental_Cost Year 5'!AL124+AK124</f>
        <v>0</v>
      </c>
      <c r="AN124" s="127">
        <f>AM124*'1. Standard_Cost'!$C$31</f>
        <v>0</v>
      </c>
      <c r="AO124" s="130"/>
      <c r="AQ124" s="171">
        <f t="shared" ref="AQ124:AQ132" si="81">L124+M124</f>
        <v>0</v>
      </c>
      <c r="AR124" s="171">
        <f t="shared" ref="AR124:AR132" si="82">AF124</f>
        <v>0</v>
      </c>
      <c r="AS124" s="171">
        <f t="shared" ref="AS124:AS132" si="83">AM124+AN124</f>
        <v>0</v>
      </c>
      <c r="AT124" s="171">
        <f t="shared" ref="AT124:AT132" si="84">SUM(AQ124,AR124,AS124)</f>
        <v>0</v>
      </c>
      <c r="AU124" s="250"/>
      <c r="AV124" s="250"/>
      <c r="AW124" s="250"/>
      <c r="AX124" s="250"/>
      <c r="AY124" s="250"/>
      <c r="AZ124" s="250"/>
      <c r="BA124" s="250"/>
      <c r="BB124" s="251">
        <f t="shared" ref="BB124:BB132" si="85">SUM(AU124:BA124)-AT124</f>
        <v>0</v>
      </c>
      <c r="BC124" s="169"/>
      <c r="BD124" s="169"/>
      <c r="BE124" s="169"/>
      <c r="BF124" s="169"/>
    </row>
    <row r="125" spans="1:58" ht="51.6" customHeight="1" outlineLevel="2" x14ac:dyDescent="0.25">
      <c r="A125" s="115"/>
      <c r="B125" s="200"/>
      <c r="C125" s="201"/>
      <c r="D125" s="131"/>
      <c r="E125" s="323"/>
      <c r="F125" s="308"/>
      <c r="G125" s="309"/>
      <c r="H125" s="199" t="s">
        <v>446</v>
      </c>
      <c r="I125" s="130" t="s">
        <v>1</v>
      </c>
      <c r="J125" s="126">
        <v>12</v>
      </c>
      <c r="K125" s="126">
        <v>12</v>
      </c>
      <c r="L125" s="125">
        <f>IF(I125&lt;&gt;0,((VLOOKUP(I125,'1. Standard_Cost'!$B$4:$D$11,2)+VLOOKUP(I125,'1. Standard_Cost'!$B$4:$D$11,3))*J125*K125),"0")</f>
        <v>10338171.428571429</v>
      </c>
      <c r="M125" s="125">
        <f>L125*'1. Standard_Cost'!$F$4</f>
        <v>1726474.6285714288</v>
      </c>
      <c r="N125" s="126"/>
      <c r="O125" s="126"/>
      <c r="P125" s="126"/>
      <c r="Q125" s="126"/>
      <c r="R125" s="127">
        <f>'1. Standard_Cost'!$B$15*N125*P125</f>
        <v>0</v>
      </c>
      <c r="S125" s="127">
        <f>N125*O125*P125*'1. Standard_Cost'!$C$15</f>
        <v>0</v>
      </c>
      <c r="T125" s="127">
        <f>N125*P125*Q125*'1. Standard_Cost'!$D$15</f>
        <v>0</v>
      </c>
      <c r="U125" s="127">
        <f>N125*O125*'1. Standard_Cost'!$E$15</f>
        <v>0</v>
      </c>
      <c r="V125" s="126"/>
      <c r="W125" s="126"/>
      <c r="X125" s="126"/>
      <c r="Y125" s="127">
        <f>+V125*((X125*'1. Standard_Cost'!$B$19)+(W125*X125*'1. Standard_Cost'!$C$19))</f>
        <v>0</v>
      </c>
      <c r="Z125" s="126"/>
      <c r="AA125" s="126"/>
      <c r="AB125" s="127">
        <f>+Z125*'1. Standard_Cost'!$B$23+AA125*'1. Standard_Cost'!$C$23</f>
        <v>0</v>
      </c>
      <c r="AC125" s="128">
        <v>1448000</v>
      </c>
      <c r="AD125" s="129"/>
      <c r="AE125" s="127">
        <f>SUM(AD125,AC125,AB125,Y125,U125,T125,S125,R125)*'1. Standard_Cost'!$B$31</f>
        <v>289600</v>
      </c>
      <c r="AF125" s="127">
        <f t="shared" si="80"/>
        <v>1737600</v>
      </c>
      <c r="AG125" s="126"/>
      <c r="AH125" s="126"/>
      <c r="AI125" s="126"/>
      <c r="AJ125" s="130"/>
      <c r="AK125" s="130"/>
      <c r="AL125" s="130"/>
      <c r="AM125" s="127">
        <f>AG125*'1. Standard_Cost'!$B$27+'Incremental_Cost Year 5'!AH125*'1. Standard_Cost'!$C$27+'Incremental_Cost Year 5'!AI125*'1. Standard_Cost'!$D$27+'Incremental_Cost Year 5'!AJ125+'Incremental_Cost Year 5'!AL125+AK125</f>
        <v>0</v>
      </c>
      <c r="AN125" s="127">
        <f>AM125*'1. Standard_Cost'!$C$31</f>
        <v>0</v>
      </c>
      <c r="AO125" s="130"/>
      <c r="AQ125" s="171">
        <f t="shared" si="81"/>
        <v>12064646.057142857</v>
      </c>
      <c r="AR125" s="171">
        <f t="shared" si="82"/>
        <v>1737600</v>
      </c>
      <c r="AS125" s="171">
        <f t="shared" si="83"/>
        <v>0</v>
      </c>
      <c r="AT125" s="171">
        <f t="shared" si="84"/>
        <v>13802246.057142857</v>
      </c>
      <c r="AU125" s="250">
        <v>13802246</v>
      </c>
      <c r="AV125" s="250"/>
      <c r="AW125" s="250"/>
      <c r="AX125" s="250"/>
      <c r="AY125" s="250"/>
      <c r="AZ125" s="250"/>
      <c r="BA125" s="250"/>
      <c r="BB125" s="251">
        <f t="shared" si="85"/>
        <v>-5.714285746216774E-2</v>
      </c>
      <c r="BC125" s="169"/>
      <c r="BD125" s="169"/>
      <c r="BE125" s="169"/>
      <c r="BF125" s="169"/>
    </row>
    <row r="126" spans="1:58" ht="51.6" customHeight="1" outlineLevel="2" x14ac:dyDescent="0.25">
      <c r="A126" s="115"/>
      <c r="B126" s="200"/>
      <c r="C126" s="201"/>
      <c r="D126" s="131"/>
      <c r="E126" s="323"/>
      <c r="F126" s="308"/>
      <c r="G126" s="309"/>
      <c r="H126" s="199" t="s">
        <v>447</v>
      </c>
      <c r="I126" s="130" t="s">
        <v>1</v>
      </c>
      <c r="J126" s="126">
        <v>12</v>
      </c>
      <c r="K126" s="126">
        <v>8</v>
      </c>
      <c r="L126" s="125">
        <f>IF(I126&lt;&gt;0,((VLOOKUP(I126,'1. Standard_Cost'!$B$4:$D$11,2)+VLOOKUP(I126,'1. Standard_Cost'!$B$4:$D$11,3))*J126*K126),"0")</f>
        <v>6892114.2857142854</v>
      </c>
      <c r="M126" s="125">
        <f>L126*'1. Standard_Cost'!$F$4</f>
        <v>1150983.0857142857</v>
      </c>
      <c r="N126" s="126"/>
      <c r="O126" s="126"/>
      <c r="P126" s="126"/>
      <c r="Q126" s="126"/>
      <c r="R126" s="127">
        <f>'1. Standard_Cost'!$B$15*N126*P126</f>
        <v>0</v>
      </c>
      <c r="S126" s="127">
        <f>N126*O126*P126*'1. Standard_Cost'!$C$15</f>
        <v>0</v>
      </c>
      <c r="T126" s="127">
        <f>N126*P126*Q126*'1. Standard_Cost'!$D$15</f>
        <v>0</v>
      </c>
      <c r="U126" s="127">
        <f>N126*O126*'1. Standard_Cost'!$E$15</f>
        <v>0</v>
      </c>
      <c r="V126" s="126"/>
      <c r="W126" s="126"/>
      <c r="X126" s="126"/>
      <c r="Y126" s="127">
        <f>+V126*((X126*'1. Standard_Cost'!$B$19)+(W126*X126*'1. Standard_Cost'!$C$19))</f>
        <v>0</v>
      </c>
      <c r="Z126" s="126"/>
      <c r="AA126" s="126"/>
      <c r="AB126" s="127">
        <f>+Z126*'1. Standard_Cost'!$B$23+AA126*'1. Standard_Cost'!$C$23</f>
        <v>0</v>
      </c>
      <c r="AC126" s="128">
        <v>965172</v>
      </c>
      <c r="AD126" s="129"/>
      <c r="AE126" s="127">
        <f>SUM(AD126,AC126,AB126,Y126,U126,T126,S126,R126)*'1. Standard_Cost'!$B$31</f>
        <v>193034.40000000002</v>
      </c>
      <c r="AF126" s="127">
        <f t="shared" si="80"/>
        <v>1158206.3999999999</v>
      </c>
      <c r="AG126" s="126"/>
      <c r="AH126" s="126"/>
      <c r="AI126" s="126"/>
      <c r="AJ126" s="130"/>
      <c r="AK126" s="130"/>
      <c r="AL126" s="130"/>
      <c r="AM126" s="127">
        <f>AG126*'1. Standard_Cost'!$B$27+'Incremental_Cost Year 5'!AH126*'1. Standard_Cost'!$C$27+'Incremental_Cost Year 5'!AI126*'1. Standard_Cost'!$D$27+'Incremental_Cost Year 5'!AJ126+'Incremental_Cost Year 5'!AL126+AK126</f>
        <v>0</v>
      </c>
      <c r="AN126" s="127">
        <f>AM126*'1. Standard_Cost'!$C$31</f>
        <v>0</v>
      </c>
      <c r="AO126" s="130"/>
      <c r="AQ126" s="171">
        <f t="shared" si="81"/>
        <v>8043097.3714285716</v>
      </c>
      <c r="AR126" s="171">
        <f t="shared" si="82"/>
        <v>1158206.3999999999</v>
      </c>
      <c r="AS126" s="171">
        <f t="shared" si="83"/>
        <v>0</v>
      </c>
      <c r="AT126" s="171">
        <f t="shared" si="84"/>
        <v>9201303.771428572</v>
      </c>
      <c r="AU126" s="250">
        <v>9201304</v>
      </c>
      <c r="AV126" s="250"/>
      <c r="AW126" s="250"/>
      <c r="AX126" s="250"/>
      <c r="AY126" s="250"/>
      <c r="AZ126" s="250"/>
      <c r="BA126" s="250"/>
      <c r="BB126" s="251">
        <f t="shared" si="85"/>
        <v>0.22857142798602581</v>
      </c>
      <c r="BC126" s="169"/>
      <c r="BD126" s="169"/>
      <c r="BE126" s="169"/>
      <c r="BF126" s="169"/>
    </row>
    <row r="127" spans="1:58" ht="51.6" customHeight="1" outlineLevel="2" x14ac:dyDescent="0.25">
      <c r="A127" s="115"/>
      <c r="B127" s="200"/>
      <c r="C127" s="201"/>
      <c r="D127" s="131"/>
      <c r="E127" s="323"/>
      <c r="F127" s="308"/>
      <c r="G127" s="309"/>
      <c r="H127" s="199" t="s">
        <v>448</v>
      </c>
      <c r="I127" s="263" t="s">
        <v>1</v>
      </c>
      <c r="J127" s="264">
        <v>12</v>
      </c>
      <c r="K127" s="264">
        <v>5</v>
      </c>
      <c r="L127" s="125">
        <f>IF(I127&lt;&gt;0,((VLOOKUP(I127,'1. Standard_Cost'!$B$4:$D$11,2)+VLOOKUP(I127,'1. Standard_Cost'!$B$4:$D$11,3))*J127*K127),"0")</f>
        <v>4307571.4285714282</v>
      </c>
      <c r="M127" s="125">
        <f>L127*'1. Standard_Cost'!$F$4</f>
        <v>719364.42857142852</v>
      </c>
      <c r="N127" s="126"/>
      <c r="O127" s="126"/>
      <c r="P127" s="126"/>
      <c r="Q127" s="126"/>
      <c r="R127" s="127">
        <f>'1. Standard_Cost'!$B$15*N127*P127</f>
        <v>0</v>
      </c>
      <c r="S127" s="127">
        <f>N127*O127*P127*'1. Standard_Cost'!$C$15</f>
        <v>0</v>
      </c>
      <c r="T127" s="127">
        <f>N127*P127*Q127*'1. Standard_Cost'!$D$15</f>
        <v>0</v>
      </c>
      <c r="U127" s="127">
        <f>N127*O127*'1. Standard_Cost'!$E$15</f>
        <v>0</v>
      </c>
      <c r="V127" s="126"/>
      <c r="W127" s="126"/>
      <c r="X127" s="126"/>
      <c r="Y127" s="127">
        <f>+V127*((X127*'1. Standard_Cost'!$B$19)+(W127*X127*'1. Standard_Cost'!$C$19))</f>
        <v>0</v>
      </c>
      <c r="Z127" s="126"/>
      <c r="AA127" s="126"/>
      <c r="AB127" s="127">
        <f>+Z127*'1. Standard_Cost'!$B$23+AA127*'1. Standard_Cost'!$C$23</f>
        <v>0</v>
      </c>
      <c r="AC127" s="128">
        <v>754040</v>
      </c>
      <c r="AD127" s="129"/>
      <c r="AE127" s="127">
        <f>SUM(AD127,AC127,AB127,Y127,U127,T127,S127,R127)*'1. Standard_Cost'!$B$31</f>
        <v>150808</v>
      </c>
      <c r="AF127" s="127">
        <f t="shared" si="80"/>
        <v>904848</v>
      </c>
      <c r="AG127" s="126"/>
      <c r="AH127" s="126"/>
      <c r="AI127" s="126"/>
      <c r="AJ127" s="130"/>
      <c r="AK127" s="130"/>
      <c r="AL127" s="130"/>
      <c r="AM127" s="127">
        <f>AG127*'1. Standard_Cost'!$B$27+'Incremental_Cost Year 5'!AH127*'1. Standard_Cost'!$C$27+'Incremental_Cost Year 5'!AI127*'1. Standard_Cost'!$D$27+'Incremental_Cost Year 5'!AJ127+'Incremental_Cost Year 5'!AL127+AK127</f>
        <v>0</v>
      </c>
      <c r="AN127" s="127">
        <f>AM127*'1. Standard_Cost'!$C$31</f>
        <v>0</v>
      </c>
      <c r="AO127" s="130"/>
      <c r="AQ127" s="171">
        <f t="shared" si="81"/>
        <v>5026935.8571428563</v>
      </c>
      <c r="AR127" s="171">
        <f t="shared" si="82"/>
        <v>904848</v>
      </c>
      <c r="AS127" s="171">
        <f t="shared" si="83"/>
        <v>0</v>
      </c>
      <c r="AT127" s="171">
        <f t="shared" si="84"/>
        <v>5931783.8571428563</v>
      </c>
      <c r="AU127" s="250">
        <v>5931784</v>
      </c>
      <c r="AV127" s="250"/>
      <c r="AW127" s="250"/>
      <c r="AX127" s="250"/>
      <c r="AY127" s="250"/>
      <c r="AZ127" s="250"/>
      <c r="BA127" s="250"/>
      <c r="BB127" s="251">
        <f t="shared" si="85"/>
        <v>0.14285714365541935</v>
      </c>
      <c r="BC127" s="169"/>
      <c r="BD127" s="169"/>
      <c r="BE127" s="169"/>
      <c r="BF127" s="169"/>
    </row>
    <row r="128" spans="1:58" ht="51.6" customHeight="1" outlineLevel="2" x14ac:dyDescent="0.25">
      <c r="A128" s="115"/>
      <c r="B128" s="200"/>
      <c r="C128" s="201"/>
      <c r="D128" s="131"/>
      <c r="E128" s="323"/>
      <c r="F128" s="326"/>
      <c r="G128" s="309"/>
      <c r="H128" s="199" t="s">
        <v>449</v>
      </c>
      <c r="I128" s="130" t="s">
        <v>1</v>
      </c>
      <c r="J128" s="126">
        <v>12</v>
      </c>
      <c r="K128" s="126">
        <v>21</v>
      </c>
      <c r="L128" s="125">
        <f>IF(I128&lt;&gt;0,((VLOOKUP(I128,'1. Standard_Cost'!$B$4:$D$11,2)+VLOOKUP(I128,'1. Standard_Cost'!$B$4:$D$11,3))*J128*K128),"0")</f>
        <v>18091800</v>
      </c>
      <c r="M128" s="125">
        <f>L128*'1. Standard_Cost'!$F$4</f>
        <v>3021330.6</v>
      </c>
      <c r="N128" s="126"/>
      <c r="O128" s="126"/>
      <c r="P128" s="126"/>
      <c r="Q128" s="126"/>
      <c r="R128" s="127">
        <f>'1. Standard_Cost'!$B$15*N128*P128</f>
        <v>0</v>
      </c>
      <c r="S128" s="127">
        <f>N128*O128*P128*'1. Standard_Cost'!$C$15</f>
        <v>0</v>
      </c>
      <c r="T128" s="127">
        <f>N128*P128*Q128*'1. Standard_Cost'!$D$15</f>
        <v>0</v>
      </c>
      <c r="U128" s="127">
        <f>N128*O128*'1. Standard_Cost'!$E$15</f>
        <v>0</v>
      </c>
      <c r="V128" s="126"/>
      <c r="W128" s="126"/>
      <c r="X128" s="126"/>
      <c r="Y128" s="127">
        <f>+V128*((X128*'1. Standard_Cost'!$B$19)+(W128*X128*'1. Standard_Cost'!$C$19))</f>
        <v>0</v>
      </c>
      <c r="Z128" s="126"/>
      <c r="AA128" s="126"/>
      <c r="AB128" s="127">
        <f>+Z128*'1. Standard_Cost'!$B$23+AA128*'1. Standard_Cost'!$C$23</f>
        <v>0</v>
      </c>
      <c r="AC128" s="128">
        <v>3166970</v>
      </c>
      <c r="AD128" s="129"/>
      <c r="AE128" s="127">
        <f>SUM(AD128,AC128,AB128,Y128,U128,T128,S128,R128)*'1. Standard_Cost'!$B$31</f>
        <v>633394</v>
      </c>
      <c r="AF128" s="127">
        <f t="shared" si="80"/>
        <v>3800364</v>
      </c>
      <c r="AG128" s="126"/>
      <c r="AH128" s="126"/>
      <c r="AI128" s="126"/>
      <c r="AJ128" s="130"/>
      <c r="AK128" s="130"/>
      <c r="AL128" s="130"/>
      <c r="AM128" s="127">
        <f>AG128*'1. Standard_Cost'!$B$27+'Incremental_Cost Year 5'!AH128*'1. Standard_Cost'!$C$27+'Incremental_Cost Year 5'!AI128*'1. Standard_Cost'!$D$27+'Incremental_Cost Year 5'!AJ128+'Incremental_Cost Year 5'!AL128+AK128</f>
        <v>0</v>
      </c>
      <c r="AN128" s="127">
        <f>AM128*'1. Standard_Cost'!$C$31</f>
        <v>0</v>
      </c>
      <c r="AO128" s="130"/>
      <c r="AQ128" s="171">
        <f t="shared" si="81"/>
        <v>21113130.600000001</v>
      </c>
      <c r="AR128" s="171">
        <f t="shared" si="82"/>
        <v>3800364</v>
      </c>
      <c r="AS128" s="171">
        <f t="shared" si="83"/>
        <v>0</v>
      </c>
      <c r="AT128" s="171">
        <f t="shared" si="84"/>
        <v>24913494.600000001</v>
      </c>
      <c r="AU128" s="250">
        <v>24913495</v>
      </c>
      <c r="AV128" s="250"/>
      <c r="AW128" s="250"/>
      <c r="AX128" s="250"/>
      <c r="AY128" s="250"/>
      <c r="AZ128" s="250"/>
      <c r="BA128" s="250"/>
      <c r="BB128" s="251">
        <f t="shared" si="85"/>
        <v>0.39999999850988388</v>
      </c>
      <c r="BC128" s="169"/>
      <c r="BD128" s="169"/>
      <c r="BE128" s="169"/>
      <c r="BF128" s="169"/>
    </row>
    <row r="129" spans="1:58" ht="51.6" customHeight="1" outlineLevel="2" x14ac:dyDescent="0.25">
      <c r="A129" s="115"/>
      <c r="B129" s="200"/>
      <c r="C129" s="201"/>
      <c r="D129" s="131"/>
      <c r="E129" s="323"/>
      <c r="F129" s="326"/>
      <c r="G129" s="309"/>
      <c r="H129" s="199" t="s">
        <v>284</v>
      </c>
      <c r="I129" s="130" t="s">
        <v>1</v>
      </c>
      <c r="J129" s="126">
        <v>12</v>
      </c>
      <c r="K129" s="126">
        <v>5</v>
      </c>
      <c r="L129" s="125">
        <f>IF(I129&lt;&gt;0,((VLOOKUP(I129,'1. Standard_Cost'!$B$4:$D$11,2)+VLOOKUP(I129,'1. Standard_Cost'!$B$4:$D$11,3))*J129*K129),"0")</f>
        <v>4307571.4285714282</v>
      </c>
      <c r="M129" s="125">
        <f>L129*'1. Standard_Cost'!$F$4</f>
        <v>719364.42857142852</v>
      </c>
      <c r="N129" s="126"/>
      <c r="O129" s="126"/>
      <c r="P129" s="126"/>
      <c r="Q129" s="126"/>
      <c r="R129" s="127">
        <f>'1. Standard_Cost'!$B$15*N129*P129</f>
        <v>0</v>
      </c>
      <c r="S129" s="127">
        <f>N129*O129*P129*'1. Standard_Cost'!$C$15</f>
        <v>0</v>
      </c>
      <c r="T129" s="127">
        <f>N129*P129*Q129*'1. Standard_Cost'!$D$15</f>
        <v>0</v>
      </c>
      <c r="U129" s="127">
        <f>N129*O129*'1. Standard_Cost'!$E$15</f>
        <v>0</v>
      </c>
      <c r="V129" s="126"/>
      <c r="W129" s="126"/>
      <c r="X129" s="126"/>
      <c r="Y129" s="127">
        <f>+V129*((X129*'1. Standard_Cost'!$B$19)+(W129*X129*'1. Standard_Cost'!$C$19))</f>
        <v>0</v>
      </c>
      <c r="Z129" s="126"/>
      <c r="AA129" s="126"/>
      <c r="AB129" s="127">
        <f>+Z129*'1. Standard_Cost'!$B$23+AA129*'1. Standard_Cost'!$C$23</f>
        <v>0</v>
      </c>
      <c r="AC129" s="128">
        <v>1005388</v>
      </c>
      <c r="AD129" s="129"/>
      <c r="AE129" s="127">
        <f>SUM(AD129,AC129,AB129,Y129,U129,T129,S129,R129)*'1. Standard_Cost'!$B$31</f>
        <v>201077.6</v>
      </c>
      <c r="AF129" s="127">
        <f t="shared" si="80"/>
        <v>1206465.6000000001</v>
      </c>
      <c r="AG129" s="126"/>
      <c r="AH129" s="126"/>
      <c r="AI129" s="126"/>
      <c r="AJ129" s="130"/>
      <c r="AK129" s="130"/>
      <c r="AL129" s="130"/>
      <c r="AM129" s="127">
        <f>AG129*'1. Standard_Cost'!$B$27+'Incremental_Cost Year 5'!AH129*'1. Standard_Cost'!$C$27+'Incremental_Cost Year 5'!AI129*'1. Standard_Cost'!$D$27+'Incremental_Cost Year 5'!AJ129+'Incremental_Cost Year 5'!AL129+AK129</f>
        <v>0</v>
      </c>
      <c r="AN129" s="127">
        <f>AM129*'1. Standard_Cost'!$C$31</f>
        <v>0</v>
      </c>
      <c r="AO129" s="130"/>
      <c r="AQ129" s="171">
        <f t="shared" si="81"/>
        <v>5026935.8571428563</v>
      </c>
      <c r="AR129" s="171">
        <f t="shared" si="82"/>
        <v>1206465.6000000001</v>
      </c>
      <c r="AS129" s="171">
        <f t="shared" si="83"/>
        <v>0</v>
      </c>
      <c r="AT129" s="171">
        <f t="shared" si="84"/>
        <v>6233401.457142856</v>
      </c>
      <c r="AU129" s="250">
        <v>6233401</v>
      </c>
      <c r="AV129" s="250"/>
      <c r="AW129" s="250"/>
      <c r="AX129" s="250"/>
      <c r="AY129" s="250"/>
      <c r="AZ129" s="250"/>
      <c r="BA129" s="250"/>
      <c r="BB129" s="251">
        <f t="shared" si="85"/>
        <v>-0.45714285597205162</v>
      </c>
      <c r="BC129" s="169"/>
      <c r="BD129" s="169"/>
      <c r="BE129" s="169"/>
      <c r="BF129" s="169"/>
    </row>
    <row r="130" spans="1:58" ht="51.6" customHeight="1" outlineLevel="2" x14ac:dyDescent="0.25">
      <c r="A130" s="115"/>
      <c r="B130" s="200"/>
      <c r="C130" s="201"/>
      <c r="D130" s="131"/>
      <c r="E130" s="323"/>
      <c r="F130" s="326"/>
      <c r="G130" s="309"/>
      <c r="H130" s="199" t="s">
        <v>450</v>
      </c>
      <c r="I130" s="130" t="s">
        <v>1</v>
      </c>
      <c r="J130" s="126">
        <v>12</v>
      </c>
      <c r="K130" s="126">
        <v>10</v>
      </c>
      <c r="L130" s="125">
        <f>IF(I130&lt;&gt;0,((VLOOKUP(I130,'1. Standard_Cost'!$B$4:$D$11,2)+VLOOKUP(I130,'1. Standard_Cost'!$B$4:$D$11,3))*J130*K130),"0")</f>
        <v>8615142.8571428563</v>
      </c>
      <c r="M130" s="125">
        <f>L130*'1. Standard_Cost'!$F$4</f>
        <v>1438728.857142857</v>
      </c>
      <c r="N130" s="126"/>
      <c r="O130" s="126"/>
      <c r="P130" s="126"/>
      <c r="Q130" s="126"/>
      <c r="R130" s="127">
        <f>'1. Standard_Cost'!$B$15*N130*P130</f>
        <v>0</v>
      </c>
      <c r="S130" s="127">
        <f>N130*O130*P130*'1. Standard_Cost'!$C$15</f>
        <v>0</v>
      </c>
      <c r="T130" s="127">
        <f>N130*P130*Q130*'1. Standard_Cost'!$D$15</f>
        <v>0</v>
      </c>
      <c r="U130" s="127">
        <f>N130*O130*'1. Standard_Cost'!$E$15</f>
        <v>0</v>
      </c>
      <c r="V130" s="126"/>
      <c r="W130" s="126"/>
      <c r="X130" s="126"/>
      <c r="Y130" s="127">
        <f>+V130*((X130*'1. Standard_Cost'!$B$19)+(W130*X130*'1. Standard_Cost'!$C$19))</f>
        <v>0</v>
      </c>
      <c r="Z130" s="126"/>
      <c r="AA130" s="126"/>
      <c r="AB130" s="127">
        <f>+Z130*'1. Standard_Cost'!$B$23+AA130*'1. Standard_Cost'!$C$23</f>
        <v>0</v>
      </c>
      <c r="AC130" s="128">
        <v>1508080</v>
      </c>
      <c r="AD130" s="129"/>
      <c r="AE130" s="127">
        <f>SUM(AD130,AC130,AB130,Y130,U130,T130,S130,R130)*'1. Standard_Cost'!$B$31</f>
        <v>301616</v>
      </c>
      <c r="AF130" s="127">
        <f t="shared" si="80"/>
        <v>1809696</v>
      </c>
      <c r="AG130" s="126"/>
      <c r="AH130" s="126"/>
      <c r="AI130" s="126"/>
      <c r="AJ130" s="130"/>
      <c r="AK130" s="130"/>
      <c r="AL130" s="130"/>
      <c r="AM130" s="127">
        <f>AG130*'1. Standard_Cost'!$B$27+'Incremental_Cost Year 5'!AH130*'1. Standard_Cost'!$C$27+'Incremental_Cost Year 5'!AI130*'1. Standard_Cost'!$D$27+'Incremental_Cost Year 5'!AJ130+'Incremental_Cost Year 5'!AL130+AK130</f>
        <v>0</v>
      </c>
      <c r="AN130" s="127">
        <f>AM130*'1. Standard_Cost'!$C$31</f>
        <v>0</v>
      </c>
      <c r="AO130" s="130"/>
      <c r="AQ130" s="171">
        <f t="shared" si="81"/>
        <v>10053871.714285713</v>
      </c>
      <c r="AR130" s="171">
        <f t="shared" si="82"/>
        <v>1809696</v>
      </c>
      <c r="AS130" s="171">
        <f t="shared" si="83"/>
        <v>0</v>
      </c>
      <c r="AT130" s="171">
        <f t="shared" si="84"/>
        <v>11863567.714285713</v>
      </c>
      <c r="AU130" s="250">
        <v>11863568</v>
      </c>
      <c r="AV130" s="250"/>
      <c r="AW130" s="250"/>
      <c r="AX130" s="250"/>
      <c r="AY130" s="250"/>
      <c r="AZ130" s="250"/>
      <c r="BA130" s="250"/>
      <c r="BB130" s="251">
        <f t="shared" si="85"/>
        <v>0.2857142873108387</v>
      </c>
      <c r="BC130" s="169"/>
      <c r="BD130" s="169"/>
      <c r="BE130" s="169"/>
      <c r="BF130" s="169"/>
    </row>
    <row r="131" spans="1:58" ht="51.6" customHeight="1" outlineLevel="2" x14ac:dyDescent="0.25">
      <c r="A131" s="115"/>
      <c r="B131" s="200"/>
      <c r="C131" s="201"/>
      <c r="D131" s="131"/>
      <c r="E131" s="323"/>
      <c r="F131" s="326"/>
      <c r="G131" s="309"/>
      <c r="H131" s="225" t="s">
        <v>285</v>
      </c>
      <c r="I131" s="130" t="s">
        <v>1</v>
      </c>
      <c r="J131" s="126">
        <v>12</v>
      </c>
      <c r="K131" s="126">
        <v>5</v>
      </c>
      <c r="L131" s="125">
        <f>IF(I131&lt;&gt;0,((VLOOKUP(I131,'1. Standard_Cost'!$B$4:$D$11,2)+VLOOKUP(I131,'1. Standard_Cost'!$B$4:$D$11,3))*J131*K131),"0")</f>
        <v>4307571.4285714282</v>
      </c>
      <c r="M131" s="125">
        <f>L131*'1. Standard_Cost'!$F$4</f>
        <v>719364.42857142852</v>
      </c>
      <c r="N131" s="126"/>
      <c r="O131" s="126"/>
      <c r="P131" s="126"/>
      <c r="Q131" s="126"/>
      <c r="R131" s="127">
        <f>'1. Standard_Cost'!$B$15*N131*P131</f>
        <v>0</v>
      </c>
      <c r="S131" s="127">
        <f>N131*O131*P131*'1. Standard_Cost'!$C$15</f>
        <v>0</v>
      </c>
      <c r="T131" s="127">
        <f>N131*P131*Q131*'1. Standard_Cost'!$D$15</f>
        <v>0</v>
      </c>
      <c r="U131" s="127">
        <f>N131*O131*'1. Standard_Cost'!$E$15</f>
        <v>0</v>
      </c>
      <c r="V131" s="126"/>
      <c r="W131" s="126"/>
      <c r="X131" s="126"/>
      <c r="Y131" s="127">
        <f>+V131*((X131*'1. Standard_Cost'!$B$19)+(W131*X131*'1. Standard_Cost'!$C$19))</f>
        <v>0</v>
      </c>
      <c r="Z131" s="126"/>
      <c r="AA131" s="126"/>
      <c r="AB131" s="127">
        <f>+Z131*'1. Standard_Cost'!$B$23+AA131*'1. Standard_Cost'!$C$23</f>
        <v>0</v>
      </c>
      <c r="AC131" s="128">
        <v>754040</v>
      </c>
      <c r="AD131" s="129"/>
      <c r="AE131" s="127">
        <f>SUM(AD131,AC131,AB131,Y131,U131,T131,S131,R131)*'1. Standard_Cost'!$B$31</f>
        <v>150808</v>
      </c>
      <c r="AF131" s="127">
        <f t="shared" si="80"/>
        <v>904848</v>
      </c>
      <c r="AG131" s="126"/>
      <c r="AH131" s="126"/>
      <c r="AI131" s="126"/>
      <c r="AJ131" s="130"/>
      <c r="AK131" s="130"/>
      <c r="AL131" s="130"/>
      <c r="AM131" s="127">
        <f>AG131*'1. Standard_Cost'!$B$27+'Incremental_Cost Year 5'!AH131*'1. Standard_Cost'!$C$27+'Incremental_Cost Year 5'!AI131*'1. Standard_Cost'!$D$27+'Incremental_Cost Year 5'!AJ131+'Incremental_Cost Year 5'!AL131+AK131</f>
        <v>0</v>
      </c>
      <c r="AN131" s="127">
        <f>AM131*'1. Standard_Cost'!$C$31</f>
        <v>0</v>
      </c>
      <c r="AO131" s="130"/>
      <c r="AQ131" s="171">
        <f t="shared" si="81"/>
        <v>5026935.8571428563</v>
      </c>
      <c r="AR131" s="171">
        <f t="shared" si="82"/>
        <v>904848</v>
      </c>
      <c r="AS131" s="171">
        <f t="shared" si="83"/>
        <v>0</v>
      </c>
      <c r="AT131" s="171">
        <f t="shared" si="84"/>
        <v>5931783.8571428563</v>
      </c>
      <c r="AU131" s="250">
        <v>5931784</v>
      </c>
      <c r="AV131" s="250"/>
      <c r="AW131" s="250"/>
      <c r="AX131" s="250"/>
      <c r="AY131" s="250"/>
      <c r="AZ131" s="250"/>
      <c r="BA131" s="250"/>
      <c r="BB131" s="251">
        <f t="shared" si="85"/>
        <v>0.14285714365541935</v>
      </c>
      <c r="BC131" s="169"/>
      <c r="BD131" s="169"/>
      <c r="BE131" s="169"/>
      <c r="BF131" s="169"/>
    </row>
    <row r="132" spans="1:58" ht="51.6" customHeight="1" outlineLevel="2" x14ac:dyDescent="0.25">
      <c r="A132" s="115"/>
      <c r="B132" s="147"/>
      <c r="C132" s="314"/>
      <c r="D132" s="305"/>
      <c r="E132" s="322"/>
      <c r="F132" s="324"/>
      <c r="G132" s="312"/>
      <c r="H132" s="225" t="s">
        <v>451</v>
      </c>
      <c r="I132" s="130" t="s">
        <v>2</v>
      </c>
      <c r="J132" s="126">
        <v>12</v>
      </c>
      <c r="K132" s="126">
        <v>5</v>
      </c>
      <c r="L132" s="125">
        <f>IF(I132&lt;&gt;0,((VLOOKUP(I132,'1. Standard_Cost'!$B$4:$D$11,2)+VLOOKUP(I132,'1. Standard_Cost'!$B$4:$D$11,3))*J132*K132),"0")</f>
        <v>7260000</v>
      </c>
      <c r="M132" s="125">
        <f>L132*'1. Standard_Cost'!$F$4</f>
        <v>1212420</v>
      </c>
      <c r="N132" s="126"/>
      <c r="O132" s="126"/>
      <c r="P132" s="126"/>
      <c r="Q132" s="126"/>
      <c r="R132" s="127">
        <f>'1. Standard_Cost'!$B$15*N132*P132</f>
        <v>0</v>
      </c>
      <c r="S132" s="127">
        <f>N132*O132*P132*'1. Standard_Cost'!$C$15</f>
        <v>0</v>
      </c>
      <c r="T132" s="127">
        <f>N132*P132*Q132*'1. Standard_Cost'!$D$15</f>
        <v>0</v>
      </c>
      <c r="U132" s="127">
        <f>N132*O132*'1. Standard_Cost'!$E$15</f>
        <v>0</v>
      </c>
      <c r="V132" s="126"/>
      <c r="W132" s="126"/>
      <c r="X132" s="126"/>
      <c r="Y132" s="127">
        <f>+V132*((X132*'1. Standard_Cost'!$B$19)+(W132*X132*'1. Standard_Cost'!$C$19))</f>
        <v>0</v>
      </c>
      <c r="Z132" s="126"/>
      <c r="AA132" s="126"/>
      <c r="AB132" s="127">
        <f>+Z132*'1. Standard_Cost'!$B$23+AA132*'1. Standard_Cost'!$C$23</f>
        <v>0</v>
      </c>
      <c r="AC132" s="128">
        <v>1270863</v>
      </c>
      <c r="AD132" s="129"/>
      <c r="AE132" s="127">
        <f>SUM(AD132,AC132,AB132,Y132,U132,T132,S132,R132)*'1. Standard_Cost'!$B$31</f>
        <v>254172.6</v>
      </c>
      <c r="AF132" s="127">
        <f t="shared" si="80"/>
        <v>1525035.6</v>
      </c>
      <c r="AG132" s="126"/>
      <c r="AH132" s="126"/>
      <c r="AI132" s="126"/>
      <c r="AJ132" s="130"/>
      <c r="AK132" s="130"/>
      <c r="AL132" s="130"/>
      <c r="AM132" s="127">
        <f>AG132*'1. Standard_Cost'!$B$27+'Incremental_Cost Year 5'!AH132*'1. Standard_Cost'!$C$27+'Incremental_Cost Year 5'!AI132*'1. Standard_Cost'!$D$27+'Incremental_Cost Year 5'!AJ132+'Incremental_Cost Year 5'!AL132+AK132</f>
        <v>0</v>
      </c>
      <c r="AN132" s="127">
        <f>AM132*'1. Standard_Cost'!$C$31</f>
        <v>0</v>
      </c>
      <c r="AO132" s="130"/>
      <c r="AQ132" s="171">
        <f t="shared" si="81"/>
        <v>8472420</v>
      </c>
      <c r="AR132" s="171">
        <f t="shared" si="82"/>
        <v>1525035.6</v>
      </c>
      <c r="AS132" s="171">
        <f t="shared" si="83"/>
        <v>0</v>
      </c>
      <c r="AT132" s="171">
        <f t="shared" si="84"/>
        <v>9997455.5999999996</v>
      </c>
      <c r="AU132" s="250">
        <v>9997456</v>
      </c>
      <c r="AV132" s="250"/>
      <c r="AW132" s="250"/>
      <c r="AX132" s="250"/>
      <c r="AY132" s="250"/>
      <c r="AZ132" s="250"/>
      <c r="BA132" s="250"/>
      <c r="BB132" s="251">
        <f t="shared" si="85"/>
        <v>0.40000000037252903</v>
      </c>
      <c r="BC132" s="169"/>
      <c r="BD132" s="169"/>
      <c r="BE132" s="169"/>
      <c r="BF132" s="169"/>
    </row>
    <row r="133" spans="1:58" ht="51.6" customHeight="1" outlineLevel="1" x14ac:dyDescent="0.25">
      <c r="A133" s="115"/>
      <c r="B133" s="200"/>
      <c r="C133" s="201"/>
      <c r="D133" s="146" t="s">
        <v>561</v>
      </c>
      <c r="E133" s="310" t="s">
        <v>452</v>
      </c>
      <c r="F133" s="121">
        <v>2021</v>
      </c>
      <c r="G133" s="223">
        <v>2030</v>
      </c>
      <c r="H133" s="110" t="s">
        <v>286</v>
      </c>
      <c r="I133" s="252"/>
      <c r="J133" s="252"/>
      <c r="K133" s="252"/>
      <c r="L133" s="127">
        <f>SUM(L124:L132)</f>
        <v>64119942.857142858</v>
      </c>
      <c r="M133" s="127">
        <f>SUM(M124:M132)</f>
        <v>10708030.457142858</v>
      </c>
      <c r="N133" s="127"/>
      <c r="O133" s="252"/>
      <c r="P133" s="252"/>
      <c r="Q133" s="252"/>
      <c r="R133" s="127">
        <f>SUM(R124:R132)</f>
        <v>0</v>
      </c>
      <c r="S133" s="127">
        <f>SUM(S124:S132)</f>
        <v>0</v>
      </c>
      <c r="T133" s="127">
        <f>SUM(T124:T132)</f>
        <v>0</v>
      </c>
      <c r="U133" s="127">
        <f>SUM(U124:U132)</f>
        <v>0</v>
      </c>
      <c r="V133" s="252"/>
      <c r="W133" s="252"/>
      <c r="X133" s="252"/>
      <c r="Y133" s="127">
        <f>SUM(Y124:Y132)</f>
        <v>0</v>
      </c>
      <c r="Z133" s="252"/>
      <c r="AA133" s="252"/>
      <c r="AB133" s="127">
        <f>SUM(AB124:AB132)</f>
        <v>0</v>
      </c>
      <c r="AC133" s="127">
        <f>SUM(AC124:AC132)</f>
        <v>10872553</v>
      </c>
      <c r="AD133" s="127">
        <f>SUM(AD124:AD132)</f>
        <v>0</v>
      </c>
      <c r="AE133" s="127">
        <f>SUM(AE124:AE132)</f>
        <v>2174510.6</v>
      </c>
      <c r="AF133" s="127">
        <f>SUM(AF124:AF132)</f>
        <v>13047063.6</v>
      </c>
      <c r="AG133" s="252"/>
      <c r="AH133" s="252"/>
      <c r="AI133" s="252"/>
      <c r="AJ133" s="127">
        <f>SUM(AJ124:AJ132)</f>
        <v>0</v>
      </c>
      <c r="AK133" s="127">
        <f>SUM(AK124:AK132)</f>
        <v>0</v>
      </c>
      <c r="AL133" s="127">
        <f>SUM(AL124:AL132)</f>
        <v>0</v>
      </c>
      <c r="AM133" s="127">
        <f>SUM(AM124:AM132)</f>
        <v>0</v>
      </c>
      <c r="AN133" s="127">
        <f>SUM(AN124:AN132)</f>
        <v>0</v>
      </c>
      <c r="AO133" s="253"/>
      <c r="AP133" s="254"/>
      <c r="AQ133" s="175">
        <f>SUM(AQ124:AQ132)</f>
        <v>74827973.314285725</v>
      </c>
      <c r="AR133" s="175">
        <f>SUM(AR124:AR132)</f>
        <v>13047063.6</v>
      </c>
      <c r="AS133" s="175">
        <f>SUM(AS124:AS132)</f>
        <v>0</v>
      </c>
      <c r="AT133" s="175">
        <f>SUM(AT124:AT132)</f>
        <v>87875036.914285704</v>
      </c>
      <c r="AU133" s="175">
        <f t="shared" ref="AU133:BB133" si="86">SUM(AU124:AU132)</f>
        <v>87875038</v>
      </c>
      <c r="AV133" s="175">
        <f t="shared" si="86"/>
        <v>0</v>
      </c>
      <c r="AW133" s="175">
        <f t="shared" si="86"/>
        <v>0</v>
      </c>
      <c r="AX133" s="175">
        <f t="shared" si="86"/>
        <v>0</v>
      </c>
      <c r="AY133" s="175">
        <f t="shared" si="86"/>
        <v>0</v>
      </c>
      <c r="AZ133" s="175">
        <f t="shared" si="86"/>
        <v>0</v>
      </c>
      <c r="BA133" s="175">
        <f t="shared" si="86"/>
        <v>0</v>
      </c>
      <c r="BB133" s="175">
        <f t="shared" si="86"/>
        <v>1.0857142880558968</v>
      </c>
      <c r="BC133" s="169"/>
      <c r="BD133" s="169"/>
      <c r="BE133" s="169"/>
      <c r="BF133" s="169"/>
    </row>
    <row r="134" spans="1:58" s="184" customFormat="1" ht="51.6" customHeight="1" x14ac:dyDescent="0.25">
      <c r="A134" s="143"/>
      <c r="B134" s="290"/>
      <c r="C134" s="391" t="s">
        <v>289</v>
      </c>
      <c r="D134" s="391"/>
      <c r="E134" s="392"/>
      <c r="F134" s="291"/>
      <c r="G134" s="289"/>
      <c r="H134" s="144" t="s">
        <v>290</v>
      </c>
      <c r="I134" s="257"/>
      <c r="J134" s="257"/>
      <c r="K134" s="257"/>
      <c r="L134" s="258">
        <f>SUM(L139)</f>
        <v>6059400</v>
      </c>
      <c r="M134" s="258">
        <f>SUM(M139)</f>
        <v>1011919.8</v>
      </c>
      <c r="N134" s="257"/>
      <c r="O134" s="257"/>
      <c r="P134" s="257"/>
      <c r="Q134" s="257"/>
      <c r="R134" s="258">
        <f>SUM(R139)</f>
        <v>0</v>
      </c>
      <c r="S134" s="258">
        <f>SUM(S139)</f>
        <v>0</v>
      </c>
      <c r="T134" s="258">
        <f>SUM(T139)</f>
        <v>0</v>
      </c>
      <c r="U134" s="258">
        <f>SUM(U139)</f>
        <v>0</v>
      </c>
      <c r="V134" s="257"/>
      <c r="W134" s="257"/>
      <c r="X134" s="257"/>
      <c r="Y134" s="258">
        <f>SUM(Y139)</f>
        <v>0</v>
      </c>
      <c r="Z134" s="258"/>
      <c r="AA134" s="258"/>
      <c r="AB134" s="258">
        <f>SUM(AB139)</f>
        <v>1025000</v>
      </c>
      <c r="AC134" s="258">
        <f>SUM(AC139)</f>
        <v>12140610940</v>
      </c>
      <c r="AD134" s="258">
        <f>SUM(AD139)</f>
        <v>0</v>
      </c>
      <c r="AE134" s="258">
        <f>SUM(AE139)</f>
        <v>327188</v>
      </c>
      <c r="AF134" s="258">
        <f>SUM(AF139)</f>
        <v>12154203128</v>
      </c>
      <c r="AG134" s="257"/>
      <c r="AH134" s="257"/>
      <c r="AI134" s="257"/>
      <c r="AJ134" s="258">
        <f>SUM(AJ139)</f>
        <v>0</v>
      </c>
      <c r="AK134" s="258">
        <f>SUM(AK139)</f>
        <v>0</v>
      </c>
      <c r="AL134" s="258">
        <f>SUM(AL139)</f>
        <v>0</v>
      </c>
      <c r="AM134" s="258">
        <f>SUM(AM139)</f>
        <v>0</v>
      </c>
      <c r="AN134" s="258">
        <f>SUM(AN139)</f>
        <v>0</v>
      </c>
      <c r="AO134" s="259"/>
      <c r="AP134" s="260"/>
      <c r="AQ134" s="261">
        <f>SUM(AQ139)</f>
        <v>7071319.8000000007</v>
      </c>
      <c r="AR134" s="261">
        <f>SUM(AR139)</f>
        <v>12154203128</v>
      </c>
      <c r="AS134" s="261">
        <f>SUM(AS139)</f>
        <v>0</v>
      </c>
      <c r="AT134" s="261">
        <f>SUM(AT139)</f>
        <v>12161274447.800001</v>
      </c>
      <c r="AU134" s="261">
        <f t="shared" ref="AU134:BB134" si="87">SUM(AU139)</f>
        <v>12159839448</v>
      </c>
      <c r="AV134" s="261">
        <f t="shared" si="87"/>
        <v>0</v>
      </c>
      <c r="AW134" s="261">
        <f t="shared" si="87"/>
        <v>0</v>
      </c>
      <c r="AX134" s="261">
        <f t="shared" si="87"/>
        <v>0</v>
      </c>
      <c r="AY134" s="261">
        <f t="shared" si="87"/>
        <v>0</v>
      </c>
      <c r="AZ134" s="261">
        <f t="shared" si="87"/>
        <v>0</v>
      </c>
      <c r="BA134" s="261">
        <f t="shared" si="87"/>
        <v>0</v>
      </c>
      <c r="BB134" s="261">
        <f t="shared" si="87"/>
        <v>-1434999.7999999998</v>
      </c>
    </row>
    <row r="135" spans="1:58" ht="51.6" customHeight="1" outlineLevel="2" x14ac:dyDescent="0.25">
      <c r="A135" s="115"/>
      <c r="B135" s="200"/>
      <c r="C135" s="201"/>
      <c r="D135" s="346"/>
      <c r="E135" s="321"/>
      <c r="F135" s="337"/>
      <c r="G135" s="338"/>
      <c r="H135" s="199" t="s">
        <v>453</v>
      </c>
      <c r="I135" s="130"/>
      <c r="J135" s="126"/>
      <c r="K135" s="126"/>
      <c r="L135" s="125" t="str">
        <f>IF(I135&lt;&gt;0,((VLOOKUP(I135,'1. Standard_Cost'!$B$4:$D$11,2)+VLOOKUP(I135,'1. Standard_Cost'!$B$4:$D$11,3))*J135*K135),"0")</f>
        <v>0</v>
      </c>
      <c r="M135" s="125">
        <f>L135*'1. Standard_Cost'!$F$4</f>
        <v>0</v>
      </c>
      <c r="N135" s="126"/>
      <c r="O135" s="126"/>
      <c r="P135" s="126"/>
      <c r="Q135" s="126"/>
      <c r="R135" s="127">
        <f>'1. Standard_Cost'!$B$15*N135*P135</f>
        <v>0</v>
      </c>
      <c r="S135" s="127">
        <f>N135*O135*P135*'1. Standard_Cost'!$C$15</f>
        <v>0</v>
      </c>
      <c r="T135" s="127">
        <f>N135*P135*Q135*'1. Standard_Cost'!$D$15</f>
        <v>0</v>
      </c>
      <c r="U135" s="127">
        <f>N135*O135*'1. Standard_Cost'!$E$15</f>
        <v>0</v>
      </c>
      <c r="V135" s="126"/>
      <c r="W135" s="126"/>
      <c r="X135" s="126"/>
      <c r="Y135" s="127">
        <f>+V135*((X135*'1. Standard_Cost'!$B$19)+(W135*X135*'1. Standard_Cost'!$C$19))</f>
        <v>0</v>
      </c>
      <c r="Z135" s="126"/>
      <c r="AA135" s="126"/>
      <c r="AB135" s="127">
        <f>+Z135*'1. Standard_Cost'!$B$23+AA135*'1. Standard_Cost'!$C$23</f>
        <v>0</v>
      </c>
      <c r="AC135" s="128">
        <v>12140000000</v>
      </c>
      <c r="AD135" s="129"/>
      <c r="AE135" s="127"/>
      <c r="AF135" s="127">
        <f>SUM(AE135,AD135,AC135,AB135,Y135,U135,T135,S135,R135)</f>
        <v>12140000000</v>
      </c>
      <c r="AG135" s="126"/>
      <c r="AH135" s="126"/>
      <c r="AI135" s="126"/>
      <c r="AJ135" s="130"/>
      <c r="AK135" s="130"/>
      <c r="AL135" s="130"/>
      <c r="AM135" s="127">
        <f>AG135*'1. Standard_Cost'!$B$27+'Incremental_Cost Year 5'!AH135*'1. Standard_Cost'!$C$27+'Incremental_Cost Year 5'!AI135*'1. Standard_Cost'!$D$27+'Incremental_Cost Year 5'!AJ135+'Incremental_Cost Year 5'!AL135+AK135</f>
        <v>0</v>
      </c>
      <c r="AN135" s="127">
        <f>AM135*'1. Standard_Cost'!$C$31</f>
        <v>0</v>
      </c>
      <c r="AO135" s="130"/>
      <c r="AQ135" s="171">
        <f>L135+M135</f>
        <v>0</v>
      </c>
      <c r="AR135" s="171">
        <f>AF135</f>
        <v>12140000000</v>
      </c>
      <c r="AS135" s="171">
        <f>AM135+AN135</f>
        <v>0</v>
      </c>
      <c r="AT135" s="171">
        <f>SUM(AQ135,AR135,AS135)</f>
        <v>12140000000</v>
      </c>
      <c r="AU135" s="250">
        <v>12140000000</v>
      </c>
      <c r="AV135" s="250"/>
      <c r="AW135" s="250"/>
      <c r="AX135" s="250"/>
      <c r="AY135" s="250"/>
      <c r="AZ135" s="250"/>
      <c r="BA135" s="250"/>
      <c r="BB135" s="251">
        <f t="shared" ref="BB135:BB138" si="88">SUM(AU135:BA135)-AT135</f>
        <v>0</v>
      </c>
      <c r="BC135" s="169"/>
      <c r="BD135" s="169"/>
      <c r="BE135" s="169"/>
      <c r="BF135" s="169"/>
    </row>
    <row r="136" spans="1:58" ht="51.6" customHeight="1" outlineLevel="2" x14ac:dyDescent="0.25">
      <c r="A136" s="115"/>
      <c r="B136" s="200"/>
      <c r="C136" s="201"/>
      <c r="D136" s="203"/>
      <c r="E136" s="323"/>
      <c r="F136" s="335"/>
      <c r="G136" s="336"/>
      <c r="H136" s="199" t="s">
        <v>454</v>
      </c>
      <c r="I136" s="130" t="s">
        <v>5</v>
      </c>
      <c r="J136" s="126">
        <v>12</v>
      </c>
      <c r="K136" s="126">
        <v>4</v>
      </c>
      <c r="L136" s="125">
        <f>IF(I136&lt;&gt;0,((VLOOKUP(I136,'1. Standard_Cost'!$B$4:$D$11,2)+VLOOKUP(I136,'1. Standard_Cost'!$B$4:$D$11,3))*J136*K136),"0")</f>
        <v>3393600</v>
      </c>
      <c r="M136" s="125">
        <f>L136*'1. Standard_Cost'!$F$4</f>
        <v>566731.20000000007</v>
      </c>
      <c r="N136" s="126"/>
      <c r="O136" s="126"/>
      <c r="P136" s="126"/>
      <c r="Q136" s="126"/>
      <c r="R136" s="127">
        <f>'1. Standard_Cost'!$B$15*N136*P136</f>
        <v>0</v>
      </c>
      <c r="S136" s="127">
        <f>N136*O136*P136*'1. Standard_Cost'!$C$15</f>
        <v>0</v>
      </c>
      <c r="T136" s="127">
        <f>N136*P136*Q136*'1. Standard_Cost'!$D$15</f>
        <v>0</v>
      </c>
      <c r="U136" s="127">
        <f>N136*O136*'1. Standard_Cost'!$E$15</f>
        <v>0</v>
      </c>
      <c r="V136" s="126"/>
      <c r="W136" s="126"/>
      <c r="X136" s="126"/>
      <c r="Y136" s="127">
        <f>+V136*((X136*'1. Standard_Cost'!$B$19)+(W136*X136*'1. Standard_Cost'!$C$19))</f>
        <v>0</v>
      </c>
      <c r="Z136" s="126"/>
      <c r="AA136" s="126"/>
      <c r="AB136" s="127">
        <f>+Z136*'1. Standard_Cost'!$B$23+AA136*'1. Standard_Cost'!$C$23</f>
        <v>0</v>
      </c>
      <c r="AC136" s="128">
        <v>475240</v>
      </c>
      <c r="AD136" s="129"/>
      <c r="AE136" s="127">
        <f>SUM(AD136,AC136,AB136,Y136,U136,T136,S136,R136)*'1. Standard_Cost'!$B$31</f>
        <v>95048</v>
      </c>
      <c r="AF136" s="127">
        <f>SUM(AE136,AD136,AC136,AB136,Y136,U136,T136,S136,R136)</f>
        <v>570288</v>
      </c>
      <c r="AG136" s="126"/>
      <c r="AH136" s="126"/>
      <c r="AI136" s="126"/>
      <c r="AJ136" s="130"/>
      <c r="AK136" s="130"/>
      <c r="AL136" s="130"/>
      <c r="AM136" s="127">
        <f>AG136*'1. Standard_Cost'!$B$27+'Incremental_Cost Year 5'!AH136*'1. Standard_Cost'!$C$27+'Incremental_Cost Year 5'!AI136*'1. Standard_Cost'!$D$27+'Incremental_Cost Year 5'!AJ136+'Incremental_Cost Year 5'!AL136+AK136</f>
        <v>0</v>
      </c>
      <c r="AN136" s="127">
        <f>AM136*'1. Standard_Cost'!$C$31</f>
        <v>0</v>
      </c>
      <c r="AO136" s="130"/>
      <c r="AQ136" s="171">
        <f>L136+M136</f>
        <v>3960331.2</v>
      </c>
      <c r="AR136" s="171">
        <f>AF136</f>
        <v>570288</v>
      </c>
      <c r="AS136" s="171">
        <f>AM136+AN136</f>
        <v>0</v>
      </c>
      <c r="AT136" s="171">
        <f>SUM(AQ136,AR136,AS136)</f>
        <v>4530619.2</v>
      </c>
      <c r="AU136" s="250">
        <v>4530619</v>
      </c>
      <c r="AV136" s="250"/>
      <c r="AW136" s="250"/>
      <c r="AX136" s="250"/>
      <c r="AY136" s="250"/>
      <c r="AZ136" s="250"/>
      <c r="BA136" s="250"/>
      <c r="BB136" s="251">
        <f t="shared" si="88"/>
        <v>-0.20000000018626451</v>
      </c>
      <c r="BC136" s="169"/>
      <c r="BD136" s="169"/>
      <c r="BE136" s="169"/>
      <c r="BF136" s="169"/>
    </row>
    <row r="137" spans="1:58" ht="51.6" customHeight="1" outlineLevel="2" x14ac:dyDescent="0.25">
      <c r="A137" s="115"/>
      <c r="B137" s="200"/>
      <c r="C137" s="201"/>
      <c r="D137" s="203"/>
      <c r="E137" s="323"/>
      <c r="F137" s="335"/>
      <c r="G137" s="336"/>
      <c r="H137" s="199" t="s">
        <v>455</v>
      </c>
      <c r="I137" s="130" t="s">
        <v>4</v>
      </c>
      <c r="J137" s="126">
        <v>4</v>
      </c>
      <c r="K137" s="126">
        <v>3</v>
      </c>
      <c r="L137" s="125">
        <f>IF(I137&lt;&gt;0,((VLOOKUP(I137,'1. Standard_Cost'!$B$4:$D$11,2)+VLOOKUP(I137,'1. Standard_Cost'!$B$4:$D$11,3))*J137*K137),"0")</f>
        <v>969000</v>
      </c>
      <c r="M137" s="125">
        <f>L137*'1. Standard_Cost'!$F$4</f>
        <v>161823</v>
      </c>
      <c r="N137" s="126"/>
      <c r="O137" s="126"/>
      <c r="P137" s="126"/>
      <c r="Q137" s="126"/>
      <c r="R137" s="127">
        <f>'1. Standard_Cost'!$B$15*N137*P137</f>
        <v>0</v>
      </c>
      <c r="S137" s="127">
        <f>N137*O137*P137*'1. Standard_Cost'!$C$15</f>
        <v>0</v>
      </c>
      <c r="T137" s="127">
        <f>N137*P137*Q137*'1. Standard_Cost'!$D$15</f>
        <v>0</v>
      </c>
      <c r="U137" s="127">
        <f>N137*O137*'1. Standard_Cost'!$E$15</f>
        <v>0</v>
      </c>
      <c r="V137" s="126"/>
      <c r="W137" s="126"/>
      <c r="X137" s="126"/>
      <c r="Y137" s="127">
        <f>+V137*((X137*'1. Standard_Cost'!$B$19)+(W137*X137*'1. Standard_Cost'!$C$19))</f>
        <v>0</v>
      </c>
      <c r="Z137" s="126">
        <v>10</v>
      </c>
      <c r="AA137" s="126">
        <v>15</v>
      </c>
      <c r="AB137" s="127">
        <f>+Z137*'1. Standard_Cost'!$B$23+AA137*'1. Standard_Cost'!$C$23</f>
        <v>1025000</v>
      </c>
      <c r="AC137" s="128">
        <v>135700</v>
      </c>
      <c r="AD137" s="129"/>
      <c r="AE137" s="127">
        <f>SUM(AD137,AC137,AB137,Y137,U137,T137,S137,R137)*'1. Standard_Cost'!$B$31</f>
        <v>232140</v>
      </c>
      <c r="AF137" s="127">
        <f>SUM(AE137,AD137,AC137,AB137,Y137,U137,T137,S137,R137)</f>
        <v>1392840</v>
      </c>
      <c r="AG137" s="126"/>
      <c r="AH137" s="126"/>
      <c r="AI137" s="126"/>
      <c r="AJ137" s="130"/>
      <c r="AK137" s="130"/>
      <c r="AL137" s="130"/>
      <c r="AM137" s="127">
        <f>AG137*'1. Standard_Cost'!$B$27+'Incremental_Cost Year 5'!AH137*'1. Standard_Cost'!$C$27+'Incremental_Cost Year 5'!AI137*'1. Standard_Cost'!$D$27+'Incremental_Cost Year 5'!AJ137+'Incremental_Cost Year 5'!AL137+AK137</f>
        <v>0</v>
      </c>
      <c r="AN137" s="127">
        <f>AM137*'1. Standard_Cost'!$C$31</f>
        <v>0</v>
      </c>
      <c r="AO137" s="130"/>
      <c r="AQ137" s="171">
        <f>L137+M137</f>
        <v>1130823</v>
      </c>
      <c r="AR137" s="171">
        <f>AF137</f>
        <v>1392840</v>
      </c>
      <c r="AS137" s="171">
        <f>AM137+AN137</f>
        <v>0</v>
      </c>
      <c r="AT137" s="171">
        <f>SUM(AQ137,AR137,AS137)</f>
        <v>2523663</v>
      </c>
      <c r="AU137" s="250">
        <v>1088663</v>
      </c>
      <c r="AV137" s="250"/>
      <c r="AW137" s="250"/>
      <c r="AX137" s="250"/>
      <c r="AY137" s="250"/>
      <c r="AZ137" s="250"/>
      <c r="BA137" s="250"/>
      <c r="BB137" s="251">
        <f t="shared" si="88"/>
        <v>-1435000</v>
      </c>
      <c r="BC137" s="169"/>
      <c r="BD137" s="169"/>
      <c r="BE137" s="169"/>
      <c r="BF137" s="169"/>
    </row>
    <row r="138" spans="1:58" ht="51.6" customHeight="1" outlineLevel="2" x14ac:dyDescent="0.25">
      <c r="A138" s="115"/>
      <c r="B138" s="200"/>
      <c r="C138" s="334"/>
      <c r="D138" s="347"/>
      <c r="E138" s="323"/>
      <c r="F138" s="335"/>
      <c r="G138" s="336"/>
      <c r="H138" s="199" t="s">
        <v>456</v>
      </c>
      <c r="I138" s="130" t="s">
        <v>5</v>
      </c>
      <c r="J138" s="126">
        <v>12</v>
      </c>
      <c r="K138" s="126">
        <v>2</v>
      </c>
      <c r="L138" s="125">
        <f>IF(I138&lt;&gt;0,((VLOOKUP(I138,'1. Standard_Cost'!$B$4:$D$11,2)+VLOOKUP(I138,'1. Standard_Cost'!$B$4:$D$11,3))*J138*K138),"0")</f>
        <v>1696800</v>
      </c>
      <c r="M138" s="125">
        <f>L138*'1. Standard_Cost'!$F$4</f>
        <v>283365.60000000003</v>
      </c>
      <c r="N138" s="126"/>
      <c r="O138" s="126"/>
      <c r="P138" s="126"/>
      <c r="Q138" s="126"/>
      <c r="R138" s="127">
        <f>'1. Standard_Cost'!$B$15*N138*P138</f>
        <v>0</v>
      </c>
      <c r="S138" s="127">
        <f>N138*O138*P138*'1. Standard_Cost'!$C$15</f>
        <v>0</v>
      </c>
      <c r="T138" s="127">
        <f>N138*P138*Q138*'1. Standard_Cost'!$D$15</f>
        <v>0</v>
      </c>
      <c r="U138" s="127">
        <f>N138*O138*'1. Standard_Cost'!$E$15</f>
        <v>0</v>
      </c>
      <c r="V138" s="126"/>
      <c r="W138" s="126"/>
      <c r="X138" s="126"/>
      <c r="Y138" s="127">
        <f>+V138*((X138*'1. Standard_Cost'!$B$19)+(W138*X138*'1. Standard_Cost'!$C$19))</f>
        <v>0</v>
      </c>
      <c r="Z138" s="126"/>
      <c r="AA138" s="145"/>
      <c r="AB138" s="127">
        <f>+Z138*'1. Standard_Cost'!$B$23+AA138*'1. Standard_Cost'!$C$23</f>
        <v>0</v>
      </c>
      <c r="AC138" s="128">
        <v>10200000</v>
      </c>
      <c r="AD138" s="129"/>
      <c r="AE138" s="127">
        <f>SUM(AD138,AC138,AB138,Y138,U138,T138,S138,R138)*'1. Standard_Cost'!$B$31</f>
        <v>2040000</v>
      </c>
      <c r="AF138" s="127">
        <f>SUM(AE138,AD138,AC138,AB138,Y138,U138,T138,S138,R138)</f>
        <v>12240000</v>
      </c>
      <c r="AG138" s="126"/>
      <c r="AH138" s="126"/>
      <c r="AI138" s="126"/>
      <c r="AJ138" s="130"/>
      <c r="AK138" s="130"/>
      <c r="AL138" s="130"/>
      <c r="AM138" s="127">
        <f>AG138*'1. Standard_Cost'!$B$27+'Incremental_Cost Year 5'!AH138*'1. Standard_Cost'!$C$27+'Incremental_Cost Year 5'!AI138*'1. Standard_Cost'!$D$27+'Incremental_Cost Year 5'!AJ138+'Incremental_Cost Year 5'!AL138+AK138</f>
        <v>0</v>
      </c>
      <c r="AN138" s="127">
        <f>AM138*'1. Standard_Cost'!$C$31</f>
        <v>0</v>
      </c>
      <c r="AO138" s="262"/>
      <c r="AQ138" s="171">
        <f>L138+M138</f>
        <v>1980165.6</v>
      </c>
      <c r="AR138" s="171">
        <f>AF138</f>
        <v>12240000</v>
      </c>
      <c r="AS138" s="171">
        <f>AM138+AN138</f>
        <v>0</v>
      </c>
      <c r="AT138" s="171">
        <f>SUM(AQ138,AR138,AS138)</f>
        <v>14220165.6</v>
      </c>
      <c r="AU138" s="250">
        <v>14220166</v>
      </c>
      <c r="AV138" s="250"/>
      <c r="AW138" s="250"/>
      <c r="AX138" s="250"/>
      <c r="AY138" s="250"/>
      <c r="AZ138" s="250"/>
      <c r="BA138" s="250"/>
      <c r="BB138" s="251">
        <f t="shared" si="88"/>
        <v>0.40000000037252903</v>
      </c>
      <c r="BC138" s="169"/>
      <c r="BD138" s="169"/>
      <c r="BE138" s="169"/>
      <c r="BF138" s="169"/>
    </row>
    <row r="139" spans="1:58" ht="51.6" customHeight="1" outlineLevel="1" x14ac:dyDescent="0.25">
      <c r="A139" s="115"/>
      <c r="B139" s="165"/>
      <c r="C139" s="166"/>
      <c r="D139" s="228" t="s">
        <v>233</v>
      </c>
      <c r="E139" s="212" t="s">
        <v>291</v>
      </c>
      <c r="F139" s="136">
        <v>2022</v>
      </c>
      <c r="G139" s="117">
        <v>2030</v>
      </c>
      <c r="H139" s="110" t="s">
        <v>292</v>
      </c>
      <c r="I139" s="252"/>
      <c r="J139" s="252"/>
      <c r="K139" s="252"/>
      <c r="L139" s="127">
        <f>SUM(L135:L138)</f>
        <v>6059400</v>
      </c>
      <c r="M139" s="127">
        <f>SUM(M135:M138)</f>
        <v>1011919.8</v>
      </c>
      <c r="N139" s="127"/>
      <c r="O139" s="252"/>
      <c r="P139" s="252"/>
      <c r="Q139" s="252"/>
      <c r="R139" s="127">
        <f>SUM(R135:R138)</f>
        <v>0</v>
      </c>
      <c r="S139" s="127">
        <f>SUM(S135:S138)</f>
        <v>0</v>
      </c>
      <c r="T139" s="127">
        <f>SUM(T135:T138)</f>
        <v>0</v>
      </c>
      <c r="U139" s="127">
        <f>SUM(U135:U138)</f>
        <v>0</v>
      </c>
      <c r="V139" s="252"/>
      <c r="W139" s="252"/>
      <c r="X139" s="252"/>
      <c r="Y139" s="127">
        <f>SUM(Y135:Y138)</f>
        <v>0</v>
      </c>
      <c r="Z139" s="252"/>
      <c r="AA139" s="252"/>
      <c r="AB139" s="127">
        <f>SUM(AB135:AB138)</f>
        <v>1025000</v>
      </c>
      <c r="AC139" s="127">
        <f>SUM(AC135:AC137)</f>
        <v>12140610940</v>
      </c>
      <c r="AD139" s="127">
        <f>SUM(AD135:AD137)</f>
        <v>0</v>
      </c>
      <c r="AE139" s="127">
        <f>SUM(AE135:AE137)</f>
        <v>327188</v>
      </c>
      <c r="AF139" s="127">
        <f>SUM(AF135:AF138)</f>
        <v>12154203128</v>
      </c>
      <c r="AG139" s="252"/>
      <c r="AH139" s="252"/>
      <c r="AI139" s="252"/>
      <c r="AJ139" s="127">
        <f>SUM(AJ135:AJ137)</f>
        <v>0</v>
      </c>
      <c r="AK139" s="127">
        <f>SUM(AK135:AK137)</f>
        <v>0</v>
      </c>
      <c r="AL139" s="127">
        <f>SUM(AL135:AL137)</f>
        <v>0</v>
      </c>
      <c r="AM139" s="127">
        <f>SUM(AM135:AM137)</f>
        <v>0</v>
      </c>
      <c r="AN139" s="127">
        <f>SUM(AN135:AN137)</f>
        <v>0</v>
      </c>
      <c r="AO139" s="253"/>
      <c r="AP139" s="254"/>
      <c r="AQ139" s="175">
        <f>SUM(AQ135:AQ138)</f>
        <v>7071319.8000000007</v>
      </c>
      <c r="AR139" s="175">
        <f>SUM(AR135:AR138)</f>
        <v>12154203128</v>
      </c>
      <c r="AS139" s="175">
        <f>SUM(AS135:AS138)</f>
        <v>0</v>
      </c>
      <c r="AT139" s="175">
        <f>SUM(AT135:AT138)</f>
        <v>12161274447.800001</v>
      </c>
      <c r="AU139" s="175">
        <f t="shared" ref="AU139:BB139" si="89">SUM(AU135:AU138)</f>
        <v>12159839448</v>
      </c>
      <c r="AV139" s="175">
        <f t="shared" si="89"/>
        <v>0</v>
      </c>
      <c r="AW139" s="175">
        <f t="shared" si="89"/>
        <v>0</v>
      </c>
      <c r="AX139" s="175">
        <f t="shared" si="89"/>
        <v>0</v>
      </c>
      <c r="AY139" s="175">
        <f t="shared" si="89"/>
        <v>0</v>
      </c>
      <c r="AZ139" s="175">
        <f t="shared" si="89"/>
        <v>0</v>
      </c>
      <c r="BA139" s="175">
        <f t="shared" si="89"/>
        <v>0</v>
      </c>
      <c r="BB139" s="175">
        <f t="shared" si="89"/>
        <v>-1434999.7999999998</v>
      </c>
      <c r="BC139" s="169"/>
      <c r="BD139" s="169"/>
      <c r="BE139" s="169"/>
      <c r="BF139" s="169"/>
    </row>
    <row r="140" spans="1:58" s="184" customFormat="1" ht="51.6" customHeight="1" x14ac:dyDescent="0.25">
      <c r="A140" s="143"/>
      <c r="B140" s="290"/>
      <c r="C140" s="391" t="s">
        <v>293</v>
      </c>
      <c r="D140" s="391"/>
      <c r="E140" s="392"/>
      <c r="F140" s="291"/>
      <c r="G140" s="289"/>
      <c r="H140" s="144" t="s">
        <v>294</v>
      </c>
      <c r="I140" s="257"/>
      <c r="J140" s="257"/>
      <c r="K140" s="257"/>
      <c r="L140" s="258">
        <f>SUM(L149)</f>
        <v>12999700</v>
      </c>
      <c r="M140" s="258">
        <f>SUM(M149)</f>
        <v>2170949.9</v>
      </c>
      <c r="N140" s="257"/>
      <c r="O140" s="257"/>
      <c r="P140" s="257"/>
      <c r="Q140" s="257"/>
      <c r="R140" s="258">
        <f>SUM(R149)</f>
        <v>400000</v>
      </c>
      <c r="S140" s="258">
        <f>SUM(S149)</f>
        <v>300000</v>
      </c>
      <c r="T140" s="258">
        <f>SUM(T149)</f>
        <v>0</v>
      </c>
      <c r="U140" s="258">
        <f>SUM(U149)</f>
        <v>400000</v>
      </c>
      <c r="V140" s="257"/>
      <c r="W140" s="257"/>
      <c r="X140" s="257"/>
      <c r="Y140" s="258">
        <f>SUM(Y149)</f>
        <v>255000</v>
      </c>
      <c r="Z140" s="258"/>
      <c r="AA140" s="258"/>
      <c r="AB140" s="258">
        <f>SUM(AB149)</f>
        <v>779000</v>
      </c>
      <c r="AC140" s="258">
        <f>SUM(AC149)</f>
        <v>3312544</v>
      </c>
      <c r="AD140" s="258">
        <f>SUM(AD149)</f>
        <v>0</v>
      </c>
      <c r="AE140" s="258">
        <f>SUM(AE149)</f>
        <v>1089308.8</v>
      </c>
      <c r="AF140" s="258">
        <f>SUM(AF149)</f>
        <v>6535852.7999999998</v>
      </c>
      <c r="AG140" s="257"/>
      <c r="AH140" s="257"/>
      <c r="AI140" s="257"/>
      <c r="AJ140" s="258">
        <f>SUM(AJ149)</f>
        <v>0</v>
      </c>
      <c r="AK140" s="258">
        <f>SUM(AK149)</f>
        <v>0</v>
      </c>
      <c r="AL140" s="258">
        <f>SUM(AL149)</f>
        <v>30000000</v>
      </c>
      <c r="AM140" s="258">
        <f>SUM(AM149)</f>
        <v>30000000</v>
      </c>
      <c r="AN140" s="258">
        <f>SUM(AN149)</f>
        <v>4500000</v>
      </c>
      <c r="AO140" s="259"/>
      <c r="AP140" s="260"/>
      <c r="AQ140" s="261">
        <f>SUM(AQ149)</f>
        <v>15170649.9</v>
      </c>
      <c r="AR140" s="261">
        <f>SUM(AR149)</f>
        <v>6535852.7999999998</v>
      </c>
      <c r="AS140" s="261">
        <f>SUM(AS149)</f>
        <v>34500000</v>
      </c>
      <c r="AT140" s="261">
        <f>SUM(AT149)</f>
        <v>56206502.700000003</v>
      </c>
      <c r="AU140" s="261">
        <f t="shared" ref="AU140:BB140" si="90">SUM(AU149)</f>
        <v>18545702.5</v>
      </c>
      <c r="AV140" s="261">
        <f t="shared" si="90"/>
        <v>0</v>
      </c>
      <c r="AW140" s="261">
        <f t="shared" si="90"/>
        <v>0</v>
      </c>
      <c r="AX140" s="261">
        <f t="shared" si="90"/>
        <v>0</v>
      </c>
      <c r="AY140" s="261">
        <f t="shared" si="90"/>
        <v>0</v>
      </c>
      <c r="AZ140" s="261">
        <f t="shared" si="90"/>
        <v>0</v>
      </c>
      <c r="BA140" s="261">
        <f t="shared" si="90"/>
        <v>0</v>
      </c>
      <c r="BB140" s="261">
        <f t="shared" si="90"/>
        <v>-37660800.200000003</v>
      </c>
    </row>
    <row r="141" spans="1:58" ht="51.6" customHeight="1" outlineLevel="2" x14ac:dyDescent="0.25">
      <c r="A141" s="115"/>
      <c r="B141" s="303"/>
      <c r="C141" s="329"/>
      <c r="D141" s="342"/>
      <c r="E141" s="328"/>
      <c r="F141" s="328"/>
      <c r="G141" s="328"/>
      <c r="H141" s="199" t="s">
        <v>457</v>
      </c>
      <c r="I141" s="130"/>
      <c r="J141" s="126"/>
      <c r="K141" s="126"/>
      <c r="L141" s="125" t="str">
        <f>IF(I141&lt;&gt;0,((VLOOKUP(I141,'1. Standard_Cost'!$B$4:$D$11,2)+VLOOKUP(I141,'1. Standard_Cost'!$B$4:$D$11,3))*J141*K141),"0")</f>
        <v>0</v>
      </c>
      <c r="M141" s="125">
        <f>L141*'1. Standard_Cost'!$F$4</f>
        <v>0</v>
      </c>
      <c r="N141" s="126"/>
      <c r="O141" s="126"/>
      <c r="P141" s="126"/>
      <c r="Q141" s="126"/>
      <c r="R141" s="127">
        <f>'1. Standard_Cost'!$B$15*N141*P141</f>
        <v>0</v>
      </c>
      <c r="S141" s="127">
        <f>N141*O141*P141*'1. Standard_Cost'!$C$15</f>
        <v>0</v>
      </c>
      <c r="T141" s="127">
        <f>N141*P141*Q141*'1. Standard_Cost'!$D$15</f>
        <v>0</v>
      </c>
      <c r="U141" s="127">
        <f>N141*O141*'1. Standard_Cost'!$E$15</f>
        <v>0</v>
      </c>
      <c r="V141" s="126"/>
      <c r="W141" s="126"/>
      <c r="X141" s="126"/>
      <c r="Y141" s="127">
        <f>+V141*((X141*'1. Standard_Cost'!$B$19)+(W141*X141*'1. Standard_Cost'!$C$19))</f>
        <v>0</v>
      </c>
      <c r="Z141" s="126"/>
      <c r="AA141" s="126"/>
      <c r="AB141" s="127">
        <f>+Z141*'1. Standard_Cost'!$B$23+AA141*'1. Standard_Cost'!$C$23</f>
        <v>0</v>
      </c>
      <c r="AC141" s="128"/>
      <c r="AD141" s="129"/>
      <c r="AE141" s="127">
        <f>SUM(AD141,AC141,AB141,Y141,U141,T141,S141,R141)*'1. Standard_Cost'!$B$31</f>
        <v>0</v>
      </c>
      <c r="AF141" s="127">
        <f t="shared" ref="AF141:AF148" si="91">SUM(AE141,AD141,AC141,AB141,Y141,U141,T141,S141,R141)</f>
        <v>0</v>
      </c>
      <c r="AG141" s="126"/>
      <c r="AH141" s="126"/>
      <c r="AI141" s="126"/>
      <c r="AJ141" s="130"/>
      <c r="AK141" s="130"/>
      <c r="AL141" s="130"/>
      <c r="AM141" s="127">
        <f>AG141*'1. Standard_Cost'!$B$27+'Incremental_Cost Year 5'!AH141*'1. Standard_Cost'!$C$27+'Incremental_Cost Year 5'!AI141*'1. Standard_Cost'!$D$27+'Incremental_Cost Year 5'!AJ141+'Incremental_Cost Year 5'!AL141+AK141</f>
        <v>0</v>
      </c>
      <c r="AN141" s="127">
        <f>AM141*'1. Standard_Cost'!$C$31</f>
        <v>0</v>
      </c>
      <c r="AO141" s="130"/>
      <c r="AQ141" s="171">
        <f t="shared" ref="AQ141:AQ148" si="92">L141+M141</f>
        <v>0</v>
      </c>
      <c r="AR141" s="171">
        <f t="shared" ref="AR141:AR148" si="93">AF141</f>
        <v>0</v>
      </c>
      <c r="AS141" s="171">
        <f t="shared" ref="AS141:AS148" si="94">AM141+AN141</f>
        <v>0</v>
      </c>
      <c r="AT141" s="171">
        <f t="shared" ref="AT141:AT148" si="95">SUM(AQ141,AR141,AS141)</f>
        <v>0</v>
      </c>
      <c r="AU141" s="250"/>
      <c r="AV141" s="250"/>
      <c r="AW141" s="250"/>
      <c r="AX141" s="250"/>
      <c r="AY141" s="250"/>
      <c r="AZ141" s="250"/>
      <c r="BA141" s="250"/>
      <c r="BB141" s="251">
        <f t="shared" ref="BB141:BB148" si="96">SUM(AU141:BA141)-AT141</f>
        <v>0</v>
      </c>
      <c r="BC141" s="169"/>
      <c r="BD141" s="169"/>
      <c r="BE141" s="169"/>
      <c r="BF141" s="169"/>
    </row>
    <row r="142" spans="1:58" ht="51.6" customHeight="1" outlineLevel="2" x14ac:dyDescent="0.25">
      <c r="A142" s="115"/>
      <c r="B142" s="200"/>
      <c r="C142" s="330"/>
      <c r="D142" s="343"/>
      <c r="E142" s="328"/>
      <c r="F142" s="328"/>
      <c r="G142" s="328"/>
      <c r="H142" s="199" t="s">
        <v>458</v>
      </c>
      <c r="I142" s="130" t="s">
        <v>3</v>
      </c>
      <c r="J142" s="126">
        <v>2</v>
      </c>
      <c r="K142" s="126">
        <v>7</v>
      </c>
      <c r="L142" s="125">
        <f>IF(I142&lt;&gt;0,((VLOOKUP(I142,'1. Standard_Cost'!$B$4:$D$11,2)+VLOOKUP(I142,'1. Standard_Cost'!$B$4:$D$11,3))*J142*K142),"0")</f>
        <v>1411200</v>
      </c>
      <c r="M142" s="125">
        <f>L142*'1. Standard_Cost'!$F$4</f>
        <v>235670.40000000002</v>
      </c>
      <c r="N142" s="126"/>
      <c r="O142" s="126"/>
      <c r="P142" s="126"/>
      <c r="Q142" s="126"/>
      <c r="R142" s="127">
        <f>'1. Standard_Cost'!$B$15*N142*P142</f>
        <v>0</v>
      </c>
      <c r="S142" s="127">
        <f>N142*O142*P142*'1. Standard_Cost'!$C$15</f>
        <v>0</v>
      </c>
      <c r="T142" s="127">
        <f>N142*P142*Q142*'1. Standard_Cost'!$D$15</f>
        <v>0</v>
      </c>
      <c r="U142" s="127">
        <f>N142*O142*'1. Standard_Cost'!$E$15</f>
        <v>0</v>
      </c>
      <c r="V142" s="126"/>
      <c r="W142" s="126"/>
      <c r="X142" s="126"/>
      <c r="Y142" s="127">
        <f>+V142*((X142*'1. Standard_Cost'!$B$19)+(W142*X142*'1. Standard_Cost'!$C$19))</f>
        <v>0</v>
      </c>
      <c r="Z142" s="126"/>
      <c r="AA142" s="126"/>
      <c r="AB142" s="127">
        <f>+Z142*'1. Standard_Cost'!$B$23+AA142*'1. Standard_Cost'!$C$23</f>
        <v>0</v>
      </c>
      <c r="AC142" s="128">
        <v>209624</v>
      </c>
      <c r="AD142" s="129"/>
      <c r="AE142" s="127">
        <f>SUM(AD142,AC142,AB142,Y142,U142,T142,S142,R142)*'1. Standard_Cost'!$B$31</f>
        <v>41924.800000000003</v>
      </c>
      <c r="AF142" s="127">
        <f t="shared" si="91"/>
        <v>251548.79999999999</v>
      </c>
      <c r="AG142" s="126"/>
      <c r="AH142" s="126"/>
      <c r="AI142" s="126"/>
      <c r="AJ142" s="130"/>
      <c r="AK142" s="130"/>
      <c r="AL142" s="130"/>
      <c r="AM142" s="127">
        <f>AG142*'1. Standard_Cost'!$B$27+'Incremental_Cost Year 5'!AH142*'1. Standard_Cost'!$C$27+'Incremental_Cost Year 5'!AI142*'1. Standard_Cost'!$D$27+'Incremental_Cost Year 5'!AJ142+'Incremental_Cost Year 5'!AL142+AK142</f>
        <v>0</v>
      </c>
      <c r="AN142" s="127">
        <f>AM142*'1. Standard_Cost'!$C$31</f>
        <v>0</v>
      </c>
      <c r="AO142" s="130"/>
      <c r="AQ142" s="171">
        <f t="shared" si="92"/>
        <v>1646870.4</v>
      </c>
      <c r="AR142" s="171">
        <f t="shared" si="93"/>
        <v>251548.79999999999</v>
      </c>
      <c r="AS142" s="171">
        <f t="shared" si="94"/>
        <v>0</v>
      </c>
      <c r="AT142" s="171">
        <f t="shared" si="95"/>
        <v>1898419.2</v>
      </c>
      <c r="AU142" s="250">
        <v>1898419</v>
      </c>
      <c r="AV142" s="250"/>
      <c r="AW142" s="250"/>
      <c r="AX142" s="250"/>
      <c r="AY142" s="250"/>
      <c r="AZ142" s="250"/>
      <c r="BA142" s="250"/>
      <c r="BB142" s="251">
        <f t="shared" si="96"/>
        <v>-0.19999999995343387</v>
      </c>
      <c r="BC142" s="169"/>
      <c r="BD142" s="169"/>
      <c r="BE142" s="169"/>
      <c r="BF142" s="169"/>
    </row>
    <row r="143" spans="1:58" ht="51.6" customHeight="1" outlineLevel="2" x14ac:dyDescent="0.25">
      <c r="A143" s="115"/>
      <c r="B143" s="200"/>
      <c r="C143" s="330"/>
      <c r="D143" s="343"/>
      <c r="E143" s="328"/>
      <c r="F143" s="328"/>
      <c r="G143" s="328"/>
      <c r="H143" s="199" t="s">
        <v>459</v>
      </c>
      <c r="I143" s="130" t="s">
        <v>3</v>
      </c>
      <c r="J143" s="126">
        <v>12</v>
      </c>
      <c r="K143" s="126">
        <v>5</v>
      </c>
      <c r="L143" s="125">
        <f>IF(I143&lt;&gt;0,((VLOOKUP(I143,'1. Standard_Cost'!$B$4:$D$11,2)+VLOOKUP(I143,'1. Standard_Cost'!$B$4:$D$11,3))*J143*K143),"0")</f>
        <v>6048000</v>
      </c>
      <c r="M143" s="125">
        <f>L143*'1. Standard_Cost'!$F$4</f>
        <v>1010016</v>
      </c>
      <c r="N143" s="126"/>
      <c r="O143" s="126"/>
      <c r="P143" s="126"/>
      <c r="Q143" s="126"/>
      <c r="R143" s="127">
        <f>'1. Standard_Cost'!$B$15*N143*P143</f>
        <v>0</v>
      </c>
      <c r="S143" s="127">
        <f>N143*O143*P143*'1. Standard_Cost'!$C$15</f>
        <v>0</v>
      </c>
      <c r="T143" s="127">
        <f>N143*P143*Q143*'1. Standard_Cost'!$D$15</f>
        <v>0</v>
      </c>
      <c r="U143" s="127">
        <f>N143*O143*'1. Standard_Cost'!$E$15</f>
        <v>0</v>
      </c>
      <c r="V143" s="126"/>
      <c r="W143" s="126"/>
      <c r="X143" s="126"/>
      <c r="Y143" s="127">
        <f>+V143*((X143*'1. Standard_Cost'!$B$19)+(W143*X143*'1. Standard_Cost'!$C$19))</f>
        <v>0</v>
      </c>
      <c r="Z143" s="126"/>
      <c r="AA143" s="126"/>
      <c r="AB143" s="127">
        <f>+Z143*'1. Standard_Cost'!$B$23+AA143*'1. Standard_Cost'!$C$23</f>
        <v>0</v>
      </c>
      <c r="AC143" s="128">
        <v>1200000</v>
      </c>
      <c r="AD143" s="129"/>
      <c r="AE143" s="127">
        <f>SUM(AD143,AC143,AB143,Y143,U143,T143,S143,R143)*'1. Standard_Cost'!$B$31</f>
        <v>240000</v>
      </c>
      <c r="AF143" s="127">
        <f t="shared" si="91"/>
        <v>1440000</v>
      </c>
      <c r="AG143" s="126"/>
      <c r="AH143" s="126"/>
      <c r="AI143" s="126"/>
      <c r="AJ143" s="130"/>
      <c r="AK143" s="130"/>
      <c r="AL143" s="130">
        <v>20000000</v>
      </c>
      <c r="AM143" s="127">
        <f>AG143*'1. Standard_Cost'!$B$27+'Incremental_Cost Year 5'!AH143*'1. Standard_Cost'!$C$27+'Incremental_Cost Year 5'!AI143*'1. Standard_Cost'!$D$27+'Incremental_Cost Year 5'!AJ143+'Incremental_Cost Year 5'!AL143+AK143</f>
        <v>20000000</v>
      </c>
      <c r="AN143" s="127">
        <f>AM143*'1. Standard_Cost'!$C$31</f>
        <v>3000000</v>
      </c>
      <c r="AO143" s="130"/>
      <c r="AQ143" s="171">
        <f t="shared" si="92"/>
        <v>7058016</v>
      </c>
      <c r="AR143" s="171">
        <f t="shared" si="93"/>
        <v>1440000</v>
      </c>
      <c r="AS143" s="171">
        <f t="shared" si="94"/>
        <v>23000000</v>
      </c>
      <c r="AT143" s="171">
        <f t="shared" si="95"/>
        <v>31498016</v>
      </c>
      <c r="AU143" s="250">
        <v>8498016</v>
      </c>
      <c r="AV143" s="250"/>
      <c r="AW143" s="250"/>
      <c r="AX143" s="250"/>
      <c r="AY143" s="250"/>
      <c r="AZ143" s="250"/>
      <c r="BA143" s="250"/>
      <c r="BB143" s="251">
        <f t="shared" si="96"/>
        <v>-23000000</v>
      </c>
      <c r="BC143" s="169"/>
      <c r="BD143" s="169"/>
      <c r="BE143" s="169"/>
      <c r="BF143" s="169"/>
    </row>
    <row r="144" spans="1:58" ht="51.6" customHeight="1" outlineLevel="2" x14ac:dyDescent="0.25">
      <c r="A144" s="115"/>
      <c r="B144" s="200"/>
      <c r="C144" s="330"/>
      <c r="D144" s="343"/>
      <c r="E144" s="328"/>
      <c r="F144" s="328"/>
      <c r="G144" s="328"/>
      <c r="H144" s="199" t="s">
        <v>460</v>
      </c>
      <c r="I144" s="130"/>
      <c r="J144" s="126"/>
      <c r="K144" s="126"/>
      <c r="L144" s="125" t="str">
        <f>IF(I144&lt;&gt;0,((VLOOKUP(I144,'1. Standard_Cost'!$B$4:$D$11,2)+VLOOKUP(I144,'1. Standard_Cost'!$B$4:$D$11,3))*J144*K144),"0")</f>
        <v>0</v>
      </c>
      <c r="M144" s="125">
        <f>L144*'1. Standard_Cost'!$F$4</f>
        <v>0</v>
      </c>
      <c r="N144" s="126"/>
      <c r="O144" s="126"/>
      <c r="P144" s="126"/>
      <c r="Q144" s="126"/>
      <c r="R144" s="127">
        <f>'1. Standard_Cost'!$B$15*N144*P144</f>
        <v>0</v>
      </c>
      <c r="S144" s="127">
        <f>N144*O144*P144*'1. Standard_Cost'!$C$15</f>
        <v>0</v>
      </c>
      <c r="T144" s="127">
        <f>N144*P144*Q144*'1. Standard_Cost'!$D$15</f>
        <v>0</v>
      </c>
      <c r="U144" s="127">
        <f>N144*O144*'1. Standard_Cost'!$E$15</f>
        <v>0</v>
      </c>
      <c r="V144" s="126">
        <v>1</v>
      </c>
      <c r="W144" s="126">
        <v>5</v>
      </c>
      <c r="X144" s="126">
        <v>3</v>
      </c>
      <c r="Y144" s="127">
        <f>+V144*((X144*'1. Standard_Cost'!$B$19)+(W144*X144*'1. Standard_Cost'!$C$19))</f>
        <v>255000</v>
      </c>
      <c r="Z144" s="126"/>
      <c r="AA144" s="126"/>
      <c r="AB144" s="127">
        <f>+Z144*'1. Standard_Cost'!$B$23+AA144*'1. Standard_Cost'!$C$23</f>
        <v>0</v>
      </c>
      <c r="AC144" s="128">
        <v>500000</v>
      </c>
      <c r="AD144" s="129"/>
      <c r="AE144" s="127">
        <f>SUM(AD144,AC144,AB144,Y144,U144,T144,S144,R144)*'1. Standard_Cost'!$B$31</f>
        <v>151000</v>
      </c>
      <c r="AF144" s="127">
        <f t="shared" si="91"/>
        <v>906000</v>
      </c>
      <c r="AG144" s="126"/>
      <c r="AH144" s="126"/>
      <c r="AI144" s="126"/>
      <c r="AJ144" s="130"/>
      <c r="AK144" s="130"/>
      <c r="AL144" s="130"/>
      <c r="AM144" s="127">
        <f>AG144*'1. Standard_Cost'!$B$27+'Incremental_Cost Year 5'!AH144*'1. Standard_Cost'!$C$27+'Incremental_Cost Year 5'!AI144*'1. Standard_Cost'!$D$27+'Incremental_Cost Year 5'!AJ144+'Incremental_Cost Year 5'!AL144+AK144</f>
        <v>0</v>
      </c>
      <c r="AN144" s="127">
        <f>AM144*'1. Standard_Cost'!$C$31</f>
        <v>0</v>
      </c>
      <c r="AO144" s="130"/>
      <c r="AQ144" s="171">
        <f t="shared" si="92"/>
        <v>0</v>
      </c>
      <c r="AR144" s="171">
        <f t="shared" si="93"/>
        <v>906000</v>
      </c>
      <c r="AS144" s="171">
        <f t="shared" si="94"/>
        <v>0</v>
      </c>
      <c r="AT144" s="171">
        <f t="shared" si="95"/>
        <v>906000</v>
      </c>
      <c r="AU144" s="250">
        <v>906000</v>
      </c>
      <c r="AV144" s="250"/>
      <c r="AW144" s="250"/>
      <c r="AX144" s="250"/>
      <c r="AY144" s="250"/>
      <c r="AZ144" s="250"/>
      <c r="BA144" s="250"/>
      <c r="BB144" s="251">
        <f t="shared" si="96"/>
        <v>0</v>
      </c>
      <c r="BC144" s="169"/>
      <c r="BD144" s="169"/>
      <c r="BE144" s="169"/>
      <c r="BF144" s="169"/>
    </row>
    <row r="145" spans="1:58" ht="51.6" customHeight="1" outlineLevel="2" x14ac:dyDescent="0.25">
      <c r="A145" s="115"/>
      <c r="B145" s="200"/>
      <c r="C145" s="330"/>
      <c r="D145" s="343"/>
      <c r="E145" s="328"/>
      <c r="F145" s="328"/>
      <c r="G145" s="328"/>
      <c r="H145" s="199" t="s">
        <v>461</v>
      </c>
      <c r="I145" s="130" t="s">
        <v>4</v>
      </c>
      <c r="J145" s="126">
        <v>3</v>
      </c>
      <c r="K145" s="126">
        <v>8</v>
      </c>
      <c r="L145" s="125">
        <f>IF(I145&lt;&gt;0,((VLOOKUP(I145,'1. Standard_Cost'!$B$4:$D$11,2)+VLOOKUP(I145,'1. Standard_Cost'!$B$4:$D$11,3))*J145*K145),"0")</f>
        <v>1938000</v>
      </c>
      <c r="M145" s="125">
        <f>L145*'1. Standard_Cost'!$F$4</f>
        <v>323646</v>
      </c>
      <c r="N145" s="126"/>
      <c r="O145" s="126"/>
      <c r="P145" s="126"/>
      <c r="Q145" s="126"/>
      <c r="R145" s="127">
        <f>'1. Standard_Cost'!$B$15*N145*P145</f>
        <v>0</v>
      </c>
      <c r="S145" s="127">
        <f>N145*O145*P145*'1. Standard_Cost'!$C$15</f>
        <v>0</v>
      </c>
      <c r="T145" s="127">
        <f>N145*P145*Q145*'1. Standard_Cost'!$D$15</f>
        <v>0</v>
      </c>
      <c r="U145" s="127">
        <f>N145*O145*'1. Standard_Cost'!$E$15</f>
        <v>0</v>
      </c>
      <c r="V145" s="126"/>
      <c r="W145" s="126"/>
      <c r="X145" s="126"/>
      <c r="Y145" s="127">
        <f>+V145*((X145*'1. Standard_Cost'!$B$19)+(W145*X145*'1. Standard_Cost'!$C$19))</f>
        <v>0</v>
      </c>
      <c r="Z145" s="126"/>
      <c r="AA145" s="126"/>
      <c r="AB145" s="127">
        <f>+Z145*'1. Standard_Cost'!$B$23+AA145*'1. Standard_Cost'!$C$23</f>
        <v>0</v>
      </c>
      <c r="AC145" s="128">
        <v>271400</v>
      </c>
      <c r="AD145" s="129"/>
      <c r="AE145" s="127">
        <f>SUM(AD145,AC145,AB145,Y145,U145,T145,S145,R145)*'1. Standard_Cost'!$B$31</f>
        <v>54280</v>
      </c>
      <c r="AF145" s="127">
        <f t="shared" si="91"/>
        <v>325680</v>
      </c>
      <c r="AG145" s="126"/>
      <c r="AH145" s="126"/>
      <c r="AI145" s="126"/>
      <c r="AJ145" s="130"/>
      <c r="AK145" s="130"/>
      <c r="AL145" s="130">
        <v>10000000</v>
      </c>
      <c r="AM145" s="127">
        <f>AG145*'1. Standard_Cost'!$B$27+'Incremental_Cost Year 5'!AH145*'1. Standard_Cost'!$C$27+'Incremental_Cost Year 5'!AI145*'1. Standard_Cost'!$D$27+'Incremental_Cost Year 5'!AJ145+'Incremental_Cost Year 5'!AL145+AK145</f>
        <v>10000000</v>
      </c>
      <c r="AN145" s="127">
        <f>AM145*'1. Standard_Cost'!$C$31</f>
        <v>1500000</v>
      </c>
      <c r="AO145" s="130"/>
      <c r="AQ145" s="171">
        <f t="shared" si="92"/>
        <v>2261646</v>
      </c>
      <c r="AR145" s="171">
        <f t="shared" si="93"/>
        <v>325680</v>
      </c>
      <c r="AS145" s="171">
        <f t="shared" si="94"/>
        <v>11500000</v>
      </c>
      <c r="AT145" s="171">
        <f t="shared" si="95"/>
        <v>14087326</v>
      </c>
      <c r="AU145" s="250">
        <v>2587326</v>
      </c>
      <c r="AV145" s="250"/>
      <c r="AW145" s="250"/>
      <c r="AX145" s="250"/>
      <c r="AY145" s="250"/>
      <c r="AZ145" s="250"/>
      <c r="BA145" s="250"/>
      <c r="BB145" s="251">
        <f t="shared" si="96"/>
        <v>-11500000</v>
      </c>
      <c r="BC145" s="169"/>
      <c r="BD145" s="169"/>
      <c r="BE145" s="169"/>
      <c r="BF145" s="169"/>
    </row>
    <row r="146" spans="1:58" ht="51.6" customHeight="1" outlineLevel="2" x14ac:dyDescent="0.25">
      <c r="A146" s="115"/>
      <c r="B146" s="200"/>
      <c r="C146" s="330"/>
      <c r="D146" s="343"/>
      <c r="E146" s="328"/>
      <c r="F146" s="328"/>
      <c r="G146" s="328"/>
      <c r="H146" s="199" t="s">
        <v>462</v>
      </c>
      <c r="I146" s="130" t="s">
        <v>3</v>
      </c>
      <c r="J146" s="126">
        <v>3</v>
      </c>
      <c r="K146" s="126">
        <v>5</v>
      </c>
      <c r="L146" s="125">
        <f>IF(I146&lt;&gt;0,((VLOOKUP(I146,'1. Standard_Cost'!$B$4:$D$11,2)+VLOOKUP(I146,'1. Standard_Cost'!$B$4:$D$11,3))*J146*K146),"0")</f>
        <v>1512000</v>
      </c>
      <c r="M146" s="125">
        <f>L146*'1. Standard_Cost'!$F$4</f>
        <v>252504</v>
      </c>
      <c r="N146" s="126"/>
      <c r="O146" s="126"/>
      <c r="P146" s="126"/>
      <c r="Q146" s="126"/>
      <c r="R146" s="127">
        <f>'1. Standard_Cost'!$B$15*N146*P146</f>
        <v>0</v>
      </c>
      <c r="S146" s="127">
        <f>N146*O146*P146*'1. Standard_Cost'!$C$15</f>
        <v>0</v>
      </c>
      <c r="T146" s="127">
        <f>N146*P146*Q146*'1. Standard_Cost'!$D$15</f>
        <v>0</v>
      </c>
      <c r="U146" s="127">
        <f>N146*O146*'1. Standard_Cost'!$E$15</f>
        <v>0</v>
      </c>
      <c r="V146" s="126"/>
      <c r="W146" s="126"/>
      <c r="X146" s="126"/>
      <c r="Y146" s="127">
        <f>+V146*((X146*'1. Standard_Cost'!$B$19)+(W146*X146*'1. Standard_Cost'!$C$19))</f>
        <v>0</v>
      </c>
      <c r="Z146" s="126"/>
      <c r="AA146" s="126">
        <v>30</v>
      </c>
      <c r="AB146" s="127">
        <f>+Z146*'1. Standard_Cost'!$B$23+AA146*'1. Standard_Cost'!$C$23</f>
        <v>570000</v>
      </c>
      <c r="AC146" s="128">
        <v>224000</v>
      </c>
      <c r="AD146" s="129"/>
      <c r="AE146" s="127">
        <f>SUM(AD146,AC146,AB146,Y146,U146,T146,S146,R146)*'1. Standard_Cost'!$B$31</f>
        <v>158800</v>
      </c>
      <c r="AF146" s="127">
        <f t="shared" si="91"/>
        <v>952800</v>
      </c>
      <c r="AG146" s="126"/>
      <c r="AH146" s="126"/>
      <c r="AI146" s="126"/>
      <c r="AJ146" s="130"/>
      <c r="AK146" s="130"/>
      <c r="AL146" s="130"/>
      <c r="AM146" s="127">
        <f>AG146*'1. Standard_Cost'!$B$27+'Incremental_Cost Year 5'!AH146*'1. Standard_Cost'!$C$27+'Incremental_Cost Year 5'!AI146*'1. Standard_Cost'!$D$27+'Incremental_Cost Year 5'!AJ146+'Incremental_Cost Year 5'!AL146+AK146</f>
        <v>0</v>
      </c>
      <c r="AN146" s="127">
        <f>AM146*'1. Standard_Cost'!$C$31</f>
        <v>0</v>
      </c>
      <c r="AO146" s="130"/>
      <c r="AQ146" s="171">
        <f t="shared" si="92"/>
        <v>1764504</v>
      </c>
      <c r="AR146" s="171">
        <f t="shared" si="93"/>
        <v>952800</v>
      </c>
      <c r="AS146" s="171">
        <f t="shared" si="94"/>
        <v>0</v>
      </c>
      <c r="AT146" s="171">
        <f t="shared" si="95"/>
        <v>2717304</v>
      </c>
      <c r="AU146" s="250">
        <v>1919304</v>
      </c>
      <c r="AV146" s="250"/>
      <c r="AW146" s="250"/>
      <c r="AX146" s="250"/>
      <c r="AY146" s="250"/>
      <c r="AZ146" s="250"/>
      <c r="BA146" s="250"/>
      <c r="BB146" s="251">
        <f t="shared" si="96"/>
        <v>-798000</v>
      </c>
      <c r="BC146" s="169"/>
      <c r="BD146" s="169"/>
      <c r="BE146" s="169"/>
      <c r="BF146" s="169"/>
    </row>
    <row r="147" spans="1:58" ht="51.6" customHeight="1" outlineLevel="2" x14ac:dyDescent="0.25">
      <c r="A147" s="115"/>
      <c r="B147" s="200"/>
      <c r="C147" s="330"/>
      <c r="D147" s="343"/>
      <c r="E147" s="328"/>
      <c r="F147" s="328"/>
      <c r="G147" s="328"/>
      <c r="H147" s="199" t="s">
        <v>295</v>
      </c>
      <c r="I147" s="130" t="s">
        <v>5</v>
      </c>
      <c r="J147" s="126">
        <v>0.5</v>
      </c>
      <c r="K147" s="126">
        <v>50</v>
      </c>
      <c r="L147" s="125">
        <f>IF(I147&lt;&gt;0,((VLOOKUP(I147,'1. Standard_Cost'!$B$4:$D$11,2)+VLOOKUP(I147,'1. Standard_Cost'!$B$4:$D$11,3))*J147*K147),"0")</f>
        <v>1767500</v>
      </c>
      <c r="M147" s="125">
        <f>L147*'1. Standard_Cost'!$F$4</f>
        <v>295172.5</v>
      </c>
      <c r="N147" s="126"/>
      <c r="O147" s="126"/>
      <c r="P147" s="126"/>
      <c r="Q147" s="126"/>
      <c r="R147" s="127">
        <f>'1. Standard_Cost'!$B$15*N147*P147</f>
        <v>0</v>
      </c>
      <c r="S147" s="127">
        <f>N147*O147*P147*'1. Standard_Cost'!$C$15</f>
        <v>0</v>
      </c>
      <c r="T147" s="127">
        <f>N147*P147*Q147*'1. Standard_Cost'!$D$15</f>
        <v>0</v>
      </c>
      <c r="U147" s="127">
        <f>N147*O147*'1. Standard_Cost'!$E$15</f>
        <v>0</v>
      </c>
      <c r="V147" s="126"/>
      <c r="W147" s="126"/>
      <c r="X147" s="126"/>
      <c r="Y147" s="127">
        <f>+V147*((X147*'1. Standard_Cost'!$B$19)+(W147*X147*'1. Standard_Cost'!$C$19))</f>
        <v>0</v>
      </c>
      <c r="Z147" s="126"/>
      <c r="AA147" s="126"/>
      <c r="AB147" s="127">
        <f>+Z147*'1. Standard_Cost'!$B$23+AA147*'1. Standard_Cost'!$C$23</f>
        <v>0</v>
      </c>
      <c r="AC147" s="128">
        <v>247520</v>
      </c>
      <c r="AD147" s="129"/>
      <c r="AE147" s="127">
        <f>SUM(AD147,AC147,AB147,Y147,U147,T147,S147,R147)*'1. Standard_Cost'!$B$31</f>
        <v>49504</v>
      </c>
      <c r="AF147" s="127">
        <f t="shared" si="91"/>
        <v>297024</v>
      </c>
      <c r="AG147" s="126"/>
      <c r="AH147" s="126"/>
      <c r="AI147" s="126"/>
      <c r="AJ147" s="130"/>
      <c r="AK147" s="130"/>
      <c r="AL147" s="130"/>
      <c r="AM147" s="127">
        <f>AG147*'1. Standard_Cost'!$B$27+'Incremental_Cost Year 5'!AH147*'1. Standard_Cost'!$C$27+'Incremental_Cost Year 5'!AI147*'1. Standard_Cost'!$D$27+'Incremental_Cost Year 5'!AJ147+'Incremental_Cost Year 5'!AL147+AK147</f>
        <v>0</v>
      </c>
      <c r="AN147" s="127">
        <f>AM147*'1. Standard_Cost'!$C$31</f>
        <v>0</v>
      </c>
      <c r="AO147" s="130"/>
      <c r="AQ147" s="171">
        <f t="shared" si="92"/>
        <v>2062672.5</v>
      </c>
      <c r="AR147" s="171">
        <f t="shared" si="93"/>
        <v>297024</v>
      </c>
      <c r="AS147" s="171">
        <f t="shared" si="94"/>
        <v>0</v>
      </c>
      <c r="AT147" s="171">
        <f t="shared" si="95"/>
        <v>2359696.5</v>
      </c>
      <c r="AU147" s="250">
        <f>AT147</f>
        <v>2359696.5</v>
      </c>
      <c r="AV147" s="250"/>
      <c r="AW147" s="250"/>
      <c r="AX147" s="250"/>
      <c r="AY147" s="250"/>
      <c r="AZ147" s="250"/>
      <c r="BA147" s="250"/>
      <c r="BB147" s="251">
        <f t="shared" si="96"/>
        <v>0</v>
      </c>
      <c r="BC147" s="169"/>
      <c r="BD147" s="169"/>
      <c r="BE147" s="169"/>
      <c r="BF147" s="169"/>
    </row>
    <row r="148" spans="1:58" ht="51.6" customHeight="1" outlineLevel="2" x14ac:dyDescent="0.25">
      <c r="A148" s="115"/>
      <c r="B148" s="147"/>
      <c r="C148" s="341"/>
      <c r="D148" s="343"/>
      <c r="E148" s="328"/>
      <c r="F148" s="328"/>
      <c r="G148" s="328"/>
      <c r="H148" s="199" t="s">
        <v>463</v>
      </c>
      <c r="I148" s="130" t="s">
        <v>4</v>
      </c>
      <c r="J148" s="126">
        <v>2</v>
      </c>
      <c r="K148" s="126">
        <v>2</v>
      </c>
      <c r="L148" s="125">
        <f>IF(I148&lt;&gt;0,((VLOOKUP(I148,'1. Standard_Cost'!$B$4:$D$11,2)+VLOOKUP(I148,'1. Standard_Cost'!$B$4:$D$11,3))*J148*K148),"0")</f>
        <v>323000</v>
      </c>
      <c r="M148" s="125">
        <f>L148*'1. Standard_Cost'!$F$4</f>
        <v>53941</v>
      </c>
      <c r="N148" s="126">
        <v>10</v>
      </c>
      <c r="O148" s="126">
        <v>1</v>
      </c>
      <c r="P148" s="126">
        <v>20</v>
      </c>
      <c r="Q148" s="126"/>
      <c r="R148" s="127">
        <f>'1. Standard_Cost'!$B$15*N148*P148</f>
        <v>400000</v>
      </c>
      <c r="S148" s="127">
        <f>N148*O148*P148*'1. Standard_Cost'!$C$15</f>
        <v>300000</v>
      </c>
      <c r="T148" s="127">
        <f>N148*P148*Q148*'1. Standard_Cost'!$D$15</f>
        <v>0</v>
      </c>
      <c r="U148" s="127">
        <f>N148*O148*'1. Standard_Cost'!$E$15</f>
        <v>400000</v>
      </c>
      <c r="V148" s="126"/>
      <c r="W148" s="126"/>
      <c r="X148" s="126"/>
      <c r="Y148" s="127">
        <f>+V148*((X148*'1. Standard_Cost'!$B$19)+(W148*X148*'1. Standard_Cost'!$C$19))</f>
        <v>0</v>
      </c>
      <c r="Z148" s="126"/>
      <c r="AA148" s="126">
        <v>11</v>
      </c>
      <c r="AB148" s="127">
        <f>+Z148*'1. Standard_Cost'!$B$23+AA148*'1. Standard_Cost'!$C$23</f>
        <v>209000</v>
      </c>
      <c r="AC148" s="128">
        <f>200*3300</f>
        <v>660000</v>
      </c>
      <c r="AD148" s="129"/>
      <c r="AE148" s="127">
        <f>SUM(AD148,AC148,AB148,Y148,U148,T148,S148,R148)*'1. Standard_Cost'!$B$31</f>
        <v>393800</v>
      </c>
      <c r="AF148" s="127">
        <f t="shared" si="91"/>
        <v>2362800</v>
      </c>
      <c r="AG148" s="126"/>
      <c r="AH148" s="126"/>
      <c r="AI148" s="126"/>
      <c r="AJ148" s="130"/>
      <c r="AK148" s="130"/>
      <c r="AL148" s="130"/>
      <c r="AM148" s="127">
        <f>AG148*'1. Standard_Cost'!$B$27+'Incremental_Cost Year 5'!AH148*'1. Standard_Cost'!$C$27+'Incremental_Cost Year 5'!AI148*'1. Standard_Cost'!$D$27+'Incremental_Cost Year 5'!AJ148+'Incremental_Cost Year 5'!AL148+AK148</f>
        <v>0</v>
      </c>
      <c r="AN148" s="127">
        <f>AM148*'1. Standard_Cost'!$C$31</f>
        <v>0</v>
      </c>
      <c r="AO148" s="130"/>
      <c r="AQ148" s="171">
        <f t="shared" si="92"/>
        <v>376941</v>
      </c>
      <c r="AR148" s="171">
        <f t="shared" si="93"/>
        <v>2362800</v>
      </c>
      <c r="AS148" s="171">
        <f t="shared" si="94"/>
        <v>0</v>
      </c>
      <c r="AT148" s="171">
        <f t="shared" si="95"/>
        <v>2739741</v>
      </c>
      <c r="AU148" s="250">
        <v>376941</v>
      </c>
      <c r="AV148" s="250"/>
      <c r="AW148" s="250"/>
      <c r="AX148" s="250"/>
      <c r="AY148" s="250"/>
      <c r="AZ148" s="250"/>
      <c r="BA148" s="250"/>
      <c r="BB148" s="251">
        <f t="shared" si="96"/>
        <v>-2362800</v>
      </c>
      <c r="BC148" s="169"/>
      <c r="BD148" s="169"/>
      <c r="BE148" s="169"/>
      <c r="BF148" s="169"/>
    </row>
    <row r="149" spans="1:58" ht="51.6" customHeight="1" outlineLevel="1" x14ac:dyDescent="0.25">
      <c r="A149" s="115"/>
      <c r="B149" s="165"/>
      <c r="C149" s="166"/>
      <c r="D149" s="228" t="s">
        <v>464</v>
      </c>
      <c r="E149" s="345" t="s">
        <v>296</v>
      </c>
      <c r="F149" s="136">
        <v>2024</v>
      </c>
      <c r="G149" s="117">
        <v>2030</v>
      </c>
      <c r="H149" s="110" t="s">
        <v>297</v>
      </c>
      <c r="I149" s="252"/>
      <c r="J149" s="252"/>
      <c r="K149" s="252"/>
      <c r="L149" s="127">
        <f>SUM(L141:L148)</f>
        <v>12999700</v>
      </c>
      <c r="M149" s="127">
        <f>SUM(M141:M148)</f>
        <v>2170949.9</v>
      </c>
      <c r="N149" s="127"/>
      <c r="O149" s="252"/>
      <c r="P149" s="252"/>
      <c r="Q149" s="252"/>
      <c r="R149" s="127">
        <f>SUM(R141:R148)</f>
        <v>400000</v>
      </c>
      <c r="S149" s="127">
        <f>SUM(S141:S148)</f>
        <v>300000</v>
      </c>
      <c r="T149" s="127">
        <f>SUM(T141:T148)</f>
        <v>0</v>
      </c>
      <c r="U149" s="127">
        <f>SUM(U141:U148)</f>
        <v>400000</v>
      </c>
      <c r="V149" s="252"/>
      <c r="W149" s="252"/>
      <c r="X149" s="252"/>
      <c r="Y149" s="127">
        <f>SUM(Y141:Y148)</f>
        <v>255000</v>
      </c>
      <c r="Z149" s="252"/>
      <c r="AA149" s="252"/>
      <c r="AB149" s="127">
        <f>SUM(AB141:AB148)</f>
        <v>779000</v>
      </c>
      <c r="AC149" s="127">
        <f>SUM(AC141:AC148)</f>
        <v>3312544</v>
      </c>
      <c r="AD149" s="127">
        <f>SUM(AD141:AD148)</f>
        <v>0</v>
      </c>
      <c r="AE149" s="127">
        <f>SUM(AE141:AE148)</f>
        <v>1089308.8</v>
      </c>
      <c r="AF149" s="127">
        <f>SUM(AF141:AF148)</f>
        <v>6535852.7999999998</v>
      </c>
      <c r="AG149" s="252"/>
      <c r="AH149" s="252"/>
      <c r="AI149" s="252"/>
      <c r="AJ149" s="127">
        <f>SUM(AJ141:AJ148)</f>
        <v>0</v>
      </c>
      <c r="AK149" s="127">
        <f>SUM(AK141:AK148)</f>
        <v>0</v>
      </c>
      <c r="AL149" s="127">
        <f>SUM(AL141:AL148)</f>
        <v>30000000</v>
      </c>
      <c r="AM149" s="127">
        <f>SUM(AM141:AM148)</f>
        <v>30000000</v>
      </c>
      <c r="AN149" s="127">
        <f>SUM(AN141:AN148)</f>
        <v>4500000</v>
      </c>
      <c r="AO149" s="253"/>
      <c r="AP149" s="254"/>
      <c r="AQ149" s="175">
        <f>SUM(AQ141:AQ148)</f>
        <v>15170649.9</v>
      </c>
      <c r="AR149" s="175">
        <f>SUM(AR141:AR148)</f>
        <v>6535852.7999999998</v>
      </c>
      <c r="AS149" s="175">
        <f>SUM(AS141:AS148)</f>
        <v>34500000</v>
      </c>
      <c r="AT149" s="175">
        <f>SUM(AT141:AT148)</f>
        <v>56206502.700000003</v>
      </c>
      <c r="AU149" s="175">
        <f t="shared" ref="AU149:BB149" si="97">SUM(AU141:AU148)</f>
        <v>18545702.5</v>
      </c>
      <c r="AV149" s="175">
        <f t="shared" si="97"/>
        <v>0</v>
      </c>
      <c r="AW149" s="175">
        <f t="shared" si="97"/>
        <v>0</v>
      </c>
      <c r="AX149" s="175">
        <f t="shared" si="97"/>
        <v>0</v>
      </c>
      <c r="AY149" s="175">
        <f t="shared" si="97"/>
        <v>0</v>
      </c>
      <c r="AZ149" s="175">
        <f t="shared" si="97"/>
        <v>0</v>
      </c>
      <c r="BA149" s="175">
        <f t="shared" si="97"/>
        <v>0</v>
      </c>
      <c r="BB149" s="175">
        <f t="shared" si="97"/>
        <v>-37660800.200000003</v>
      </c>
      <c r="BC149" s="169"/>
      <c r="BD149" s="169"/>
      <c r="BE149" s="169"/>
      <c r="BF149" s="169"/>
    </row>
    <row r="150" spans="1:58" s="170" customFormat="1" ht="51.6" customHeight="1" x14ac:dyDescent="0.25">
      <c r="A150" s="120"/>
      <c r="B150" s="388" t="s">
        <v>231</v>
      </c>
      <c r="C150" s="393"/>
      <c r="D150" s="393"/>
      <c r="E150" s="394"/>
      <c r="F150" s="339"/>
      <c r="G150" s="339"/>
      <c r="H150" s="148" t="s">
        <v>166</v>
      </c>
      <c r="I150" s="265"/>
      <c r="J150" s="243"/>
      <c r="K150" s="243"/>
      <c r="L150" s="243">
        <f>L151+L163+L182</f>
        <v>11242291532.44216</v>
      </c>
      <c r="M150" s="243">
        <f>M151+M163+M182</f>
        <v>1877462685.9178405</v>
      </c>
      <c r="N150" s="243"/>
      <c r="O150" s="243"/>
      <c r="P150" s="243"/>
      <c r="Q150" s="243"/>
      <c r="R150" s="243">
        <f>R151+R163+R182</f>
        <v>40000</v>
      </c>
      <c r="S150" s="243">
        <f>S151+S163+S182</f>
        <v>30000</v>
      </c>
      <c r="T150" s="243">
        <f>T151+T163+T182</f>
        <v>0</v>
      </c>
      <c r="U150" s="243">
        <f>U151+U163+U182</f>
        <v>40000</v>
      </c>
      <c r="V150" s="243"/>
      <c r="W150" s="243"/>
      <c r="X150" s="243"/>
      <c r="Y150" s="243"/>
      <c r="Z150" s="243">
        <v>0</v>
      </c>
      <c r="AA150" s="243"/>
      <c r="AB150" s="243">
        <f>AB151+AB163+AB182</f>
        <v>0</v>
      </c>
      <c r="AC150" s="243">
        <f>AC151+AC163+AC182</f>
        <v>14473842630</v>
      </c>
      <c r="AD150" s="243">
        <f>AD151+AD163+AD182</f>
        <v>0</v>
      </c>
      <c r="AE150" s="243">
        <f>AE151+AE163+AE182</f>
        <v>1840102151</v>
      </c>
      <c r="AF150" s="243">
        <f>AF151+AF163+AF182</f>
        <v>16314054781</v>
      </c>
      <c r="AG150" s="243"/>
      <c r="AH150" s="243"/>
      <c r="AI150" s="243"/>
      <c r="AJ150" s="243">
        <f>AJ151+AJ163+AJ182</f>
        <v>434806000</v>
      </c>
      <c r="AK150" s="243">
        <f>AK151+AK163+AK182</f>
        <v>0</v>
      </c>
      <c r="AL150" s="243">
        <f>AL151+AL163+AL182</f>
        <v>0</v>
      </c>
      <c r="AM150" s="243">
        <f>AM151+AM163+AM182</f>
        <v>434806000</v>
      </c>
      <c r="AN150" s="243">
        <f>AN151+AN163+AN182</f>
        <v>65220900</v>
      </c>
      <c r="AO150" s="243"/>
      <c r="AP150" s="244"/>
      <c r="AQ150" s="243">
        <f>AQ151+AQ163+AQ182</f>
        <v>13119754218.360001</v>
      </c>
      <c r="AR150" s="243">
        <f>AR151+AR163+AR182</f>
        <v>16314054781</v>
      </c>
      <c r="AS150" s="243">
        <f>AS151+AS163+AS182</f>
        <v>500026900</v>
      </c>
      <c r="AT150" s="243">
        <f>AT151+AT163+AT182</f>
        <v>29933835899.359997</v>
      </c>
      <c r="AU150" s="243">
        <f t="shared" ref="AU150:BB150" si="98">AU151+AU163+AU182</f>
        <v>28068567000.200001</v>
      </c>
      <c r="AV150" s="243">
        <f t="shared" si="98"/>
        <v>0</v>
      </c>
      <c r="AW150" s="243">
        <f t="shared" si="98"/>
        <v>0</v>
      </c>
      <c r="AX150" s="243">
        <f t="shared" si="98"/>
        <v>0</v>
      </c>
      <c r="AY150" s="243">
        <f t="shared" si="98"/>
        <v>0</v>
      </c>
      <c r="AZ150" s="243">
        <f t="shared" si="98"/>
        <v>0</v>
      </c>
      <c r="BA150" s="243">
        <f t="shared" si="98"/>
        <v>0</v>
      </c>
      <c r="BB150" s="243">
        <f t="shared" si="98"/>
        <v>-1865268899.1599982</v>
      </c>
    </row>
    <row r="151" spans="1:58" s="184" customFormat="1" ht="51.6" customHeight="1" x14ac:dyDescent="0.25">
      <c r="A151" s="143"/>
      <c r="B151" s="290"/>
      <c r="C151" s="391" t="s">
        <v>232</v>
      </c>
      <c r="D151" s="391"/>
      <c r="E151" s="392"/>
      <c r="F151" s="287"/>
      <c r="G151" s="289"/>
      <c r="H151" s="149" t="s">
        <v>167</v>
      </c>
      <c r="I151" s="257"/>
      <c r="J151" s="257"/>
      <c r="K151" s="257"/>
      <c r="L151" s="258">
        <f>L156+L159+L162</f>
        <v>11029200</v>
      </c>
      <c r="M151" s="258">
        <f>M156+M159+M162</f>
        <v>1841876.4000000001</v>
      </c>
      <c r="N151" s="257"/>
      <c r="O151" s="257"/>
      <c r="P151" s="257"/>
      <c r="Q151" s="257"/>
      <c r="R151" s="258">
        <f>R156+R159+R162</f>
        <v>0</v>
      </c>
      <c r="S151" s="258">
        <f>S156+S159+S162</f>
        <v>0</v>
      </c>
      <c r="T151" s="258">
        <f>T156+T159+T162</f>
        <v>0</v>
      </c>
      <c r="U151" s="258">
        <f>U156+U159+U162</f>
        <v>0</v>
      </c>
      <c r="V151" s="257"/>
      <c r="W151" s="257"/>
      <c r="X151" s="257"/>
      <c r="Y151" s="258"/>
      <c r="Z151" s="258">
        <v>0</v>
      </c>
      <c r="AA151" s="257"/>
      <c r="AB151" s="258">
        <f>AB156+AB159+AB162</f>
        <v>0</v>
      </c>
      <c r="AC151" s="258">
        <f>AC156+AC159+AC162</f>
        <v>3472875</v>
      </c>
      <c r="AD151" s="258">
        <f>AD156+AD159+AD162</f>
        <v>0</v>
      </c>
      <c r="AE151" s="258">
        <f>AE156+AE159+AE162</f>
        <v>0</v>
      </c>
      <c r="AF151" s="258">
        <f>AF156+AF159+AF162</f>
        <v>3472875</v>
      </c>
      <c r="AG151" s="257"/>
      <c r="AH151" s="257"/>
      <c r="AI151" s="257"/>
      <c r="AJ151" s="258">
        <f>AJ156+AJ159+AJ162</f>
        <v>0</v>
      </c>
      <c r="AK151" s="258">
        <f>AK156+AK159+AK162</f>
        <v>0</v>
      </c>
      <c r="AL151" s="258">
        <f>AL156+AL159+AL162</f>
        <v>0</v>
      </c>
      <c r="AM151" s="258">
        <f>AM156+AM159+AM162</f>
        <v>0</v>
      </c>
      <c r="AN151" s="258">
        <f>AN156+AN159+AN162</f>
        <v>0</v>
      </c>
      <c r="AO151" s="259"/>
      <c r="AP151" s="260"/>
      <c r="AQ151" s="258">
        <f>AQ156+AQ159+AQ162</f>
        <v>12871076.4</v>
      </c>
      <c r="AR151" s="258">
        <f>AR156+AR159+AR162</f>
        <v>3472875</v>
      </c>
      <c r="AS151" s="258">
        <f>AS156+AS159+AS162</f>
        <v>0</v>
      </c>
      <c r="AT151" s="258">
        <f>AT156+AT159+AT162</f>
        <v>16343951.4</v>
      </c>
      <c r="AU151" s="258">
        <f t="shared" ref="AU151:BB151" si="99">AU156+AU159+AU162</f>
        <v>16343951</v>
      </c>
      <c r="AV151" s="258">
        <f t="shared" si="99"/>
        <v>0</v>
      </c>
      <c r="AW151" s="258">
        <f t="shared" si="99"/>
        <v>0</v>
      </c>
      <c r="AX151" s="258">
        <f t="shared" si="99"/>
        <v>0</v>
      </c>
      <c r="AY151" s="258">
        <f t="shared" si="99"/>
        <v>0</v>
      </c>
      <c r="AZ151" s="258">
        <f t="shared" si="99"/>
        <v>0</v>
      </c>
      <c r="BA151" s="258">
        <f t="shared" si="99"/>
        <v>0</v>
      </c>
      <c r="BB151" s="258">
        <f t="shared" si="99"/>
        <v>-0.40000000037252903</v>
      </c>
    </row>
    <row r="152" spans="1:58" ht="51.6" customHeight="1" outlineLevel="2" x14ac:dyDescent="0.25">
      <c r="A152" s="115"/>
      <c r="B152" s="200"/>
      <c r="C152" s="201"/>
      <c r="D152" s="202"/>
      <c r="E152" s="294"/>
      <c r="F152" s="306"/>
      <c r="G152" s="307"/>
      <c r="H152" s="199" t="s">
        <v>465</v>
      </c>
      <c r="I152" s="130"/>
      <c r="J152" s="126"/>
      <c r="K152" s="126"/>
      <c r="L152" s="125" t="str">
        <f>IF(I152&lt;&gt;0,((VLOOKUP(I152,'1. Standard_Cost'!$B$4:$D$11,2)+VLOOKUP(I152,'1. Standard_Cost'!$B$4:$D$11,3))*J152*K152),"0")</f>
        <v>0</v>
      </c>
      <c r="M152" s="125">
        <f>L152*'1. Standard_Cost'!$F$4</f>
        <v>0</v>
      </c>
      <c r="N152" s="126"/>
      <c r="O152" s="126"/>
      <c r="P152" s="126"/>
      <c r="Q152" s="126"/>
      <c r="R152" s="127">
        <f>'1. Standard_Cost'!$B$15*N152*P152</f>
        <v>0</v>
      </c>
      <c r="S152" s="127">
        <f>N152*O152*P152*'1. Standard_Cost'!$C$15</f>
        <v>0</v>
      </c>
      <c r="T152" s="127">
        <f>N152*P152*Q152*'1. Standard_Cost'!$D$15</f>
        <v>0</v>
      </c>
      <c r="U152" s="127">
        <f>N152*O152*'1. Standard_Cost'!$E$15</f>
        <v>0</v>
      </c>
      <c r="V152" s="126"/>
      <c r="W152" s="126"/>
      <c r="X152" s="126"/>
      <c r="Y152" s="127">
        <f>+V152*((X152*'1. Standard_Cost'!$B$19)+(W152*X152*'1. Standard_Cost'!$C$19))</f>
        <v>0</v>
      </c>
      <c r="Z152" s="126"/>
      <c r="AA152" s="126"/>
      <c r="AB152" s="127">
        <f>+Z152*'1. Standard_Cost'!$B$23+AA152*'1. Standard_Cost'!$C$23</f>
        <v>0</v>
      </c>
      <c r="AC152" s="128"/>
      <c r="AD152" s="129"/>
      <c r="AE152" s="127">
        <f>SUM(AD152,AC152,AB152,Y152,U152,T152,S152,R152)*'1. Standard_Cost'!$B$31</f>
        <v>0</v>
      </c>
      <c r="AF152" s="127">
        <f>SUM(AE152,AD152,AC152,AB152,Y152,U152,T152,S152,R152)</f>
        <v>0</v>
      </c>
      <c r="AG152" s="126"/>
      <c r="AH152" s="126"/>
      <c r="AI152" s="126"/>
      <c r="AJ152" s="130"/>
      <c r="AK152" s="130"/>
      <c r="AL152" s="130"/>
      <c r="AM152" s="127">
        <f>AG152*'1. Standard_Cost'!$B$27+'Incremental_Cost Year 5'!AH152*'1. Standard_Cost'!$C$27+'Incremental_Cost Year 5'!AI152*'1. Standard_Cost'!$D$27+'Incremental_Cost Year 5'!AJ152+'Incremental_Cost Year 5'!AL152+AK152</f>
        <v>0</v>
      </c>
      <c r="AN152" s="127">
        <f>AM152*'1. Standard_Cost'!$C$31</f>
        <v>0</v>
      </c>
      <c r="AO152" s="130"/>
      <c r="AP152" s="256"/>
      <c r="AQ152" s="171">
        <f>L152+M152</f>
        <v>0</v>
      </c>
      <c r="AR152" s="171">
        <f>AF152</f>
        <v>0</v>
      </c>
      <c r="AS152" s="171">
        <f>AM152+AN152</f>
        <v>0</v>
      </c>
      <c r="AT152" s="171">
        <f>SUM(AQ152,AR152,AS152)</f>
        <v>0</v>
      </c>
      <c r="AU152" s="250"/>
      <c r="AV152" s="250"/>
      <c r="AW152" s="250"/>
      <c r="AX152" s="250"/>
      <c r="AY152" s="250"/>
      <c r="AZ152" s="250"/>
      <c r="BA152" s="250"/>
      <c r="BB152" s="251">
        <f t="shared" ref="BB152:BB155" si="100">SUM(AU152:BA152)-AT152</f>
        <v>0</v>
      </c>
      <c r="BC152" s="169"/>
      <c r="BD152" s="169"/>
      <c r="BE152" s="169"/>
      <c r="BF152" s="169"/>
    </row>
    <row r="153" spans="1:58" ht="51.6" customHeight="1" outlineLevel="2" x14ac:dyDescent="0.25">
      <c r="A153" s="115"/>
      <c r="B153" s="200"/>
      <c r="C153" s="201"/>
      <c r="D153" s="116"/>
      <c r="E153" s="230"/>
      <c r="F153" s="308"/>
      <c r="G153" s="309"/>
      <c r="H153" s="199" t="s">
        <v>466</v>
      </c>
      <c r="I153" s="130"/>
      <c r="J153" s="126"/>
      <c r="K153" s="126"/>
      <c r="L153" s="125" t="str">
        <f>IF(I153&lt;&gt;0,((VLOOKUP(I153,'1. Standard_Cost'!$B$4:$D$11,2)+VLOOKUP(I153,'1. Standard_Cost'!$B$4:$D$11,3))*J153*K153),"0")</f>
        <v>0</v>
      </c>
      <c r="M153" s="125">
        <f>L153*'1. Standard_Cost'!$F$4</f>
        <v>0</v>
      </c>
      <c r="N153" s="126"/>
      <c r="O153" s="126"/>
      <c r="P153" s="126"/>
      <c r="Q153" s="126"/>
      <c r="R153" s="127">
        <f>'1. Standard_Cost'!$B$15*N153*P153</f>
        <v>0</v>
      </c>
      <c r="S153" s="127">
        <f>N153*O153*P153*'1. Standard_Cost'!$C$15</f>
        <v>0</v>
      </c>
      <c r="T153" s="127">
        <f>N153*P153*Q153*'1. Standard_Cost'!$D$15</f>
        <v>0</v>
      </c>
      <c r="U153" s="127">
        <f>N153*O153*'1. Standard_Cost'!$E$15</f>
        <v>0</v>
      </c>
      <c r="V153" s="126"/>
      <c r="W153" s="126"/>
      <c r="X153" s="126"/>
      <c r="Y153" s="127">
        <f>+V153*((X153*'1. Standard_Cost'!$B$19)+(W153*X153*'1. Standard_Cost'!$C$19))</f>
        <v>0</v>
      </c>
      <c r="Z153" s="126"/>
      <c r="AA153" s="126"/>
      <c r="AB153" s="127">
        <f>+Z153*'1. Standard_Cost'!$B$23+AA153*'1. Standard_Cost'!$C$23</f>
        <v>0</v>
      </c>
      <c r="AC153" s="128"/>
      <c r="AD153" s="129"/>
      <c r="AE153" s="127">
        <f>SUM(AD153,AC153,AB153,Y153,U153,T153,S153,R153)*'1. Standard_Cost'!$B$31</f>
        <v>0</v>
      </c>
      <c r="AF153" s="127">
        <f>SUM(AE153,AD153,AC153,AB153,Y153,U153,T153,S153,R153)</f>
        <v>0</v>
      </c>
      <c r="AG153" s="126"/>
      <c r="AH153" s="126"/>
      <c r="AI153" s="126"/>
      <c r="AJ153" s="130"/>
      <c r="AK153" s="130"/>
      <c r="AL153" s="130"/>
      <c r="AM153" s="127">
        <f>AG153*'1. Standard_Cost'!$B$27+'Incremental_Cost Year 5'!AH153*'1. Standard_Cost'!$C$27+'Incremental_Cost Year 5'!AI153*'1. Standard_Cost'!$D$27+'Incremental_Cost Year 5'!AJ153+'Incremental_Cost Year 5'!AL153+AK153</f>
        <v>0</v>
      </c>
      <c r="AN153" s="127">
        <f>AM153*'1. Standard_Cost'!$C$31</f>
        <v>0</v>
      </c>
      <c r="AO153" s="130"/>
      <c r="AP153" s="256"/>
      <c r="AQ153" s="171">
        <f>L153+M153</f>
        <v>0</v>
      </c>
      <c r="AR153" s="171">
        <f>AF153</f>
        <v>0</v>
      </c>
      <c r="AS153" s="171">
        <f>AM153+AN153</f>
        <v>0</v>
      </c>
      <c r="AT153" s="171">
        <f>SUM(AQ153,AR153,AS153)</f>
        <v>0</v>
      </c>
      <c r="AU153" s="250"/>
      <c r="AV153" s="250"/>
      <c r="AW153" s="250"/>
      <c r="AX153" s="250"/>
      <c r="AY153" s="250"/>
      <c r="AZ153" s="250"/>
      <c r="BA153" s="250"/>
      <c r="BB153" s="251">
        <f t="shared" si="100"/>
        <v>0</v>
      </c>
      <c r="BC153" s="169"/>
      <c r="BD153" s="169"/>
      <c r="BE153" s="169"/>
      <c r="BF153" s="169"/>
    </row>
    <row r="154" spans="1:58" ht="51.6" customHeight="1" outlineLevel="2" x14ac:dyDescent="0.25">
      <c r="A154" s="115"/>
      <c r="B154" s="200"/>
      <c r="C154" s="201"/>
      <c r="D154" s="139"/>
      <c r="E154" s="230"/>
      <c r="F154" s="308"/>
      <c r="G154" s="309"/>
      <c r="H154" s="199" t="s">
        <v>467</v>
      </c>
      <c r="I154" s="130"/>
      <c r="J154" s="126"/>
      <c r="K154" s="126"/>
      <c r="L154" s="125" t="str">
        <f>IF(I154&lt;&gt;0,((VLOOKUP(I154,'1. Standard_Cost'!$B$4:$D$11,2)+VLOOKUP(I154,'1. Standard_Cost'!$B$4:$D$11,3))*J154*K154),"0")</f>
        <v>0</v>
      </c>
      <c r="M154" s="125">
        <f>L154*'1. Standard_Cost'!$F$4</f>
        <v>0</v>
      </c>
      <c r="N154" s="126"/>
      <c r="O154" s="126"/>
      <c r="P154" s="126"/>
      <c r="Q154" s="126"/>
      <c r="R154" s="127">
        <f>'1. Standard_Cost'!$B$15*N154*P154</f>
        <v>0</v>
      </c>
      <c r="S154" s="127">
        <f>N154*O154*P154*'1. Standard_Cost'!$C$15</f>
        <v>0</v>
      </c>
      <c r="T154" s="127">
        <f>N154*P154*Q154*'1. Standard_Cost'!$D$15</f>
        <v>0</v>
      </c>
      <c r="U154" s="127">
        <f>N154*O154*'1. Standard_Cost'!$E$15</f>
        <v>0</v>
      </c>
      <c r="V154" s="126"/>
      <c r="W154" s="126"/>
      <c r="X154" s="126"/>
      <c r="Y154" s="127">
        <f>+V154*((X154*'1. Standard_Cost'!$B$19)+(W154*X154*'1. Standard_Cost'!$C$19))</f>
        <v>0</v>
      </c>
      <c r="Z154" s="126"/>
      <c r="AA154" s="126"/>
      <c r="AB154" s="127">
        <f>+Z154*'1. Standard_Cost'!$B$23+AA154*'1. Standard_Cost'!$C$23</f>
        <v>0</v>
      </c>
      <c r="AC154" s="128"/>
      <c r="AD154" s="129"/>
      <c r="AE154" s="127">
        <f>SUM(AD154,AC154,AB154,Y154,U154,T154,S154,R154)*'1. Standard_Cost'!$B$31</f>
        <v>0</v>
      </c>
      <c r="AF154" s="127">
        <f>SUM(AE154,AD154,AC154,AB154,Y154,U154,T154,S154,R154)</f>
        <v>0</v>
      </c>
      <c r="AG154" s="126"/>
      <c r="AH154" s="126"/>
      <c r="AI154" s="126"/>
      <c r="AJ154" s="130"/>
      <c r="AK154" s="130"/>
      <c r="AL154" s="130"/>
      <c r="AM154" s="127">
        <f>AG154*'1. Standard_Cost'!$B$27+'Incremental_Cost Year 5'!AH154*'1. Standard_Cost'!$C$27+'Incremental_Cost Year 5'!AI154*'1. Standard_Cost'!$D$27+'Incremental_Cost Year 5'!AJ154+'Incremental_Cost Year 5'!AL154+AK154</f>
        <v>0</v>
      </c>
      <c r="AN154" s="127">
        <f>AM154*'1. Standard_Cost'!$C$31</f>
        <v>0</v>
      </c>
      <c r="AO154" s="130"/>
      <c r="AP154" s="256"/>
      <c r="AQ154" s="171">
        <f>L154+M154</f>
        <v>0</v>
      </c>
      <c r="AR154" s="171">
        <f>AF154</f>
        <v>0</v>
      </c>
      <c r="AS154" s="171">
        <f>AM154+AN154</f>
        <v>0</v>
      </c>
      <c r="AT154" s="171">
        <f>SUM(AQ154,AR154,AS154)</f>
        <v>0</v>
      </c>
      <c r="AU154" s="250"/>
      <c r="AV154" s="250"/>
      <c r="AW154" s="250"/>
      <c r="AX154" s="250"/>
      <c r="AY154" s="250"/>
      <c r="AZ154" s="250"/>
      <c r="BA154" s="250"/>
      <c r="BB154" s="251">
        <f t="shared" si="100"/>
        <v>0</v>
      </c>
      <c r="BC154" s="169"/>
      <c r="BD154" s="169"/>
      <c r="BE154" s="169"/>
      <c r="BF154" s="169"/>
    </row>
    <row r="155" spans="1:58" ht="51.6" customHeight="1" outlineLevel="2" x14ac:dyDescent="0.25">
      <c r="A155" s="115"/>
      <c r="B155" s="200"/>
      <c r="C155" s="201"/>
      <c r="D155" s="151"/>
      <c r="E155" s="121"/>
      <c r="F155" s="311"/>
      <c r="G155" s="312"/>
      <c r="H155" s="199" t="s">
        <v>540</v>
      </c>
      <c r="I155" s="130"/>
      <c r="J155" s="126"/>
      <c r="K155" s="126"/>
      <c r="L155" s="125" t="str">
        <f>IF(I155&lt;&gt;0,((VLOOKUP(I155,'1. Standard_Cost'!$B$4:$D$11,2)+VLOOKUP(I155,'1. Standard_Cost'!$B$4:$D$11,3))*J155*K155),"0")</f>
        <v>0</v>
      </c>
      <c r="M155" s="125">
        <f>L155*'1. Standard_Cost'!$F$4</f>
        <v>0</v>
      </c>
      <c r="N155" s="126"/>
      <c r="O155" s="126"/>
      <c r="P155" s="126"/>
      <c r="Q155" s="126"/>
      <c r="R155" s="127">
        <f>'1. Standard_Cost'!$B$15*N155*P155</f>
        <v>0</v>
      </c>
      <c r="S155" s="127">
        <f>N155*O155*P155*'1. Standard_Cost'!$C$15</f>
        <v>0</v>
      </c>
      <c r="T155" s="127">
        <f>N155*P155*Q155*'1. Standard_Cost'!$D$15</f>
        <v>0</v>
      </c>
      <c r="U155" s="127">
        <f>N155*O155*'1. Standard_Cost'!$E$15</f>
        <v>0</v>
      </c>
      <c r="V155" s="126"/>
      <c r="W155" s="126"/>
      <c r="X155" s="126"/>
      <c r="Y155" s="127">
        <f>+V155*((X155*'1. Standard_Cost'!$B$19)+(W155*X155*'1. Standard_Cost'!$C$19))</f>
        <v>0</v>
      </c>
      <c r="Z155" s="126"/>
      <c r="AA155" s="126"/>
      <c r="AB155" s="127">
        <f>+Z155*'1. Standard_Cost'!$B$23+AA155*'1. Standard_Cost'!$C$23</f>
        <v>0</v>
      </c>
      <c r="AC155" s="128"/>
      <c r="AD155" s="129"/>
      <c r="AE155" s="127">
        <f>SUM(AD155,AC155,AB155,Y155,U155,T155,S155,R155)*'1. Standard_Cost'!$B$31</f>
        <v>0</v>
      </c>
      <c r="AF155" s="127">
        <f>SUM(AE155,AD155,AC155,AB155,Y155,U155,T155,S155,R155)</f>
        <v>0</v>
      </c>
      <c r="AG155" s="126"/>
      <c r="AH155" s="126"/>
      <c r="AI155" s="126"/>
      <c r="AJ155" s="130"/>
      <c r="AK155" s="130"/>
      <c r="AL155" s="130"/>
      <c r="AM155" s="127">
        <f>AG155*'1. Standard_Cost'!$B$27+'Incremental_Cost Year 5'!AH155*'1. Standard_Cost'!$C$27+'Incremental_Cost Year 5'!AI155*'1. Standard_Cost'!$D$27+'Incremental_Cost Year 5'!AJ155+'Incremental_Cost Year 5'!AL155+AK155</f>
        <v>0</v>
      </c>
      <c r="AN155" s="127">
        <f>AM155*'1. Standard_Cost'!$C$31</f>
        <v>0</v>
      </c>
      <c r="AO155" s="130"/>
      <c r="AP155" s="256"/>
      <c r="AQ155" s="171">
        <f>L155+M155</f>
        <v>0</v>
      </c>
      <c r="AR155" s="171">
        <f>AF155</f>
        <v>0</v>
      </c>
      <c r="AS155" s="171">
        <f>AM155+AN155</f>
        <v>0</v>
      </c>
      <c r="AT155" s="171">
        <f>SUM(AQ155,AR155,AS155)</f>
        <v>0</v>
      </c>
      <c r="AU155" s="250"/>
      <c r="AV155" s="250"/>
      <c r="AW155" s="250"/>
      <c r="AX155" s="250"/>
      <c r="AY155" s="250"/>
      <c r="AZ155" s="250"/>
      <c r="BA155" s="250"/>
      <c r="BB155" s="251">
        <f t="shared" si="100"/>
        <v>0</v>
      </c>
      <c r="BC155" s="169"/>
      <c r="BD155" s="169"/>
      <c r="BE155" s="169"/>
      <c r="BF155" s="169"/>
    </row>
    <row r="156" spans="1:58" ht="51.6" customHeight="1" outlineLevel="2" x14ac:dyDescent="0.25">
      <c r="A156" s="115"/>
      <c r="B156" s="165"/>
      <c r="C156" s="166"/>
      <c r="D156" s="212" t="s">
        <v>233</v>
      </c>
      <c r="E156" s="212" t="s">
        <v>468</v>
      </c>
      <c r="F156" s="136">
        <v>2021</v>
      </c>
      <c r="G156" s="117">
        <v>2025</v>
      </c>
      <c r="H156" s="110" t="s">
        <v>168</v>
      </c>
      <c r="I156" s="252"/>
      <c r="J156" s="252"/>
      <c r="K156" s="252"/>
      <c r="L156" s="127">
        <f>SUM(L152:L155)</f>
        <v>0</v>
      </c>
      <c r="M156" s="127">
        <f>SUM(M152:M155)</f>
        <v>0</v>
      </c>
      <c r="N156" s="252"/>
      <c r="O156" s="252"/>
      <c r="P156" s="252"/>
      <c r="Q156" s="252"/>
      <c r="R156" s="127">
        <f>SUM(R152:R155)</f>
        <v>0</v>
      </c>
      <c r="S156" s="127">
        <f>SUM(S152:S155)</f>
        <v>0</v>
      </c>
      <c r="T156" s="127">
        <f>SUM(T152:T155)</f>
        <v>0</v>
      </c>
      <c r="U156" s="127">
        <f>SUM(U152:U155)</f>
        <v>0</v>
      </c>
      <c r="V156" s="252"/>
      <c r="W156" s="252"/>
      <c r="X156" s="252"/>
      <c r="Y156" s="127">
        <f>SUM(Y152:Y155)</f>
        <v>0</v>
      </c>
      <c r="Z156" s="252"/>
      <c r="AA156" s="252"/>
      <c r="AB156" s="127">
        <f>SUM(AB152:AB155)</f>
        <v>0</v>
      </c>
      <c r="AC156" s="127">
        <f>SUM(AC152:AC155)</f>
        <v>0</v>
      </c>
      <c r="AD156" s="127">
        <f>SUM(AD152:AD155)</f>
        <v>0</v>
      </c>
      <c r="AE156" s="127">
        <f>SUM(AE152:AE155)</f>
        <v>0</v>
      </c>
      <c r="AF156" s="127">
        <f>SUM(AF152:AF155)</f>
        <v>0</v>
      </c>
      <c r="AG156" s="252"/>
      <c r="AH156" s="252"/>
      <c r="AI156" s="252"/>
      <c r="AJ156" s="127">
        <f>SUM(AJ152:AJ155)</f>
        <v>0</v>
      </c>
      <c r="AK156" s="127">
        <f>SUM(AK152:AK155)</f>
        <v>0</v>
      </c>
      <c r="AL156" s="127">
        <f>SUM(AL152:AL155)</f>
        <v>0</v>
      </c>
      <c r="AM156" s="127">
        <f>SUM(AM152:AM155)</f>
        <v>0</v>
      </c>
      <c r="AN156" s="127">
        <f>SUM(AN152:AN155)</f>
        <v>0</v>
      </c>
      <c r="AO156" s="253"/>
      <c r="AP156" s="254"/>
      <c r="AQ156" s="175">
        <f>SUM(AQ152:AQ155)</f>
        <v>0</v>
      </c>
      <c r="AR156" s="175">
        <f>SUM(AR152:AR155)</f>
        <v>0</v>
      </c>
      <c r="AS156" s="175">
        <f>SUM(AS152:AS155)</f>
        <v>0</v>
      </c>
      <c r="AT156" s="175">
        <f>SUM(AT152:AT155)</f>
        <v>0</v>
      </c>
      <c r="AU156" s="175">
        <f t="shared" ref="AU156:BA156" si="101">SUM(AU152:AU155)</f>
        <v>0</v>
      </c>
      <c r="AV156" s="175">
        <f t="shared" si="101"/>
        <v>0</v>
      </c>
      <c r="AW156" s="175">
        <f t="shared" si="101"/>
        <v>0</v>
      </c>
      <c r="AX156" s="175">
        <f t="shared" si="101"/>
        <v>0</v>
      </c>
      <c r="AY156" s="175">
        <f t="shared" si="101"/>
        <v>0</v>
      </c>
      <c r="AZ156" s="175">
        <f t="shared" si="101"/>
        <v>0</v>
      </c>
      <c r="BA156" s="175">
        <f t="shared" si="101"/>
        <v>0</v>
      </c>
      <c r="BB156" s="175">
        <f>SUM(BB152:BB155)</f>
        <v>0</v>
      </c>
      <c r="BC156" s="169"/>
      <c r="BD156" s="169"/>
      <c r="BE156" s="169"/>
      <c r="BF156" s="169"/>
    </row>
    <row r="157" spans="1:58" ht="51.6" customHeight="1" outlineLevel="1" x14ac:dyDescent="0.25">
      <c r="A157" s="115"/>
      <c r="B157" s="200"/>
      <c r="C157" s="201"/>
      <c r="D157" s="342"/>
      <c r="E157" s="328"/>
      <c r="F157" s="328"/>
      <c r="G157" s="328"/>
      <c r="H157" s="213" t="s">
        <v>469</v>
      </c>
      <c r="I157" s="130"/>
      <c r="J157" s="126"/>
      <c r="K157" s="126"/>
      <c r="L157" s="125" t="str">
        <f>IF(I157&lt;&gt;0,((VLOOKUP(I157,'1. Standard_Cost'!$B$4:$D$11,2)+VLOOKUP(I157,'1. Standard_Cost'!$B$4:$D$11,3))*J157*K157),"0")</f>
        <v>0</v>
      </c>
      <c r="M157" s="125">
        <f>L157*'1. Standard_Cost'!$F$4</f>
        <v>0</v>
      </c>
      <c r="N157" s="126"/>
      <c r="O157" s="126"/>
      <c r="P157" s="126"/>
      <c r="Q157" s="126"/>
      <c r="R157" s="127">
        <f>'1. Standard_Cost'!$B$15*N157*P157</f>
        <v>0</v>
      </c>
      <c r="S157" s="127">
        <f>N157*O157*P157*'1. Standard_Cost'!$C$15</f>
        <v>0</v>
      </c>
      <c r="T157" s="127">
        <f>N157*P157*Q157*'1. Standard_Cost'!$D$15</f>
        <v>0</v>
      </c>
      <c r="U157" s="127">
        <f>N157*O157*'1. Standard_Cost'!$E$15</f>
        <v>0</v>
      </c>
      <c r="V157" s="126"/>
      <c r="W157" s="126"/>
      <c r="X157" s="126"/>
      <c r="Y157" s="127">
        <f>+V157*((X157*'1. Standard_Cost'!$B$19)+(W157*X157*'1. Standard_Cost'!$C$19))</f>
        <v>0</v>
      </c>
      <c r="Z157" s="126"/>
      <c r="AA157" s="126"/>
      <c r="AB157" s="127">
        <f>+Z157*'1. Standard_Cost'!$B$23+AA157*'1. Standard_Cost'!$C$23</f>
        <v>0</v>
      </c>
      <c r="AC157" s="128"/>
      <c r="AD157" s="129"/>
      <c r="AE157" s="127">
        <f>SUM(AD157,AC157,AB157,Y157,U157,T157,S157,R157)*'1. Standard_Cost'!$B$31</f>
        <v>0</v>
      </c>
      <c r="AF157" s="127">
        <f>SUM(AE157,AD157,AC157,AB157,Y157,U157,T157,S157,R157)</f>
        <v>0</v>
      </c>
      <c r="AG157" s="126"/>
      <c r="AH157" s="126"/>
      <c r="AI157" s="126"/>
      <c r="AJ157" s="130"/>
      <c r="AK157" s="130"/>
      <c r="AL157" s="130"/>
      <c r="AM157" s="127">
        <f>AG157*'1. Standard_Cost'!$B$27+'Incremental_Cost Year 5'!AH157*'1. Standard_Cost'!$C$27+'Incremental_Cost Year 5'!AI157*'1. Standard_Cost'!$D$27+'Incremental_Cost Year 5'!AJ157+'Incremental_Cost Year 5'!AL157+AK157</f>
        <v>0</v>
      </c>
      <c r="AN157" s="127">
        <f>AM157*'1. Standard_Cost'!$C$31</f>
        <v>0</v>
      </c>
      <c r="AO157" s="130"/>
      <c r="AP157" s="256"/>
      <c r="AQ157" s="171">
        <f>L157+M157</f>
        <v>0</v>
      </c>
      <c r="AR157" s="171">
        <f>AF157</f>
        <v>0</v>
      </c>
      <c r="AS157" s="171">
        <f>AM157+AN157</f>
        <v>0</v>
      </c>
      <c r="AT157" s="171">
        <f>SUM(AQ157,AR157,AS157)</f>
        <v>0</v>
      </c>
      <c r="AU157" s="250"/>
      <c r="AV157" s="250"/>
      <c r="AW157" s="250"/>
      <c r="AX157" s="250"/>
      <c r="AY157" s="250"/>
      <c r="AZ157" s="250"/>
      <c r="BA157" s="250"/>
      <c r="BB157" s="251">
        <f t="shared" ref="BB157:BB158" si="102">SUM(AU157:BA157)-AT157</f>
        <v>0</v>
      </c>
      <c r="BC157" s="169"/>
      <c r="BD157" s="169"/>
      <c r="BE157" s="169"/>
      <c r="BF157" s="169"/>
    </row>
    <row r="158" spans="1:58" ht="51.6" customHeight="1" outlineLevel="2" x14ac:dyDescent="0.25">
      <c r="A158" s="115"/>
      <c r="B158" s="200"/>
      <c r="C158" s="201"/>
      <c r="D158" s="344"/>
      <c r="E158" s="328"/>
      <c r="F158" s="328"/>
      <c r="G158" s="328"/>
      <c r="H158" s="199" t="s">
        <v>470</v>
      </c>
      <c r="I158" s="130"/>
      <c r="J158" s="126"/>
      <c r="K158" s="126"/>
      <c r="L158" s="125" t="str">
        <f>IF(I158&lt;&gt;0,((VLOOKUP(I158,'1. Standard_Cost'!$B$4:$D$11,2)+VLOOKUP(I158,'1. Standard_Cost'!$B$4:$D$11,3))*J158*K158),"0")</f>
        <v>0</v>
      </c>
      <c r="M158" s="125">
        <f>L158*'1. Standard_Cost'!$F$4</f>
        <v>0</v>
      </c>
      <c r="N158" s="126"/>
      <c r="O158" s="126"/>
      <c r="P158" s="126"/>
      <c r="Q158" s="126"/>
      <c r="R158" s="127">
        <f>'1. Standard_Cost'!$B$15*N158*P158</f>
        <v>0</v>
      </c>
      <c r="S158" s="127">
        <f>N158*O158*P158*'1. Standard_Cost'!$C$15</f>
        <v>0</v>
      </c>
      <c r="T158" s="127">
        <f>N158*P158*Q158*'1. Standard_Cost'!$D$15</f>
        <v>0</v>
      </c>
      <c r="U158" s="127">
        <f>N158*O158*'1. Standard_Cost'!$E$15</f>
        <v>0</v>
      </c>
      <c r="V158" s="126"/>
      <c r="W158" s="126"/>
      <c r="X158" s="126"/>
      <c r="Y158" s="127">
        <f>+V158*((X158*'1. Standard_Cost'!$B$19)+(W158*X158*'1. Standard_Cost'!$C$19))</f>
        <v>0</v>
      </c>
      <c r="Z158" s="126"/>
      <c r="AA158" s="126"/>
      <c r="AB158" s="127">
        <f>+Z158*'1. Standard_Cost'!$B$23+AA158*'1. Standard_Cost'!$C$23</f>
        <v>0</v>
      </c>
      <c r="AC158" s="128"/>
      <c r="AD158" s="129"/>
      <c r="AE158" s="127">
        <f>SUM(AD158,AC158,AB158,Y158,U158,T158,S158,R158)*'1. Standard_Cost'!$B$31</f>
        <v>0</v>
      </c>
      <c r="AF158" s="127">
        <f>SUM(AE158,AD158,AC158,AB158,Y158,U158,T158,S158,R158)</f>
        <v>0</v>
      </c>
      <c r="AG158" s="126"/>
      <c r="AH158" s="126"/>
      <c r="AI158" s="126"/>
      <c r="AJ158" s="130"/>
      <c r="AK158" s="130"/>
      <c r="AL158" s="130"/>
      <c r="AM158" s="127">
        <f>AG158*'1. Standard_Cost'!$B$27+'Incremental_Cost Year 5'!AH158*'1. Standard_Cost'!$C$27+'Incremental_Cost Year 5'!AI158*'1. Standard_Cost'!$D$27+'Incremental_Cost Year 5'!AJ158+'Incremental_Cost Year 5'!AL158+AK158</f>
        <v>0</v>
      </c>
      <c r="AN158" s="127">
        <f>AM158*'1. Standard_Cost'!$C$31</f>
        <v>0</v>
      </c>
      <c r="AO158" s="130"/>
      <c r="AP158" s="256"/>
      <c r="AQ158" s="171">
        <f>L158+M158</f>
        <v>0</v>
      </c>
      <c r="AR158" s="171">
        <f>AF158</f>
        <v>0</v>
      </c>
      <c r="AS158" s="171">
        <f>AM158+AN158</f>
        <v>0</v>
      </c>
      <c r="AT158" s="171">
        <f>SUM(AQ158,AR158,AS158)</f>
        <v>0</v>
      </c>
      <c r="AU158" s="250"/>
      <c r="AV158" s="250"/>
      <c r="AW158" s="250"/>
      <c r="AX158" s="250"/>
      <c r="AY158" s="250"/>
      <c r="AZ158" s="250"/>
      <c r="BA158" s="250"/>
      <c r="BB158" s="251">
        <f t="shared" si="102"/>
        <v>0</v>
      </c>
      <c r="BC158" s="169"/>
      <c r="BD158" s="169"/>
      <c r="BE158" s="169"/>
      <c r="BF158" s="169"/>
    </row>
    <row r="159" spans="1:58" ht="51.6" customHeight="1" outlineLevel="2" x14ac:dyDescent="0.25">
      <c r="A159" s="115"/>
      <c r="B159" s="165"/>
      <c r="C159" s="166"/>
      <c r="D159" s="150" t="s">
        <v>471</v>
      </c>
      <c r="E159" s="212" t="s">
        <v>472</v>
      </c>
      <c r="F159" s="106">
        <v>2021</v>
      </c>
      <c r="G159" s="104">
        <v>2030</v>
      </c>
      <c r="H159" s="110" t="s">
        <v>179</v>
      </c>
      <c r="I159" s="252"/>
      <c r="J159" s="252"/>
      <c r="K159" s="252"/>
      <c r="L159" s="127">
        <f>SUM(L157:L158)</f>
        <v>0</v>
      </c>
      <c r="M159" s="127">
        <f>SUM(M157:M158)</f>
        <v>0</v>
      </c>
      <c r="N159" s="252"/>
      <c r="O159" s="252"/>
      <c r="P159" s="252"/>
      <c r="Q159" s="252"/>
      <c r="R159" s="127">
        <f>SUM(R157:R158)</f>
        <v>0</v>
      </c>
      <c r="S159" s="127">
        <f>SUM(S157:S158)</f>
        <v>0</v>
      </c>
      <c r="T159" s="127">
        <f>SUM(T157:T158)</f>
        <v>0</v>
      </c>
      <c r="U159" s="127">
        <f>SUM(U157:U158)</f>
        <v>0</v>
      </c>
      <c r="V159" s="252"/>
      <c r="W159" s="252"/>
      <c r="X159" s="252"/>
      <c r="Y159" s="127">
        <f>SUM(Y157:Y158)</f>
        <v>0</v>
      </c>
      <c r="Z159" s="252"/>
      <c r="AA159" s="252"/>
      <c r="AB159" s="127">
        <f>SUM(AB157:AB158)</f>
        <v>0</v>
      </c>
      <c r="AC159" s="127">
        <f>SUM(AC157:AC158)</f>
        <v>0</v>
      </c>
      <c r="AD159" s="127">
        <f>SUM(AD157:AD158)</f>
        <v>0</v>
      </c>
      <c r="AE159" s="127">
        <f>SUM(AE157:AE158)</f>
        <v>0</v>
      </c>
      <c r="AF159" s="127">
        <f>SUM(AF157:AF158)</f>
        <v>0</v>
      </c>
      <c r="AG159" s="252"/>
      <c r="AH159" s="252"/>
      <c r="AI159" s="252"/>
      <c r="AJ159" s="127">
        <f>SUM(AJ157:AJ158)</f>
        <v>0</v>
      </c>
      <c r="AK159" s="127">
        <f>SUM(AK157:AK158)</f>
        <v>0</v>
      </c>
      <c r="AL159" s="127">
        <f>SUM(AL157:AL158)</f>
        <v>0</v>
      </c>
      <c r="AM159" s="127">
        <f>SUM(AM157:AM158)</f>
        <v>0</v>
      </c>
      <c r="AN159" s="127">
        <f>SUM(AN157:AN158)</f>
        <v>0</v>
      </c>
      <c r="AO159" s="253"/>
      <c r="AP159" s="254"/>
      <c r="AQ159" s="175">
        <f>SUM(AQ157:AQ158)</f>
        <v>0</v>
      </c>
      <c r="AR159" s="175">
        <f>SUM(AR157:AR158)</f>
        <v>0</v>
      </c>
      <c r="AS159" s="175">
        <f>SUM(AS157:AS158)</f>
        <v>0</v>
      </c>
      <c r="AT159" s="175">
        <f>SUM(AT157:AT158)</f>
        <v>0</v>
      </c>
      <c r="AU159" s="175">
        <f t="shared" ref="AU159:BB159" si="103">SUM(AU157:AU158)</f>
        <v>0</v>
      </c>
      <c r="AV159" s="175">
        <f t="shared" si="103"/>
        <v>0</v>
      </c>
      <c r="AW159" s="175">
        <f t="shared" si="103"/>
        <v>0</v>
      </c>
      <c r="AX159" s="175">
        <f t="shared" si="103"/>
        <v>0</v>
      </c>
      <c r="AY159" s="175">
        <f t="shared" si="103"/>
        <v>0</v>
      </c>
      <c r="AZ159" s="175">
        <f t="shared" si="103"/>
        <v>0</v>
      </c>
      <c r="BA159" s="175">
        <f t="shared" si="103"/>
        <v>0</v>
      </c>
      <c r="BB159" s="175">
        <f t="shared" si="103"/>
        <v>0</v>
      </c>
      <c r="BC159" s="169"/>
      <c r="BD159" s="169"/>
      <c r="BE159" s="169"/>
      <c r="BF159" s="169"/>
    </row>
    <row r="160" spans="1:58" ht="51.6" customHeight="1" outlineLevel="2" x14ac:dyDescent="0.25">
      <c r="A160" s="115"/>
      <c r="B160" s="200"/>
      <c r="C160" s="201"/>
      <c r="D160" s="328"/>
      <c r="E160" s="328"/>
      <c r="F160" s="328"/>
      <c r="G160" s="328"/>
      <c r="H160" s="199" t="s">
        <v>473</v>
      </c>
      <c r="I160" s="130"/>
      <c r="J160" s="126"/>
      <c r="K160" s="126"/>
      <c r="L160" s="125" t="str">
        <f>IF(I160&lt;&gt;0,((VLOOKUP(I160,'1. Standard_Cost'!$B$4:$D$11,2)+VLOOKUP(I160,'1. Standard_Cost'!$B$4:$D$11,3))*J160*K160),"0")</f>
        <v>0</v>
      </c>
      <c r="M160" s="125">
        <f>L160*'1. Standard_Cost'!$F$4</f>
        <v>0</v>
      </c>
      <c r="N160" s="126"/>
      <c r="O160" s="126"/>
      <c r="P160" s="126"/>
      <c r="Q160" s="126"/>
      <c r="R160" s="127">
        <f>'1. Standard_Cost'!$B$15*N160*P160</f>
        <v>0</v>
      </c>
      <c r="S160" s="127">
        <f>N160*O160*P160*'1. Standard_Cost'!$C$15</f>
        <v>0</v>
      </c>
      <c r="T160" s="127">
        <f>N160*P160*Q160*'1. Standard_Cost'!$D$15</f>
        <v>0</v>
      </c>
      <c r="U160" s="127">
        <f>N160*O160*'1. Standard_Cost'!$E$15</f>
        <v>0</v>
      </c>
      <c r="V160" s="126"/>
      <c r="W160" s="126"/>
      <c r="X160" s="126"/>
      <c r="Y160" s="127">
        <f>+V160*((X160*'1. Standard_Cost'!$B$19)+(W160*X160*'1. Standard_Cost'!$C$19))</f>
        <v>0</v>
      </c>
      <c r="Z160" s="126"/>
      <c r="AA160" s="126"/>
      <c r="AB160" s="127">
        <f>+Z160*'1. Standard_Cost'!$B$23+AA160*'1. Standard_Cost'!$C$23</f>
        <v>0</v>
      </c>
      <c r="AC160" s="128"/>
      <c r="AD160" s="129"/>
      <c r="AE160" s="127">
        <f>SUM(AD160,AC160,AB160,Y160,U160,T160,S160,R160)*'1. Standard_Cost'!$B$31</f>
        <v>0</v>
      </c>
      <c r="AF160" s="127">
        <f>SUM(AE160,AD160,AC160,AB160,Y160,U160,T160,S160,R160)</f>
        <v>0</v>
      </c>
      <c r="AG160" s="126"/>
      <c r="AH160" s="126"/>
      <c r="AI160" s="126"/>
      <c r="AJ160" s="130"/>
      <c r="AK160" s="130"/>
      <c r="AL160" s="130"/>
      <c r="AM160" s="127">
        <f>AG160*'1. Standard_Cost'!$B$27+'Incremental_Cost Year 5'!AH160*'1. Standard_Cost'!$C$27+'Incremental_Cost Year 5'!AI160*'1. Standard_Cost'!$D$27+'Incremental_Cost Year 5'!AJ160+'Incremental_Cost Year 5'!AL160+AK160</f>
        <v>0</v>
      </c>
      <c r="AN160" s="127">
        <f>AM160*'1. Standard_Cost'!$C$31</f>
        <v>0</v>
      </c>
      <c r="AO160" s="130"/>
      <c r="AP160" s="256"/>
      <c r="AQ160" s="171">
        <f>L160+M160</f>
        <v>0</v>
      </c>
      <c r="AR160" s="171">
        <f>AF160</f>
        <v>0</v>
      </c>
      <c r="AS160" s="171">
        <f>AM160+AN160</f>
        <v>0</v>
      </c>
      <c r="AT160" s="171">
        <f>SUM(AQ160,AR160,AS160)</f>
        <v>0</v>
      </c>
      <c r="AU160" s="250"/>
      <c r="AV160" s="250"/>
      <c r="AW160" s="250"/>
      <c r="AX160" s="250"/>
      <c r="AY160" s="250"/>
      <c r="AZ160" s="250"/>
      <c r="BA160" s="250"/>
      <c r="BB160" s="251">
        <f t="shared" ref="BB160:BB161" si="104">SUM(AU160:BA160)-AT160</f>
        <v>0</v>
      </c>
      <c r="BC160" s="169"/>
      <c r="BD160" s="169"/>
      <c r="BE160" s="169"/>
      <c r="BF160" s="169"/>
    </row>
    <row r="161" spans="1:58" ht="51.6" customHeight="1" outlineLevel="2" x14ac:dyDescent="0.25">
      <c r="A161" s="115"/>
      <c r="B161" s="200"/>
      <c r="C161" s="201"/>
      <c r="D161" s="328"/>
      <c r="E161" s="328"/>
      <c r="F161" s="328"/>
      <c r="G161" s="328"/>
      <c r="H161" s="213" t="s">
        <v>311</v>
      </c>
      <c r="I161" s="130" t="s">
        <v>5</v>
      </c>
      <c r="J161" s="126">
        <v>12</v>
      </c>
      <c r="K161" s="126">
        <v>13</v>
      </c>
      <c r="L161" s="125">
        <f>IF(I161&lt;&gt;0,((VLOOKUP(I161,'1. Standard_Cost'!$B$4:$D$11,2)+VLOOKUP(I161,'1. Standard_Cost'!$B$4:$D$11,3))*J161*K161),"0")</f>
        <v>11029200</v>
      </c>
      <c r="M161" s="125">
        <f>L161*'1. Standard_Cost'!$F$4</f>
        <v>1841876.4000000001</v>
      </c>
      <c r="N161" s="126"/>
      <c r="O161" s="126"/>
      <c r="P161" s="126"/>
      <c r="Q161" s="126"/>
      <c r="R161" s="127">
        <f>'1. Standard_Cost'!$B$15*N161*P161</f>
        <v>0</v>
      </c>
      <c r="S161" s="127">
        <f>N161*O161*P161*'1. Standard_Cost'!$C$15</f>
        <v>0</v>
      </c>
      <c r="T161" s="127">
        <f>N161*P161*Q161*'1. Standard_Cost'!$D$15</f>
        <v>0</v>
      </c>
      <c r="U161" s="127">
        <f>N161*O161*'1. Standard_Cost'!$E$15</f>
        <v>0</v>
      </c>
      <c r="V161" s="126"/>
      <c r="W161" s="126"/>
      <c r="X161" s="126"/>
      <c r="Y161" s="127">
        <f>+V161*((X161*'1. Standard_Cost'!$B$19)+(W161*X161*'1. Standard_Cost'!$C$19))</f>
        <v>0</v>
      </c>
      <c r="Z161" s="126"/>
      <c r="AA161" s="126"/>
      <c r="AB161" s="127">
        <f>+Z161*'1. Standard_Cost'!$B$23+AA161*'1. Standard_Cost'!$C$23</f>
        <v>0</v>
      </c>
      <c r="AC161" s="128">
        <v>3472875</v>
      </c>
      <c r="AD161" s="129"/>
      <c r="AE161" s="127"/>
      <c r="AF161" s="127">
        <f>SUM(AE161,AD161,AC161,AB161,Y161,U161,T161,S161,R161)</f>
        <v>3472875</v>
      </c>
      <c r="AG161" s="126"/>
      <c r="AH161" s="126"/>
      <c r="AI161" s="126"/>
      <c r="AJ161" s="130"/>
      <c r="AK161" s="130"/>
      <c r="AL161" s="130"/>
      <c r="AM161" s="127">
        <f>AG161*'1. Standard_Cost'!$B$27+'Incremental_Cost Year 5'!AH161*'1. Standard_Cost'!$C$27+'Incremental_Cost Year 5'!AI161*'1. Standard_Cost'!$D$27+'Incremental_Cost Year 5'!AJ161+'Incremental_Cost Year 5'!AL161+AK161</f>
        <v>0</v>
      </c>
      <c r="AN161" s="127">
        <f>AM161*'1. Standard_Cost'!$C$31</f>
        <v>0</v>
      </c>
      <c r="AO161" s="130"/>
      <c r="AP161" s="256"/>
      <c r="AQ161" s="171">
        <f>L161+M161</f>
        <v>12871076.4</v>
      </c>
      <c r="AR161" s="171">
        <f>AF161</f>
        <v>3472875</v>
      </c>
      <c r="AS161" s="171">
        <f>AM161+AN161</f>
        <v>0</v>
      </c>
      <c r="AT161" s="171">
        <f>SUM(AQ161,AR161,AS161)</f>
        <v>16343951.4</v>
      </c>
      <c r="AU161" s="250">
        <v>16343951</v>
      </c>
      <c r="AV161" s="250"/>
      <c r="AW161" s="250"/>
      <c r="AX161" s="250"/>
      <c r="AY161" s="250"/>
      <c r="AZ161" s="250"/>
      <c r="BA161" s="250"/>
      <c r="BB161" s="251">
        <f t="shared" si="104"/>
        <v>-0.40000000037252903</v>
      </c>
      <c r="BC161" s="169"/>
      <c r="BD161" s="169"/>
      <c r="BE161" s="169"/>
      <c r="BF161" s="169"/>
    </row>
    <row r="162" spans="1:58" ht="51.6" customHeight="1" outlineLevel="2" x14ac:dyDescent="0.25">
      <c r="A162" s="115"/>
      <c r="B162" s="165"/>
      <c r="C162" s="166"/>
      <c r="D162" s="107" t="s">
        <v>233</v>
      </c>
      <c r="E162" s="212" t="s">
        <v>474</v>
      </c>
      <c r="F162" s="136">
        <v>2021</v>
      </c>
      <c r="G162" s="117">
        <v>2030</v>
      </c>
      <c r="H162" s="110" t="s">
        <v>180</v>
      </c>
      <c r="I162" s="252"/>
      <c r="J162" s="252"/>
      <c r="K162" s="252"/>
      <c r="L162" s="127">
        <f>SUM(L160:L161)</f>
        <v>11029200</v>
      </c>
      <c r="M162" s="127">
        <f>SUM(M160:M161)</f>
        <v>1841876.4000000001</v>
      </c>
      <c r="N162" s="252"/>
      <c r="O162" s="252"/>
      <c r="P162" s="252"/>
      <c r="Q162" s="252"/>
      <c r="R162" s="127">
        <f>SUM(R160:R161)</f>
        <v>0</v>
      </c>
      <c r="S162" s="127">
        <f>SUM(S160:S161)</f>
        <v>0</v>
      </c>
      <c r="T162" s="127">
        <f>SUM(T160:T161)</f>
        <v>0</v>
      </c>
      <c r="U162" s="127">
        <f>SUM(U160:U161)</f>
        <v>0</v>
      </c>
      <c r="V162" s="252"/>
      <c r="W162" s="252"/>
      <c r="X162" s="252"/>
      <c r="Y162" s="127">
        <f>SUM(Y160:Y161)</f>
        <v>0</v>
      </c>
      <c r="Z162" s="252"/>
      <c r="AA162" s="252"/>
      <c r="AB162" s="127">
        <f>SUM(AB160:AB161)</f>
        <v>0</v>
      </c>
      <c r="AC162" s="127">
        <f>SUM(AC160:AC161)</f>
        <v>3472875</v>
      </c>
      <c r="AD162" s="127">
        <f>SUM(AD160:AD161)</f>
        <v>0</v>
      </c>
      <c r="AE162" s="127">
        <f>SUM(AE160:AE161)</f>
        <v>0</v>
      </c>
      <c r="AF162" s="127">
        <f>SUM(AF160:AF161)</f>
        <v>3472875</v>
      </c>
      <c r="AG162" s="252"/>
      <c r="AH162" s="252"/>
      <c r="AI162" s="252"/>
      <c r="AJ162" s="127">
        <f>SUM(AJ160:AJ161)</f>
        <v>0</v>
      </c>
      <c r="AK162" s="127">
        <f>SUM(AK160:AK161)</f>
        <v>0</v>
      </c>
      <c r="AL162" s="127">
        <f>SUM(AL160:AL161)</f>
        <v>0</v>
      </c>
      <c r="AM162" s="127">
        <f>SUM(AM160:AM161)</f>
        <v>0</v>
      </c>
      <c r="AN162" s="127">
        <f>SUM(AN160:AN161)</f>
        <v>0</v>
      </c>
      <c r="AO162" s="253"/>
      <c r="AP162" s="254"/>
      <c r="AQ162" s="175">
        <f>SUM(AQ160:AQ161)</f>
        <v>12871076.4</v>
      </c>
      <c r="AR162" s="175">
        <f>SUM(AR160:AR161)</f>
        <v>3472875</v>
      </c>
      <c r="AS162" s="175">
        <f>SUM(AS160:AS161)</f>
        <v>0</v>
      </c>
      <c r="AT162" s="175">
        <f>SUM(AT160:AT161)</f>
        <v>16343951.4</v>
      </c>
      <c r="AU162" s="175">
        <f t="shared" ref="AU162:BA162" si="105">SUM(AU160:AU161)</f>
        <v>16343951</v>
      </c>
      <c r="AV162" s="175">
        <f t="shared" si="105"/>
        <v>0</v>
      </c>
      <c r="AW162" s="175">
        <f t="shared" si="105"/>
        <v>0</v>
      </c>
      <c r="AX162" s="175">
        <f t="shared" si="105"/>
        <v>0</v>
      </c>
      <c r="AY162" s="175">
        <f t="shared" si="105"/>
        <v>0</v>
      </c>
      <c r="AZ162" s="175">
        <f t="shared" si="105"/>
        <v>0</v>
      </c>
      <c r="BA162" s="175">
        <f t="shared" si="105"/>
        <v>0</v>
      </c>
      <c r="BB162" s="175">
        <f>SUM(BB160:BB161)</f>
        <v>-0.40000000037252903</v>
      </c>
      <c r="BC162" s="169"/>
      <c r="BD162" s="169"/>
      <c r="BE162" s="169"/>
      <c r="BF162" s="169"/>
    </row>
    <row r="163" spans="1:58" ht="51.6" customHeight="1" outlineLevel="2" x14ac:dyDescent="0.25">
      <c r="A163" s="143"/>
      <c r="B163" s="290"/>
      <c r="C163" s="391" t="s">
        <v>234</v>
      </c>
      <c r="D163" s="391"/>
      <c r="E163" s="392"/>
      <c r="F163" s="287"/>
      <c r="G163" s="289"/>
      <c r="H163" s="144" t="s">
        <v>169</v>
      </c>
      <c r="I163" s="257"/>
      <c r="J163" s="257"/>
      <c r="K163" s="257"/>
      <c r="L163" s="258">
        <f>L168+L178+L181</f>
        <v>436722700</v>
      </c>
      <c r="M163" s="258">
        <f>M168+M178+M181</f>
        <v>72932690.900000006</v>
      </c>
      <c r="N163" s="257"/>
      <c r="O163" s="257"/>
      <c r="P163" s="257"/>
      <c r="Q163" s="257"/>
      <c r="R163" s="258">
        <f>R168+R178+R181</f>
        <v>0</v>
      </c>
      <c r="S163" s="258">
        <f>S168+S178+S181</f>
        <v>0</v>
      </c>
      <c r="T163" s="258">
        <f>T168+T178+T181</f>
        <v>0</v>
      </c>
      <c r="U163" s="258">
        <f>U168+U178+U181</f>
        <v>0</v>
      </c>
      <c r="V163" s="257"/>
      <c r="W163" s="257"/>
      <c r="X163" s="257"/>
      <c r="Y163" s="258">
        <f>Y168+Y178+Y181</f>
        <v>0</v>
      </c>
      <c r="Z163" s="258"/>
      <c r="AA163" s="258"/>
      <c r="AB163" s="258">
        <f>AB168+AB178+AB181</f>
        <v>0</v>
      </c>
      <c r="AC163" s="258">
        <f>AC168+AC178+AC181</f>
        <v>5263163755</v>
      </c>
      <c r="AD163" s="258">
        <f>AD168+AD178+AD181</f>
        <v>0</v>
      </c>
      <c r="AE163" s="258">
        <f>AE168+AE178+AE181</f>
        <v>28151</v>
      </c>
      <c r="AF163" s="258">
        <f>AF168+AF178+AF181</f>
        <v>5263191906</v>
      </c>
      <c r="AG163" s="257"/>
      <c r="AH163" s="257"/>
      <c r="AI163" s="257"/>
      <c r="AJ163" s="258">
        <f>AJ168+AJ178+AJ181</f>
        <v>434806000</v>
      </c>
      <c r="AK163" s="258">
        <f>AK168+AK178+AK181</f>
        <v>0</v>
      </c>
      <c r="AL163" s="258">
        <f>AL168+AL178+AL181</f>
        <v>0</v>
      </c>
      <c r="AM163" s="258">
        <f>AM168+AM178+AM181</f>
        <v>434806000</v>
      </c>
      <c r="AN163" s="258">
        <f>AN168+AN178+AN181</f>
        <v>65220900</v>
      </c>
      <c r="AO163" s="259"/>
      <c r="AP163" s="260"/>
      <c r="AQ163" s="261">
        <f>AQ168+AQ178+AQ181</f>
        <v>509655390.89999998</v>
      </c>
      <c r="AR163" s="261">
        <f>AR168+AR178+AR181</f>
        <v>5263191906</v>
      </c>
      <c r="AS163" s="261">
        <f>AS168+AS178+AS181</f>
        <v>500026900</v>
      </c>
      <c r="AT163" s="261">
        <f>AT168+AT178+AT181</f>
        <v>6272874196.8999996</v>
      </c>
      <c r="AU163" s="261">
        <f t="shared" ref="AU163:BB163" si="106">AU168+AU178+AU181</f>
        <v>6207653297.1999998</v>
      </c>
      <c r="AV163" s="261">
        <f t="shared" si="106"/>
        <v>0</v>
      </c>
      <c r="AW163" s="261">
        <f t="shared" si="106"/>
        <v>0</v>
      </c>
      <c r="AX163" s="261">
        <f t="shared" si="106"/>
        <v>0</v>
      </c>
      <c r="AY163" s="261">
        <f t="shared" si="106"/>
        <v>0</v>
      </c>
      <c r="AZ163" s="261">
        <f t="shared" si="106"/>
        <v>0</v>
      </c>
      <c r="BA163" s="261">
        <f t="shared" si="106"/>
        <v>0</v>
      </c>
      <c r="BB163" s="261">
        <f t="shared" si="106"/>
        <v>-65220899.700000003</v>
      </c>
      <c r="BC163" s="184"/>
      <c r="BD163" s="184"/>
      <c r="BE163" s="184"/>
      <c r="BF163" s="184"/>
    </row>
    <row r="164" spans="1:58" ht="51.6" customHeight="1" outlineLevel="2" x14ac:dyDescent="0.25">
      <c r="A164" s="115"/>
      <c r="B164" s="200"/>
      <c r="C164" s="201"/>
      <c r="D164" s="333"/>
      <c r="E164" s="295"/>
      <c r="F164" s="306"/>
      <c r="G164" s="307"/>
      <c r="H164" s="199" t="s">
        <v>475</v>
      </c>
      <c r="I164" s="130"/>
      <c r="J164" s="126"/>
      <c r="K164" s="126"/>
      <c r="L164" s="125" t="str">
        <f>IF(I164&lt;&gt;0,((VLOOKUP(I164,'1. Standard_Cost'!$B$4:$D$11,2)+VLOOKUP(I164,'1. Standard_Cost'!$B$4:$D$11,3))*J164*K164),"0")</f>
        <v>0</v>
      </c>
      <c r="M164" s="125">
        <f>L164*'1. Standard_Cost'!$F$4</f>
        <v>0</v>
      </c>
      <c r="N164" s="126"/>
      <c r="O164" s="126"/>
      <c r="P164" s="126"/>
      <c r="Q164" s="126"/>
      <c r="R164" s="127">
        <f>'1. Standard_Cost'!$B$15*N164*P164</f>
        <v>0</v>
      </c>
      <c r="S164" s="127">
        <f>N164*O164*P164*'1. Standard_Cost'!$C$15</f>
        <v>0</v>
      </c>
      <c r="T164" s="127">
        <f>N164*P164*Q164*'1. Standard_Cost'!$D$15</f>
        <v>0</v>
      </c>
      <c r="U164" s="127">
        <f>N164*O164*'1. Standard_Cost'!$E$15</f>
        <v>0</v>
      </c>
      <c r="V164" s="126"/>
      <c r="W164" s="126"/>
      <c r="X164" s="126"/>
      <c r="Y164" s="127">
        <f>+V164*((X164*'1. Standard_Cost'!$B$19)+(W164*X164*'1. Standard_Cost'!$C$19))</f>
        <v>0</v>
      </c>
      <c r="Z164" s="126"/>
      <c r="AA164" s="126"/>
      <c r="AB164" s="127">
        <f>+Z164*'1. Standard_Cost'!$B$23+AA164*'1. Standard_Cost'!$C$23</f>
        <v>0</v>
      </c>
      <c r="AC164" s="128"/>
      <c r="AD164" s="129"/>
      <c r="AE164" s="127">
        <f>SUM(AD164,AC164,AB164,Y164,U164,T164,S164,R164)*'1. Standard_Cost'!$B$31</f>
        <v>0</v>
      </c>
      <c r="AF164" s="127">
        <f>SUM(AE164,AD164,AC164,AB164,Y164,U164,T164,S164,R164)</f>
        <v>0</v>
      </c>
      <c r="AG164" s="126"/>
      <c r="AH164" s="126"/>
      <c r="AI164" s="126"/>
      <c r="AJ164" s="130"/>
      <c r="AK164" s="130"/>
      <c r="AL164" s="130"/>
      <c r="AM164" s="127">
        <f>AG164*'1. Standard_Cost'!$B$27+'Incremental_Cost Year 5'!AH164*'1. Standard_Cost'!$C$27+'Incremental_Cost Year 5'!AI164*'1. Standard_Cost'!$D$27+'Incremental_Cost Year 5'!AJ164+'Incremental_Cost Year 5'!AL164+AK164</f>
        <v>0</v>
      </c>
      <c r="AN164" s="127">
        <f>AM164*'1. Standard_Cost'!$C$31</f>
        <v>0</v>
      </c>
      <c r="AO164" s="130"/>
      <c r="AP164" s="256"/>
      <c r="AQ164" s="171">
        <f>L164+M164</f>
        <v>0</v>
      </c>
      <c r="AR164" s="171">
        <f>AF164</f>
        <v>0</v>
      </c>
      <c r="AS164" s="171">
        <f>AM164+AN164</f>
        <v>0</v>
      </c>
      <c r="AT164" s="171">
        <f>SUM(AQ164,AR164,AS164)</f>
        <v>0</v>
      </c>
      <c r="AU164" s="250"/>
      <c r="AV164" s="250"/>
      <c r="AW164" s="250"/>
      <c r="AX164" s="250"/>
      <c r="AY164" s="250"/>
      <c r="AZ164" s="250"/>
      <c r="BA164" s="250"/>
      <c r="BB164" s="251">
        <f t="shared" ref="BB164:BB167" si="107">SUM(AU164:BA164)-AT164</f>
        <v>0</v>
      </c>
      <c r="BC164" s="169"/>
      <c r="BD164" s="169"/>
      <c r="BE164" s="169"/>
      <c r="BF164" s="169"/>
    </row>
    <row r="165" spans="1:58" ht="51.6" customHeight="1" outlineLevel="2" x14ac:dyDescent="0.25">
      <c r="A165" s="115"/>
      <c r="B165" s="200"/>
      <c r="C165" s="201"/>
      <c r="D165" s="151"/>
      <c r="E165" s="219"/>
      <c r="F165" s="308"/>
      <c r="G165" s="309"/>
      <c r="H165" s="199" t="s">
        <v>476</v>
      </c>
      <c r="I165" s="130"/>
      <c r="J165" s="126"/>
      <c r="K165" s="126"/>
      <c r="L165" s="125" t="str">
        <f>IF(I165&lt;&gt;0,((VLOOKUP(I165,'1. Standard_Cost'!$B$4:$D$11,2)+VLOOKUP(I165,'1. Standard_Cost'!$B$4:$D$11,3))*J165*K165),"0")</f>
        <v>0</v>
      </c>
      <c r="M165" s="125">
        <f>L165*'1. Standard_Cost'!$F$4</f>
        <v>0</v>
      </c>
      <c r="N165" s="126"/>
      <c r="O165" s="126"/>
      <c r="P165" s="126"/>
      <c r="Q165" s="126"/>
      <c r="R165" s="127">
        <f>'1. Standard_Cost'!$B$15*N165*P165</f>
        <v>0</v>
      </c>
      <c r="S165" s="127">
        <f>N165*O165*P165*'1. Standard_Cost'!$C$15</f>
        <v>0</v>
      </c>
      <c r="T165" s="127">
        <f>N165*P165*Q165*'1. Standard_Cost'!$D$15</f>
        <v>0</v>
      </c>
      <c r="U165" s="127">
        <f>N165*O165*'1. Standard_Cost'!$E$15</f>
        <v>0</v>
      </c>
      <c r="V165" s="126"/>
      <c r="W165" s="126"/>
      <c r="X165" s="126"/>
      <c r="Y165" s="127">
        <f>+V165*((X165*'1. Standard_Cost'!$B$19)+(W165*X165*'1. Standard_Cost'!$C$19))</f>
        <v>0</v>
      </c>
      <c r="Z165" s="126"/>
      <c r="AA165" s="126"/>
      <c r="AB165" s="127">
        <f>+Z165*'1. Standard_Cost'!$B$23+AA165*'1. Standard_Cost'!$C$23</f>
        <v>0</v>
      </c>
      <c r="AC165" s="128"/>
      <c r="AD165" s="129"/>
      <c r="AE165" s="127">
        <f>SUM(AD165,AC165,AB165,Y165,U165,T165,S165,R165)*'1. Standard_Cost'!$B$31</f>
        <v>0</v>
      </c>
      <c r="AF165" s="127">
        <f>SUM(AE165,AD165,AC165,AB165,Y165,U165,T165,S165,R165)</f>
        <v>0</v>
      </c>
      <c r="AG165" s="126"/>
      <c r="AH165" s="126"/>
      <c r="AI165" s="126"/>
      <c r="AJ165" s="130"/>
      <c r="AK165" s="130"/>
      <c r="AL165" s="130"/>
      <c r="AM165" s="127">
        <f>AG165*'1. Standard_Cost'!$B$27+'Incremental_Cost Year 5'!AH165*'1. Standard_Cost'!$C$27+'Incremental_Cost Year 5'!AI165*'1. Standard_Cost'!$D$27+'Incremental_Cost Year 5'!AJ165+'Incremental_Cost Year 5'!AL165+AK165</f>
        <v>0</v>
      </c>
      <c r="AN165" s="127">
        <f>AM165*'1. Standard_Cost'!$C$31</f>
        <v>0</v>
      </c>
      <c r="AO165" s="130"/>
      <c r="AP165" s="256"/>
      <c r="AQ165" s="171">
        <f>L165+M165</f>
        <v>0</v>
      </c>
      <c r="AR165" s="171">
        <f>AF165</f>
        <v>0</v>
      </c>
      <c r="AS165" s="171">
        <f>AM165+AN165</f>
        <v>0</v>
      </c>
      <c r="AT165" s="171">
        <f>SUM(AQ165,AR165,AS165)</f>
        <v>0</v>
      </c>
      <c r="AU165" s="250"/>
      <c r="AV165" s="250"/>
      <c r="AW165" s="250"/>
      <c r="AX165" s="250"/>
      <c r="AY165" s="250"/>
      <c r="AZ165" s="250"/>
      <c r="BA165" s="250"/>
      <c r="BB165" s="251">
        <f t="shared" si="107"/>
        <v>0</v>
      </c>
      <c r="BC165" s="169"/>
      <c r="BD165" s="169"/>
      <c r="BE165" s="169"/>
      <c r="BF165" s="169"/>
    </row>
    <row r="166" spans="1:58" ht="51.6" customHeight="1" outlineLevel="2" x14ac:dyDescent="0.25">
      <c r="A166" s="115"/>
      <c r="B166" s="200"/>
      <c r="C166" s="201"/>
      <c r="D166" s="151"/>
      <c r="E166" s="219"/>
      <c r="F166" s="308"/>
      <c r="G166" s="309"/>
      <c r="H166" s="199" t="s">
        <v>541</v>
      </c>
      <c r="I166" s="130"/>
      <c r="J166" s="126"/>
      <c r="K166" s="126"/>
      <c r="L166" s="125" t="str">
        <f>IF(I166&lt;&gt;0,((VLOOKUP(I166,'1. Standard_Cost'!$B$4:$D$11,2)+VLOOKUP(I166,'1. Standard_Cost'!$B$4:$D$11,3))*J166*K166),"0")</f>
        <v>0</v>
      </c>
      <c r="M166" s="125">
        <f>L166*'1. Standard_Cost'!$F$4</f>
        <v>0</v>
      </c>
      <c r="N166" s="126"/>
      <c r="O166" s="126"/>
      <c r="P166" s="126"/>
      <c r="Q166" s="126"/>
      <c r="R166" s="127">
        <f>'1. Standard_Cost'!$B$15*N166*P166</f>
        <v>0</v>
      </c>
      <c r="S166" s="127">
        <f>N166*O166*P166*'1. Standard_Cost'!$C$15</f>
        <v>0</v>
      </c>
      <c r="T166" s="127">
        <f>N166*P166*Q166*'1. Standard_Cost'!$D$15</f>
        <v>0</v>
      </c>
      <c r="U166" s="127">
        <f>N166*O166*'1. Standard_Cost'!$E$15</f>
        <v>0</v>
      </c>
      <c r="V166" s="126"/>
      <c r="W166" s="126"/>
      <c r="X166" s="126"/>
      <c r="Y166" s="127">
        <f>+V166*((X166*'1. Standard_Cost'!$B$19)+(W166*X166*'1. Standard_Cost'!$C$19))</f>
        <v>0</v>
      </c>
      <c r="Z166" s="126"/>
      <c r="AA166" s="126"/>
      <c r="AB166" s="127">
        <f>+Z166*'1. Standard_Cost'!$B$23+AA166*'1. Standard_Cost'!$C$23</f>
        <v>0</v>
      </c>
      <c r="AC166" s="128"/>
      <c r="AD166" s="129"/>
      <c r="AE166" s="127">
        <f>SUM(AD166,AC166,AB166,Y166,U166,T166,S166,R166)*'1. Standard_Cost'!$B$31</f>
        <v>0</v>
      </c>
      <c r="AF166" s="127">
        <f>SUM(AE166,AD166,AC166,AB166,Y166,U166,T166,S166,R166)</f>
        <v>0</v>
      </c>
      <c r="AG166" s="126"/>
      <c r="AH166" s="126"/>
      <c r="AI166" s="126"/>
      <c r="AJ166" s="130"/>
      <c r="AK166" s="130"/>
      <c r="AL166" s="130"/>
      <c r="AM166" s="127">
        <f>AG166*'1. Standard_Cost'!$B$27+'Incremental_Cost Year 5'!AH166*'1. Standard_Cost'!$C$27+'Incremental_Cost Year 5'!AI166*'1. Standard_Cost'!$D$27+'Incremental_Cost Year 5'!AJ166+'Incremental_Cost Year 5'!AL166+AK166</f>
        <v>0</v>
      </c>
      <c r="AN166" s="127">
        <f>AM166*'1. Standard_Cost'!$C$31</f>
        <v>0</v>
      </c>
      <c r="AO166" s="130"/>
      <c r="AP166" s="256"/>
      <c r="AQ166" s="171">
        <f>L166+M166</f>
        <v>0</v>
      </c>
      <c r="AR166" s="171">
        <f>AF166</f>
        <v>0</v>
      </c>
      <c r="AS166" s="171">
        <f>AM166+AN166</f>
        <v>0</v>
      </c>
      <c r="AT166" s="171">
        <f>SUM(AQ166,AR166,AS166)</f>
        <v>0</v>
      </c>
      <c r="AU166" s="250"/>
      <c r="AV166" s="250"/>
      <c r="AW166" s="250"/>
      <c r="AX166" s="250"/>
      <c r="AY166" s="250"/>
      <c r="AZ166" s="250"/>
      <c r="BA166" s="250"/>
      <c r="BB166" s="251">
        <f t="shared" si="107"/>
        <v>0</v>
      </c>
      <c r="BC166" s="169"/>
      <c r="BD166" s="169"/>
      <c r="BE166" s="169"/>
      <c r="BF166" s="169"/>
    </row>
    <row r="167" spans="1:58" ht="51.6" customHeight="1" outlineLevel="2" x14ac:dyDescent="0.25">
      <c r="A167" s="115"/>
      <c r="B167" s="200"/>
      <c r="C167" s="201"/>
      <c r="D167" s="310"/>
      <c r="E167" s="122"/>
      <c r="F167" s="311"/>
      <c r="G167" s="312"/>
      <c r="H167" s="199" t="s">
        <v>315</v>
      </c>
      <c r="I167" s="130" t="s">
        <v>4</v>
      </c>
      <c r="J167" s="126">
        <v>12</v>
      </c>
      <c r="K167" s="126">
        <v>398</v>
      </c>
      <c r="L167" s="125">
        <f>IF(I167&lt;&gt;0,((VLOOKUP(I167,'1. Standard_Cost'!$B$4:$D$11,2)+VLOOKUP(I167,'1. Standard_Cost'!$B$4:$D$11,3))*J167*K167),"0")</f>
        <v>385662000</v>
      </c>
      <c r="M167" s="125">
        <f>L167*'1. Standard_Cost'!$F$4</f>
        <v>64405554</v>
      </c>
      <c r="N167" s="126"/>
      <c r="O167" s="126"/>
      <c r="P167" s="126"/>
      <c r="Q167" s="126"/>
      <c r="R167" s="127">
        <f>'1. Standard_Cost'!$B$15*N167*P167</f>
        <v>0</v>
      </c>
      <c r="S167" s="127">
        <f>N167*O167*P167*'1. Standard_Cost'!$C$15</f>
        <v>0</v>
      </c>
      <c r="T167" s="127">
        <f>N167*P167*Q167*'1. Standard_Cost'!$D$15</f>
        <v>0</v>
      </c>
      <c r="U167" s="127">
        <f>N167*O167*'1. Standard_Cost'!$E$15</f>
        <v>0</v>
      </c>
      <c r="V167" s="126"/>
      <c r="W167" s="126"/>
      <c r="X167" s="126"/>
      <c r="Y167" s="127">
        <f>+V167*((X167*'1. Standard_Cost'!$B$19)+(W167*X167*'1. Standard_Cost'!$C$19))</f>
        <v>0</v>
      </c>
      <c r="Z167" s="126"/>
      <c r="AA167" s="126"/>
      <c r="AB167" s="127">
        <f>+Z167*'1. Standard_Cost'!$B$23+AA167*'1. Standard_Cost'!$C$23</f>
        <v>0</v>
      </c>
      <c r="AC167" s="128">
        <v>750000000</v>
      </c>
      <c r="AD167" s="129"/>
      <c r="AE167" s="127"/>
      <c r="AF167" s="127">
        <f>SUM(AE167,AD167,AC167,AB167,Y167,U167,T167,S167,R167)</f>
        <v>750000000</v>
      </c>
      <c r="AG167" s="126"/>
      <c r="AH167" s="126"/>
      <c r="AI167" s="126"/>
      <c r="AJ167" s="130"/>
      <c r="AK167" s="130"/>
      <c r="AL167" s="130"/>
      <c r="AM167" s="127">
        <f>AG167*'1. Standard_Cost'!$B$27+'Incremental_Cost Year 5'!AH167*'1. Standard_Cost'!$C$27+'Incremental_Cost Year 5'!AI167*'1. Standard_Cost'!$D$27+'Incremental_Cost Year 5'!AJ167+'Incremental_Cost Year 5'!AL167+AK167</f>
        <v>0</v>
      </c>
      <c r="AN167" s="127">
        <f>AM167*'1. Standard_Cost'!$C$31</f>
        <v>0</v>
      </c>
      <c r="AO167" s="130"/>
      <c r="AP167" s="256"/>
      <c r="AQ167" s="171">
        <f>L167+M167</f>
        <v>450067554</v>
      </c>
      <c r="AR167" s="171">
        <f>AF167</f>
        <v>750000000</v>
      </c>
      <c r="AS167" s="171">
        <f>AM167+AN167</f>
        <v>0</v>
      </c>
      <c r="AT167" s="171">
        <f>SUM(AQ167,AR167,AS167)</f>
        <v>1200067554</v>
      </c>
      <c r="AU167" s="250">
        <v>1200067554</v>
      </c>
      <c r="AV167" s="250"/>
      <c r="AW167" s="250"/>
      <c r="AX167" s="250"/>
      <c r="AY167" s="250"/>
      <c r="AZ167" s="250"/>
      <c r="BA167" s="250"/>
      <c r="BB167" s="251">
        <f t="shared" si="107"/>
        <v>0</v>
      </c>
      <c r="BC167" s="169"/>
      <c r="BD167" s="169"/>
      <c r="BE167" s="169"/>
      <c r="BF167" s="169"/>
    </row>
    <row r="168" spans="1:58" ht="51.6" customHeight="1" outlineLevel="2" x14ac:dyDescent="0.25">
      <c r="A168" s="115"/>
      <c r="B168" s="165"/>
      <c r="C168" s="166"/>
      <c r="D168" s="139" t="s">
        <v>477</v>
      </c>
      <c r="E168" s="212" t="s">
        <v>478</v>
      </c>
      <c r="F168" s="136">
        <v>2021</v>
      </c>
      <c r="G168" s="117">
        <v>2030</v>
      </c>
      <c r="H168" s="110" t="s">
        <v>170</v>
      </c>
      <c r="I168" s="252"/>
      <c r="J168" s="252"/>
      <c r="K168" s="252"/>
      <c r="L168" s="127">
        <f>SUM(L164:L167)</f>
        <v>385662000</v>
      </c>
      <c r="M168" s="127">
        <f>SUM(M164:M167)</f>
        <v>64405554</v>
      </c>
      <c r="N168" s="252"/>
      <c r="O168" s="252"/>
      <c r="P168" s="252"/>
      <c r="Q168" s="252"/>
      <c r="R168" s="127">
        <f>SUM(R164:R167)</f>
        <v>0</v>
      </c>
      <c r="S168" s="127">
        <f>SUM(S164:S167)</f>
        <v>0</v>
      </c>
      <c r="T168" s="127">
        <f>SUM(T164:T167)</f>
        <v>0</v>
      </c>
      <c r="U168" s="127">
        <f>SUM(U164:U167)</f>
        <v>0</v>
      </c>
      <c r="V168" s="252"/>
      <c r="W168" s="252"/>
      <c r="X168" s="252"/>
      <c r="Y168" s="127">
        <f>SUM(Y164:Y167)</f>
        <v>0</v>
      </c>
      <c r="Z168" s="127"/>
      <c r="AA168" s="252"/>
      <c r="AB168" s="127">
        <f>SUM(AB164:AB167)</f>
        <v>0</v>
      </c>
      <c r="AC168" s="127">
        <f>SUM(AC164:AC167)</f>
        <v>750000000</v>
      </c>
      <c r="AD168" s="127">
        <f>SUM(AD164:AD167)</f>
        <v>0</v>
      </c>
      <c r="AE168" s="127">
        <f>SUM(AE164:AE167)</f>
        <v>0</v>
      </c>
      <c r="AF168" s="127">
        <f>SUM(AF164:AF167)</f>
        <v>750000000</v>
      </c>
      <c r="AG168" s="252"/>
      <c r="AH168" s="252"/>
      <c r="AI168" s="252"/>
      <c r="AJ168" s="127">
        <f>SUM(AJ164:AJ167)</f>
        <v>0</v>
      </c>
      <c r="AK168" s="127">
        <f>SUM(AK164:AK167)</f>
        <v>0</v>
      </c>
      <c r="AL168" s="127">
        <f>SUM(AL164:AL167)</f>
        <v>0</v>
      </c>
      <c r="AM168" s="127">
        <f>SUM(AM164:AM167)</f>
        <v>0</v>
      </c>
      <c r="AN168" s="127">
        <f>SUM(AN164:AN167)</f>
        <v>0</v>
      </c>
      <c r="AO168" s="253"/>
      <c r="AP168" s="254"/>
      <c r="AQ168" s="175">
        <f>SUM(AQ164:AQ167)</f>
        <v>450067554</v>
      </c>
      <c r="AR168" s="175">
        <f>SUM(AR164:AR167)</f>
        <v>750000000</v>
      </c>
      <c r="AS168" s="175">
        <f>SUM(AS164:AS167)</f>
        <v>0</v>
      </c>
      <c r="AT168" s="175">
        <f>SUM(AT164:AT167)</f>
        <v>1200067554</v>
      </c>
      <c r="AU168" s="175">
        <f t="shared" ref="AU168:BA168" si="108">SUM(AU164:AU167)</f>
        <v>1200067554</v>
      </c>
      <c r="AV168" s="175">
        <f t="shared" si="108"/>
        <v>0</v>
      </c>
      <c r="AW168" s="175">
        <f t="shared" si="108"/>
        <v>0</v>
      </c>
      <c r="AX168" s="175">
        <f t="shared" si="108"/>
        <v>0</v>
      </c>
      <c r="AY168" s="175">
        <f t="shared" si="108"/>
        <v>0</v>
      </c>
      <c r="AZ168" s="175">
        <f t="shared" si="108"/>
        <v>0</v>
      </c>
      <c r="BA168" s="175">
        <f t="shared" si="108"/>
        <v>0</v>
      </c>
      <c r="BB168" s="175">
        <f>SUM(BB164:BB167)</f>
        <v>0</v>
      </c>
      <c r="BC168" s="169"/>
      <c r="BD168" s="169"/>
      <c r="BE168" s="169"/>
      <c r="BF168" s="169"/>
    </row>
    <row r="169" spans="1:58" ht="51.6" customHeight="1" outlineLevel="1" x14ac:dyDescent="0.25">
      <c r="A169" s="115"/>
      <c r="B169" s="200"/>
      <c r="C169" s="201"/>
      <c r="D169" s="342"/>
      <c r="E169" s="328"/>
      <c r="F169" s="328"/>
      <c r="G169" s="328"/>
      <c r="H169" s="199" t="s">
        <v>479</v>
      </c>
      <c r="I169" s="130"/>
      <c r="J169" s="126"/>
      <c r="K169" s="126"/>
      <c r="L169" s="125" t="str">
        <f>IF(I169&lt;&gt;0,((VLOOKUP(I169,'1. Standard_Cost'!$B$4:$D$11,2)+VLOOKUP(I169,'1. Standard_Cost'!$B$4:$D$11,3))*J169*K169),"0")</f>
        <v>0</v>
      </c>
      <c r="M169" s="125">
        <f>L169*'1. Standard_Cost'!$F$4</f>
        <v>0</v>
      </c>
      <c r="N169" s="126"/>
      <c r="O169" s="126"/>
      <c r="P169" s="126"/>
      <c r="Q169" s="126"/>
      <c r="R169" s="127">
        <f>'1. Standard_Cost'!$B$15*N169*P169</f>
        <v>0</v>
      </c>
      <c r="S169" s="127">
        <f>N169*O169*P169*'1. Standard_Cost'!$C$15</f>
        <v>0</v>
      </c>
      <c r="T169" s="127">
        <f>N169*P169*Q169*'1. Standard_Cost'!$D$15</f>
        <v>0</v>
      </c>
      <c r="U169" s="127">
        <f>N169*O169*'1. Standard_Cost'!$E$15</f>
        <v>0</v>
      </c>
      <c r="V169" s="126"/>
      <c r="W169" s="126"/>
      <c r="X169" s="126"/>
      <c r="Y169" s="127">
        <f>+V169*((X169*'1. Standard_Cost'!$B$19)+(W169*X169*'1. Standard_Cost'!$C$19))</f>
        <v>0</v>
      </c>
      <c r="Z169" s="126"/>
      <c r="AA169" s="126"/>
      <c r="AB169" s="127">
        <f>+Z169*'1. Standard_Cost'!$B$23+AA169*'1. Standard_Cost'!$C$23</f>
        <v>0</v>
      </c>
      <c r="AC169" s="128">
        <v>1320223000</v>
      </c>
      <c r="AD169" s="129"/>
      <c r="AE169" s="127">
        <f>0</f>
        <v>0</v>
      </c>
      <c r="AF169" s="127">
        <f t="shared" ref="AF169:AF177" si="109">SUM(AE169,AD169,AC169,AB169,Y169,U169,T169,S169,R169)</f>
        <v>1320223000</v>
      </c>
      <c r="AG169" s="126"/>
      <c r="AH169" s="126"/>
      <c r="AI169" s="126"/>
      <c r="AJ169" s="130"/>
      <c r="AK169" s="130"/>
      <c r="AL169" s="130"/>
      <c r="AM169" s="127">
        <f>AG169*'1. Standard_Cost'!$B$27+'Incremental_Cost Year 5'!AH169*'1. Standard_Cost'!$C$27+'Incremental_Cost Year 5'!AI169*'1. Standard_Cost'!$D$27+'Incremental_Cost Year 5'!AJ169+'Incremental_Cost Year 5'!AL169+AK169</f>
        <v>0</v>
      </c>
      <c r="AN169" s="127">
        <f>AM169*'1. Standard_Cost'!$C$31</f>
        <v>0</v>
      </c>
      <c r="AO169" s="130"/>
      <c r="AP169" s="256"/>
      <c r="AQ169" s="171">
        <f t="shared" ref="AQ169:AQ177" si="110">L169+M169</f>
        <v>0</v>
      </c>
      <c r="AR169" s="171">
        <f t="shared" ref="AR169:AR177" si="111">AF169</f>
        <v>1320223000</v>
      </c>
      <c r="AS169" s="171">
        <f t="shared" ref="AS169:AS177" si="112">AM169+AN169</f>
        <v>0</v>
      </c>
      <c r="AT169" s="171">
        <f t="shared" ref="AT169:AT177" si="113">SUM(AQ169,AR169,AS169)</f>
        <v>1320223000</v>
      </c>
      <c r="AU169" s="250">
        <v>1320223000</v>
      </c>
      <c r="AV169" s="250"/>
      <c r="AW169" s="250"/>
      <c r="AX169" s="250"/>
      <c r="AY169" s="250"/>
      <c r="AZ169" s="250"/>
      <c r="BA169" s="250"/>
      <c r="BB169" s="251">
        <f t="shared" ref="BB169:BB177" si="114">SUM(AU169:BA169)-AT169</f>
        <v>0</v>
      </c>
      <c r="BC169" s="169"/>
      <c r="BD169" s="169"/>
      <c r="BE169" s="169"/>
      <c r="BF169" s="169"/>
    </row>
    <row r="170" spans="1:58" ht="51.6" customHeight="1" outlineLevel="2" x14ac:dyDescent="0.25">
      <c r="A170" s="115"/>
      <c r="B170" s="200"/>
      <c r="C170" s="201"/>
      <c r="D170" s="343"/>
      <c r="E170" s="328"/>
      <c r="F170" s="328"/>
      <c r="G170" s="328"/>
      <c r="H170" s="213" t="s">
        <v>480</v>
      </c>
      <c r="I170" s="130"/>
      <c r="J170" s="126"/>
      <c r="K170" s="126"/>
      <c r="L170" s="125" t="str">
        <f>IF(I170&lt;&gt;0,((VLOOKUP(I170,'1. Standard_Cost'!$B$4:$D$11,2)+VLOOKUP(I170,'1. Standard_Cost'!$B$4:$D$11,3))*J170*K170),"0")</f>
        <v>0</v>
      </c>
      <c r="M170" s="125">
        <f>L170*'1. Standard_Cost'!$F$4</f>
        <v>0</v>
      </c>
      <c r="N170" s="126"/>
      <c r="O170" s="126"/>
      <c r="P170" s="126"/>
      <c r="Q170" s="126"/>
      <c r="R170" s="127">
        <f>'1. Standard_Cost'!$B$15*N170*P170</f>
        <v>0</v>
      </c>
      <c r="S170" s="127">
        <f>N170*O170*P170*'1. Standard_Cost'!$C$15</f>
        <v>0</v>
      </c>
      <c r="T170" s="127">
        <f>N170*P170*Q170*'1. Standard_Cost'!$D$15</f>
        <v>0</v>
      </c>
      <c r="U170" s="127">
        <f>N170*O170*'1. Standard_Cost'!$E$15</f>
        <v>0</v>
      </c>
      <c r="V170" s="126"/>
      <c r="W170" s="126"/>
      <c r="X170" s="126"/>
      <c r="Y170" s="127">
        <f>+V170*((X170*'1. Standard_Cost'!$B$19)+(W170*X170*'1. Standard_Cost'!$C$19))</f>
        <v>0</v>
      </c>
      <c r="Z170" s="126"/>
      <c r="AA170" s="126"/>
      <c r="AB170" s="127">
        <f>+Z170*'1. Standard_Cost'!$B$23+AA170*'1. Standard_Cost'!$C$23</f>
        <v>0</v>
      </c>
      <c r="AC170" s="266">
        <v>946000000</v>
      </c>
      <c r="AD170" s="129"/>
      <c r="AE170" s="127">
        <f>0</f>
        <v>0</v>
      </c>
      <c r="AF170" s="127">
        <f t="shared" si="109"/>
        <v>946000000</v>
      </c>
      <c r="AG170" s="126"/>
      <c r="AH170" s="126"/>
      <c r="AI170" s="126"/>
      <c r="AJ170" s="130"/>
      <c r="AK170" s="130"/>
      <c r="AL170" s="130"/>
      <c r="AM170" s="127">
        <f>AG170*'1. Standard_Cost'!$B$27+'Incremental_Cost Year 5'!AH170*'1. Standard_Cost'!$C$27+'Incremental_Cost Year 5'!AI170*'1. Standard_Cost'!$D$27+'Incremental_Cost Year 5'!AJ170+'Incremental_Cost Year 5'!AL170+AK170</f>
        <v>0</v>
      </c>
      <c r="AN170" s="127">
        <f>AM170*'1. Standard_Cost'!$C$31</f>
        <v>0</v>
      </c>
      <c r="AO170" s="130"/>
      <c r="AP170" s="256"/>
      <c r="AQ170" s="171">
        <f t="shared" si="110"/>
        <v>0</v>
      </c>
      <c r="AR170" s="171">
        <f t="shared" si="111"/>
        <v>946000000</v>
      </c>
      <c r="AS170" s="171">
        <f t="shared" si="112"/>
        <v>0</v>
      </c>
      <c r="AT170" s="171">
        <f t="shared" si="113"/>
        <v>946000000</v>
      </c>
      <c r="AU170" s="250">
        <v>946000000</v>
      </c>
      <c r="AV170" s="250"/>
      <c r="AW170" s="250"/>
      <c r="AX170" s="250"/>
      <c r="AY170" s="250"/>
      <c r="AZ170" s="250"/>
      <c r="BA170" s="250"/>
      <c r="BB170" s="251">
        <f t="shared" si="114"/>
        <v>0</v>
      </c>
      <c r="BC170" s="169"/>
      <c r="BD170" s="169"/>
      <c r="BE170" s="169"/>
      <c r="BF170" s="169"/>
    </row>
    <row r="171" spans="1:58" ht="51.6" customHeight="1" outlineLevel="2" x14ac:dyDescent="0.25">
      <c r="A171" s="115"/>
      <c r="B171" s="200"/>
      <c r="C171" s="201"/>
      <c r="D171" s="343"/>
      <c r="E171" s="328"/>
      <c r="F171" s="328"/>
      <c r="G171" s="328"/>
      <c r="H171" s="213" t="s">
        <v>481</v>
      </c>
      <c r="I171" s="130"/>
      <c r="J171" s="126"/>
      <c r="K171" s="126"/>
      <c r="L171" s="125" t="str">
        <f>IF(I171&lt;&gt;0,((VLOOKUP(I171,'1. Standard_Cost'!$B$4:$D$11,2)+VLOOKUP(I171,'1. Standard_Cost'!$B$4:$D$11,3))*J171*K171),"0")</f>
        <v>0</v>
      </c>
      <c r="M171" s="125">
        <f>L171*'1. Standard_Cost'!$F$4</f>
        <v>0</v>
      </c>
      <c r="N171" s="126"/>
      <c r="O171" s="126"/>
      <c r="P171" s="126"/>
      <c r="Q171" s="126"/>
      <c r="R171" s="127">
        <f>'1. Standard_Cost'!$B$15*N171*P171</f>
        <v>0</v>
      </c>
      <c r="S171" s="127">
        <f>N171*O171*P171*'1. Standard_Cost'!$C$15</f>
        <v>0</v>
      </c>
      <c r="T171" s="127">
        <f>N171*P171*Q171*'1. Standard_Cost'!$D$15</f>
        <v>0</v>
      </c>
      <c r="U171" s="127">
        <f>N171*O171*'1. Standard_Cost'!$E$15</f>
        <v>0</v>
      </c>
      <c r="V171" s="126"/>
      <c r="W171" s="126"/>
      <c r="X171" s="126"/>
      <c r="Y171" s="127">
        <f>+V171*((X171*'1. Standard_Cost'!$B$19)+(W171*X171*'1. Standard_Cost'!$C$19))</f>
        <v>0</v>
      </c>
      <c r="Z171" s="126"/>
      <c r="AA171" s="126"/>
      <c r="AB171" s="127">
        <f>+Z171*'1. Standard_Cost'!$B$23+AA171*'1. Standard_Cost'!$C$23</f>
        <v>0</v>
      </c>
      <c r="AC171" s="128">
        <v>1790000000</v>
      </c>
      <c r="AD171" s="129"/>
      <c r="AE171" s="127">
        <f>0</f>
        <v>0</v>
      </c>
      <c r="AF171" s="127">
        <f t="shared" si="109"/>
        <v>1790000000</v>
      </c>
      <c r="AG171" s="126"/>
      <c r="AH171" s="126"/>
      <c r="AI171" s="126"/>
      <c r="AJ171" s="130"/>
      <c r="AK171" s="130"/>
      <c r="AL171" s="130"/>
      <c r="AM171" s="127">
        <f>AG171*'1. Standard_Cost'!$B$27+'Incremental_Cost Year 5'!AH171*'1. Standard_Cost'!$C$27+'Incremental_Cost Year 5'!AI171*'1. Standard_Cost'!$D$27+'Incremental_Cost Year 5'!AJ171+'Incremental_Cost Year 5'!AL171+AK171</f>
        <v>0</v>
      </c>
      <c r="AN171" s="127">
        <f>AM171*'1. Standard_Cost'!$C$31</f>
        <v>0</v>
      </c>
      <c r="AO171" s="130"/>
      <c r="AP171" s="256"/>
      <c r="AQ171" s="171">
        <f t="shared" si="110"/>
        <v>0</v>
      </c>
      <c r="AR171" s="171">
        <f t="shared" si="111"/>
        <v>1790000000</v>
      </c>
      <c r="AS171" s="171">
        <f t="shared" si="112"/>
        <v>0</v>
      </c>
      <c r="AT171" s="171">
        <f t="shared" si="113"/>
        <v>1790000000</v>
      </c>
      <c r="AU171" s="250">
        <v>1790000000</v>
      </c>
      <c r="AV171" s="250"/>
      <c r="AW171" s="250"/>
      <c r="AX171" s="250"/>
      <c r="AY171" s="250"/>
      <c r="AZ171" s="250"/>
      <c r="BA171" s="250"/>
      <c r="BB171" s="251">
        <f t="shared" si="114"/>
        <v>0</v>
      </c>
      <c r="BC171" s="169"/>
      <c r="BD171" s="169"/>
      <c r="BE171" s="169"/>
      <c r="BF171" s="169"/>
    </row>
    <row r="172" spans="1:58" ht="51.6" customHeight="1" outlineLevel="2" x14ac:dyDescent="0.25">
      <c r="A172" s="115"/>
      <c r="B172" s="200"/>
      <c r="C172" s="201"/>
      <c r="D172" s="343"/>
      <c r="E172" s="328"/>
      <c r="F172" s="328"/>
      <c r="G172" s="328"/>
      <c r="H172" s="213" t="s">
        <v>542</v>
      </c>
      <c r="I172" s="130"/>
      <c r="J172" s="126"/>
      <c r="K172" s="126"/>
      <c r="L172" s="125" t="str">
        <f>IF(I172&lt;&gt;0,((VLOOKUP(I172,'1. Standard_Cost'!$B$4:$D$11,2)+VLOOKUP(I172,'1. Standard_Cost'!$B$4:$D$11,3))*J172*K172),"0")</f>
        <v>0</v>
      </c>
      <c r="M172" s="125">
        <f>L172*'1. Standard_Cost'!$F$4</f>
        <v>0</v>
      </c>
      <c r="N172" s="126"/>
      <c r="O172" s="126"/>
      <c r="P172" s="126"/>
      <c r="Q172" s="126"/>
      <c r="R172" s="127">
        <f>'1. Standard_Cost'!$B$15*N172*P172</f>
        <v>0</v>
      </c>
      <c r="S172" s="127">
        <f>N172*O172*P172*'1. Standard_Cost'!$C$15</f>
        <v>0</v>
      </c>
      <c r="T172" s="127">
        <f>N172*P172*Q172*'1. Standard_Cost'!$D$15</f>
        <v>0</v>
      </c>
      <c r="U172" s="127">
        <f>N172*O172*'1. Standard_Cost'!$E$15</f>
        <v>0</v>
      </c>
      <c r="V172" s="126"/>
      <c r="W172" s="126"/>
      <c r="X172" s="126"/>
      <c r="Y172" s="127">
        <f>+V172*((X172*'1. Standard_Cost'!$B$19)+(W172*X172*'1. Standard_Cost'!$C$19))</f>
        <v>0</v>
      </c>
      <c r="Z172" s="126"/>
      <c r="AA172" s="126"/>
      <c r="AB172" s="127">
        <f>+Z172*'1. Standard_Cost'!$B$23+AA172*'1. Standard_Cost'!$C$23</f>
        <v>0</v>
      </c>
      <c r="AC172" s="128"/>
      <c r="AD172" s="129"/>
      <c r="AE172" s="127">
        <f>SUM(AD172,AC172,AB172,Y172,U172,T172,S172,R172)*'1. Standard_Cost'!$B$31</f>
        <v>0</v>
      </c>
      <c r="AF172" s="127">
        <f t="shared" si="109"/>
        <v>0</v>
      </c>
      <c r="AG172" s="126"/>
      <c r="AH172" s="126"/>
      <c r="AI172" s="126"/>
      <c r="AJ172" s="130">
        <v>434806000</v>
      </c>
      <c r="AK172" s="130"/>
      <c r="AL172" s="130"/>
      <c r="AM172" s="127">
        <f>AG172*'1. Standard_Cost'!$B$27+'Incremental_Cost Year 5'!AH172*'1. Standard_Cost'!$C$27+'Incremental_Cost Year 5'!AI172*'1. Standard_Cost'!$D$27+'Incremental_Cost Year 5'!AJ172+'Incremental_Cost Year 5'!AL172+AK172</f>
        <v>434806000</v>
      </c>
      <c r="AN172" s="127">
        <f>AM172*'1. Standard_Cost'!$C$31</f>
        <v>65220900</v>
      </c>
      <c r="AO172" s="130"/>
      <c r="AP172" s="256"/>
      <c r="AQ172" s="171">
        <f t="shared" si="110"/>
        <v>0</v>
      </c>
      <c r="AR172" s="171">
        <f t="shared" si="111"/>
        <v>0</v>
      </c>
      <c r="AS172" s="171">
        <f t="shared" si="112"/>
        <v>500026900</v>
      </c>
      <c r="AT172" s="171">
        <f t="shared" si="113"/>
        <v>500026900</v>
      </c>
      <c r="AU172" s="250">
        <v>434806000</v>
      </c>
      <c r="AV172" s="250"/>
      <c r="AW172" s="250"/>
      <c r="AX172" s="250"/>
      <c r="AY172" s="250"/>
      <c r="AZ172" s="250"/>
      <c r="BA172" s="250"/>
      <c r="BB172" s="251">
        <f t="shared" si="114"/>
        <v>-65220900</v>
      </c>
      <c r="BC172" s="169"/>
      <c r="BD172" s="169"/>
      <c r="BE172" s="169"/>
      <c r="BF172" s="169"/>
    </row>
    <row r="173" spans="1:58" ht="51.6" customHeight="1" outlineLevel="2" x14ac:dyDescent="0.25">
      <c r="A173" s="115"/>
      <c r="B173" s="200"/>
      <c r="C173" s="201"/>
      <c r="D173" s="343"/>
      <c r="E173" s="328"/>
      <c r="F173" s="328"/>
      <c r="G173" s="328"/>
      <c r="H173" s="213" t="s">
        <v>482</v>
      </c>
      <c r="I173" s="130" t="s">
        <v>5</v>
      </c>
      <c r="J173" s="126">
        <v>12</v>
      </c>
      <c r="K173" s="126">
        <v>59</v>
      </c>
      <c r="L173" s="125">
        <f>IF(I173&lt;&gt;0,((VLOOKUP(I173,'1. Standard_Cost'!$B$4:$D$11,2)+VLOOKUP(I173,'1. Standard_Cost'!$B$4:$D$11,3))*J173*K173),"0")</f>
        <v>50055600</v>
      </c>
      <c r="M173" s="125">
        <f>L173*'1. Standard_Cost'!$F$4</f>
        <v>8359285.2000000002</v>
      </c>
      <c r="N173" s="126"/>
      <c r="O173" s="126"/>
      <c r="P173" s="126"/>
      <c r="Q173" s="126"/>
      <c r="R173" s="127">
        <f>'1. Standard_Cost'!$B$15*N173*P173</f>
        <v>0</v>
      </c>
      <c r="S173" s="127">
        <f>N173*O173*P173*'1. Standard_Cost'!$C$15</f>
        <v>0</v>
      </c>
      <c r="T173" s="127">
        <f>N173*P173*Q173*'1. Standard_Cost'!$D$15</f>
        <v>0</v>
      </c>
      <c r="U173" s="127">
        <f>N173*O173*'1. Standard_Cost'!$E$15</f>
        <v>0</v>
      </c>
      <c r="V173" s="126"/>
      <c r="W173" s="126"/>
      <c r="X173" s="126"/>
      <c r="Y173" s="127">
        <f>+V173*((X173*'1. Standard_Cost'!$B$19)+(W173*X173*'1. Standard_Cost'!$C$19))</f>
        <v>0</v>
      </c>
      <c r="Z173" s="126"/>
      <c r="AA173" s="126"/>
      <c r="AB173" s="127">
        <f>+Z173*'1. Standard_Cost'!$B$23+AA173*'1. Standard_Cost'!$C$23</f>
        <v>0</v>
      </c>
      <c r="AC173" s="128">
        <v>436800000</v>
      </c>
      <c r="AD173" s="129"/>
      <c r="AE173" s="127">
        <f>0</f>
        <v>0</v>
      </c>
      <c r="AF173" s="127">
        <f t="shared" si="109"/>
        <v>436800000</v>
      </c>
      <c r="AG173" s="126"/>
      <c r="AH173" s="126"/>
      <c r="AI173" s="126"/>
      <c r="AJ173" s="130"/>
      <c r="AK173" s="130"/>
      <c r="AL173" s="130"/>
      <c r="AM173" s="127">
        <f>AG173*'1. Standard_Cost'!$B$27+'Incremental_Cost Year 5'!AH173*'1. Standard_Cost'!$C$27+'Incremental_Cost Year 5'!AI173*'1. Standard_Cost'!$D$27+'Incremental_Cost Year 5'!AJ173+'Incremental_Cost Year 5'!AL173+AK173</f>
        <v>0</v>
      </c>
      <c r="AN173" s="127">
        <f>AM173*'1. Standard_Cost'!$C$31</f>
        <v>0</v>
      </c>
      <c r="AO173" s="130"/>
      <c r="AP173" s="256"/>
      <c r="AQ173" s="171">
        <f t="shared" si="110"/>
        <v>58414885.200000003</v>
      </c>
      <c r="AR173" s="171">
        <f t="shared" si="111"/>
        <v>436800000</v>
      </c>
      <c r="AS173" s="171">
        <f t="shared" si="112"/>
        <v>0</v>
      </c>
      <c r="AT173" s="171">
        <f t="shared" si="113"/>
        <v>495214885.19999999</v>
      </c>
      <c r="AU173" s="250">
        <v>495214885.19999999</v>
      </c>
      <c r="AV173" s="250"/>
      <c r="AW173" s="250"/>
      <c r="AX173" s="250"/>
      <c r="AY173" s="250"/>
      <c r="AZ173" s="250"/>
      <c r="BA173" s="250"/>
      <c r="BB173" s="251">
        <f t="shared" si="114"/>
        <v>0</v>
      </c>
      <c r="BC173" s="169"/>
      <c r="BD173" s="169"/>
      <c r="BE173" s="169"/>
      <c r="BF173" s="169"/>
    </row>
    <row r="174" spans="1:58" ht="51.6" customHeight="1" outlineLevel="2" x14ac:dyDescent="0.25">
      <c r="A174" s="115"/>
      <c r="B174" s="200"/>
      <c r="C174" s="201"/>
      <c r="D174" s="343"/>
      <c r="E174" s="328"/>
      <c r="F174" s="328"/>
      <c r="G174" s="328"/>
      <c r="H174" s="199"/>
      <c r="I174" s="130"/>
      <c r="J174" s="126"/>
      <c r="K174" s="126"/>
      <c r="L174" s="125" t="str">
        <f>IF(I174&lt;&gt;0,((VLOOKUP(I174,'1. Standard_Cost'!$B$4:$D$11,2)+VLOOKUP(I174,'1. Standard_Cost'!$B$4:$D$11,3))*J174*K174),"0")</f>
        <v>0</v>
      </c>
      <c r="M174" s="125">
        <f>L174*'1. Standard_Cost'!$F$4</f>
        <v>0</v>
      </c>
      <c r="N174" s="126"/>
      <c r="O174" s="126"/>
      <c r="P174" s="126"/>
      <c r="Q174" s="126"/>
      <c r="R174" s="127">
        <f>'1. Standard_Cost'!$B$15*N174*P174</f>
        <v>0</v>
      </c>
      <c r="S174" s="127">
        <f>N174*O174*P174*'1. Standard_Cost'!$C$15</f>
        <v>0</v>
      </c>
      <c r="T174" s="127">
        <f>N174*P174*Q174*'1. Standard_Cost'!$D$15</f>
        <v>0</v>
      </c>
      <c r="U174" s="127">
        <f>N174*O174*'1. Standard_Cost'!$E$15</f>
        <v>0</v>
      </c>
      <c r="V174" s="126"/>
      <c r="W174" s="126"/>
      <c r="X174" s="126"/>
      <c r="Y174" s="127">
        <f>+V174*((X174*'1. Standard_Cost'!$B$19)+(W174*X174*'1. Standard_Cost'!$C$19))</f>
        <v>0</v>
      </c>
      <c r="Z174" s="126"/>
      <c r="AA174" s="126"/>
      <c r="AB174" s="127">
        <f>+Z174*'1. Standard_Cost'!$B$23+AA174*'1. Standard_Cost'!$C$23</f>
        <v>0</v>
      </c>
      <c r="AC174" s="128"/>
      <c r="AD174" s="129"/>
      <c r="AE174" s="127">
        <f>SUM(AD174,AC174,AB174,Y174,U174,T174,S174,R174)*'1. Standard_Cost'!$B$31</f>
        <v>0</v>
      </c>
      <c r="AF174" s="127">
        <f t="shared" si="109"/>
        <v>0</v>
      </c>
      <c r="AG174" s="126"/>
      <c r="AH174" s="126"/>
      <c r="AI174" s="126"/>
      <c r="AJ174" s="130"/>
      <c r="AK174" s="130"/>
      <c r="AL174" s="130"/>
      <c r="AM174" s="127">
        <f>AG174*'1. Standard_Cost'!$B$27+'Incremental_Cost Year 5'!AH174*'1. Standard_Cost'!$C$27+'Incremental_Cost Year 5'!AI174*'1. Standard_Cost'!$D$27+'Incremental_Cost Year 5'!AJ174+'Incremental_Cost Year 5'!AL174+AK174</f>
        <v>0</v>
      </c>
      <c r="AN174" s="127">
        <f>AM174*'1. Standard_Cost'!$C$31</f>
        <v>0</v>
      </c>
      <c r="AO174" s="130"/>
      <c r="AP174" s="256"/>
      <c r="AQ174" s="171">
        <f t="shared" si="110"/>
        <v>0</v>
      </c>
      <c r="AR174" s="171">
        <f t="shared" si="111"/>
        <v>0</v>
      </c>
      <c r="AS174" s="171">
        <f t="shared" si="112"/>
        <v>0</v>
      </c>
      <c r="AT174" s="171">
        <f t="shared" si="113"/>
        <v>0</v>
      </c>
      <c r="AU174" s="250"/>
      <c r="AV174" s="250"/>
      <c r="AW174" s="250"/>
      <c r="AX174" s="250"/>
      <c r="AY174" s="250"/>
      <c r="AZ174" s="250"/>
      <c r="BA174" s="250"/>
      <c r="BB174" s="251">
        <f t="shared" si="114"/>
        <v>0</v>
      </c>
      <c r="BC174" s="169"/>
      <c r="BD174" s="169"/>
      <c r="BE174" s="169"/>
      <c r="BF174" s="169"/>
    </row>
    <row r="175" spans="1:58" ht="51.6" customHeight="1" outlineLevel="2" x14ac:dyDescent="0.25">
      <c r="A175" s="115"/>
      <c r="B175" s="200"/>
      <c r="C175" s="201"/>
      <c r="D175" s="343"/>
      <c r="E175" s="328"/>
      <c r="F175" s="328"/>
      <c r="G175" s="328"/>
      <c r="H175" s="213" t="s">
        <v>483</v>
      </c>
      <c r="I175" s="130"/>
      <c r="J175" s="126"/>
      <c r="K175" s="126"/>
      <c r="L175" s="125" t="str">
        <f>IF(I175&lt;&gt;0,((VLOOKUP(I175,'1. Standard_Cost'!$B$4:$D$11,2)+VLOOKUP(I175,'1. Standard_Cost'!$B$4:$D$11,3))*J175*K175),"0")</f>
        <v>0</v>
      </c>
      <c r="M175" s="125">
        <f>L175*'1. Standard_Cost'!$F$4</f>
        <v>0</v>
      </c>
      <c r="N175" s="126"/>
      <c r="O175" s="126"/>
      <c r="P175" s="126"/>
      <c r="Q175" s="126"/>
      <c r="R175" s="127">
        <f>'1. Standard_Cost'!$B$15*N175*P175</f>
        <v>0</v>
      </c>
      <c r="S175" s="127">
        <f>N175*O175*P175*'1. Standard_Cost'!$C$15</f>
        <v>0</v>
      </c>
      <c r="T175" s="127">
        <f>N175*P175*Q175*'1. Standard_Cost'!$D$15</f>
        <v>0</v>
      </c>
      <c r="U175" s="127">
        <f>N175*O175*'1. Standard_Cost'!$E$15</f>
        <v>0</v>
      </c>
      <c r="V175" s="126"/>
      <c r="W175" s="126"/>
      <c r="X175" s="126"/>
      <c r="Y175" s="127">
        <f>+V175*((X175*'1. Standard_Cost'!$B$19)+(W175*X175*'1. Standard_Cost'!$C$19))</f>
        <v>0</v>
      </c>
      <c r="Z175" s="126"/>
      <c r="AA175" s="126"/>
      <c r="AB175" s="127">
        <f>+Z175*'1. Standard_Cost'!$B$23+AA175*'1. Standard_Cost'!$C$23</f>
        <v>0</v>
      </c>
      <c r="AC175" s="128"/>
      <c r="AD175" s="129"/>
      <c r="AE175" s="127">
        <f>SUM(AD175,AC175,AB175,Y175,U175,T175,S175,R175)*'1. Standard_Cost'!$B$31</f>
        <v>0</v>
      </c>
      <c r="AF175" s="127">
        <f t="shared" si="109"/>
        <v>0</v>
      </c>
      <c r="AG175" s="126"/>
      <c r="AH175" s="126"/>
      <c r="AI175" s="126"/>
      <c r="AJ175" s="130"/>
      <c r="AK175" s="130"/>
      <c r="AL175" s="130"/>
      <c r="AM175" s="127">
        <f>AG175*'1. Standard_Cost'!$B$27+'Incremental_Cost Year 5'!AH175*'1. Standard_Cost'!$C$27+'Incremental_Cost Year 5'!AI175*'1. Standard_Cost'!$D$27+'Incremental_Cost Year 5'!AJ175+'Incremental_Cost Year 5'!AL175+AK175</f>
        <v>0</v>
      </c>
      <c r="AN175" s="127">
        <f>AM175*'1. Standard_Cost'!$C$31</f>
        <v>0</v>
      </c>
      <c r="AO175" s="130"/>
      <c r="AP175" s="256"/>
      <c r="AQ175" s="171">
        <f t="shared" si="110"/>
        <v>0</v>
      </c>
      <c r="AR175" s="171">
        <f t="shared" si="111"/>
        <v>0</v>
      </c>
      <c r="AS175" s="171">
        <f t="shared" si="112"/>
        <v>0</v>
      </c>
      <c r="AT175" s="171">
        <f t="shared" si="113"/>
        <v>0</v>
      </c>
      <c r="AU175" s="250"/>
      <c r="AV175" s="250"/>
      <c r="AW175" s="250"/>
      <c r="AX175" s="250"/>
      <c r="AY175" s="250"/>
      <c r="AZ175" s="250"/>
      <c r="BA175" s="250"/>
      <c r="BB175" s="251">
        <f t="shared" si="114"/>
        <v>0</v>
      </c>
      <c r="BC175" s="169"/>
      <c r="BD175" s="169"/>
      <c r="BE175" s="169"/>
      <c r="BF175" s="169"/>
    </row>
    <row r="176" spans="1:58" ht="51.6" customHeight="1" outlineLevel="2" x14ac:dyDescent="0.25">
      <c r="A176" s="115"/>
      <c r="B176" s="200"/>
      <c r="C176" s="201"/>
      <c r="D176" s="343"/>
      <c r="E176" s="328"/>
      <c r="F176" s="328"/>
      <c r="G176" s="328"/>
      <c r="H176" s="199" t="s">
        <v>484</v>
      </c>
      <c r="I176" s="130" t="s">
        <v>1</v>
      </c>
      <c r="J176" s="126">
        <v>2</v>
      </c>
      <c r="K176" s="126">
        <v>7</v>
      </c>
      <c r="L176" s="125">
        <f>IF(I176&lt;&gt;0,((VLOOKUP(I176,'1. Standard_Cost'!$B$4:$D$11,2)+VLOOKUP(I176,'1. Standard_Cost'!$B$4:$D$11,3))*J176*K176),"0")</f>
        <v>1005100</v>
      </c>
      <c r="M176" s="125">
        <f>L176*'1. Standard_Cost'!$F$4</f>
        <v>167851.7</v>
      </c>
      <c r="N176" s="126"/>
      <c r="O176" s="126"/>
      <c r="P176" s="126"/>
      <c r="Q176" s="126"/>
      <c r="R176" s="127">
        <f>'1. Standard_Cost'!$B$15*N176*P176</f>
        <v>0</v>
      </c>
      <c r="S176" s="127">
        <f>N176*O176*P176*'1. Standard_Cost'!$C$15</f>
        <v>0</v>
      </c>
      <c r="T176" s="127">
        <f>N176*P176*Q176*'1. Standard_Cost'!$D$15</f>
        <v>0</v>
      </c>
      <c r="U176" s="127">
        <f>N176*O176*'1. Standard_Cost'!$E$15</f>
        <v>0</v>
      </c>
      <c r="V176" s="126"/>
      <c r="W176" s="126"/>
      <c r="X176" s="126"/>
      <c r="Y176" s="127">
        <f>+V176*((X176*'1. Standard_Cost'!$B$19)+(W176*X176*'1. Standard_Cost'!$C$19))</f>
        <v>0</v>
      </c>
      <c r="Z176" s="126"/>
      <c r="AA176" s="126"/>
      <c r="AB176" s="127">
        <f>+Z176*'1. Standard_Cost'!$B$23+AA176*'1. Standard_Cost'!$C$23</f>
        <v>0</v>
      </c>
      <c r="AC176" s="128">
        <v>140755</v>
      </c>
      <c r="AD176" s="129"/>
      <c r="AE176" s="127">
        <f>SUM(AD176,AC176,AB176,Y176,U176,T176,S176,R176)*'1. Standard_Cost'!$B$31</f>
        <v>28151</v>
      </c>
      <c r="AF176" s="127">
        <f t="shared" si="109"/>
        <v>168906</v>
      </c>
      <c r="AG176" s="126"/>
      <c r="AH176" s="126"/>
      <c r="AI176" s="126"/>
      <c r="AJ176" s="130"/>
      <c r="AK176" s="130"/>
      <c r="AL176" s="130"/>
      <c r="AM176" s="127">
        <f>AG176*'1. Standard_Cost'!$B$27+'Incremental_Cost Year 5'!AH176*'1. Standard_Cost'!$C$27+'Incremental_Cost Year 5'!AI176*'1. Standard_Cost'!$D$27+'Incremental_Cost Year 5'!AJ176+'Incremental_Cost Year 5'!AL176+AK176</f>
        <v>0</v>
      </c>
      <c r="AN176" s="127">
        <f>AM176*'1. Standard_Cost'!$C$31</f>
        <v>0</v>
      </c>
      <c r="AO176" s="130"/>
      <c r="AP176" s="256"/>
      <c r="AQ176" s="171">
        <f t="shared" si="110"/>
        <v>1172951.7</v>
      </c>
      <c r="AR176" s="171">
        <f t="shared" si="111"/>
        <v>168906</v>
      </c>
      <c r="AS176" s="171">
        <f t="shared" si="112"/>
        <v>0</v>
      </c>
      <c r="AT176" s="171">
        <f t="shared" si="113"/>
        <v>1341857.7</v>
      </c>
      <c r="AU176" s="250">
        <v>1341858</v>
      </c>
      <c r="AV176" s="250"/>
      <c r="AW176" s="250"/>
      <c r="AX176" s="250"/>
      <c r="AY176" s="250"/>
      <c r="AZ176" s="250"/>
      <c r="BA176" s="250"/>
      <c r="BB176" s="251">
        <f t="shared" si="114"/>
        <v>0.30000000004656613</v>
      </c>
      <c r="BC176" s="169"/>
      <c r="BD176" s="169"/>
      <c r="BE176" s="169"/>
      <c r="BF176" s="169"/>
    </row>
    <row r="177" spans="1:58" ht="51.6" customHeight="1" outlineLevel="2" x14ac:dyDescent="0.25">
      <c r="A177" s="115"/>
      <c r="B177" s="200"/>
      <c r="C177" s="201"/>
      <c r="D177" s="344"/>
      <c r="E177" s="328"/>
      <c r="F177" s="328"/>
      <c r="G177" s="328"/>
      <c r="H177" s="231" t="s">
        <v>235</v>
      </c>
      <c r="I177" s="130"/>
      <c r="J177" s="126"/>
      <c r="K177" s="126"/>
      <c r="L177" s="125" t="str">
        <f>IF(I177&lt;&gt;0,((VLOOKUP(I177,'1. Standard_Cost'!$B$4:$D$11,2)+VLOOKUP(I177,'1. Standard_Cost'!$B$4:$D$11,3))*J177*K177),"0")</f>
        <v>0</v>
      </c>
      <c r="M177" s="125">
        <f>L177*'1. Standard_Cost'!$F$4</f>
        <v>0</v>
      </c>
      <c r="N177" s="126"/>
      <c r="O177" s="126"/>
      <c r="P177" s="126"/>
      <c r="Q177" s="126"/>
      <c r="R177" s="127">
        <f>'1. Standard_Cost'!$B$15*N177*P177</f>
        <v>0</v>
      </c>
      <c r="S177" s="127">
        <f>N177*O177*P177*'1. Standard_Cost'!$C$15</f>
        <v>0</v>
      </c>
      <c r="T177" s="127">
        <f>N177*P177*Q177*'1. Standard_Cost'!$D$15</f>
        <v>0</v>
      </c>
      <c r="U177" s="127">
        <f>N177*O177*'1. Standard_Cost'!$E$15</f>
        <v>0</v>
      </c>
      <c r="V177" s="126"/>
      <c r="W177" s="126"/>
      <c r="X177" s="126"/>
      <c r="Y177" s="127">
        <f>+V177*((X177*'1. Standard_Cost'!$B$19)+(W177*X177*'1. Standard_Cost'!$C$19))</f>
        <v>0</v>
      </c>
      <c r="Z177" s="126"/>
      <c r="AA177" s="126"/>
      <c r="AB177" s="127">
        <f>+Z177*'1. Standard_Cost'!$B$23+AA177*'1. Standard_Cost'!$C$23</f>
        <v>0</v>
      </c>
      <c r="AC177" s="128">
        <v>20000000</v>
      </c>
      <c r="AD177" s="129"/>
      <c r="AE177" s="127">
        <f>0</f>
        <v>0</v>
      </c>
      <c r="AF177" s="127">
        <f t="shared" si="109"/>
        <v>20000000</v>
      </c>
      <c r="AG177" s="126"/>
      <c r="AH177" s="126"/>
      <c r="AI177" s="126"/>
      <c r="AJ177" s="130"/>
      <c r="AK177" s="130"/>
      <c r="AL177" s="130"/>
      <c r="AM177" s="127">
        <f>AG177*'1. Standard_Cost'!$B$27+'Incremental_Cost Year 5'!AH177*'1. Standard_Cost'!$C$27+'Incremental_Cost Year 5'!AI177*'1. Standard_Cost'!$D$27+'Incremental_Cost Year 5'!AJ177+'Incremental_Cost Year 5'!AL177+AK177</f>
        <v>0</v>
      </c>
      <c r="AN177" s="127">
        <f>AM177*'1. Standard_Cost'!$C$31</f>
        <v>0</v>
      </c>
      <c r="AO177" s="130"/>
      <c r="AP177" s="256"/>
      <c r="AQ177" s="171">
        <f t="shared" si="110"/>
        <v>0</v>
      </c>
      <c r="AR177" s="171">
        <f t="shared" si="111"/>
        <v>20000000</v>
      </c>
      <c r="AS177" s="171">
        <f t="shared" si="112"/>
        <v>0</v>
      </c>
      <c r="AT177" s="171">
        <f t="shared" si="113"/>
        <v>20000000</v>
      </c>
      <c r="AU177" s="250">
        <v>20000000</v>
      </c>
      <c r="AV177" s="250"/>
      <c r="AW177" s="250"/>
      <c r="AX177" s="250"/>
      <c r="AY177" s="250"/>
      <c r="AZ177" s="250"/>
      <c r="BA177" s="250"/>
      <c r="BB177" s="251">
        <f t="shared" si="114"/>
        <v>0</v>
      </c>
      <c r="BC177" s="169"/>
      <c r="BD177" s="169"/>
      <c r="BE177" s="169"/>
      <c r="BF177" s="169"/>
    </row>
    <row r="178" spans="1:58" ht="51.6" customHeight="1" outlineLevel="2" x14ac:dyDescent="0.25">
      <c r="A178" s="115"/>
      <c r="B178" s="165"/>
      <c r="C178" s="166"/>
      <c r="D178" s="150" t="s">
        <v>485</v>
      </c>
      <c r="E178" s="212" t="s">
        <v>486</v>
      </c>
      <c r="F178" s="106">
        <v>2021</v>
      </c>
      <c r="G178" s="104">
        <v>2030</v>
      </c>
      <c r="H178" s="110" t="s">
        <v>181</v>
      </c>
      <c r="I178" s="252"/>
      <c r="J178" s="252"/>
      <c r="K178" s="252"/>
      <c r="L178" s="127">
        <f>SUM(L169:L177)</f>
        <v>51060700</v>
      </c>
      <c r="M178" s="127">
        <f>SUM(M169:M177)</f>
        <v>8527136.9000000004</v>
      </c>
      <c r="N178" s="252"/>
      <c r="O178" s="252"/>
      <c r="P178" s="252"/>
      <c r="Q178" s="252"/>
      <c r="R178" s="127">
        <f>SUM(R169:R177)</f>
        <v>0</v>
      </c>
      <c r="S178" s="127">
        <f>SUM(S169:S177)</f>
        <v>0</v>
      </c>
      <c r="T178" s="127">
        <f>SUM(T169:T177)</f>
        <v>0</v>
      </c>
      <c r="U178" s="127">
        <f>SUM(U169:U177)</f>
        <v>0</v>
      </c>
      <c r="V178" s="252"/>
      <c r="W178" s="252"/>
      <c r="X178" s="252"/>
      <c r="Y178" s="127">
        <f>SUM(Y169:Y177)</f>
        <v>0</v>
      </c>
      <c r="Z178" s="127"/>
      <c r="AA178" s="252"/>
      <c r="AB178" s="127">
        <f>SUM(AB169:AB177)</f>
        <v>0</v>
      </c>
      <c r="AC178" s="127">
        <f>SUM(AC169:AC177)</f>
        <v>4513163755</v>
      </c>
      <c r="AD178" s="127">
        <f>SUM(AD169:AD177)</f>
        <v>0</v>
      </c>
      <c r="AE178" s="127">
        <f>SUM(AE169:AE177)</f>
        <v>28151</v>
      </c>
      <c r="AF178" s="127">
        <f>SUM(AF169:AF177)</f>
        <v>4513191906</v>
      </c>
      <c r="AG178" s="252"/>
      <c r="AH178" s="252"/>
      <c r="AI178" s="252"/>
      <c r="AJ178" s="127">
        <f>SUM(AJ169:AJ177)</f>
        <v>434806000</v>
      </c>
      <c r="AK178" s="127">
        <f>SUM(AK169:AK177)</f>
        <v>0</v>
      </c>
      <c r="AL178" s="127">
        <f>SUM(AL169:AL177)</f>
        <v>0</v>
      </c>
      <c r="AM178" s="127">
        <f>SUM(AM169:AM177)</f>
        <v>434806000</v>
      </c>
      <c r="AN178" s="127">
        <f>SUM(AN169:AN177)</f>
        <v>65220900</v>
      </c>
      <c r="AO178" s="253"/>
      <c r="AP178" s="254"/>
      <c r="AQ178" s="175">
        <f>SUM(AQ169:AQ177)</f>
        <v>59587836.900000006</v>
      </c>
      <c r="AR178" s="175">
        <f>SUM(AR169:AR177)</f>
        <v>4513191906</v>
      </c>
      <c r="AS178" s="175">
        <f>SUM(AS169:AS177)</f>
        <v>500026900</v>
      </c>
      <c r="AT178" s="175">
        <f>SUM(AT169:AT177)</f>
        <v>5072806642.8999996</v>
      </c>
      <c r="AU178" s="175">
        <f t="shared" ref="AU178:BA178" si="115">SUM(AU169:AU177)</f>
        <v>5007585743.1999998</v>
      </c>
      <c r="AV178" s="175">
        <f t="shared" si="115"/>
        <v>0</v>
      </c>
      <c r="AW178" s="175">
        <f t="shared" si="115"/>
        <v>0</v>
      </c>
      <c r="AX178" s="175">
        <f t="shared" si="115"/>
        <v>0</v>
      </c>
      <c r="AY178" s="175">
        <f t="shared" si="115"/>
        <v>0</v>
      </c>
      <c r="AZ178" s="175">
        <f t="shared" si="115"/>
        <v>0</v>
      </c>
      <c r="BA178" s="175">
        <f t="shared" si="115"/>
        <v>0</v>
      </c>
      <c r="BB178" s="175">
        <f>SUM(BB169:BB177)</f>
        <v>-65220899.700000003</v>
      </c>
      <c r="BC178" s="169"/>
      <c r="BD178" s="169"/>
      <c r="BE178" s="169"/>
      <c r="BF178" s="169"/>
    </row>
    <row r="179" spans="1:58" ht="51.6" customHeight="1" outlineLevel="2" x14ac:dyDescent="0.25">
      <c r="A179" s="115"/>
      <c r="B179" s="200"/>
      <c r="C179" s="201"/>
      <c r="D179" s="210"/>
      <c r="E179" s="328"/>
      <c r="F179" s="328"/>
      <c r="G179" s="328"/>
      <c r="H179" s="199" t="s">
        <v>487</v>
      </c>
      <c r="I179" s="130"/>
      <c r="J179" s="126"/>
      <c r="K179" s="126"/>
      <c r="L179" s="125" t="str">
        <f>IF(I179&lt;&gt;0,((VLOOKUP(I179,'1. Standard_Cost'!$B$4:$D$11,2)+VLOOKUP(I179,'1. Standard_Cost'!$B$4:$D$11,3))*J179*K179),"0")</f>
        <v>0</v>
      </c>
      <c r="M179" s="125">
        <f>L179*'1. Standard_Cost'!$F$4</f>
        <v>0</v>
      </c>
      <c r="N179" s="126"/>
      <c r="O179" s="126"/>
      <c r="P179" s="126"/>
      <c r="Q179" s="126"/>
      <c r="R179" s="127">
        <f>'1. Standard_Cost'!$B$15*N179*P179</f>
        <v>0</v>
      </c>
      <c r="S179" s="127">
        <f>N179*O179*P179*'1. Standard_Cost'!$C$15</f>
        <v>0</v>
      </c>
      <c r="T179" s="127">
        <f>N179*P179*Q179*'1. Standard_Cost'!$D$15</f>
        <v>0</v>
      </c>
      <c r="U179" s="127">
        <f>N179*O179*'1. Standard_Cost'!$E$15</f>
        <v>0</v>
      </c>
      <c r="V179" s="126"/>
      <c r="W179" s="126"/>
      <c r="X179" s="126"/>
      <c r="Y179" s="127">
        <f>+V179*((X179*'1. Standard_Cost'!$B$19)+(W179*X179*'1. Standard_Cost'!$C$19))</f>
        <v>0</v>
      </c>
      <c r="Z179" s="126"/>
      <c r="AA179" s="126"/>
      <c r="AB179" s="127">
        <f>+Z179*'1. Standard_Cost'!$B$23+AA179*'1. Standard_Cost'!$C$23</f>
        <v>0</v>
      </c>
      <c r="AC179" s="128"/>
      <c r="AD179" s="129"/>
      <c r="AE179" s="127">
        <f>SUM(AD179,AC179,AB179,Y179,U179,T179,S179,R179)*'1. Standard_Cost'!$B$31</f>
        <v>0</v>
      </c>
      <c r="AF179" s="127">
        <f>SUM(AE179,AD179,AC179,AB179,Y179,U179,T179,S179,R179)</f>
        <v>0</v>
      </c>
      <c r="AG179" s="126"/>
      <c r="AH179" s="126"/>
      <c r="AI179" s="126"/>
      <c r="AJ179" s="130"/>
      <c r="AK179" s="130"/>
      <c r="AL179" s="130"/>
      <c r="AM179" s="127">
        <f>AG179*'1. Standard_Cost'!$B$27+'Incremental_Cost Year 5'!AH179*'1. Standard_Cost'!$C$27+'Incremental_Cost Year 5'!AI179*'1. Standard_Cost'!$D$27+'Incremental_Cost Year 5'!AJ179+'Incremental_Cost Year 5'!AL179+AK179</f>
        <v>0</v>
      </c>
      <c r="AN179" s="127">
        <f>AM179*'1. Standard_Cost'!$C$31</f>
        <v>0</v>
      </c>
      <c r="AO179" s="130"/>
      <c r="AP179" s="256"/>
      <c r="AQ179" s="171">
        <f>L179+M179</f>
        <v>0</v>
      </c>
      <c r="AR179" s="171">
        <f>AF179</f>
        <v>0</v>
      </c>
      <c r="AS179" s="171">
        <f>AM179+AN179</f>
        <v>0</v>
      </c>
      <c r="AT179" s="171">
        <f>SUM(AQ179,AR179,AS179)</f>
        <v>0</v>
      </c>
      <c r="AU179" s="250"/>
      <c r="AV179" s="250"/>
      <c r="AW179" s="250"/>
      <c r="AX179" s="250"/>
      <c r="AY179" s="250"/>
      <c r="AZ179" s="250"/>
      <c r="BA179" s="250"/>
      <c r="BB179" s="251">
        <f t="shared" ref="BB179:BB180" si="116">SUM(AU179:BA179)-AT179</f>
        <v>0</v>
      </c>
      <c r="BC179" s="169"/>
      <c r="BD179" s="169"/>
      <c r="BE179" s="169"/>
      <c r="BF179" s="169"/>
    </row>
    <row r="180" spans="1:58" ht="51.6" customHeight="1" outlineLevel="2" x14ac:dyDescent="0.25">
      <c r="A180" s="115"/>
      <c r="B180" s="200"/>
      <c r="C180" s="201"/>
      <c r="D180" s="211"/>
      <c r="E180" s="328"/>
      <c r="F180" s="328"/>
      <c r="G180" s="328"/>
      <c r="H180" s="213" t="s">
        <v>488</v>
      </c>
      <c r="I180" s="130"/>
      <c r="J180" s="126"/>
      <c r="K180" s="126"/>
      <c r="L180" s="125" t="str">
        <f>IF(I180&lt;&gt;0,((VLOOKUP(I180,'1. Standard_Cost'!$B$4:$D$11,2)+VLOOKUP(I180,'1. Standard_Cost'!$B$4:$D$11,3))*J180*K180),"0")</f>
        <v>0</v>
      </c>
      <c r="M180" s="125">
        <f>L180*'1. Standard_Cost'!$F$4</f>
        <v>0</v>
      </c>
      <c r="N180" s="126"/>
      <c r="O180" s="126"/>
      <c r="P180" s="126"/>
      <c r="Q180" s="126"/>
      <c r="R180" s="127">
        <f>'1. Standard_Cost'!$B$15*N180*P180</f>
        <v>0</v>
      </c>
      <c r="S180" s="127">
        <f>N180*O180*P180*'1. Standard_Cost'!$C$15</f>
        <v>0</v>
      </c>
      <c r="T180" s="127">
        <f>N180*P180*Q180*'1. Standard_Cost'!$D$15</f>
        <v>0</v>
      </c>
      <c r="U180" s="127">
        <f>N180*O180*'1. Standard_Cost'!$E$15</f>
        <v>0</v>
      </c>
      <c r="V180" s="126"/>
      <c r="W180" s="126"/>
      <c r="X180" s="126"/>
      <c r="Y180" s="127">
        <f>+V180*((X180*'1. Standard_Cost'!$B$19)+(W180*X180*'1. Standard_Cost'!$C$19))</f>
        <v>0</v>
      </c>
      <c r="Z180" s="126"/>
      <c r="AA180" s="126"/>
      <c r="AB180" s="127">
        <f>+Z180*'1. Standard_Cost'!$B$23+AA180*'1. Standard_Cost'!$C$23</f>
        <v>0</v>
      </c>
      <c r="AC180" s="128"/>
      <c r="AD180" s="129"/>
      <c r="AE180" s="127">
        <f>SUM(AD180,AC180,AB180,Y180,U180,T180,S180,R180)*'1. Standard_Cost'!$B$31</f>
        <v>0</v>
      </c>
      <c r="AF180" s="127">
        <f>SUM(AE180,AD180,AC180,AB180,Y180,U180,T180,S180,R180)</f>
        <v>0</v>
      </c>
      <c r="AG180" s="126"/>
      <c r="AH180" s="126"/>
      <c r="AI180" s="126"/>
      <c r="AJ180" s="130"/>
      <c r="AK180" s="130"/>
      <c r="AL180" s="130"/>
      <c r="AM180" s="127">
        <f>AG180*'1. Standard_Cost'!$B$27+'Incremental_Cost Year 5'!AH180*'1. Standard_Cost'!$C$27+'Incremental_Cost Year 5'!AI180*'1. Standard_Cost'!$D$27+'Incremental_Cost Year 5'!AJ180+'Incremental_Cost Year 5'!AL180+AK180</f>
        <v>0</v>
      </c>
      <c r="AN180" s="127">
        <f>AM180*'1. Standard_Cost'!$C$31</f>
        <v>0</v>
      </c>
      <c r="AO180" s="130"/>
      <c r="AP180" s="256"/>
      <c r="AQ180" s="171">
        <f>L180+M180</f>
        <v>0</v>
      </c>
      <c r="AR180" s="171">
        <f>AF180</f>
        <v>0</v>
      </c>
      <c r="AS180" s="171">
        <f>AM180+AN180</f>
        <v>0</v>
      </c>
      <c r="AT180" s="171">
        <f>SUM(AQ180,AR180,AS180)</f>
        <v>0</v>
      </c>
      <c r="AU180" s="250"/>
      <c r="AV180" s="250"/>
      <c r="AW180" s="250"/>
      <c r="AX180" s="250"/>
      <c r="AY180" s="250"/>
      <c r="AZ180" s="250"/>
      <c r="BA180" s="250"/>
      <c r="BB180" s="251">
        <f t="shared" si="116"/>
        <v>0</v>
      </c>
      <c r="BC180" s="169"/>
      <c r="BD180" s="169"/>
      <c r="BE180" s="169"/>
      <c r="BF180" s="169"/>
    </row>
    <row r="181" spans="1:58" ht="51.6" customHeight="1" outlineLevel="2" x14ac:dyDescent="0.25">
      <c r="A181" s="115"/>
      <c r="B181" s="165"/>
      <c r="C181" s="166"/>
      <c r="D181" s="110" t="s">
        <v>489</v>
      </c>
      <c r="E181" s="139" t="s">
        <v>490</v>
      </c>
      <c r="F181" s="104">
        <v>2022</v>
      </c>
      <c r="G181" s="104">
        <v>2025</v>
      </c>
      <c r="H181" s="150" t="s">
        <v>236</v>
      </c>
      <c r="I181" s="252"/>
      <c r="J181" s="252"/>
      <c r="K181" s="252"/>
      <c r="L181" s="127">
        <f>SUM(L179:L180)</f>
        <v>0</v>
      </c>
      <c r="M181" s="127">
        <f>SUM(M179:M180)</f>
        <v>0</v>
      </c>
      <c r="N181" s="252"/>
      <c r="O181" s="252"/>
      <c r="P181" s="252"/>
      <c r="Q181" s="252"/>
      <c r="R181" s="127">
        <f>SUM(R179:R180)</f>
        <v>0</v>
      </c>
      <c r="S181" s="127">
        <f>SUM(S179:S180)</f>
        <v>0</v>
      </c>
      <c r="T181" s="127">
        <f>SUM(T179:T180)</f>
        <v>0</v>
      </c>
      <c r="U181" s="127">
        <f>SUM(U179:U180)</f>
        <v>0</v>
      </c>
      <c r="V181" s="252"/>
      <c r="W181" s="252"/>
      <c r="X181" s="252"/>
      <c r="Y181" s="127">
        <f>SUM(Y179:Y180)</f>
        <v>0</v>
      </c>
      <c r="Z181" s="127"/>
      <c r="AA181" s="252"/>
      <c r="AB181" s="127">
        <f>SUM(AB179:AB180)</f>
        <v>0</v>
      </c>
      <c r="AC181" s="127">
        <f>SUM(AC179:AC180)</f>
        <v>0</v>
      </c>
      <c r="AD181" s="127">
        <f>SUM(AD179:AD180)</f>
        <v>0</v>
      </c>
      <c r="AE181" s="127">
        <f>SUM(AE179:AE180)</f>
        <v>0</v>
      </c>
      <c r="AF181" s="127">
        <f>SUM(AF179:AF180)</f>
        <v>0</v>
      </c>
      <c r="AG181" s="252"/>
      <c r="AH181" s="252"/>
      <c r="AI181" s="252"/>
      <c r="AJ181" s="127">
        <f>SUM(AJ179:AJ180)</f>
        <v>0</v>
      </c>
      <c r="AK181" s="127">
        <f>SUM(AK179:AK180)</f>
        <v>0</v>
      </c>
      <c r="AL181" s="127">
        <f>SUM(AL179:AL180)</f>
        <v>0</v>
      </c>
      <c r="AM181" s="127">
        <f>SUM(AM179:AM180)</f>
        <v>0</v>
      </c>
      <c r="AN181" s="127">
        <f>SUM(AN179:AN180)</f>
        <v>0</v>
      </c>
      <c r="AO181" s="253"/>
      <c r="AP181" s="254"/>
      <c r="AQ181" s="175">
        <f>SUM(AQ179:AQ180)</f>
        <v>0</v>
      </c>
      <c r="AR181" s="175">
        <f>SUM(AR179:AR180)</f>
        <v>0</v>
      </c>
      <c r="AS181" s="175">
        <f>SUM(AS179:AS180)</f>
        <v>0</v>
      </c>
      <c r="AT181" s="175">
        <f>SUM(AT179:AT180)</f>
        <v>0</v>
      </c>
      <c r="AU181" s="175">
        <f t="shared" ref="AU181:BB181" si="117">SUM(AU179:AU180)</f>
        <v>0</v>
      </c>
      <c r="AV181" s="175">
        <f t="shared" si="117"/>
        <v>0</v>
      </c>
      <c r="AW181" s="175">
        <f t="shared" si="117"/>
        <v>0</v>
      </c>
      <c r="AX181" s="175">
        <f t="shared" si="117"/>
        <v>0</v>
      </c>
      <c r="AY181" s="175">
        <f t="shared" si="117"/>
        <v>0</v>
      </c>
      <c r="AZ181" s="175">
        <f t="shared" si="117"/>
        <v>0</v>
      </c>
      <c r="BA181" s="175">
        <f t="shared" si="117"/>
        <v>0</v>
      </c>
      <c r="BB181" s="175">
        <f t="shared" si="117"/>
        <v>0</v>
      </c>
      <c r="BC181" s="169"/>
      <c r="BD181" s="169"/>
      <c r="BE181" s="169"/>
      <c r="BF181" s="169"/>
    </row>
    <row r="182" spans="1:58" ht="51.6" customHeight="1" outlineLevel="2" x14ac:dyDescent="0.25">
      <c r="A182" s="143"/>
      <c r="B182" s="290"/>
      <c r="C182" s="391" t="s">
        <v>237</v>
      </c>
      <c r="D182" s="391"/>
      <c r="E182" s="392"/>
      <c r="F182" s="287"/>
      <c r="G182" s="289"/>
      <c r="H182" s="144" t="s">
        <v>182</v>
      </c>
      <c r="I182" s="257"/>
      <c r="J182" s="257"/>
      <c r="K182" s="257"/>
      <c r="L182" s="258">
        <f>L190+L193+L196</f>
        <v>10794539632.44216</v>
      </c>
      <c r="M182" s="258">
        <f>M190+M193+M196</f>
        <v>1802688118.6178405</v>
      </c>
      <c r="N182" s="257"/>
      <c r="O182" s="257"/>
      <c r="P182" s="257"/>
      <c r="Q182" s="257"/>
      <c r="R182" s="258">
        <f>R190+R193+R196</f>
        <v>40000</v>
      </c>
      <c r="S182" s="258">
        <f>S190+S193+S196</f>
        <v>30000</v>
      </c>
      <c r="T182" s="258">
        <f>T190+T193+T196</f>
        <v>0</v>
      </c>
      <c r="U182" s="258">
        <f>U190+U193+U196</f>
        <v>40000</v>
      </c>
      <c r="V182" s="257"/>
      <c r="W182" s="257"/>
      <c r="X182" s="257"/>
      <c r="Y182" s="258">
        <f>Y190+Y193+Y196</f>
        <v>0</v>
      </c>
      <c r="Z182" s="258"/>
      <c r="AA182" s="258"/>
      <c r="AB182" s="258">
        <f>AB190+AB193+AB196</f>
        <v>0</v>
      </c>
      <c r="AC182" s="258">
        <f>AC190+AC193+AC196</f>
        <v>9207206000</v>
      </c>
      <c r="AD182" s="258">
        <f>AD190+AD193+AD196</f>
        <v>0</v>
      </c>
      <c r="AE182" s="258">
        <f>AE190+AE193+AE196</f>
        <v>1840074000</v>
      </c>
      <c r="AF182" s="258">
        <f>AF190+AF193+AF196</f>
        <v>11047390000</v>
      </c>
      <c r="AG182" s="257"/>
      <c r="AH182" s="257"/>
      <c r="AI182" s="257"/>
      <c r="AJ182" s="258">
        <f>AJ190+AJ193+AJ196</f>
        <v>0</v>
      </c>
      <c r="AK182" s="258">
        <f>AK190+AK193+AK196</f>
        <v>0</v>
      </c>
      <c r="AL182" s="258">
        <f>AL190+AL193+AL196</f>
        <v>0</v>
      </c>
      <c r="AM182" s="258">
        <f>AM190+AM193+AM196</f>
        <v>0</v>
      </c>
      <c r="AN182" s="258">
        <f>AN190+AN193+AN196</f>
        <v>0</v>
      </c>
      <c r="AO182" s="259"/>
      <c r="AP182" s="260"/>
      <c r="AQ182" s="261">
        <f>AQ190+AQ193+AQ196</f>
        <v>12597227751.060001</v>
      </c>
      <c r="AR182" s="261">
        <f>AR190+AR193+AR196</f>
        <v>11047390000</v>
      </c>
      <c r="AS182" s="261">
        <f>AS190+AS193+AS196</f>
        <v>0</v>
      </c>
      <c r="AT182" s="261">
        <f>AT190+AT193+AT196</f>
        <v>23644617751.059998</v>
      </c>
      <c r="AU182" s="261">
        <f t="shared" ref="AU182:BA182" si="118">AU190+AU193+AU196</f>
        <v>21844569752</v>
      </c>
      <c r="AV182" s="261">
        <f t="shared" si="118"/>
        <v>0</v>
      </c>
      <c r="AW182" s="261">
        <f t="shared" si="118"/>
        <v>0</v>
      </c>
      <c r="AX182" s="261">
        <f t="shared" si="118"/>
        <v>0</v>
      </c>
      <c r="AY182" s="261">
        <f t="shared" si="118"/>
        <v>0</v>
      </c>
      <c r="AZ182" s="261">
        <f t="shared" si="118"/>
        <v>0</v>
      </c>
      <c r="BA182" s="261">
        <f t="shared" si="118"/>
        <v>0</v>
      </c>
      <c r="BB182" s="261">
        <f>BB190+BB193+BB196</f>
        <v>-1800047999.0599983</v>
      </c>
      <c r="BC182" s="184"/>
      <c r="BD182" s="184"/>
      <c r="BE182" s="184"/>
      <c r="BF182" s="184"/>
    </row>
    <row r="183" spans="1:58" ht="51.6" customHeight="1" outlineLevel="2" x14ac:dyDescent="0.25">
      <c r="A183" s="115"/>
      <c r="B183" s="303"/>
      <c r="C183" s="329"/>
      <c r="D183" s="342"/>
      <c r="E183" s="328"/>
      <c r="F183" s="328"/>
      <c r="G183" s="328"/>
      <c r="H183" s="199" t="s">
        <v>544</v>
      </c>
      <c r="I183" s="130" t="s">
        <v>5</v>
      </c>
      <c r="J183" s="126">
        <v>12</v>
      </c>
      <c r="K183" s="126">
        <v>10882</v>
      </c>
      <c r="L183" s="125">
        <f>IF(I183&lt;&gt;0,((VLOOKUP(I183,'1. Standard_Cost'!$B$4:$D$11,2)+VLOOKUP(I183,'1. Standard_Cost'!$B$4:$D$11,3))*J183*K183),"0")</f>
        <v>9232288800</v>
      </c>
      <c r="M183" s="125">
        <f>L183*'1. Standard_Cost'!$F$4</f>
        <v>1541792229.6000001</v>
      </c>
      <c r="N183" s="126"/>
      <c r="O183" s="126"/>
      <c r="P183" s="126"/>
      <c r="Q183" s="126"/>
      <c r="R183" s="127">
        <f>'1. Standard_Cost'!$B$15*N183*P183</f>
        <v>0</v>
      </c>
      <c r="S183" s="127">
        <f>N183*O183*P183*'1. Standard_Cost'!$C$15</f>
        <v>0</v>
      </c>
      <c r="T183" s="127">
        <f>N183*P183*Q183*'1. Standard_Cost'!$D$15</f>
        <v>0</v>
      </c>
      <c r="U183" s="127">
        <f>N183*O183*'1. Standard_Cost'!$E$15</f>
        <v>0</v>
      </c>
      <c r="V183" s="126"/>
      <c r="W183" s="126"/>
      <c r="X183" s="126"/>
      <c r="Y183" s="127">
        <f>+V183*((X183*'1. Standard_Cost'!$B$19)+(W183*X183*'1. Standard_Cost'!$C$19))</f>
        <v>0</v>
      </c>
      <c r="Z183" s="126"/>
      <c r="AA183" s="126"/>
      <c r="AB183" s="127">
        <f>+Z183*'1. Standard_Cost'!$B$23+AA183*'1. Standard_Cost'!$C$23</f>
        <v>0</v>
      </c>
      <c r="AC183" s="128">
        <v>9200000000</v>
      </c>
      <c r="AD183" s="129"/>
      <c r="AE183" s="127">
        <f>SUM(AD183,AC183,AB183,Y183,U183,T183,S183,R183)*'1. Standard_Cost'!$B$31</f>
        <v>1840000000</v>
      </c>
      <c r="AF183" s="127">
        <f t="shared" ref="AF183:AF189" si="119">SUM(AE183,AD183,AC183,AB183,Y183,U183,T183,S183,R183)</f>
        <v>11040000000</v>
      </c>
      <c r="AG183" s="126"/>
      <c r="AH183" s="126"/>
      <c r="AI183" s="126"/>
      <c r="AJ183" s="130"/>
      <c r="AK183" s="130"/>
      <c r="AL183" s="130"/>
      <c r="AM183" s="127">
        <f>AG183*'1. Standard_Cost'!$B$27+'Incremental_Cost Year 5'!AH183*'1. Standard_Cost'!$C$27+'Incremental_Cost Year 5'!AI183*'1. Standard_Cost'!$D$27+'Incremental_Cost Year 5'!AJ183+'Incremental_Cost Year 5'!AL183+AK183</f>
        <v>0</v>
      </c>
      <c r="AN183" s="127">
        <f>AM183*'1. Standard_Cost'!$C$31</f>
        <v>0</v>
      </c>
      <c r="AO183" s="130"/>
      <c r="AP183" s="256"/>
      <c r="AQ183" s="171">
        <f t="shared" ref="AQ183:AQ189" si="120">L183+M183</f>
        <v>10774081029.6</v>
      </c>
      <c r="AR183" s="171">
        <f t="shared" ref="AR183:AR189" si="121">AF183</f>
        <v>11040000000</v>
      </c>
      <c r="AS183" s="171">
        <f t="shared" ref="AS183:AS189" si="122">AM183+AN183</f>
        <v>0</v>
      </c>
      <c r="AT183" s="171">
        <f t="shared" ref="AT183:AT189" si="123">SUM(AQ183,AR183,AS183)</f>
        <v>21814081029.599998</v>
      </c>
      <c r="AU183" s="250">
        <v>21814081030</v>
      </c>
      <c r="AV183" s="250"/>
      <c r="AW183" s="250"/>
      <c r="AX183" s="250"/>
      <c r="AY183" s="250"/>
      <c r="AZ183" s="250"/>
      <c r="BA183" s="250"/>
      <c r="BB183" s="251">
        <f t="shared" ref="BB183:BB189" si="124">SUM(AU183:BA183)-AT183</f>
        <v>0.40000152587890625</v>
      </c>
      <c r="BC183" s="169"/>
      <c r="BD183" s="169"/>
      <c r="BE183" s="169"/>
      <c r="BF183" s="169"/>
    </row>
    <row r="184" spans="1:58" ht="51.6" customHeight="1" outlineLevel="2" x14ac:dyDescent="0.25">
      <c r="A184" s="115"/>
      <c r="B184" s="200"/>
      <c r="C184" s="330"/>
      <c r="D184" s="343"/>
      <c r="E184" s="328"/>
      <c r="F184" s="328"/>
      <c r="G184" s="328"/>
      <c r="H184" s="213" t="s">
        <v>543</v>
      </c>
      <c r="I184" s="267"/>
      <c r="J184" s="268"/>
      <c r="K184" s="268"/>
      <c r="L184" s="125">
        <f>1800000000/1.167</f>
        <v>1542416452.4421594</v>
      </c>
      <c r="M184" s="125">
        <f>L184*'1. Standard_Cost'!$F$4</f>
        <v>257583547.55784065</v>
      </c>
      <c r="N184" s="126"/>
      <c r="O184" s="126"/>
      <c r="P184" s="126"/>
      <c r="Q184" s="126"/>
      <c r="R184" s="127">
        <f>'1. Standard_Cost'!$B$15*N184*P184</f>
        <v>0</v>
      </c>
      <c r="S184" s="127">
        <f>N184*O184*P184*'1. Standard_Cost'!$C$15</f>
        <v>0</v>
      </c>
      <c r="T184" s="127">
        <f>N184*P184*Q184*'1. Standard_Cost'!$D$15</f>
        <v>0</v>
      </c>
      <c r="U184" s="127">
        <f>N184*O184*'1. Standard_Cost'!$E$15</f>
        <v>0</v>
      </c>
      <c r="V184" s="126"/>
      <c r="W184" s="126"/>
      <c r="X184" s="126"/>
      <c r="Y184" s="127">
        <f>+V184*((X184*'1. Standard_Cost'!$B$19)+(W184*X184*'1. Standard_Cost'!$C$19))</f>
        <v>0</v>
      </c>
      <c r="Z184" s="126"/>
      <c r="AA184" s="126"/>
      <c r="AB184" s="127">
        <f>+Z184*'1. Standard_Cost'!$B$23+AA184*'1. Standard_Cost'!$C$23</f>
        <v>0</v>
      </c>
      <c r="AC184" s="128"/>
      <c r="AD184" s="129"/>
      <c r="AE184" s="127"/>
      <c r="AF184" s="127">
        <f t="shared" si="119"/>
        <v>0</v>
      </c>
      <c r="AG184" s="126"/>
      <c r="AH184" s="126"/>
      <c r="AI184" s="126"/>
      <c r="AJ184" s="130"/>
      <c r="AK184" s="130"/>
      <c r="AL184" s="130"/>
      <c r="AM184" s="127">
        <f>AG184*'1. Standard_Cost'!$B$27+'Incremental_Cost Year 5'!AH184*'1. Standard_Cost'!$C$27+'Incremental_Cost Year 5'!AI184*'1. Standard_Cost'!$D$27+'Incremental_Cost Year 5'!AJ184+'Incremental_Cost Year 5'!AL184+AK184</f>
        <v>0</v>
      </c>
      <c r="AN184" s="127">
        <f>AM184*'1. Standard_Cost'!$C$31</f>
        <v>0</v>
      </c>
      <c r="AO184" s="130"/>
      <c r="AP184" s="256"/>
      <c r="AQ184" s="171">
        <f t="shared" si="120"/>
        <v>1800000000</v>
      </c>
      <c r="AR184" s="171">
        <f t="shared" si="121"/>
        <v>0</v>
      </c>
      <c r="AS184" s="171">
        <f t="shared" si="122"/>
        <v>0</v>
      </c>
      <c r="AT184" s="171">
        <f t="shared" si="123"/>
        <v>1800000000</v>
      </c>
      <c r="AU184" s="250"/>
      <c r="AV184" s="250"/>
      <c r="AW184" s="250"/>
      <c r="AX184" s="250"/>
      <c r="AY184" s="250"/>
      <c r="AZ184" s="250"/>
      <c r="BA184" s="250"/>
      <c r="BB184" s="251">
        <f t="shared" si="124"/>
        <v>-1800000000</v>
      </c>
      <c r="BC184" s="169"/>
      <c r="BD184" s="169"/>
      <c r="BE184" s="169"/>
      <c r="BF184" s="169"/>
    </row>
    <row r="185" spans="1:58" ht="51.6" customHeight="1" outlineLevel="2" x14ac:dyDescent="0.25">
      <c r="A185" s="115"/>
      <c r="B185" s="200"/>
      <c r="C185" s="330"/>
      <c r="D185" s="343"/>
      <c r="E185" s="328"/>
      <c r="F185" s="328"/>
      <c r="G185" s="328"/>
      <c r="H185" s="199" t="s">
        <v>491</v>
      </c>
      <c r="I185" s="130"/>
      <c r="J185" s="126"/>
      <c r="K185" s="126"/>
      <c r="L185" s="125" t="str">
        <f>IF(I185&lt;&gt;0,((VLOOKUP(I185,'1. Standard_Cost'!$B$4:$D$11,2)+VLOOKUP(I185,'1. Standard_Cost'!$B$4:$D$11,3))*J185*K185),"0")</f>
        <v>0</v>
      </c>
      <c r="M185" s="125">
        <f>L185*'1. Standard_Cost'!$F$4</f>
        <v>0</v>
      </c>
      <c r="N185" s="126"/>
      <c r="O185" s="126"/>
      <c r="P185" s="126"/>
      <c r="Q185" s="126"/>
      <c r="R185" s="127">
        <f>'1. Standard_Cost'!$B$15*N185*P185</f>
        <v>0</v>
      </c>
      <c r="S185" s="127">
        <f>N185*O185*P185*'1. Standard_Cost'!$C$15</f>
        <v>0</v>
      </c>
      <c r="T185" s="127">
        <f>N185*P185*Q185*'1. Standard_Cost'!$D$15</f>
        <v>0</v>
      </c>
      <c r="U185" s="127">
        <f>N185*O185*'1. Standard_Cost'!$E$15</f>
        <v>0</v>
      </c>
      <c r="V185" s="126"/>
      <c r="W185" s="126"/>
      <c r="X185" s="126"/>
      <c r="Y185" s="127">
        <f>+V185*((X185*'1. Standard_Cost'!$B$19)+(W185*X185*'1. Standard_Cost'!$C$19))</f>
        <v>0</v>
      </c>
      <c r="Z185" s="126"/>
      <c r="AA185" s="126"/>
      <c r="AB185" s="127">
        <f>+Z185*'1. Standard_Cost'!$B$23+AA185*'1. Standard_Cost'!$C$23</f>
        <v>0</v>
      </c>
      <c r="AC185" s="128"/>
      <c r="AD185" s="129"/>
      <c r="AE185" s="127">
        <f>SUM(AD185,AC185,AB185,Y185,U185,T185,S185,R185)*'1. Standard_Cost'!$B$31</f>
        <v>0</v>
      </c>
      <c r="AF185" s="127">
        <f t="shared" si="119"/>
        <v>0</v>
      </c>
      <c r="AG185" s="126"/>
      <c r="AH185" s="126"/>
      <c r="AI185" s="126"/>
      <c r="AJ185" s="130"/>
      <c r="AK185" s="130"/>
      <c r="AL185" s="130"/>
      <c r="AM185" s="127">
        <f>AG185*'1. Standard_Cost'!$B$27+'Incremental_Cost Year 5'!AH185*'1. Standard_Cost'!$C$27+'Incremental_Cost Year 5'!AI185*'1. Standard_Cost'!$D$27+'Incremental_Cost Year 5'!AJ185+'Incremental_Cost Year 5'!AL185+AK185</f>
        <v>0</v>
      </c>
      <c r="AN185" s="127">
        <f>AM185*'1. Standard_Cost'!$C$31</f>
        <v>0</v>
      </c>
      <c r="AO185" s="130"/>
      <c r="AP185" s="256"/>
      <c r="AQ185" s="171">
        <f t="shared" si="120"/>
        <v>0</v>
      </c>
      <c r="AR185" s="171">
        <f t="shared" si="121"/>
        <v>0</v>
      </c>
      <c r="AS185" s="171">
        <f t="shared" si="122"/>
        <v>0</v>
      </c>
      <c r="AT185" s="171">
        <f t="shared" si="123"/>
        <v>0</v>
      </c>
      <c r="AU185" s="250"/>
      <c r="AV185" s="250"/>
      <c r="AW185" s="250"/>
      <c r="AX185" s="250"/>
      <c r="AY185" s="250"/>
      <c r="AZ185" s="250"/>
      <c r="BA185" s="250"/>
      <c r="BB185" s="251">
        <f t="shared" si="124"/>
        <v>0</v>
      </c>
      <c r="BC185" s="169"/>
      <c r="BD185" s="169"/>
      <c r="BE185" s="169"/>
      <c r="BF185" s="169"/>
    </row>
    <row r="186" spans="1:58" ht="51.6" customHeight="1" outlineLevel="2" x14ac:dyDescent="0.25">
      <c r="A186" s="115"/>
      <c r="B186" s="200"/>
      <c r="C186" s="330"/>
      <c r="D186" s="343"/>
      <c r="E186" s="328"/>
      <c r="F186" s="328"/>
      <c r="G186" s="328"/>
      <c r="H186" s="199" t="s">
        <v>492</v>
      </c>
      <c r="I186" s="130"/>
      <c r="J186" s="126"/>
      <c r="K186" s="126"/>
      <c r="L186" s="125" t="str">
        <f>IF(I186&lt;&gt;0,((VLOOKUP(I186,'1. Standard_Cost'!$B$4:$D$11,2)+VLOOKUP(I186,'1. Standard_Cost'!$B$4:$D$11,3))*J186*K186),"0")</f>
        <v>0</v>
      </c>
      <c r="M186" s="125">
        <f>L186*'1. Standard_Cost'!$F$4</f>
        <v>0</v>
      </c>
      <c r="N186" s="126"/>
      <c r="O186" s="126"/>
      <c r="P186" s="126"/>
      <c r="Q186" s="126"/>
      <c r="R186" s="127">
        <f>'1. Standard_Cost'!$B$15*N186*P186</f>
        <v>0</v>
      </c>
      <c r="S186" s="127">
        <f>N186*O186*P186*'1. Standard_Cost'!$C$15</f>
        <v>0</v>
      </c>
      <c r="T186" s="127">
        <f>N186*P186*Q186*'1. Standard_Cost'!$D$15</f>
        <v>0</v>
      </c>
      <c r="U186" s="127">
        <f>N186*O186*'1. Standard_Cost'!$E$15</f>
        <v>0</v>
      </c>
      <c r="V186" s="126"/>
      <c r="W186" s="126"/>
      <c r="X186" s="126"/>
      <c r="Y186" s="127">
        <f>+V186*((X186*'1. Standard_Cost'!$B$19)+(W186*X186*'1. Standard_Cost'!$C$19))</f>
        <v>0</v>
      </c>
      <c r="Z186" s="126"/>
      <c r="AA186" s="126"/>
      <c r="AB186" s="127">
        <f>+Z186*'1. Standard_Cost'!$B$23+AA186*'1. Standard_Cost'!$C$23</f>
        <v>0</v>
      </c>
      <c r="AC186" s="128"/>
      <c r="AD186" s="129"/>
      <c r="AE186" s="127">
        <f>SUM(AD186,AC186,AB186,Y186,U186,T186,S186,R186)*'1. Standard_Cost'!$B$31</f>
        <v>0</v>
      </c>
      <c r="AF186" s="127">
        <f t="shared" si="119"/>
        <v>0</v>
      </c>
      <c r="AG186" s="126"/>
      <c r="AH186" s="126"/>
      <c r="AI186" s="126"/>
      <c r="AJ186" s="130"/>
      <c r="AK186" s="130"/>
      <c r="AL186" s="130"/>
      <c r="AM186" s="127">
        <f>AG186*'1. Standard_Cost'!$B$27+'Incremental_Cost Year 5'!AH186*'1. Standard_Cost'!$C$27+'Incremental_Cost Year 5'!AI186*'1. Standard_Cost'!$D$27+'Incremental_Cost Year 5'!AJ186+'Incremental_Cost Year 5'!AL186+AK186</f>
        <v>0</v>
      </c>
      <c r="AN186" s="127">
        <f>AM186*'1. Standard_Cost'!$C$31</f>
        <v>0</v>
      </c>
      <c r="AO186" s="130"/>
      <c r="AP186" s="256"/>
      <c r="AQ186" s="171">
        <f t="shared" si="120"/>
        <v>0</v>
      </c>
      <c r="AR186" s="171">
        <f t="shared" si="121"/>
        <v>0</v>
      </c>
      <c r="AS186" s="171">
        <f t="shared" si="122"/>
        <v>0</v>
      </c>
      <c r="AT186" s="171">
        <f t="shared" si="123"/>
        <v>0</v>
      </c>
      <c r="AU186" s="250"/>
      <c r="AV186" s="250"/>
      <c r="AW186" s="250"/>
      <c r="AX186" s="250"/>
      <c r="AY186" s="250"/>
      <c r="AZ186" s="250"/>
      <c r="BA186" s="250"/>
      <c r="BB186" s="251">
        <f t="shared" si="124"/>
        <v>0</v>
      </c>
      <c r="BC186" s="169"/>
      <c r="BD186" s="169"/>
      <c r="BE186" s="169"/>
      <c r="BF186" s="169"/>
    </row>
    <row r="187" spans="1:58" ht="51.6" customHeight="1" outlineLevel="2" x14ac:dyDescent="0.25">
      <c r="A187" s="115"/>
      <c r="B187" s="200"/>
      <c r="C187" s="330"/>
      <c r="D187" s="343"/>
      <c r="E187" s="328"/>
      <c r="F187" s="328"/>
      <c r="G187" s="328"/>
      <c r="H187" s="199" t="s">
        <v>493</v>
      </c>
      <c r="I187" s="130" t="s">
        <v>5</v>
      </c>
      <c r="J187" s="126">
        <v>2</v>
      </c>
      <c r="K187" s="126">
        <v>7</v>
      </c>
      <c r="L187" s="125">
        <f>IF(I187&lt;&gt;0,((VLOOKUP(I187,'1. Standard_Cost'!$B$4:$D$11,2)+VLOOKUP(I187,'1. Standard_Cost'!$B$4:$D$11,3))*J187*K187),"0")</f>
        <v>989800</v>
      </c>
      <c r="M187" s="125">
        <f>L187*'1. Standard_Cost'!$F$4</f>
        <v>165296.6</v>
      </c>
      <c r="N187" s="126"/>
      <c r="O187" s="126"/>
      <c r="P187" s="126"/>
      <c r="Q187" s="126"/>
      <c r="R187" s="127">
        <f>'1. Standard_Cost'!$B$15*N187*P187</f>
        <v>0</v>
      </c>
      <c r="S187" s="127">
        <f>N187*O187*P187*'1. Standard_Cost'!$C$15</f>
        <v>0</v>
      </c>
      <c r="T187" s="127">
        <f>N187*P187*Q187*'1. Standard_Cost'!$D$15</f>
        <v>0</v>
      </c>
      <c r="U187" s="127">
        <f>N187*O187*'1. Standard_Cost'!$E$15</f>
        <v>0</v>
      </c>
      <c r="V187" s="126"/>
      <c r="W187" s="126"/>
      <c r="X187" s="126"/>
      <c r="Y187" s="127">
        <f>+V187*((X187*'1. Standard_Cost'!$B$19)+(W187*X187*'1. Standard_Cost'!$C$19))</f>
        <v>0</v>
      </c>
      <c r="Z187" s="126"/>
      <c r="AA187" s="126"/>
      <c r="AB187" s="127">
        <f>+Z187*'1. Standard_Cost'!$B$23+AA187*'1. Standard_Cost'!$C$23</f>
        <v>0</v>
      </c>
      <c r="AC187" s="128">
        <v>120000</v>
      </c>
      <c r="AD187" s="129"/>
      <c r="AE187" s="127">
        <f>SUM(AD187,AC187,AB187,Y187,U187,T187,S187,R187)*'1. Standard_Cost'!$B$31</f>
        <v>24000</v>
      </c>
      <c r="AF187" s="127">
        <f t="shared" si="119"/>
        <v>144000</v>
      </c>
      <c r="AG187" s="126"/>
      <c r="AH187" s="126"/>
      <c r="AI187" s="126"/>
      <c r="AJ187" s="130"/>
      <c r="AK187" s="130"/>
      <c r="AL187" s="130"/>
      <c r="AM187" s="127">
        <f>AG187*'1. Standard_Cost'!$B$27+'Incremental_Cost Year 5'!AH187*'1. Standard_Cost'!$C$27+'Incremental_Cost Year 5'!AI187*'1. Standard_Cost'!$D$27+'Incremental_Cost Year 5'!AJ187+'Incremental_Cost Year 5'!AL187+AK187</f>
        <v>0</v>
      </c>
      <c r="AN187" s="127">
        <f>AM187*'1. Standard_Cost'!$C$31</f>
        <v>0</v>
      </c>
      <c r="AO187" s="130"/>
      <c r="AP187" s="256"/>
      <c r="AQ187" s="171">
        <f t="shared" si="120"/>
        <v>1155096.6000000001</v>
      </c>
      <c r="AR187" s="171">
        <f t="shared" si="121"/>
        <v>144000</v>
      </c>
      <c r="AS187" s="171">
        <f t="shared" si="122"/>
        <v>0</v>
      </c>
      <c r="AT187" s="171">
        <f t="shared" si="123"/>
        <v>1299096.6000000001</v>
      </c>
      <c r="AU187" s="250">
        <v>1299097</v>
      </c>
      <c r="AV187" s="250"/>
      <c r="AW187" s="250"/>
      <c r="AX187" s="250"/>
      <c r="AY187" s="250"/>
      <c r="AZ187" s="250"/>
      <c r="BA187" s="250"/>
      <c r="BB187" s="251">
        <f t="shared" si="124"/>
        <v>0.39999999990686774</v>
      </c>
      <c r="BC187" s="169"/>
      <c r="BD187" s="169"/>
      <c r="BE187" s="169"/>
      <c r="BF187" s="169"/>
    </row>
    <row r="188" spans="1:58" ht="51.6" customHeight="1" outlineLevel="2" x14ac:dyDescent="0.25">
      <c r="A188" s="115"/>
      <c r="B188" s="200"/>
      <c r="C188" s="330"/>
      <c r="D188" s="343"/>
      <c r="E188" s="328"/>
      <c r="F188" s="328"/>
      <c r="G188" s="328"/>
      <c r="H188" s="199" t="s">
        <v>494</v>
      </c>
      <c r="I188" s="130"/>
      <c r="J188" s="126"/>
      <c r="K188" s="126"/>
      <c r="L188" s="125" t="str">
        <f>IF(I188&lt;&gt;0,((VLOOKUP(I188,'1. Standard_Cost'!$B$4:$D$11,2)+VLOOKUP(I188,'1. Standard_Cost'!$B$4:$D$11,3))*J188*K188),"0")</f>
        <v>0</v>
      </c>
      <c r="M188" s="125">
        <f>L188*'1. Standard_Cost'!$F$4</f>
        <v>0</v>
      </c>
      <c r="N188" s="126"/>
      <c r="O188" s="126"/>
      <c r="P188" s="126"/>
      <c r="Q188" s="126"/>
      <c r="R188" s="127">
        <f>'1. Standard_Cost'!$B$15*N188*P188</f>
        <v>0</v>
      </c>
      <c r="S188" s="127">
        <f>N188*O188*P188*'1. Standard_Cost'!$C$15</f>
        <v>0</v>
      </c>
      <c r="T188" s="127">
        <f>N188*P188*Q188*'1. Standard_Cost'!$D$15</f>
        <v>0</v>
      </c>
      <c r="U188" s="127">
        <f>N188*O188*'1. Standard_Cost'!$E$15</f>
        <v>0</v>
      </c>
      <c r="V188" s="126"/>
      <c r="W188" s="126"/>
      <c r="X188" s="126"/>
      <c r="Y188" s="127">
        <f>+V188*((X188*'1. Standard_Cost'!$B$19)+(W188*X188*'1. Standard_Cost'!$C$19))</f>
        <v>0</v>
      </c>
      <c r="Z188" s="126"/>
      <c r="AA188" s="126"/>
      <c r="AB188" s="127">
        <f>+Z188*'1. Standard_Cost'!$B$23+AA188*'1. Standard_Cost'!$C$23</f>
        <v>0</v>
      </c>
      <c r="AC188" s="128"/>
      <c r="AD188" s="129"/>
      <c r="AE188" s="127">
        <f>SUM(AD188,AC188,AB188,Y188,U188,T188,S188,R188)*'1. Standard_Cost'!$B$31</f>
        <v>0</v>
      </c>
      <c r="AF188" s="127">
        <f t="shared" si="119"/>
        <v>0</v>
      </c>
      <c r="AG188" s="126"/>
      <c r="AH188" s="126"/>
      <c r="AI188" s="126"/>
      <c r="AJ188" s="130"/>
      <c r="AK188" s="130"/>
      <c r="AL188" s="130"/>
      <c r="AM188" s="127">
        <f>AG188*'1. Standard_Cost'!$B$27+'Incremental_Cost Year 5'!AH188*'1. Standard_Cost'!$C$27+'Incremental_Cost Year 5'!AI188*'1. Standard_Cost'!$D$27+'Incremental_Cost Year 5'!AJ188+'Incremental_Cost Year 5'!AL188+AK188</f>
        <v>0</v>
      </c>
      <c r="AN188" s="127">
        <f>AM188*'1. Standard_Cost'!$C$31</f>
        <v>0</v>
      </c>
      <c r="AO188" s="130"/>
      <c r="AP188" s="256"/>
      <c r="AQ188" s="171">
        <f t="shared" si="120"/>
        <v>0</v>
      </c>
      <c r="AR188" s="171">
        <f t="shared" si="121"/>
        <v>0</v>
      </c>
      <c r="AS188" s="171">
        <f t="shared" si="122"/>
        <v>0</v>
      </c>
      <c r="AT188" s="171">
        <f t="shared" si="123"/>
        <v>0</v>
      </c>
      <c r="AU188" s="250"/>
      <c r="AV188" s="250"/>
      <c r="AW188" s="250"/>
      <c r="AX188" s="250"/>
      <c r="AY188" s="250"/>
      <c r="AZ188" s="250"/>
      <c r="BA188" s="250"/>
      <c r="BB188" s="251">
        <f t="shared" si="124"/>
        <v>0</v>
      </c>
      <c r="BC188" s="169"/>
      <c r="BD188" s="169"/>
      <c r="BE188" s="169"/>
      <c r="BF188" s="169"/>
    </row>
    <row r="189" spans="1:58" ht="51.6" customHeight="1" outlineLevel="2" x14ac:dyDescent="0.25">
      <c r="A189" s="115"/>
      <c r="B189" s="200"/>
      <c r="C189" s="330"/>
      <c r="D189" s="343"/>
      <c r="E189" s="328"/>
      <c r="F189" s="328"/>
      <c r="G189" s="328"/>
      <c r="H189" s="199" t="s">
        <v>495</v>
      </c>
      <c r="I189" s="130"/>
      <c r="J189" s="126"/>
      <c r="K189" s="126"/>
      <c r="L189" s="125" t="str">
        <f>IF(I189&lt;&gt;0,((VLOOKUP(I189,'1. Standard_Cost'!$B$4:$D$11,2)+VLOOKUP(I189,'1. Standard_Cost'!$B$4:$D$11,3))*J189*K189),"0")</f>
        <v>0</v>
      </c>
      <c r="M189" s="125">
        <f>L189*'1. Standard_Cost'!$F$4</f>
        <v>0</v>
      </c>
      <c r="N189" s="126"/>
      <c r="O189" s="126"/>
      <c r="P189" s="126"/>
      <c r="Q189" s="126"/>
      <c r="R189" s="127">
        <f>'1. Standard_Cost'!$B$15*N189*P189</f>
        <v>0</v>
      </c>
      <c r="S189" s="127">
        <f>N189*O189*P189*'1. Standard_Cost'!$C$15</f>
        <v>0</v>
      </c>
      <c r="T189" s="127">
        <f>N189*P189*Q189*'1. Standard_Cost'!$D$15</f>
        <v>0</v>
      </c>
      <c r="U189" s="127">
        <f>N189*O189*'1. Standard_Cost'!$E$15</f>
        <v>0</v>
      </c>
      <c r="V189" s="126"/>
      <c r="W189" s="126"/>
      <c r="X189" s="126"/>
      <c r="Y189" s="127">
        <f>+V189*((X189*'1. Standard_Cost'!$B$19)+(W189*X189*'1. Standard_Cost'!$C$19))</f>
        <v>0</v>
      </c>
      <c r="Z189" s="126"/>
      <c r="AA189" s="126"/>
      <c r="AB189" s="127">
        <f>+Z189*'1. Standard_Cost'!$B$23+AA189*'1. Standard_Cost'!$C$23</f>
        <v>0</v>
      </c>
      <c r="AC189" s="128"/>
      <c r="AD189" s="129"/>
      <c r="AE189" s="127">
        <f>SUM(AD189,AC189,AB189,Y189,U189,T189,S189,R189)*'1. Standard_Cost'!$B$31</f>
        <v>0</v>
      </c>
      <c r="AF189" s="127">
        <f t="shared" si="119"/>
        <v>0</v>
      </c>
      <c r="AG189" s="126"/>
      <c r="AH189" s="126"/>
      <c r="AI189" s="126"/>
      <c r="AJ189" s="130"/>
      <c r="AK189" s="130"/>
      <c r="AL189" s="130"/>
      <c r="AM189" s="127">
        <f>AG189*'1. Standard_Cost'!$B$27+'Incremental_Cost Year 5'!AH189*'1. Standard_Cost'!$C$27+'Incremental_Cost Year 5'!AI189*'1. Standard_Cost'!$D$27+'Incremental_Cost Year 5'!AJ189+'Incremental_Cost Year 5'!AL189+AK189</f>
        <v>0</v>
      </c>
      <c r="AN189" s="127">
        <f>AM189*'1. Standard_Cost'!$C$31</f>
        <v>0</v>
      </c>
      <c r="AO189" s="130"/>
      <c r="AP189" s="256"/>
      <c r="AQ189" s="171">
        <f t="shared" si="120"/>
        <v>0</v>
      </c>
      <c r="AR189" s="171">
        <f t="shared" si="121"/>
        <v>0</v>
      </c>
      <c r="AS189" s="171">
        <f t="shared" si="122"/>
        <v>0</v>
      </c>
      <c r="AT189" s="171">
        <f t="shared" si="123"/>
        <v>0</v>
      </c>
      <c r="AU189" s="250"/>
      <c r="AV189" s="250"/>
      <c r="AW189" s="250"/>
      <c r="AX189" s="250"/>
      <c r="AY189" s="250"/>
      <c r="AZ189" s="250"/>
      <c r="BA189" s="250"/>
      <c r="BB189" s="251">
        <f t="shared" si="124"/>
        <v>0</v>
      </c>
      <c r="BC189" s="169"/>
      <c r="BD189" s="169"/>
      <c r="BE189" s="169"/>
      <c r="BF189" s="169"/>
    </row>
    <row r="190" spans="1:58" ht="51.6" customHeight="1" outlineLevel="2" x14ac:dyDescent="0.25">
      <c r="A190" s="115"/>
      <c r="B190" s="200"/>
      <c r="C190" s="330"/>
      <c r="D190" s="343"/>
      <c r="E190" s="328"/>
      <c r="F190" s="328"/>
      <c r="G190" s="328"/>
      <c r="H190" s="110" t="s">
        <v>183</v>
      </c>
      <c r="I190" s="252"/>
      <c r="J190" s="252"/>
      <c r="K190" s="252"/>
      <c r="L190" s="127">
        <f>SUM(L183:L189)</f>
        <v>10775695052.44216</v>
      </c>
      <c r="M190" s="127">
        <f>SUM(M183:M189)</f>
        <v>1799541073.7578406</v>
      </c>
      <c r="N190" s="252"/>
      <c r="O190" s="252"/>
      <c r="P190" s="252"/>
      <c r="Q190" s="252"/>
      <c r="R190" s="127">
        <f>SUM(R183:R189)</f>
        <v>0</v>
      </c>
      <c r="S190" s="127">
        <f>SUM(S183:S189)</f>
        <v>0</v>
      </c>
      <c r="T190" s="127">
        <f>SUM(T183:T189)</f>
        <v>0</v>
      </c>
      <c r="U190" s="127">
        <f>SUM(U183:U189)</f>
        <v>0</v>
      </c>
      <c r="V190" s="252"/>
      <c r="W190" s="252"/>
      <c r="X190" s="252"/>
      <c r="Y190" s="127">
        <f>SUM(Y183:Y189)</f>
        <v>0</v>
      </c>
      <c r="Z190" s="127"/>
      <c r="AA190" s="252"/>
      <c r="AB190" s="127">
        <f>SUM(AB183:AB189)</f>
        <v>0</v>
      </c>
      <c r="AC190" s="127">
        <f>SUM(AC183:AC188)</f>
        <v>9200120000</v>
      </c>
      <c r="AD190" s="127">
        <f>SUM(AD183:AD188)</f>
        <v>0</v>
      </c>
      <c r="AE190" s="127">
        <f>SUM(AE183:AE189)</f>
        <v>1840024000</v>
      </c>
      <c r="AF190" s="127">
        <f>SUM(AF183:AF189)</f>
        <v>11040144000</v>
      </c>
      <c r="AG190" s="252"/>
      <c r="AH190" s="252"/>
      <c r="AI190" s="252"/>
      <c r="AJ190" s="127">
        <f>SUM(AJ183:AJ188)</f>
        <v>0</v>
      </c>
      <c r="AK190" s="127">
        <f>SUM(AK183:AK188)</f>
        <v>0</v>
      </c>
      <c r="AL190" s="127">
        <f>SUM(AL183:AL188)</f>
        <v>0</v>
      </c>
      <c r="AM190" s="127">
        <f>SUM(AM183:AM189)</f>
        <v>0</v>
      </c>
      <c r="AN190" s="127">
        <f>SUM(AN183:AN189)</f>
        <v>0</v>
      </c>
      <c r="AO190" s="253"/>
      <c r="AP190" s="254"/>
      <c r="AQ190" s="175">
        <f>SUM(AQ183:AQ189)</f>
        <v>12575236126.200001</v>
      </c>
      <c r="AR190" s="175">
        <f>SUM(AR183:AR189)</f>
        <v>11040144000</v>
      </c>
      <c r="AS190" s="175">
        <f>SUM(AS183:AS189)</f>
        <v>0</v>
      </c>
      <c r="AT190" s="175">
        <f>SUM(AT183:AT189)</f>
        <v>23615380126.199997</v>
      </c>
      <c r="AU190" s="175">
        <f t="shared" ref="AU190:BA190" si="125">SUM(AU183:AU188)</f>
        <v>21815380127</v>
      </c>
      <c r="AV190" s="175">
        <f t="shared" si="125"/>
        <v>0</v>
      </c>
      <c r="AW190" s="175">
        <f t="shared" si="125"/>
        <v>0</v>
      </c>
      <c r="AX190" s="175">
        <f t="shared" si="125"/>
        <v>0</v>
      </c>
      <c r="AY190" s="175">
        <f t="shared" si="125"/>
        <v>0</v>
      </c>
      <c r="AZ190" s="175">
        <f t="shared" si="125"/>
        <v>0</v>
      </c>
      <c r="BA190" s="175">
        <f t="shared" si="125"/>
        <v>0</v>
      </c>
      <c r="BB190" s="175">
        <f>SUM(BB183:BB189)</f>
        <v>-1799999999.1999984</v>
      </c>
      <c r="BC190" s="169"/>
      <c r="BD190" s="169"/>
      <c r="BE190" s="169"/>
      <c r="BF190" s="169"/>
    </row>
    <row r="191" spans="1:58" ht="51.6" customHeight="1" outlineLevel="2" x14ac:dyDescent="0.25">
      <c r="A191" s="115"/>
      <c r="B191" s="200"/>
      <c r="C191" s="330"/>
      <c r="D191" s="343"/>
      <c r="E191" s="328"/>
      <c r="F191" s="328"/>
      <c r="G191" s="328"/>
      <c r="H191" s="213" t="s">
        <v>496</v>
      </c>
      <c r="I191" s="130" t="s">
        <v>314</v>
      </c>
      <c r="J191" s="126">
        <v>12</v>
      </c>
      <c r="K191" s="126">
        <v>20</v>
      </c>
      <c r="L191" s="125">
        <f>IF(I191&lt;&gt;0,((VLOOKUP(I191,'1. Standard_Cost'!$B$4:$D$11,2)+VLOOKUP(I191,'1. Standard_Cost'!$B$4:$D$11,3))*J191*K191),"0")</f>
        <v>16968000</v>
      </c>
      <c r="M191" s="125">
        <f>L191*'1. Standard_Cost'!$F$4</f>
        <v>2833656</v>
      </c>
      <c r="N191" s="126"/>
      <c r="O191" s="126"/>
      <c r="P191" s="126"/>
      <c r="Q191" s="126"/>
      <c r="R191" s="127">
        <f>'1. Standard_Cost'!$B$15*N191*P191</f>
        <v>0</v>
      </c>
      <c r="S191" s="127">
        <f>N191*O191*P191*'1. Standard_Cost'!$C$15</f>
        <v>0</v>
      </c>
      <c r="T191" s="127">
        <f>N191*P191*Q191*'1. Standard_Cost'!$D$15</f>
        <v>0</v>
      </c>
      <c r="U191" s="127">
        <f>N191*O191*'1. Standard_Cost'!$E$15</f>
        <v>0</v>
      </c>
      <c r="V191" s="126"/>
      <c r="W191" s="126"/>
      <c r="X191" s="126"/>
      <c r="Y191" s="127">
        <f>+V191*((X191*'1. Standard_Cost'!$B$19)+(W191*X191*'1. Standard_Cost'!$C$19))</f>
        <v>0</v>
      </c>
      <c r="Z191" s="126"/>
      <c r="AA191" s="126"/>
      <c r="AB191" s="127">
        <f>+Z191*'1. Standard_Cost'!$B$23+AA191*'1. Standard_Cost'!$C$23</f>
        <v>0</v>
      </c>
      <c r="AC191" s="128">
        <v>6946000</v>
      </c>
      <c r="AD191" s="129"/>
      <c r="AE191" s="127">
        <f>0</f>
        <v>0</v>
      </c>
      <c r="AF191" s="127">
        <f>SUM(AE191,AD191,AC191,AB191,Y191,U191,T191,S191,R191)</f>
        <v>6946000</v>
      </c>
      <c r="AG191" s="126"/>
      <c r="AH191" s="126"/>
      <c r="AI191" s="126"/>
      <c r="AJ191" s="130"/>
      <c r="AK191" s="130"/>
      <c r="AL191" s="130"/>
      <c r="AM191" s="127">
        <f>AG191*'1. Standard_Cost'!$B$27+'Incremental_Cost Year 5'!AH191*'1. Standard_Cost'!$C$27+'Incremental_Cost Year 5'!AI191*'1. Standard_Cost'!$D$27+'Incremental_Cost Year 5'!AJ191+'Incremental_Cost Year 5'!AL191+AK191</f>
        <v>0</v>
      </c>
      <c r="AN191" s="127">
        <f>AM191*'1. Standard_Cost'!$C$31</f>
        <v>0</v>
      </c>
      <c r="AO191" s="130"/>
      <c r="AP191" s="256"/>
      <c r="AQ191" s="171">
        <f>L191+M191</f>
        <v>19801656</v>
      </c>
      <c r="AR191" s="171">
        <f>AF191</f>
        <v>6946000</v>
      </c>
      <c r="AS191" s="171">
        <f>AM191+AN191</f>
        <v>0</v>
      </c>
      <c r="AT191" s="171">
        <f>SUM(AQ191,AR191,AS191)</f>
        <v>26747656</v>
      </c>
      <c r="AU191" s="250">
        <v>26747656</v>
      </c>
      <c r="AV191" s="250"/>
      <c r="AW191" s="250"/>
      <c r="AX191" s="250"/>
      <c r="AY191" s="250"/>
      <c r="AZ191" s="250"/>
      <c r="BA191" s="250"/>
      <c r="BB191" s="251">
        <f t="shared" ref="BB191:BB192" si="126">SUM(AU191:BA191)-AT191</f>
        <v>0</v>
      </c>
      <c r="BC191" s="169"/>
      <c r="BD191" s="169"/>
      <c r="BE191" s="169"/>
      <c r="BF191" s="169"/>
    </row>
    <row r="192" spans="1:58" ht="51.6" customHeight="1" outlineLevel="2" x14ac:dyDescent="0.25">
      <c r="A192" s="115"/>
      <c r="B192" s="200"/>
      <c r="C192" s="330"/>
      <c r="D192" s="343"/>
      <c r="E192" s="328"/>
      <c r="F192" s="328"/>
      <c r="G192" s="328"/>
      <c r="H192" s="199" t="s">
        <v>238</v>
      </c>
      <c r="I192" s="130" t="s">
        <v>172</v>
      </c>
      <c r="J192" s="126">
        <v>12</v>
      </c>
      <c r="K192" s="126">
        <v>2</v>
      </c>
      <c r="L192" s="125">
        <f>IF(I192&lt;&gt;0,((VLOOKUP(I192,'1. Standard_Cost'!$B$4:$D$11,2)+VLOOKUP(I192,'1. Standard_Cost'!$B$4:$D$11,3))*J192*K192),"0")</f>
        <v>1212000</v>
      </c>
      <c r="M192" s="125">
        <f>L192*'1. Standard_Cost'!$F$4</f>
        <v>202404</v>
      </c>
      <c r="N192" s="126"/>
      <c r="O192" s="126"/>
      <c r="P192" s="126"/>
      <c r="Q192" s="126"/>
      <c r="R192" s="127">
        <f>'1. Standard_Cost'!$B$15*N192*P192</f>
        <v>0</v>
      </c>
      <c r="S192" s="127">
        <f>N192*O192*P192*'1. Standard_Cost'!$C$15</f>
        <v>0</v>
      </c>
      <c r="T192" s="127">
        <f>N192*P192*Q192*'1. Standard_Cost'!$D$15</f>
        <v>0</v>
      </c>
      <c r="U192" s="127">
        <f>N192*O192*'1. Standard_Cost'!$E$15</f>
        <v>0</v>
      </c>
      <c r="V192" s="126"/>
      <c r="W192" s="126"/>
      <c r="X192" s="126"/>
      <c r="Y192" s="127">
        <f>+V192*((X192*'1. Standard_Cost'!$B$19)+(W192*X192*'1. Standard_Cost'!$C$19))</f>
        <v>0</v>
      </c>
      <c r="Z192" s="126"/>
      <c r="AA192" s="126"/>
      <c r="AB192" s="127">
        <f>+Z192*'1. Standard_Cost'!$B$23+AA192*'1. Standard_Cost'!$C$23</f>
        <v>0</v>
      </c>
      <c r="AC192" s="128">
        <v>50000</v>
      </c>
      <c r="AD192" s="129"/>
      <c r="AE192" s="127">
        <f>SUM(AD192,AC192,AB192,Y192,U192,T192,S192,R192)*'1. Standard_Cost'!$B$31</f>
        <v>10000</v>
      </c>
      <c r="AF192" s="127">
        <f>SUM(AE192,AD192,AC192,AB192,Y192,U192,T192,S192,R192)</f>
        <v>60000</v>
      </c>
      <c r="AG192" s="126"/>
      <c r="AH192" s="126"/>
      <c r="AI192" s="126"/>
      <c r="AJ192" s="130"/>
      <c r="AK192" s="130"/>
      <c r="AL192" s="130"/>
      <c r="AM192" s="127">
        <f>AG192*'1. Standard_Cost'!$B$27+'Incremental_Cost Year 5'!AH192*'1. Standard_Cost'!$C$27+'Incremental_Cost Year 5'!AI192*'1. Standard_Cost'!$D$27+'Incremental_Cost Year 5'!AJ192+'Incremental_Cost Year 5'!AL192+AK192</f>
        <v>0</v>
      </c>
      <c r="AN192" s="127">
        <f>AM192*'1. Standard_Cost'!$C$31</f>
        <v>0</v>
      </c>
      <c r="AO192" s="130"/>
      <c r="AP192" s="256"/>
      <c r="AQ192" s="171">
        <f>L192+M192</f>
        <v>1414404</v>
      </c>
      <c r="AR192" s="171">
        <f>AF192</f>
        <v>60000</v>
      </c>
      <c r="AS192" s="171">
        <f>AM192+AN192</f>
        <v>0</v>
      </c>
      <c r="AT192" s="171">
        <f>SUM(AQ192,AR192,AS192)</f>
        <v>1474404</v>
      </c>
      <c r="AU192" s="250">
        <f>AT192</f>
        <v>1474404</v>
      </c>
      <c r="AV192" s="250"/>
      <c r="AW192" s="250"/>
      <c r="AX192" s="250"/>
      <c r="AY192" s="250"/>
      <c r="AZ192" s="250"/>
      <c r="BA192" s="250"/>
      <c r="BB192" s="251">
        <f t="shared" si="126"/>
        <v>0</v>
      </c>
      <c r="BC192" s="169"/>
      <c r="BD192" s="169"/>
      <c r="BE192" s="169"/>
      <c r="BF192" s="169"/>
    </row>
    <row r="193" spans="1:58" ht="51.6" customHeight="1" outlineLevel="1" x14ac:dyDescent="0.25">
      <c r="A193" s="115"/>
      <c r="B193" s="200"/>
      <c r="C193" s="330"/>
      <c r="D193" s="343"/>
      <c r="E193" s="328"/>
      <c r="F193" s="328"/>
      <c r="G193" s="328"/>
      <c r="H193" s="150" t="s">
        <v>239</v>
      </c>
      <c r="I193" s="252"/>
      <c r="J193" s="252"/>
      <c r="K193" s="252"/>
      <c r="L193" s="127">
        <f>SUM(L191:L192)</f>
        <v>18180000</v>
      </c>
      <c r="M193" s="127">
        <f>SUM(M191:M192)</f>
        <v>3036060</v>
      </c>
      <c r="N193" s="252"/>
      <c r="O193" s="252"/>
      <c r="P193" s="252"/>
      <c r="Q193" s="252"/>
      <c r="R193" s="127">
        <f>SUM(R191:R192)</f>
        <v>0</v>
      </c>
      <c r="S193" s="127">
        <f>SUM(S191:S192)</f>
        <v>0</v>
      </c>
      <c r="T193" s="127">
        <f>SUM(T191:T192)</f>
        <v>0</v>
      </c>
      <c r="U193" s="127">
        <f>SUM(U191:U192)</f>
        <v>0</v>
      </c>
      <c r="V193" s="252"/>
      <c r="W193" s="252"/>
      <c r="X193" s="252"/>
      <c r="Y193" s="127">
        <f>SUM(Y191:Y192)</f>
        <v>0</v>
      </c>
      <c r="Z193" s="127"/>
      <c r="AA193" s="252"/>
      <c r="AB193" s="127">
        <f>SUM(AB191:AB192)</f>
        <v>0</v>
      </c>
      <c r="AC193" s="127">
        <f>SUM(AC191:AC192)</f>
        <v>6996000</v>
      </c>
      <c r="AD193" s="127">
        <f>SUM(AD191:AD192)</f>
        <v>0</v>
      </c>
      <c r="AE193" s="127">
        <f>SUM(AE191:AE192)</f>
        <v>10000</v>
      </c>
      <c r="AF193" s="127">
        <f>SUM(AF191:AF192)</f>
        <v>7006000</v>
      </c>
      <c r="AG193" s="252"/>
      <c r="AH193" s="252"/>
      <c r="AI193" s="252"/>
      <c r="AJ193" s="127">
        <f>SUM(AJ191:AJ192)</f>
        <v>0</v>
      </c>
      <c r="AK193" s="127">
        <f>SUM(AK191:AK192)</f>
        <v>0</v>
      </c>
      <c r="AL193" s="127">
        <f>SUM(AL191:AL192)</f>
        <v>0</v>
      </c>
      <c r="AM193" s="127">
        <f>SUM(AM191:AM192)</f>
        <v>0</v>
      </c>
      <c r="AN193" s="127">
        <f>SUM(AN191:AN192)</f>
        <v>0</v>
      </c>
      <c r="AO193" s="253"/>
      <c r="AP193" s="254"/>
      <c r="AQ193" s="175">
        <f>SUM(AQ191:AQ192)</f>
        <v>21216060</v>
      </c>
      <c r="AR193" s="175">
        <f>SUM(AR191:AR192)</f>
        <v>7006000</v>
      </c>
      <c r="AS193" s="175">
        <f>SUM(AS191:AS192)</f>
        <v>0</v>
      </c>
      <c r="AT193" s="175">
        <f>SUM(AT191:AT192)</f>
        <v>28222060</v>
      </c>
      <c r="AU193" s="175">
        <f t="shared" ref="AU193:BA193" si="127">SUM(AU191:AU192)</f>
        <v>28222060</v>
      </c>
      <c r="AV193" s="175">
        <f t="shared" si="127"/>
        <v>0</v>
      </c>
      <c r="AW193" s="175">
        <f t="shared" si="127"/>
        <v>0</v>
      </c>
      <c r="AX193" s="175">
        <f t="shared" si="127"/>
        <v>0</v>
      </c>
      <c r="AY193" s="175">
        <f t="shared" si="127"/>
        <v>0</v>
      </c>
      <c r="AZ193" s="175">
        <f t="shared" si="127"/>
        <v>0</v>
      </c>
      <c r="BA193" s="175">
        <f t="shared" si="127"/>
        <v>0</v>
      </c>
      <c r="BB193" s="175">
        <f>SUM(BB191:BB192)</f>
        <v>0</v>
      </c>
      <c r="BC193" s="169"/>
      <c r="BD193" s="169"/>
      <c r="BE193" s="169"/>
      <c r="BF193" s="169"/>
    </row>
    <row r="194" spans="1:58" ht="51.6" customHeight="1" outlineLevel="2" x14ac:dyDescent="0.25">
      <c r="A194" s="115"/>
      <c r="B194" s="200"/>
      <c r="C194" s="330"/>
      <c r="D194" s="343"/>
      <c r="E194" s="328"/>
      <c r="F194" s="328"/>
      <c r="G194" s="328"/>
      <c r="H194" s="199" t="s">
        <v>497</v>
      </c>
      <c r="I194" s="130" t="s">
        <v>5</v>
      </c>
      <c r="J194" s="126">
        <v>3</v>
      </c>
      <c r="K194" s="126">
        <v>3</v>
      </c>
      <c r="L194" s="125">
        <f>IF(I194&lt;&gt;0,((VLOOKUP(I194,'1. Standard_Cost'!$B$4:$D$11,2)+VLOOKUP(I194,'1. Standard_Cost'!$B$4:$D$11,3))*J194*K194),"0")</f>
        <v>636300</v>
      </c>
      <c r="M194" s="125">
        <f>L194*'1. Standard_Cost'!$F$4</f>
        <v>106262.1</v>
      </c>
      <c r="N194" s="126"/>
      <c r="O194" s="126"/>
      <c r="P194" s="126"/>
      <c r="Q194" s="126"/>
      <c r="R194" s="127">
        <f>'1. Standard_Cost'!$B$15*N194*P194</f>
        <v>0</v>
      </c>
      <c r="S194" s="127">
        <f>N194*O194*P194*'1. Standard_Cost'!$C$15</f>
        <v>0</v>
      </c>
      <c r="T194" s="127">
        <f>N194*P194*Q194*'1. Standard_Cost'!$D$15</f>
        <v>0</v>
      </c>
      <c r="U194" s="127">
        <f>N194*O194*'1. Standard_Cost'!$E$15</f>
        <v>0</v>
      </c>
      <c r="V194" s="126"/>
      <c r="W194" s="126"/>
      <c r="X194" s="126"/>
      <c r="Y194" s="127">
        <f>+V194*((X194*'1. Standard_Cost'!$B$19)+(W194*X194*'1. Standard_Cost'!$C$19))</f>
        <v>0</v>
      </c>
      <c r="Z194" s="126"/>
      <c r="AA194" s="126"/>
      <c r="AB194" s="127">
        <f>+Z194*'1. Standard_Cost'!$B$23+AA194*'1. Standard_Cost'!$C$23</f>
        <v>0</v>
      </c>
      <c r="AC194" s="128">
        <v>75000</v>
      </c>
      <c r="AD194" s="129"/>
      <c r="AE194" s="127">
        <f>SUM(AD194,AC194,AB194,Y194,U194,T194,S194,R194)*'1. Standard_Cost'!$B$31</f>
        <v>15000</v>
      </c>
      <c r="AF194" s="127">
        <f>SUM(AE194,AD194,AC194,AB194,Y194,U194,T194,S194,R194)</f>
        <v>90000</v>
      </c>
      <c r="AG194" s="126"/>
      <c r="AH194" s="126"/>
      <c r="AI194" s="126"/>
      <c r="AJ194" s="130"/>
      <c r="AK194" s="130"/>
      <c r="AL194" s="130"/>
      <c r="AM194" s="127">
        <f>AG194*'1. Standard_Cost'!$B$27+'Incremental_Cost Year 5'!AH194*'1. Standard_Cost'!$C$27+'Incremental_Cost Year 5'!AI194*'1. Standard_Cost'!$D$27+'Incremental_Cost Year 5'!AJ194+'Incremental_Cost Year 5'!AL194+AK194</f>
        <v>0</v>
      </c>
      <c r="AN194" s="127">
        <f>AM194*'1. Standard_Cost'!$C$31</f>
        <v>0</v>
      </c>
      <c r="AO194" s="130"/>
      <c r="AP194" s="256"/>
      <c r="AQ194" s="171">
        <f>L194+M194</f>
        <v>742562.1</v>
      </c>
      <c r="AR194" s="171">
        <f>AF194</f>
        <v>90000</v>
      </c>
      <c r="AS194" s="171">
        <f>AM194+AN194</f>
        <v>0</v>
      </c>
      <c r="AT194" s="171">
        <f>SUM(AQ194,AR194,AS194)</f>
        <v>832562.1</v>
      </c>
      <c r="AU194" s="250">
        <v>832562</v>
      </c>
      <c r="AV194" s="250"/>
      <c r="AW194" s="250"/>
      <c r="AX194" s="250"/>
      <c r="AY194" s="250"/>
      <c r="AZ194" s="250"/>
      <c r="BA194" s="250"/>
      <c r="BB194" s="251">
        <f t="shared" ref="BB194:BB195" si="128">SUM(AU194:BA194)-AT194</f>
        <v>-9.9999999976716936E-2</v>
      </c>
      <c r="BC194" s="169"/>
      <c r="BD194" s="169"/>
      <c r="BE194" s="169"/>
      <c r="BF194" s="169"/>
    </row>
    <row r="195" spans="1:58" ht="51.6" customHeight="1" outlineLevel="2" x14ac:dyDescent="0.25">
      <c r="A195" s="115"/>
      <c r="B195" s="147"/>
      <c r="C195" s="341"/>
      <c r="D195" s="344"/>
      <c r="E195" s="328"/>
      <c r="F195" s="328"/>
      <c r="G195" s="328"/>
      <c r="H195" s="199" t="s">
        <v>498</v>
      </c>
      <c r="I195" s="130" t="s">
        <v>5</v>
      </c>
      <c r="J195" s="126">
        <v>0.2</v>
      </c>
      <c r="K195" s="126">
        <v>2</v>
      </c>
      <c r="L195" s="125">
        <f>IF(I195&lt;&gt;0,((VLOOKUP(I195,'1. Standard_Cost'!$B$4:$D$11,2)+VLOOKUP(I195,'1. Standard_Cost'!$B$4:$D$11,3))*J195*K195),"0")</f>
        <v>28280</v>
      </c>
      <c r="M195" s="125">
        <f>L195*'1. Standard_Cost'!$F$4</f>
        <v>4722.76</v>
      </c>
      <c r="N195" s="126">
        <v>1</v>
      </c>
      <c r="O195" s="126">
        <v>1</v>
      </c>
      <c r="P195" s="126">
        <v>20</v>
      </c>
      <c r="Q195" s="126"/>
      <c r="R195" s="127">
        <f>'1. Standard_Cost'!$B$15*N195*P195</f>
        <v>40000</v>
      </c>
      <c r="S195" s="127">
        <f>N195*O195*P195*'1. Standard_Cost'!$C$15</f>
        <v>30000</v>
      </c>
      <c r="T195" s="127">
        <f>N195*P195*Q195*'1. Standard_Cost'!$D$15</f>
        <v>0</v>
      </c>
      <c r="U195" s="127">
        <f>N195*O195*'1. Standard_Cost'!$E$15</f>
        <v>40000</v>
      </c>
      <c r="V195" s="126"/>
      <c r="W195" s="126"/>
      <c r="X195" s="126"/>
      <c r="Y195" s="127">
        <f>+V195*((X195*'1. Standard_Cost'!$B$19)+(W195*X195*'1. Standard_Cost'!$C$19))</f>
        <v>0</v>
      </c>
      <c r="Z195" s="126"/>
      <c r="AA195" s="126"/>
      <c r="AB195" s="127">
        <f>+Z195*'1. Standard_Cost'!$B$23+AA195*'1. Standard_Cost'!$C$23</f>
        <v>0</v>
      </c>
      <c r="AC195" s="128">
        <v>15000</v>
      </c>
      <c r="AD195" s="129"/>
      <c r="AE195" s="127">
        <f>SUM(AD195,AC195,AB195,Y195,U195,T195,S195,R195)*'1. Standard_Cost'!$B$31</f>
        <v>25000</v>
      </c>
      <c r="AF195" s="127">
        <f>SUM(AE195,AD195,AC195,AB195,Y195,U195,T195,S195,R195)</f>
        <v>150000</v>
      </c>
      <c r="AG195" s="126"/>
      <c r="AH195" s="126"/>
      <c r="AI195" s="126"/>
      <c r="AJ195" s="130"/>
      <c r="AK195" s="130"/>
      <c r="AL195" s="130"/>
      <c r="AM195" s="127">
        <f>AG195*'1. Standard_Cost'!$B$27+'Incremental_Cost Year 5'!AH195*'1. Standard_Cost'!$C$27+'Incremental_Cost Year 5'!AI195*'1. Standard_Cost'!$D$27+'Incremental_Cost Year 5'!AJ195+'Incremental_Cost Year 5'!AL195+AK195</f>
        <v>0</v>
      </c>
      <c r="AN195" s="127">
        <f>AM195*'1. Standard_Cost'!$C$31</f>
        <v>0</v>
      </c>
      <c r="AO195" s="130"/>
      <c r="AP195" s="256"/>
      <c r="AQ195" s="171">
        <f>L195+M195</f>
        <v>33002.76</v>
      </c>
      <c r="AR195" s="171">
        <f>AF195</f>
        <v>150000</v>
      </c>
      <c r="AS195" s="171">
        <f>AM195+AN195</f>
        <v>0</v>
      </c>
      <c r="AT195" s="171">
        <f>SUM(AQ195,AR195,AS195)</f>
        <v>183002.76</v>
      </c>
      <c r="AU195" s="250">
        <v>135003</v>
      </c>
      <c r="AV195" s="250"/>
      <c r="AW195" s="250"/>
      <c r="AX195" s="250"/>
      <c r="AY195" s="250"/>
      <c r="AZ195" s="250"/>
      <c r="BA195" s="250"/>
      <c r="BB195" s="251">
        <f t="shared" si="128"/>
        <v>-47999.760000000009</v>
      </c>
      <c r="BC195" s="169"/>
      <c r="BD195" s="169"/>
      <c r="BE195" s="169"/>
      <c r="BF195" s="169"/>
    </row>
    <row r="196" spans="1:58" ht="51.6" customHeight="1" outlineLevel="1" x14ac:dyDescent="0.25">
      <c r="A196" s="115"/>
      <c r="B196" s="200"/>
      <c r="C196" s="201"/>
      <c r="D196" s="107" t="s">
        <v>240</v>
      </c>
      <c r="E196" s="212" t="s">
        <v>499</v>
      </c>
      <c r="F196" s="104">
        <v>2021</v>
      </c>
      <c r="G196" s="104">
        <v>2030</v>
      </c>
      <c r="H196" s="150" t="s">
        <v>241</v>
      </c>
      <c r="I196" s="252"/>
      <c r="J196" s="252"/>
      <c r="K196" s="252"/>
      <c r="L196" s="127">
        <f>SUM(L194:L195)</f>
        <v>664580</v>
      </c>
      <c r="M196" s="127">
        <f>SUM(M194:M195)</f>
        <v>110984.86</v>
      </c>
      <c r="N196" s="252"/>
      <c r="O196" s="252"/>
      <c r="P196" s="252"/>
      <c r="Q196" s="252"/>
      <c r="R196" s="127">
        <f>SUM(R194:R195)</f>
        <v>40000</v>
      </c>
      <c r="S196" s="127">
        <f>SUM(S194:S195)</f>
        <v>30000</v>
      </c>
      <c r="T196" s="127">
        <f>SUM(T194:T195)</f>
        <v>0</v>
      </c>
      <c r="U196" s="127">
        <f>SUM(U194:U195)</f>
        <v>40000</v>
      </c>
      <c r="V196" s="252"/>
      <c r="W196" s="252"/>
      <c r="X196" s="252"/>
      <c r="Y196" s="127">
        <f>SUM(Y194:Y195)</f>
        <v>0</v>
      </c>
      <c r="Z196" s="127"/>
      <c r="AA196" s="252"/>
      <c r="AB196" s="127">
        <f>SUM(AB194:AB195)</f>
        <v>0</v>
      </c>
      <c r="AC196" s="127">
        <f>SUM(AC194:AC195)</f>
        <v>90000</v>
      </c>
      <c r="AD196" s="127">
        <f>SUM(AD194:AD195)</f>
        <v>0</v>
      </c>
      <c r="AE196" s="127">
        <f>SUM(AE194:AE195)</f>
        <v>40000</v>
      </c>
      <c r="AF196" s="127">
        <f>SUM(AF194:AF195)</f>
        <v>240000</v>
      </c>
      <c r="AG196" s="252"/>
      <c r="AH196" s="252"/>
      <c r="AI196" s="252"/>
      <c r="AJ196" s="127">
        <f>SUM(AJ194:AJ195)</f>
        <v>0</v>
      </c>
      <c r="AK196" s="127">
        <f>SUM(AK194:AK195)</f>
        <v>0</v>
      </c>
      <c r="AL196" s="127">
        <f>SUM(AL194:AL195)</f>
        <v>0</v>
      </c>
      <c r="AM196" s="127">
        <f>SUM(AM194:AM195)</f>
        <v>0</v>
      </c>
      <c r="AN196" s="127">
        <f>SUM(AN194:AN195)</f>
        <v>0</v>
      </c>
      <c r="AO196" s="253"/>
      <c r="AP196" s="254"/>
      <c r="AQ196" s="175">
        <f>SUM(AQ194:AQ195)</f>
        <v>775564.86</v>
      </c>
      <c r="AR196" s="175">
        <f>SUM(AR194:AR195)</f>
        <v>240000</v>
      </c>
      <c r="AS196" s="175">
        <f>SUM(AS194:AS195)</f>
        <v>0</v>
      </c>
      <c r="AT196" s="175">
        <f>SUM(AT194:AT195)</f>
        <v>1015564.86</v>
      </c>
      <c r="AU196" s="175">
        <f t="shared" ref="AU196:BA196" si="129">SUM(AU194:AU195)</f>
        <v>967565</v>
      </c>
      <c r="AV196" s="175">
        <f t="shared" si="129"/>
        <v>0</v>
      </c>
      <c r="AW196" s="175">
        <f t="shared" si="129"/>
        <v>0</v>
      </c>
      <c r="AX196" s="175">
        <f t="shared" si="129"/>
        <v>0</v>
      </c>
      <c r="AY196" s="175">
        <f t="shared" si="129"/>
        <v>0</v>
      </c>
      <c r="AZ196" s="175">
        <f t="shared" si="129"/>
        <v>0</v>
      </c>
      <c r="BA196" s="175">
        <f t="shared" si="129"/>
        <v>0</v>
      </c>
      <c r="BB196" s="175">
        <f>SUM(BB194:BB195)</f>
        <v>-47999.859999999986</v>
      </c>
      <c r="BC196" s="169"/>
      <c r="BD196" s="169"/>
      <c r="BE196" s="169"/>
      <c r="BF196" s="169"/>
    </row>
    <row r="197" spans="1:58" s="170" customFormat="1" ht="51.6" customHeight="1" x14ac:dyDescent="0.25">
      <c r="A197" s="120"/>
      <c r="B197" s="396" t="s">
        <v>243</v>
      </c>
      <c r="C197" s="389"/>
      <c r="D197" s="389"/>
      <c r="E197" s="390"/>
      <c r="F197" s="286"/>
      <c r="G197" s="286"/>
      <c r="H197" s="279" t="s">
        <v>184</v>
      </c>
      <c r="I197" s="243"/>
      <c r="J197" s="243"/>
      <c r="K197" s="243"/>
      <c r="L197" s="243">
        <f>SUM(L198,L213,L221,L226,L232,L238)</f>
        <v>1063607611.4285715</v>
      </c>
      <c r="M197" s="243">
        <f>SUM(M198,M213,M221,M226,M232,M238)</f>
        <v>177622471.10857144</v>
      </c>
      <c r="N197" s="243"/>
      <c r="O197" s="243"/>
      <c r="P197" s="243"/>
      <c r="Q197" s="243"/>
      <c r="R197" s="243">
        <f>SUM(R198,R213,R221,R226,R232,R238)</f>
        <v>800000</v>
      </c>
      <c r="S197" s="243">
        <f>SUM(S198,S213,S221,S226,S232,S238)</f>
        <v>600000</v>
      </c>
      <c r="T197" s="243">
        <f>SUM(T198,T213,T221,T226,T232,T238)</f>
        <v>0</v>
      </c>
      <c r="U197" s="243">
        <f>SUM(U198,U213,U221,U226,U232,U238)</f>
        <v>800000</v>
      </c>
      <c r="V197" s="243"/>
      <c r="W197" s="243"/>
      <c r="X197" s="243"/>
      <c r="Y197" s="243">
        <f>SUM(Y198,Y213,Y221,Y226,Y232,Y238)</f>
        <v>0</v>
      </c>
      <c r="Z197" s="243">
        <f>SUM(Z198,Z213,Z221,Z226,Z232,Z238)</f>
        <v>0</v>
      </c>
      <c r="AA197" s="243"/>
      <c r="AB197" s="243">
        <f>SUM(AB198,AB213,AB221,AB226,AB232,AB238)</f>
        <v>2128000</v>
      </c>
      <c r="AC197" s="243">
        <f>SUM(AC198,AC213,AC221,AC226,AC232,AC238)</f>
        <v>1653307000</v>
      </c>
      <c r="AD197" s="243">
        <f>SUM(AD198,AD213,AD221,AD226,AD232,AD238)</f>
        <v>0</v>
      </c>
      <c r="AE197" s="243">
        <f>SUM(AE198,AE213,AE221,AE226,AE232,AE238)</f>
        <v>43094400</v>
      </c>
      <c r="AF197" s="243">
        <f>SUM(AF198,AF213,AF221,AF226,AF232,AF238)</f>
        <v>1700729400</v>
      </c>
      <c r="AG197" s="243"/>
      <c r="AH197" s="243"/>
      <c r="AI197" s="243"/>
      <c r="AJ197" s="243">
        <f>SUM(AJ198,AJ213,AJ221,AJ226,AJ232,AJ238)</f>
        <v>195575000</v>
      </c>
      <c r="AK197" s="243">
        <f>SUM(AK198,AK213,AK221,AK226,AK232,AK238)</f>
        <v>25000000</v>
      </c>
      <c r="AL197" s="243">
        <f>SUM(AL198,AL213,AL221,AL226,AL232,AL238)</f>
        <v>0</v>
      </c>
      <c r="AM197" s="243">
        <f>SUM(AM198,AM213,AM221,AM226,AM232,AM238)</f>
        <v>220575000</v>
      </c>
      <c r="AN197" s="243">
        <f>SUM(AN198,AN213,AN221,AN226,AN232,AN238)</f>
        <v>33086250</v>
      </c>
      <c r="AO197" s="243"/>
      <c r="AP197" s="244"/>
      <c r="AQ197" s="245">
        <f>SUM(AQ198,AQ213,AQ221,AQ226,AQ232,AQ238)</f>
        <v>1241230082.537143</v>
      </c>
      <c r="AR197" s="245">
        <f>SUM(AR198,AR213,AR221,AR226,AR232,AR238)</f>
        <v>1700729400</v>
      </c>
      <c r="AS197" s="245">
        <f>SUM(AS198,AS213,AS221,AS226,AS232,AS238)</f>
        <v>253661250</v>
      </c>
      <c r="AT197" s="245">
        <f>SUM(AT198,AT213,AT221,AT226,AT232,AT238)</f>
        <v>3195620732.5371432</v>
      </c>
      <c r="AU197" s="245">
        <f t="shared" ref="AU197:BB197" si="130">SUM(AU198,AU213,AU221,AU226,AU232,AU238)</f>
        <v>3158278082.5371432</v>
      </c>
      <c r="AV197" s="245">
        <f t="shared" si="130"/>
        <v>0</v>
      </c>
      <c r="AW197" s="245">
        <f t="shared" si="130"/>
        <v>0</v>
      </c>
      <c r="AX197" s="245">
        <f t="shared" si="130"/>
        <v>0</v>
      </c>
      <c r="AY197" s="245">
        <f t="shared" si="130"/>
        <v>0</v>
      </c>
      <c r="AZ197" s="245">
        <f t="shared" si="130"/>
        <v>0</v>
      </c>
      <c r="BA197" s="245">
        <f t="shared" si="130"/>
        <v>0</v>
      </c>
      <c r="BB197" s="245">
        <f t="shared" si="130"/>
        <v>-37342650</v>
      </c>
    </row>
    <row r="198" spans="1:58" s="184" customFormat="1" ht="51.6" customHeight="1" x14ac:dyDescent="0.25">
      <c r="A198" s="143"/>
      <c r="B198" s="332"/>
      <c r="C198" s="397" t="s">
        <v>244</v>
      </c>
      <c r="D198" s="397"/>
      <c r="E198" s="398"/>
      <c r="F198" s="291"/>
      <c r="G198" s="340"/>
      <c r="H198" s="144" t="s">
        <v>185</v>
      </c>
      <c r="I198" s="269"/>
      <c r="J198" s="257"/>
      <c r="K198" s="257"/>
      <c r="L198" s="258">
        <f>SUM(L203,L209,L212)</f>
        <v>143946211.42857143</v>
      </c>
      <c r="M198" s="258">
        <f>SUM(M203,M209,M212)</f>
        <v>24039017.308571428</v>
      </c>
      <c r="N198" s="257"/>
      <c r="O198" s="257"/>
      <c r="P198" s="257"/>
      <c r="Q198" s="257"/>
      <c r="R198" s="258">
        <f>SUM(R203,R209,R212)</f>
        <v>800000</v>
      </c>
      <c r="S198" s="258">
        <f>SUM(S203,S209,S212)</f>
        <v>600000</v>
      </c>
      <c r="T198" s="258">
        <f>SUM(T203,T209,T212)</f>
        <v>0</v>
      </c>
      <c r="U198" s="258">
        <f>SUM(U203,U209,U212)</f>
        <v>800000</v>
      </c>
      <c r="V198" s="257"/>
      <c r="W198" s="257"/>
      <c r="X198" s="257"/>
      <c r="Y198" s="258">
        <f>SUM(Y203,Y209,Y212)</f>
        <v>0</v>
      </c>
      <c r="Z198" s="258">
        <f>SUM(Z203,Z209,Z212)</f>
        <v>0</v>
      </c>
      <c r="AA198" s="257"/>
      <c r="AB198" s="258">
        <f>SUM(AB203,AB209,AB212)</f>
        <v>2128000</v>
      </c>
      <c r="AC198" s="258">
        <f>SUM(AC203,AC209,AC212)</f>
        <v>209344000</v>
      </c>
      <c r="AD198" s="258">
        <f>SUM(AD203,AD209,AD212)</f>
        <v>0</v>
      </c>
      <c r="AE198" s="258">
        <f>SUM(AE203,AE209,AE212)</f>
        <v>42734400</v>
      </c>
      <c r="AF198" s="258">
        <f>SUM(AF203,AF209,AF212)</f>
        <v>256406400</v>
      </c>
      <c r="AG198" s="257"/>
      <c r="AH198" s="257"/>
      <c r="AI198" s="257"/>
      <c r="AJ198" s="258">
        <f>SUM(AJ203,AJ209,AJ212)</f>
        <v>195575000</v>
      </c>
      <c r="AK198" s="258">
        <f>SUM(AK203,AK209,AK212)</f>
        <v>0</v>
      </c>
      <c r="AL198" s="258">
        <f>SUM(AL203,AL209,AL212)</f>
        <v>0</v>
      </c>
      <c r="AM198" s="258">
        <f>SUM(AM203,AM209,AM212)</f>
        <v>195575000</v>
      </c>
      <c r="AN198" s="258">
        <f>SUM(AN203,AN209,AN212)</f>
        <v>29336250</v>
      </c>
      <c r="AO198" s="259"/>
      <c r="AP198" s="260"/>
      <c r="AQ198" s="261">
        <f>SUM(AQ203,AQ209,AQ212)</f>
        <v>167985228.73714286</v>
      </c>
      <c r="AR198" s="261">
        <f>SUM(AR203,AR209,AR212)</f>
        <v>256406400</v>
      </c>
      <c r="AS198" s="261">
        <f>SUM(AS203,AS209,AS212)</f>
        <v>224911250</v>
      </c>
      <c r="AT198" s="261">
        <f>SUM(AT203,AT209,AT212)</f>
        <v>649302878.7371428</v>
      </c>
      <c r="AU198" s="261">
        <f t="shared" ref="AU198:BB198" si="131">SUM(AU203,AU209,AU212)</f>
        <v>613160228.7371428</v>
      </c>
      <c r="AV198" s="261">
        <f t="shared" si="131"/>
        <v>0</v>
      </c>
      <c r="AW198" s="261">
        <f t="shared" si="131"/>
        <v>0</v>
      </c>
      <c r="AX198" s="261">
        <f t="shared" si="131"/>
        <v>0</v>
      </c>
      <c r="AY198" s="261">
        <f t="shared" si="131"/>
        <v>0</v>
      </c>
      <c r="AZ198" s="261">
        <f t="shared" si="131"/>
        <v>0</v>
      </c>
      <c r="BA198" s="261">
        <f t="shared" si="131"/>
        <v>0</v>
      </c>
      <c r="BB198" s="261">
        <f t="shared" si="131"/>
        <v>-36142650</v>
      </c>
    </row>
    <row r="199" spans="1:58" ht="51.6" customHeight="1" outlineLevel="2" x14ac:dyDescent="0.25">
      <c r="A199" s="115"/>
      <c r="B199" s="200"/>
      <c r="C199" s="201"/>
      <c r="D199" s="202"/>
      <c r="E199" s="226"/>
      <c r="F199" s="295"/>
      <c r="G199" s="296"/>
      <c r="H199" s="199" t="s">
        <v>500</v>
      </c>
      <c r="I199" s="130"/>
      <c r="J199" s="126"/>
      <c r="K199" s="126"/>
      <c r="L199" s="125" t="str">
        <f>IF(I199&lt;&gt;0,((VLOOKUP(I199,'1. Standard_Cost'!$B$4:$D$11,2)+VLOOKUP(I199,'1. Standard_Cost'!$B$4:$D$11,3))*J199*K199),"0")</f>
        <v>0</v>
      </c>
      <c r="M199" s="125">
        <f>L199*'1. Standard_Cost'!$F$4</f>
        <v>0</v>
      </c>
      <c r="N199" s="126"/>
      <c r="O199" s="126"/>
      <c r="P199" s="126"/>
      <c r="Q199" s="126"/>
      <c r="R199" s="127">
        <f>'1. Standard_Cost'!$B$15*N199*P199</f>
        <v>0</v>
      </c>
      <c r="S199" s="127">
        <f>N199*O199*P199*'1. Standard_Cost'!$C$15</f>
        <v>0</v>
      </c>
      <c r="T199" s="127">
        <f>N199*P199*Q199*'1. Standard_Cost'!$D$15</f>
        <v>0</v>
      </c>
      <c r="U199" s="127">
        <f>N199*O199*'1. Standard_Cost'!$E$15</f>
        <v>0</v>
      </c>
      <c r="V199" s="126"/>
      <c r="W199" s="126"/>
      <c r="X199" s="126"/>
      <c r="Y199" s="127">
        <f>+V199*((X199*'1. Standard_Cost'!$B$19)+(W199*X199*'1. Standard_Cost'!$C$19))</f>
        <v>0</v>
      </c>
      <c r="Z199" s="126"/>
      <c r="AA199" s="126"/>
      <c r="AB199" s="127">
        <f>+Z199*'1. Standard_Cost'!$B$23+AA199*'1. Standard_Cost'!$C$23</f>
        <v>0</v>
      </c>
      <c r="AC199" s="128"/>
      <c r="AD199" s="129"/>
      <c r="AE199" s="127">
        <f>SUM(AD199,AC199,AB199,Y199,U199,T199,S199,R199)*'1. Standard_Cost'!$B$31</f>
        <v>0</v>
      </c>
      <c r="AF199" s="127">
        <f>SUM(AE199,AD199,AC199,AB199,Y199,U199,T199,S199,R199)</f>
        <v>0</v>
      </c>
      <c r="AG199" s="126"/>
      <c r="AH199" s="126"/>
      <c r="AI199" s="126"/>
      <c r="AJ199" s="130"/>
      <c r="AK199" s="130"/>
      <c r="AL199" s="130"/>
      <c r="AM199" s="127">
        <f>AG199*'1. Standard_Cost'!$B$27+'Incremental_Cost Year 5'!AH199*'1. Standard_Cost'!$C$27+'Incremental_Cost Year 5'!AI199*'1. Standard_Cost'!$D$27+'Incremental_Cost Year 5'!AJ199+'Incremental_Cost Year 5'!AL199+AK199</f>
        <v>0</v>
      </c>
      <c r="AN199" s="127">
        <f>AM199*'1. Standard_Cost'!$C$31</f>
        <v>0</v>
      </c>
      <c r="AO199" s="130"/>
      <c r="AQ199" s="171">
        <f>L199+M199</f>
        <v>0</v>
      </c>
      <c r="AR199" s="171">
        <f>AF199</f>
        <v>0</v>
      </c>
      <c r="AS199" s="171">
        <f>AM199+AN199</f>
        <v>0</v>
      </c>
      <c r="AT199" s="171">
        <f>SUM(AQ199,AR199,AS199)</f>
        <v>0</v>
      </c>
      <c r="AU199" s="250">
        <f>AT199</f>
        <v>0</v>
      </c>
      <c r="AV199" s="250"/>
      <c r="AW199" s="250"/>
      <c r="AX199" s="250"/>
      <c r="AY199" s="250"/>
      <c r="AZ199" s="250"/>
      <c r="BA199" s="250"/>
      <c r="BB199" s="251">
        <f t="shared" ref="BB199:BB202" si="132">SUM(AU199:BA199)-AT199</f>
        <v>0</v>
      </c>
      <c r="BC199" s="169"/>
      <c r="BD199" s="169"/>
      <c r="BE199" s="169"/>
      <c r="BF199" s="169"/>
    </row>
    <row r="200" spans="1:58" ht="51.6" customHeight="1" outlineLevel="2" x14ac:dyDescent="0.25">
      <c r="A200" s="115"/>
      <c r="B200" s="200"/>
      <c r="C200" s="201"/>
      <c r="D200" s="202"/>
      <c r="E200" s="202"/>
      <c r="F200" s="219"/>
      <c r="G200" s="313"/>
      <c r="H200" s="199" t="s">
        <v>501</v>
      </c>
      <c r="I200" s="130"/>
      <c r="J200" s="126"/>
      <c r="K200" s="126"/>
      <c r="L200" s="125" t="str">
        <f>IF(I200&lt;&gt;0,((VLOOKUP(I200,'1. Standard_Cost'!$B$4:$D$11,2)+VLOOKUP(I200,'1. Standard_Cost'!$B$4:$D$11,3))*J200*K200),"0")</f>
        <v>0</v>
      </c>
      <c r="M200" s="125">
        <f>L200*'1. Standard_Cost'!$F$4</f>
        <v>0</v>
      </c>
      <c r="N200" s="126"/>
      <c r="O200" s="126"/>
      <c r="P200" s="126"/>
      <c r="Q200" s="126"/>
      <c r="R200" s="127">
        <f>'1. Standard_Cost'!$B$15*N200*P200</f>
        <v>0</v>
      </c>
      <c r="S200" s="127">
        <f>N200*O200*P200*'1. Standard_Cost'!$C$15</f>
        <v>0</v>
      </c>
      <c r="T200" s="127">
        <f>N200*P200*Q200*'1. Standard_Cost'!$D$15</f>
        <v>0</v>
      </c>
      <c r="U200" s="127">
        <f>N200*O200*'1. Standard_Cost'!$E$15</f>
        <v>0</v>
      </c>
      <c r="V200" s="126"/>
      <c r="W200" s="126"/>
      <c r="X200" s="126"/>
      <c r="Y200" s="127">
        <f>+V200*((X200*'1. Standard_Cost'!$B$19)+(W200*X200*'1. Standard_Cost'!$C$19))</f>
        <v>0</v>
      </c>
      <c r="Z200" s="126"/>
      <c r="AA200" s="126">
        <v>90</v>
      </c>
      <c r="AB200" s="127">
        <f>+Z200*'1. Standard_Cost'!$B$23+AA200*'1. Standard_Cost'!$C$23</f>
        <v>1710000</v>
      </c>
      <c r="AC200" s="128">
        <f>4*20*300</f>
        <v>24000</v>
      </c>
      <c r="AD200" s="129"/>
      <c r="AE200" s="127">
        <f>SUM(AD200,AC200,AB200,Y200,U200,T200,S200,R200)*'1. Standard_Cost'!$B$31</f>
        <v>346800</v>
      </c>
      <c r="AF200" s="127">
        <f>SUM(AE200,AD200,AC200,AB200,Y200,U200,T200,S200,R200)</f>
        <v>2080800</v>
      </c>
      <c r="AG200" s="126"/>
      <c r="AH200" s="126"/>
      <c r="AI200" s="126"/>
      <c r="AJ200" s="130"/>
      <c r="AK200" s="130"/>
      <c r="AL200" s="130"/>
      <c r="AM200" s="127">
        <f>AG200*'1. Standard_Cost'!$B$27+'Incremental_Cost Year 5'!AH200*'1. Standard_Cost'!$C$27+'Incremental_Cost Year 5'!AI200*'1. Standard_Cost'!$D$27+'Incremental_Cost Year 5'!AJ200+'Incremental_Cost Year 5'!AL200+AK200</f>
        <v>0</v>
      </c>
      <c r="AN200" s="127">
        <f>AM200*'1. Standard_Cost'!$C$31</f>
        <v>0</v>
      </c>
      <c r="AO200" s="130"/>
      <c r="AQ200" s="171">
        <f>L200+M200</f>
        <v>0</v>
      </c>
      <c r="AR200" s="171">
        <f>AF200</f>
        <v>2080800</v>
      </c>
      <c r="AS200" s="171">
        <f>AM200+AN200</f>
        <v>0</v>
      </c>
      <c r="AT200" s="171">
        <f>SUM(AQ200,AR200,AS200)</f>
        <v>2080800</v>
      </c>
      <c r="AU200" s="250">
        <f>AQ200</f>
        <v>0</v>
      </c>
      <c r="AV200" s="250"/>
      <c r="AW200" s="250"/>
      <c r="AX200" s="250"/>
      <c r="AY200" s="250"/>
      <c r="AZ200" s="250"/>
      <c r="BA200" s="250"/>
      <c r="BB200" s="251">
        <f t="shared" si="132"/>
        <v>-2080800</v>
      </c>
      <c r="BC200" s="169"/>
      <c r="BD200" s="169"/>
      <c r="BE200" s="169"/>
      <c r="BF200" s="169"/>
    </row>
    <row r="201" spans="1:58" ht="51.6" customHeight="1" outlineLevel="2" x14ac:dyDescent="0.25">
      <c r="A201" s="115"/>
      <c r="B201" s="200"/>
      <c r="C201" s="201"/>
      <c r="D201" s="202"/>
      <c r="E201" s="202"/>
      <c r="F201" s="219"/>
      <c r="G201" s="313"/>
      <c r="H201" s="199" t="s">
        <v>502</v>
      </c>
      <c r="I201" s="130"/>
      <c r="J201" s="126"/>
      <c r="K201" s="126"/>
      <c r="L201" s="125" t="str">
        <f>IF(I201&lt;&gt;0,((VLOOKUP(I201,'1. Standard_Cost'!$B$4:$D$11,2)+VLOOKUP(I201,'1. Standard_Cost'!$B$4:$D$11,3))*J201*K201),"0")</f>
        <v>0</v>
      </c>
      <c r="M201" s="125">
        <f>L201*'1. Standard_Cost'!$F$4</f>
        <v>0</v>
      </c>
      <c r="N201" s="126"/>
      <c r="O201" s="126"/>
      <c r="P201" s="126"/>
      <c r="Q201" s="126"/>
      <c r="R201" s="127">
        <f>'1. Standard_Cost'!$B$15*N201*P201</f>
        <v>0</v>
      </c>
      <c r="S201" s="127">
        <f>N201*O201*P201*'1. Standard_Cost'!$C$15</f>
        <v>0</v>
      </c>
      <c r="T201" s="127">
        <f>N201*P201*Q201*'1. Standard_Cost'!$D$15</f>
        <v>0</v>
      </c>
      <c r="U201" s="127">
        <f>N201*O201*'1. Standard_Cost'!$E$15</f>
        <v>0</v>
      </c>
      <c r="V201" s="126"/>
      <c r="W201" s="126"/>
      <c r="X201" s="126"/>
      <c r="Y201" s="127">
        <f>+V201*((X201*'1. Standard_Cost'!$B$19)+(W201*X201*'1. Standard_Cost'!$C$19))</f>
        <v>0</v>
      </c>
      <c r="Z201" s="126"/>
      <c r="AA201" s="126"/>
      <c r="AB201" s="127">
        <f>+Z201*'1. Standard_Cost'!$B$23+AA201*'1. Standard_Cost'!$C$23</f>
        <v>0</v>
      </c>
      <c r="AC201" s="128"/>
      <c r="AD201" s="129"/>
      <c r="AE201" s="127">
        <f>SUM(AD201,AC201,AB201,Y201,U201,T201,S201,R201)*'1. Standard_Cost'!$B$31</f>
        <v>0</v>
      </c>
      <c r="AF201" s="127">
        <f>SUM(AE201,AD201,AC201,AB201,Y201,U201,T201,S201,R201)</f>
        <v>0</v>
      </c>
      <c r="AG201" s="126"/>
      <c r="AH201" s="126"/>
      <c r="AI201" s="126"/>
      <c r="AJ201" s="130"/>
      <c r="AK201" s="130"/>
      <c r="AL201" s="130"/>
      <c r="AM201" s="127">
        <f>AG201*'1. Standard_Cost'!$B$27+'Incremental_Cost Year 5'!AH201*'1. Standard_Cost'!$C$27+'Incremental_Cost Year 5'!AI201*'1. Standard_Cost'!$D$27+'Incremental_Cost Year 5'!AJ201+'Incremental_Cost Year 5'!AL201+AK201</f>
        <v>0</v>
      </c>
      <c r="AN201" s="127">
        <f>AM201*'1. Standard_Cost'!$C$31</f>
        <v>0</v>
      </c>
      <c r="AO201" s="130"/>
      <c r="AQ201" s="171">
        <f>L201+M201</f>
        <v>0</v>
      </c>
      <c r="AR201" s="171">
        <f>AF201</f>
        <v>0</v>
      </c>
      <c r="AS201" s="171">
        <f>AM201+AN201</f>
        <v>0</v>
      </c>
      <c r="AT201" s="171">
        <f>SUM(AQ201,AR201,AS201)</f>
        <v>0</v>
      </c>
      <c r="AU201" s="250"/>
      <c r="AV201" s="250"/>
      <c r="AW201" s="250"/>
      <c r="AX201" s="250"/>
      <c r="AY201" s="250"/>
      <c r="AZ201" s="250"/>
      <c r="BA201" s="250"/>
      <c r="BB201" s="251">
        <f t="shared" si="132"/>
        <v>0</v>
      </c>
      <c r="BC201" s="169"/>
      <c r="BD201" s="169"/>
      <c r="BE201" s="169"/>
      <c r="BF201" s="169"/>
    </row>
    <row r="202" spans="1:58" ht="51.6" customHeight="1" outlineLevel="2" x14ac:dyDescent="0.25">
      <c r="A202" s="115"/>
      <c r="B202" s="200"/>
      <c r="C202" s="201"/>
      <c r="D202" s="202"/>
      <c r="E202" s="310"/>
      <c r="F202" s="122"/>
      <c r="G202" s="123"/>
      <c r="H202" s="199" t="s">
        <v>545</v>
      </c>
      <c r="I202" s="130"/>
      <c r="J202" s="126"/>
      <c r="K202" s="126"/>
      <c r="L202" s="125" t="str">
        <f>IF(I202&lt;&gt;0,((VLOOKUP(I202,'1. Standard_Cost'!$B$4:$D$11,2)+VLOOKUP(I202,'1. Standard_Cost'!$B$4:$D$11,3))*J202*K202),"0")</f>
        <v>0</v>
      </c>
      <c r="M202" s="125">
        <f>L202*'1. Standard_Cost'!$F$4</f>
        <v>0</v>
      </c>
      <c r="N202" s="126"/>
      <c r="O202" s="126"/>
      <c r="P202" s="126"/>
      <c r="Q202" s="126"/>
      <c r="R202" s="127">
        <f>'1. Standard_Cost'!$B$15*N202*P202</f>
        <v>0</v>
      </c>
      <c r="S202" s="127">
        <f>N202*O202*P202*'1. Standard_Cost'!$C$15</f>
        <v>0</v>
      </c>
      <c r="T202" s="127">
        <f>N202*P202*Q202*'1. Standard_Cost'!$D$15</f>
        <v>0</v>
      </c>
      <c r="U202" s="127">
        <f>N202*O202*'1. Standard_Cost'!$E$15</f>
        <v>0</v>
      </c>
      <c r="V202" s="126"/>
      <c r="W202" s="126"/>
      <c r="X202" s="126"/>
      <c r="Y202" s="127">
        <f>+V202*((X202*'1. Standard_Cost'!$B$19)+(W202*X202*'1. Standard_Cost'!$C$19))</f>
        <v>0</v>
      </c>
      <c r="Z202" s="126"/>
      <c r="AA202" s="126"/>
      <c r="AB202" s="127">
        <f>+Z202*'1. Standard_Cost'!$B$23+AA202*'1. Standard_Cost'!$C$23</f>
        <v>0</v>
      </c>
      <c r="AC202" s="128"/>
      <c r="AD202" s="129"/>
      <c r="AE202" s="127">
        <f>SUM(AD202,AC202,AB202,Y202,U202,T202,S202,R202)*'1. Standard_Cost'!$B$31</f>
        <v>0</v>
      </c>
      <c r="AF202" s="127">
        <f>SUM(AE202,AD202,AC202,AB202,Y202,U202,T202,S202,R202)</f>
        <v>0</v>
      </c>
      <c r="AG202" s="126"/>
      <c r="AH202" s="126"/>
      <c r="AI202" s="126"/>
      <c r="AJ202" s="130"/>
      <c r="AK202" s="130"/>
      <c r="AL202" s="130"/>
      <c r="AM202" s="127">
        <f>AG202*'1. Standard_Cost'!$B$27+'Incremental_Cost Year 5'!AH202*'1. Standard_Cost'!$C$27+'Incremental_Cost Year 5'!AI202*'1. Standard_Cost'!$D$27+'Incremental_Cost Year 5'!AJ202+'Incremental_Cost Year 5'!AL202+AK202</f>
        <v>0</v>
      </c>
      <c r="AN202" s="127">
        <f>AM202*'1. Standard_Cost'!$C$31</f>
        <v>0</v>
      </c>
      <c r="AO202" s="130"/>
      <c r="AQ202" s="171">
        <f>L202+M202</f>
        <v>0</v>
      </c>
      <c r="AR202" s="171">
        <f>AF202</f>
        <v>0</v>
      </c>
      <c r="AS202" s="171">
        <f>AM202+AN202</f>
        <v>0</v>
      </c>
      <c r="AT202" s="171">
        <f>SUM(AQ202,AR202,AS202)</f>
        <v>0</v>
      </c>
      <c r="AU202" s="250"/>
      <c r="AV202" s="250"/>
      <c r="AW202" s="250"/>
      <c r="AX202" s="250"/>
      <c r="AY202" s="250"/>
      <c r="AZ202" s="250"/>
      <c r="BA202" s="250"/>
      <c r="BB202" s="251">
        <f t="shared" si="132"/>
        <v>0</v>
      </c>
      <c r="BC202" s="169"/>
      <c r="BD202" s="169"/>
      <c r="BE202" s="169"/>
      <c r="BF202" s="169"/>
    </row>
    <row r="203" spans="1:58" ht="51.6" customHeight="1" outlineLevel="1" x14ac:dyDescent="0.25">
      <c r="A203" s="115"/>
      <c r="B203" s="165"/>
      <c r="C203" s="166"/>
      <c r="D203" s="212" t="s">
        <v>240</v>
      </c>
      <c r="E203" s="212" t="s">
        <v>245</v>
      </c>
      <c r="F203" s="117">
        <v>2021</v>
      </c>
      <c r="G203" s="117">
        <v>2025</v>
      </c>
      <c r="H203" s="110" t="s">
        <v>186</v>
      </c>
      <c r="I203" s="252"/>
      <c r="J203" s="252"/>
      <c r="K203" s="252"/>
      <c r="L203" s="127">
        <f>SUM(L199:L202)</f>
        <v>0</v>
      </c>
      <c r="M203" s="127">
        <f>SUM(M199:M202)</f>
        <v>0</v>
      </c>
      <c r="N203" s="252"/>
      <c r="O203" s="252"/>
      <c r="P203" s="252"/>
      <c r="Q203" s="252"/>
      <c r="R203" s="127">
        <f>SUM(R199:R202)</f>
        <v>0</v>
      </c>
      <c r="S203" s="127">
        <f>SUM(S199:S202)</f>
        <v>0</v>
      </c>
      <c r="T203" s="127">
        <f>SUM(T199:T202)</f>
        <v>0</v>
      </c>
      <c r="U203" s="127">
        <f>SUM(U199:U202)</f>
        <v>0</v>
      </c>
      <c r="V203" s="252"/>
      <c r="W203" s="252"/>
      <c r="X203" s="252"/>
      <c r="Y203" s="127">
        <f>SUM(Y199:Y202)</f>
        <v>0</v>
      </c>
      <c r="Z203" s="252"/>
      <c r="AA203" s="252"/>
      <c r="AB203" s="127">
        <f>SUM(AB199:AB202)</f>
        <v>1710000</v>
      </c>
      <c r="AC203" s="127">
        <f>SUM(AC199:AC202)</f>
        <v>24000</v>
      </c>
      <c r="AD203" s="127">
        <f>SUM(AD199:AD202)</f>
        <v>0</v>
      </c>
      <c r="AE203" s="127">
        <f>SUM(AE199:AE202)</f>
        <v>346800</v>
      </c>
      <c r="AF203" s="127">
        <f>SUM(AF199:AF202)</f>
        <v>2080800</v>
      </c>
      <c r="AG203" s="252"/>
      <c r="AH203" s="252"/>
      <c r="AI203" s="252"/>
      <c r="AJ203" s="127">
        <f>SUM(AJ199:AJ202)</f>
        <v>0</v>
      </c>
      <c r="AK203" s="127">
        <f>SUM(AK199:AK202)</f>
        <v>0</v>
      </c>
      <c r="AL203" s="127">
        <f>SUM(AL199:AL202)</f>
        <v>0</v>
      </c>
      <c r="AM203" s="127">
        <f>SUM(AM199:AM202)</f>
        <v>0</v>
      </c>
      <c r="AN203" s="127">
        <f>SUM(AN199:AN202)</f>
        <v>0</v>
      </c>
      <c r="AO203" s="253"/>
      <c r="AP203" s="254"/>
      <c r="AQ203" s="175">
        <f>SUM(AQ199:AQ202)</f>
        <v>0</v>
      </c>
      <c r="AR203" s="175">
        <f>SUM(AR199:AR202)</f>
        <v>2080800</v>
      </c>
      <c r="AS203" s="175">
        <f>SUM(AS199:AS202)</f>
        <v>0</v>
      </c>
      <c r="AT203" s="175">
        <f>SUM(AT199:AT202)</f>
        <v>2080800</v>
      </c>
      <c r="AU203" s="175">
        <f t="shared" ref="AU203:BB203" si="133">SUM(AU199:AU202)</f>
        <v>0</v>
      </c>
      <c r="AV203" s="175">
        <f t="shared" si="133"/>
        <v>0</v>
      </c>
      <c r="AW203" s="175">
        <f t="shared" si="133"/>
        <v>0</v>
      </c>
      <c r="AX203" s="175">
        <f t="shared" si="133"/>
        <v>0</v>
      </c>
      <c r="AY203" s="175">
        <f t="shared" si="133"/>
        <v>0</v>
      </c>
      <c r="AZ203" s="175">
        <f t="shared" si="133"/>
        <v>0</v>
      </c>
      <c r="BA203" s="175">
        <f t="shared" si="133"/>
        <v>0</v>
      </c>
      <c r="BB203" s="175">
        <f t="shared" si="133"/>
        <v>-2080800</v>
      </c>
      <c r="BC203" s="169"/>
      <c r="BD203" s="169"/>
      <c r="BE203" s="169"/>
      <c r="BF203" s="169"/>
    </row>
    <row r="204" spans="1:58" ht="51.6" customHeight="1" outlineLevel="2" x14ac:dyDescent="0.25">
      <c r="A204" s="115"/>
      <c r="B204" s="200"/>
      <c r="C204" s="201"/>
      <c r="D204" s="202"/>
      <c r="E204" s="226"/>
      <c r="F204" s="295"/>
      <c r="G204" s="296"/>
      <c r="H204" s="199" t="s">
        <v>503</v>
      </c>
      <c r="I204" s="130"/>
      <c r="J204" s="126"/>
      <c r="K204" s="126"/>
      <c r="L204" s="125" t="str">
        <f>IF(I204&lt;&gt;0,((VLOOKUP(I204,'1. Standard_Cost'!$B$4:$D$11,2)+VLOOKUP(I204,'1. Standard_Cost'!$B$4:$D$11,3))*J204*K204),"0")</f>
        <v>0</v>
      </c>
      <c r="M204" s="125">
        <f>L204*'1. Standard_Cost'!$F$4</f>
        <v>0</v>
      </c>
      <c r="N204" s="126"/>
      <c r="O204" s="126"/>
      <c r="P204" s="126"/>
      <c r="Q204" s="126"/>
      <c r="R204" s="127">
        <f>'1. Standard_Cost'!$B$15*N204*P204</f>
        <v>0</v>
      </c>
      <c r="S204" s="127">
        <f>N204*O204*P204*'1. Standard_Cost'!$C$15</f>
        <v>0</v>
      </c>
      <c r="T204" s="127">
        <f>N204*P204*Q204*'1. Standard_Cost'!$D$15</f>
        <v>0</v>
      </c>
      <c r="U204" s="127">
        <f>N204*O204*'1. Standard_Cost'!$E$15</f>
        <v>0</v>
      </c>
      <c r="V204" s="126"/>
      <c r="W204" s="126"/>
      <c r="X204" s="126"/>
      <c r="Y204" s="127">
        <f>+V204*((X204*'1. Standard_Cost'!$B$19)+(W204*X204*'1. Standard_Cost'!$C$19))</f>
        <v>0</v>
      </c>
      <c r="Z204" s="126"/>
      <c r="AA204" s="126"/>
      <c r="AB204" s="127">
        <f>+Z204*'1. Standard_Cost'!$B$23+AA204*'1. Standard_Cost'!$C$23</f>
        <v>0</v>
      </c>
      <c r="AC204" s="128"/>
      <c r="AD204" s="129"/>
      <c r="AE204" s="127">
        <f>SUM(AD204,AC204,AB204,Y204,U204,T204,S204,R204)*'1. Standard_Cost'!$B$31</f>
        <v>0</v>
      </c>
      <c r="AF204" s="127">
        <f>SUM(AE204,AD204,AC204,AB204,Y204,U204,T204,S204,R204)</f>
        <v>0</v>
      </c>
      <c r="AG204" s="126"/>
      <c r="AH204" s="126"/>
      <c r="AI204" s="126"/>
      <c r="AJ204" s="130">
        <v>195575000</v>
      </c>
      <c r="AK204" s="130"/>
      <c r="AL204" s="130"/>
      <c r="AM204" s="127">
        <f>AG204*'1. Standard_Cost'!$B$27+'Incremental_Cost Year 5'!AH204*'1. Standard_Cost'!$C$27+'Incremental_Cost Year 5'!AI204*'1. Standard_Cost'!$D$27+'Incremental_Cost Year 5'!AJ204+'Incremental_Cost Year 5'!AL204+AK204</f>
        <v>195575000</v>
      </c>
      <c r="AN204" s="127">
        <f>AM204*'1. Standard_Cost'!$C$31</f>
        <v>29336250</v>
      </c>
      <c r="AO204" s="130"/>
      <c r="AQ204" s="171">
        <f>L204+M204</f>
        <v>0</v>
      </c>
      <c r="AR204" s="171">
        <f>AF204</f>
        <v>0</v>
      </c>
      <c r="AS204" s="171">
        <f>AM204+AN204</f>
        <v>224911250</v>
      </c>
      <c r="AT204" s="171">
        <f>SUM(AQ204,AR204,AS204)</f>
        <v>224911250</v>
      </c>
      <c r="AU204" s="250">
        <f>AM204</f>
        <v>195575000</v>
      </c>
      <c r="AV204" s="250"/>
      <c r="AW204" s="250"/>
      <c r="AX204" s="250"/>
      <c r="AY204" s="250"/>
      <c r="AZ204" s="250"/>
      <c r="BA204" s="250"/>
      <c r="BB204" s="251">
        <f t="shared" ref="BB204:BB208" si="134">SUM(AU204:BA204)-AT204</f>
        <v>-29336250</v>
      </c>
      <c r="BC204" s="169"/>
      <c r="BD204" s="169"/>
      <c r="BE204" s="169"/>
      <c r="BF204" s="169"/>
    </row>
    <row r="205" spans="1:58" ht="51.6" customHeight="1" outlineLevel="2" x14ac:dyDescent="0.25">
      <c r="A205" s="115"/>
      <c r="B205" s="200"/>
      <c r="C205" s="201"/>
      <c r="D205" s="202"/>
      <c r="E205" s="202"/>
      <c r="F205" s="219"/>
      <c r="G205" s="313"/>
      <c r="H205" s="199" t="s">
        <v>504</v>
      </c>
      <c r="I205" s="130" t="s">
        <v>3</v>
      </c>
      <c r="J205" s="126">
        <v>12</v>
      </c>
      <c r="K205" s="126">
        <v>40</v>
      </c>
      <c r="L205" s="125">
        <f>IF(I205&lt;&gt;0,((VLOOKUP(I205,'1. Standard_Cost'!$B$4:$D$11,2)+VLOOKUP(I205,'1. Standard_Cost'!$B$4:$D$11,3))*J205*K205),"0")</f>
        <v>48384000</v>
      </c>
      <c r="M205" s="125">
        <f>L205*'1. Standard_Cost'!$F$4</f>
        <v>8080128</v>
      </c>
      <c r="N205" s="126"/>
      <c r="O205" s="126"/>
      <c r="P205" s="126"/>
      <c r="Q205" s="126"/>
      <c r="R205" s="127">
        <f>'1. Standard_Cost'!$B$15*N205*P205</f>
        <v>0</v>
      </c>
      <c r="S205" s="127">
        <f>N205*O205*P205*'1. Standard_Cost'!$C$15</f>
        <v>0</v>
      </c>
      <c r="T205" s="127">
        <f>N205*P205*Q205*'1. Standard_Cost'!$D$15</f>
        <v>0</v>
      </c>
      <c r="U205" s="127">
        <f>N205*O205*'1. Standard_Cost'!$E$15</f>
        <v>0</v>
      </c>
      <c r="V205" s="126"/>
      <c r="W205" s="126"/>
      <c r="X205" s="126"/>
      <c r="Y205" s="127">
        <f>+V205*((X205*'1. Standard_Cost'!$B$19)+(W205*X205*'1. Standard_Cost'!$C$19))</f>
        <v>0</v>
      </c>
      <c r="Z205" s="126"/>
      <c r="AA205" s="126"/>
      <c r="AB205" s="127">
        <f>+Z205*'1. Standard_Cost'!$B$23+AA205*'1. Standard_Cost'!$C$23</f>
        <v>0</v>
      </c>
      <c r="AC205" s="128">
        <v>100000000</v>
      </c>
      <c r="AD205" s="129"/>
      <c r="AE205" s="127">
        <f>SUM(AD205,AC205,AB205,Y205,U205,T205,S205,R205)*'1. Standard_Cost'!$B$31</f>
        <v>20000000</v>
      </c>
      <c r="AF205" s="127">
        <f>SUM(AE205,AD205,AC205,AB205,Y205,U205,T205,S205,R205)</f>
        <v>120000000</v>
      </c>
      <c r="AG205" s="126"/>
      <c r="AH205" s="126"/>
      <c r="AI205" s="126"/>
      <c r="AJ205" s="130"/>
      <c r="AK205" s="130"/>
      <c r="AL205" s="130"/>
      <c r="AM205" s="127">
        <f>AG205*'1. Standard_Cost'!$B$27+'Incremental_Cost Year 5'!AH205*'1. Standard_Cost'!$C$27+'Incremental_Cost Year 5'!AI205*'1. Standard_Cost'!$D$27+'Incremental_Cost Year 5'!AJ205+'Incremental_Cost Year 5'!AL205+AK205</f>
        <v>0</v>
      </c>
      <c r="AN205" s="127">
        <f>AM205*'1. Standard_Cost'!$C$31</f>
        <v>0</v>
      </c>
      <c r="AO205" s="130"/>
      <c r="AQ205" s="171">
        <f>L205+M205</f>
        <v>56464128</v>
      </c>
      <c r="AR205" s="171">
        <f>AF205</f>
        <v>120000000</v>
      </c>
      <c r="AS205" s="171">
        <f>AM205+AN205</f>
        <v>0</v>
      </c>
      <c r="AT205" s="171">
        <f>SUM(AQ205,AR205,AS205)</f>
        <v>176464128</v>
      </c>
      <c r="AU205" s="250">
        <f>AT205</f>
        <v>176464128</v>
      </c>
      <c r="AV205" s="250"/>
      <c r="AW205" s="250"/>
      <c r="AX205" s="250"/>
      <c r="AY205" s="250"/>
      <c r="AZ205" s="250"/>
      <c r="BA205" s="250"/>
      <c r="BB205" s="251">
        <f t="shared" si="134"/>
        <v>0</v>
      </c>
      <c r="BC205" s="169"/>
      <c r="BD205" s="169"/>
      <c r="BE205" s="169"/>
      <c r="BF205" s="169"/>
    </row>
    <row r="206" spans="1:58" ht="51.6" customHeight="1" outlineLevel="2" x14ac:dyDescent="0.25">
      <c r="A206" s="115"/>
      <c r="B206" s="200"/>
      <c r="C206" s="201"/>
      <c r="D206" s="202"/>
      <c r="E206" s="202"/>
      <c r="F206" s="308"/>
      <c r="G206" s="309"/>
      <c r="H206" s="199" t="s">
        <v>246</v>
      </c>
      <c r="I206" s="130" t="s">
        <v>4</v>
      </c>
      <c r="J206" s="126">
        <v>2</v>
      </c>
      <c r="K206" s="126">
        <v>10</v>
      </c>
      <c r="L206" s="125">
        <f>IF(I206&lt;&gt;0,((VLOOKUP(I206,'1. Standard_Cost'!$B$4:$D$11,2)+VLOOKUP(I206,'1. Standard_Cost'!$B$4:$D$11,3))*J206*K206),"0")</f>
        <v>1615000</v>
      </c>
      <c r="M206" s="125">
        <f>L206*'1. Standard_Cost'!$F$4</f>
        <v>269705</v>
      </c>
      <c r="N206" s="126"/>
      <c r="O206" s="126"/>
      <c r="P206" s="126"/>
      <c r="Q206" s="126"/>
      <c r="R206" s="127">
        <f>'1. Standard_Cost'!$B$15*N206*P206</f>
        <v>0</v>
      </c>
      <c r="S206" s="127">
        <f>N206*O206*P206*'1. Standard_Cost'!$C$15</f>
        <v>0</v>
      </c>
      <c r="T206" s="127">
        <f>N206*P206*Q206*'1. Standard_Cost'!$D$15</f>
        <v>0</v>
      </c>
      <c r="U206" s="127">
        <f>N206*O206*'1. Standard_Cost'!$E$15</f>
        <v>0</v>
      </c>
      <c r="V206" s="126"/>
      <c r="W206" s="126"/>
      <c r="X206" s="126"/>
      <c r="Y206" s="127">
        <f>+V206*((X206*'1. Standard_Cost'!$B$19)+(W206*X206*'1. Standard_Cost'!$C$19))</f>
        <v>0</v>
      </c>
      <c r="Z206" s="126"/>
      <c r="AA206" s="126"/>
      <c r="AB206" s="127">
        <f>+Z206*'1. Standard_Cost'!$B$23+AA206*'1. Standard_Cost'!$C$23</f>
        <v>0</v>
      </c>
      <c r="AC206" s="128"/>
      <c r="AD206" s="129"/>
      <c r="AE206" s="127">
        <f>SUM(AD206,AC206,AB206,Y206,U206,T206,S206,R206)*'[1]1. Standard_Cost'!$B$31</f>
        <v>0</v>
      </c>
      <c r="AF206" s="127">
        <f>SUM(AE206,AD206,AC206,AB206,Y206,U206,T206,S206,R206)</f>
        <v>0</v>
      </c>
      <c r="AG206" s="126"/>
      <c r="AH206" s="126"/>
      <c r="AI206" s="126"/>
      <c r="AJ206" s="130"/>
      <c r="AK206" s="130"/>
      <c r="AL206" s="130"/>
      <c r="AM206" s="127">
        <f>AG206*'1. Standard_Cost'!$B$27+'Incremental_Cost Year 5'!AH206*'1. Standard_Cost'!$C$27+'Incremental_Cost Year 5'!AI206*'1. Standard_Cost'!$D$27+'Incremental_Cost Year 5'!AJ206+'Incremental_Cost Year 5'!AL206+AK206</f>
        <v>0</v>
      </c>
      <c r="AN206" s="127">
        <f>AM206*'1. Standard_Cost'!$C$31</f>
        <v>0</v>
      </c>
      <c r="AO206" s="130"/>
      <c r="AQ206" s="171">
        <f>L206+M206</f>
        <v>1884705</v>
      </c>
      <c r="AR206" s="171">
        <f>AF206</f>
        <v>0</v>
      </c>
      <c r="AS206" s="171">
        <f>AM206+AN206</f>
        <v>0</v>
      </c>
      <c r="AT206" s="171">
        <f>SUM(AQ206,AR206,AS206)</f>
        <v>1884705</v>
      </c>
      <c r="AU206" s="250">
        <f>AT206</f>
        <v>1884705</v>
      </c>
      <c r="AV206" s="250"/>
      <c r="AW206" s="250"/>
      <c r="AX206" s="250"/>
      <c r="AY206" s="250"/>
      <c r="AZ206" s="250"/>
      <c r="BA206" s="250"/>
      <c r="BB206" s="251">
        <f t="shared" si="134"/>
        <v>0</v>
      </c>
      <c r="BC206" s="169"/>
      <c r="BD206" s="169"/>
      <c r="BE206" s="169"/>
      <c r="BF206" s="169"/>
    </row>
    <row r="207" spans="1:58" ht="51.6" customHeight="1" outlineLevel="2" x14ac:dyDescent="0.25">
      <c r="A207" s="115"/>
      <c r="B207" s="200"/>
      <c r="C207" s="201"/>
      <c r="D207" s="202"/>
      <c r="E207" s="202"/>
      <c r="F207" s="308"/>
      <c r="G207" s="309"/>
      <c r="H207" s="199" t="s">
        <v>505</v>
      </c>
      <c r="I207" s="130" t="s">
        <v>4</v>
      </c>
      <c r="J207" s="126">
        <v>6</v>
      </c>
      <c r="K207" s="126">
        <f>36*5</f>
        <v>180</v>
      </c>
      <c r="L207" s="125">
        <f>IF(I207&lt;&gt;0,((VLOOKUP(I207,'1. Standard_Cost'!$B$4:$D$11,2)+VLOOKUP(I207,'1. Standard_Cost'!$B$4:$D$11,3))*J207*K207),"0")</f>
        <v>87210000</v>
      </c>
      <c r="M207" s="125">
        <f>L207*'1. Standard_Cost'!$F$4</f>
        <v>14564070</v>
      </c>
      <c r="N207" s="126"/>
      <c r="O207" s="126"/>
      <c r="P207" s="126"/>
      <c r="Q207" s="126"/>
      <c r="R207" s="127">
        <f>'1. Standard_Cost'!$B$15*N207*P207</f>
        <v>0</v>
      </c>
      <c r="S207" s="127">
        <f>N207*O207*P207*'1. Standard_Cost'!$C$15</f>
        <v>0</v>
      </c>
      <c r="T207" s="127">
        <f>N207*P207*Q207*'1. Standard_Cost'!$D$15</f>
        <v>0</v>
      </c>
      <c r="U207" s="127">
        <f>N207*O207*'1. Standard_Cost'!$E$15</f>
        <v>0</v>
      </c>
      <c r="V207" s="126"/>
      <c r="W207" s="126"/>
      <c r="X207" s="126"/>
      <c r="Y207" s="127">
        <f>+V207*((X207*'1. Standard_Cost'!$B$19)+(W207*X207*'1. Standard_Cost'!$C$19))</f>
        <v>0</v>
      </c>
      <c r="Z207" s="126"/>
      <c r="AA207" s="126"/>
      <c r="AB207" s="127">
        <f>+Z207*'1. Standard_Cost'!$B$23+AA207*'1. Standard_Cost'!$C$23</f>
        <v>0</v>
      </c>
      <c r="AC207" s="128">
        <f>3000000*36</f>
        <v>108000000</v>
      </c>
      <c r="AD207" s="129"/>
      <c r="AE207" s="127">
        <f>SUM(AD207,AC207,AB207,Y207,U207,T207,S207,R207)*'[1]1. Standard_Cost'!$B$31</f>
        <v>21600000</v>
      </c>
      <c r="AF207" s="127">
        <f>SUM(AE207,AD207,AC207,AB207,Y207,U207,T207,S207,R207)</f>
        <v>129600000</v>
      </c>
      <c r="AG207" s="126"/>
      <c r="AH207" s="126"/>
      <c r="AI207" s="126"/>
      <c r="AJ207" s="130"/>
      <c r="AK207" s="130"/>
      <c r="AL207" s="130"/>
      <c r="AM207" s="127">
        <f>AG207*'1. Standard_Cost'!$B$27+'Incremental_Cost Year 5'!AH207*'1. Standard_Cost'!$C$27+'Incremental_Cost Year 5'!AI207*'1. Standard_Cost'!$D$27+'Incremental_Cost Year 5'!AJ207+'Incremental_Cost Year 5'!AL207+AK207</f>
        <v>0</v>
      </c>
      <c r="AN207" s="127">
        <f>AM207*'1. Standard_Cost'!$C$31</f>
        <v>0</v>
      </c>
      <c r="AO207" s="130"/>
      <c r="AQ207" s="171">
        <f>L207+M207</f>
        <v>101774070</v>
      </c>
      <c r="AR207" s="171">
        <f>AF207</f>
        <v>129600000</v>
      </c>
      <c r="AS207" s="171">
        <f>AM207+AN207</f>
        <v>0</v>
      </c>
      <c r="AT207" s="171">
        <f>SUM(AQ207,AR207,AS207)</f>
        <v>231374070</v>
      </c>
      <c r="AU207" s="250">
        <f>AT207</f>
        <v>231374070</v>
      </c>
      <c r="AV207" s="250"/>
      <c r="AW207" s="250"/>
      <c r="AX207" s="250"/>
      <c r="AY207" s="250"/>
      <c r="AZ207" s="250"/>
      <c r="BA207" s="250"/>
      <c r="BB207" s="251">
        <f t="shared" si="134"/>
        <v>0</v>
      </c>
      <c r="BC207" s="169"/>
      <c r="BD207" s="169"/>
      <c r="BE207" s="169"/>
      <c r="BF207" s="169"/>
    </row>
    <row r="208" spans="1:58" ht="51.6" customHeight="1" outlineLevel="2" x14ac:dyDescent="0.25">
      <c r="A208" s="115"/>
      <c r="B208" s="200"/>
      <c r="C208" s="201"/>
      <c r="D208" s="202"/>
      <c r="E208" s="310"/>
      <c r="F208" s="311"/>
      <c r="G208" s="312"/>
      <c r="H208" s="199" t="s">
        <v>506</v>
      </c>
      <c r="I208" s="130" t="s">
        <v>3</v>
      </c>
      <c r="J208" s="126">
        <v>6</v>
      </c>
      <c r="K208" s="126">
        <v>10</v>
      </c>
      <c r="L208" s="125">
        <f>IF(I208&lt;&gt;0,((VLOOKUP(I208,'1. Standard_Cost'!$B$4:$D$11,2)+VLOOKUP(I208,'1. Standard_Cost'!$B$4:$D$11,3))*J208*K208),"0")</f>
        <v>6048000</v>
      </c>
      <c r="M208" s="125">
        <f>L208*'1. Standard_Cost'!$F$4</f>
        <v>1010016</v>
      </c>
      <c r="N208" s="126"/>
      <c r="O208" s="126"/>
      <c r="P208" s="126"/>
      <c r="Q208" s="126"/>
      <c r="R208" s="127">
        <f>'1. Standard_Cost'!$B$15*N208*P208</f>
        <v>0</v>
      </c>
      <c r="S208" s="127">
        <f>N208*O208*P208*'1. Standard_Cost'!$C$15</f>
        <v>0</v>
      </c>
      <c r="T208" s="127">
        <f>N208*P208*Q208*'1. Standard_Cost'!$D$15</f>
        <v>0</v>
      </c>
      <c r="U208" s="127">
        <f>N208*O208*'1. Standard_Cost'!$E$15</f>
        <v>0</v>
      </c>
      <c r="V208" s="126"/>
      <c r="W208" s="126"/>
      <c r="X208" s="126"/>
      <c r="Y208" s="127">
        <f>+V208*((X208*'1. Standard_Cost'!$B$19)+(W208*X208*'1. Standard_Cost'!$C$19))</f>
        <v>0</v>
      </c>
      <c r="Z208" s="126"/>
      <c r="AA208" s="126"/>
      <c r="AB208" s="127">
        <f>+Z208*'1. Standard_Cost'!$B$23+AA208*'1. Standard_Cost'!$C$23</f>
        <v>0</v>
      </c>
      <c r="AC208" s="128"/>
      <c r="AD208" s="129"/>
      <c r="AE208" s="127">
        <f>SUM(AD208,AC208,AB208,Y208,U208,T208,S208,R208)*'[1]1. Standard_Cost'!$B$31</f>
        <v>0</v>
      </c>
      <c r="AF208" s="127">
        <f>SUM(AE208,AD208,AC208,AB208,Y208,U208,T208,S208,R208)</f>
        <v>0</v>
      </c>
      <c r="AG208" s="126"/>
      <c r="AH208" s="126"/>
      <c r="AI208" s="126"/>
      <c r="AJ208" s="130"/>
      <c r="AK208" s="130"/>
      <c r="AL208" s="130"/>
      <c r="AM208" s="127">
        <f>AG208*'1. Standard_Cost'!$B$27+'Incremental_Cost Year 5'!AH208*'1. Standard_Cost'!$C$27+'Incremental_Cost Year 5'!AI208*'1. Standard_Cost'!$D$27+'Incremental_Cost Year 5'!AJ208+'Incremental_Cost Year 5'!AL208+AK208</f>
        <v>0</v>
      </c>
      <c r="AN208" s="127">
        <f>AM208*'1. Standard_Cost'!$C$31</f>
        <v>0</v>
      </c>
      <c r="AO208" s="130"/>
      <c r="AQ208" s="171">
        <f>L208+M208</f>
        <v>7058016</v>
      </c>
      <c r="AR208" s="171">
        <f>AF208</f>
        <v>0</v>
      </c>
      <c r="AS208" s="171">
        <f>AM208+AN208</f>
        <v>0</v>
      </c>
      <c r="AT208" s="171">
        <f>SUM(AQ208,AR208,AS208)</f>
        <v>7058016</v>
      </c>
      <c r="AU208" s="250">
        <f>AT208</f>
        <v>7058016</v>
      </c>
      <c r="AV208" s="250"/>
      <c r="AW208" s="250"/>
      <c r="AX208" s="250"/>
      <c r="AY208" s="250"/>
      <c r="AZ208" s="250"/>
      <c r="BA208" s="250"/>
      <c r="BB208" s="251">
        <f t="shared" si="134"/>
        <v>0</v>
      </c>
      <c r="BC208" s="169"/>
      <c r="BD208" s="169"/>
      <c r="BE208" s="169"/>
      <c r="BF208" s="169"/>
    </row>
    <row r="209" spans="1:58" ht="51.6" customHeight="1" outlineLevel="1" x14ac:dyDescent="0.25">
      <c r="A209" s="115"/>
      <c r="B209" s="165"/>
      <c r="C209" s="166"/>
      <c r="D209" s="150" t="s">
        <v>507</v>
      </c>
      <c r="E209" s="212" t="s">
        <v>247</v>
      </c>
      <c r="F209" s="311">
        <v>2021</v>
      </c>
      <c r="G209" s="312">
        <v>2025</v>
      </c>
      <c r="H209" s="110" t="s">
        <v>187</v>
      </c>
      <c r="I209" s="252"/>
      <c r="J209" s="252"/>
      <c r="K209" s="252"/>
      <c r="L209" s="127">
        <f>SUM(L204:L208)</f>
        <v>143257000</v>
      </c>
      <c r="M209" s="127">
        <f>SUM(M204:M208)</f>
        <v>23923919</v>
      </c>
      <c r="N209" s="252"/>
      <c r="O209" s="252"/>
      <c r="P209" s="252"/>
      <c r="Q209" s="252"/>
      <c r="R209" s="127">
        <f t="shared" ref="R209:U209" si="135">SUM(R204:R208)</f>
        <v>0</v>
      </c>
      <c r="S209" s="127">
        <f t="shared" si="135"/>
        <v>0</v>
      </c>
      <c r="T209" s="127">
        <f t="shared" si="135"/>
        <v>0</v>
      </c>
      <c r="U209" s="127">
        <f t="shared" si="135"/>
        <v>0</v>
      </c>
      <c r="V209" s="252"/>
      <c r="W209" s="252"/>
      <c r="X209" s="252"/>
      <c r="Y209" s="127">
        <f>SUM(Y204:Y208)</f>
        <v>0</v>
      </c>
      <c r="Z209" s="252"/>
      <c r="AA209" s="252"/>
      <c r="AB209" s="127">
        <f t="shared" ref="AB209:AF209" si="136">SUM(AB204:AB208)</f>
        <v>0</v>
      </c>
      <c r="AC209" s="127">
        <f t="shared" si="136"/>
        <v>208000000</v>
      </c>
      <c r="AD209" s="127">
        <f t="shared" si="136"/>
        <v>0</v>
      </c>
      <c r="AE209" s="127">
        <f t="shared" si="136"/>
        <v>41600000</v>
      </c>
      <c r="AF209" s="127">
        <f t="shared" si="136"/>
        <v>249600000</v>
      </c>
      <c r="AG209" s="252"/>
      <c r="AH209" s="252"/>
      <c r="AI209" s="252"/>
      <c r="AJ209" s="127">
        <f t="shared" ref="AJ209:AN209" si="137">SUM(AJ204:AJ208)</f>
        <v>195575000</v>
      </c>
      <c r="AK209" s="127">
        <f t="shared" si="137"/>
        <v>0</v>
      </c>
      <c r="AL209" s="127">
        <f t="shared" si="137"/>
        <v>0</v>
      </c>
      <c r="AM209" s="127">
        <f t="shared" si="137"/>
        <v>195575000</v>
      </c>
      <c r="AN209" s="127">
        <f t="shared" si="137"/>
        <v>29336250</v>
      </c>
      <c r="AO209" s="253"/>
      <c r="AP209" s="254"/>
      <c r="AQ209" s="127">
        <f t="shared" ref="AQ209:BB209" si="138">SUM(AQ204:AQ208)</f>
        <v>167180919</v>
      </c>
      <c r="AR209" s="127">
        <f t="shared" si="138"/>
        <v>249600000</v>
      </c>
      <c r="AS209" s="127">
        <f t="shared" si="138"/>
        <v>224911250</v>
      </c>
      <c r="AT209" s="127">
        <f t="shared" si="138"/>
        <v>641692169</v>
      </c>
      <c r="AU209" s="127">
        <f t="shared" si="138"/>
        <v>612355919</v>
      </c>
      <c r="AV209" s="127">
        <f t="shared" si="138"/>
        <v>0</v>
      </c>
      <c r="AW209" s="127">
        <f t="shared" si="138"/>
        <v>0</v>
      </c>
      <c r="AX209" s="127">
        <f t="shared" si="138"/>
        <v>0</v>
      </c>
      <c r="AY209" s="127">
        <f t="shared" si="138"/>
        <v>0</v>
      </c>
      <c r="AZ209" s="127">
        <f t="shared" si="138"/>
        <v>0</v>
      </c>
      <c r="BA209" s="127">
        <f t="shared" si="138"/>
        <v>0</v>
      </c>
      <c r="BB209" s="127">
        <f t="shared" si="138"/>
        <v>-29336250</v>
      </c>
      <c r="BC209" s="169"/>
      <c r="BD209" s="169"/>
      <c r="BE209" s="169"/>
      <c r="BF209" s="169"/>
    </row>
    <row r="210" spans="1:58" ht="51.6" customHeight="1" outlineLevel="2" x14ac:dyDescent="0.25">
      <c r="A210" s="115"/>
      <c r="B210" s="200"/>
      <c r="C210" s="201"/>
      <c r="D210" s="202"/>
      <c r="E210" s="226"/>
      <c r="F210" s="295"/>
      <c r="G210" s="296"/>
      <c r="H210" s="199" t="s">
        <v>508</v>
      </c>
      <c r="I210" s="130" t="s">
        <v>1</v>
      </c>
      <c r="J210" s="126">
        <v>0.8</v>
      </c>
      <c r="K210" s="126">
        <v>6</v>
      </c>
      <c r="L210" s="125">
        <f>IF(I210&lt;&gt;0,((VLOOKUP(I210,'1. Standard_Cost'!$B$4:$D$11,2)+VLOOKUP(I210,'1. Standard_Cost'!$B$4:$D$11,3))*J210*K210),"0")</f>
        <v>344605.71428571432</v>
      </c>
      <c r="M210" s="125">
        <f>L210*'1. Standard_Cost'!$F$4</f>
        <v>57549.154285714292</v>
      </c>
      <c r="N210" s="126">
        <v>10</v>
      </c>
      <c r="O210" s="126">
        <v>1</v>
      </c>
      <c r="P210" s="126">
        <v>20</v>
      </c>
      <c r="Q210" s="126"/>
      <c r="R210" s="127">
        <f>'1. Standard_Cost'!$B$15*N210*P210</f>
        <v>400000</v>
      </c>
      <c r="S210" s="127">
        <f>N210*O210*P210*'1. Standard_Cost'!$C$15</f>
        <v>300000</v>
      </c>
      <c r="T210" s="127">
        <f>N210*P210*Q210*'1. Standard_Cost'!$D$15</f>
        <v>0</v>
      </c>
      <c r="U210" s="127">
        <f>N210*O210*'1. Standard_Cost'!$E$15</f>
        <v>400000</v>
      </c>
      <c r="V210" s="126"/>
      <c r="W210" s="126"/>
      <c r="X210" s="126"/>
      <c r="Y210" s="127">
        <f>+V210*((X210*'1. Standard_Cost'!$B$19)+(W210*X210*'1. Standard_Cost'!$C$19))</f>
        <v>0</v>
      </c>
      <c r="Z210" s="126"/>
      <c r="AA210" s="126">
        <v>11</v>
      </c>
      <c r="AB210" s="127">
        <f>+Z210*'1. Standard_Cost'!$B$23+AA210*'1. Standard_Cost'!$C$23</f>
        <v>209000</v>
      </c>
      <c r="AC210" s="128">
        <f>200*3300</f>
        <v>660000</v>
      </c>
      <c r="AD210" s="129"/>
      <c r="AE210" s="127">
        <f>SUM(AD210,AC210,AB210,Y210,U210,T210,S210,R210)*'[1]1. Standard_Cost'!$B$31</f>
        <v>393800</v>
      </c>
      <c r="AF210" s="127">
        <f>SUM(AE210,AD210,AC210,AB210,Y210,U210,T210,S210,R210)</f>
        <v>2362800</v>
      </c>
      <c r="AG210" s="126"/>
      <c r="AH210" s="126"/>
      <c r="AI210" s="126"/>
      <c r="AJ210" s="130"/>
      <c r="AK210" s="130"/>
      <c r="AL210" s="130"/>
      <c r="AM210" s="127">
        <f>AG210*'1. Standard_Cost'!$B$27+'Incremental_Cost Year 5'!AH210*'1. Standard_Cost'!$C$27+'Incremental_Cost Year 5'!AI210*'1. Standard_Cost'!$D$27+'Incremental_Cost Year 5'!AJ210+'Incremental_Cost Year 5'!AL210+AK210</f>
        <v>0</v>
      </c>
      <c r="AN210" s="127">
        <f>AM210*'1. Standard_Cost'!$C$31</f>
        <v>0</v>
      </c>
      <c r="AO210" s="130"/>
      <c r="AQ210" s="171">
        <f>L210+M210</f>
        <v>402154.86857142858</v>
      </c>
      <c r="AR210" s="171">
        <f>AF210</f>
        <v>2362800</v>
      </c>
      <c r="AS210" s="171">
        <f>AM210+AN210</f>
        <v>0</v>
      </c>
      <c r="AT210" s="171">
        <f>SUM(AQ210,AR210,AS210)</f>
        <v>2764954.8685714286</v>
      </c>
      <c r="AU210" s="250">
        <f>AQ210</f>
        <v>402154.86857142858</v>
      </c>
      <c r="AV210" s="250"/>
      <c r="AW210" s="250"/>
      <c r="AX210" s="250"/>
      <c r="AY210" s="250"/>
      <c r="AZ210" s="250"/>
      <c r="BA210" s="250"/>
      <c r="BB210" s="251">
        <f t="shared" ref="BB210:BB211" si="139">SUM(AU210:BA210)-AT210</f>
        <v>-2362800</v>
      </c>
      <c r="BC210" s="169"/>
      <c r="BD210" s="169"/>
      <c r="BE210" s="169"/>
      <c r="BF210" s="169"/>
    </row>
    <row r="211" spans="1:58" ht="51.6" customHeight="1" outlineLevel="2" x14ac:dyDescent="0.25">
      <c r="A211" s="115"/>
      <c r="B211" s="200"/>
      <c r="C211" s="201"/>
      <c r="D211" s="202"/>
      <c r="E211" s="310"/>
      <c r="F211" s="122"/>
      <c r="G211" s="123"/>
      <c r="H211" s="199" t="s">
        <v>509</v>
      </c>
      <c r="I211" s="130" t="s">
        <v>1</v>
      </c>
      <c r="J211" s="126">
        <v>0.8</v>
      </c>
      <c r="K211" s="126">
        <v>6</v>
      </c>
      <c r="L211" s="125">
        <f>IF(I211&lt;&gt;0,((VLOOKUP(I211,'1. Standard_Cost'!$B$4:$D$11,2)+VLOOKUP(I211,'1. Standard_Cost'!$B$4:$D$11,3))*J211*K211),"0")</f>
        <v>344605.71428571432</v>
      </c>
      <c r="M211" s="125">
        <f>L211*'1. Standard_Cost'!$F$4</f>
        <v>57549.154285714292</v>
      </c>
      <c r="N211" s="126">
        <v>10</v>
      </c>
      <c r="O211" s="126">
        <v>1</v>
      </c>
      <c r="P211" s="126">
        <v>20</v>
      </c>
      <c r="Q211" s="126"/>
      <c r="R211" s="127">
        <f>'1. Standard_Cost'!$B$15*N211*P211</f>
        <v>400000</v>
      </c>
      <c r="S211" s="127">
        <f>N211*O211*P211*'1. Standard_Cost'!$C$15</f>
        <v>300000</v>
      </c>
      <c r="T211" s="127">
        <f>N211*P211*Q211*'1. Standard_Cost'!$D$15</f>
        <v>0</v>
      </c>
      <c r="U211" s="127">
        <f>N211*O211*'1. Standard_Cost'!$E$15</f>
        <v>400000</v>
      </c>
      <c r="V211" s="126"/>
      <c r="W211" s="126"/>
      <c r="X211" s="126"/>
      <c r="Y211" s="127">
        <f>+V211*((X211*'1. Standard_Cost'!$B$19)+(W211*X211*'1. Standard_Cost'!$C$19))</f>
        <v>0</v>
      </c>
      <c r="Z211" s="126"/>
      <c r="AA211" s="126">
        <v>11</v>
      </c>
      <c r="AB211" s="127">
        <f>+Z211*'1. Standard_Cost'!$B$23+AA211*'1. Standard_Cost'!$C$23</f>
        <v>209000</v>
      </c>
      <c r="AC211" s="128">
        <f>200*3300</f>
        <v>660000</v>
      </c>
      <c r="AD211" s="129"/>
      <c r="AE211" s="127">
        <f>SUM(AD211,AC211,AB211,Y211,U211,T211,S211,R211)*'[1]1. Standard_Cost'!$B$31</f>
        <v>393800</v>
      </c>
      <c r="AF211" s="127">
        <f>SUM(AE211,AD211,AC211,AB211,Y211,U211,T211,S211,R211)</f>
        <v>2362800</v>
      </c>
      <c r="AG211" s="126"/>
      <c r="AH211" s="126"/>
      <c r="AI211" s="126"/>
      <c r="AJ211" s="130"/>
      <c r="AK211" s="130"/>
      <c r="AL211" s="130"/>
      <c r="AM211" s="127">
        <f>AG211*'1. Standard_Cost'!$B$27+'Incremental_Cost Year 5'!AH211*'1. Standard_Cost'!$C$27+'Incremental_Cost Year 5'!AI211*'1. Standard_Cost'!$D$27+'Incremental_Cost Year 5'!AJ211+'Incremental_Cost Year 5'!AL211+AK211</f>
        <v>0</v>
      </c>
      <c r="AN211" s="127">
        <f>AM211*'1. Standard_Cost'!$C$31</f>
        <v>0</v>
      </c>
      <c r="AO211" s="130"/>
      <c r="AQ211" s="171">
        <f>L211+M211</f>
        <v>402154.86857142858</v>
      </c>
      <c r="AR211" s="171">
        <f>AF211</f>
        <v>2362800</v>
      </c>
      <c r="AS211" s="171">
        <f>AM211+AN211</f>
        <v>0</v>
      </c>
      <c r="AT211" s="171">
        <f>SUM(AQ211,AR211,AS211)</f>
        <v>2764954.8685714286</v>
      </c>
      <c r="AU211" s="250">
        <f>AQ211</f>
        <v>402154.86857142858</v>
      </c>
      <c r="AV211" s="250"/>
      <c r="AW211" s="250"/>
      <c r="AX211" s="250"/>
      <c r="AY211" s="250"/>
      <c r="AZ211" s="250"/>
      <c r="BA211" s="250"/>
      <c r="BB211" s="251">
        <f t="shared" si="139"/>
        <v>-2362800</v>
      </c>
      <c r="BC211" s="169"/>
      <c r="BD211" s="169"/>
      <c r="BE211" s="169"/>
      <c r="BF211" s="169"/>
    </row>
    <row r="212" spans="1:58" ht="51.6" customHeight="1" outlineLevel="1" x14ac:dyDescent="0.25">
      <c r="A212" s="115"/>
      <c r="B212" s="165"/>
      <c r="C212" s="166"/>
      <c r="D212" s="107" t="s">
        <v>233</v>
      </c>
      <c r="E212" s="212" t="s">
        <v>248</v>
      </c>
      <c r="F212" s="136">
        <v>2022</v>
      </c>
      <c r="G212" s="117">
        <v>2025</v>
      </c>
      <c r="H212" s="110" t="s">
        <v>188</v>
      </c>
      <c r="I212" s="252"/>
      <c r="J212" s="252"/>
      <c r="K212" s="252"/>
      <c r="L212" s="127">
        <f>SUM(L210:L211)</f>
        <v>689211.42857142864</v>
      </c>
      <c r="M212" s="127">
        <f>SUM(M210:M211)</f>
        <v>115098.30857142858</v>
      </c>
      <c r="N212" s="252"/>
      <c r="O212" s="252"/>
      <c r="P212" s="252"/>
      <c r="Q212" s="252"/>
      <c r="R212" s="127">
        <f>SUM(R210:R211)</f>
        <v>800000</v>
      </c>
      <c r="S212" s="127">
        <f>SUM(S210:S211)</f>
        <v>600000</v>
      </c>
      <c r="T212" s="127">
        <f>SUM(T210:T211)</f>
        <v>0</v>
      </c>
      <c r="U212" s="127">
        <f>SUM(U210:U211)</f>
        <v>800000</v>
      </c>
      <c r="V212" s="252"/>
      <c r="W212" s="252"/>
      <c r="X212" s="252"/>
      <c r="Y212" s="127">
        <f>SUM(Y210:Y211)</f>
        <v>0</v>
      </c>
      <c r="Z212" s="252"/>
      <c r="AA212" s="252"/>
      <c r="AB212" s="127">
        <f>SUM(AB210:AB211)</f>
        <v>418000</v>
      </c>
      <c r="AC212" s="127">
        <f>SUM(AC210:AC211)</f>
        <v>1320000</v>
      </c>
      <c r="AD212" s="127">
        <f>SUM(AD210:AD211)</f>
        <v>0</v>
      </c>
      <c r="AE212" s="127">
        <f>SUM(AE210:AE211)</f>
        <v>787600</v>
      </c>
      <c r="AF212" s="127">
        <f>SUM(AF210:AF211)</f>
        <v>4725600</v>
      </c>
      <c r="AG212" s="252"/>
      <c r="AH212" s="252"/>
      <c r="AI212" s="252"/>
      <c r="AJ212" s="127">
        <f>SUM(AJ210:AJ211)</f>
        <v>0</v>
      </c>
      <c r="AK212" s="127">
        <f>SUM(AK210:AK211)</f>
        <v>0</v>
      </c>
      <c r="AL212" s="127">
        <f>SUM(AL210:AL211)</f>
        <v>0</v>
      </c>
      <c r="AM212" s="127">
        <f>SUM(AM210:AM211)</f>
        <v>0</v>
      </c>
      <c r="AN212" s="127">
        <f>SUM(AN210:AN211)</f>
        <v>0</v>
      </c>
      <c r="AO212" s="253"/>
      <c r="AP212" s="254"/>
      <c r="AQ212" s="175">
        <f>SUM(AQ210:AQ211)</f>
        <v>804309.73714285716</v>
      </c>
      <c r="AR212" s="175">
        <f>SUM(AR210:AR211)</f>
        <v>4725600</v>
      </c>
      <c r="AS212" s="175">
        <f>SUM(AS210:AS211)</f>
        <v>0</v>
      </c>
      <c r="AT212" s="175">
        <f>SUM(AT210:AT211)</f>
        <v>5529909.7371428572</v>
      </c>
      <c r="AU212" s="175">
        <f t="shared" ref="AU212:BB212" si="140">SUM(AU210:AU211)</f>
        <v>804309.73714285716</v>
      </c>
      <c r="AV212" s="175">
        <f t="shared" si="140"/>
        <v>0</v>
      </c>
      <c r="AW212" s="175">
        <f t="shared" si="140"/>
        <v>0</v>
      </c>
      <c r="AX212" s="175">
        <f t="shared" si="140"/>
        <v>0</v>
      </c>
      <c r="AY212" s="175">
        <f t="shared" si="140"/>
        <v>0</v>
      </c>
      <c r="AZ212" s="175">
        <f t="shared" si="140"/>
        <v>0</v>
      </c>
      <c r="BA212" s="175">
        <f t="shared" si="140"/>
        <v>0</v>
      </c>
      <c r="BB212" s="175">
        <f t="shared" si="140"/>
        <v>-4725600</v>
      </c>
      <c r="BC212" s="169"/>
      <c r="BD212" s="169"/>
      <c r="BE212" s="169"/>
      <c r="BF212" s="169"/>
    </row>
    <row r="213" spans="1:58" s="184" customFormat="1" ht="51.6" customHeight="1" x14ac:dyDescent="0.25">
      <c r="A213" s="143"/>
      <c r="B213" s="332"/>
      <c r="C213" s="397" t="s">
        <v>249</v>
      </c>
      <c r="D213" s="397"/>
      <c r="E213" s="398"/>
      <c r="F213" s="291"/>
      <c r="G213" s="340"/>
      <c r="H213" s="144" t="s">
        <v>299</v>
      </c>
      <c r="I213" s="257"/>
      <c r="J213" s="257"/>
      <c r="K213" s="257"/>
      <c r="L213" s="258">
        <f>SUM(L220)</f>
        <v>843674828.57142854</v>
      </c>
      <c r="M213" s="258">
        <f>SUM(M220)</f>
        <v>140893696.37142858</v>
      </c>
      <c r="N213" s="257"/>
      <c r="O213" s="257"/>
      <c r="P213" s="257"/>
      <c r="Q213" s="257"/>
      <c r="R213" s="258">
        <f>SUM(R220)</f>
        <v>0</v>
      </c>
      <c r="S213" s="258">
        <f>SUM(S220)</f>
        <v>0</v>
      </c>
      <c r="T213" s="258">
        <f>SUM(T220)</f>
        <v>0</v>
      </c>
      <c r="U213" s="258">
        <f>SUM(U220)</f>
        <v>0</v>
      </c>
      <c r="V213" s="257"/>
      <c r="W213" s="257"/>
      <c r="X213" s="257"/>
      <c r="Y213" s="258">
        <f>SUM(Y220)</f>
        <v>0</v>
      </c>
      <c r="Z213" s="258"/>
      <c r="AA213" s="258"/>
      <c r="AB213" s="258">
        <f>SUM(AB220)</f>
        <v>0</v>
      </c>
      <c r="AC213" s="258">
        <f>SUM(AC220)</f>
        <v>1442163000</v>
      </c>
      <c r="AD213" s="258">
        <f>SUM(AD220)</f>
        <v>0</v>
      </c>
      <c r="AE213" s="258">
        <f>SUM(AE220)</f>
        <v>0</v>
      </c>
      <c r="AF213" s="258">
        <f>SUM(AF220)</f>
        <v>1442163000</v>
      </c>
      <c r="AG213" s="257"/>
      <c r="AH213" s="257"/>
      <c r="AI213" s="257"/>
      <c r="AJ213" s="258">
        <f>SUM(AJ220)</f>
        <v>0</v>
      </c>
      <c r="AK213" s="258">
        <f>SUM(AK220)</f>
        <v>0</v>
      </c>
      <c r="AL213" s="258">
        <f>SUM(AL220)</f>
        <v>0</v>
      </c>
      <c r="AM213" s="258">
        <f>SUM(AM220)</f>
        <v>0</v>
      </c>
      <c r="AN213" s="258">
        <f>SUM(AN220)</f>
        <v>0</v>
      </c>
      <c r="AO213" s="259"/>
      <c r="AP213" s="260"/>
      <c r="AQ213" s="261">
        <f>SUM(AQ220)</f>
        <v>984568524.94285715</v>
      </c>
      <c r="AR213" s="261">
        <f>SUM(AR220)</f>
        <v>1442163000</v>
      </c>
      <c r="AS213" s="261">
        <f>SUM(AS220)</f>
        <v>0</v>
      </c>
      <c r="AT213" s="261">
        <f>SUM(AT220)</f>
        <v>2426731524.9428573</v>
      </c>
      <c r="AU213" s="261">
        <f t="shared" ref="AU213:BB213" si="141">SUM(AU220)</f>
        <v>2426731524.9428573</v>
      </c>
      <c r="AV213" s="261">
        <f t="shared" si="141"/>
        <v>0</v>
      </c>
      <c r="AW213" s="261">
        <f t="shared" si="141"/>
        <v>0</v>
      </c>
      <c r="AX213" s="261">
        <f t="shared" si="141"/>
        <v>0</v>
      </c>
      <c r="AY213" s="261">
        <f t="shared" si="141"/>
        <v>0</v>
      </c>
      <c r="AZ213" s="261">
        <f t="shared" si="141"/>
        <v>0</v>
      </c>
      <c r="BA213" s="261">
        <f t="shared" si="141"/>
        <v>0</v>
      </c>
      <c r="BB213" s="261">
        <f t="shared" si="141"/>
        <v>0</v>
      </c>
    </row>
    <row r="214" spans="1:58" ht="51.6" customHeight="1" outlineLevel="2" x14ac:dyDescent="0.25">
      <c r="A214" s="115"/>
      <c r="B214" s="200"/>
      <c r="C214" s="201"/>
      <c r="D214" s="210"/>
      <c r="E214" s="328"/>
      <c r="F214" s="328"/>
      <c r="G214" s="328"/>
      <c r="H214" s="199" t="s">
        <v>510</v>
      </c>
      <c r="I214" s="130"/>
      <c r="J214" s="126"/>
      <c r="K214" s="126"/>
      <c r="L214" s="125" t="str">
        <f>IF(I214&lt;&gt;0,((VLOOKUP(I214,'1. Standard_Cost'!$B$4:$D$11,2)+VLOOKUP(I214,'1. Standard_Cost'!$B$4:$D$11,3))*J214*K214),"0")</f>
        <v>0</v>
      </c>
      <c r="M214" s="125">
        <f>L214*'1. Standard_Cost'!$F$4</f>
        <v>0</v>
      </c>
      <c r="N214" s="126"/>
      <c r="O214" s="126"/>
      <c r="P214" s="126"/>
      <c r="Q214" s="126"/>
      <c r="R214" s="127">
        <f>'1. Standard_Cost'!$B$15*N214*P214</f>
        <v>0</v>
      </c>
      <c r="S214" s="127">
        <f>N214*O214*P214*'1. Standard_Cost'!$C$15</f>
        <v>0</v>
      </c>
      <c r="T214" s="127">
        <f>N214*P214*Q214*'1. Standard_Cost'!$D$15</f>
        <v>0</v>
      </c>
      <c r="U214" s="127">
        <f>N214*O214*'1. Standard_Cost'!$E$15</f>
        <v>0</v>
      </c>
      <c r="V214" s="126"/>
      <c r="W214" s="126"/>
      <c r="X214" s="126"/>
      <c r="Y214" s="127">
        <f>+V214*((X214*'1. Standard_Cost'!$B$19)+(W214*X214*'1. Standard_Cost'!$C$19))</f>
        <v>0</v>
      </c>
      <c r="Z214" s="126"/>
      <c r="AA214" s="126"/>
      <c r="AB214" s="127">
        <f>+Z214*'1. Standard_Cost'!$B$23+AA214*'1. Standard_Cost'!$C$23</f>
        <v>0</v>
      </c>
      <c r="AC214" s="128"/>
      <c r="AD214" s="129"/>
      <c r="AE214" s="127">
        <f>SUM(AD214,AC214,AB214,Y214,U214,T214,S214,R214)*'1. Standard_Cost'!$B$31</f>
        <v>0</v>
      </c>
      <c r="AF214" s="127">
        <f t="shared" ref="AF214:AF219" si="142">SUM(AE214,AD214,AC214,AB214,Y214,U214,T214,S214,R214)</f>
        <v>0</v>
      </c>
      <c r="AG214" s="126"/>
      <c r="AH214" s="126"/>
      <c r="AI214" s="126"/>
      <c r="AJ214" s="130"/>
      <c r="AK214" s="130"/>
      <c r="AL214" s="130"/>
      <c r="AM214" s="127">
        <f>AG214*'1. Standard_Cost'!$B$27+'Incremental_Cost Year 5'!AH214*'1. Standard_Cost'!$C$27+'Incremental_Cost Year 5'!AI214*'1. Standard_Cost'!$D$27+'Incremental_Cost Year 5'!AJ214+'Incremental_Cost Year 5'!AL214+AK214</f>
        <v>0</v>
      </c>
      <c r="AN214" s="127">
        <f>AM214*'1. Standard_Cost'!$C$31</f>
        <v>0</v>
      </c>
      <c r="AO214" s="130"/>
      <c r="AQ214" s="171">
        <f t="shared" ref="AQ214:AQ219" si="143">L214+M214</f>
        <v>0</v>
      </c>
      <c r="AR214" s="171">
        <f t="shared" ref="AR214:AR219" si="144">AF214</f>
        <v>0</v>
      </c>
      <c r="AS214" s="171">
        <f t="shared" ref="AS214:AS219" si="145">AM214+AN214</f>
        <v>0</v>
      </c>
      <c r="AT214" s="171">
        <f t="shared" ref="AT214:AT219" si="146">SUM(AQ214,AR214,AS214)</f>
        <v>0</v>
      </c>
      <c r="AU214" s="250"/>
      <c r="AV214" s="250"/>
      <c r="AW214" s="250"/>
      <c r="AX214" s="250"/>
      <c r="AY214" s="250"/>
      <c r="AZ214" s="250"/>
      <c r="BA214" s="250"/>
      <c r="BB214" s="251">
        <f t="shared" ref="BB214:BB219" si="147">SUM(AU214:BA214)-AT214</f>
        <v>0</v>
      </c>
      <c r="BC214" s="169"/>
      <c r="BD214" s="169"/>
      <c r="BE214" s="169"/>
      <c r="BF214" s="169"/>
    </row>
    <row r="215" spans="1:58" ht="51.6" customHeight="1" outlineLevel="2" x14ac:dyDescent="0.25">
      <c r="A215" s="115"/>
      <c r="B215" s="200"/>
      <c r="C215" s="201"/>
      <c r="D215" s="203"/>
      <c r="E215" s="328"/>
      <c r="F215" s="328"/>
      <c r="G215" s="328"/>
      <c r="H215" s="199" t="s">
        <v>511</v>
      </c>
      <c r="I215" s="130" t="s">
        <v>3</v>
      </c>
      <c r="J215" s="126">
        <v>4</v>
      </c>
      <c r="K215" s="126">
        <v>3</v>
      </c>
      <c r="L215" s="125">
        <f>IF(I215&lt;&gt;0,((VLOOKUP(I215,'1. Standard_Cost'!$B$4:$D$11,2)+VLOOKUP(I215,'1. Standard_Cost'!$B$4:$D$11,3))*J215*K215),"0")</f>
        <v>1209600</v>
      </c>
      <c r="M215" s="125">
        <f>L215*'1. Standard_Cost'!$F$4</f>
        <v>202003.20000000001</v>
      </c>
      <c r="N215" s="126"/>
      <c r="O215" s="126"/>
      <c r="P215" s="126"/>
      <c r="Q215" s="126"/>
      <c r="R215" s="127">
        <f>'1. Standard_Cost'!$B$15*N215*P215</f>
        <v>0</v>
      </c>
      <c r="S215" s="127">
        <f>N215*O215*P215*'1. Standard_Cost'!$C$15</f>
        <v>0</v>
      </c>
      <c r="T215" s="127">
        <f>N215*P215*Q215*'1. Standard_Cost'!$D$15</f>
        <v>0</v>
      </c>
      <c r="U215" s="127">
        <f>N215*O215*'1. Standard_Cost'!$E$15</f>
        <v>0</v>
      </c>
      <c r="V215" s="126"/>
      <c r="W215" s="126"/>
      <c r="X215" s="126"/>
      <c r="Y215" s="127">
        <f>+V215*((X215*'1. Standard_Cost'!$B$19)+(W215*X215*'1. Standard_Cost'!$C$19))</f>
        <v>0</v>
      </c>
      <c r="Z215" s="126"/>
      <c r="AA215" s="126"/>
      <c r="AB215" s="127">
        <f>+Z215*'1. Standard_Cost'!$B$23+AA215*'1. Standard_Cost'!$C$23</f>
        <v>0</v>
      </c>
      <c r="AC215" s="128"/>
      <c r="AD215" s="129"/>
      <c r="AE215" s="127">
        <f>SUM(AD215,AC215,AB215,Y215,U215,T215,S215,R215)*'1. Standard_Cost'!$B$31</f>
        <v>0</v>
      </c>
      <c r="AF215" s="127">
        <f t="shared" si="142"/>
        <v>0</v>
      </c>
      <c r="AG215" s="126"/>
      <c r="AH215" s="126"/>
      <c r="AI215" s="126"/>
      <c r="AJ215" s="130"/>
      <c r="AK215" s="130"/>
      <c r="AL215" s="130"/>
      <c r="AM215" s="127">
        <f>AG215*'1. Standard_Cost'!$B$27+'Incremental_Cost Year 5'!AH215*'1. Standard_Cost'!$C$27+'Incremental_Cost Year 5'!AI215*'1. Standard_Cost'!$D$27+'Incremental_Cost Year 5'!AJ215+'Incremental_Cost Year 5'!AL215+AK215</f>
        <v>0</v>
      </c>
      <c r="AN215" s="127">
        <f>AM215*'1. Standard_Cost'!$C$31</f>
        <v>0</v>
      </c>
      <c r="AO215" s="130"/>
      <c r="AQ215" s="171">
        <f t="shared" si="143"/>
        <v>1411603.2</v>
      </c>
      <c r="AR215" s="171">
        <f t="shared" si="144"/>
        <v>0</v>
      </c>
      <c r="AS215" s="171">
        <f t="shared" si="145"/>
        <v>0</v>
      </c>
      <c r="AT215" s="171">
        <f t="shared" si="146"/>
        <v>1411603.2</v>
      </c>
      <c r="AU215" s="250">
        <f>AT215</f>
        <v>1411603.2</v>
      </c>
      <c r="AV215" s="250"/>
      <c r="AW215" s="250"/>
      <c r="AX215" s="250"/>
      <c r="AY215" s="250"/>
      <c r="AZ215" s="250"/>
      <c r="BA215" s="250"/>
      <c r="BB215" s="251">
        <f t="shared" si="147"/>
        <v>0</v>
      </c>
      <c r="BC215" s="169"/>
      <c r="BD215" s="169"/>
      <c r="BE215" s="169"/>
      <c r="BF215" s="169"/>
    </row>
    <row r="216" spans="1:58" ht="51.6" customHeight="1" outlineLevel="2" x14ac:dyDescent="0.25">
      <c r="A216" s="115"/>
      <c r="B216" s="200"/>
      <c r="C216" s="201"/>
      <c r="D216" s="203"/>
      <c r="E216" s="328"/>
      <c r="F216" s="328"/>
      <c r="G216" s="328"/>
      <c r="H216" s="199" t="s">
        <v>512</v>
      </c>
      <c r="I216" s="130"/>
      <c r="J216" s="126"/>
      <c r="K216" s="126"/>
      <c r="L216" s="125" t="str">
        <f>IF(I216&lt;&gt;0,((VLOOKUP(I216,'1. Standard_Cost'!$B$4:$D$11,2)+VLOOKUP(I216,'1. Standard_Cost'!$B$4:$D$11,3))*J216*K216),"0")</f>
        <v>0</v>
      </c>
      <c r="M216" s="125">
        <f>L216*'1. Standard_Cost'!$F$4</f>
        <v>0</v>
      </c>
      <c r="N216" s="126"/>
      <c r="O216" s="126"/>
      <c r="P216" s="126"/>
      <c r="Q216" s="126"/>
      <c r="R216" s="127">
        <f>'1. Standard_Cost'!$B$15*N216*P216</f>
        <v>0</v>
      </c>
      <c r="S216" s="127">
        <f>N216*O216*P216*'1. Standard_Cost'!$C$15</f>
        <v>0</v>
      </c>
      <c r="T216" s="127">
        <f>N216*P216*Q216*'1. Standard_Cost'!$D$15</f>
        <v>0</v>
      </c>
      <c r="U216" s="127">
        <f>N216*O216*'1. Standard_Cost'!$E$15</f>
        <v>0</v>
      </c>
      <c r="V216" s="126"/>
      <c r="W216" s="126"/>
      <c r="X216" s="126"/>
      <c r="Y216" s="127">
        <f>+V216*((X216*'1. Standard_Cost'!$B$19)+(W216*X216*'1. Standard_Cost'!$C$19))</f>
        <v>0</v>
      </c>
      <c r="Z216" s="126"/>
      <c r="AA216" s="126"/>
      <c r="AB216" s="127">
        <f>+Z216*'1. Standard_Cost'!$B$23+AA216*'1. Standard_Cost'!$C$23</f>
        <v>0</v>
      </c>
      <c r="AC216" s="128"/>
      <c r="AD216" s="129"/>
      <c r="AE216" s="127">
        <f>SUM(AD216,AC216,AB216,Y216,U216,T216,S216,R216)*'1. Standard_Cost'!$B$31</f>
        <v>0</v>
      </c>
      <c r="AF216" s="127">
        <f t="shared" si="142"/>
        <v>0</v>
      </c>
      <c r="AG216" s="126"/>
      <c r="AH216" s="126"/>
      <c r="AI216" s="126"/>
      <c r="AJ216" s="130"/>
      <c r="AK216" s="130"/>
      <c r="AL216" s="130"/>
      <c r="AM216" s="127">
        <f>AG216*'1. Standard_Cost'!$B$27+'Incremental_Cost Year 5'!AH216*'1. Standard_Cost'!$C$27+'Incremental_Cost Year 5'!AI216*'1. Standard_Cost'!$D$27+'Incremental_Cost Year 5'!AJ216+'Incremental_Cost Year 5'!AL216+AK216</f>
        <v>0</v>
      </c>
      <c r="AN216" s="127">
        <f>AM216*'1. Standard_Cost'!$C$31</f>
        <v>0</v>
      </c>
      <c r="AO216" s="130"/>
      <c r="AQ216" s="171">
        <f t="shared" si="143"/>
        <v>0</v>
      </c>
      <c r="AR216" s="171">
        <f t="shared" si="144"/>
        <v>0</v>
      </c>
      <c r="AS216" s="171">
        <f t="shared" si="145"/>
        <v>0</v>
      </c>
      <c r="AT216" s="171">
        <f t="shared" si="146"/>
        <v>0</v>
      </c>
      <c r="AU216" s="250"/>
      <c r="AV216" s="250"/>
      <c r="AW216" s="250"/>
      <c r="AX216" s="250"/>
      <c r="AY216" s="250"/>
      <c r="AZ216" s="250"/>
      <c r="BA216" s="250"/>
      <c r="BB216" s="251">
        <f t="shared" si="147"/>
        <v>0</v>
      </c>
      <c r="BC216" s="169"/>
      <c r="BD216" s="169"/>
      <c r="BE216" s="169"/>
      <c r="BF216" s="169"/>
    </row>
    <row r="217" spans="1:58" ht="51.6" customHeight="1" outlineLevel="2" x14ac:dyDescent="0.25">
      <c r="A217" s="115"/>
      <c r="B217" s="200"/>
      <c r="C217" s="201"/>
      <c r="D217" s="203"/>
      <c r="E217" s="328"/>
      <c r="F217" s="328"/>
      <c r="G217" s="328"/>
      <c r="H217" s="213" t="s">
        <v>250</v>
      </c>
      <c r="I217" s="130" t="s">
        <v>1</v>
      </c>
      <c r="J217" s="126">
        <v>12</v>
      </c>
      <c r="K217" s="126">
        <v>824</v>
      </c>
      <c r="L217" s="125">
        <f>IF(I217&lt;&gt;0,((VLOOKUP(I217,'1. Standard_Cost'!$B$4:$D$11,2)+VLOOKUP(I217,'1. Standard_Cost'!$B$4:$D$11,3))*J217*K217),"0")</f>
        <v>709887771.42857134</v>
      </c>
      <c r="M217" s="125">
        <f>L217*'1. Standard_Cost'!$F$4</f>
        <v>118551257.82857142</v>
      </c>
      <c r="N217" s="126"/>
      <c r="O217" s="126"/>
      <c r="P217" s="126"/>
      <c r="Q217" s="126"/>
      <c r="R217" s="127">
        <f>'1. Standard_Cost'!$B$15*N217*P217</f>
        <v>0</v>
      </c>
      <c r="S217" s="127">
        <f>N217*O217*P217*'1. Standard_Cost'!$C$15</f>
        <v>0</v>
      </c>
      <c r="T217" s="127">
        <f>N217*P217*Q217*'1. Standard_Cost'!$D$15</f>
        <v>0</v>
      </c>
      <c r="U217" s="127">
        <f>N217*O217*'1. Standard_Cost'!$E$15</f>
        <v>0</v>
      </c>
      <c r="V217" s="126"/>
      <c r="W217" s="126"/>
      <c r="X217" s="126"/>
      <c r="Y217" s="127">
        <f>+V217*((X217*'1. Standard_Cost'!$B$19)+(W217*X217*'1. Standard_Cost'!$C$19))</f>
        <v>0</v>
      </c>
      <c r="Z217" s="126"/>
      <c r="AA217" s="126"/>
      <c r="AB217" s="127">
        <f>+Z217*'1. Standard_Cost'!$B$23+AA217*'1. Standard_Cost'!$C$23</f>
        <v>0</v>
      </c>
      <c r="AC217" s="128">
        <f>230000000+250000000*2</f>
        <v>730000000</v>
      </c>
      <c r="AD217" s="129"/>
      <c r="AE217" s="127"/>
      <c r="AF217" s="127">
        <f t="shared" si="142"/>
        <v>730000000</v>
      </c>
      <c r="AG217" s="126"/>
      <c r="AH217" s="126"/>
      <c r="AI217" s="126"/>
      <c r="AJ217" s="130"/>
      <c r="AK217" s="130"/>
      <c r="AL217" s="130"/>
      <c r="AM217" s="127">
        <f>AG217*'1. Standard_Cost'!$B$27+'Incremental_Cost Year 5'!AH217*'1. Standard_Cost'!$C$27+'Incremental_Cost Year 5'!AI217*'1. Standard_Cost'!$D$27+'Incremental_Cost Year 5'!AJ217+'Incremental_Cost Year 5'!AL217+AK217</f>
        <v>0</v>
      </c>
      <c r="AN217" s="127">
        <f>AM217*'1. Standard_Cost'!$C$31</f>
        <v>0</v>
      </c>
      <c r="AO217" s="130"/>
      <c r="AQ217" s="171">
        <f t="shared" si="143"/>
        <v>828439029.25714278</v>
      </c>
      <c r="AR217" s="171">
        <f t="shared" si="144"/>
        <v>730000000</v>
      </c>
      <c r="AS217" s="171">
        <f t="shared" si="145"/>
        <v>0</v>
      </c>
      <c r="AT217" s="171">
        <f t="shared" si="146"/>
        <v>1558439029.2571428</v>
      </c>
      <c r="AU217" s="250">
        <f>AT217</f>
        <v>1558439029.2571428</v>
      </c>
      <c r="AV217" s="250"/>
      <c r="AW217" s="250"/>
      <c r="AX217" s="250"/>
      <c r="AY217" s="250"/>
      <c r="AZ217" s="250"/>
      <c r="BA217" s="250"/>
      <c r="BB217" s="251">
        <f t="shared" si="147"/>
        <v>0</v>
      </c>
      <c r="BC217" s="169"/>
      <c r="BD217" s="169"/>
      <c r="BE217" s="169"/>
      <c r="BF217" s="169"/>
    </row>
    <row r="218" spans="1:58" ht="51.6" customHeight="1" outlineLevel="2" x14ac:dyDescent="0.25">
      <c r="A218" s="115"/>
      <c r="B218" s="200"/>
      <c r="C218" s="201"/>
      <c r="D218" s="203"/>
      <c r="E218" s="328"/>
      <c r="F218" s="328"/>
      <c r="G218" s="328"/>
      <c r="H218" s="213" t="s">
        <v>513</v>
      </c>
      <c r="I218" s="130" t="s">
        <v>1</v>
      </c>
      <c r="J218" s="126">
        <v>12</v>
      </c>
      <c r="K218" s="126">
        <v>123</v>
      </c>
      <c r="L218" s="125">
        <f>IF(I218&lt;&gt;0,((VLOOKUP(I218,'1. Standard_Cost'!$B$4:$D$11,2)+VLOOKUP(I218,'1. Standard_Cost'!$B$4:$D$11,3))*J218*K218),"0")</f>
        <v>105966257.14285713</v>
      </c>
      <c r="M218" s="125">
        <f>L218*'1. Standard_Cost'!$F$4</f>
        <v>17696364.942857143</v>
      </c>
      <c r="N218" s="126"/>
      <c r="O218" s="126"/>
      <c r="P218" s="126"/>
      <c r="Q218" s="126"/>
      <c r="R218" s="127">
        <f>'1. Standard_Cost'!$B$15*N218*P218</f>
        <v>0</v>
      </c>
      <c r="S218" s="127">
        <f>N218*O218*P218*'1. Standard_Cost'!$C$15</f>
        <v>0</v>
      </c>
      <c r="T218" s="127">
        <f>N218*P218*Q218*'1. Standard_Cost'!$D$15</f>
        <v>0</v>
      </c>
      <c r="U218" s="127">
        <f>N218*O218*'1. Standard_Cost'!$E$15</f>
        <v>0</v>
      </c>
      <c r="V218" s="126"/>
      <c r="W218" s="126"/>
      <c r="X218" s="126"/>
      <c r="Y218" s="127">
        <f>+V218*((X218*'1. Standard_Cost'!$B$19)+(W218*X218*'1. Standard_Cost'!$C$19))</f>
        <v>0</v>
      </c>
      <c r="Z218" s="126"/>
      <c r="AA218" s="126"/>
      <c r="AB218" s="127">
        <f>+Z218*'1. Standard_Cost'!$B$23+AA218*'1. Standard_Cost'!$C$23</f>
        <v>0</v>
      </c>
      <c r="AC218" s="128">
        <f>220000000*3</f>
        <v>660000000</v>
      </c>
      <c r="AD218" s="129"/>
      <c r="AE218" s="127"/>
      <c r="AF218" s="127">
        <f t="shared" si="142"/>
        <v>660000000</v>
      </c>
      <c r="AG218" s="126"/>
      <c r="AH218" s="126"/>
      <c r="AI218" s="126"/>
      <c r="AJ218" s="130"/>
      <c r="AK218" s="130"/>
      <c r="AL218" s="130"/>
      <c r="AM218" s="127">
        <f>AG218*'1. Standard_Cost'!$B$27+'Incremental_Cost Year 5'!AH218*'1. Standard_Cost'!$C$27+'Incremental_Cost Year 5'!AI218*'1. Standard_Cost'!$D$27+'Incremental_Cost Year 5'!AJ218+'Incremental_Cost Year 5'!AL218+AK218</f>
        <v>0</v>
      </c>
      <c r="AN218" s="127">
        <f>AM218*'1. Standard_Cost'!$C$31</f>
        <v>0</v>
      </c>
      <c r="AO218" s="130"/>
      <c r="AQ218" s="171">
        <f t="shared" si="143"/>
        <v>123662622.08571428</v>
      </c>
      <c r="AR218" s="171">
        <f t="shared" si="144"/>
        <v>660000000</v>
      </c>
      <c r="AS218" s="171">
        <f t="shared" si="145"/>
        <v>0</v>
      </c>
      <c r="AT218" s="171">
        <f t="shared" si="146"/>
        <v>783662622.08571434</v>
      </c>
      <c r="AU218" s="250">
        <f>AT218</f>
        <v>783662622.08571434</v>
      </c>
      <c r="AV218" s="250"/>
      <c r="AW218" s="250"/>
      <c r="AX218" s="250"/>
      <c r="AY218" s="250"/>
      <c r="AZ218" s="250"/>
      <c r="BA218" s="250"/>
      <c r="BB218" s="251">
        <f t="shared" si="147"/>
        <v>0</v>
      </c>
      <c r="BC218" s="169"/>
      <c r="BD218" s="169"/>
      <c r="BE218" s="169"/>
      <c r="BF218" s="169"/>
    </row>
    <row r="219" spans="1:58" ht="51.6" customHeight="1" outlineLevel="2" x14ac:dyDescent="0.25">
      <c r="A219" s="115"/>
      <c r="B219" s="200"/>
      <c r="C219" s="201"/>
      <c r="D219" s="203"/>
      <c r="E219" s="328"/>
      <c r="F219" s="328"/>
      <c r="G219" s="328"/>
      <c r="H219" s="199" t="s">
        <v>514</v>
      </c>
      <c r="I219" s="130" t="s">
        <v>3</v>
      </c>
      <c r="J219" s="126">
        <v>3</v>
      </c>
      <c r="K219" s="126">
        <v>88</v>
      </c>
      <c r="L219" s="125">
        <f>IF(I219&lt;&gt;0,((VLOOKUP(I219,'1. Standard_Cost'!$B$4:$D$11,2)+VLOOKUP(I219,'1. Standard_Cost'!$B$4:$D$11,3))*J219*K219),"0")</f>
        <v>26611200</v>
      </c>
      <c r="M219" s="125">
        <f>L219*'1. Standard_Cost'!$F$4</f>
        <v>4444070.4000000004</v>
      </c>
      <c r="N219" s="126"/>
      <c r="O219" s="126"/>
      <c r="P219" s="126"/>
      <c r="Q219" s="126"/>
      <c r="R219" s="127">
        <f>'1. Standard_Cost'!$B$15*N219*P219</f>
        <v>0</v>
      </c>
      <c r="S219" s="127">
        <f>N219*O219*P219*'1. Standard_Cost'!$C$15</f>
        <v>0</v>
      </c>
      <c r="T219" s="127">
        <f>N219*P219*Q219*'1. Standard_Cost'!$D$15</f>
        <v>0</v>
      </c>
      <c r="U219" s="127">
        <f>N219*O219*'1. Standard_Cost'!$E$15</f>
        <v>0</v>
      </c>
      <c r="V219" s="126"/>
      <c r="W219" s="126"/>
      <c r="X219" s="126"/>
      <c r="Y219" s="127">
        <f>+V219*((X219*'1. Standard_Cost'!$B$19)+(W219*X219*'1. Standard_Cost'!$C$19))</f>
        <v>0</v>
      </c>
      <c r="Z219" s="126"/>
      <c r="AA219" s="126"/>
      <c r="AB219" s="127">
        <f>+Z219*'1. Standard_Cost'!$B$23+AA219*'1. Standard_Cost'!$C$23</f>
        <v>0</v>
      </c>
      <c r="AC219" s="128">
        <v>52163000</v>
      </c>
      <c r="AD219" s="129"/>
      <c r="AE219" s="127"/>
      <c r="AF219" s="127">
        <f t="shared" si="142"/>
        <v>52163000</v>
      </c>
      <c r="AG219" s="126"/>
      <c r="AH219" s="126"/>
      <c r="AI219" s="126"/>
      <c r="AJ219" s="130"/>
      <c r="AK219" s="130"/>
      <c r="AL219" s="130"/>
      <c r="AM219" s="127">
        <f>AG219*'1. Standard_Cost'!$B$27+'Incremental_Cost Year 5'!AH219*'1. Standard_Cost'!$C$27+'Incremental_Cost Year 5'!AI219*'1. Standard_Cost'!$D$27+'Incremental_Cost Year 5'!AJ219+'Incremental_Cost Year 5'!AL219+AK219</f>
        <v>0</v>
      </c>
      <c r="AN219" s="127">
        <f>AM219*'1. Standard_Cost'!$C$31</f>
        <v>0</v>
      </c>
      <c r="AO219" s="130"/>
      <c r="AQ219" s="171">
        <f t="shared" si="143"/>
        <v>31055270.399999999</v>
      </c>
      <c r="AR219" s="171">
        <f t="shared" si="144"/>
        <v>52163000</v>
      </c>
      <c r="AS219" s="171">
        <f t="shared" si="145"/>
        <v>0</v>
      </c>
      <c r="AT219" s="171">
        <f t="shared" si="146"/>
        <v>83218270.400000006</v>
      </c>
      <c r="AU219" s="250">
        <f>AT219</f>
        <v>83218270.400000006</v>
      </c>
      <c r="AV219" s="250"/>
      <c r="AW219" s="250"/>
      <c r="AX219" s="250"/>
      <c r="AY219" s="250"/>
      <c r="AZ219" s="250"/>
      <c r="BA219" s="250"/>
      <c r="BB219" s="251">
        <f t="shared" si="147"/>
        <v>0</v>
      </c>
      <c r="BC219" s="169"/>
      <c r="BD219" s="169"/>
      <c r="BE219" s="169"/>
      <c r="BF219" s="169"/>
    </row>
    <row r="220" spans="1:58" ht="51.6" customHeight="1" outlineLevel="1" x14ac:dyDescent="0.25">
      <c r="A220" s="115"/>
      <c r="B220" s="165"/>
      <c r="C220" s="166"/>
      <c r="D220" s="139" t="s">
        <v>557</v>
      </c>
      <c r="E220" s="212" t="s">
        <v>251</v>
      </c>
      <c r="F220" s="352">
        <v>2021</v>
      </c>
      <c r="G220" s="353">
        <v>2030</v>
      </c>
      <c r="H220" s="150" t="s">
        <v>252</v>
      </c>
      <c r="I220" s="252"/>
      <c r="J220" s="252"/>
      <c r="K220" s="252"/>
      <c r="L220" s="127">
        <f>SUM(L214:L219)</f>
        <v>843674828.57142854</v>
      </c>
      <c r="M220" s="127">
        <f>SUM(M214:M219)</f>
        <v>140893696.37142858</v>
      </c>
      <c r="N220" s="252"/>
      <c r="O220" s="252"/>
      <c r="P220" s="252"/>
      <c r="Q220" s="252"/>
      <c r="R220" s="127">
        <f>SUM(R214:R219)</f>
        <v>0</v>
      </c>
      <c r="S220" s="127">
        <f>SUM(S214:S219)</f>
        <v>0</v>
      </c>
      <c r="T220" s="127">
        <f>SUM(T214:T219)</f>
        <v>0</v>
      </c>
      <c r="U220" s="127">
        <f>SUM(U214:U219)</f>
        <v>0</v>
      </c>
      <c r="V220" s="252"/>
      <c r="W220" s="252"/>
      <c r="X220" s="252"/>
      <c r="Y220" s="127">
        <f>SUM(Y214:Y219)</f>
        <v>0</v>
      </c>
      <c r="Z220" s="127"/>
      <c r="AA220" s="252"/>
      <c r="AB220" s="127">
        <f>SUM(AB214:AB219)</f>
        <v>0</v>
      </c>
      <c r="AC220" s="127">
        <f>SUM(AC214:AC219)</f>
        <v>1442163000</v>
      </c>
      <c r="AD220" s="127">
        <f>SUM(AD214:AD219)</f>
        <v>0</v>
      </c>
      <c r="AE220" s="127">
        <f>SUM(AE214:AE219)</f>
        <v>0</v>
      </c>
      <c r="AF220" s="127">
        <f>SUM(AF214:AF219)</f>
        <v>1442163000</v>
      </c>
      <c r="AG220" s="252"/>
      <c r="AH220" s="252"/>
      <c r="AI220" s="252"/>
      <c r="AJ220" s="127">
        <f>SUM(AJ214:AJ219)</f>
        <v>0</v>
      </c>
      <c r="AK220" s="127">
        <f>SUM(AK214:AK219)</f>
        <v>0</v>
      </c>
      <c r="AL220" s="127">
        <f>SUM(AL214:AL219)</f>
        <v>0</v>
      </c>
      <c r="AM220" s="127">
        <f>SUM(AM214:AM219)</f>
        <v>0</v>
      </c>
      <c r="AN220" s="127">
        <f>SUM(AN214:AN219)</f>
        <v>0</v>
      </c>
      <c r="AO220" s="253"/>
      <c r="AP220" s="254"/>
      <c r="AQ220" s="175">
        <f>SUM(AQ214:AQ219)</f>
        <v>984568524.94285715</v>
      </c>
      <c r="AR220" s="175">
        <f>SUM(AR214:AR219)</f>
        <v>1442163000</v>
      </c>
      <c r="AS220" s="175">
        <f>SUM(AS214:AS219)</f>
        <v>0</v>
      </c>
      <c r="AT220" s="175">
        <f>SUM(AT214:AT219)</f>
        <v>2426731524.9428573</v>
      </c>
      <c r="AU220" s="175">
        <f t="shared" ref="AU220:BB220" si="148">SUM(AU214:AU219)</f>
        <v>2426731524.9428573</v>
      </c>
      <c r="AV220" s="175">
        <f t="shared" si="148"/>
        <v>0</v>
      </c>
      <c r="AW220" s="175">
        <f t="shared" si="148"/>
        <v>0</v>
      </c>
      <c r="AX220" s="175">
        <f t="shared" si="148"/>
        <v>0</v>
      </c>
      <c r="AY220" s="175">
        <f t="shared" si="148"/>
        <v>0</v>
      </c>
      <c r="AZ220" s="175">
        <f t="shared" si="148"/>
        <v>0</v>
      </c>
      <c r="BA220" s="175">
        <f t="shared" si="148"/>
        <v>0</v>
      </c>
      <c r="BB220" s="175">
        <f t="shared" si="148"/>
        <v>0</v>
      </c>
      <c r="BC220" s="169"/>
      <c r="BD220" s="169"/>
      <c r="BE220" s="169"/>
      <c r="BF220" s="169"/>
    </row>
    <row r="221" spans="1:58" s="184" customFormat="1" ht="51.6" customHeight="1" x14ac:dyDescent="0.25">
      <c r="A221" s="143"/>
      <c r="B221" s="332"/>
      <c r="C221" s="397" t="s">
        <v>253</v>
      </c>
      <c r="D221" s="397"/>
      <c r="E221" s="398"/>
      <c r="F221" s="291"/>
      <c r="G221" s="340"/>
      <c r="H221" s="144" t="s">
        <v>300</v>
      </c>
      <c r="I221" s="257"/>
      <c r="J221" s="257"/>
      <c r="K221" s="257"/>
      <c r="L221" s="258">
        <f>SUM(L225)</f>
        <v>0</v>
      </c>
      <c r="M221" s="258">
        <f>SUM(M225)</f>
        <v>0</v>
      </c>
      <c r="N221" s="257"/>
      <c r="O221" s="257"/>
      <c r="P221" s="257"/>
      <c r="Q221" s="257"/>
      <c r="R221" s="258">
        <f>SUM(R225)</f>
        <v>0</v>
      </c>
      <c r="S221" s="258">
        <f>SUM(S225)</f>
        <v>0</v>
      </c>
      <c r="T221" s="258">
        <f>SUM(T225)</f>
        <v>0</v>
      </c>
      <c r="U221" s="258">
        <f>SUM(U225)</f>
        <v>0</v>
      </c>
      <c r="V221" s="257"/>
      <c r="W221" s="257"/>
      <c r="X221" s="257"/>
      <c r="Y221" s="258">
        <f>SUM(Y225)</f>
        <v>0</v>
      </c>
      <c r="Z221" s="258"/>
      <c r="AA221" s="258"/>
      <c r="AB221" s="258">
        <f>SUM(AB225)</f>
        <v>0</v>
      </c>
      <c r="AC221" s="258">
        <f>SUM(AC225)</f>
        <v>0</v>
      </c>
      <c r="AD221" s="258">
        <f>SUM(AD225)</f>
        <v>0</v>
      </c>
      <c r="AE221" s="258">
        <f>SUM(AE225)</f>
        <v>0</v>
      </c>
      <c r="AF221" s="258">
        <f>SUM(AF225)</f>
        <v>0</v>
      </c>
      <c r="AG221" s="257"/>
      <c r="AH221" s="257"/>
      <c r="AI221" s="257"/>
      <c r="AJ221" s="258">
        <f>SUM(AJ225)</f>
        <v>0</v>
      </c>
      <c r="AK221" s="258">
        <f>SUM(AK225)</f>
        <v>0</v>
      </c>
      <c r="AL221" s="258">
        <f>SUM(AL225)</f>
        <v>0</v>
      </c>
      <c r="AM221" s="258">
        <f>SUM(AM225)</f>
        <v>0</v>
      </c>
      <c r="AN221" s="258">
        <f>SUM(AN225)</f>
        <v>0</v>
      </c>
      <c r="AO221" s="259"/>
      <c r="AP221" s="260"/>
      <c r="AQ221" s="261">
        <f>SUM(AQ225)</f>
        <v>0</v>
      </c>
      <c r="AR221" s="261">
        <f>SUM(AR225)</f>
        <v>0</v>
      </c>
      <c r="AS221" s="261">
        <f>SUM(AS225)</f>
        <v>0</v>
      </c>
      <c r="AT221" s="261">
        <f>SUM(AT225)</f>
        <v>0</v>
      </c>
      <c r="AU221" s="261">
        <f t="shared" ref="AU221:BB221" si="149">SUM(AU225)</f>
        <v>0</v>
      </c>
      <c r="AV221" s="261">
        <f t="shared" si="149"/>
        <v>0</v>
      </c>
      <c r="AW221" s="261">
        <f t="shared" si="149"/>
        <v>0</v>
      </c>
      <c r="AX221" s="261">
        <f t="shared" si="149"/>
        <v>0</v>
      </c>
      <c r="AY221" s="261">
        <f t="shared" si="149"/>
        <v>0</v>
      </c>
      <c r="AZ221" s="261">
        <f t="shared" si="149"/>
        <v>0</v>
      </c>
      <c r="BA221" s="261">
        <f t="shared" si="149"/>
        <v>0</v>
      </c>
      <c r="BB221" s="261">
        <f t="shared" si="149"/>
        <v>0</v>
      </c>
    </row>
    <row r="222" spans="1:58" ht="51.6" customHeight="1" outlineLevel="2" x14ac:dyDescent="0.25">
      <c r="A222" s="115"/>
      <c r="B222" s="200"/>
      <c r="C222" s="201"/>
      <c r="D222" s="342"/>
      <c r="E222" s="328"/>
      <c r="F222" s="328"/>
      <c r="G222" s="328"/>
      <c r="H222" s="199" t="s">
        <v>515</v>
      </c>
      <c r="I222" s="130"/>
      <c r="J222" s="126"/>
      <c r="K222" s="126"/>
      <c r="L222" s="125" t="str">
        <f>IF(I222&lt;&gt;0,((VLOOKUP(I222,'1. Standard_Cost'!$B$4:$D$11,2)+VLOOKUP(I222,'1. Standard_Cost'!$B$4:$D$11,3))*J222*K222),"0")</f>
        <v>0</v>
      </c>
      <c r="M222" s="125">
        <f>L222*'1. Standard_Cost'!$F$4</f>
        <v>0</v>
      </c>
      <c r="N222" s="126"/>
      <c r="O222" s="126"/>
      <c r="P222" s="126"/>
      <c r="Q222" s="126"/>
      <c r="R222" s="127">
        <f>'1. Standard_Cost'!$B$15*N222*P222</f>
        <v>0</v>
      </c>
      <c r="S222" s="127">
        <f>N222*O222*P222*'1. Standard_Cost'!$C$15</f>
        <v>0</v>
      </c>
      <c r="T222" s="127">
        <f>N222*P222*Q222*'1. Standard_Cost'!$D$15</f>
        <v>0</v>
      </c>
      <c r="U222" s="127">
        <f>N222*O222*'1. Standard_Cost'!$E$15</f>
        <v>0</v>
      </c>
      <c r="V222" s="126"/>
      <c r="W222" s="126"/>
      <c r="X222" s="126"/>
      <c r="Y222" s="127">
        <f>+V222*((X222*'1. Standard_Cost'!$B$19)+(W222*X222*'1. Standard_Cost'!$C$19))</f>
        <v>0</v>
      </c>
      <c r="Z222" s="126"/>
      <c r="AA222" s="126"/>
      <c r="AB222" s="127">
        <f>+Z222*'1. Standard_Cost'!$B$23+AA222*'1. Standard_Cost'!$C$23</f>
        <v>0</v>
      </c>
      <c r="AC222" s="128"/>
      <c r="AD222" s="129"/>
      <c r="AE222" s="127">
        <f>SUM(AD222,AC222,AB222,Y222,U222,T222,S222,R222)*'1. Standard_Cost'!$B$31</f>
        <v>0</v>
      </c>
      <c r="AF222" s="127">
        <f>SUM(AE222,AD222,AC222,AB222,Y222,U222,T222,S222,R222)</f>
        <v>0</v>
      </c>
      <c r="AG222" s="126"/>
      <c r="AH222" s="126"/>
      <c r="AI222" s="126"/>
      <c r="AJ222" s="130"/>
      <c r="AK222" s="130"/>
      <c r="AL222" s="130"/>
      <c r="AM222" s="127">
        <f>AG222*'1. Standard_Cost'!$B$27+'Incremental_Cost Year 5'!AH222*'1. Standard_Cost'!$C$27+'Incremental_Cost Year 5'!AI222*'1. Standard_Cost'!$D$27+'Incremental_Cost Year 5'!AJ222+'Incremental_Cost Year 5'!AL222+AK222</f>
        <v>0</v>
      </c>
      <c r="AN222" s="127">
        <f>AM222*'1. Standard_Cost'!$C$31</f>
        <v>0</v>
      </c>
      <c r="AO222" s="130"/>
      <c r="AQ222" s="171">
        <f>L222+M222</f>
        <v>0</v>
      </c>
      <c r="AR222" s="171">
        <f>AF222</f>
        <v>0</v>
      </c>
      <c r="AS222" s="171">
        <f>AM222+AN222</f>
        <v>0</v>
      </c>
      <c r="AT222" s="171">
        <f>SUM(AQ222,AR222,AS222)</f>
        <v>0</v>
      </c>
      <c r="AU222" s="250">
        <f>AT222</f>
        <v>0</v>
      </c>
      <c r="AV222" s="250"/>
      <c r="AW222" s="250"/>
      <c r="AX222" s="250"/>
      <c r="AY222" s="250"/>
      <c r="AZ222" s="250"/>
      <c r="BA222" s="250"/>
      <c r="BB222" s="251">
        <f t="shared" ref="BB222:BB224" si="150">SUM(AU222:BA222)-AT222</f>
        <v>0</v>
      </c>
      <c r="BC222" s="169"/>
      <c r="BD222" s="169"/>
      <c r="BE222" s="169"/>
      <c r="BF222" s="169"/>
    </row>
    <row r="223" spans="1:58" ht="51.6" customHeight="1" outlineLevel="2" x14ac:dyDescent="0.25">
      <c r="A223" s="115"/>
      <c r="B223" s="200"/>
      <c r="C223" s="201"/>
      <c r="D223" s="343"/>
      <c r="E223" s="328"/>
      <c r="F223" s="328"/>
      <c r="G223" s="328"/>
      <c r="H223" s="199" t="s">
        <v>516</v>
      </c>
      <c r="I223" s="130"/>
      <c r="J223" s="126"/>
      <c r="K223" s="126"/>
      <c r="L223" s="125" t="str">
        <f>IF(I223&lt;&gt;0,((VLOOKUP(I223,'1. Standard_Cost'!$B$4:$D$11,2)+VLOOKUP(I223,'1. Standard_Cost'!$B$4:$D$11,3))*J223*K223),"0")</f>
        <v>0</v>
      </c>
      <c r="M223" s="125">
        <f>L223*'1. Standard_Cost'!$F$4</f>
        <v>0</v>
      </c>
      <c r="N223" s="126"/>
      <c r="O223" s="126"/>
      <c r="P223" s="126"/>
      <c r="Q223" s="126"/>
      <c r="R223" s="127">
        <f>'1. Standard_Cost'!$B$15*N223*P223</f>
        <v>0</v>
      </c>
      <c r="S223" s="127">
        <f>N223*O223*P223*'1. Standard_Cost'!$C$15</f>
        <v>0</v>
      </c>
      <c r="T223" s="127">
        <f>N223*P223*Q223*'1. Standard_Cost'!$D$15</f>
        <v>0</v>
      </c>
      <c r="U223" s="127">
        <f>N223*O223*'1. Standard_Cost'!$E$15</f>
        <v>0</v>
      </c>
      <c r="V223" s="126"/>
      <c r="W223" s="126"/>
      <c r="X223" s="126"/>
      <c r="Y223" s="127">
        <f>+V223*((X223*'1. Standard_Cost'!$B$19)+(W223*X223*'1. Standard_Cost'!$C$19))</f>
        <v>0</v>
      </c>
      <c r="Z223" s="126"/>
      <c r="AA223" s="126"/>
      <c r="AB223" s="127">
        <f>+Z223*'1. Standard_Cost'!$B$23+AA223*'1. Standard_Cost'!$C$23</f>
        <v>0</v>
      </c>
      <c r="AC223" s="128"/>
      <c r="AD223" s="129"/>
      <c r="AE223" s="127">
        <f>SUM(AD223,AC223,AB223,Y223,U223,T223,S223,R223)*'1. Standard_Cost'!$B$31</f>
        <v>0</v>
      </c>
      <c r="AF223" s="127">
        <f>SUM(AE223,AD223,AC223,AB223,Y223,U223,T223,S223,R223)</f>
        <v>0</v>
      </c>
      <c r="AG223" s="126"/>
      <c r="AH223" s="126"/>
      <c r="AI223" s="126"/>
      <c r="AJ223" s="130"/>
      <c r="AK223" s="130"/>
      <c r="AL223" s="130"/>
      <c r="AM223" s="127">
        <f>AG223*'1. Standard_Cost'!$B$27+'Incremental_Cost Year 5'!AH223*'1. Standard_Cost'!$C$27+'Incremental_Cost Year 5'!AI223*'1. Standard_Cost'!$D$27+'Incremental_Cost Year 5'!AJ223+'Incremental_Cost Year 5'!AL223+AK223</f>
        <v>0</v>
      </c>
      <c r="AN223" s="127">
        <f>AM223*'1. Standard_Cost'!$C$31</f>
        <v>0</v>
      </c>
      <c r="AO223" s="130"/>
      <c r="AQ223" s="171">
        <f>L223+M223</f>
        <v>0</v>
      </c>
      <c r="AR223" s="171">
        <f>AF223</f>
        <v>0</v>
      </c>
      <c r="AS223" s="171">
        <f>AM223+AN223</f>
        <v>0</v>
      </c>
      <c r="AT223" s="171">
        <f>SUM(AQ223,AR223,AS223)</f>
        <v>0</v>
      </c>
      <c r="AU223" s="250">
        <f>AT223</f>
        <v>0</v>
      </c>
      <c r="AV223" s="250"/>
      <c r="AW223" s="250"/>
      <c r="AX223" s="250"/>
      <c r="AY223" s="250"/>
      <c r="AZ223" s="250"/>
      <c r="BA223" s="250"/>
      <c r="BB223" s="251">
        <f t="shared" si="150"/>
        <v>0</v>
      </c>
      <c r="BC223" s="169"/>
      <c r="BD223" s="169"/>
      <c r="BE223" s="169"/>
      <c r="BF223" s="169"/>
    </row>
    <row r="224" spans="1:58" ht="51.6" customHeight="1" outlineLevel="2" x14ac:dyDescent="0.25">
      <c r="A224" s="115"/>
      <c r="B224" s="200"/>
      <c r="C224" s="201"/>
      <c r="D224" s="344"/>
      <c r="E224" s="328"/>
      <c r="F224" s="328"/>
      <c r="G224" s="328"/>
      <c r="H224" s="199" t="s">
        <v>254</v>
      </c>
      <c r="I224" s="130"/>
      <c r="J224" s="126"/>
      <c r="K224" s="126"/>
      <c r="L224" s="125" t="str">
        <f>IF(I224&lt;&gt;0,((VLOOKUP(I224,'1. Standard_Cost'!$B$4:$D$11,2)+VLOOKUP(I224,'1. Standard_Cost'!$B$4:$D$11,3))*J224*K224),"0")</f>
        <v>0</v>
      </c>
      <c r="M224" s="125">
        <f>L224*'1. Standard_Cost'!$F$4</f>
        <v>0</v>
      </c>
      <c r="N224" s="126"/>
      <c r="O224" s="126"/>
      <c r="P224" s="126"/>
      <c r="Q224" s="126"/>
      <c r="R224" s="127">
        <f>'1. Standard_Cost'!$B$15*N224*P224</f>
        <v>0</v>
      </c>
      <c r="S224" s="127">
        <f>N224*O224*P224*'1. Standard_Cost'!$C$15</f>
        <v>0</v>
      </c>
      <c r="T224" s="127">
        <f>N224*P224*Q224*'1. Standard_Cost'!$D$15</f>
        <v>0</v>
      </c>
      <c r="U224" s="127">
        <f>N224*O224*'1. Standard_Cost'!$E$15</f>
        <v>0</v>
      </c>
      <c r="V224" s="126"/>
      <c r="W224" s="126"/>
      <c r="X224" s="126"/>
      <c r="Y224" s="127">
        <f>+V224*((X224*'1. Standard_Cost'!$B$19)+(W224*X224*'1. Standard_Cost'!$C$19))</f>
        <v>0</v>
      </c>
      <c r="Z224" s="126"/>
      <c r="AA224" s="126"/>
      <c r="AB224" s="127">
        <f>+Z224*'1. Standard_Cost'!$B$23+AA224*'1. Standard_Cost'!$C$23</f>
        <v>0</v>
      </c>
      <c r="AC224" s="128"/>
      <c r="AD224" s="129"/>
      <c r="AE224" s="127">
        <f>SUM(AD224,AC224,AB224,Y224,U224,T224,S224,R224)*'1. Standard_Cost'!$B$31</f>
        <v>0</v>
      </c>
      <c r="AF224" s="127">
        <f>SUM(AE224,AD224,AC224,AB224,Y224,U224,T224,S224,R224)</f>
        <v>0</v>
      </c>
      <c r="AG224" s="126"/>
      <c r="AH224" s="126"/>
      <c r="AI224" s="126"/>
      <c r="AJ224" s="130"/>
      <c r="AK224" s="130"/>
      <c r="AL224" s="130"/>
      <c r="AM224" s="127">
        <f>AG224*'1. Standard_Cost'!$B$27+'Incremental_Cost Year 5'!AH224*'1. Standard_Cost'!$C$27+'Incremental_Cost Year 5'!AI224*'1. Standard_Cost'!$D$27+'Incremental_Cost Year 5'!AJ224+'Incremental_Cost Year 5'!AL224+AK224</f>
        <v>0</v>
      </c>
      <c r="AN224" s="127">
        <f>AM224*'1. Standard_Cost'!$C$31</f>
        <v>0</v>
      </c>
      <c r="AO224" s="130"/>
      <c r="AQ224" s="171">
        <f>L224+M224</f>
        <v>0</v>
      </c>
      <c r="AR224" s="171">
        <f>AF224</f>
        <v>0</v>
      </c>
      <c r="AS224" s="171">
        <f>AM224+AN224</f>
        <v>0</v>
      </c>
      <c r="AT224" s="171">
        <f>SUM(AQ224,AR224,AS224)</f>
        <v>0</v>
      </c>
      <c r="AU224" s="250"/>
      <c r="AV224" s="250"/>
      <c r="AW224" s="250"/>
      <c r="AX224" s="250"/>
      <c r="AY224" s="250"/>
      <c r="AZ224" s="250"/>
      <c r="BA224" s="250"/>
      <c r="BB224" s="251">
        <f t="shared" si="150"/>
        <v>0</v>
      </c>
      <c r="BC224" s="169"/>
      <c r="BD224" s="169"/>
      <c r="BE224" s="169"/>
      <c r="BF224" s="169"/>
    </row>
    <row r="225" spans="1:58" ht="51.6" customHeight="1" outlineLevel="1" x14ac:dyDescent="0.25">
      <c r="A225" s="115"/>
      <c r="B225" s="165"/>
      <c r="C225" s="166"/>
      <c r="D225" s="150" t="s">
        <v>240</v>
      </c>
      <c r="E225" s="212" t="s">
        <v>255</v>
      </c>
      <c r="F225" s="142">
        <v>2021</v>
      </c>
      <c r="G225" s="209">
        <v>2022</v>
      </c>
      <c r="H225" s="150" t="s">
        <v>256</v>
      </c>
      <c r="I225" s="252"/>
      <c r="J225" s="252"/>
      <c r="K225" s="252"/>
      <c r="L225" s="127">
        <f>SUM(L222:L224)</f>
        <v>0</v>
      </c>
      <c r="M225" s="127">
        <f>SUM(M222:M224)</f>
        <v>0</v>
      </c>
      <c r="N225" s="252"/>
      <c r="O225" s="252"/>
      <c r="P225" s="252"/>
      <c r="Q225" s="252"/>
      <c r="R225" s="127">
        <f>SUM(R222:R224)</f>
        <v>0</v>
      </c>
      <c r="S225" s="127">
        <f>SUM(S222:S224)</f>
        <v>0</v>
      </c>
      <c r="T225" s="127">
        <f>SUM(T222:T224)</f>
        <v>0</v>
      </c>
      <c r="U225" s="127">
        <f>SUM(U222:U224)</f>
        <v>0</v>
      </c>
      <c r="V225" s="252"/>
      <c r="W225" s="252"/>
      <c r="X225" s="252"/>
      <c r="Y225" s="127">
        <f>SUM(Y222:Y224)</f>
        <v>0</v>
      </c>
      <c r="Z225" s="127"/>
      <c r="AA225" s="252"/>
      <c r="AB225" s="127">
        <f>SUM(AB222:AB224)</f>
        <v>0</v>
      </c>
      <c r="AC225" s="127">
        <f>SUM(AC222:AC224)</f>
        <v>0</v>
      </c>
      <c r="AD225" s="127">
        <f>SUM(AD222:AD224)</f>
        <v>0</v>
      </c>
      <c r="AE225" s="127">
        <f>SUM(AE222:AE224)</f>
        <v>0</v>
      </c>
      <c r="AF225" s="127">
        <f>SUM(AF222:AF224)</f>
        <v>0</v>
      </c>
      <c r="AG225" s="252"/>
      <c r="AH225" s="252"/>
      <c r="AI225" s="252"/>
      <c r="AJ225" s="127">
        <f>SUM(AJ222:AJ224)</f>
        <v>0</v>
      </c>
      <c r="AK225" s="127">
        <f>SUM(AK222:AK224)</f>
        <v>0</v>
      </c>
      <c r="AL225" s="127">
        <f>SUM(AL222:AL224)</f>
        <v>0</v>
      </c>
      <c r="AM225" s="127">
        <f>SUM(AM222:AM224)</f>
        <v>0</v>
      </c>
      <c r="AN225" s="127">
        <f>SUM(AN222:AN224)</f>
        <v>0</v>
      </c>
      <c r="AO225" s="253"/>
      <c r="AP225" s="254"/>
      <c r="AQ225" s="175">
        <f>SUM(AQ222:AQ224)</f>
        <v>0</v>
      </c>
      <c r="AR225" s="175">
        <f>SUM(AR222:AR224)</f>
        <v>0</v>
      </c>
      <c r="AS225" s="175">
        <f>SUM(AS222:AS224)</f>
        <v>0</v>
      </c>
      <c r="AT225" s="175">
        <f>SUM(AT222:AT224)</f>
        <v>0</v>
      </c>
      <c r="AU225" s="175">
        <f t="shared" ref="AU225:BB225" si="151">SUM(AU222:AU224)</f>
        <v>0</v>
      </c>
      <c r="AV225" s="175">
        <f t="shared" si="151"/>
        <v>0</v>
      </c>
      <c r="AW225" s="175">
        <f t="shared" si="151"/>
        <v>0</v>
      </c>
      <c r="AX225" s="175">
        <f t="shared" si="151"/>
        <v>0</v>
      </c>
      <c r="AY225" s="175">
        <f t="shared" si="151"/>
        <v>0</v>
      </c>
      <c r="AZ225" s="175">
        <f t="shared" si="151"/>
        <v>0</v>
      </c>
      <c r="BA225" s="175">
        <f t="shared" si="151"/>
        <v>0</v>
      </c>
      <c r="BB225" s="175">
        <f t="shared" si="151"/>
        <v>0</v>
      </c>
      <c r="BC225" s="169"/>
      <c r="BD225" s="169"/>
      <c r="BE225" s="169"/>
      <c r="BF225" s="169"/>
    </row>
    <row r="226" spans="1:58" s="184" customFormat="1" ht="51.6" customHeight="1" x14ac:dyDescent="0.25">
      <c r="A226" s="143"/>
      <c r="B226" s="332"/>
      <c r="C226" s="397" t="s">
        <v>257</v>
      </c>
      <c r="D226" s="397"/>
      <c r="E226" s="398"/>
      <c r="F226" s="291"/>
      <c r="G226" s="340"/>
      <c r="H226" s="144" t="s">
        <v>301</v>
      </c>
      <c r="I226" s="257"/>
      <c r="J226" s="257"/>
      <c r="K226" s="257"/>
      <c r="L226" s="258">
        <f>SUM(L231)</f>
        <v>71047371.428571418</v>
      </c>
      <c r="M226" s="258">
        <f>SUM(M231)</f>
        <v>11864911.028571429</v>
      </c>
      <c r="N226" s="257"/>
      <c r="O226" s="257"/>
      <c r="P226" s="257"/>
      <c r="Q226" s="257"/>
      <c r="R226" s="258">
        <f>SUM(R231)</f>
        <v>0</v>
      </c>
      <c r="S226" s="258">
        <f>SUM(S231)</f>
        <v>0</v>
      </c>
      <c r="T226" s="258">
        <f>SUM(T231)</f>
        <v>0</v>
      </c>
      <c r="U226" s="258">
        <f>SUM(U231)</f>
        <v>0</v>
      </c>
      <c r="V226" s="257"/>
      <c r="W226" s="257"/>
      <c r="X226" s="257"/>
      <c r="Y226" s="258">
        <f>SUM(Y231)</f>
        <v>0</v>
      </c>
      <c r="Z226" s="258"/>
      <c r="AA226" s="258"/>
      <c r="AB226" s="258">
        <f>SUM(AB231)</f>
        <v>0</v>
      </c>
      <c r="AC226" s="258">
        <f>SUM(AC231)</f>
        <v>1300000</v>
      </c>
      <c r="AD226" s="258">
        <f>SUM(AD231)</f>
        <v>0</v>
      </c>
      <c r="AE226" s="258">
        <f>SUM(AE231)</f>
        <v>260000</v>
      </c>
      <c r="AF226" s="258">
        <f>SUM(AF231)</f>
        <v>1560000</v>
      </c>
      <c r="AG226" s="257"/>
      <c r="AH226" s="257"/>
      <c r="AI226" s="257"/>
      <c r="AJ226" s="258">
        <f>SUM(AJ231)</f>
        <v>0</v>
      </c>
      <c r="AK226" s="258">
        <f>SUM(AK231)</f>
        <v>0</v>
      </c>
      <c r="AL226" s="258">
        <f>SUM(AL231)</f>
        <v>0</v>
      </c>
      <c r="AM226" s="258">
        <f>SUM(AM231)</f>
        <v>0</v>
      </c>
      <c r="AN226" s="258">
        <f>SUM(AN231)</f>
        <v>0</v>
      </c>
      <c r="AO226" s="259"/>
      <c r="AP226" s="260"/>
      <c r="AQ226" s="261">
        <f>SUM(AQ231)</f>
        <v>82912282.45714286</v>
      </c>
      <c r="AR226" s="261">
        <f>SUM(AR231)</f>
        <v>1560000</v>
      </c>
      <c r="AS226" s="261">
        <f>SUM(AS231)</f>
        <v>0</v>
      </c>
      <c r="AT226" s="261">
        <f>SUM(AT231)</f>
        <v>84472282.45714286</v>
      </c>
      <c r="AU226" s="261">
        <f t="shared" ref="AU226:BB226" si="152">SUM(AU231)</f>
        <v>83272282.45714286</v>
      </c>
      <c r="AV226" s="261">
        <f t="shared" si="152"/>
        <v>0</v>
      </c>
      <c r="AW226" s="261">
        <f t="shared" si="152"/>
        <v>0</v>
      </c>
      <c r="AX226" s="261">
        <f t="shared" si="152"/>
        <v>0</v>
      </c>
      <c r="AY226" s="261">
        <f t="shared" si="152"/>
        <v>0</v>
      </c>
      <c r="AZ226" s="261">
        <f t="shared" si="152"/>
        <v>0</v>
      </c>
      <c r="BA226" s="261">
        <f t="shared" si="152"/>
        <v>0</v>
      </c>
      <c r="BB226" s="261">
        <f t="shared" si="152"/>
        <v>-1200000</v>
      </c>
    </row>
    <row r="227" spans="1:58" ht="51.6" customHeight="1" outlineLevel="2" x14ac:dyDescent="0.25">
      <c r="A227" s="115"/>
      <c r="B227" s="200"/>
      <c r="C227" s="201"/>
      <c r="D227" s="210"/>
      <c r="E227" s="328"/>
      <c r="F227" s="328"/>
      <c r="G227" s="328"/>
      <c r="H227" s="199" t="s">
        <v>517</v>
      </c>
      <c r="I227" s="130" t="s">
        <v>1</v>
      </c>
      <c r="J227" s="126">
        <v>12</v>
      </c>
      <c r="K227" s="126">
        <v>72</v>
      </c>
      <c r="L227" s="125">
        <f>IF(I227&lt;&gt;0,((VLOOKUP(I227,'1. Standard_Cost'!$B$4:$D$11,2)+VLOOKUP(I227,'1. Standard_Cost'!$B$4:$D$11,3))*J227*K227),"0")</f>
        <v>62029028.571428567</v>
      </c>
      <c r="M227" s="125">
        <f>L227*'1. Standard_Cost'!$F$4</f>
        <v>10358847.771428572</v>
      </c>
      <c r="N227" s="126"/>
      <c r="O227" s="126"/>
      <c r="P227" s="126"/>
      <c r="Q227" s="126"/>
      <c r="R227" s="127">
        <f>'1. Standard_Cost'!$B$15*N227*P227</f>
        <v>0</v>
      </c>
      <c r="S227" s="127">
        <f>N227*O227*P227*'1. Standard_Cost'!$C$15</f>
        <v>0</v>
      </c>
      <c r="T227" s="127">
        <f>N227*P227*Q227*'1. Standard_Cost'!$D$15</f>
        <v>0</v>
      </c>
      <c r="U227" s="127">
        <f>N227*O227*'1. Standard_Cost'!$E$15</f>
        <v>0</v>
      </c>
      <c r="V227" s="126"/>
      <c r="W227" s="126"/>
      <c r="X227" s="126"/>
      <c r="Y227" s="127">
        <f>+V227*((X227*'1. Standard_Cost'!$B$19)+(W227*X227*'1. Standard_Cost'!$C$19))</f>
        <v>0</v>
      </c>
      <c r="Z227" s="126"/>
      <c r="AA227" s="126"/>
      <c r="AB227" s="127">
        <f>+Z227*'1. Standard_Cost'!$B$23+AA227*'1. Standard_Cost'!$C$23</f>
        <v>0</v>
      </c>
      <c r="AC227" s="128"/>
      <c r="AD227" s="129"/>
      <c r="AE227" s="127">
        <f>SUM(AD227,AC227,AB227,Y227,U227,T227,S227,R227)*'1. Standard_Cost'!$B$31</f>
        <v>0</v>
      </c>
      <c r="AF227" s="127">
        <f>SUM(AE227,AD227,AC227,AB227,Y227,U227,T227,S227,R227)</f>
        <v>0</v>
      </c>
      <c r="AG227" s="126"/>
      <c r="AH227" s="126"/>
      <c r="AI227" s="126"/>
      <c r="AJ227" s="130"/>
      <c r="AK227" s="130"/>
      <c r="AL227" s="130"/>
      <c r="AM227" s="127">
        <f>AG227*'1. Standard_Cost'!$B$27+'Incremental_Cost Year 5'!AH227*'1. Standard_Cost'!$C$27+'Incremental_Cost Year 5'!AI227*'1. Standard_Cost'!$D$27+'Incremental_Cost Year 5'!AJ227+'Incremental_Cost Year 5'!AL227+AK227</f>
        <v>0</v>
      </c>
      <c r="AN227" s="127">
        <f>AM227*'1. Standard_Cost'!$C$31</f>
        <v>0</v>
      </c>
      <c r="AO227" s="130"/>
      <c r="AQ227" s="171">
        <f>L227+M227</f>
        <v>72387876.342857137</v>
      </c>
      <c r="AR227" s="171">
        <f>AF227</f>
        <v>0</v>
      </c>
      <c r="AS227" s="171">
        <f>AM227+AN227</f>
        <v>0</v>
      </c>
      <c r="AT227" s="171">
        <f>SUM(AQ227,AR227,AS227)</f>
        <v>72387876.342857137</v>
      </c>
      <c r="AU227" s="250">
        <f>AT227</f>
        <v>72387876.342857137</v>
      </c>
      <c r="AV227" s="250"/>
      <c r="AW227" s="250"/>
      <c r="AX227" s="250"/>
      <c r="AY227" s="250"/>
      <c r="AZ227" s="250"/>
      <c r="BA227" s="250"/>
      <c r="BB227" s="251">
        <f t="shared" ref="BB227:BB230" si="153">SUM(AU227:BA227)-AT227</f>
        <v>0</v>
      </c>
      <c r="BC227" s="169"/>
      <c r="BD227" s="169"/>
      <c r="BE227" s="169"/>
      <c r="BF227" s="169"/>
    </row>
    <row r="228" spans="1:58" ht="51.6" customHeight="1" outlineLevel="2" x14ac:dyDescent="0.25">
      <c r="A228" s="115"/>
      <c r="B228" s="200"/>
      <c r="C228" s="201"/>
      <c r="D228" s="203"/>
      <c r="E228" s="328"/>
      <c r="F228" s="328"/>
      <c r="G228" s="328"/>
      <c r="H228" s="199" t="s">
        <v>518</v>
      </c>
      <c r="I228" s="130" t="s">
        <v>1</v>
      </c>
      <c r="J228" s="126">
        <v>12</v>
      </c>
      <c r="K228" s="126">
        <v>10</v>
      </c>
      <c r="L228" s="125">
        <f>IF(I228&lt;&gt;0,((VLOOKUP(I228,'1. Standard_Cost'!$B$4:$D$11,2)+VLOOKUP(I228,'1. Standard_Cost'!$B$4:$D$11,3))*J228*K228),"0")</f>
        <v>8615142.8571428563</v>
      </c>
      <c r="M228" s="125">
        <f>L228*'1. Standard_Cost'!$F$4</f>
        <v>1438728.857142857</v>
      </c>
      <c r="N228" s="126"/>
      <c r="O228" s="126"/>
      <c r="P228" s="126"/>
      <c r="Q228" s="126"/>
      <c r="R228" s="127">
        <f>'1. Standard_Cost'!$B$15*N228*P228</f>
        <v>0</v>
      </c>
      <c r="S228" s="127">
        <f>N228*O228*P228*'1. Standard_Cost'!$C$15</f>
        <v>0</v>
      </c>
      <c r="T228" s="127">
        <f>N228*P228*Q228*'1. Standard_Cost'!$D$15</f>
        <v>0</v>
      </c>
      <c r="U228" s="127">
        <f>N228*O228*'1. Standard_Cost'!$E$15</f>
        <v>0</v>
      </c>
      <c r="V228" s="126"/>
      <c r="W228" s="126"/>
      <c r="X228" s="126"/>
      <c r="Y228" s="127">
        <f>+V228*((X228*'1. Standard_Cost'!$B$19)+(W228*X228*'1. Standard_Cost'!$C$19))</f>
        <v>0</v>
      </c>
      <c r="Z228" s="126"/>
      <c r="AA228" s="126"/>
      <c r="AB228" s="127">
        <f>+Z228*'1. Standard_Cost'!$B$23+AA228*'1. Standard_Cost'!$C$23</f>
        <v>0</v>
      </c>
      <c r="AC228" s="128">
        <f>300000</f>
        <v>300000</v>
      </c>
      <c r="AD228" s="129"/>
      <c r="AE228" s="127">
        <f>SUM(AD228,AC228,AB228,Y228,U228,T228,S228,R228)*'1. Standard_Cost'!$B$31</f>
        <v>60000</v>
      </c>
      <c r="AF228" s="127">
        <f>SUM(AE228,AD228,AC228,AB228,Y228,U228,T228,S228,R228)</f>
        <v>360000</v>
      </c>
      <c r="AG228" s="126"/>
      <c r="AH228" s="126"/>
      <c r="AI228" s="126"/>
      <c r="AJ228" s="130"/>
      <c r="AK228" s="130"/>
      <c r="AL228" s="130"/>
      <c r="AM228" s="127">
        <f>AG228*'1. Standard_Cost'!$B$27+'Incremental_Cost Year 5'!AH228*'1. Standard_Cost'!$C$27+'Incremental_Cost Year 5'!AI228*'1. Standard_Cost'!$D$27+'Incremental_Cost Year 5'!AJ228+'Incremental_Cost Year 5'!AL228+AK228</f>
        <v>0</v>
      </c>
      <c r="AN228" s="127">
        <f>AM228*'1. Standard_Cost'!$C$31</f>
        <v>0</v>
      </c>
      <c r="AO228" s="130"/>
      <c r="AQ228" s="171">
        <f>L228+M228</f>
        <v>10053871.714285713</v>
      </c>
      <c r="AR228" s="171">
        <f>AF228</f>
        <v>360000</v>
      </c>
      <c r="AS228" s="171">
        <f>AM228+AN228</f>
        <v>0</v>
      </c>
      <c r="AT228" s="171">
        <f>SUM(AQ228,AR228,AS228)</f>
        <v>10413871.714285713</v>
      </c>
      <c r="AU228" s="250">
        <f>AT228</f>
        <v>10413871.714285713</v>
      </c>
      <c r="AV228" s="250"/>
      <c r="AW228" s="250"/>
      <c r="AX228" s="250"/>
      <c r="AY228" s="250"/>
      <c r="AZ228" s="250"/>
      <c r="BA228" s="250"/>
      <c r="BB228" s="251">
        <f t="shared" si="153"/>
        <v>0</v>
      </c>
      <c r="BC228" s="169"/>
      <c r="BD228" s="169"/>
      <c r="BE228" s="169"/>
      <c r="BF228" s="169"/>
    </row>
    <row r="229" spans="1:58" ht="51.6" customHeight="1" outlineLevel="2" x14ac:dyDescent="0.25">
      <c r="A229" s="115"/>
      <c r="B229" s="200"/>
      <c r="C229" s="201"/>
      <c r="D229" s="203"/>
      <c r="E229" s="328"/>
      <c r="F229" s="328"/>
      <c r="G229" s="328"/>
      <c r="H229" s="199" t="s">
        <v>519</v>
      </c>
      <c r="I229" s="130"/>
      <c r="J229" s="126"/>
      <c r="K229" s="126"/>
      <c r="L229" s="125" t="str">
        <f>IF(I229&lt;&gt;0,((VLOOKUP(I229,'1. Standard_Cost'!$B$4:$D$11,2)+VLOOKUP(I229,'1. Standard_Cost'!$B$4:$D$11,3))*J229*K229),"0")</f>
        <v>0</v>
      </c>
      <c r="M229" s="125">
        <f>L229*'1. Standard_Cost'!$F$4</f>
        <v>0</v>
      </c>
      <c r="N229" s="126"/>
      <c r="O229" s="126"/>
      <c r="P229" s="126"/>
      <c r="Q229" s="126"/>
      <c r="R229" s="127">
        <f>'1. Standard_Cost'!$B$15*N229*P229</f>
        <v>0</v>
      </c>
      <c r="S229" s="127">
        <f>N229*O229*P229*'1. Standard_Cost'!$C$15</f>
        <v>0</v>
      </c>
      <c r="T229" s="127">
        <f>N229*P229*Q229*'1. Standard_Cost'!$D$15</f>
        <v>0</v>
      </c>
      <c r="U229" s="127">
        <f>N229*O229*'1. Standard_Cost'!$E$15</f>
        <v>0</v>
      </c>
      <c r="V229" s="126"/>
      <c r="W229" s="126"/>
      <c r="X229" s="126"/>
      <c r="Y229" s="127">
        <f>+V229*((X229*'1. Standard_Cost'!$B$19)+(W229*X229*'1. Standard_Cost'!$C$19))</f>
        <v>0</v>
      </c>
      <c r="Z229" s="126"/>
      <c r="AA229" s="126"/>
      <c r="AB229" s="127">
        <f>+Z229*'1. Standard_Cost'!$B$23+AA229*'1. Standard_Cost'!$C$23</f>
        <v>0</v>
      </c>
      <c r="AC229" s="128"/>
      <c r="AD229" s="129"/>
      <c r="AE229" s="127">
        <f>SUM(AD229,AC229,AB229,Y229,U229,T229,S229,R229)*'1. Standard_Cost'!$B$31</f>
        <v>0</v>
      </c>
      <c r="AF229" s="127">
        <f>SUM(AE229,AD229,AC229,AB229,Y229,U229,T229,S229,R229)</f>
        <v>0</v>
      </c>
      <c r="AG229" s="126"/>
      <c r="AH229" s="126"/>
      <c r="AI229" s="126"/>
      <c r="AJ229" s="130"/>
      <c r="AK229" s="130"/>
      <c r="AL229" s="130"/>
      <c r="AM229" s="127">
        <f>AG229*'1. Standard_Cost'!$B$27+'Incremental_Cost Year 5'!AH229*'1. Standard_Cost'!$C$27+'Incremental_Cost Year 5'!AI229*'1. Standard_Cost'!$D$27+'Incremental_Cost Year 5'!AJ229+'Incremental_Cost Year 5'!AL229+AK229</f>
        <v>0</v>
      </c>
      <c r="AN229" s="127">
        <f>AM229*'1. Standard_Cost'!$C$31</f>
        <v>0</v>
      </c>
      <c r="AO229" s="130"/>
      <c r="AQ229" s="171">
        <f>L229+M229</f>
        <v>0</v>
      </c>
      <c r="AR229" s="171">
        <f>AF229</f>
        <v>0</v>
      </c>
      <c r="AS229" s="171">
        <f>AM229+AN229</f>
        <v>0</v>
      </c>
      <c r="AT229" s="171">
        <f>SUM(AQ229,AR229,AS229)</f>
        <v>0</v>
      </c>
      <c r="AU229" s="250">
        <f>AQ229</f>
        <v>0</v>
      </c>
      <c r="AV229" s="250"/>
      <c r="AW229" s="250"/>
      <c r="AX229" s="250"/>
      <c r="AY229" s="250"/>
      <c r="AZ229" s="250"/>
      <c r="BA229" s="250"/>
      <c r="BB229" s="251">
        <f t="shared" si="153"/>
        <v>0</v>
      </c>
      <c r="BC229" s="169"/>
      <c r="BD229" s="169"/>
      <c r="BE229" s="169"/>
      <c r="BF229" s="169"/>
    </row>
    <row r="230" spans="1:58" ht="51.6" customHeight="1" outlineLevel="2" x14ac:dyDescent="0.25">
      <c r="A230" s="115"/>
      <c r="B230" s="200"/>
      <c r="C230" s="201"/>
      <c r="D230" s="133"/>
      <c r="E230" s="328"/>
      <c r="F230" s="328"/>
      <c r="G230" s="328"/>
      <c r="H230" s="199" t="s">
        <v>520</v>
      </c>
      <c r="I230" s="130" t="s">
        <v>3</v>
      </c>
      <c r="J230" s="126">
        <v>2</v>
      </c>
      <c r="K230" s="126">
        <v>2</v>
      </c>
      <c r="L230" s="125">
        <f>IF(I230&lt;&gt;0,((VLOOKUP(I230,'1. Standard_Cost'!$B$4:$D$11,2)+VLOOKUP(I230,'1. Standard_Cost'!$B$4:$D$11,3))*J230*K230),"0")</f>
        <v>403200</v>
      </c>
      <c r="M230" s="125">
        <f>L230*'1. Standard_Cost'!$F$4</f>
        <v>67334.400000000009</v>
      </c>
      <c r="N230" s="126"/>
      <c r="O230" s="126"/>
      <c r="P230" s="126"/>
      <c r="Q230" s="126"/>
      <c r="R230" s="127">
        <f>'1. Standard_Cost'!$B$15*N230*P230</f>
        <v>0</v>
      </c>
      <c r="S230" s="127">
        <f>N230*O230*P230*'1. Standard_Cost'!$C$15</f>
        <v>0</v>
      </c>
      <c r="T230" s="127">
        <f>N230*P230*Q230*'1. Standard_Cost'!$D$15</f>
        <v>0</v>
      </c>
      <c r="U230" s="127">
        <f>N230*O230*'1. Standard_Cost'!$E$15</f>
        <v>0</v>
      </c>
      <c r="V230" s="126"/>
      <c r="W230" s="126"/>
      <c r="X230" s="126"/>
      <c r="Y230" s="127">
        <f>+V230*((X230*'1. Standard_Cost'!$B$19)+(W230*X230*'1. Standard_Cost'!$C$19))</f>
        <v>0</v>
      </c>
      <c r="Z230" s="126"/>
      <c r="AA230" s="126"/>
      <c r="AB230" s="127">
        <f>+Z230*'1. Standard_Cost'!$B$23+AA230*'1. Standard_Cost'!$C$23</f>
        <v>0</v>
      </c>
      <c r="AC230" s="128">
        <v>1000000</v>
      </c>
      <c r="AD230" s="129"/>
      <c r="AE230" s="127">
        <f>SUM(AD230,AC230,AB230,Y230,U230,T230,S230,R230)*'1. Standard_Cost'!$B$31</f>
        <v>200000</v>
      </c>
      <c r="AF230" s="127">
        <f>SUM(AE230,AD230,AC230,AB230,Y230,U230,T230,S230,R230)</f>
        <v>1200000</v>
      </c>
      <c r="AG230" s="126"/>
      <c r="AH230" s="126"/>
      <c r="AI230" s="126"/>
      <c r="AJ230" s="130"/>
      <c r="AK230" s="130"/>
      <c r="AL230" s="130"/>
      <c r="AM230" s="127">
        <f>AG230*'1. Standard_Cost'!$B$27+'Incremental_Cost Year 5'!AH230*'1. Standard_Cost'!$C$27+'Incremental_Cost Year 5'!AI230*'1. Standard_Cost'!$D$27+'Incremental_Cost Year 5'!AJ230+'Incremental_Cost Year 5'!AL230+AK230</f>
        <v>0</v>
      </c>
      <c r="AN230" s="127">
        <f>AM230*'1. Standard_Cost'!$C$31</f>
        <v>0</v>
      </c>
      <c r="AO230" s="130"/>
      <c r="AQ230" s="171">
        <f>L230+M230</f>
        <v>470534.40000000002</v>
      </c>
      <c r="AR230" s="171">
        <f>AF230</f>
        <v>1200000</v>
      </c>
      <c r="AS230" s="171">
        <f>AM230+AN230</f>
        <v>0</v>
      </c>
      <c r="AT230" s="171">
        <f>SUM(AQ230,AR230,AS230)</f>
        <v>1670534.4</v>
      </c>
      <c r="AU230" s="250">
        <f>AQ230</f>
        <v>470534.40000000002</v>
      </c>
      <c r="AV230" s="250"/>
      <c r="AW230" s="250"/>
      <c r="AX230" s="250"/>
      <c r="AY230" s="250"/>
      <c r="AZ230" s="250"/>
      <c r="BA230" s="250"/>
      <c r="BB230" s="251">
        <f t="shared" si="153"/>
        <v>-1200000</v>
      </c>
      <c r="BC230" s="169"/>
      <c r="BD230" s="169"/>
      <c r="BE230" s="169"/>
      <c r="BF230" s="169"/>
    </row>
    <row r="231" spans="1:58" ht="51.6" customHeight="1" outlineLevel="1" x14ac:dyDescent="0.25">
      <c r="A231" s="115"/>
      <c r="B231" s="165"/>
      <c r="C231" s="166"/>
      <c r="D231" s="107" t="s">
        <v>507</v>
      </c>
      <c r="E231" s="212" t="s">
        <v>259</v>
      </c>
      <c r="F231" s="142">
        <v>2021</v>
      </c>
      <c r="G231" s="209">
        <v>2025</v>
      </c>
      <c r="H231" s="150" t="s">
        <v>260</v>
      </c>
      <c r="I231" s="252"/>
      <c r="J231" s="252"/>
      <c r="K231" s="252"/>
      <c r="L231" s="127">
        <f>SUM(L227:L230)</f>
        <v>71047371.428571418</v>
      </c>
      <c r="M231" s="127">
        <f>SUM(M227:M230)</f>
        <v>11864911.028571429</v>
      </c>
      <c r="N231" s="252"/>
      <c r="O231" s="252"/>
      <c r="P231" s="252"/>
      <c r="Q231" s="252"/>
      <c r="R231" s="127">
        <f>SUM(R227:R230)</f>
        <v>0</v>
      </c>
      <c r="S231" s="127">
        <f>SUM(S227:S230)</f>
        <v>0</v>
      </c>
      <c r="T231" s="127">
        <f>SUM(T227:T230)</f>
        <v>0</v>
      </c>
      <c r="U231" s="127">
        <f>SUM(U227:U230)</f>
        <v>0</v>
      </c>
      <c r="V231" s="252"/>
      <c r="W231" s="252"/>
      <c r="X231" s="252"/>
      <c r="Y231" s="127">
        <f>SUM(Y227:Y230)</f>
        <v>0</v>
      </c>
      <c r="Z231" s="127"/>
      <c r="AA231" s="252"/>
      <c r="AB231" s="127">
        <f>SUM(AB227:AB230)</f>
        <v>0</v>
      </c>
      <c r="AC231" s="127">
        <f>SUM(AC227:AC230)</f>
        <v>1300000</v>
      </c>
      <c r="AD231" s="127">
        <f>SUM(AD227:AD230)</f>
        <v>0</v>
      </c>
      <c r="AE231" s="127">
        <f>SUM(AE227:AE230)</f>
        <v>260000</v>
      </c>
      <c r="AF231" s="127">
        <f>SUM(AF227:AF230)</f>
        <v>1560000</v>
      </c>
      <c r="AG231" s="252"/>
      <c r="AH231" s="252"/>
      <c r="AI231" s="252"/>
      <c r="AJ231" s="127">
        <f>SUM(AJ227:AJ230)</f>
        <v>0</v>
      </c>
      <c r="AK231" s="127">
        <f>SUM(AK227:AK230)</f>
        <v>0</v>
      </c>
      <c r="AL231" s="127">
        <f>SUM(AL227:AL230)</f>
        <v>0</v>
      </c>
      <c r="AM231" s="127">
        <f>SUM(AM227:AM230)</f>
        <v>0</v>
      </c>
      <c r="AN231" s="127">
        <f>SUM(AN227:AN230)</f>
        <v>0</v>
      </c>
      <c r="AO231" s="253"/>
      <c r="AP231" s="254"/>
      <c r="AQ231" s="175">
        <f>SUM(AQ227:AQ230)</f>
        <v>82912282.45714286</v>
      </c>
      <c r="AR231" s="175">
        <f>SUM(AR227:AR230)</f>
        <v>1560000</v>
      </c>
      <c r="AS231" s="175">
        <f>SUM(AS227:AS230)</f>
        <v>0</v>
      </c>
      <c r="AT231" s="175">
        <f>SUM(AT227:AT230)</f>
        <v>84472282.45714286</v>
      </c>
      <c r="AU231" s="175">
        <f t="shared" ref="AU231:BB231" si="154">SUM(AU227:AU230)</f>
        <v>83272282.45714286</v>
      </c>
      <c r="AV231" s="175">
        <f t="shared" si="154"/>
        <v>0</v>
      </c>
      <c r="AW231" s="175">
        <f t="shared" si="154"/>
        <v>0</v>
      </c>
      <c r="AX231" s="175">
        <f t="shared" si="154"/>
        <v>0</v>
      </c>
      <c r="AY231" s="175">
        <f t="shared" si="154"/>
        <v>0</v>
      </c>
      <c r="AZ231" s="175">
        <f t="shared" si="154"/>
        <v>0</v>
      </c>
      <c r="BA231" s="175">
        <f t="shared" si="154"/>
        <v>0</v>
      </c>
      <c r="BB231" s="175">
        <f t="shared" si="154"/>
        <v>-1200000</v>
      </c>
      <c r="BC231" s="169"/>
      <c r="BD231" s="169"/>
      <c r="BE231" s="169"/>
      <c r="BF231" s="169"/>
    </row>
    <row r="232" spans="1:58" s="184" customFormat="1" ht="51.6" customHeight="1" x14ac:dyDescent="0.25">
      <c r="A232" s="143"/>
      <c r="B232" s="332"/>
      <c r="C232" s="397" t="s">
        <v>261</v>
      </c>
      <c r="D232" s="397"/>
      <c r="E232" s="398"/>
      <c r="F232" s="291"/>
      <c r="G232" s="340"/>
      <c r="H232" s="144" t="s">
        <v>302</v>
      </c>
      <c r="I232" s="257"/>
      <c r="J232" s="257"/>
      <c r="K232" s="257"/>
      <c r="L232" s="258">
        <f>SUM(L237)</f>
        <v>4939200</v>
      </c>
      <c r="M232" s="258">
        <f>SUM(M237)</f>
        <v>824846.4</v>
      </c>
      <c r="N232" s="257"/>
      <c r="O232" s="257"/>
      <c r="P232" s="257"/>
      <c r="Q232" s="257"/>
      <c r="R232" s="258">
        <f>SUM(R237)</f>
        <v>0</v>
      </c>
      <c r="S232" s="258">
        <f>SUM(S237)</f>
        <v>0</v>
      </c>
      <c r="T232" s="258">
        <f>SUM(T237)</f>
        <v>0</v>
      </c>
      <c r="U232" s="258">
        <f>SUM(U237)</f>
        <v>0</v>
      </c>
      <c r="V232" s="257"/>
      <c r="W232" s="257"/>
      <c r="X232" s="257"/>
      <c r="Y232" s="258">
        <f>SUM(Y237)</f>
        <v>0</v>
      </c>
      <c r="Z232" s="258"/>
      <c r="AA232" s="258"/>
      <c r="AB232" s="258">
        <f>SUM(AB237)</f>
        <v>0</v>
      </c>
      <c r="AC232" s="258">
        <f>SUM(AC237)</f>
        <v>500000</v>
      </c>
      <c r="AD232" s="258">
        <f>SUM(AD237)</f>
        <v>0</v>
      </c>
      <c r="AE232" s="258">
        <f>SUM(AE237)</f>
        <v>100000</v>
      </c>
      <c r="AF232" s="258">
        <f>SUM(AF237)</f>
        <v>600000</v>
      </c>
      <c r="AG232" s="257"/>
      <c r="AH232" s="257"/>
      <c r="AI232" s="257"/>
      <c r="AJ232" s="258">
        <f>SUM(AJ237)</f>
        <v>0</v>
      </c>
      <c r="AK232" s="258">
        <f>SUM(AK237)</f>
        <v>25000000</v>
      </c>
      <c r="AL232" s="258">
        <f>SUM(AL237)</f>
        <v>0</v>
      </c>
      <c r="AM232" s="258">
        <f>SUM(AM237)</f>
        <v>25000000</v>
      </c>
      <c r="AN232" s="258">
        <f>SUM(AN237)</f>
        <v>3750000</v>
      </c>
      <c r="AO232" s="259"/>
      <c r="AP232" s="260"/>
      <c r="AQ232" s="261">
        <f>SUM(AQ237)</f>
        <v>5764046.4000000004</v>
      </c>
      <c r="AR232" s="261">
        <f>SUM(AR237)</f>
        <v>600000</v>
      </c>
      <c r="AS232" s="261">
        <f>SUM(AS237)</f>
        <v>28750000</v>
      </c>
      <c r="AT232" s="261">
        <f>SUM(AT237)</f>
        <v>35114046.399999999</v>
      </c>
      <c r="AU232" s="261">
        <f t="shared" ref="AU232:BB232" si="155">SUM(AU237)</f>
        <v>35114046.399999999</v>
      </c>
      <c r="AV232" s="261">
        <f t="shared" si="155"/>
        <v>0</v>
      </c>
      <c r="AW232" s="261">
        <f t="shared" si="155"/>
        <v>0</v>
      </c>
      <c r="AX232" s="261">
        <f t="shared" si="155"/>
        <v>0</v>
      </c>
      <c r="AY232" s="261">
        <f t="shared" si="155"/>
        <v>0</v>
      </c>
      <c r="AZ232" s="261">
        <f t="shared" si="155"/>
        <v>0</v>
      </c>
      <c r="BA232" s="261">
        <f t="shared" si="155"/>
        <v>0</v>
      </c>
      <c r="BB232" s="261">
        <f t="shared" si="155"/>
        <v>0</v>
      </c>
    </row>
    <row r="233" spans="1:58" ht="51.6" customHeight="1" outlineLevel="2" x14ac:dyDescent="0.25">
      <c r="A233" s="115"/>
      <c r="B233" s="200"/>
      <c r="C233" s="201"/>
      <c r="D233" s="342"/>
      <c r="E233" s="328"/>
      <c r="F233" s="328"/>
      <c r="G233" s="328"/>
      <c r="H233" s="213" t="s">
        <v>521</v>
      </c>
      <c r="I233" s="130"/>
      <c r="J233" s="126"/>
      <c r="K233" s="126"/>
      <c r="L233" s="125" t="str">
        <f>IF(I233&lt;&gt;0,((VLOOKUP(I233,'1. Standard_Cost'!$B$4:$D$11,2)+VLOOKUP(I233,'1. Standard_Cost'!$B$4:$D$11,3))*J233*K233),"0")</f>
        <v>0</v>
      </c>
      <c r="M233" s="125">
        <f>L233*'1. Standard_Cost'!$F$4</f>
        <v>0</v>
      </c>
      <c r="N233" s="126"/>
      <c r="O233" s="126"/>
      <c r="P233" s="126"/>
      <c r="Q233" s="126"/>
      <c r="R233" s="127">
        <f>'1. Standard_Cost'!$B$15*N233*P233</f>
        <v>0</v>
      </c>
      <c r="S233" s="127">
        <f>N233*O233*P233*'1. Standard_Cost'!$C$15</f>
        <v>0</v>
      </c>
      <c r="T233" s="127">
        <f>N233*P233*Q233*'1. Standard_Cost'!$D$15</f>
        <v>0</v>
      </c>
      <c r="U233" s="127">
        <f>N233*O233*'1. Standard_Cost'!$E$15</f>
        <v>0</v>
      </c>
      <c r="V233" s="126"/>
      <c r="W233" s="126"/>
      <c r="X233" s="126"/>
      <c r="Y233" s="127">
        <f>+V233*((X233*'1. Standard_Cost'!$B$19)+(W233*X233*'1. Standard_Cost'!$C$19))</f>
        <v>0</v>
      </c>
      <c r="Z233" s="126"/>
      <c r="AA233" s="126"/>
      <c r="AB233" s="127">
        <f>+Z233*'1. Standard_Cost'!$B$23+AA233*'1. Standard_Cost'!$C$23</f>
        <v>0</v>
      </c>
      <c r="AC233" s="128"/>
      <c r="AD233" s="129"/>
      <c r="AE233" s="127">
        <f>SUM(AD233,AC233,AB233,Y233,U233,T233,S233,R233)*'1. Standard_Cost'!$B$31</f>
        <v>0</v>
      </c>
      <c r="AF233" s="127">
        <f>SUM(AE233,AD233,AC233,AB233,Y233,U233,T233,S233,R233)</f>
        <v>0</v>
      </c>
      <c r="AG233" s="126"/>
      <c r="AH233" s="126"/>
      <c r="AI233" s="126"/>
      <c r="AJ233" s="130"/>
      <c r="AK233" s="130"/>
      <c r="AL233" s="130"/>
      <c r="AM233" s="127">
        <f>AG233*'1. Standard_Cost'!$B$27+'Incremental_Cost Year 5'!AH233*'1. Standard_Cost'!$C$27+'Incremental_Cost Year 5'!AI233*'1. Standard_Cost'!$D$27+'Incremental_Cost Year 5'!AJ233+'Incremental_Cost Year 5'!AL233+AK233</f>
        <v>0</v>
      </c>
      <c r="AN233" s="127">
        <f>AM233*'1. Standard_Cost'!$C$31</f>
        <v>0</v>
      </c>
      <c r="AO233" s="130"/>
      <c r="AQ233" s="171">
        <f>L233+M233</f>
        <v>0</v>
      </c>
      <c r="AR233" s="171">
        <f>AF233</f>
        <v>0</v>
      </c>
      <c r="AS233" s="171">
        <f>AM233+AN233</f>
        <v>0</v>
      </c>
      <c r="AT233" s="171">
        <f>SUM(AQ233,AR233,AS233)</f>
        <v>0</v>
      </c>
      <c r="AU233" s="250">
        <f>AT233</f>
        <v>0</v>
      </c>
      <c r="AV233" s="250"/>
      <c r="AW233" s="250"/>
      <c r="AX233" s="250"/>
      <c r="AY233" s="250"/>
      <c r="AZ233" s="250"/>
      <c r="BA233" s="250"/>
      <c r="BB233" s="251">
        <f t="shared" ref="BB233:BB236" si="156">SUM(AU233:BA233)-AT233</f>
        <v>0</v>
      </c>
      <c r="BC233" s="169"/>
      <c r="BD233" s="169"/>
      <c r="BE233" s="169"/>
      <c r="BF233" s="169"/>
    </row>
    <row r="234" spans="1:58" ht="51.6" customHeight="1" outlineLevel="2" x14ac:dyDescent="0.25">
      <c r="A234" s="115"/>
      <c r="B234" s="200"/>
      <c r="C234" s="201"/>
      <c r="D234" s="343"/>
      <c r="E234" s="328"/>
      <c r="F234" s="328"/>
      <c r="G234" s="328"/>
      <c r="H234" s="199" t="s">
        <v>522</v>
      </c>
      <c r="I234" s="130"/>
      <c r="J234" s="126"/>
      <c r="K234" s="126"/>
      <c r="L234" s="125" t="str">
        <f>IF(I234&lt;&gt;0,((VLOOKUP(I234,'1. Standard_Cost'!$B$4:$D$11,2)+VLOOKUP(I234,'1. Standard_Cost'!$B$4:$D$11,3))*J234*K234),"0")</f>
        <v>0</v>
      </c>
      <c r="M234" s="125">
        <f>L234*'1. Standard_Cost'!$F$4</f>
        <v>0</v>
      </c>
      <c r="N234" s="126"/>
      <c r="O234" s="126"/>
      <c r="P234" s="126"/>
      <c r="Q234" s="126"/>
      <c r="R234" s="127">
        <f>'1. Standard_Cost'!$B$15*N234*P234</f>
        <v>0</v>
      </c>
      <c r="S234" s="127">
        <f>N234*O234*P234*'1. Standard_Cost'!$C$15</f>
        <v>0</v>
      </c>
      <c r="T234" s="127">
        <f>N234*P234*Q234*'1. Standard_Cost'!$D$15</f>
        <v>0</v>
      </c>
      <c r="U234" s="127">
        <f>N234*O234*'1. Standard_Cost'!$E$15</f>
        <v>0</v>
      </c>
      <c r="V234" s="126"/>
      <c r="W234" s="126"/>
      <c r="X234" s="126"/>
      <c r="Y234" s="127">
        <f>+V234*((X234*'1. Standard_Cost'!$B$19)+(W234*X234*'1. Standard_Cost'!$C$19))</f>
        <v>0</v>
      </c>
      <c r="Z234" s="126"/>
      <c r="AA234" s="126"/>
      <c r="AB234" s="127">
        <f>+Z234*'1. Standard_Cost'!$B$23+AA234*'1. Standard_Cost'!$C$23</f>
        <v>0</v>
      </c>
      <c r="AC234" s="128"/>
      <c r="AD234" s="129"/>
      <c r="AE234" s="127">
        <f>SUM(AD234,AC234,AB234,Y234,U234,T234,S234,R234)*'1. Standard_Cost'!$B$31</f>
        <v>0</v>
      </c>
      <c r="AF234" s="127">
        <f>SUM(AE234,AD234,AC234,AB234,Y234,U234,T234,S234,R234)</f>
        <v>0</v>
      </c>
      <c r="AG234" s="126"/>
      <c r="AH234" s="126"/>
      <c r="AI234" s="126"/>
      <c r="AJ234" s="130"/>
      <c r="AK234" s="130"/>
      <c r="AL234" s="130"/>
      <c r="AM234" s="127">
        <f>AG234*'1. Standard_Cost'!$B$27+'Incremental_Cost Year 5'!AH234*'1. Standard_Cost'!$C$27+'Incremental_Cost Year 5'!AI234*'1. Standard_Cost'!$D$27+'Incremental_Cost Year 5'!AJ234+'Incremental_Cost Year 5'!AL234+AK234</f>
        <v>0</v>
      </c>
      <c r="AN234" s="127">
        <f>AM234*'1. Standard_Cost'!$C$31</f>
        <v>0</v>
      </c>
      <c r="AO234" s="130"/>
      <c r="AQ234" s="171">
        <f>L234+M234</f>
        <v>0</v>
      </c>
      <c r="AR234" s="171">
        <f>AF234</f>
        <v>0</v>
      </c>
      <c r="AS234" s="171">
        <f>AM234+AN234</f>
        <v>0</v>
      </c>
      <c r="AT234" s="171">
        <f>SUM(AQ234,AR234,AS234)</f>
        <v>0</v>
      </c>
      <c r="AU234" s="250">
        <f>AT234</f>
        <v>0</v>
      </c>
      <c r="AV234" s="250"/>
      <c r="AW234" s="250"/>
      <c r="AX234" s="250"/>
      <c r="AY234" s="250"/>
      <c r="AZ234" s="250"/>
      <c r="BA234" s="250"/>
      <c r="BB234" s="251">
        <f t="shared" si="156"/>
        <v>0</v>
      </c>
      <c r="BC234" s="169"/>
      <c r="BD234" s="169"/>
      <c r="BE234" s="169"/>
      <c r="BF234" s="169"/>
    </row>
    <row r="235" spans="1:58" ht="51.6" customHeight="1" outlineLevel="2" x14ac:dyDescent="0.25">
      <c r="A235" s="115"/>
      <c r="B235" s="200"/>
      <c r="C235" s="201"/>
      <c r="D235" s="343"/>
      <c r="E235" s="328"/>
      <c r="F235" s="328"/>
      <c r="G235" s="328"/>
      <c r="H235" s="199" t="s">
        <v>523</v>
      </c>
      <c r="I235" s="130" t="s">
        <v>3</v>
      </c>
      <c r="J235" s="126">
        <v>2</v>
      </c>
      <c r="K235" s="126">
        <v>20</v>
      </c>
      <c r="L235" s="125">
        <f>IF(I235&lt;&gt;0,((VLOOKUP(I235,'1. Standard_Cost'!$B$4:$D$11,2)+VLOOKUP(I235,'1. Standard_Cost'!$B$4:$D$11,3))*J235*K235),"0")</f>
        <v>4032000</v>
      </c>
      <c r="M235" s="125">
        <f>L235*'1. Standard_Cost'!$F$4</f>
        <v>673344</v>
      </c>
      <c r="N235" s="126"/>
      <c r="O235" s="126"/>
      <c r="P235" s="126"/>
      <c r="Q235" s="126"/>
      <c r="R235" s="127">
        <f>'1. Standard_Cost'!$B$15*N235*P235</f>
        <v>0</v>
      </c>
      <c r="S235" s="127">
        <f>N235*O235*P235*'1. Standard_Cost'!$C$15</f>
        <v>0</v>
      </c>
      <c r="T235" s="127">
        <f>N235*P235*Q235*'1. Standard_Cost'!$D$15</f>
        <v>0</v>
      </c>
      <c r="U235" s="127">
        <f>N235*O235*'1. Standard_Cost'!$E$15</f>
        <v>0</v>
      </c>
      <c r="V235" s="126"/>
      <c r="W235" s="126"/>
      <c r="X235" s="126"/>
      <c r="Y235" s="127">
        <f>+V235*((X235*'1. Standard_Cost'!$B$19)+(W235*X235*'1. Standard_Cost'!$C$19))</f>
        <v>0</v>
      </c>
      <c r="Z235" s="126"/>
      <c r="AA235" s="126"/>
      <c r="AB235" s="127">
        <f>+Z235*'1. Standard_Cost'!$B$23+AA235*'1. Standard_Cost'!$C$23</f>
        <v>0</v>
      </c>
      <c r="AC235" s="128"/>
      <c r="AD235" s="129"/>
      <c r="AE235" s="127">
        <f>SUM(AD235,AC235,AB235,Y235,U235,T235,S235,R235)*'1. Standard_Cost'!$B$31</f>
        <v>0</v>
      </c>
      <c r="AF235" s="127">
        <f>SUM(AE235,AD235,AC235,AB235,Y235,U235,T235,S235,R235)</f>
        <v>0</v>
      </c>
      <c r="AG235" s="126"/>
      <c r="AH235" s="126"/>
      <c r="AI235" s="126"/>
      <c r="AJ235" s="130"/>
      <c r="AK235" s="130">
        <v>25000000</v>
      </c>
      <c r="AL235" s="130"/>
      <c r="AM235" s="127">
        <f>AG235*'1. Standard_Cost'!$B$27+'Incremental_Cost Year 5'!AH235*'1. Standard_Cost'!$C$27+'Incremental_Cost Year 5'!AI235*'1. Standard_Cost'!$D$27+'Incremental_Cost Year 5'!AJ235+'Incremental_Cost Year 5'!AL235+AK235</f>
        <v>25000000</v>
      </c>
      <c r="AN235" s="127">
        <f>AM235*'1. Standard_Cost'!$C$31</f>
        <v>3750000</v>
      </c>
      <c r="AO235" s="130"/>
      <c r="AQ235" s="171">
        <f>L235+M235</f>
        <v>4705344</v>
      </c>
      <c r="AR235" s="171">
        <f>AF235</f>
        <v>0</v>
      </c>
      <c r="AS235" s="171">
        <f>AM235+AN235</f>
        <v>28750000</v>
      </c>
      <c r="AT235" s="171">
        <f>SUM(AQ235,AR235,AS235)</f>
        <v>33455344</v>
      </c>
      <c r="AU235" s="250">
        <f>AT235</f>
        <v>33455344</v>
      </c>
      <c r="AV235" s="250"/>
      <c r="AW235" s="250"/>
      <c r="AX235" s="250"/>
      <c r="AY235" s="250"/>
      <c r="AZ235" s="250"/>
      <c r="BA235" s="250"/>
      <c r="BB235" s="251">
        <f t="shared" si="156"/>
        <v>0</v>
      </c>
      <c r="BC235" s="169"/>
      <c r="BD235" s="169"/>
      <c r="BE235" s="169"/>
      <c r="BF235" s="169"/>
    </row>
    <row r="236" spans="1:58" ht="51.6" customHeight="1" outlineLevel="2" x14ac:dyDescent="0.25">
      <c r="A236" s="115"/>
      <c r="B236" s="200"/>
      <c r="C236" s="201"/>
      <c r="D236" s="344"/>
      <c r="E236" s="328"/>
      <c r="F236" s="328"/>
      <c r="G236" s="328"/>
      <c r="H236" s="199" t="s">
        <v>524</v>
      </c>
      <c r="I236" s="130" t="s">
        <v>3</v>
      </c>
      <c r="J236" s="126">
        <v>3</v>
      </c>
      <c r="K236" s="126">
        <v>3</v>
      </c>
      <c r="L236" s="125">
        <f>IF(I236&lt;&gt;0,((VLOOKUP(I236,'1. Standard_Cost'!$B$4:$D$11,2)+VLOOKUP(I236,'1. Standard_Cost'!$B$4:$D$11,3))*J236*K236),"0")</f>
        <v>907200</v>
      </c>
      <c r="M236" s="125">
        <f>L236*'1. Standard_Cost'!$F$4</f>
        <v>151502.39999999999</v>
      </c>
      <c r="N236" s="126"/>
      <c r="O236" s="126"/>
      <c r="P236" s="126"/>
      <c r="Q236" s="126"/>
      <c r="R236" s="127">
        <f>'1. Standard_Cost'!$B$15*N236*P236</f>
        <v>0</v>
      </c>
      <c r="S236" s="127">
        <f>N236*O236*P236*'1. Standard_Cost'!$C$15</f>
        <v>0</v>
      </c>
      <c r="T236" s="127">
        <f>N236*P236*Q236*'1. Standard_Cost'!$D$15</f>
        <v>0</v>
      </c>
      <c r="U236" s="127">
        <f>N236*O236*'1. Standard_Cost'!$E$15</f>
        <v>0</v>
      </c>
      <c r="V236" s="126"/>
      <c r="W236" s="126"/>
      <c r="X236" s="126"/>
      <c r="Y236" s="127">
        <f>+V236*((X236*'1. Standard_Cost'!$B$19)+(W236*X236*'1. Standard_Cost'!$C$19))</f>
        <v>0</v>
      </c>
      <c r="Z236" s="126"/>
      <c r="AA236" s="126"/>
      <c r="AB236" s="127">
        <f>+Z236*'1. Standard_Cost'!$B$23+AA236*'1. Standard_Cost'!$C$23</f>
        <v>0</v>
      </c>
      <c r="AC236" s="128">
        <v>500000</v>
      </c>
      <c r="AD236" s="129"/>
      <c r="AE236" s="127">
        <f>SUM(AD236,AC236,AB236,Y236,U236,T236,S236,R236)*'1. Standard_Cost'!$B$31</f>
        <v>100000</v>
      </c>
      <c r="AF236" s="127">
        <f>SUM(AE236,AD236,AC236,AB236,Y236,U236,T236,S236,R236)</f>
        <v>600000</v>
      </c>
      <c r="AG236" s="126"/>
      <c r="AH236" s="126"/>
      <c r="AI236" s="126"/>
      <c r="AJ236" s="130"/>
      <c r="AK236" s="130"/>
      <c r="AL236" s="130"/>
      <c r="AM236" s="127">
        <f>AG236*'1. Standard_Cost'!$B$27+'Incremental_Cost Year 5'!AH236*'1. Standard_Cost'!$C$27+'Incremental_Cost Year 5'!AI236*'1. Standard_Cost'!$D$27+'Incremental_Cost Year 5'!AJ236+'Incremental_Cost Year 5'!AL236+AK236</f>
        <v>0</v>
      </c>
      <c r="AN236" s="127">
        <f>AM236*'1. Standard_Cost'!$C$31</f>
        <v>0</v>
      </c>
      <c r="AO236" s="130"/>
      <c r="AQ236" s="171">
        <f>L236+M236</f>
        <v>1058702.3999999999</v>
      </c>
      <c r="AR236" s="171">
        <f>AF236</f>
        <v>600000</v>
      </c>
      <c r="AS236" s="171">
        <f>AM236+AN236</f>
        <v>0</v>
      </c>
      <c r="AT236" s="171">
        <f>SUM(AQ236,AR236,AS236)</f>
        <v>1658702.4</v>
      </c>
      <c r="AU236" s="250">
        <f>AT236</f>
        <v>1658702.4</v>
      </c>
      <c r="AV236" s="250"/>
      <c r="AW236" s="250"/>
      <c r="AX236" s="250"/>
      <c r="AY236" s="250"/>
      <c r="AZ236" s="250"/>
      <c r="BA236" s="250"/>
      <c r="BB236" s="251">
        <f t="shared" si="156"/>
        <v>0</v>
      </c>
      <c r="BC236" s="169"/>
      <c r="BD236" s="169"/>
      <c r="BE236" s="169"/>
      <c r="BF236" s="169"/>
    </row>
    <row r="237" spans="1:58" ht="51.6" customHeight="1" outlineLevel="1" x14ac:dyDescent="0.25">
      <c r="A237" s="115"/>
      <c r="B237" s="165"/>
      <c r="C237" s="166"/>
      <c r="D237" s="209" t="s">
        <v>563</v>
      </c>
      <c r="E237" s="212" t="s">
        <v>263</v>
      </c>
      <c r="F237" s="136">
        <v>2023</v>
      </c>
      <c r="G237" s="117">
        <v>2025</v>
      </c>
      <c r="H237" s="150" t="s">
        <v>264</v>
      </c>
      <c r="I237" s="252"/>
      <c r="J237" s="252"/>
      <c r="K237" s="252"/>
      <c r="L237" s="127">
        <f>SUM(L233:L236)</f>
        <v>4939200</v>
      </c>
      <c r="M237" s="127">
        <f>SUM(M233:M236)</f>
        <v>824846.4</v>
      </c>
      <c r="N237" s="252"/>
      <c r="O237" s="252"/>
      <c r="P237" s="252"/>
      <c r="Q237" s="252"/>
      <c r="R237" s="127">
        <f>SUM(R233:R236)</f>
        <v>0</v>
      </c>
      <c r="S237" s="127">
        <f>SUM(S233:S236)</f>
        <v>0</v>
      </c>
      <c r="T237" s="127">
        <f>SUM(T233:T236)</f>
        <v>0</v>
      </c>
      <c r="U237" s="127">
        <f>SUM(U233:U236)</f>
        <v>0</v>
      </c>
      <c r="V237" s="252"/>
      <c r="W237" s="252"/>
      <c r="X237" s="252"/>
      <c r="Y237" s="127">
        <f>SUM(Y233:Y236)</f>
        <v>0</v>
      </c>
      <c r="Z237" s="127"/>
      <c r="AA237" s="252"/>
      <c r="AB237" s="127">
        <f>SUM(AB233:AB236)</f>
        <v>0</v>
      </c>
      <c r="AC237" s="127">
        <f>SUM(AC233:AC236)</f>
        <v>500000</v>
      </c>
      <c r="AD237" s="127">
        <f>SUM(AD233:AD236)</f>
        <v>0</v>
      </c>
      <c r="AE237" s="127">
        <f>SUM(AE233:AE236)</f>
        <v>100000</v>
      </c>
      <c r="AF237" s="127">
        <f>SUM(AF233:AF236)</f>
        <v>600000</v>
      </c>
      <c r="AG237" s="252"/>
      <c r="AH237" s="252"/>
      <c r="AI237" s="252"/>
      <c r="AJ237" s="127">
        <f>SUM(AJ233:AJ236)</f>
        <v>0</v>
      </c>
      <c r="AK237" s="127">
        <f>SUM(AK233:AK236)</f>
        <v>25000000</v>
      </c>
      <c r="AL237" s="127">
        <f>SUM(AL233:AL236)</f>
        <v>0</v>
      </c>
      <c r="AM237" s="127">
        <f>SUM(AM233:AM236)</f>
        <v>25000000</v>
      </c>
      <c r="AN237" s="127">
        <f>SUM(AN233:AN236)</f>
        <v>3750000</v>
      </c>
      <c r="AO237" s="253"/>
      <c r="AP237" s="254"/>
      <c r="AQ237" s="175">
        <f>SUM(AQ233:AQ236)</f>
        <v>5764046.4000000004</v>
      </c>
      <c r="AR237" s="175">
        <f>SUM(AR233:AR236)</f>
        <v>600000</v>
      </c>
      <c r="AS237" s="175">
        <f>SUM(AS233:AS236)</f>
        <v>28750000</v>
      </c>
      <c r="AT237" s="175">
        <f>SUM(AT233:AT236)</f>
        <v>35114046.399999999</v>
      </c>
      <c r="AU237" s="175">
        <f t="shared" ref="AU237:BB237" si="157">SUM(AU233:AU236)</f>
        <v>35114046.399999999</v>
      </c>
      <c r="AV237" s="175">
        <f t="shared" si="157"/>
        <v>0</v>
      </c>
      <c r="AW237" s="175">
        <f t="shared" si="157"/>
        <v>0</v>
      </c>
      <c r="AX237" s="175">
        <f t="shared" si="157"/>
        <v>0</v>
      </c>
      <c r="AY237" s="175">
        <f t="shared" si="157"/>
        <v>0</v>
      </c>
      <c r="AZ237" s="175">
        <f t="shared" si="157"/>
        <v>0</v>
      </c>
      <c r="BA237" s="175">
        <f t="shared" si="157"/>
        <v>0</v>
      </c>
      <c r="BB237" s="175">
        <f t="shared" si="157"/>
        <v>0</v>
      </c>
      <c r="BC237" s="169"/>
      <c r="BD237" s="169"/>
      <c r="BE237" s="169"/>
      <c r="BF237" s="169"/>
    </row>
    <row r="238" spans="1:58" s="184" customFormat="1" ht="51.6" customHeight="1" x14ac:dyDescent="0.25">
      <c r="A238" s="143"/>
      <c r="B238" s="332"/>
      <c r="C238" s="397" t="s">
        <v>265</v>
      </c>
      <c r="D238" s="397"/>
      <c r="E238" s="398"/>
      <c r="F238" s="291"/>
      <c r="G238" s="340"/>
      <c r="H238" s="144" t="s">
        <v>303</v>
      </c>
      <c r="I238" s="257"/>
      <c r="J238" s="257"/>
      <c r="K238" s="257"/>
      <c r="L238" s="258">
        <f>SUM(L243)</f>
        <v>0</v>
      </c>
      <c r="M238" s="258">
        <f>SUM(M243)</f>
        <v>0</v>
      </c>
      <c r="N238" s="257"/>
      <c r="O238" s="257"/>
      <c r="P238" s="257"/>
      <c r="Q238" s="257"/>
      <c r="R238" s="258">
        <f>SUM(R243)</f>
        <v>0</v>
      </c>
      <c r="S238" s="258">
        <f>SUM(S243)</f>
        <v>0</v>
      </c>
      <c r="T238" s="258">
        <f>SUM(T243)</f>
        <v>0</v>
      </c>
      <c r="U238" s="258">
        <f>SUM(U243)</f>
        <v>0</v>
      </c>
      <c r="V238" s="257"/>
      <c r="W238" s="257"/>
      <c r="X238" s="257"/>
      <c r="Y238" s="258">
        <f>SUM(Y243)</f>
        <v>0</v>
      </c>
      <c r="Z238" s="258"/>
      <c r="AA238" s="258"/>
      <c r="AB238" s="258">
        <f>SUM(AB243)</f>
        <v>0</v>
      </c>
      <c r="AC238" s="258">
        <f>SUM(AC243)</f>
        <v>0</v>
      </c>
      <c r="AD238" s="258">
        <f>SUM(AD243)</f>
        <v>0</v>
      </c>
      <c r="AE238" s="258">
        <f>SUM(AE243)</f>
        <v>0</v>
      </c>
      <c r="AF238" s="258">
        <f>SUM(AF243)</f>
        <v>0</v>
      </c>
      <c r="AG238" s="257"/>
      <c r="AH238" s="257"/>
      <c r="AI238" s="257"/>
      <c r="AJ238" s="258">
        <f>SUM(AJ243)</f>
        <v>0</v>
      </c>
      <c r="AK238" s="258">
        <f>SUM(AK243)</f>
        <v>0</v>
      </c>
      <c r="AL238" s="258">
        <f>SUM(AL243)</f>
        <v>0</v>
      </c>
      <c r="AM238" s="258">
        <f>SUM(AM243)</f>
        <v>0</v>
      </c>
      <c r="AN238" s="258">
        <f>SUM(AN243)</f>
        <v>0</v>
      </c>
      <c r="AO238" s="259"/>
      <c r="AP238" s="260"/>
      <c r="AQ238" s="261">
        <f>SUM(AQ243)</f>
        <v>0</v>
      </c>
      <c r="AR238" s="261">
        <f>SUM(AR243)</f>
        <v>0</v>
      </c>
      <c r="AS238" s="261">
        <f>SUM(AS243)</f>
        <v>0</v>
      </c>
      <c r="AT238" s="261">
        <f>SUM(AT243)</f>
        <v>0</v>
      </c>
      <c r="AU238" s="261">
        <f t="shared" ref="AU238:BB238" si="158">SUM(AU243)</f>
        <v>0</v>
      </c>
      <c r="AV238" s="261">
        <f t="shared" si="158"/>
        <v>0</v>
      </c>
      <c r="AW238" s="261">
        <f t="shared" si="158"/>
        <v>0</v>
      </c>
      <c r="AX238" s="261">
        <f t="shared" si="158"/>
        <v>0</v>
      </c>
      <c r="AY238" s="261">
        <f t="shared" si="158"/>
        <v>0</v>
      </c>
      <c r="AZ238" s="261">
        <f t="shared" si="158"/>
        <v>0</v>
      </c>
      <c r="BA238" s="261">
        <f t="shared" si="158"/>
        <v>0</v>
      </c>
      <c r="BB238" s="261">
        <f t="shared" si="158"/>
        <v>0</v>
      </c>
    </row>
    <row r="239" spans="1:58" ht="51.6" customHeight="1" outlineLevel="2" x14ac:dyDescent="0.25">
      <c r="A239" s="115"/>
      <c r="B239" s="200"/>
      <c r="C239" s="201"/>
      <c r="D239" s="202"/>
      <c r="E239" s="354"/>
      <c r="F239" s="355"/>
      <c r="G239" s="356"/>
      <c r="H239" s="199" t="s">
        <v>525</v>
      </c>
      <c r="I239" s="130"/>
      <c r="J239" s="126"/>
      <c r="K239" s="126"/>
      <c r="L239" s="125" t="str">
        <f>IF(I239&lt;&gt;0,((VLOOKUP(I239,'1. Standard_Cost'!$B$4:$D$11,2)+VLOOKUP(I239,'1. Standard_Cost'!$B$4:$D$11,3))*J239*K239),"0")</f>
        <v>0</v>
      </c>
      <c r="M239" s="125">
        <f>L239*'1. Standard_Cost'!$F$4</f>
        <v>0</v>
      </c>
      <c r="N239" s="126"/>
      <c r="O239" s="126"/>
      <c r="P239" s="126"/>
      <c r="Q239" s="126"/>
      <c r="R239" s="127">
        <f>'1. Standard_Cost'!$B$15*N239*P239</f>
        <v>0</v>
      </c>
      <c r="S239" s="127">
        <f>N239*O239*P239*'1. Standard_Cost'!$C$15</f>
        <v>0</v>
      </c>
      <c r="T239" s="127">
        <f>N239*P239*Q239*'1. Standard_Cost'!$D$15</f>
        <v>0</v>
      </c>
      <c r="U239" s="127">
        <f>N239*O239*'1. Standard_Cost'!$E$15</f>
        <v>0</v>
      </c>
      <c r="V239" s="126"/>
      <c r="W239" s="126"/>
      <c r="X239" s="126"/>
      <c r="Y239" s="127">
        <f>+V239*((X239*'1. Standard_Cost'!$B$19)+(W239*X239*'1. Standard_Cost'!$C$19))</f>
        <v>0</v>
      </c>
      <c r="Z239" s="126"/>
      <c r="AA239" s="126"/>
      <c r="AB239" s="127">
        <f>+Z239*'1. Standard_Cost'!$B$23+AA239*'1. Standard_Cost'!$C$23</f>
        <v>0</v>
      </c>
      <c r="AC239" s="128"/>
      <c r="AD239" s="129"/>
      <c r="AE239" s="127">
        <f>SUM(AD239,AC239,AB239,Y239,U239,T239,S239,R239)*'1. Standard_Cost'!$B$31</f>
        <v>0</v>
      </c>
      <c r="AF239" s="127">
        <f>SUM(AE239,AD239,AC239,AB239,Y239,U239,T239,S239,R239)</f>
        <v>0</v>
      </c>
      <c r="AG239" s="126"/>
      <c r="AH239" s="126"/>
      <c r="AI239" s="126"/>
      <c r="AJ239" s="130"/>
      <c r="AK239" s="130"/>
      <c r="AL239" s="130"/>
      <c r="AM239" s="127">
        <f>AG239*'1. Standard_Cost'!$B$27+'Incremental_Cost Year 5'!AH239*'1. Standard_Cost'!$C$27+'Incremental_Cost Year 5'!AI239*'1. Standard_Cost'!$D$27+'Incremental_Cost Year 5'!AJ239+'Incremental_Cost Year 5'!AL239+AK239</f>
        <v>0</v>
      </c>
      <c r="AN239" s="127">
        <f>AM239*'1. Standard_Cost'!$C$31</f>
        <v>0</v>
      </c>
      <c r="AO239" s="130"/>
      <c r="AQ239" s="171">
        <f>L239+M239</f>
        <v>0</v>
      </c>
      <c r="AR239" s="171">
        <f>AF239</f>
        <v>0</v>
      </c>
      <c r="AS239" s="171">
        <f>AM239+AN239</f>
        <v>0</v>
      </c>
      <c r="AT239" s="171">
        <f>SUM(AQ239,AR239,AS239)</f>
        <v>0</v>
      </c>
      <c r="AU239" s="250">
        <f>AT239</f>
        <v>0</v>
      </c>
      <c r="AV239" s="250"/>
      <c r="AW239" s="250"/>
      <c r="AX239" s="250"/>
      <c r="AY239" s="250"/>
      <c r="AZ239" s="250"/>
      <c r="BA239" s="250"/>
      <c r="BB239" s="251">
        <f t="shared" ref="BB239:BB242" si="159">SUM(AU239:BA239)-AT239</f>
        <v>0</v>
      </c>
      <c r="BC239" s="169"/>
      <c r="BD239" s="169"/>
      <c r="BE239" s="169"/>
      <c r="BF239" s="169"/>
    </row>
    <row r="240" spans="1:58" ht="51.6" customHeight="1" outlineLevel="2" x14ac:dyDescent="0.25">
      <c r="A240" s="115"/>
      <c r="B240" s="200"/>
      <c r="C240" s="201"/>
      <c r="D240" s="202"/>
      <c r="E240" s="357"/>
      <c r="F240" s="358"/>
      <c r="G240" s="359"/>
      <c r="H240" s="199" t="s">
        <v>526</v>
      </c>
      <c r="I240" s="130"/>
      <c r="J240" s="126"/>
      <c r="K240" s="126"/>
      <c r="L240" s="125" t="str">
        <f>IF(I240&lt;&gt;0,((VLOOKUP(I240,'1. Standard_Cost'!$B$4:$D$11,2)+VLOOKUP(I240,'1. Standard_Cost'!$B$4:$D$11,3))*J240*K240),"0")</f>
        <v>0</v>
      </c>
      <c r="M240" s="125">
        <f>L240*'1. Standard_Cost'!$F$4</f>
        <v>0</v>
      </c>
      <c r="N240" s="126"/>
      <c r="O240" s="126"/>
      <c r="P240" s="126"/>
      <c r="Q240" s="126"/>
      <c r="R240" s="127">
        <f>'1. Standard_Cost'!$B$15*N240*P240</f>
        <v>0</v>
      </c>
      <c r="S240" s="127">
        <f>N240*O240*P240*'1. Standard_Cost'!$C$15</f>
        <v>0</v>
      </c>
      <c r="T240" s="127">
        <f>N240*P240*Q240*'1. Standard_Cost'!$D$15</f>
        <v>0</v>
      </c>
      <c r="U240" s="127">
        <f>N240*O240*'1. Standard_Cost'!$E$15</f>
        <v>0</v>
      </c>
      <c r="V240" s="126"/>
      <c r="W240" s="126"/>
      <c r="X240" s="126"/>
      <c r="Y240" s="127">
        <f>+V240*((X240*'1. Standard_Cost'!$B$19)+(W240*X240*'1. Standard_Cost'!$C$19))</f>
        <v>0</v>
      </c>
      <c r="Z240" s="126"/>
      <c r="AA240" s="126"/>
      <c r="AB240" s="127">
        <f>+Z240*'1. Standard_Cost'!$B$23+AA240*'1. Standard_Cost'!$C$23</f>
        <v>0</v>
      </c>
      <c r="AC240" s="128"/>
      <c r="AD240" s="129"/>
      <c r="AE240" s="127">
        <f>SUM(AD240,AC240,AB240,Y240,U240,T240,S240,R240)*'1. Standard_Cost'!$B$31</f>
        <v>0</v>
      </c>
      <c r="AF240" s="127">
        <f>SUM(AE240,AD240,AC240,AB240,Y240,U240,T240,S240,R240)</f>
        <v>0</v>
      </c>
      <c r="AG240" s="126"/>
      <c r="AH240" s="126"/>
      <c r="AI240" s="126"/>
      <c r="AJ240" s="130"/>
      <c r="AK240" s="130"/>
      <c r="AL240" s="130"/>
      <c r="AM240" s="127">
        <f>AG240*'1. Standard_Cost'!$B$27+'Incremental_Cost Year 5'!AH240*'1. Standard_Cost'!$C$27+'Incremental_Cost Year 5'!AI240*'1. Standard_Cost'!$D$27+'Incremental_Cost Year 5'!AJ240+'Incremental_Cost Year 5'!AL240+AK240</f>
        <v>0</v>
      </c>
      <c r="AN240" s="127">
        <f>AM240*'1. Standard_Cost'!$C$31</f>
        <v>0</v>
      </c>
      <c r="AO240" s="130"/>
      <c r="AQ240" s="171">
        <f>L240+M240</f>
        <v>0</v>
      </c>
      <c r="AR240" s="171">
        <f>AF240</f>
        <v>0</v>
      </c>
      <c r="AS240" s="171">
        <f>AM240+AN240</f>
        <v>0</v>
      </c>
      <c r="AT240" s="171">
        <f>SUM(AQ240,AR240,AS240)</f>
        <v>0</v>
      </c>
      <c r="AU240" s="250">
        <f>AT240</f>
        <v>0</v>
      </c>
      <c r="AV240" s="250"/>
      <c r="AW240" s="250"/>
      <c r="AX240" s="250"/>
      <c r="AY240" s="250"/>
      <c r="AZ240" s="250"/>
      <c r="BA240" s="250"/>
      <c r="BB240" s="251">
        <f t="shared" si="159"/>
        <v>0</v>
      </c>
      <c r="BC240" s="169"/>
      <c r="BD240" s="169"/>
      <c r="BE240" s="169"/>
      <c r="BF240" s="169"/>
    </row>
    <row r="241" spans="1:58" ht="51.6" customHeight="1" outlineLevel="2" x14ac:dyDescent="0.25">
      <c r="A241" s="115"/>
      <c r="B241" s="200"/>
      <c r="C241" s="201"/>
      <c r="D241" s="202"/>
      <c r="E241" s="357"/>
      <c r="F241" s="358"/>
      <c r="G241" s="359"/>
      <c r="H241" s="199" t="s">
        <v>527</v>
      </c>
      <c r="I241" s="130"/>
      <c r="J241" s="126"/>
      <c r="K241" s="126"/>
      <c r="L241" s="125" t="str">
        <f>IF(I241&lt;&gt;0,((VLOOKUP(I241,'1. Standard_Cost'!$B$4:$D$11,2)+VLOOKUP(I241,'1. Standard_Cost'!$B$4:$D$11,3))*J241*K241),"0")</f>
        <v>0</v>
      </c>
      <c r="M241" s="125">
        <f>L241*'1. Standard_Cost'!$F$4</f>
        <v>0</v>
      </c>
      <c r="N241" s="126"/>
      <c r="O241" s="126"/>
      <c r="P241" s="126"/>
      <c r="Q241" s="126"/>
      <c r="R241" s="127">
        <f>'1. Standard_Cost'!$B$15*N241*P241</f>
        <v>0</v>
      </c>
      <c r="S241" s="127">
        <f>N241*O241*P241*'1. Standard_Cost'!$C$15</f>
        <v>0</v>
      </c>
      <c r="T241" s="127">
        <f>N241*P241*Q241*'1. Standard_Cost'!$D$15</f>
        <v>0</v>
      </c>
      <c r="U241" s="127">
        <f>N241*O241*'1. Standard_Cost'!$E$15</f>
        <v>0</v>
      </c>
      <c r="V241" s="126"/>
      <c r="W241" s="126"/>
      <c r="X241" s="126"/>
      <c r="Y241" s="127">
        <f>+V241*((X241*'1. Standard_Cost'!$B$19)+(W241*X241*'1. Standard_Cost'!$C$19))</f>
        <v>0</v>
      </c>
      <c r="Z241" s="126"/>
      <c r="AA241" s="126"/>
      <c r="AB241" s="127">
        <f>+Z241*'1. Standard_Cost'!$B$23+AA241*'1. Standard_Cost'!$C$23</f>
        <v>0</v>
      </c>
      <c r="AC241" s="128"/>
      <c r="AD241" s="129"/>
      <c r="AE241" s="127">
        <f>SUM(AD241,AC241,AB241,Y241,U241,T241,S241,R241)*'1. Standard_Cost'!$B$31</f>
        <v>0</v>
      </c>
      <c r="AF241" s="127">
        <f>SUM(AE241,AD241,AC241,AB241,Y241,U241,T241,S241,R241)</f>
        <v>0</v>
      </c>
      <c r="AG241" s="126"/>
      <c r="AH241" s="126"/>
      <c r="AI241" s="126"/>
      <c r="AJ241" s="130"/>
      <c r="AK241" s="130"/>
      <c r="AL241" s="130"/>
      <c r="AM241" s="127">
        <f>AG241*'1. Standard_Cost'!$B$27+'Incremental_Cost Year 5'!AH241*'1. Standard_Cost'!$C$27+'Incremental_Cost Year 5'!AI241*'1. Standard_Cost'!$D$27+'Incremental_Cost Year 5'!AJ241+'Incremental_Cost Year 5'!AL241+AK241</f>
        <v>0</v>
      </c>
      <c r="AN241" s="127">
        <f>AM241*'1. Standard_Cost'!$C$31</f>
        <v>0</v>
      </c>
      <c r="AO241" s="130"/>
      <c r="AQ241" s="171">
        <f>L241+M241</f>
        <v>0</v>
      </c>
      <c r="AR241" s="171">
        <f>AF241</f>
        <v>0</v>
      </c>
      <c r="AS241" s="171">
        <f>AM241+AN241</f>
        <v>0</v>
      </c>
      <c r="AT241" s="171">
        <f>SUM(AQ241,AR241,AS241)</f>
        <v>0</v>
      </c>
      <c r="AU241" s="250">
        <f>AT241</f>
        <v>0</v>
      </c>
      <c r="AV241" s="250"/>
      <c r="AW241" s="250"/>
      <c r="AX241" s="250"/>
      <c r="AY241" s="250"/>
      <c r="AZ241" s="250"/>
      <c r="BA241" s="250"/>
      <c r="BB241" s="251">
        <f t="shared" si="159"/>
        <v>0</v>
      </c>
      <c r="BC241" s="169"/>
      <c r="BD241" s="169"/>
      <c r="BE241" s="169"/>
      <c r="BF241" s="169"/>
    </row>
    <row r="242" spans="1:58" ht="51.6" customHeight="1" outlineLevel="2" x14ac:dyDescent="0.25">
      <c r="A242" s="115"/>
      <c r="B242" s="200"/>
      <c r="C242" s="201"/>
      <c r="D242" s="202"/>
      <c r="E242" s="360"/>
      <c r="F242" s="361"/>
      <c r="G242" s="362"/>
      <c r="H242" s="213" t="s">
        <v>528</v>
      </c>
      <c r="I242" s="130"/>
      <c r="J242" s="126"/>
      <c r="K242" s="126"/>
      <c r="L242" s="125" t="str">
        <f>IF(I242&lt;&gt;0,((VLOOKUP(I242,'1. Standard_Cost'!$B$4:$D$11,2)+VLOOKUP(I242,'1. Standard_Cost'!$B$4:$D$11,3))*J242*K242),"0")</f>
        <v>0</v>
      </c>
      <c r="M242" s="125">
        <f>L242*'1. Standard_Cost'!$F$4</f>
        <v>0</v>
      </c>
      <c r="N242" s="126"/>
      <c r="O242" s="126"/>
      <c r="P242" s="126"/>
      <c r="Q242" s="126"/>
      <c r="R242" s="127">
        <f>'1. Standard_Cost'!$B$15*N242*P242</f>
        <v>0</v>
      </c>
      <c r="S242" s="127">
        <f>N242*O242*P242*'1. Standard_Cost'!$C$15</f>
        <v>0</v>
      </c>
      <c r="T242" s="127">
        <f>N242*P242*Q242*'1. Standard_Cost'!$D$15</f>
        <v>0</v>
      </c>
      <c r="U242" s="127">
        <f>N242*O242*'1. Standard_Cost'!$E$15</f>
        <v>0</v>
      </c>
      <c r="V242" s="126"/>
      <c r="W242" s="126"/>
      <c r="X242" s="126"/>
      <c r="Y242" s="127">
        <f>+V242*((X242*'1. Standard_Cost'!$B$19)+(W242*X242*'1. Standard_Cost'!$C$19))</f>
        <v>0</v>
      </c>
      <c r="Z242" s="126"/>
      <c r="AA242" s="126"/>
      <c r="AB242" s="127">
        <f>+Z242*'1. Standard_Cost'!$B$23+AA242*'1. Standard_Cost'!$C$23</f>
        <v>0</v>
      </c>
      <c r="AC242" s="128"/>
      <c r="AD242" s="129"/>
      <c r="AE242" s="127">
        <f>SUM(AD242,AC242,AB242,Y242,U242,T242,S242,R242)*'1. Standard_Cost'!$B$31</f>
        <v>0</v>
      </c>
      <c r="AF242" s="127">
        <f>SUM(AE242,AD242,AC242,AB242,Y242,U242,T242,S242,R242)</f>
        <v>0</v>
      </c>
      <c r="AG242" s="126"/>
      <c r="AH242" s="126"/>
      <c r="AI242" s="126"/>
      <c r="AJ242" s="130"/>
      <c r="AK242" s="130"/>
      <c r="AL242" s="130"/>
      <c r="AM242" s="127">
        <f>AG242*'1. Standard_Cost'!$B$27+'Incremental_Cost Year 5'!AH242*'1. Standard_Cost'!$C$27+'Incremental_Cost Year 5'!AI242*'1. Standard_Cost'!$D$27+'Incremental_Cost Year 5'!AJ242+'Incremental_Cost Year 5'!AL242+AK242</f>
        <v>0</v>
      </c>
      <c r="AN242" s="127">
        <f>AM242*'1. Standard_Cost'!$C$31</f>
        <v>0</v>
      </c>
      <c r="AO242" s="130"/>
      <c r="AQ242" s="171">
        <f>L242+M242</f>
        <v>0</v>
      </c>
      <c r="AR242" s="171">
        <f>AF242</f>
        <v>0</v>
      </c>
      <c r="AS242" s="171">
        <f>AM242+AN242</f>
        <v>0</v>
      </c>
      <c r="AT242" s="171">
        <f>SUM(AQ242,AR242,AS242)</f>
        <v>0</v>
      </c>
      <c r="AU242" s="250">
        <f>AT242</f>
        <v>0</v>
      </c>
      <c r="AV242" s="250"/>
      <c r="AW242" s="250"/>
      <c r="AX242" s="250"/>
      <c r="AY242" s="250"/>
      <c r="AZ242" s="250"/>
      <c r="BA242" s="250"/>
      <c r="BB242" s="251">
        <f t="shared" si="159"/>
        <v>0</v>
      </c>
      <c r="BC242" s="169"/>
      <c r="BD242" s="169"/>
      <c r="BE242" s="169"/>
      <c r="BF242" s="169"/>
    </row>
    <row r="243" spans="1:58" ht="51.6" customHeight="1" outlineLevel="1" x14ac:dyDescent="0.25">
      <c r="A243" s="115"/>
      <c r="B243" s="165"/>
      <c r="C243" s="166"/>
      <c r="D243" s="150" t="s">
        <v>564</v>
      </c>
      <c r="E243" s="212" t="s">
        <v>267</v>
      </c>
      <c r="F243" s="136">
        <v>2021</v>
      </c>
      <c r="G243" s="117">
        <v>2024</v>
      </c>
      <c r="H243" s="150" t="s">
        <v>304</v>
      </c>
      <c r="I243" s="252"/>
      <c r="J243" s="252"/>
      <c r="K243" s="252"/>
      <c r="L243" s="127">
        <f>SUM(L239:L242)</f>
        <v>0</v>
      </c>
      <c r="M243" s="127">
        <f>SUM(M239:M242)</f>
        <v>0</v>
      </c>
      <c r="N243" s="252"/>
      <c r="O243" s="252"/>
      <c r="P243" s="252"/>
      <c r="Q243" s="252"/>
      <c r="R243" s="127">
        <f>SUM(R239:R242)</f>
        <v>0</v>
      </c>
      <c r="S243" s="127">
        <f>SUM(S239:S242)</f>
        <v>0</v>
      </c>
      <c r="T243" s="127">
        <f>SUM(T239:T242)</f>
        <v>0</v>
      </c>
      <c r="U243" s="127">
        <f>SUM(U239:U242)</f>
        <v>0</v>
      </c>
      <c r="V243" s="252"/>
      <c r="W243" s="252"/>
      <c r="X243" s="252"/>
      <c r="Y243" s="127">
        <f>SUM(Y239:Y242)</f>
        <v>0</v>
      </c>
      <c r="Z243" s="127"/>
      <c r="AA243" s="252"/>
      <c r="AB243" s="127">
        <f>SUM(AB239:AB242)</f>
        <v>0</v>
      </c>
      <c r="AC243" s="127">
        <f>SUM(AC239:AC242)</f>
        <v>0</v>
      </c>
      <c r="AD243" s="127">
        <f>SUM(AD239:AD242)</f>
        <v>0</v>
      </c>
      <c r="AE243" s="127">
        <f>SUM(AE239:AE242)</f>
        <v>0</v>
      </c>
      <c r="AF243" s="127">
        <f>SUM(AF239:AF242)</f>
        <v>0</v>
      </c>
      <c r="AG243" s="252"/>
      <c r="AH243" s="252"/>
      <c r="AI243" s="252"/>
      <c r="AJ243" s="127">
        <f>SUM(AJ239:AJ242)</f>
        <v>0</v>
      </c>
      <c r="AK243" s="127">
        <f>SUM(AK239:AK242)</f>
        <v>0</v>
      </c>
      <c r="AL243" s="127">
        <f>SUM(AL239:AL242)</f>
        <v>0</v>
      </c>
      <c r="AM243" s="127">
        <f>SUM(AM239:AM242)</f>
        <v>0</v>
      </c>
      <c r="AN243" s="127">
        <f>SUM(AN239:AN242)</f>
        <v>0</v>
      </c>
      <c r="AO243" s="253"/>
      <c r="AP243" s="254"/>
      <c r="AQ243" s="175">
        <f>SUM(AQ239:AQ242)</f>
        <v>0</v>
      </c>
      <c r="AR243" s="175">
        <f>SUM(AR239:AR242)</f>
        <v>0</v>
      </c>
      <c r="AS243" s="175">
        <f>SUM(AS239:AS242)</f>
        <v>0</v>
      </c>
      <c r="AT243" s="175">
        <f>SUM(AT239:AT242)</f>
        <v>0</v>
      </c>
      <c r="AU243" s="175">
        <f t="shared" ref="AU243:BB243" si="160">SUM(AU239:AU242)</f>
        <v>0</v>
      </c>
      <c r="AV243" s="175">
        <f t="shared" si="160"/>
        <v>0</v>
      </c>
      <c r="AW243" s="175">
        <f t="shared" si="160"/>
        <v>0</v>
      </c>
      <c r="AX243" s="175">
        <f t="shared" si="160"/>
        <v>0</v>
      </c>
      <c r="AY243" s="175">
        <f t="shared" si="160"/>
        <v>0</v>
      </c>
      <c r="AZ243" s="175">
        <f t="shared" si="160"/>
        <v>0</v>
      </c>
      <c r="BA243" s="175">
        <f t="shared" si="160"/>
        <v>0</v>
      </c>
      <c r="BB243" s="175">
        <f t="shared" si="160"/>
        <v>0</v>
      </c>
      <c r="BC243" s="169"/>
      <c r="BD243" s="169"/>
      <c r="BE243" s="169"/>
      <c r="BF243" s="169"/>
    </row>
    <row r="244" spans="1:58" ht="51.6" customHeight="1" x14ac:dyDescent="0.2">
      <c r="A244" s="173"/>
      <c r="B244" s="399" t="s">
        <v>316</v>
      </c>
      <c r="C244" s="400"/>
      <c r="D244" s="400"/>
      <c r="E244" s="401"/>
      <c r="F244" s="367"/>
      <c r="G244" s="367"/>
      <c r="H244" s="188" t="s">
        <v>317</v>
      </c>
      <c r="I244" s="245"/>
      <c r="J244" s="245"/>
      <c r="K244" s="245"/>
      <c r="L244" s="245">
        <f>L245+L259+L269+L277+L284</f>
        <v>34104000</v>
      </c>
      <c r="M244" s="245">
        <f>M245+M259+M269+M277+M284</f>
        <v>5695368</v>
      </c>
      <c r="N244" s="245"/>
      <c r="O244" s="245"/>
      <c r="P244" s="245"/>
      <c r="Q244" s="245"/>
      <c r="R244" s="245">
        <f>R245+R259+R269+R277+R284</f>
        <v>3200000</v>
      </c>
      <c r="S244" s="245">
        <f>S245+S259+S269+S277+S284</f>
        <v>2400000</v>
      </c>
      <c r="T244" s="245">
        <f>T245+T259+T269+T277+T284</f>
        <v>0</v>
      </c>
      <c r="U244" s="245">
        <f>U245+U259+U269+U277+U284</f>
        <v>3200000</v>
      </c>
      <c r="V244" s="245"/>
      <c r="W244" s="245"/>
      <c r="X244" s="245"/>
      <c r="Y244" s="245">
        <f t="shared" ref="Y244:AF244" si="161">Y245+Y259+Y269+Y277+Y284</f>
        <v>0</v>
      </c>
      <c r="Z244" s="245">
        <f t="shared" si="161"/>
        <v>0</v>
      </c>
      <c r="AA244" s="245">
        <f t="shared" si="161"/>
        <v>0</v>
      </c>
      <c r="AB244" s="245">
        <f t="shared" si="161"/>
        <v>5184000</v>
      </c>
      <c r="AC244" s="245">
        <f t="shared" si="161"/>
        <v>77989000</v>
      </c>
      <c r="AD244" s="245">
        <f t="shared" si="161"/>
        <v>253144000</v>
      </c>
      <c r="AE244" s="245">
        <f t="shared" si="161"/>
        <v>20632800</v>
      </c>
      <c r="AF244" s="245">
        <f t="shared" si="161"/>
        <v>365749800</v>
      </c>
      <c r="AG244" s="245"/>
      <c r="AH244" s="245"/>
      <c r="AI244" s="245"/>
      <c r="AJ244" s="245">
        <f>AJ245+AJ259+AJ269+AJ277+AJ284</f>
        <v>0</v>
      </c>
      <c r="AK244" s="245">
        <f>AK245+AK259+AK269+AK277+AK284</f>
        <v>615000000</v>
      </c>
      <c r="AL244" s="245">
        <f>AL245+AL259+AL269+AL277+AL284</f>
        <v>0</v>
      </c>
      <c r="AM244" s="245">
        <f>AM245+AM259+AM269+AM277+AM284</f>
        <v>615000000</v>
      </c>
      <c r="AN244" s="245">
        <f>AN245+AN259+AN269+AN277+AN284</f>
        <v>0</v>
      </c>
      <c r="AO244" s="245"/>
      <c r="AP244" s="244"/>
      <c r="AQ244" s="245">
        <f t="shared" ref="AQ244:BB244" si="162">AQ245+AQ259+AQ269+AQ277+AQ284</f>
        <v>39799368</v>
      </c>
      <c r="AR244" s="245">
        <f t="shared" si="162"/>
        <v>365749800</v>
      </c>
      <c r="AS244" s="245">
        <f t="shared" si="162"/>
        <v>615000000</v>
      </c>
      <c r="AT244" s="245">
        <f t="shared" si="162"/>
        <v>1020549167.9999999</v>
      </c>
      <c r="AU244" s="245">
        <f t="shared" si="162"/>
        <v>65454366.999999993</v>
      </c>
      <c r="AV244" s="245">
        <f t="shared" si="162"/>
        <v>0</v>
      </c>
      <c r="AW244" s="245">
        <f t="shared" si="162"/>
        <v>0</v>
      </c>
      <c r="AX244" s="245">
        <f t="shared" si="162"/>
        <v>0</v>
      </c>
      <c r="AY244" s="245">
        <f t="shared" si="162"/>
        <v>0</v>
      </c>
      <c r="AZ244" s="245">
        <f t="shared" si="162"/>
        <v>0</v>
      </c>
      <c r="BA244" s="245">
        <f t="shared" si="162"/>
        <v>0</v>
      </c>
      <c r="BB244" s="245">
        <f t="shared" si="162"/>
        <v>-955094801</v>
      </c>
      <c r="BC244" s="170"/>
      <c r="BD244" s="170"/>
      <c r="BE244" s="170"/>
      <c r="BF244" s="170"/>
    </row>
    <row r="245" spans="1:58" ht="51.6" customHeight="1" x14ac:dyDescent="0.2">
      <c r="A245" s="179"/>
      <c r="B245" s="290"/>
      <c r="C245" s="391" t="s">
        <v>318</v>
      </c>
      <c r="D245" s="391"/>
      <c r="E245" s="392"/>
      <c r="F245" s="287"/>
      <c r="G245" s="289"/>
      <c r="H245" s="368" t="s">
        <v>319</v>
      </c>
      <c r="I245" s="270"/>
      <c r="J245" s="271"/>
      <c r="K245" s="271"/>
      <c r="L245" s="261">
        <f>L250+L254+L258</f>
        <v>3074400</v>
      </c>
      <c r="M245" s="261">
        <f>M250+M254+M258</f>
        <v>513424.8</v>
      </c>
      <c r="N245" s="271"/>
      <c r="O245" s="271"/>
      <c r="P245" s="271"/>
      <c r="Q245" s="271"/>
      <c r="R245" s="261">
        <f>R250+R254+R258</f>
        <v>2000000</v>
      </c>
      <c r="S245" s="261">
        <f>S250+S254+S258</f>
        <v>1500000</v>
      </c>
      <c r="T245" s="261">
        <f>T250+T254+T258</f>
        <v>0</v>
      </c>
      <c r="U245" s="261">
        <f>U250+U254+U258</f>
        <v>2000000</v>
      </c>
      <c r="V245" s="271"/>
      <c r="W245" s="271"/>
      <c r="X245" s="271"/>
      <c r="Y245" s="261">
        <f>Y250+Y254+Y258</f>
        <v>0</v>
      </c>
      <c r="Z245" s="261">
        <f>Z250+Z254+Z258</f>
        <v>0</v>
      </c>
      <c r="AA245" s="271"/>
      <c r="AB245" s="261">
        <f>AB250+AB254+AB258</f>
        <v>2337000</v>
      </c>
      <c r="AC245" s="261">
        <f>AC250+AC254+AC258</f>
        <v>51854000</v>
      </c>
      <c r="AD245" s="261">
        <f>AD250+AD254+AD258</f>
        <v>0</v>
      </c>
      <c r="AE245" s="261">
        <f>AE250+AE254+AE258</f>
        <v>1361400</v>
      </c>
      <c r="AF245" s="261">
        <f>AF250+AF254+AF258</f>
        <v>61052400</v>
      </c>
      <c r="AG245" s="271"/>
      <c r="AH245" s="271"/>
      <c r="AI245" s="271"/>
      <c r="AJ245" s="261">
        <f>AJ250+AJ254+AJ258</f>
        <v>0</v>
      </c>
      <c r="AK245" s="261">
        <f>AK250+AK254+AK258</f>
        <v>430500000</v>
      </c>
      <c r="AL245" s="261">
        <f>AL250+AL254+AL258</f>
        <v>0</v>
      </c>
      <c r="AM245" s="261">
        <f>AM250+AM254+AM258</f>
        <v>430500000</v>
      </c>
      <c r="AN245" s="261">
        <f>AN250+AN254+AN258</f>
        <v>0</v>
      </c>
      <c r="AO245" s="272"/>
      <c r="AP245" s="260"/>
      <c r="AQ245" s="261">
        <f t="shared" ref="AQ245:BB245" si="163">AQ250+AQ254+AQ258</f>
        <v>3587824.8</v>
      </c>
      <c r="AR245" s="261">
        <f t="shared" si="163"/>
        <v>61052400</v>
      </c>
      <c r="AS245" s="261">
        <f t="shared" si="163"/>
        <v>430500000</v>
      </c>
      <c r="AT245" s="261">
        <f t="shared" si="163"/>
        <v>495140224.79999995</v>
      </c>
      <c r="AU245" s="261">
        <f t="shared" si="163"/>
        <v>3587824.8</v>
      </c>
      <c r="AV245" s="261">
        <f t="shared" si="163"/>
        <v>0</v>
      </c>
      <c r="AW245" s="261">
        <f t="shared" si="163"/>
        <v>0</v>
      </c>
      <c r="AX245" s="261">
        <f t="shared" si="163"/>
        <v>0</v>
      </c>
      <c r="AY245" s="261">
        <f t="shared" si="163"/>
        <v>0</v>
      </c>
      <c r="AZ245" s="261">
        <f t="shared" si="163"/>
        <v>0</v>
      </c>
      <c r="BA245" s="261">
        <f t="shared" si="163"/>
        <v>0</v>
      </c>
      <c r="BB245" s="261">
        <f t="shared" si="163"/>
        <v>-491552400</v>
      </c>
      <c r="BC245" s="184"/>
      <c r="BD245" s="184"/>
      <c r="BE245" s="184"/>
      <c r="BF245" s="184"/>
    </row>
    <row r="246" spans="1:58" ht="51.6" customHeight="1" x14ac:dyDescent="0.25">
      <c r="A246" s="172"/>
      <c r="B246" s="200"/>
      <c r="C246" s="201"/>
      <c r="D246" s="346"/>
      <c r="E246" s="355"/>
      <c r="F246" s="355"/>
      <c r="G246" s="356"/>
      <c r="H246" s="199" t="s">
        <v>320</v>
      </c>
      <c r="I246" s="178" t="s">
        <v>3</v>
      </c>
      <c r="J246" s="174">
        <v>3</v>
      </c>
      <c r="K246" s="174">
        <v>6</v>
      </c>
      <c r="L246" s="125">
        <f>IF(I246&lt;&gt;0,((VLOOKUP(I246,'1. Standard_Cost'!$B$4:$D$11,2)+VLOOKUP(I246,'1. Standard_Cost'!$B$4:$D$11,3))*J246*K246),"0")</f>
        <v>1814400</v>
      </c>
      <c r="M246" s="125">
        <f>L246*'1. Standard_Cost'!$F$4</f>
        <v>303004.79999999999</v>
      </c>
      <c r="N246" s="174"/>
      <c r="O246" s="174"/>
      <c r="P246" s="174"/>
      <c r="Q246" s="174"/>
      <c r="R246" s="127">
        <f>'1. Standard_Cost'!$B$15*N246*P246</f>
        <v>0</v>
      </c>
      <c r="S246" s="127">
        <f>N246*O246*P246*'1. Standard_Cost'!$C$15</f>
        <v>0</v>
      </c>
      <c r="T246" s="127">
        <f>N246*P246*Q246*'1. Standard_Cost'!$D$15</f>
        <v>0</v>
      </c>
      <c r="U246" s="127">
        <f>N246*O246*'1. Standard_Cost'!$E$15</f>
        <v>0</v>
      </c>
      <c r="V246" s="174"/>
      <c r="W246" s="174"/>
      <c r="X246" s="174"/>
      <c r="Y246" s="127">
        <f>+V246*((X246*'1. Standard_Cost'!$B$19)+(W246*X246*'1. Standard_Cost'!$C$19))</f>
        <v>0</v>
      </c>
      <c r="Z246" s="174"/>
      <c r="AA246" s="174"/>
      <c r="AB246" s="127">
        <f>+Z246*'1. Standard_Cost'!$B$23+AA246*'1. Standard_Cost'!$C$23</f>
        <v>0</v>
      </c>
      <c r="AC246" s="176"/>
      <c r="AD246" s="177"/>
      <c r="AE246" s="127">
        <f>SUM(AD246,AC246,AB246,Y246,U246,T246,S246,R246)*'1. Standard_Cost'!$B$31</f>
        <v>0</v>
      </c>
      <c r="AF246" s="127">
        <f>SUM(AE246,AD246,AC246,AB246,Y246,U246,T246,S246,R246)</f>
        <v>0</v>
      </c>
      <c r="AG246" s="174"/>
      <c r="AH246" s="174"/>
      <c r="AI246" s="174"/>
      <c r="AJ246" s="178"/>
      <c r="AK246" s="178">
        <v>123000000</v>
      </c>
      <c r="AL246" s="178"/>
      <c r="AM246" s="127">
        <f>AG246*'1. Standard_Cost'!$B$27+'Incremental_Cost Year 5'!AH246*'1. Standard_Cost'!$C$27+'Incremental_Cost Year 5'!AI246*'1. Standard_Cost'!$D$27+'Incremental_Cost Year 5'!AJ246+'Incremental_Cost Year 5'!AL246+AK246</f>
        <v>123000000</v>
      </c>
      <c r="AN246" s="127"/>
      <c r="AO246" s="178"/>
      <c r="AP246" s="256"/>
      <c r="AQ246" s="171">
        <f>L246+M246</f>
        <v>2117404.7999999998</v>
      </c>
      <c r="AR246" s="171">
        <f>AF246</f>
        <v>0</v>
      </c>
      <c r="AS246" s="171">
        <f>AM246+AN246</f>
        <v>123000000</v>
      </c>
      <c r="AT246" s="171">
        <f>SUM(AQ246,AR246,AS246)</f>
        <v>125117404.8</v>
      </c>
      <c r="AU246" s="250">
        <f>AQ246</f>
        <v>2117404.7999999998</v>
      </c>
      <c r="AV246" s="250"/>
      <c r="AW246" s="250"/>
      <c r="AX246" s="250"/>
      <c r="AY246" s="250"/>
      <c r="AZ246" s="250"/>
      <c r="BA246" s="250"/>
      <c r="BB246" s="251">
        <f t="shared" ref="BB246:BB249" si="164">SUM(AU246:BA246)-AT246</f>
        <v>-123000000</v>
      </c>
      <c r="BC246" s="169"/>
      <c r="BD246" s="169"/>
      <c r="BE246" s="169"/>
      <c r="BF246" s="169"/>
    </row>
    <row r="247" spans="1:58" ht="51.6" customHeight="1" x14ac:dyDescent="0.25">
      <c r="A247" s="172"/>
      <c r="B247" s="200"/>
      <c r="C247" s="201"/>
      <c r="D247" s="203"/>
      <c r="E247" s="358"/>
      <c r="F247" s="358"/>
      <c r="G247" s="359"/>
      <c r="H247" s="199" t="s">
        <v>321</v>
      </c>
      <c r="I247" s="178" t="s">
        <v>3</v>
      </c>
      <c r="J247" s="174">
        <v>0.5</v>
      </c>
      <c r="K247" s="174">
        <v>1</v>
      </c>
      <c r="L247" s="125">
        <f>IF(I247&lt;&gt;0,((VLOOKUP(I247,'1. Standard_Cost'!$B$4:$D$11,2)+VLOOKUP(I247,'1. Standard_Cost'!$B$4:$D$11,3))*J247*K247),"0")</f>
        <v>50400</v>
      </c>
      <c r="M247" s="125">
        <f>L247*'1. Standard_Cost'!$F$4</f>
        <v>8416.8000000000011</v>
      </c>
      <c r="N247" s="174"/>
      <c r="O247" s="174"/>
      <c r="P247" s="174"/>
      <c r="Q247" s="174"/>
      <c r="R247" s="127">
        <f>'1. Standard_Cost'!$B$15*N247*P247</f>
        <v>0</v>
      </c>
      <c r="S247" s="127">
        <f>N247*O247*P247*'1. Standard_Cost'!$C$15</f>
        <v>0</v>
      </c>
      <c r="T247" s="127">
        <f>N247*P247*Q247*'1. Standard_Cost'!$D$15</f>
        <v>0</v>
      </c>
      <c r="U247" s="127">
        <f>N247*O247*'1. Standard_Cost'!$E$15</f>
        <v>0</v>
      </c>
      <c r="V247" s="174"/>
      <c r="W247" s="174"/>
      <c r="X247" s="174"/>
      <c r="Y247" s="127">
        <f>+V247*((X247*'1. Standard_Cost'!$B$19)+(W247*X247*'1. Standard_Cost'!$C$19))</f>
        <v>0</v>
      </c>
      <c r="Z247" s="174"/>
      <c r="AA247" s="174"/>
      <c r="AB247" s="127">
        <f>+Z247*'1. Standard_Cost'!$B$23+AA247*'1. Standard_Cost'!$C$23</f>
        <v>0</v>
      </c>
      <c r="AC247" s="176">
        <v>1500000</v>
      </c>
      <c r="AD247" s="177"/>
      <c r="AE247" s="127"/>
      <c r="AF247" s="127">
        <f>SUM(AE247,AD247,AC247,AB247,Y247,U247,T247,S247,R247)</f>
        <v>1500000</v>
      </c>
      <c r="AG247" s="174"/>
      <c r="AH247" s="174"/>
      <c r="AI247" s="174"/>
      <c r="AJ247" s="178"/>
      <c r="AK247" s="178"/>
      <c r="AL247" s="178"/>
      <c r="AM247" s="127">
        <f>AG247*'1. Standard_Cost'!$B$27+'Incremental_Cost Year 5'!AH247*'1. Standard_Cost'!$C$27+'Incremental_Cost Year 5'!AI247*'1. Standard_Cost'!$D$27+'Incremental_Cost Year 5'!AJ247+'Incremental_Cost Year 5'!AL247+AK247</f>
        <v>0</v>
      </c>
      <c r="AN247" s="127">
        <f>AM247*'1. Standard_Cost'!$C$31</f>
        <v>0</v>
      </c>
      <c r="AO247" s="178"/>
      <c r="AP247" s="256"/>
      <c r="AQ247" s="171">
        <f>L247+M247</f>
        <v>58816.800000000003</v>
      </c>
      <c r="AR247" s="171">
        <f>AF247</f>
        <v>1500000</v>
      </c>
      <c r="AS247" s="171">
        <f>AM247+AN247</f>
        <v>0</v>
      </c>
      <c r="AT247" s="171">
        <f>SUM(AQ247,AR247,AS247)</f>
        <v>1558816.8</v>
      </c>
      <c r="AU247" s="250">
        <f>AQ247</f>
        <v>58816.800000000003</v>
      </c>
      <c r="AV247" s="250"/>
      <c r="AW247" s="250"/>
      <c r="AX247" s="250"/>
      <c r="AY247" s="250"/>
      <c r="AZ247" s="250"/>
      <c r="BA247" s="250"/>
      <c r="BB247" s="251">
        <f t="shared" si="164"/>
        <v>-1500000</v>
      </c>
      <c r="BC247" s="169"/>
      <c r="BD247" s="169"/>
      <c r="BE247" s="169"/>
      <c r="BF247" s="169"/>
    </row>
    <row r="248" spans="1:58" ht="51.6" customHeight="1" x14ac:dyDescent="0.25">
      <c r="A248" s="172"/>
      <c r="B248" s="200"/>
      <c r="C248" s="201"/>
      <c r="D248" s="203"/>
      <c r="E248" s="358"/>
      <c r="F248" s="358"/>
      <c r="G248" s="359"/>
      <c r="H248" s="213" t="s">
        <v>322</v>
      </c>
      <c r="I248" s="178" t="s">
        <v>3</v>
      </c>
      <c r="J248" s="174">
        <v>0.5</v>
      </c>
      <c r="K248" s="174">
        <v>2</v>
      </c>
      <c r="L248" s="125">
        <f>IF(I248&lt;&gt;0,((VLOOKUP(I248,'1. Standard_Cost'!$B$4:$D$11,2)+VLOOKUP(I248,'1. Standard_Cost'!$B$4:$D$11,3))*J248*K248),"0")</f>
        <v>100800</v>
      </c>
      <c r="M248" s="125">
        <f>L248*'1. Standard_Cost'!$F$4</f>
        <v>16833.600000000002</v>
      </c>
      <c r="N248" s="174"/>
      <c r="O248" s="174"/>
      <c r="P248" s="174"/>
      <c r="Q248" s="174"/>
      <c r="R248" s="127">
        <f>'1. Standard_Cost'!$B$15*N248*P248</f>
        <v>0</v>
      </c>
      <c r="S248" s="127">
        <f>N248*O248*P248*'1. Standard_Cost'!$C$15</f>
        <v>0</v>
      </c>
      <c r="T248" s="127">
        <f>N248*P248*Q248*'1. Standard_Cost'!$D$15</f>
        <v>0</v>
      </c>
      <c r="U248" s="127">
        <f>N248*O248*'1. Standard_Cost'!$E$15</f>
        <v>0</v>
      </c>
      <c r="V248" s="174"/>
      <c r="W248" s="174"/>
      <c r="X248" s="174"/>
      <c r="Y248" s="127">
        <f>+V248*((X248*'1. Standard_Cost'!$B$19)+(W248*X248*'1. Standard_Cost'!$C$19))</f>
        <v>0</v>
      </c>
      <c r="Z248" s="174"/>
      <c r="AA248" s="174">
        <v>10</v>
      </c>
      <c r="AB248" s="127">
        <f>+Z248*'1. Standard_Cost'!$B$23+AA248*'1. Standard_Cost'!$C$23</f>
        <v>190000</v>
      </c>
      <c r="AC248" s="176">
        <f>1000000*50</f>
        <v>50000000</v>
      </c>
      <c r="AD248" s="177"/>
      <c r="AE248" s="127"/>
      <c r="AF248" s="127">
        <f>SUM(AE248,AD248,AC248,AB248,Y248,U248,T248,S248,R248)</f>
        <v>50190000</v>
      </c>
      <c r="AG248" s="174"/>
      <c r="AH248" s="174"/>
      <c r="AI248" s="174"/>
      <c r="AJ248" s="178"/>
      <c r="AK248" s="178"/>
      <c r="AL248" s="178"/>
      <c r="AM248" s="127">
        <f>AG248*'1. Standard_Cost'!$B$27+'Incremental_Cost Year 5'!AH248*'1. Standard_Cost'!$C$27+'Incremental_Cost Year 5'!AI248*'1. Standard_Cost'!$D$27+'Incremental_Cost Year 5'!AJ248+'Incremental_Cost Year 5'!AL248+AK248</f>
        <v>0</v>
      </c>
      <c r="AN248" s="127">
        <f>AM248*'1. Standard_Cost'!$C$31</f>
        <v>0</v>
      </c>
      <c r="AO248" s="178"/>
      <c r="AP248" s="256"/>
      <c r="AQ248" s="171">
        <f>L248+M248</f>
        <v>117633.60000000001</v>
      </c>
      <c r="AR248" s="171">
        <f>AF248</f>
        <v>50190000</v>
      </c>
      <c r="AS248" s="171">
        <f>AM248+AN248</f>
        <v>0</v>
      </c>
      <c r="AT248" s="171">
        <f>SUM(AQ248,AR248,AS248)</f>
        <v>50307633.600000001</v>
      </c>
      <c r="AU248" s="250">
        <f>AQ248</f>
        <v>117633.60000000001</v>
      </c>
      <c r="AV248" s="250"/>
      <c r="AW248" s="250"/>
      <c r="AX248" s="250"/>
      <c r="AY248" s="250"/>
      <c r="AZ248" s="250"/>
      <c r="BA248" s="250"/>
      <c r="BB248" s="251">
        <f t="shared" si="164"/>
        <v>-50190000</v>
      </c>
      <c r="BC248" s="169"/>
      <c r="BD248" s="169"/>
      <c r="BE248" s="169"/>
      <c r="BF248" s="169"/>
    </row>
    <row r="249" spans="1:58" ht="51.6" customHeight="1" x14ac:dyDescent="0.25">
      <c r="A249" s="172"/>
      <c r="B249" s="200"/>
      <c r="C249" s="201"/>
      <c r="D249" s="133"/>
      <c r="E249" s="361"/>
      <c r="F249" s="361"/>
      <c r="G249" s="362"/>
      <c r="H249" s="199" t="s">
        <v>323</v>
      </c>
      <c r="I249" s="178"/>
      <c r="J249" s="174"/>
      <c r="K249" s="174"/>
      <c r="L249" s="125" t="str">
        <f>IF(I249&lt;&gt;0,((VLOOKUP(I249,'1. Standard_Cost'!$B$4:$D$11,2)+VLOOKUP(I249,'1. Standard_Cost'!$B$4:$D$11,3))*J249*K249),"0")</f>
        <v>0</v>
      </c>
      <c r="M249" s="125">
        <f>L249*'1. Standard_Cost'!$F$4</f>
        <v>0</v>
      </c>
      <c r="N249" s="174"/>
      <c r="O249" s="174"/>
      <c r="P249" s="174"/>
      <c r="Q249" s="174"/>
      <c r="R249" s="127">
        <f>'1. Standard_Cost'!$B$15*N249*P249</f>
        <v>0</v>
      </c>
      <c r="S249" s="127">
        <f>N249*O249*P249*'1. Standard_Cost'!$C$15</f>
        <v>0</v>
      </c>
      <c r="T249" s="127">
        <f>N249*P249*Q249*'1. Standard_Cost'!$D$15</f>
        <v>0</v>
      </c>
      <c r="U249" s="127">
        <f>N249*O249*'1. Standard_Cost'!$E$15</f>
        <v>0</v>
      </c>
      <c r="V249" s="174"/>
      <c r="W249" s="174"/>
      <c r="X249" s="174"/>
      <c r="Y249" s="127">
        <f>+V249*((X249*'1. Standard_Cost'!$B$19)+(W249*X249*'1. Standard_Cost'!$C$19))</f>
        <v>0</v>
      </c>
      <c r="Z249" s="174"/>
      <c r="AA249" s="174"/>
      <c r="AB249" s="127">
        <f>+Z249*'1. Standard_Cost'!$B$23+AA249*'1. Standard_Cost'!$C$23</f>
        <v>0</v>
      </c>
      <c r="AC249" s="176"/>
      <c r="AD249" s="177"/>
      <c r="AE249" s="127">
        <f>SUM(AD249,AC249,AB249,Y249,U249,T249,S249,R249)*'1. Standard_Cost'!$B$31</f>
        <v>0</v>
      </c>
      <c r="AF249" s="127">
        <f>SUM(AE249,AD249,AC249,AB249,Y249,U249,T249,S249,R249)</f>
        <v>0</v>
      </c>
      <c r="AG249" s="174"/>
      <c r="AH249" s="174"/>
      <c r="AI249" s="174"/>
      <c r="AJ249" s="178"/>
      <c r="AK249" s="178"/>
      <c r="AL249" s="178"/>
      <c r="AM249" s="127">
        <f>AG249*'1. Standard_Cost'!$B$27+'Incremental_Cost Year 5'!AH249*'1. Standard_Cost'!$C$27+'Incremental_Cost Year 5'!AI249*'1. Standard_Cost'!$D$27+'Incremental_Cost Year 5'!AJ249+'Incremental_Cost Year 5'!AL249+AK249</f>
        <v>0</v>
      </c>
      <c r="AN249" s="127">
        <f>AM249*'1. Standard_Cost'!$C$31</f>
        <v>0</v>
      </c>
      <c r="AO249" s="178"/>
      <c r="AP249" s="256"/>
      <c r="AQ249" s="171">
        <f>L249+M249</f>
        <v>0</v>
      </c>
      <c r="AR249" s="171">
        <f>AF249</f>
        <v>0</v>
      </c>
      <c r="AS249" s="171">
        <f>AM249+AN249</f>
        <v>0</v>
      </c>
      <c r="AT249" s="171">
        <f>SUM(AQ249,AR249,AS249)</f>
        <v>0</v>
      </c>
      <c r="AU249" s="250"/>
      <c r="AV249" s="250"/>
      <c r="AW249" s="250"/>
      <c r="AX249" s="250"/>
      <c r="AY249" s="250"/>
      <c r="AZ249" s="250"/>
      <c r="BA249" s="250"/>
      <c r="BB249" s="251">
        <f t="shared" si="164"/>
        <v>0</v>
      </c>
      <c r="BC249" s="169"/>
      <c r="BD249" s="169"/>
      <c r="BE249" s="169"/>
      <c r="BF249" s="169"/>
    </row>
    <row r="250" spans="1:58" ht="51.6" customHeight="1" x14ac:dyDescent="0.25">
      <c r="A250" s="172"/>
      <c r="B250" s="363"/>
      <c r="C250" s="364"/>
      <c r="D250" s="365" t="s">
        <v>559</v>
      </c>
      <c r="E250" s="365" t="s">
        <v>324</v>
      </c>
      <c r="F250" s="366">
        <v>2025</v>
      </c>
      <c r="G250" s="209">
        <v>2030</v>
      </c>
      <c r="H250" s="180" t="s">
        <v>325</v>
      </c>
      <c r="I250" s="273"/>
      <c r="J250" s="273"/>
      <c r="K250" s="273"/>
      <c r="L250" s="175">
        <f>SUM(L246:L249)</f>
        <v>1965600</v>
      </c>
      <c r="M250" s="175">
        <f>SUM(M246:M249)</f>
        <v>328255.19999999995</v>
      </c>
      <c r="N250" s="273"/>
      <c r="O250" s="273"/>
      <c r="P250" s="273"/>
      <c r="Q250" s="273"/>
      <c r="R250" s="175">
        <f>SUM(R246:R249)</f>
        <v>0</v>
      </c>
      <c r="S250" s="175">
        <f>SUM(S246:S249)</f>
        <v>0</v>
      </c>
      <c r="T250" s="175">
        <f>SUM(T246:T249)</f>
        <v>0</v>
      </c>
      <c r="U250" s="175">
        <f>SUM(U246:U249)</f>
        <v>0</v>
      </c>
      <c r="V250" s="273"/>
      <c r="W250" s="273"/>
      <c r="X250" s="273"/>
      <c r="Y250" s="175">
        <f>SUM(Y246:Y249)</f>
        <v>0</v>
      </c>
      <c r="Z250" s="273"/>
      <c r="AA250" s="273"/>
      <c r="AB250" s="175">
        <f>SUM(AB246:AB249)</f>
        <v>190000</v>
      </c>
      <c r="AC250" s="175">
        <f>SUM(AC246:AC249)</f>
        <v>51500000</v>
      </c>
      <c r="AD250" s="175">
        <f>SUM(AD246:AD249)</f>
        <v>0</v>
      </c>
      <c r="AE250" s="175">
        <f>SUM(AE246:AE249)</f>
        <v>0</v>
      </c>
      <c r="AF250" s="175">
        <f>SUM(AF246:AF249)</f>
        <v>51690000</v>
      </c>
      <c r="AG250" s="273"/>
      <c r="AH250" s="273"/>
      <c r="AI250" s="273"/>
      <c r="AJ250" s="175">
        <f>SUM(AJ246:AJ249)</f>
        <v>0</v>
      </c>
      <c r="AK250" s="175">
        <f>SUM(AK246:AK249)</f>
        <v>123000000</v>
      </c>
      <c r="AL250" s="175">
        <f>SUM(AL246:AL249)</f>
        <v>0</v>
      </c>
      <c r="AM250" s="175">
        <f>SUM(AM246:AM249)</f>
        <v>123000000</v>
      </c>
      <c r="AN250" s="175">
        <f>SUM(AN246:AN249)</f>
        <v>0</v>
      </c>
      <c r="AO250" s="274"/>
      <c r="AP250" s="254"/>
      <c r="AQ250" s="175">
        <f t="shared" ref="AQ250:AT250" si="165">SUM(AQ246:AQ249)</f>
        <v>2293855.1999999997</v>
      </c>
      <c r="AR250" s="175">
        <f t="shared" si="165"/>
        <v>51690000</v>
      </c>
      <c r="AS250" s="175">
        <f t="shared" si="165"/>
        <v>123000000</v>
      </c>
      <c r="AT250" s="175">
        <f t="shared" si="165"/>
        <v>176983855.19999999</v>
      </c>
      <c r="AU250" s="175">
        <f t="shared" ref="AU250:BB250" si="166">SUM(AU246:AU249)</f>
        <v>2293855.1999999997</v>
      </c>
      <c r="AV250" s="175">
        <f t="shared" si="166"/>
        <v>0</v>
      </c>
      <c r="AW250" s="175">
        <f t="shared" si="166"/>
        <v>0</v>
      </c>
      <c r="AX250" s="175">
        <f t="shared" si="166"/>
        <v>0</v>
      </c>
      <c r="AY250" s="175">
        <f t="shared" si="166"/>
        <v>0</v>
      </c>
      <c r="AZ250" s="175">
        <f t="shared" si="166"/>
        <v>0</v>
      </c>
      <c r="BA250" s="175">
        <f t="shared" si="166"/>
        <v>0</v>
      </c>
      <c r="BB250" s="175">
        <f t="shared" si="166"/>
        <v>-174690000</v>
      </c>
      <c r="BC250" s="169"/>
      <c r="BD250" s="169"/>
      <c r="BE250" s="169"/>
      <c r="BF250" s="169"/>
    </row>
    <row r="251" spans="1:58" ht="51.6" customHeight="1" x14ac:dyDescent="0.25">
      <c r="A251" s="172"/>
      <c r="B251" s="200"/>
      <c r="C251" s="201"/>
      <c r="D251" s="202"/>
      <c r="E251" s="354"/>
      <c r="F251" s="355"/>
      <c r="G251" s="356"/>
      <c r="H251" s="213" t="s">
        <v>361</v>
      </c>
      <c r="I251" s="178"/>
      <c r="J251" s="174"/>
      <c r="K251" s="174"/>
      <c r="L251" s="125" t="str">
        <f>IF(I251&lt;&gt;0,((VLOOKUP(I251,'1. Standard_Cost'!$B$4:$D$11,2)+VLOOKUP(I251,'1. Standard_Cost'!$B$4:$D$11,3))*J251*K251),"0")</f>
        <v>0</v>
      </c>
      <c r="M251" s="125">
        <f>L251*'1. Standard_Cost'!$F$4</f>
        <v>0</v>
      </c>
      <c r="N251" s="174"/>
      <c r="O251" s="174"/>
      <c r="P251" s="174"/>
      <c r="Q251" s="174"/>
      <c r="R251" s="127">
        <f>'1. Standard_Cost'!$B$15*N251*P251</f>
        <v>0</v>
      </c>
      <c r="S251" s="127">
        <f>N251*O251*P251*'1. Standard_Cost'!$C$15</f>
        <v>0</v>
      </c>
      <c r="T251" s="127">
        <f>N251*P251*Q251*'1. Standard_Cost'!$D$15</f>
        <v>0</v>
      </c>
      <c r="U251" s="127">
        <f>N251*O251*'1. Standard_Cost'!$E$15</f>
        <v>0</v>
      </c>
      <c r="V251" s="174"/>
      <c r="W251" s="174"/>
      <c r="X251" s="174"/>
      <c r="Y251" s="127">
        <f>+V251*((X251*'1. Standard_Cost'!$B$19)+(W251*X251*'1. Standard_Cost'!$C$19))</f>
        <v>0</v>
      </c>
      <c r="Z251" s="174"/>
      <c r="AA251" s="174"/>
      <c r="AB251" s="127">
        <f>+Z251*'1. Standard_Cost'!$B$23+AA251*'1. Standard_Cost'!$C$23</f>
        <v>0</v>
      </c>
      <c r="AC251" s="176"/>
      <c r="AD251" s="177"/>
      <c r="AE251" s="127">
        <f>SUM(AD251,AC251,AB251,Y251,U251,T251,S251,R251)*'1. Standard_Cost'!$B$31</f>
        <v>0</v>
      </c>
      <c r="AF251" s="127">
        <f>SUM(AE251,AD251,AC251,AB251,Y251,U251,T251,S251,R251)</f>
        <v>0</v>
      </c>
      <c r="AG251" s="174"/>
      <c r="AH251" s="174"/>
      <c r="AI251" s="174"/>
      <c r="AJ251" s="178"/>
      <c r="AK251" s="178"/>
      <c r="AL251" s="178"/>
      <c r="AM251" s="127">
        <f>AG251*'1. Standard_Cost'!$B$27+'Incremental_Cost Year 5'!AH251*'1. Standard_Cost'!$C$27+'Incremental_Cost Year 5'!AI251*'1. Standard_Cost'!$D$27+'Incremental_Cost Year 5'!AJ251+'Incremental_Cost Year 5'!AL251+AK251</f>
        <v>0</v>
      </c>
      <c r="AN251" s="127">
        <f>AM251*'1. Standard_Cost'!$C$31</f>
        <v>0</v>
      </c>
      <c r="AO251" s="178"/>
      <c r="AP251" s="256"/>
      <c r="AQ251" s="171">
        <f>L251+M251</f>
        <v>0</v>
      </c>
      <c r="AR251" s="171">
        <f>AF251</f>
        <v>0</v>
      </c>
      <c r="AS251" s="171">
        <f>AM251+AN251</f>
        <v>0</v>
      </c>
      <c r="AT251" s="171">
        <f>SUM(AQ251,AR251,AS251)</f>
        <v>0</v>
      </c>
      <c r="AU251" s="250"/>
      <c r="AV251" s="250"/>
      <c r="AW251" s="250">
        <f>AT251</f>
        <v>0</v>
      </c>
      <c r="AX251" s="250"/>
      <c r="AY251" s="250"/>
      <c r="AZ251" s="250"/>
      <c r="BA251" s="250"/>
      <c r="BB251" s="251">
        <f t="shared" ref="BB251:BB253" si="167">SUM(AU251:BA251)-AT251</f>
        <v>0</v>
      </c>
      <c r="BC251" s="169"/>
      <c r="BD251" s="169"/>
      <c r="BE251" s="169"/>
      <c r="BF251" s="169"/>
    </row>
    <row r="252" spans="1:58" ht="51.6" customHeight="1" x14ac:dyDescent="0.25">
      <c r="A252" s="172"/>
      <c r="B252" s="200"/>
      <c r="C252" s="201"/>
      <c r="D252" s="202"/>
      <c r="E252" s="357"/>
      <c r="F252" s="358"/>
      <c r="G252" s="359"/>
      <c r="H252" s="199" t="s">
        <v>326</v>
      </c>
      <c r="I252" s="178"/>
      <c r="J252" s="174"/>
      <c r="K252" s="174"/>
      <c r="L252" s="125" t="str">
        <f>IF(I252&lt;&gt;0,((VLOOKUP(I252,'1. Standard_Cost'!$B$4:$D$11,2)+VLOOKUP(I252,'1. Standard_Cost'!$B$4:$D$11,3))*J252*K252),"0")</f>
        <v>0</v>
      </c>
      <c r="M252" s="125">
        <f>L252*'1. Standard_Cost'!$F$4</f>
        <v>0</v>
      </c>
      <c r="N252" s="174"/>
      <c r="O252" s="174"/>
      <c r="P252" s="174"/>
      <c r="Q252" s="174"/>
      <c r="R252" s="127">
        <f>'1. Standard_Cost'!$B$15*N252*P252</f>
        <v>0</v>
      </c>
      <c r="S252" s="127">
        <f>N252*O252*P252*'1. Standard_Cost'!$C$15</f>
        <v>0</v>
      </c>
      <c r="T252" s="127">
        <f>N252*P252*Q252*'1. Standard_Cost'!$D$15</f>
        <v>0</v>
      </c>
      <c r="U252" s="127">
        <f>N252*O252*'1. Standard_Cost'!$E$15</f>
        <v>0</v>
      </c>
      <c r="V252" s="174"/>
      <c r="W252" s="174"/>
      <c r="X252" s="174"/>
      <c r="Y252" s="127">
        <f>+V252*((X252*'1. Standard_Cost'!$B$19)+(W252*X252*'1. Standard_Cost'!$C$19))</f>
        <v>0</v>
      </c>
      <c r="Z252" s="174"/>
      <c r="AA252" s="174">
        <v>60</v>
      </c>
      <c r="AB252" s="127">
        <f>+Z252*'1. Standard_Cost'!$B$23+AA252*'1. Standard_Cost'!$C$23</f>
        <v>1140000</v>
      </c>
      <c r="AC252" s="176">
        <f>180*300</f>
        <v>54000</v>
      </c>
      <c r="AD252" s="177"/>
      <c r="AE252" s="127"/>
      <c r="AF252" s="127">
        <f>SUM(AE252,AD252,AC252,AB252,Y252,U252,T252,S252,R252)</f>
        <v>1194000</v>
      </c>
      <c r="AG252" s="174"/>
      <c r="AH252" s="174"/>
      <c r="AI252" s="174"/>
      <c r="AJ252" s="178"/>
      <c r="AK252" s="178"/>
      <c r="AL252" s="178"/>
      <c r="AM252" s="127">
        <f>AG252*'1. Standard_Cost'!$B$27+'Incremental_Cost Year 5'!AH252*'1. Standard_Cost'!$C$27+'Incremental_Cost Year 5'!AI252*'1. Standard_Cost'!$D$27+'Incremental_Cost Year 5'!AJ252+'Incremental_Cost Year 5'!AL252+AK252</f>
        <v>0</v>
      </c>
      <c r="AN252" s="127">
        <f>AM252*'1. Standard_Cost'!$C$31</f>
        <v>0</v>
      </c>
      <c r="AO252" s="178"/>
      <c r="AP252" s="256"/>
      <c r="AQ252" s="171">
        <f>L252+M252</f>
        <v>0</v>
      </c>
      <c r="AR252" s="171">
        <f>AF252</f>
        <v>1194000</v>
      </c>
      <c r="AS252" s="171">
        <f>AM252+AN252</f>
        <v>0</v>
      </c>
      <c r="AT252" s="171">
        <f>SUM(AQ252,AR252,AS252)</f>
        <v>1194000</v>
      </c>
      <c r="AU252" s="250"/>
      <c r="AV252" s="250"/>
      <c r="AW252" s="250"/>
      <c r="AX252" s="250"/>
      <c r="AY252" s="250"/>
      <c r="AZ252" s="250"/>
      <c r="BA252" s="250"/>
      <c r="BB252" s="251">
        <f t="shared" si="167"/>
        <v>-1194000</v>
      </c>
      <c r="BC252" s="169"/>
      <c r="BD252" s="169"/>
      <c r="BE252" s="169"/>
      <c r="BF252" s="169"/>
    </row>
    <row r="253" spans="1:58" ht="51.6" customHeight="1" x14ac:dyDescent="0.25">
      <c r="A253" s="172"/>
      <c r="B253" s="200"/>
      <c r="C253" s="201"/>
      <c r="D253" s="202"/>
      <c r="E253" s="360"/>
      <c r="F253" s="361"/>
      <c r="G253" s="362"/>
      <c r="H253" s="199" t="s">
        <v>327</v>
      </c>
      <c r="I253" s="178" t="s">
        <v>3</v>
      </c>
      <c r="J253" s="174">
        <v>3</v>
      </c>
      <c r="K253" s="174">
        <v>3</v>
      </c>
      <c r="L253" s="125">
        <f>IF(I253&lt;&gt;0,((VLOOKUP(I253,'1. Standard_Cost'!$B$4:$D$11,2)+VLOOKUP(I253,'1. Standard_Cost'!$B$4:$D$11,3))*J253*K253),"0")</f>
        <v>907200</v>
      </c>
      <c r="M253" s="125">
        <f>L253*'1. Standard_Cost'!$F$4</f>
        <v>151502.39999999999</v>
      </c>
      <c r="N253" s="174">
        <v>50</v>
      </c>
      <c r="O253" s="174">
        <v>1</v>
      </c>
      <c r="P253" s="174">
        <v>20</v>
      </c>
      <c r="Q253" s="174"/>
      <c r="R253" s="127">
        <f>'1. Standard_Cost'!$B$15*N253*P253</f>
        <v>2000000</v>
      </c>
      <c r="S253" s="127">
        <f>N253*O253*P253*'1. Standard_Cost'!$C$15</f>
        <v>1500000</v>
      </c>
      <c r="T253" s="127">
        <f>N253*P253*Q253*'1. Standard_Cost'!$D$15</f>
        <v>0</v>
      </c>
      <c r="U253" s="127">
        <f>N253*O253*'1. Standard_Cost'!$E$15</f>
        <v>2000000</v>
      </c>
      <c r="V253" s="174"/>
      <c r="W253" s="174"/>
      <c r="X253" s="174"/>
      <c r="Y253" s="127">
        <f>+V253*((X253*'1. Standard_Cost'!$B$19)+(W253*X253*'1. Standard_Cost'!$C$19))</f>
        <v>0</v>
      </c>
      <c r="Z253" s="174"/>
      <c r="AA253" s="174">
        <v>53</v>
      </c>
      <c r="AB253" s="127">
        <f>+Z253*'1. Standard_Cost'!$B$23+AA253*'1. Standard_Cost'!$C$23</f>
        <v>1007000</v>
      </c>
      <c r="AC253" s="176">
        <f>1000*300</f>
        <v>300000</v>
      </c>
      <c r="AD253" s="177"/>
      <c r="AE253" s="127">
        <f>SUM(AD253,AC253,AB253,Y253,U253,T253,S253,R253)*'1. Standard_Cost'!$B$31</f>
        <v>1361400</v>
      </c>
      <c r="AF253" s="127">
        <f>SUM(AE253,AD253,AC253,AB253,Y253,U253,T253,S253,R253)</f>
        <v>8168400</v>
      </c>
      <c r="AG253" s="174"/>
      <c r="AH253" s="174"/>
      <c r="AI253" s="174"/>
      <c r="AJ253" s="178"/>
      <c r="AK253" s="178"/>
      <c r="AL253" s="178"/>
      <c r="AM253" s="127">
        <f>AG253*'1. Standard_Cost'!$B$27+'Incremental_Cost Year 5'!AH253*'1. Standard_Cost'!$C$27+'Incremental_Cost Year 5'!AI253*'1. Standard_Cost'!$D$27+'Incremental_Cost Year 5'!AJ253+'Incremental_Cost Year 5'!AL253+AK253</f>
        <v>0</v>
      </c>
      <c r="AN253" s="127">
        <f>AM253*'1. Standard_Cost'!$C$31</f>
        <v>0</v>
      </c>
      <c r="AO253" s="178"/>
      <c r="AP253" s="256"/>
      <c r="AQ253" s="171">
        <f>L253+M253</f>
        <v>1058702.3999999999</v>
      </c>
      <c r="AR253" s="171">
        <f>AF253</f>
        <v>8168400</v>
      </c>
      <c r="AS253" s="171">
        <f>AM253+AN253</f>
        <v>0</v>
      </c>
      <c r="AT253" s="171">
        <f>SUM(AQ253,AR253,AS253)</f>
        <v>9227102.4000000004</v>
      </c>
      <c r="AU253" s="250">
        <f>AQ253</f>
        <v>1058702.3999999999</v>
      </c>
      <c r="AV253" s="250"/>
      <c r="AW253" s="250"/>
      <c r="AX253" s="250"/>
      <c r="AY253" s="250"/>
      <c r="AZ253" s="250"/>
      <c r="BA253" s="250"/>
      <c r="BB253" s="251">
        <f t="shared" si="167"/>
        <v>-8168400</v>
      </c>
      <c r="BC253" s="169"/>
      <c r="BD253" s="169"/>
      <c r="BE253" s="169"/>
      <c r="BF253" s="169"/>
    </row>
    <row r="254" spans="1:58" ht="51.6" customHeight="1" x14ac:dyDescent="0.2">
      <c r="A254" s="172"/>
      <c r="B254" s="168"/>
      <c r="C254" s="204"/>
      <c r="D254" s="195" t="s">
        <v>558</v>
      </c>
      <c r="E254" s="205" t="s">
        <v>328</v>
      </c>
      <c r="F254" s="206">
        <v>2021</v>
      </c>
      <c r="G254" s="209">
        <v>2030</v>
      </c>
      <c r="H254" s="180" t="s">
        <v>329</v>
      </c>
      <c r="I254" s="273"/>
      <c r="J254" s="273"/>
      <c r="K254" s="273"/>
      <c r="L254" s="175">
        <f>SUM(L251:L253)</f>
        <v>907200</v>
      </c>
      <c r="M254" s="175">
        <f>SUM(M251:M253)</f>
        <v>151502.39999999999</v>
      </c>
      <c r="N254" s="273"/>
      <c r="O254" s="273"/>
      <c r="P254" s="273"/>
      <c r="Q254" s="273"/>
      <c r="R254" s="175">
        <f>SUM(R251:R253)</f>
        <v>2000000</v>
      </c>
      <c r="S254" s="175">
        <f>SUM(S251:S253)</f>
        <v>1500000</v>
      </c>
      <c r="T254" s="175">
        <f>SUM(T251:T253)</f>
        <v>0</v>
      </c>
      <c r="U254" s="175">
        <f>SUM(U251:U253)</f>
        <v>2000000</v>
      </c>
      <c r="V254" s="273"/>
      <c r="W254" s="273"/>
      <c r="X254" s="273"/>
      <c r="Y254" s="175">
        <f>SUM(Y251:Y253)</f>
        <v>0</v>
      </c>
      <c r="Z254" s="273"/>
      <c r="AA254" s="273"/>
      <c r="AB254" s="175">
        <f>SUM(AB251:AB253)</f>
        <v>2147000</v>
      </c>
      <c r="AC254" s="175">
        <f>SUM(AC251:AC253)</f>
        <v>354000</v>
      </c>
      <c r="AD254" s="175">
        <f>SUM(AD251:AD253)</f>
        <v>0</v>
      </c>
      <c r="AE254" s="175">
        <f>SUM(AE251:AE253)</f>
        <v>1361400</v>
      </c>
      <c r="AF254" s="175">
        <f>SUM(AF251:AF253)</f>
        <v>9362400</v>
      </c>
      <c r="AG254" s="273"/>
      <c r="AH254" s="273"/>
      <c r="AI254" s="273"/>
      <c r="AJ254" s="175">
        <f>SUM(AJ251:AJ253)</f>
        <v>0</v>
      </c>
      <c r="AK254" s="175">
        <f>SUM(AK251:AK253)</f>
        <v>0</v>
      </c>
      <c r="AL254" s="175">
        <f>SUM(AL251:AL253)</f>
        <v>0</v>
      </c>
      <c r="AM254" s="175">
        <f>SUM(AM251:AM253)</f>
        <v>0</v>
      </c>
      <c r="AN254" s="175">
        <f>SUM(AN251:AN253)</f>
        <v>0</v>
      </c>
      <c r="AO254" s="274"/>
      <c r="AP254" s="254"/>
      <c r="AQ254" s="175">
        <f t="shared" ref="AQ254:AT254" si="168">SUM(AQ251:AQ253)</f>
        <v>1058702.3999999999</v>
      </c>
      <c r="AR254" s="175">
        <f t="shared" si="168"/>
        <v>9362400</v>
      </c>
      <c r="AS254" s="175">
        <f t="shared" si="168"/>
        <v>0</v>
      </c>
      <c r="AT254" s="175">
        <f t="shared" si="168"/>
        <v>10421102.4</v>
      </c>
      <c r="AU254" s="175">
        <f t="shared" ref="AU254:BB254" si="169">SUM(AU251:AU253)</f>
        <v>1058702.3999999999</v>
      </c>
      <c r="AV254" s="175">
        <f t="shared" si="169"/>
        <v>0</v>
      </c>
      <c r="AW254" s="175">
        <f t="shared" si="169"/>
        <v>0</v>
      </c>
      <c r="AX254" s="175">
        <f t="shared" si="169"/>
        <v>0</v>
      </c>
      <c r="AY254" s="175">
        <f t="shared" si="169"/>
        <v>0</v>
      </c>
      <c r="AZ254" s="175">
        <f t="shared" si="169"/>
        <v>0</v>
      </c>
      <c r="BA254" s="175">
        <f t="shared" si="169"/>
        <v>0</v>
      </c>
      <c r="BB254" s="175">
        <f t="shared" si="169"/>
        <v>-9362400</v>
      </c>
      <c r="BC254" s="169"/>
      <c r="BD254" s="169"/>
      <c r="BE254" s="169"/>
      <c r="BF254" s="169"/>
    </row>
    <row r="255" spans="1:58" ht="51.6" customHeight="1" x14ac:dyDescent="0.25">
      <c r="A255" s="172"/>
      <c r="B255" s="200"/>
      <c r="C255" s="201"/>
      <c r="D255" s="202"/>
      <c r="E255" s="354"/>
      <c r="F255" s="355"/>
      <c r="G255" s="356"/>
      <c r="H255" s="213" t="s">
        <v>330</v>
      </c>
      <c r="I255" s="178" t="s">
        <v>3</v>
      </c>
      <c r="J255" s="174">
        <v>1</v>
      </c>
      <c r="K255" s="174">
        <v>2</v>
      </c>
      <c r="L255" s="125">
        <f>IF(I255&lt;&gt;0,((VLOOKUP(I255,'1. Standard_Cost'!$B$4:$D$11,2)+VLOOKUP(I255,'1. Standard_Cost'!$B$4:$D$11,3))*J255*K255),"0")</f>
        <v>201600</v>
      </c>
      <c r="M255" s="125">
        <f>L255*'1. Standard_Cost'!$F$4</f>
        <v>33667.200000000004</v>
      </c>
      <c r="N255" s="174"/>
      <c r="O255" s="174"/>
      <c r="P255" s="174"/>
      <c r="Q255" s="174"/>
      <c r="R255" s="127">
        <f>'1. Standard_Cost'!$B$15*N255*P255</f>
        <v>0</v>
      </c>
      <c r="S255" s="127">
        <f>N255*O255*P255*'1. Standard_Cost'!$C$15</f>
        <v>0</v>
      </c>
      <c r="T255" s="127">
        <f>N255*P255*Q255*'1. Standard_Cost'!$D$15</f>
        <v>0</v>
      </c>
      <c r="U255" s="127">
        <f>N255*O255*'1. Standard_Cost'!$E$15</f>
        <v>0</v>
      </c>
      <c r="V255" s="174"/>
      <c r="W255" s="174"/>
      <c r="X255" s="174"/>
      <c r="Y255" s="127">
        <f>+V255*((X255*'1. Standard_Cost'!$B$19)+(W255*X255*'1. Standard_Cost'!$C$19))</f>
        <v>0</v>
      </c>
      <c r="Z255" s="174"/>
      <c r="AA255" s="174"/>
      <c r="AB255" s="127">
        <f>+Z255*'1. Standard_Cost'!$B$23+AA255*'1. Standard_Cost'!$C$23</f>
        <v>0</v>
      </c>
      <c r="AC255" s="176"/>
      <c r="AD255" s="177"/>
      <c r="AE255" s="127">
        <f>SUM(AD255,AC255,AB255,Y255,U255,T255,S255,R255)*'1. Standard_Cost'!$B$31</f>
        <v>0</v>
      </c>
      <c r="AF255" s="127">
        <f>SUM(AE255,AD255,AC255,AB255,Y255,U255,T255,S255,R255)</f>
        <v>0</v>
      </c>
      <c r="AG255" s="174"/>
      <c r="AH255" s="174"/>
      <c r="AI255" s="174"/>
      <c r="AJ255" s="178"/>
      <c r="AK255" s="178">
        <v>123000000</v>
      </c>
      <c r="AL255" s="178"/>
      <c r="AM255" s="127">
        <f>AG255*'1. Standard_Cost'!$B$27+'Incremental_Cost Year 5'!AH255*'1. Standard_Cost'!$C$27+'Incremental_Cost Year 5'!AI255*'1. Standard_Cost'!$D$27+'Incremental_Cost Year 5'!AJ255+'Incremental_Cost Year 5'!AL255+AK255</f>
        <v>123000000</v>
      </c>
      <c r="AN255" s="127"/>
      <c r="AO255" s="178"/>
      <c r="AP255" s="256"/>
      <c r="AQ255" s="171">
        <f>L255+M255</f>
        <v>235267.20000000001</v>
      </c>
      <c r="AR255" s="171">
        <f>AF255</f>
        <v>0</v>
      </c>
      <c r="AS255" s="171">
        <f>AM255+AN255</f>
        <v>123000000</v>
      </c>
      <c r="AT255" s="171">
        <f>SUM(AQ255,AR255,AS255)</f>
        <v>123235267.2</v>
      </c>
      <c r="AU255" s="250">
        <f>AQ255</f>
        <v>235267.20000000001</v>
      </c>
      <c r="AV255" s="250"/>
      <c r="AW255" s="250"/>
      <c r="AX255" s="250"/>
      <c r="AY255" s="250"/>
      <c r="AZ255" s="250"/>
      <c r="BA255" s="250"/>
      <c r="BB255" s="251">
        <f t="shared" ref="BB255:BB257" si="170">SUM(AU255:BA255)-AT255</f>
        <v>-123000000</v>
      </c>
      <c r="BC255" s="169"/>
      <c r="BD255" s="169"/>
      <c r="BE255" s="169"/>
      <c r="BF255" s="169"/>
    </row>
    <row r="256" spans="1:58" ht="51.6" customHeight="1" x14ac:dyDescent="0.25">
      <c r="A256" s="172"/>
      <c r="B256" s="200"/>
      <c r="C256" s="201"/>
      <c r="D256" s="202"/>
      <c r="E256" s="357"/>
      <c r="F256" s="358"/>
      <c r="G256" s="359"/>
      <c r="H256" s="199" t="s">
        <v>331</v>
      </c>
      <c r="I256" s="178"/>
      <c r="J256" s="174"/>
      <c r="K256" s="174"/>
      <c r="L256" s="125" t="str">
        <f>IF(I256&lt;&gt;0,((VLOOKUP(I256,'1. Standard_Cost'!$B$4:$D$11,2)+VLOOKUP(I256,'1. Standard_Cost'!$B$4:$D$11,3))*J256*K256),"0")</f>
        <v>0</v>
      </c>
      <c r="M256" s="125">
        <f>L256*'1. Standard_Cost'!$F$4</f>
        <v>0</v>
      </c>
      <c r="N256" s="174"/>
      <c r="O256" s="174"/>
      <c r="P256" s="174"/>
      <c r="Q256" s="174"/>
      <c r="R256" s="127">
        <f>'1. Standard_Cost'!$B$15*N256*P256</f>
        <v>0</v>
      </c>
      <c r="S256" s="127">
        <f>N256*O256*P256*'1. Standard_Cost'!$C$15</f>
        <v>0</v>
      </c>
      <c r="T256" s="127">
        <f>N256*P256*Q256*'1. Standard_Cost'!$D$15</f>
        <v>0</v>
      </c>
      <c r="U256" s="127">
        <f>N256*O256*'1. Standard_Cost'!$E$15</f>
        <v>0</v>
      </c>
      <c r="V256" s="174"/>
      <c r="W256" s="174"/>
      <c r="X256" s="174"/>
      <c r="Y256" s="127">
        <f>+V256*((X256*'1. Standard_Cost'!$B$19)+(W256*X256*'1. Standard_Cost'!$C$19))</f>
        <v>0</v>
      </c>
      <c r="Z256" s="174"/>
      <c r="AA256" s="174"/>
      <c r="AB256" s="127">
        <f>+Z256*'1. Standard_Cost'!$B$23+AA256*'1. Standard_Cost'!$C$23</f>
        <v>0</v>
      </c>
      <c r="AC256" s="176"/>
      <c r="AD256" s="177"/>
      <c r="AE256" s="127">
        <f>SUM(AD256,AC256,AB256,Y256,U256,T256,S256,R256)*'1. Standard_Cost'!$B$31</f>
        <v>0</v>
      </c>
      <c r="AF256" s="127">
        <f>SUM(AE256,AD256,AC256,AB256,Y256,U256,T256,S256,R256)</f>
        <v>0</v>
      </c>
      <c r="AG256" s="174"/>
      <c r="AH256" s="174"/>
      <c r="AI256" s="174"/>
      <c r="AJ256" s="178"/>
      <c r="AK256" s="178"/>
      <c r="AL256" s="178"/>
      <c r="AM256" s="127">
        <f>AG256*'1. Standard_Cost'!$B$27+'Incremental_Cost Year 5'!AH256*'1. Standard_Cost'!$C$27+'Incremental_Cost Year 5'!AI256*'1. Standard_Cost'!$D$27+'Incremental_Cost Year 5'!AJ256+'Incremental_Cost Year 5'!AL256+AK256</f>
        <v>0</v>
      </c>
      <c r="AN256" s="127">
        <f>AM256*'1. Standard_Cost'!$C$31</f>
        <v>0</v>
      </c>
      <c r="AO256" s="178"/>
      <c r="AP256" s="256"/>
      <c r="AQ256" s="171">
        <f>L256+M256</f>
        <v>0</v>
      </c>
      <c r="AR256" s="171">
        <f>AF256</f>
        <v>0</v>
      </c>
      <c r="AS256" s="171">
        <f>AM256+AN256</f>
        <v>0</v>
      </c>
      <c r="AT256" s="171">
        <f>SUM(AQ256,AR256,AS256)</f>
        <v>0</v>
      </c>
      <c r="AU256" s="250"/>
      <c r="AV256" s="250"/>
      <c r="AW256" s="250"/>
      <c r="AX256" s="250"/>
      <c r="AY256" s="250"/>
      <c r="AZ256" s="250"/>
      <c r="BA256" s="250"/>
      <c r="BB256" s="251">
        <f t="shared" si="170"/>
        <v>0</v>
      </c>
      <c r="BC256" s="169"/>
      <c r="BD256" s="169"/>
      <c r="BE256" s="169"/>
      <c r="BF256" s="169"/>
    </row>
    <row r="257" spans="1:58" ht="51.6" customHeight="1" x14ac:dyDescent="0.25">
      <c r="A257" s="172"/>
      <c r="B257" s="200"/>
      <c r="C257" s="201"/>
      <c r="D257" s="202"/>
      <c r="E257" s="360"/>
      <c r="F257" s="361"/>
      <c r="G257" s="362"/>
      <c r="H257" s="199" t="s">
        <v>332</v>
      </c>
      <c r="I257" s="178"/>
      <c r="J257" s="174"/>
      <c r="K257" s="174"/>
      <c r="L257" s="125" t="str">
        <f>IF(I257&lt;&gt;0,((VLOOKUP(I257,'1. Standard_Cost'!$B$4:$D$11,2)+VLOOKUP(I257,'1. Standard_Cost'!$B$4:$D$11,3))*J257*K257),"0")</f>
        <v>0</v>
      </c>
      <c r="M257" s="125">
        <f>L257*'1. Standard_Cost'!$F$4</f>
        <v>0</v>
      </c>
      <c r="N257" s="174"/>
      <c r="O257" s="174"/>
      <c r="P257" s="174"/>
      <c r="Q257" s="174"/>
      <c r="R257" s="127">
        <f>'1. Standard_Cost'!$B$15*N257*P257</f>
        <v>0</v>
      </c>
      <c r="S257" s="127">
        <f>N257*O257*P257*'1. Standard_Cost'!$C$15</f>
        <v>0</v>
      </c>
      <c r="T257" s="127">
        <f>N257*P257*Q257*'1. Standard_Cost'!$D$15</f>
        <v>0</v>
      </c>
      <c r="U257" s="127">
        <f>N257*O257*'1. Standard_Cost'!$E$15</f>
        <v>0</v>
      </c>
      <c r="V257" s="174"/>
      <c r="W257" s="174"/>
      <c r="X257" s="174"/>
      <c r="Y257" s="127">
        <f>+V257*((X257*'1. Standard_Cost'!$B$19)+(W257*X257*'1. Standard_Cost'!$C$19))</f>
        <v>0</v>
      </c>
      <c r="Z257" s="174"/>
      <c r="AA257" s="174"/>
      <c r="AB257" s="127">
        <f>+Z257*'1. Standard_Cost'!$B$23+AA257*'1. Standard_Cost'!$C$23</f>
        <v>0</v>
      </c>
      <c r="AC257" s="176"/>
      <c r="AD257" s="177"/>
      <c r="AE257" s="127">
        <f>SUM(AD257,AC257,AB257,Y257,U257,T257,S257,R257)*'1. Standard_Cost'!$B$31</f>
        <v>0</v>
      </c>
      <c r="AF257" s="127">
        <f>SUM(AE257,AD257,AC257,AB257,Y257,U257,T257,S257,R257)</f>
        <v>0</v>
      </c>
      <c r="AG257" s="174"/>
      <c r="AH257" s="174"/>
      <c r="AI257" s="174"/>
      <c r="AJ257" s="178"/>
      <c r="AK257" s="178">
        <v>184500000</v>
      </c>
      <c r="AL257" s="178"/>
      <c r="AM257" s="127">
        <f>AG257*'1. Standard_Cost'!$B$27+'Incremental_Cost Year 5'!AH257*'1. Standard_Cost'!$C$27+'Incremental_Cost Year 5'!AI257*'1. Standard_Cost'!$D$27+'Incremental_Cost Year 5'!AJ257+'Incremental_Cost Year 5'!AL257+AK257</f>
        <v>184500000</v>
      </c>
      <c r="AN257" s="127"/>
      <c r="AO257" s="178"/>
      <c r="AP257" s="256"/>
      <c r="AQ257" s="171">
        <f>L257+M257</f>
        <v>0</v>
      </c>
      <c r="AR257" s="171">
        <f>AF257</f>
        <v>0</v>
      </c>
      <c r="AS257" s="171">
        <f>AM257+AN257</f>
        <v>184500000</v>
      </c>
      <c r="AT257" s="171">
        <f>SUM(AQ257,AR257,AS257)</f>
        <v>184500000</v>
      </c>
      <c r="AU257" s="250"/>
      <c r="AV257" s="250"/>
      <c r="AW257" s="250"/>
      <c r="AX257" s="250"/>
      <c r="AY257" s="250"/>
      <c r="AZ257" s="250"/>
      <c r="BA257" s="250"/>
      <c r="BB257" s="251">
        <f t="shared" si="170"/>
        <v>-184500000</v>
      </c>
      <c r="BC257" s="169"/>
      <c r="BD257" s="169"/>
      <c r="BE257" s="169"/>
      <c r="BF257" s="169"/>
    </row>
    <row r="258" spans="1:58" ht="51.6" customHeight="1" x14ac:dyDescent="0.2">
      <c r="A258" s="172"/>
      <c r="B258" s="168"/>
      <c r="C258" s="204"/>
      <c r="D258" s="195" t="s">
        <v>559</v>
      </c>
      <c r="E258" s="205" t="s">
        <v>333</v>
      </c>
      <c r="F258" s="206">
        <v>2025</v>
      </c>
      <c r="G258" s="207">
        <v>2030</v>
      </c>
      <c r="H258" s="180" t="s">
        <v>334</v>
      </c>
      <c r="I258" s="273"/>
      <c r="J258" s="273"/>
      <c r="K258" s="273"/>
      <c r="L258" s="175">
        <f>SUM(L255:L257)</f>
        <v>201600</v>
      </c>
      <c r="M258" s="175">
        <f>SUM(M255:M257)</f>
        <v>33667.200000000004</v>
      </c>
      <c r="N258" s="273"/>
      <c r="O258" s="273"/>
      <c r="P258" s="273"/>
      <c r="Q258" s="273"/>
      <c r="R258" s="175">
        <f>SUM(R255:R257)</f>
        <v>0</v>
      </c>
      <c r="S258" s="175">
        <f>SUM(S255:S257)</f>
        <v>0</v>
      </c>
      <c r="T258" s="175">
        <f>SUM(T255:T257)</f>
        <v>0</v>
      </c>
      <c r="U258" s="175">
        <f>SUM(U255:U257)</f>
        <v>0</v>
      </c>
      <c r="V258" s="273"/>
      <c r="W258" s="273"/>
      <c r="X258" s="273"/>
      <c r="Y258" s="175">
        <f>SUM(Y255:Y257)</f>
        <v>0</v>
      </c>
      <c r="Z258" s="273"/>
      <c r="AA258" s="273"/>
      <c r="AB258" s="175">
        <f>SUM(AB255:AB257)</f>
        <v>0</v>
      </c>
      <c r="AC258" s="175">
        <f>SUM(AC255:AC257)</f>
        <v>0</v>
      </c>
      <c r="AD258" s="175">
        <f>SUM(AD255:AD257)</f>
        <v>0</v>
      </c>
      <c r="AE258" s="175">
        <f>SUM(AE255:AE257)</f>
        <v>0</v>
      </c>
      <c r="AF258" s="175">
        <f>SUM(AF255:AF257)</f>
        <v>0</v>
      </c>
      <c r="AG258" s="273"/>
      <c r="AH258" s="273"/>
      <c r="AI258" s="273"/>
      <c r="AJ258" s="175">
        <f>SUM(AJ255:AJ257)</f>
        <v>0</v>
      </c>
      <c r="AK258" s="175">
        <f>SUM(AK255:AK257)</f>
        <v>307500000</v>
      </c>
      <c r="AL258" s="175">
        <f>SUM(AL255:AL257)</f>
        <v>0</v>
      </c>
      <c r="AM258" s="175">
        <f>SUM(AM255:AM257)</f>
        <v>307500000</v>
      </c>
      <c r="AN258" s="175">
        <f>SUM(AN255:AN257)</f>
        <v>0</v>
      </c>
      <c r="AO258" s="274"/>
      <c r="AP258" s="254"/>
      <c r="AQ258" s="175">
        <f t="shared" ref="AQ258:AT258" si="171">SUM(AQ255:AQ257)</f>
        <v>235267.20000000001</v>
      </c>
      <c r="AR258" s="175">
        <f t="shared" si="171"/>
        <v>0</v>
      </c>
      <c r="AS258" s="175">
        <f t="shared" si="171"/>
        <v>307500000</v>
      </c>
      <c r="AT258" s="175">
        <f t="shared" si="171"/>
        <v>307735267.19999999</v>
      </c>
      <c r="AU258" s="175">
        <f t="shared" ref="AU258:BB258" si="172">SUM(AU255:AU257)</f>
        <v>235267.20000000001</v>
      </c>
      <c r="AV258" s="175">
        <f t="shared" si="172"/>
        <v>0</v>
      </c>
      <c r="AW258" s="175">
        <f t="shared" si="172"/>
        <v>0</v>
      </c>
      <c r="AX258" s="175">
        <f t="shared" si="172"/>
        <v>0</v>
      </c>
      <c r="AY258" s="175">
        <f t="shared" si="172"/>
        <v>0</v>
      </c>
      <c r="AZ258" s="175">
        <f t="shared" si="172"/>
        <v>0</v>
      </c>
      <c r="BA258" s="175">
        <f t="shared" si="172"/>
        <v>0</v>
      </c>
      <c r="BB258" s="175">
        <f t="shared" si="172"/>
        <v>-307500000</v>
      </c>
      <c r="BC258" s="169"/>
      <c r="BD258" s="169"/>
      <c r="BE258" s="169"/>
      <c r="BF258" s="169"/>
    </row>
    <row r="259" spans="1:58" ht="51.6" customHeight="1" x14ac:dyDescent="0.2">
      <c r="A259" s="179"/>
      <c r="B259" s="290"/>
      <c r="C259" s="391" t="s">
        <v>335</v>
      </c>
      <c r="D259" s="391"/>
      <c r="E259" s="392"/>
      <c r="F259" s="287"/>
      <c r="G259" s="289"/>
      <c r="H259" s="181" t="s">
        <v>336</v>
      </c>
      <c r="I259" s="271"/>
      <c r="J259" s="271"/>
      <c r="K259" s="271"/>
      <c r="L259" s="261">
        <f>L263+L268</f>
        <v>23066400</v>
      </c>
      <c r="M259" s="261">
        <f>M263+M268</f>
        <v>3852088.8000000003</v>
      </c>
      <c r="N259" s="271"/>
      <c r="O259" s="271"/>
      <c r="P259" s="271"/>
      <c r="Q259" s="271"/>
      <c r="R259" s="261">
        <f>R263+R268</f>
        <v>0</v>
      </c>
      <c r="S259" s="261">
        <f>S263+S268</f>
        <v>0</v>
      </c>
      <c r="T259" s="261">
        <f>T263+T268</f>
        <v>0</v>
      </c>
      <c r="U259" s="261">
        <f>U263+U268</f>
        <v>0</v>
      </c>
      <c r="V259" s="261"/>
      <c r="W259" s="271"/>
      <c r="X259" s="271"/>
      <c r="Y259" s="261">
        <f>Y263+Y268</f>
        <v>0</v>
      </c>
      <c r="Z259" s="261"/>
      <c r="AA259" s="261"/>
      <c r="AB259" s="261">
        <f>AB263+AB268</f>
        <v>2220000</v>
      </c>
      <c r="AC259" s="261">
        <f>AC263+AC268</f>
        <v>25955000</v>
      </c>
      <c r="AD259" s="261">
        <f>AD263+AD268</f>
        <v>253144000</v>
      </c>
      <c r="AE259" s="261">
        <f>AE263+AE268</f>
        <v>18450000</v>
      </c>
      <c r="AF259" s="261">
        <f>AF263+AF268</f>
        <v>299769000</v>
      </c>
      <c r="AG259" s="271"/>
      <c r="AH259" s="271"/>
      <c r="AI259" s="271"/>
      <c r="AJ259" s="261">
        <f>AJ263+AJ268</f>
        <v>0</v>
      </c>
      <c r="AK259" s="261">
        <f>AK263+AK268</f>
        <v>184500000</v>
      </c>
      <c r="AL259" s="261">
        <f>AL263+AL268</f>
        <v>0</v>
      </c>
      <c r="AM259" s="261">
        <f>AM263+AM268</f>
        <v>184500000</v>
      </c>
      <c r="AN259" s="261">
        <f>AN263+AN268</f>
        <v>0</v>
      </c>
      <c r="AO259" s="272"/>
      <c r="AP259" s="260"/>
      <c r="AQ259" s="261">
        <f t="shared" ref="AQ259:BB259" si="173">AQ263+AQ268</f>
        <v>26918488.800000001</v>
      </c>
      <c r="AR259" s="261">
        <f t="shared" si="173"/>
        <v>299769000</v>
      </c>
      <c r="AS259" s="261">
        <f t="shared" si="173"/>
        <v>184500000</v>
      </c>
      <c r="AT259" s="261">
        <f t="shared" si="173"/>
        <v>511187488.79999995</v>
      </c>
      <c r="AU259" s="261">
        <f t="shared" si="173"/>
        <v>52573487.799999997</v>
      </c>
      <c r="AV259" s="261">
        <f t="shared" si="173"/>
        <v>0</v>
      </c>
      <c r="AW259" s="261">
        <f t="shared" si="173"/>
        <v>0</v>
      </c>
      <c r="AX259" s="261">
        <f t="shared" si="173"/>
        <v>0</v>
      </c>
      <c r="AY259" s="261">
        <f t="shared" si="173"/>
        <v>0</v>
      </c>
      <c r="AZ259" s="261">
        <f t="shared" si="173"/>
        <v>0</v>
      </c>
      <c r="BA259" s="261">
        <f t="shared" si="173"/>
        <v>0</v>
      </c>
      <c r="BB259" s="261">
        <f t="shared" si="173"/>
        <v>-458614000.99999994</v>
      </c>
      <c r="BC259" s="184"/>
      <c r="BD259" s="184"/>
      <c r="BE259" s="184"/>
      <c r="BF259" s="184"/>
    </row>
    <row r="260" spans="1:58" ht="51.6" customHeight="1" x14ac:dyDescent="0.25">
      <c r="A260" s="172"/>
      <c r="B260" s="354"/>
      <c r="C260" s="356"/>
      <c r="D260" s="342"/>
      <c r="E260" s="328"/>
      <c r="F260" s="328"/>
      <c r="G260" s="328"/>
      <c r="H260" s="199" t="s">
        <v>551</v>
      </c>
      <c r="I260" s="178" t="s">
        <v>3</v>
      </c>
      <c r="J260" s="174">
        <v>1</v>
      </c>
      <c r="K260" s="174">
        <v>2</v>
      </c>
      <c r="L260" s="125">
        <f>IF(I260&lt;&gt;0,((VLOOKUP(I260,'1. Standard_Cost'!$B$4:$D$11,2)+VLOOKUP(I260,'1. Standard_Cost'!$B$4:$D$11,3))*J260*K260),"0")</f>
        <v>201600</v>
      </c>
      <c r="M260" s="125">
        <f>L260*'1. Standard_Cost'!$F$4</f>
        <v>33667.200000000004</v>
      </c>
      <c r="N260" s="174"/>
      <c r="O260" s="174"/>
      <c r="P260" s="174"/>
      <c r="Q260" s="174"/>
      <c r="R260" s="127">
        <f>'1. Standard_Cost'!$B$15*N260*P260</f>
        <v>0</v>
      </c>
      <c r="S260" s="127">
        <f>N260*O260*P260*'1. Standard_Cost'!$C$15</f>
        <v>0</v>
      </c>
      <c r="T260" s="127">
        <f>N260*P260*Q260*'1. Standard_Cost'!$D$15</f>
        <v>0</v>
      </c>
      <c r="U260" s="127">
        <f>N260*O260*'1. Standard_Cost'!$E$15</f>
        <v>0</v>
      </c>
      <c r="V260" s="174"/>
      <c r="W260" s="174"/>
      <c r="X260" s="174"/>
      <c r="Y260" s="127">
        <f>+V260*((X260*'1. Standard_Cost'!$B$19)+(W260*X260*'1. Standard_Cost'!$C$19))</f>
        <v>0</v>
      </c>
      <c r="Z260" s="174"/>
      <c r="AA260" s="174"/>
      <c r="AB260" s="127">
        <f>+Z260*'1. Standard_Cost'!$B$23+AA260*'1. Standard_Cost'!$C$23</f>
        <v>0</v>
      </c>
      <c r="AC260" s="176"/>
      <c r="AD260" s="177">
        <f>25%*538740000</f>
        <v>134685000</v>
      </c>
      <c r="AE260" s="127"/>
      <c r="AF260" s="127">
        <f>SUM(AE260,AD260,AC260,AB260,Y260,U260,T260,S260,R260)</f>
        <v>134685000</v>
      </c>
      <c r="AG260" s="174"/>
      <c r="AH260" s="174"/>
      <c r="AI260" s="174"/>
      <c r="AJ260" s="178"/>
      <c r="AK260" s="178"/>
      <c r="AL260" s="178"/>
      <c r="AM260" s="127">
        <f>AG260*'1. Standard_Cost'!$B$27+'Incremental_Cost Year 5'!AH260*'1. Standard_Cost'!$C$27+'Incremental_Cost Year 5'!AI260*'1. Standard_Cost'!$D$27+'Incremental_Cost Year 5'!AJ260+'Incremental_Cost Year 5'!AL260+AK260</f>
        <v>0</v>
      </c>
      <c r="AN260" s="127">
        <f>AM260*'1. Standard_Cost'!$C$31</f>
        <v>0</v>
      </c>
      <c r="AO260" s="178"/>
      <c r="AP260" s="256"/>
      <c r="AQ260" s="171">
        <f>L260+M260</f>
        <v>235267.20000000001</v>
      </c>
      <c r="AR260" s="171">
        <f>AF260</f>
        <v>134685000</v>
      </c>
      <c r="AS260" s="171">
        <f>AM260+AN260</f>
        <v>0</v>
      </c>
      <c r="AT260" s="171">
        <f>SUM(AQ260,AR260,AS260)</f>
        <v>134920267.19999999</v>
      </c>
      <c r="AU260" s="250">
        <v>235267</v>
      </c>
      <c r="AV260" s="250"/>
      <c r="AW260" s="250"/>
      <c r="AX260" s="250"/>
      <c r="AY260" s="250"/>
      <c r="AZ260" s="250"/>
      <c r="BA260" s="250"/>
      <c r="BB260" s="251">
        <f t="shared" ref="BB260:BB262" si="174">SUM(AU260:BA260)-AT260</f>
        <v>-134685000.19999999</v>
      </c>
      <c r="BC260" s="169"/>
      <c r="BD260" s="169"/>
      <c r="BE260" s="169"/>
      <c r="BF260" s="169"/>
    </row>
    <row r="261" spans="1:58" ht="51.6" customHeight="1" x14ac:dyDescent="0.25">
      <c r="A261" s="172"/>
      <c r="B261" s="357"/>
      <c r="C261" s="359"/>
      <c r="D261" s="343"/>
      <c r="E261" s="328"/>
      <c r="F261" s="328"/>
      <c r="G261" s="328"/>
      <c r="H261" s="199" t="s">
        <v>337</v>
      </c>
      <c r="I261" s="178" t="s">
        <v>3</v>
      </c>
      <c r="J261" s="174">
        <v>1</v>
      </c>
      <c r="K261" s="174">
        <v>2</v>
      </c>
      <c r="L261" s="125">
        <f>IF(I261&lt;&gt;0,((VLOOKUP(I261,'1. Standard_Cost'!$B$4:$D$11,2)+VLOOKUP(I261,'1. Standard_Cost'!$B$4:$D$11,3))*J261*K261),"0")</f>
        <v>201600</v>
      </c>
      <c r="M261" s="125">
        <f>L261*'1. Standard_Cost'!$F$4</f>
        <v>33667.200000000004</v>
      </c>
      <c r="N261" s="174"/>
      <c r="O261" s="174"/>
      <c r="P261" s="174"/>
      <c r="Q261" s="174"/>
      <c r="R261" s="127">
        <f>'1. Standard_Cost'!$B$15*N261*P261</f>
        <v>0</v>
      </c>
      <c r="S261" s="127">
        <f>N261*O261*P261*'1. Standard_Cost'!$C$15</f>
        <v>0</v>
      </c>
      <c r="T261" s="127">
        <f>N261*P261*Q261*'1. Standard_Cost'!$D$15</f>
        <v>0</v>
      </c>
      <c r="U261" s="127">
        <f>N261*O261*'1. Standard_Cost'!$E$15</f>
        <v>0</v>
      </c>
      <c r="V261" s="174"/>
      <c r="W261" s="174"/>
      <c r="X261" s="174"/>
      <c r="Y261" s="127">
        <f>+V261*((X261*'1. Standard_Cost'!$B$19)+(W261*X261*'1. Standard_Cost'!$C$19))</f>
        <v>0</v>
      </c>
      <c r="Z261" s="174"/>
      <c r="AA261" s="174"/>
      <c r="AB261" s="127">
        <f>+Z261*'1. Standard_Cost'!$B$23+AA261*'1. Standard_Cost'!$C$23</f>
        <v>0</v>
      </c>
      <c r="AC261" s="176"/>
      <c r="AD261" s="177">
        <f>51700000*25%</f>
        <v>12925000</v>
      </c>
      <c r="AE261" s="127"/>
      <c r="AF261" s="127">
        <f>SUM(AE261,AD261,AC261,AB261,Y261,U261,T261,S261,R261)</f>
        <v>12925000</v>
      </c>
      <c r="AG261" s="174"/>
      <c r="AH261" s="174"/>
      <c r="AI261" s="174"/>
      <c r="AJ261" s="178"/>
      <c r="AK261" s="178"/>
      <c r="AL261" s="178"/>
      <c r="AM261" s="127">
        <f>AG261*'1. Standard_Cost'!$B$27+'Incremental_Cost Year 5'!AH261*'1. Standard_Cost'!$C$27+'Incremental_Cost Year 5'!AI261*'1. Standard_Cost'!$D$27+'Incremental_Cost Year 5'!AJ261+'Incremental_Cost Year 5'!AL261+AK261</f>
        <v>0</v>
      </c>
      <c r="AN261" s="127">
        <f>AM261*'1. Standard_Cost'!$C$31</f>
        <v>0</v>
      </c>
      <c r="AO261" s="178"/>
      <c r="AP261" s="256"/>
      <c r="AQ261" s="171">
        <f>L261+M261</f>
        <v>235267.20000000001</v>
      </c>
      <c r="AR261" s="171">
        <f>AF261</f>
        <v>12925000</v>
      </c>
      <c r="AS261" s="171">
        <f>AM261+AN261</f>
        <v>0</v>
      </c>
      <c r="AT261" s="171">
        <f>SUM(AQ261,AR261,AS261)</f>
        <v>13160267.199999999</v>
      </c>
      <c r="AU261" s="250">
        <v>235267</v>
      </c>
      <c r="AV261" s="250"/>
      <c r="AW261" s="250"/>
      <c r="AX261" s="250"/>
      <c r="AY261" s="250"/>
      <c r="AZ261" s="250"/>
      <c r="BA261" s="250"/>
      <c r="BB261" s="251">
        <f t="shared" si="174"/>
        <v>-12925000.199999999</v>
      </c>
      <c r="BC261" s="169"/>
      <c r="BD261" s="169"/>
      <c r="BE261" s="169"/>
      <c r="BF261" s="169"/>
    </row>
    <row r="262" spans="1:58" ht="51.6" customHeight="1" x14ac:dyDescent="0.25">
      <c r="A262" s="172"/>
      <c r="B262" s="357"/>
      <c r="C262" s="359"/>
      <c r="D262" s="343"/>
      <c r="E262" s="328"/>
      <c r="F262" s="328"/>
      <c r="G262" s="328"/>
      <c r="H262" s="199" t="s">
        <v>552</v>
      </c>
      <c r="I262" s="178" t="s">
        <v>3</v>
      </c>
      <c r="J262" s="174">
        <v>1</v>
      </c>
      <c r="K262" s="174">
        <v>2</v>
      </c>
      <c r="L262" s="125">
        <f>IF(I262&lt;&gt;0,((VLOOKUP(I262,'1. Standard_Cost'!$B$4:$D$11,2)+VLOOKUP(I262,'1. Standard_Cost'!$B$4:$D$11,3))*J262*K262),"0")</f>
        <v>201600</v>
      </c>
      <c r="M262" s="125">
        <f>L262*'1. Standard_Cost'!$F$4</f>
        <v>33667.200000000004</v>
      </c>
      <c r="N262" s="174"/>
      <c r="O262" s="174"/>
      <c r="P262" s="174"/>
      <c r="Q262" s="174"/>
      <c r="R262" s="127">
        <f>'1. Standard_Cost'!$B$15*N262*P262</f>
        <v>0</v>
      </c>
      <c r="S262" s="127">
        <f>N262*O262*P262*'1. Standard_Cost'!$C$15</f>
        <v>0</v>
      </c>
      <c r="T262" s="127">
        <f>N262*P262*Q262*'1. Standard_Cost'!$D$15</f>
        <v>0</v>
      </c>
      <c r="U262" s="127">
        <f>N262*O262*'1. Standard_Cost'!$E$15</f>
        <v>0</v>
      </c>
      <c r="V262" s="174"/>
      <c r="W262" s="174"/>
      <c r="X262" s="174"/>
      <c r="Y262" s="127">
        <f>+V262*((X262*'1. Standard_Cost'!$B$19)+(W262*X262*'1. Standard_Cost'!$C$19))</f>
        <v>0</v>
      </c>
      <c r="Z262" s="174"/>
      <c r="AA262" s="174"/>
      <c r="AB262" s="127">
        <f>+Z262*'1. Standard_Cost'!$B$23+AA262*'1. Standard_Cost'!$C$23</f>
        <v>0</v>
      </c>
      <c r="AC262" s="176"/>
      <c r="AD262" s="177">
        <f>25%*53136000</f>
        <v>13284000</v>
      </c>
      <c r="AE262" s="127"/>
      <c r="AF262" s="127">
        <f>SUM(AE262,AD262,AC262,AB262,Y262,U262,T262,S262,R262)</f>
        <v>13284000</v>
      </c>
      <c r="AG262" s="174"/>
      <c r="AH262" s="174"/>
      <c r="AI262" s="174"/>
      <c r="AJ262" s="178"/>
      <c r="AK262" s="178"/>
      <c r="AL262" s="178"/>
      <c r="AM262" s="127">
        <f>AG262*'1. Standard_Cost'!$B$27+'Incremental_Cost Year 5'!AH262*'1. Standard_Cost'!$C$27+'Incremental_Cost Year 5'!AI262*'1. Standard_Cost'!$D$27+'Incremental_Cost Year 5'!AJ262+'Incremental_Cost Year 5'!AL262+AK262</f>
        <v>0</v>
      </c>
      <c r="AN262" s="127">
        <f>AM262*'1. Standard_Cost'!$C$31</f>
        <v>0</v>
      </c>
      <c r="AO262" s="178"/>
      <c r="AP262" s="256"/>
      <c r="AQ262" s="171">
        <f>L262+M262</f>
        <v>235267.20000000001</v>
      </c>
      <c r="AR262" s="171">
        <f>AF262</f>
        <v>13284000</v>
      </c>
      <c r="AS262" s="171">
        <f>AM262+AN262</f>
        <v>0</v>
      </c>
      <c r="AT262" s="171">
        <f>SUM(AQ262,AR262,AS262)</f>
        <v>13519267.199999999</v>
      </c>
      <c r="AU262" s="250">
        <v>235267</v>
      </c>
      <c r="AV262" s="250"/>
      <c r="AW262" s="250"/>
      <c r="AX262" s="250"/>
      <c r="AY262" s="250"/>
      <c r="AZ262" s="250"/>
      <c r="BA262" s="250"/>
      <c r="BB262" s="251">
        <f t="shared" si="174"/>
        <v>-13284000.199999999</v>
      </c>
      <c r="BC262" s="169"/>
      <c r="BD262" s="169"/>
      <c r="BE262" s="169"/>
      <c r="BF262" s="169"/>
    </row>
    <row r="263" spans="1:58" ht="51.6" customHeight="1" x14ac:dyDescent="0.25">
      <c r="A263" s="172"/>
      <c r="B263" s="357"/>
      <c r="C263" s="359"/>
      <c r="D263" s="343"/>
      <c r="E263" s="328"/>
      <c r="F263" s="328"/>
      <c r="G263" s="328"/>
      <c r="H263" s="182" t="s">
        <v>338</v>
      </c>
      <c r="I263" s="273"/>
      <c r="J263" s="273"/>
      <c r="K263" s="273"/>
      <c r="L263" s="175">
        <f>SUM(L260:L262)</f>
        <v>604800</v>
      </c>
      <c r="M263" s="175">
        <f>SUM(M260:M262)</f>
        <v>101001.60000000001</v>
      </c>
      <c r="N263" s="273"/>
      <c r="O263" s="273"/>
      <c r="P263" s="273"/>
      <c r="Q263" s="273"/>
      <c r="R263" s="175">
        <f>SUM(R260:R262)</f>
        <v>0</v>
      </c>
      <c r="S263" s="175">
        <f>SUM(S260:S262)</f>
        <v>0</v>
      </c>
      <c r="T263" s="175">
        <f>SUM(T260:T262)</f>
        <v>0</v>
      </c>
      <c r="U263" s="175">
        <f>SUM(U260:U262)</f>
        <v>0</v>
      </c>
      <c r="V263" s="273"/>
      <c r="W263" s="273"/>
      <c r="X263" s="273"/>
      <c r="Y263" s="175">
        <f>SUM(Y260:Y262)</f>
        <v>0</v>
      </c>
      <c r="Z263" s="175"/>
      <c r="AA263" s="273"/>
      <c r="AB263" s="175">
        <f>SUM(AB260:AB262)</f>
        <v>0</v>
      </c>
      <c r="AC263" s="175">
        <f>SUM(AC260:AC262)</f>
        <v>0</v>
      </c>
      <c r="AD263" s="175">
        <f>SUM(AD260:AD262)</f>
        <v>160894000</v>
      </c>
      <c r="AE263" s="175">
        <f>SUM(AE260:AE262)</f>
        <v>0</v>
      </c>
      <c r="AF263" s="175">
        <f>SUM(AF260:AF262)</f>
        <v>160894000</v>
      </c>
      <c r="AG263" s="273"/>
      <c r="AH263" s="273"/>
      <c r="AI263" s="273"/>
      <c r="AJ263" s="175">
        <f>SUM(AJ260:AJ262)</f>
        <v>0</v>
      </c>
      <c r="AK263" s="175">
        <f>SUM(AK260:AK262)</f>
        <v>0</v>
      </c>
      <c r="AL263" s="175">
        <f>SUM(AL260:AL262)</f>
        <v>0</v>
      </c>
      <c r="AM263" s="175">
        <f>SUM(AM260:AM262)</f>
        <v>0</v>
      </c>
      <c r="AN263" s="175">
        <f>SUM(AN260:AN262)</f>
        <v>0</v>
      </c>
      <c r="AO263" s="274"/>
      <c r="AP263" s="254"/>
      <c r="AQ263" s="175">
        <f t="shared" ref="AQ263:AT263" si="175">SUM(AQ260:AQ262)</f>
        <v>705801.60000000009</v>
      </c>
      <c r="AR263" s="175">
        <f t="shared" si="175"/>
        <v>160894000</v>
      </c>
      <c r="AS263" s="175">
        <f t="shared" si="175"/>
        <v>0</v>
      </c>
      <c r="AT263" s="175">
        <f t="shared" si="175"/>
        <v>161599801.59999996</v>
      </c>
      <c r="AU263" s="175">
        <f t="shared" ref="AU263:BB263" si="176">SUM(AU260:AU262)</f>
        <v>705801</v>
      </c>
      <c r="AV263" s="175">
        <f t="shared" si="176"/>
        <v>0</v>
      </c>
      <c r="AW263" s="175">
        <f t="shared" si="176"/>
        <v>0</v>
      </c>
      <c r="AX263" s="175">
        <f t="shared" si="176"/>
        <v>0</v>
      </c>
      <c r="AY263" s="175">
        <f t="shared" si="176"/>
        <v>0</v>
      </c>
      <c r="AZ263" s="175">
        <f t="shared" si="176"/>
        <v>0</v>
      </c>
      <c r="BA263" s="175">
        <f t="shared" si="176"/>
        <v>0</v>
      </c>
      <c r="BB263" s="175">
        <f t="shared" si="176"/>
        <v>-160894000.59999996</v>
      </c>
      <c r="BC263" s="169"/>
      <c r="BD263" s="169"/>
      <c r="BE263" s="169"/>
      <c r="BF263" s="169"/>
    </row>
    <row r="264" spans="1:58" ht="51.6" customHeight="1" x14ac:dyDescent="0.25">
      <c r="A264" s="172"/>
      <c r="B264" s="357"/>
      <c r="C264" s="359"/>
      <c r="D264" s="343"/>
      <c r="E264" s="328"/>
      <c r="F264" s="328"/>
      <c r="G264" s="328"/>
      <c r="H264" s="199" t="s">
        <v>553</v>
      </c>
      <c r="I264" s="178" t="s">
        <v>3</v>
      </c>
      <c r="J264" s="174">
        <v>2</v>
      </c>
      <c r="K264" s="174">
        <v>2</v>
      </c>
      <c r="L264" s="125">
        <f>IF(I264&lt;&gt;0,((VLOOKUP(I264,'1. Standard_Cost'!$B$4:$D$11,2)+VLOOKUP(I264,'1. Standard_Cost'!$B$4:$D$11,3))*J264*K264),"0")</f>
        <v>403200</v>
      </c>
      <c r="M264" s="125">
        <f>L264*'1. Standard_Cost'!$F$4</f>
        <v>67334.400000000009</v>
      </c>
      <c r="N264" s="174"/>
      <c r="O264" s="174"/>
      <c r="P264" s="174"/>
      <c r="Q264" s="174"/>
      <c r="R264" s="127">
        <f>'1. Standard_Cost'!$B$15*N264*P264</f>
        <v>0</v>
      </c>
      <c r="S264" s="127">
        <f>N264*O264*P264*'1. Standard_Cost'!$C$15</f>
        <v>0</v>
      </c>
      <c r="T264" s="127">
        <f>N264*P264*Q264*'1. Standard_Cost'!$D$15</f>
        <v>0</v>
      </c>
      <c r="U264" s="127">
        <f>N264*O264*'1. Standard_Cost'!$E$15</f>
        <v>0</v>
      </c>
      <c r="V264" s="174"/>
      <c r="W264" s="174"/>
      <c r="X264" s="174"/>
      <c r="Y264" s="127">
        <f>+V264*((X264*'1. Standard_Cost'!$B$19)+(W264*X264*'1. Standard_Cost'!$C$19))</f>
        <v>0</v>
      </c>
      <c r="Z264" s="174"/>
      <c r="AA264" s="174"/>
      <c r="AB264" s="127">
        <f>+Z264*'1. Standard_Cost'!$B$23+AA264*'1. Standard_Cost'!$C$23</f>
        <v>0</v>
      </c>
      <c r="AC264" s="176"/>
      <c r="AD264" s="177">
        <f>369000000*25%</f>
        <v>92250000</v>
      </c>
      <c r="AE264" s="127">
        <f>SUM(AD264,AC264,AB264,Y264,U264,T264,S264,R264)*'1. Standard_Cost'!$B$31</f>
        <v>18450000</v>
      </c>
      <c r="AF264" s="127">
        <f>SUM(AE264,AD264,AC264,AB264,Y264,U264,T264,S264,R264)</f>
        <v>110700000</v>
      </c>
      <c r="AG264" s="174"/>
      <c r="AH264" s="174"/>
      <c r="AI264" s="174"/>
      <c r="AJ264" s="178"/>
      <c r="AK264" s="178"/>
      <c r="AL264" s="178"/>
      <c r="AM264" s="127">
        <f>AG264*'1. Standard_Cost'!$B$27+'Incremental_Cost Year 5'!AH264*'1. Standard_Cost'!$C$27+'Incremental_Cost Year 5'!AI264*'1. Standard_Cost'!$D$27+'Incremental_Cost Year 5'!AJ264+'Incremental_Cost Year 5'!AL264+AK264</f>
        <v>0</v>
      </c>
      <c r="AN264" s="127">
        <f>AM264*'1. Standard_Cost'!$C$31</f>
        <v>0</v>
      </c>
      <c r="AO264" s="178"/>
      <c r="AP264" s="256"/>
      <c r="AQ264" s="171">
        <f>L264+M264</f>
        <v>470534.40000000002</v>
      </c>
      <c r="AR264" s="171">
        <f>AF264</f>
        <v>110700000</v>
      </c>
      <c r="AS264" s="171">
        <f>AM264+AN264</f>
        <v>0</v>
      </c>
      <c r="AT264" s="171">
        <f>SUM(AQ264,AR264,AS264)</f>
        <v>111170534.40000001</v>
      </c>
      <c r="AU264" s="250">
        <v>470534</v>
      </c>
      <c r="AV264" s="250"/>
      <c r="AW264" s="250"/>
      <c r="AX264" s="250"/>
      <c r="AY264" s="250"/>
      <c r="AZ264" s="250"/>
      <c r="BA264" s="250"/>
      <c r="BB264" s="251">
        <f t="shared" ref="BB264:BB267" si="177">SUM(AU264:BA264)-AT264</f>
        <v>-110700000.40000001</v>
      </c>
      <c r="BC264" s="169"/>
      <c r="BD264" s="169"/>
      <c r="BE264" s="169"/>
      <c r="BF264" s="169"/>
    </row>
    <row r="265" spans="1:58" ht="51.6" customHeight="1" x14ac:dyDescent="0.25">
      <c r="A265" s="172"/>
      <c r="B265" s="357"/>
      <c r="C265" s="359"/>
      <c r="D265" s="343"/>
      <c r="E265" s="328"/>
      <c r="F265" s="328"/>
      <c r="G265" s="328"/>
      <c r="H265" s="199" t="s">
        <v>339</v>
      </c>
      <c r="I265" s="178"/>
      <c r="J265" s="174"/>
      <c r="K265" s="174"/>
      <c r="L265" s="125" t="str">
        <f>IF(I265&lt;&gt;0,((VLOOKUP(I265,'1. Standard_Cost'!$B$4:$D$11,2)+VLOOKUP(I265,'1. Standard_Cost'!$B$4:$D$11,3))*J265*K265),"0")</f>
        <v>0</v>
      </c>
      <c r="M265" s="125">
        <f>L265*'1. Standard_Cost'!$F$4</f>
        <v>0</v>
      </c>
      <c r="N265" s="174"/>
      <c r="O265" s="174"/>
      <c r="P265" s="174"/>
      <c r="Q265" s="174"/>
      <c r="R265" s="127">
        <f>'1. Standard_Cost'!$B$15*N265*P265</f>
        <v>0</v>
      </c>
      <c r="S265" s="127">
        <f>N265*O265*P265*'1. Standard_Cost'!$C$15</f>
        <v>0</v>
      </c>
      <c r="T265" s="127">
        <f>N265*P265*Q265*'1. Standard_Cost'!$D$15</f>
        <v>0</v>
      </c>
      <c r="U265" s="127">
        <f>N265*O265*'1. Standard_Cost'!$E$15</f>
        <v>0</v>
      </c>
      <c r="V265" s="174"/>
      <c r="W265" s="174"/>
      <c r="X265" s="174"/>
      <c r="Y265" s="127">
        <f>+V265*((X265*'1. Standard_Cost'!$B$19)+(W265*X265*'1. Standard_Cost'!$C$19))</f>
        <v>0</v>
      </c>
      <c r="Z265" s="174">
        <v>30</v>
      </c>
      <c r="AA265" s="174"/>
      <c r="AB265" s="127">
        <f>+Z265*'1. Standard_Cost'!$B$23+AA265*'1. Standard_Cost'!$C$23</f>
        <v>2220000</v>
      </c>
      <c r="AC265" s="176">
        <v>300000</v>
      </c>
      <c r="AD265" s="177"/>
      <c r="AE265" s="127"/>
      <c r="AF265" s="127">
        <f>SUM(AE265,AD265,AC265,AB265,Y265,U265,T265,S265,R265)</f>
        <v>2520000</v>
      </c>
      <c r="AG265" s="174"/>
      <c r="AH265" s="174"/>
      <c r="AI265" s="174"/>
      <c r="AJ265" s="178"/>
      <c r="AK265" s="178"/>
      <c r="AL265" s="178"/>
      <c r="AM265" s="127">
        <f>AG265*'1. Standard_Cost'!$B$27+'Incremental_Cost Year 5'!AH265*'1. Standard_Cost'!$C$27+'Incremental_Cost Year 5'!AI265*'1. Standard_Cost'!$D$27+'Incremental_Cost Year 5'!AJ265+'Incremental_Cost Year 5'!AL265+AK265</f>
        <v>0</v>
      </c>
      <c r="AN265" s="127">
        <f>AM265*'1. Standard_Cost'!$C$31</f>
        <v>0</v>
      </c>
      <c r="AO265" s="178"/>
      <c r="AP265" s="256"/>
      <c r="AQ265" s="171">
        <f>L265+M265</f>
        <v>0</v>
      </c>
      <c r="AR265" s="171">
        <f>AF265</f>
        <v>2520000</v>
      </c>
      <c r="AS265" s="171">
        <f>AM265+AN265</f>
        <v>0</v>
      </c>
      <c r="AT265" s="171">
        <f>SUM(AQ265,AR265,AS265)</f>
        <v>2520000</v>
      </c>
      <c r="AU265" s="250"/>
      <c r="AV265" s="250"/>
      <c r="AW265" s="250"/>
      <c r="AX265" s="250"/>
      <c r="AY265" s="250"/>
      <c r="AZ265" s="250"/>
      <c r="BA265" s="250"/>
      <c r="BB265" s="251">
        <f t="shared" si="177"/>
        <v>-2520000</v>
      </c>
      <c r="BC265" s="169"/>
      <c r="BD265" s="169"/>
      <c r="BE265" s="169"/>
      <c r="BF265" s="169"/>
    </row>
    <row r="266" spans="1:58" ht="51.6" customHeight="1" x14ac:dyDescent="0.25">
      <c r="A266" s="172"/>
      <c r="B266" s="357"/>
      <c r="C266" s="359"/>
      <c r="D266" s="343"/>
      <c r="E266" s="328"/>
      <c r="F266" s="328"/>
      <c r="G266" s="328"/>
      <c r="H266" s="199" t="s">
        <v>362</v>
      </c>
      <c r="I266" s="178" t="s">
        <v>5</v>
      </c>
      <c r="J266" s="174">
        <v>12</v>
      </c>
      <c r="K266" s="174">
        <v>26</v>
      </c>
      <c r="L266" s="125">
        <f>IF(I266&lt;&gt;0,((VLOOKUP(I266,'1. Standard_Cost'!$B$4:$D$11,2)+VLOOKUP(I266,'1. Standard_Cost'!$B$4:$D$11,3))*J266*K266),"0")</f>
        <v>22058400</v>
      </c>
      <c r="M266" s="125">
        <f>L266*'1. Standard_Cost'!$F$4</f>
        <v>3683752.8000000003</v>
      </c>
      <c r="N266" s="174"/>
      <c r="O266" s="174"/>
      <c r="P266" s="174"/>
      <c r="Q266" s="174"/>
      <c r="R266" s="127">
        <f>'1. Standard_Cost'!$B$15*N266*P266</f>
        <v>0</v>
      </c>
      <c r="S266" s="127">
        <f>N266*O266*P266*'1. Standard_Cost'!$C$15</f>
        <v>0</v>
      </c>
      <c r="T266" s="127">
        <f>N266*P266*Q266*'1. Standard_Cost'!$D$15</f>
        <v>0</v>
      </c>
      <c r="U266" s="127">
        <f>N266*O266*'1. Standard_Cost'!$E$15</f>
        <v>0</v>
      </c>
      <c r="V266" s="174"/>
      <c r="W266" s="174"/>
      <c r="X266" s="174"/>
      <c r="Y266" s="127">
        <f>+V266*((X266*'1. Standard_Cost'!$B$19)+(W266*X266*'1. Standard_Cost'!$C$19))</f>
        <v>0</v>
      </c>
      <c r="Z266" s="174"/>
      <c r="AA266" s="174"/>
      <c r="AB266" s="127">
        <f>+Z266*'1. Standard_Cost'!$B$23+AA266*'1. Standard_Cost'!$C$23</f>
        <v>0</v>
      </c>
      <c r="AC266" s="176">
        <v>25655000</v>
      </c>
      <c r="AD266" s="177"/>
      <c r="AE266" s="127"/>
      <c r="AF266" s="127">
        <f>SUM(AE266,AD266,AC266,AB266,Y266,U266,T266,S266,R266)</f>
        <v>25655000</v>
      </c>
      <c r="AG266" s="174"/>
      <c r="AH266" s="174"/>
      <c r="AI266" s="174"/>
      <c r="AJ266" s="178"/>
      <c r="AK266" s="178"/>
      <c r="AL266" s="178"/>
      <c r="AM266" s="127">
        <f>AG266*'1. Standard_Cost'!$B$27+'Incremental_Cost Year 5'!AH266*'1. Standard_Cost'!$C$27+'Incremental_Cost Year 5'!AI266*'1. Standard_Cost'!$D$27+'Incremental_Cost Year 5'!AJ266+'Incremental_Cost Year 5'!AL266+AK266</f>
        <v>0</v>
      </c>
      <c r="AN266" s="127">
        <f>AM266*'1. Standard_Cost'!$C$31</f>
        <v>0</v>
      </c>
      <c r="AO266" s="178"/>
      <c r="AP266" s="256"/>
      <c r="AQ266" s="171">
        <f>L266+M266</f>
        <v>25742152.800000001</v>
      </c>
      <c r="AR266" s="171">
        <f>AF266</f>
        <v>25655000</v>
      </c>
      <c r="AS266" s="171">
        <f>AM266+AN266</f>
        <v>0</v>
      </c>
      <c r="AT266" s="171">
        <f>SUM(AQ266,AR266,AS266)</f>
        <v>51397152.799999997</v>
      </c>
      <c r="AU266" s="250">
        <f>AT266</f>
        <v>51397152.799999997</v>
      </c>
      <c r="AV266" s="250"/>
      <c r="AW266" s="250"/>
      <c r="AX266" s="250"/>
      <c r="AY266" s="250"/>
      <c r="AZ266" s="250"/>
      <c r="BA266" s="250"/>
      <c r="BB266" s="251">
        <f t="shared" si="177"/>
        <v>0</v>
      </c>
      <c r="BC266" s="169"/>
      <c r="BD266" s="169"/>
      <c r="BE266" s="169"/>
      <c r="BF266" s="169"/>
    </row>
    <row r="267" spans="1:58" ht="51.6" customHeight="1" x14ac:dyDescent="0.25">
      <c r="A267" s="172"/>
      <c r="B267" s="360"/>
      <c r="C267" s="362"/>
      <c r="D267" s="344"/>
      <c r="E267" s="328"/>
      <c r="F267" s="328"/>
      <c r="G267" s="328"/>
      <c r="H267" s="199" t="s">
        <v>554</v>
      </c>
      <c r="I267" s="178"/>
      <c r="J267" s="174"/>
      <c r="K267" s="174"/>
      <c r="L267" s="125" t="str">
        <f>IF(I267&lt;&gt;0,((VLOOKUP(I267,'1. Standard_Cost'!$B$4:$D$11,2)+VLOOKUP(I267,'1. Standard_Cost'!$B$4:$D$11,3))*J267*K267),"0")</f>
        <v>0</v>
      </c>
      <c r="M267" s="125">
        <f>L267*'1. Standard_Cost'!$F$4</f>
        <v>0</v>
      </c>
      <c r="N267" s="174"/>
      <c r="O267" s="174"/>
      <c r="P267" s="174"/>
      <c r="Q267" s="174"/>
      <c r="R267" s="127">
        <f>'1. Standard_Cost'!$B$15*N267*P267</f>
        <v>0</v>
      </c>
      <c r="S267" s="127">
        <f>N267*O267*P267*'1. Standard_Cost'!$C$15</f>
        <v>0</v>
      </c>
      <c r="T267" s="127">
        <f>N267*P267*Q267*'1. Standard_Cost'!$D$15</f>
        <v>0</v>
      </c>
      <c r="U267" s="127">
        <f>N267*O267*'1. Standard_Cost'!$E$15</f>
        <v>0</v>
      </c>
      <c r="V267" s="174"/>
      <c r="W267" s="174"/>
      <c r="X267" s="174"/>
      <c r="Y267" s="127">
        <f>+V267*((X267*'1. Standard_Cost'!$B$19)+(W267*X267*'1. Standard_Cost'!$C$19))</f>
        <v>0</v>
      </c>
      <c r="Z267" s="174"/>
      <c r="AA267" s="174"/>
      <c r="AB267" s="127">
        <f>+Z267*'1. Standard_Cost'!$B$23+AA267*'1. Standard_Cost'!$C$23</f>
        <v>0</v>
      </c>
      <c r="AC267" s="176"/>
      <c r="AD267" s="177"/>
      <c r="AE267" s="127">
        <f>SUM(AD267,AC267,AB267,Y267,U267,T267,S267,R267)*'1. Standard_Cost'!$B$31</f>
        <v>0</v>
      </c>
      <c r="AF267" s="127">
        <f>SUM(AE267,AD267,AC267,AB267,Y267,U267,T267,S267,R267)</f>
        <v>0</v>
      </c>
      <c r="AG267" s="174"/>
      <c r="AH267" s="174"/>
      <c r="AI267" s="174"/>
      <c r="AJ267" s="178"/>
      <c r="AK267" s="178">
        <v>184500000</v>
      </c>
      <c r="AL267" s="178"/>
      <c r="AM267" s="127">
        <f>AG267*'1. Standard_Cost'!$B$27+'Incremental_Cost Year 5'!AH267*'1. Standard_Cost'!$C$27+'Incremental_Cost Year 5'!AI267*'1. Standard_Cost'!$D$27+'Incremental_Cost Year 5'!AJ267+'Incremental_Cost Year 5'!AL267+AK267</f>
        <v>184500000</v>
      </c>
      <c r="AN267" s="127"/>
      <c r="AO267" s="178"/>
      <c r="AP267" s="256"/>
      <c r="AQ267" s="171">
        <f>L267+M267</f>
        <v>0</v>
      </c>
      <c r="AR267" s="171">
        <f>AF267</f>
        <v>0</v>
      </c>
      <c r="AS267" s="171">
        <f>AM267+AN267</f>
        <v>184500000</v>
      </c>
      <c r="AT267" s="171">
        <f>SUM(AQ267,AR267,AS267)</f>
        <v>184500000</v>
      </c>
      <c r="AU267" s="250"/>
      <c r="AV267" s="250"/>
      <c r="AW267" s="250"/>
      <c r="AX267" s="250"/>
      <c r="AY267" s="250"/>
      <c r="AZ267" s="250"/>
      <c r="BA267" s="250"/>
      <c r="BB267" s="251">
        <f t="shared" si="177"/>
        <v>-184500000</v>
      </c>
      <c r="BC267" s="169"/>
      <c r="BD267" s="169"/>
      <c r="BE267" s="169"/>
      <c r="BF267" s="169"/>
    </row>
    <row r="268" spans="1:58" ht="51.6" customHeight="1" x14ac:dyDescent="0.25">
      <c r="A268" s="172"/>
      <c r="B268" s="168"/>
      <c r="C268" s="204"/>
      <c r="D268" s="344" t="s">
        <v>560</v>
      </c>
      <c r="E268" s="205" t="s">
        <v>340</v>
      </c>
      <c r="F268" s="205">
        <v>2021</v>
      </c>
      <c r="G268" s="205">
        <v>2030</v>
      </c>
      <c r="H268" s="182" t="s">
        <v>341</v>
      </c>
      <c r="I268" s="273"/>
      <c r="J268" s="273"/>
      <c r="K268" s="273"/>
      <c r="L268" s="175">
        <f>SUM(L264:L267)</f>
        <v>22461600</v>
      </c>
      <c r="M268" s="175">
        <f>SUM(M264:M267)</f>
        <v>3751087.2</v>
      </c>
      <c r="N268" s="273"/>
      <c r="O268" s="273"/>
      <c r="P268" s="273"/>
      <c r="Q268" s="273"/>
      <c r="R268" s="175">
        <f>SUM(R264:R267)</f>
        <v>0</v>
      </c>
      <c r="S268" s="175">
        <f>SUM(S264:S267)</f>
        <v>0</v>
      </c>
      <c r="T268" s="175">
        <f>SUM(T264:T267)</f>
        <v>0</v>
      </c>
      <c r="U268" s="175">
        <f>SUM(U264:U267)</f>
        <v>0</v>
      </c>
      <c r="V268" s="273"/>
      <c r="W268" s="273"/>
      <c r="X268" s="273"/>
      <c r="Y268" s="175">
        <f>SUM(Y264:Y267)</f>
        <v>0</v>
      </c>
      <c r="Z268" s="175"/>
      <c r="AA268" s="273"/>
      <c r="AB268" s="175">
        <f>SUM(AB264:AB267)</f>
        <v>2220000</v>
      </c>
      <c r="AC268" s="175">
        <f>SUM(AC264:AC267)</f>
        <v>25955000</v>
      </c>
      <c r="AD268" s="175">
        <f>SUM(AD264:AD267)</f>
        <v>92250000</v>
      </c>
      <c r="AE268" s="175">
        <f>SUM(AE264:AE267)</f>
        <v>18450000</v>
      </c>
      <c r="AF268" s="175">
        <f>SUM(AF264:AF267)</f>
        <v>138875000</v>
      </c>
      <c r="AG268" s="273"/>
      <c r="AH268" s="273"/>
      <c r="AI268" s="273"/>
      <c r="AJ268" s="175">
        <f>SUM(AJ264:AJ267)</f>
        <v>0</v>
      </c>
      <c r="AK268" s="175">
        <f>SUM(AK264:AK267)</f>
        <v>184500000</v>
      </c>
      <c r="AL268" s="175">
        <f>SUM(AL264:AL267)</f>
        <v>0</v>
      </c>
      <c r="AM268" s="175">
        <f>SUM(AM264:AM267)</f>
        <v>184500000</v>
      </c>
      <c r="AN268" s="175">
        <f>SUM(AN264:AN267)</f>
        <v>0</v>
      </c>
      <c r="AO268" s="274"/>
      <c r="AP268" s="254"/>
      <c r="AQ268" s="175">
        <f t="shared" ref="AQ268:AT268" si="178">SUM(AQ264:AQ267)</f>
        <v>26212687.199999999</v>
      </c>
      <c r="AR268" s="175">
        <f t="shared" si="178"/>
        <v>138875000</v>
      </c>
      <c r="AS268" s="175">
        <f t="shared" si="178"/>
        <v>184500000</v>
      </c>
      <c r="AT268" s="175">
        <f t="shared" si="178"/>
        <v>349587687.19999999</v>
      </c>
      <c r="AU268" s="175">
        <f t="shared" ref="AU268:BB268" si="179">SUM(AU264:AU267)</f>
        <v>51867686.799999997</v>
      </c>
      <c r="AV268" s="175">
        <f t="shared" si="179"/>
        <v>0</v>
      </c>
      <c r="AW268" s="175">
        <f t="shared" si="179"/>
        <v>0</v>
      </c>
      <c r="AX268" s="175">
        <f t="shared" si="179"/>
        <v>0</v>
      </c>
      <c r="AY268" s="175">
        <f t="shared" si="179"/>
        <v>0</v>
      </c>
      <c r="AZ268" s="175">
        <f t="shared" si="179"/>
        <v>0</v>
      </c>
      <c r="BA268" s="175">
        <f t="shared" si="179"/>
        <v>0</v>
      </c>
      <c r="BB268" s="175">
        <f t="shared" si="179"/>
        <v>-297720000.39999998</v>
      </c>
      <c r="BC268" s="169"/>
      <c r="BD268" s="169"/>
      <c r="BE268" s="169"/>
      <c r="BF268" s="169"/>
    </row>
    <row r="269" spans="1:58" ht="51.6" customHeight="1" x14ac:dyDescent="0.2">
      <c r="A269" s="179"/>
      <c r="B269" s="290"/>
      <c r="C269" s="391" t="s">
        <v>342</v>
      </c>
      <c r="D269" s="391"/>
      <c r="E269" s="392"/>
      <c r="F269" s="287"/>
      <c r="G269" s="289"/>
      <c r="H269" s="181" t="s">
        <v>343</v>
      </c>
      <c r="I269" s="271"/>
      <c r="J269" s="271"/>
      <c r="K269" s="271"/>
      <c r="L269" s="261">
        <f>L273+L276</f>
        <v>302400</v>
      </c>
      <c r="M269" s="261">
        <f>M273+M276</f>
        <v>50500.800000000003</v>
      </c>
      <c r="N269" s="271"/>
      <c r="O269" s="271"/>
      <c r="P269" s="271"/>
      <c r="Q269" s="271"/>
      <c r="R269" s="261">
        <f>R273+R276</f>
        <v>1200000</v>
      </c>
      <c r="S269" s="261">
        <f>S273+S276</f>
        <v>900000</v>
      </c>
      <c r="T269" s="261">
        <f>T273+T276</f>
        <v>0</v>
      </c>
      <c r="U269" s="261">
        <f>U273+U276</f>
        <v>1200000</v>
      </c>
      <c r="V269" s="271"/>
      <c r="W269" s="271"/>
      <c r="X269" s="271"/>
      <c r="Y269" s="261">
        <f>Y273+Y276</f>
        <v>0</v>
      </c>
      <c r="Z269" s="261"/>
      <c r="AA269" s="261"/>
      <c r="AB269" s="261">
        <f>AB273+AB276</f>
        <v>627000</v>
      </c>
      <c r="AC269" s="261">
        <f>AC273+AC276</f>
        <v>180000</v>
      </c>
      <c r="AD269" s="261">
        <f>AD273+AD276</f>
        <v>0</v>
      </c>
      <c r="AE269" s="261">
        <f>AE273+AE276</f>
        <v>821400</v>
      </c>
      <c r="AF269" s="261">
        <f>AF273+AF276</f>
        <v>4928400</v>
      </c>
      <c r="AG269" s="271"/>
      <c r="AH269" s="271"/>
      <c r="AI269" s="271"/>
      <c r="AJ269" s="261">
        <f>AJ273+AJ276</f>
        <v>0</v>
      </c>
      <c r="AK269" s="261">
        <f>AK273+AK276</f>
        <v>0</v>
      </c>
      <c r="AL269" s="261">
        <f>AL273+AL276</f>
        <v>0</v>
      </c>
      <c r="AM269" s="261">
        <f>AM273+AM276</f>
        <v>0</v>
      </c>
      <c r="AN269" s="261">
        <f>AN273+AN276</f>
        <v>0</v>
      </c>
      <c r="AO269" s="272"/>
      <c r="AP269" s="260"/>
      <c r="AQ269" s="261">
        <f t="shared" ref="AQ269:BB269" si="180">AQ273+AQ276</f>
        <v>352900.8</v>
      </c>
      <c r="AR269" s="261">
        <f t="shared" si="180"/>
        <v>4928400</v>
      </c>
      <c r="AS269" s="261">
        <f t="shared" si="180"/>
        <v>0</v>
      </c>
      <c r="AT269" s="261">
        <f t="shared" si="180"/>
        <v>5281300.8</v>
      </c>
      <c r="AU269" s="261">
        <f t="shared" si="180"/>
        <v>352900.8</v>
      </c>
      <c r="AV269" s="261">
        <f t="shared" si="180"/>
        <v>0</v>
      </c>
      <c r="AW269" s="261">
        <f t="shared" si="180"/>
        <v>0</v>
      </c>
      <c r="AX269" s="261">
        <f t="shared" si="180"/>
        <v>0</v>
      </c>
      <c r="AY269" s="261">
        <f t="shared" si="180"/>
        <v>0</v>
      </c>
      <c r="AZ269" s="261">
        <f t="shared" si="180"/>
        <v>0</v>
      </c>
      <c r="BA269" s="261">
        <f t="shared" si="180"/>
        <v>0</v>
      </c>
      <c r="BB269" s="261">
        <f t="shared" si="180"/>
        <v>-4928400</v>
      </c>
      <c r="BC269" s="184"/>
      <c r="BD269" s="184"/>
      <c r="BE269" s="184"/>
      <c r="BF269" s="184"/>
    </row>
    <row r="270" spans="1:58" ht="51.6" customHeight="1" x14ac:dyDescent="0.25">
      <c r="A270" s="172"/>
      <c r="B270" s="200"/>
      <c r="C270" s="201"/>
      <c r="D270" s="202"/>
      <c r="E270" s="354"/>
      <c r="F270" s="355"/>
      <c r="G270" s="356"/>
      <c r="H270" s="199" t="s">
        <v>344</v>
      </c>
      <c r="I270" s="178"/>
      <c r="J270" s="174"/>
      <c r="K270" s="174"/>
      <c r="L270" s="125" t="str">
        <f>IF(I270&lt;&gt;0,((VLOOKUP(I270,'1. Standard_Cost'!$B$4:$D$11,2)+VLOOKUP(I270,'1. Standard_Cost'!$B$4:$D$11,3))*J270*K270),"0")</f>
        <v>0</v>
      </c>
      <c r="M270" s="125">
        <f>L270*'1. Standard_Cost'!$F$4</f>
        <v>0</v>
      </c>
      <c r="N270" s="174"/>
      <c r="O270" s="174"/>
      <c r="P270" s="174"/>
      <c r="Q270" s="174"/>
      <c r="R270" s="127">
        <f>'1. Standard_Cost'!$B$15*N270*P270</f>
        <v>0</v>
      </c>
      <c r="S270" s="127">
        <f>N270*O270*P270*'1. Standard_Cost'!$C$15</f>
        <v>0</v>
      </c>
      <c r="T270" s="127">
        <f>N270*P270*Q270*'1. Standard_Cost'!$D$15</f>
        <v>0</v>
      </c>
      <c r="U270" s="127">
        <f>N270*O270*'1. Standard_Cost'!$E$15</f>
        <v>0</v>
      </c>
      <c r="V270" s="174"/>
      <c r="W270" s="174"/>
      <c r="X270" s="174"/>
      <c r="Y270" s="127">
        <f>+V270*((X270*'1. Standard_Cost'!$B$19)+(W270*X270*'1. Standard_Cost'!$C$19))</f>
        <v>0</v>
      </c>
      <c r="Z270" s="174"/>
      <c r="AA270" s="174"/>
      <c r="AB270" s="127">
        <f>+Z270*'1. Standard_Cost'!$B$23+AA270*'1. Standard_Cost'!$C$23</f>
        <v>0</v>
      </c>
      <c r="AC270" s="176"/>
      <c r="AD270" s="177"/>
      <c r="AE270" s="127">
        <f>SUM(AD270,AC270,AB270,Y270,U270,T270,S270,R270)*'1. Standard_Cost'!$B$31</f>
        <v>0</v>
      </c>
      <c r="AF270" s="127">
        <f>SUM(AE270,AD270,AC270,AB270,Y270,U270,T270,S270,R270)</f>
        <v>0</v>
      </c>
      <c r="AG270" s="174"/>
      <c r="AH270" s="174"/>
      <c r="AI270" s="174"/>
      <c r="AJ270" s="178"/>
      <c r="AK270" s="178"/>
      <c r="AL270" s="178"/>
      <c r="AM270" s="127">
        <f>AG270*'1. Standard_Cost'!$B$27+'Incremental_Cost Year 5'!AH270*'1. Standard_Cost'!$C$27+'Incremental_Cost Year 5'!AI270*'1. Standard_Cost'!$D$27+'Incremental_Cost Year 5'!AJ270+'Incremental_Cost Year 5'!AL270+AK270</f>
        <v>0</v>
      </c>
      <c r="AN270" s="127">
        <f>AM270*'1. Standard_Cost'!$C$31</f>
        <v>0</v>
      </c>
      <c r="AO270" s="178"/>
      <c r="AP270" s="256"/>
      <c r="AQ270" s="171">
        <f>L270+M270</f>
        <v>0</v>
      </c>
      <c r="AR270" s="171">
        <f>AF270</f>
        <v>0</v>
      </c>
      <c r="AS270" s="171">
        <f>AM270+AN270</f>
        <v>0</v>
      </c>
      <c r="AT270" s="171">
        <f>SUM(AQ270,AR270,AS270)</f>
        <v>0</v>
      </c>
      <c r="AU270" s="250">
        <f>AT270</f>
        <v>0</v>
      </c>
      <c r="AV270" s="250"/>
      <c r="AW270" s="250"/>
      <c r="AX270" s="250"/>
      <c r="AY270" s="250"/>
      <c r="AZ270" s="250"/>
      <c r="BA270" s="250"/>
      <c r="BB270" s="251">
        <f t="shared" ref="BB270:BB272" si="181">SUM(AU270:BA270)-AT270</f>
        <v>0</v>
      </c>
      <c r="BC270" s="169"/>
      <c r="BD270" s="169"/>
      <c r="BE270" s="169"/>
      <c r="BF270" s="169"/>
    </row>
    <row r="271" spans="1:58" ht="51.6" customHeight="1" x14ac:dyDescent="0.25">
      <c r="A271" s="172"/>
      <c r="B271" s="200"/>
      <c r="C271" s="201"/>
      <c r="D271" s="202"/>
      <c r="E271" s="357"/>
      <c r="F271" s="358"/>
      <c r="G271" s="359"/>
      <c r="H271" s="199" t="s">
        <v>345</v>
      </c>
      <c r="I271" s="178"/>
      <c r="J271" s="174"/>
      <c r="K271" s="174"/>
      <c r="L271" s="125" t="str">
        <f>IF(I271&lt;&gt;0,((VLOOKUP(I271,'1. Standard_Cost'!$B$4:$D$11,2)+VLOOKUP(I271,'1. Standard_Cost'!$B$4:$D$11,3))*J271*K271),"0")</f>
        <v>0</v>
      </c>
      <c r="M271" s="125">
        <f>L271*'1. Standard_Cost'!$F$4</f>
        <v>0</v>
      </c>
      <c r="N271" s="174"/>
      <c r="O271" s="174"/>
      <c r="P271" s="174"/>
      <c r="Q271" s="174"/>
      <c r="R271" s="127">
        <f>'1. Standard_Cost'!$B$15*N271*P271</f>
        <v>0</v>
      </c>
      <c r="S271" s="127">
        <f>N271*O271*P271*'1. Standard_Cost'!$C$15</f>
        <v>0</v>
      </c>
      <c r="T271" s="127">
        <f>N271*P271*Q271*'1. Standard_Cost'!$D$15</f>
        <v>0</v>
      </c>
      <c r="U271" s="127">
        <f>N271*O271*'1. Standard_Cost'!$E$15</f>
        <v>0</v>
      </c>
      <c r="V271" s="174"/>
      <c r="W271" s="174"/>
      <c r="X271" s="174"/>
      <c r="Y271" s="127">
        <f>+V271*((X271*'1. Standard_Cost'!$B$19)+(W271*X271*'1. Standard_Cost'!$C$19))</f>
        <v>0</v>
      </c>
      <c r="Z271" s="174"/>
      <c r="AA271" s="174"/>
      <c r="AB271" s="127">
        <f>+Z271*'1. Standard_Cost'!$B$23+AA271*'1. Standard_Cost'!$C$23</f>
        <v>0</v>
      </c>
      <c r="AC271" s="176"/>
      <c r="AD271" s="177"/>
      <c r="AE271" s="127">
        <f>SUM(AD271,AC271,AB271,Y271,U271,T271,S271,R271)*'1. Standard_Cost'!$B$31</f>
        <v>0</v>
      </c>
      <c r="AF271" s="127">
        <f>SUM(AE271,AD271,AC271,AB271,Y271,U271,T271,S271,R271)</f>
        <v>0</v>
      </c>
      <c r="AG271" s="174"/>
      <c r="AH271" s="174"/>
      <c r="AI271" s="174"/>
      <c r="AJ271" s="178"/>
      <c r="AK271" s="178"/>
      <c r="AL271" s="178"/>
      <c r="AM271" s="127">
        <f>AG271*'1. Standard_Cost'!$B$27+'Incremental_Cost Year 5'!AH271*'1. Standard_Cost'!$C$27+'Incremental_Cost Year 5'!AI271*'1. Standard_Cost'!$D$27+'Incremental_Cost Year 5'!AJ271+'Incremental_Cost Year 5'!AL271+AK271</f>
        <v>0</v>
      </c>
      <c r="AN271" s="127">
        <f>AM271*'1. Standard_Cost'!$C$31</f>
        <v>0</v>
      </c>
      <c r="AO271" s="178"/>
      <c r="AP271" s="256"/>
      <c r="AQ271" s="171">
        <f>L271+M271</f>
        <v>0</v>
      </c>
      <c r="AR271" s="171">
        <f>AF271</f>
        <v>0</v>
      </c>
      <c r="AS271" s="171">
        <f>AM271+AN271</f>
        <v>0</v>
      </c>
      <c r="AT271" s="171">
        <f>SUM(AQ271,AR271,AS271)</f>
        <v>0</v>
      </c>
      <c r="AU271" s="250">
        <f>AT271</f>
        <v>0</v>
      </c>
      <c r="AV271" s="250"/>
      <c r="AW271" s="250"/>
      <c r="AX271" s="250"/>
      <c r="AY271" s="250"/>
      <c r="AZ271" s="250"/>
      <c r="BA271" s="250"/>
      <c r="BB271" s="251">
        <f t="shared" si="181"/>
        <v>0</v>
      </c>
      <c r="BC271" s="169"/>
      <c r="BD271" s="169"/>
      <c r="BE271" s="169"/>
      <c r="BF271" s="169"/>
    </row>
    <row r="272" spans="1:58" ht="51.6" customHeight="1" x14ac:dyDescent="0.25">
      <c r="A272" s="172"/>
      <c r="B272" s="200"/>
      <c r="C272" s="201"/>
      <c r="D272" s="202"/>
      <c r="E272" s="360"/>
      <c r="F272" s="361"/>
      <c r="G272" s="362"/>
      <c r="H272" s="199" t="s">
        <v>346</v>
      </c>
      <c r="I272" s="178"/>
      <c r="J272" s="174"/>
      <c r="K272" s="174"/>
      <c r="L272" s="125" t="str">
        <f>IF(I272&lt;&gt;0,((VLOOKUP(I272,'1. Standard_Cost'!$B$4:$D$11,2)+VLOOKUP(I272,'1. Standard_Cost'!$B$4:$D$11,3))*J272*K272),"0")</f>
        <v>0</v>
      </c>
      <c r="M272" s="125">
        <f>L272*'1. Standard_Cost'!$F$4</f>
        <v>0</v>
      </c>
      <c r="N272" s="174"/>
      <c r="O272" s="174"/>
      <c r="P272" s="174"/>
      <c r="Q272" s="174"/>
      <c r="R272" s="127">
        <f>'1. Standard_Cost'!$B$15*N272*P272</f>
        <v>0</v>
      </c>
      <c r="S272" s="127">
        <f>N272*O272*P272*'1. Standard_Cost'!$C$15</f>
        <v>0</v>
      </c>
      <c r="T272" s="127">
        <f>N272*P272*Q272*'1. Standard_Cost'!$D$15</f>
        <v>0</v>
      </c>
      <c r="U272" s="127">
        <f>N272*O272*'1. Standard_Cost'!$E$15</f>
        <v>0</v>
      </c>
      <c r="V272" s="174"/>
      <c r="W272" s="174"/>
      <c r="X272" s="174"/>
      <c r="Y272" s="127">
        <f>+V272*((X272*'1. Standard_Cost'!$B$19)+(W272*X272*'1. Standard_Cost'!$C$19))</f>
        <v>0</v>
      </c>
      <c r="Z272" s="174"/>
      <c r="AA272" s="174"/>
      <c r="AB272" s="127">
        <f>+Z272*'1. Standard_Cost'!$B$23+AA272*'1. Standard_Cost'!$C$23</f>
        <v>0</v>
      </c>
      <c r="AC272" s="176"/>
      <c r="AD272" s="177"/>
      <c r="AE272" s="127">
        <f>SUM(AD272,AC272,AB272,Y272,U272,T272,S272,R272)*'1. Standard_Cost'!$B$31</f>
        <v>0</v>
      </c>
      <c r="AF272" s="127">
        <f>SUM(AE272,AD272,AC272,AB272,Y272,U272,T272,S272,R272)</f>
        <v>0</v>
      </c>
      <c r="AG272" s="174"/>
      <c r="AH272" s="174"/>
      <c r="AI272" s="174"/>
      <c r="AJ272" s="178"/>
      <c r="AK272" s="178"/>
      <c r="AL272" s="178"/>
      <c r="AM272" s="127">
        <f>AG272*'1. Standard_Cost'!$B$27+'Incremental_Cost Year 5'!AH272*'1. Standard_Cost'!$C$27+'Incremental_Cost Year 5'!AI272*'1. Standard_Cost'!$D$27+'Incremental_Cost Year 5'!AJ272+'Incremental_Cost Year 5'!AL272+AK272</f>
        <v>0</v>
      </c>
      <c r="AN272" s="127">
        <f>AM272*'1. Standard_Cost'!$C$31</f>
        <v>0</v>
      </c>
      <c r="AO272" s="178"/>
      <c r="AP272" s="256"/>
      <c r="AQ272" s="171">
        <f>L272+M272</f>
        <v>0</v>
      </c>
      <c r="AR272" s="171">
        <f>AF272</f>
        <v>0</v>
      </c>
      <c r="AS272" s="171">
        <f>AM272+AN272</f>
        <v>0</v>
      </c>
      <c r="AT272" s="171">
        <f>SUM(AQ272,AR272,AS272)</f>
        <v>0</v>
      </c>
      <c r="AU272" s="250"/>
      <c r="AV272" s="250"/>
      <c r="AW272" s="250"/>
      <c r="AX272" s="250"/>
      <c r="AY272" s="250"/>
      <c r="AZ272" s="250"/>
      <c r="BA272" s="250"/>
      <c r="BB272" s="251">
        <f t="shared" si="181"/>
        <v>0</v>
      </c>
      <c r="BC272" s="169"/>
      <c r="BD272" s="169"/>
      <c r="BE272" s="169"/>
      <c r="BF272" s="169"/>
    </row>
    <row r="273" spans="1:58" ht="51.6" customHeight="1" x14ac:dyDescent="0.2">
      <c r="A273" s="172"/>
      <c r="B273" s="168"/>
      <c r="C273" s="204"/>
      <c r="D273" s="212" t="s">
        <v>559</v>
      </c>
      <c r="E273" s="212" t="s">
        <v>347</v>
      </c>
      <c r="F273" s="206">
        <v>2026</v>
      </c>
      <c r="G273" s="207">
        <v>2028</v>
      </c>
      <c r="H273" s="182" t="s">
        <v>348</v>
      </c>
      <c r="I273" s="273"/>
      <c r="J273" s="273"/>
      <c r="K273" s="273"/>
      <c r="L273" s="175">
        <f>SUM(L270:L272)</f>
        <v>0</v>
      </c>
      <c r="M273" s="175">
        <f>SUM(M270:M272)</f>
        <v>0</v>
      </c>
      <c r="N273" s="273"/>
      <c r="O273" s="273"/>
      <c r="P273" s="273"/>
      <c r="Q273" s="273"/>
      <c r="R273" s="175">
        <f>SUM(R270:R272)</f>
        <v>0</v>
      </c>
      <c r="S273" s="175">
        <f>SUM(S270:S272)</f>
        <v>0</v>
      </c>
      <c r="T273" s="175">
        <f>SUM(T270:T272)</f>
        <v>0</v>
      </c>
      <c r="U273" s="175">
        <f>SUM(U270:U272)</f>
        <v>0</v>
      </c>
      <c r="V273" s="273"/>
      <c r="W273" s="273"/>
      <c r="X273" s="273"/>
      <c r="Y273" s="175">
        <f>SUM(Y270:Y272)</f>
        <v>0</v>
      </c>
      <c r="Z273" s="175"/>
      <c r="AA273" s="273"/>
      <c r="AB273" s="175">
        <f>SUM(AB270:AB272)</f>
        <v>0</v>
      </c>
      <c r="AC273" s="175">
        <f>SUM(AC270:AC272)</f>
        <v>0</v>
      </c>
      <c r="AD273" s="175">
        <f>SUM(AD270:AD272)</f>
        <v>0</v>
      </c>
      <c r="AE273" s="175">
        <f>SUM(AE270:AE272)</f>
        <v>0</v>
      </c>
      <c r="AF273" s="175">
        <f>SUM(AF270:AF272)</f>
        <v>0</v>
      </c>
      <c r="AG273" s="273"/>
      <c r="AH273" s="273"/>
      <c r="AI273" s="273"/>
      <c r="AJ273" s="175">
        <f>SUM(AJ270:AJ272)</f>
        <v>0</v>
      </c>
      <c r="AK273" s="175">
        <f>SUM(AK270:AK272)</f>
        <v>0</v>
      </c>
      <c r="AL273" s="175">
        <f>SUM(AL270:AL272)</f>
        <v>0</v>
      </c>
      <c r="AM273" s="175">
        <f>SUM(AM270:AM272)</f>
        <v>0</v>
      </c>
      <c r="AN273" s="175">
        <f>SUM(AN270:AN272)</f>
        <v>0</v>
      </c>
      <c r="AO273" s="274"/>
      <c r="AP273" s="254"/>
      <c r="AQ273" s="175">
        <f t="shared" ref="AQ273:AT273" si="182">SUM(AQ270:AQ272)</f>
        <v>0</v>
      </c>
      <c r="AR273" s="175">
        <f t="shared" si="182"/>
        <v>0</v>
      </c>
      <c r="AS273" s="175">
        <f t="shared" si="182"/>
        <v>0</v>
      </c>
      <c r="AT273" s="175">
        <f t="shared" si="182"/>
        <v>0</v>
      </c>
      <c r="AU273" s="175">
        <f t="shared" ref="AU273:BB273" si="183">SUM(AU270:AU272)</f>
        <v>0</v>
      </c>
      <c r="AV273" s="175">
        <f t="shared" si="183"/>
        <v>0</v>
      </c>
      <c r="AW273" s="175">
        <f t="shared" si="183"/>
        <v>0</v>
      </c>
      <c r="AX273" s="175">
        <f t="shared" si="183"/>
        <v>0</v>
      </c>
      <c r="AY273" s="175">
        <f t="shared" si="183"/>
        <v>0</v>
      </c>
      <c r="AZ273" s="175">
        <f t="shared" si="183"/>
        <v>0</v>
      </c>
      <c r="BA273" s="175">
        <f t="shared" si="183"/>
        <v>0</v>
      </c>
      <c r="BB273" s="175">
        <f t="shared" si="183"/>
        <v>0</v>
      </c>
      <c r="BC273" s="169"/>
      <c r="BD273" s="169"/>
      <c r="BE273" s="169"/>
      <c r="BF273" s="169"/>
    </row>
    <row r="274" spans="1:58" ht="51.6" customHeight="1" x14ac:dyDescent="0.25">
      <c r="A274" s="172"/>
      <c r="B274" s="200"/>
      <c r="C274" s="201"/>
      <c r="D274" s="202"/>
      <c r="E274" s="354"/>
      <c r="F274" s="355"/>
      <c r="G274" s="356"/>
      <c r="H274" s="199" t="s">
        <v>349</v>
      </c>
      <c r="I274" s="178"/>
      <c r="J274" s="174"/>
      <c r="K274" s="174"/>
      <c r="L274" s="125" t="str">
        <f>IF(I274&lt;&gt;0,((VLOOKUP(I274,'1. Standard_Cost'!$B$4:$D$11,2)+VLOOKUP(I274,'1. Standard_Cost'!$B$4:$D$11,3))*J274*K274),"0")</f>
        <v>0</v>
      </c>
      <c r="M274" s="125">
        <f>L274*'1. Standard_Cost'!$F$4</f>
        <v>0</v>
      </c>
      <c r="N274" s="174"/>
      <c r="O274" s="174"/>
      <c r="P274" s="174"/>
      <c r="Q274" s="174"/>
      <c r="R274" s="127">
        <f>'1. Standard_Cost'!$B$15*N274*P274</f>
        <v>0</v>
      </c>
      <c r="S274" s="127">
        <f>N274*O274*P274*'1. Standard_Cost'!$C$15</f>
        <v>0</v>
      </c>
      <c r="T274" s="127">
        <f>N274*P274*Q274*'1. Standard_Cost'!$D$15</f>
        <v>0</v>
      </c>
      <c r="U274" s="127">
        <f>N274*O274*'1. Standard_Cost'!$E$15</f>
        <v>0</v>
      </c>
      <c r="V274" s="174"/>
      <c r="W274" s="174"/>
      <c r="X274" s="174"/>
      <c r="Y274" s="127">
        <f>+V274*((X274*'1. Standard_Cost'!$B$19)+(W274*X274*'1. Standard_Cost'!$C$19))</f>
        <v>0</v>
      </c>
      <c r="Z274" s="174"/>
      <c r="AA274" s="174"/>
      <c r="AB274" s="127">
        <f>+Z274*'1. Standard_Cost'!$B$23+AA274*'1. Standard_Cost'!$C$23</f>
        <v>0</v>
      </c>
      <c r="AC274" s="176"/>
      <c r="AD274" s="177"/>
      <c r="AE274" s="127">
        <f>SUM(AD274,AC274,AB274,Y274,U274,T274,S274,R274)*'1. Standard_Cost'!$B$31</f>
        <v>0</v>
      </c>
      <c r="AF274" s="127">
        <f>SUM(AE274,AD274,AC274,AB274,Y274,U274,T274,S274,R274)</f>
        <v>0</v>
      </c>
      <c r="AG274" s="174"/>
      <c r="AH274" s="174"/>
      <c r="AI274" s="174"/>
      <c r="AJ274" s="178"/>
      <c r="AK274" s="178"/>
      <c r="AL274" s="178"/>
      <c r="AM274" s="127">
        <f>AG274*'1. Standard_Cost'!$B$27+'Incremental_Cost Year 5'!AH274*'1. Standard_Cost'!$C$27+'Incremental_Cost Year 5'!AI274*'1. Standard_Cost'!$D$27+'Incremental_Cost Year 5'!AJ274+'Incremental_Cost Year 5'!AL274+AK274</f>
        <v>0</v>
      </c>
      <c r="AN274" s="127">
        <f>AM274*'1. Standard_Cost'!$C$31</f>
        <v>0</v>
      </c>
      <c r="AO274" s="178"/>
      <c r="AP274" s="256"/>
      <c r="AQ274" s="171">
        <f>L274+M274</f>
        <v>0</v>
      </c>
      <c r="AR274" s="171">
        <f>AF274</f>
        <v>0</v>
      </c>
      <c r="AS274" s="171">
        <f>AM274+AN274</f>
        <v>0</v>
      </c>
      <c r="AT274" s="171">
        <f>SUM(AQ274,AR274,AS274)</f>
        <v>0</v>
      </c>
      <c r="AU274" s="250">
        <f>AT274</f>
        <v>0</v>
      </c>
      <c r="AV274" s="250"/>
      <c r="AW274" s="250"/>
      <c r="AX274" s="250"/>
      <c r="AY274" s="250"/>
      <c r="AZ274" s="250"/>
      <c r="BA274" s="250"/>
      <c r="BB274" s="251">
        <f t="shared" ref="BB274:BB275" si="184">SUM(AU274:BA274)-AT274</f>
        <v>0</v>
      </c>
      <c r="BC274" s="169"/>
      <c r="BD274" s="169"/>
      <c r="BE274" s="169"/>
      <c r="BF274" s="169"/>
    </row>
    <row r="275" spans="1:58" ht="51.6" customHeight="1" x14ac:dyDescent="0.25">
      <c r="A275" s="172"/>
      <c r="B275" s="200"/>
      <c r="C275" s="201"/>
      <c r="D275" s="202"/>
      <c r="E275" s="360"/>
      <c r="F275" s="361"/>
      <c r="G275" s="362"/>
      <c r="H275" s="199" t="s">
        <v>350</v>
      </c>
      <c r="I275" s="178" t="s">
        <v>3</v>
      </c>
      <c r="J275" s="174">
        <v>1</v>
      </c>
      <c r="K275" s="174">
        <v>3</v>
      </c>
      <c r="L275" s="125">
        <f>IF(I275&lt;&gt;0,((VLOOKUP(I275,'1. Standard_Cost'!$B$4:$D$11,2)+VLOOKUP(I275,'1. Standard_Cost'!$B$4:$D$11,3))*J275*K275),"0")</f>
        <v>302400</v>
      </c>
      <c r="M275" s="125">
        <f>L275*'1. Standard_Cost'!$F$4</f>
        <v>50500.800000000003</v>
      </c>
      <c r="N275" s="174">
        <v>30</v>
      </c>
      <c r="O275" s="174">
        <v>1</v>
      </c>
      <c r="P275" s="174">
        <v>20</v>
      </c>
      <c r="Q275" s="174"/>
      <c r="R275" s="127">
        <f>'1. Standard_Cost'!$B$15*N275*P275</f>
        <v>1200000</v>
      </c>
      <c r="S275" s="127">
        <f>N275*O275*P275*'1. Standard_Cost'!$C$15</f>
        <v>900000</v>
      </c>
      <c r="T275" s="127">
        <f>N275*P275*Q275*'1. Standard_Cost'!$D$15</f>
        <v>0</v>
      </c>
      <c r="U275" s="127">
        <f>N275*O275*'1. Standard_Cost'!$E$15</f>
        <v>1200000</v>
      </c>
      <c r="V275" s="174"/>
      <c r="W275" s="174"/>
      <c r="X275" s="174"/>
      <c r="Y275" s="127">
        <f>+V275*((X275*'1. Standard_Cost'!$B$19)+(W275*X275*'1. Standard_Cost'!$C$19))</f>
        <v>0</v>
      </c>
      <c r="Z275" s="174"/>
      <c r="AA275" s="174">
        <v>33</v>
      </c>
      <c r="AB275" s="127">
        <f>+Z275*'1. Standard_Cost'!$B$23+AA275*'1. Standard_Cost'!$C$23</f>
        <v>627000</v>
      </c>
      <c r="AC275" s="176">
        <f>600*300</f>
        <v>180000</v>
      </c>
      <c r="AD275" s="177"/>
      <c r="AE275" s="127">
        <f>SUM(AD275,AC275,AB275,Y275,U275,T275,S275,R275)*'1. Standard_Cost'!$B$31</f>
        <v>821400</v>
      </c>
      <c r="AF275" s="127">
        <f>SUM(AE275,AD275,AC275,AB275,Y275,U275,T275,S275,R275)</f>
        <v>4928400</v>
      </c>
      <c r="AG275" s="174"/>
      <c r="AH275" s="174"/>
      <c r="AI275" s="174"/>
      <c r="AJ275" s="178"/>
      <c r="AK275" s="178"/>
      <c r="AL275" s="178"/>
      <c r="AM275" s="127">
        <f>AG275*'1. Standard_Cost'!$B$27+'Incremental_Cost Year 5'!AH275*'1. Standard_Cost'!$C$27+'Incremental_Cost Year 5'!AI275*'1. Standard_Cost'!$D$27+'Incremental_Cost Year 5'!AJ275+'Incremental_Cost Year 5'!AL275+AK275</f>
        <v>0</v>
      </c>
      <c r="AN275" s="127">
        <f>AM275*'1. Standard_Cost'!$C$31</f>
        <v>0</v>
      </c>
      <c r="AO275" s="178"/>
      <c r="AP275" s="256"/>
      <c r="AQ275" s="171">
        <f>L275+M275</f>
        <v>352900.8</v>
      </c>
      <c r="AR275" s="171">
        <f>AF275</f>
        <v>4928400</v>
      </c>
      <c r="AS275" s="171">
        <f>AM275+AN275</f>
        <v>0</v>
      </c>
      <c r="AT275" s="171">
        <f>SUM(AQ275,AR275,AS275)</f>
        <v>5281300.8</v>
      </c>
      <c r="AU275" s="250">
        <f>AQ275</f>
        <v>352900.8</v>
      </c>
      <c r="AV275" s="250"/>
      <c r="AW275" s="250"/>
      <c r="AX275" s="250"/>
      <c r="AY275" s="250"/>
      <c r="AZ275" s="250"/>
      <c r="BA275" s="250"/>
      <c r="BB275" s="251">
        <f t="shared" si="184"/>
        <v>-4928400</v>
      </c>
      <c r="BC275" s="169"/>
      <c r="BD275" s="169"/>
      <c r="BE275" s="169"/>
      <c r="BF275" s="169"/>
    </row>
    <row r="276" spans="1:58" ht="51.6" customHeight="1" x14ac:dyDescent="0.2">
      <c r="A276" s="172"/>
      <c r="B276" s="168"/>
      <c r="C276" s="204"/>
      <c r="D276" s="212" t="s">
        <v>485</v>
      </c>
      <c r="E276" s="212" t="s">
        <v>351</v>
      </c>
      <c r="F276" s="206">
        <v>2022</v>
      </c>
      <c r="G276" s="207">
        <v>2025</v>
      </c>
      <c r="H276" s="182" t="s">
        <v>352</v>
      </c>
      <c r="I276" s="273"/>
      <c r="J276" s="273"/>
      <c r="K276" s="273"/>
      <c r="L276" s="175">
        <f>SUM(L274:L275)</f>
        <v>302400</v>
      </c>
      <c r="M276" s="175">
        <f>SUM(M274:M275)</f>
        <v>50500.800000000003</v>
      </c>
      <c r="N276" s="273"/>
      <c r="O276" s="273"/>
      <c r="P276" s="273"/>
      <c r="Q276" s="273"/>
      <c r="R276" s="175">
        <f>SUM(R274:R275)</f>
        <v>1200000</v>
      </c>
      <c r="S276" s="175">
        <f>SUM(S274:S275)</f>
        <v>900000</v>
      </c>
      <c r="T276" s="175">
        <f>SUM(T274:T275)</f>
        <v>0</v>
      </c>
      <c r="U276" s="175">
        <f>SUM(U274:U275)</f>
        <v>1200000</v>
      </c>
      <c r="V276" s="273"/>
      <c r="W276" s="273"/>
      <c r="X276" s="273"/>
      <c r="Y276" s="175">
        <f>SUM(Y274:Y275)</f>
        <v>0</v>
      </c>
      <c r="Z276" s="175"/>
      <c r="AA276" s="273"/>
      <c r="AB276" s="175">
        <f>SUM(AB274:AB275)</f>
        <v>627000</v>
      </c>
      <c r="AC276" s="175">
        <f>SUM(AC274:AC275)</f>
        <v>180000</v>
      </c>
      <c r="AD276" s="175">
        <f>SUM(AD274:AD275)</f>
        <v>0</v>
      </c>
      <c r="AE276" s="175">
        <f>SUM(AE274:AE275)</f>
        <v>821400</v>
      </c>
      <c r="AF276" s="175">
        <f>SUM(AF274:AF275)</f>
        <v>4928400</v>
      </c>
      <c r="AG276" s="273"/>
      <c r="AH276" s="273"/>
      <c r="AI276" s="273"/>
      <c r="AJ276" s="175">
        <f>SUM(AJ274:AJ275)</f>
        <v>0</v>
      </c>
      <c r="AK276" s="175">
        <f>SUM(AK274:AK275)</f>
        <v>0</v>
      </c>
      <c r="AL276" s="175">
        <f>SUM(AL274:AL275)</f>
        <v>0</v>
      </c>
      <c r="AM276" s="175">
        <f>SUM(AM274:AM275)</f>
        <v>0</v>
      </c>
      <c r="AN276" s="175">
        <f>SUM(AN274:AN275)</f>
        <v>0</v>
      </c>
      <c r="AO276" s="274"/>
      <c r="AP276" s="254"/>
      <c r="AQ276" s="175">
        <f t="shared" ref="AQ276:AT276" si="185">SUM(AQ274:AQ275)</f>
        <v>352900.8</v>
      </c>
      <c r="AR276" s="175">
        <f t="shared" si="185"/>
        <v>4928400</v>
      </c>
      <c r="AS276" s="175">
        <f t="shared" si="185"/>
        <v>0</v>
      </c>
      <c r="AT276" s="175">
        <f t="shared" si="185"/>
        <v>5281300.8</v>
      </c>
      <c r="AU276" s="175">
        <f t="shared" ref="AU276:BB276" si="186">SUM(AU274:AU275)</f>
        <v>352900.8</v>
      </c>
      <c r="AV276" s="175">
        <f t="shared" si="186"/>
        <v>0</v>
      </c>
      <c r="AW276" s="175">
        <f t="shared" si="186"/>
        <v>0</v>
      </c>
      <c r="AX276" s="175">
        <f t="shared" si="186"/>
        <v>0</v>
      </c>
      <c r="AY276" s="175">
        <f t="shared" si="186"/>
        <v>0</v>
      </c>
      <c r="AZ276" s="175">
        <f t="shared" si="186"/>
        <v>0</v>
      </c>
      <c r="BA276" s="175">
        <f t="shared" si="186"/>
        <v>0</v>
      </c>
      <c r="BB276" s="175">
        <f t="shared" si="186"/>
        <v>-4928400</v>
      </c>
      <c r="BC276" s="169"/>
      <c r="BD276" s="169"/>
      <c r="BE276" s="169"/>
      <c r="BF276" s="169"/>
    </row>
    <row r="277" spans="1:58" ht="51.6" customHeight="1" x14ac:dyDescent="0.2">
      <c r="A277" s="179"/>
      <c r="B277" s="290"/>
      <c r="C277" s="391" t="s">
        <v>353</v>
      </c>
      <c r="D277" s="391"/>
      <c r="E277" s="392"/>
      <c r="F277" s="287"/>
      <c r="G277" s="289"/>
      <c r="H277" s="181" t="s">
        <v>354</v>
      </c>
      <c r="I277" s="271"/>
      <c r="J277" s="271"/>
      <c r="K277" s="271"/>
      <c r="L277" s="261">
        <f>L283</f>
        <v>7660800</v>
      </c>
      <c r="M277" s="261">
        <f>M283</f>
        <v>1279353.6000000001</v>
      </c>
      <c r="N277" s="271"/>
      <c r="O277" s="271"/>
      <c r="P277" s="271"/>
      <c r="Q277" s="271"/>
      <c r="R277" s="261">
        <f>R283</f>
        <v>0</v>
      </c>
      <c r="S277" s="261">
        <f>S283</f>
        <v>0</v>
      </c>
      <c r="T277" s="261">
        <f>T283</f>
        <v>0</v>
      </c>
      <c r="U277" s="261">
        <f>U283</f>
        <v>0</v>
      </c>
      <c r="V277" s="271"/>
      <c r="W277" s="271"/>
      <c r="X277" s="271"/>
      <c r="Y277" s="261">
        <f>Y283</f>
        <v>0</v>
      </c>
      <c r="Z277" s="261"/>
      <c r="AA277" s="261"/>
      <c r="AB277" s="261">
        <f>AB283</f>
        <v>0</v>
      </c>
      <c r="AC277" s="261">
        <f>AC283</f>
        <v>0</v>
      </c>
      <c r="AD277" s="261">
        <f>AD283</f>
        <v>0</v>
      </c>
      <c r="AE277" s="261">
        <f>AE283</f>
        <v>0</v>
      </c>
      <c r="AF277" s="261">
        <f>AF283</f>
        <v>0</v>
      </c>
      <c r="AG277" s="271"/>
      <c r="AH277" s="271"/>
      <c r="AI277" s="271"/>
      <c r="AJ277" s="261">
        <f>AJ283</f>
        <v>0</v>
      </c>
      <c r="AK277" s="261">
        <f>AK283</f>
        <v>0</v>
      </c>
      <c r="AL277" s="261">
        <f>AL283</f>
        <v>0</v>
      </c>
      <c r="AM277" s="261">
        <f>AM283</f>
        <v>0</v>
      </c>
      <c r="AN277" s="261">
        <f>AN283</f>
        <v>0</v>
      </c>
      <c r="AO277" s="272"/>
      <c r="AP277" s="260"/>
      <c r="AQ277" s="261">
        <f t="shared" ref="AQ277:BB277" si="187">AQ283</f>
        <v>8940153.5999999996</v>
      </c>
      <c r="AR277" s="261">
        <f t="shared" si="187"/>
        <v>0</v>
      </c>
      <c r="AS277" s="261">
        <f t="shared" si="187"/>
        <v>0</v>
      </c>
      <c r="AT277" s="261">
        <f t="shared" si="187"/>
        <v>8940153.5999999996</v>
      </c>
      <c r="AU277" s="261">
        <f t="shared" si="187"/>
        <v>8940153.5999999996</v>
      </c>
      <c r="AV277" s="261">
        <f t="shared" si="187"/>
        <v>0</v>
      </c>
      <c r="AW277" s="261">
        <f t="shared" si="187"/>
        <v>0</v>
      </c>
      <c r="AX277" s="261">
        <f t="shared" si="187"/>
        <v>0</v>
      </c>
      <c r="AY277" s="261">
        <f t="shared" si="187"/>
        <v>0</v>
      </c>
      <c r="AZ277" s="261">
        <f t="shared" si="187"/>
        <v>0</v>
      </c>
      <c r="BA277" s="261">
        <f t="shared" si="187"/>
        <v>0</v>
      </c>
      <c r="BB277" s="261">
        <f t="shared" si="187"/>
        <v>0</v>
      </c>
      <c r="BC277" s="184"/>
      <c r="BD277" s="184"/>
      <c r="BE277" s="184"/>
      <c r="BF277" s="184"/>
    </row>
    <row r="278" spans="1:58" ht="51.6" customHeight="1" x14ac:dyDescent="0.25">
      <c r="A278" s="172"/>
      <c r="B278" s="200"/>
      <c r="C278" s="201"/>
      <c r="D278" s="202"/>
      <c r="E278" s="354"/>
      <c r="F278" s="355"/>
      <c r="G278" s="356"/>
      <c r="H278" s="213" t="s">
        <v>363</v>
      </c>
      <c r="I278" s="178"/>
      <c r="J278" s="174"/>
      <c r="K278" s="174"/>
      <c r="L278" s="125" t="str">
        <f>IF(I278&lt;&gt;0,((VLOOKUP(I278,'1. Standard_Cost'!$B$4:$D$11,2)+VLOOKUP(I278,'1. Standard_Cost'!$B$4:$D$11,3))*J278*K278),"0")</f>
        <v>0</v>
      </c>
      <c r="M278" s="125">
        <f>L278*'1. Standard_Cost'!$F$4</f>
        <v>0</v>
      </c>
      <c r="N278" s="174"/>
      <c r="O278" s="174"/>
      <c r="P278" s="174"/>
      <c r="Q278" s="174"/>
      <c r="R278" s="127">
        <f>'1. Standard_Cost'!$B$15*N278*P278</f>
        <v>0</v>
      </c>
      <c r="S278" s="127">
        <f>N278*O278*P278*'1. Standard_Cost'!$C$15</f>
        <v>0</v>
      </c>
      <c r="T278" s="127">
        <f>N278*P278*Q278*'1. Standard_Cost'!$D$15</f>
        <v>0</v>
      </c>
      <c r="U278" s="127">
        <f>N278*O278*'1. Standard_Cost'!$E$15</f>
        <v>0</v>
      </c>
      <c r="V278" s="174"/>
      <c r="W278" s="174"/>
      <c r="X278" s="174"/>
      <c r="Y278" s="127">
        <f>+V278*((X278*'1. Standard_Cost'!$B$19)+(W278*X278*'1. Standard_Cost'!$C$19))</f>
        <v>0</v>
      </c>
      <c r="Z278" s="174"/>
      <c r="AA278" s="174"/>
      <c r="AB278" s="127">
        <f>+Z278*'1. Standard_Cost'!$B$23+AA278*'1. Standard_Cost'!$C$23</f>
        <v>0</v>
      </c>
      <c r="AC278" s="176"/>
      <c r="AD278" s="177"/>
      <c r="AE278" s="127">
        <f>SUM(AD278,AC278,AB278,Y278,U278,T278,S278,R278)*'1. Standard_Cost'!$B$31</f>
        <v>0</v>
      </c>
      <c r="AF278" s="127">
        <f>SUM(AE278,AD278,AC278,AB278,Y278,U278,T278,S278,R278)</f>
        <v>0</v>
      </c>
      <c r="AG278" s="174"/>
      <c r="AH278" s="174"/>
      <c r="AI278" s="174"/>
      <c r="AJ278" s="178"/>
      <c r="AK278" s="178"/>
      <c r="AL278" s="178"/>
      <c r="AM278" s="127">
        <f>AG278*'1. Standard_Cost'!$B$27+'Incremental_Cost Year 5'!AH278*'1. Standard_Cost'!$C$27+'Incremental_Cost Year 5'!AI278*'1. Standard_Cost'!$D$27+'Incremental_Cost Year 5'!AJ278+'Incremental_Cost Year 5'!AL278+AK278</f>
        <v>0</v>
      </c>
      <c r="AN278" s="127">
        <f>AM278*'1. Standard_Cost'!$C$31</f>
        <v>0</v>
      </c>
      <c r="AO278" s="178"/>
      <c r="AP278" s="256"/>
      <c r="AQ278" s="171">
        <f>L278+M278</f>
        <v>0</v>
      </c>
      <c r="AR278" s="171">
        <f>AF278</f>
        <v>0</v>
      </c>
      <c r="AS278" s="171">
        <f>AM278+AN278</f>
        <v>0</v>
      </c>
      <c r="AT278" s="171">
        <f>SUM(AQ278,AR278,AS278)</f>
        <v>0</v>
      </c>
      <c r="AU278" s="250">
        <f>AT278</f>
        <v>0</v>
      </c>
      <c r="AV278" s="250"/>
      <c r="AW278" s="250"/>
      <c r="AX278" s="250"/>
      <c r="AY278" s="250"/>
      <c r="AZ278" s="250"/>
      <c r="BA278" s="250"/>
      <c r="BB278" s="251">
        <f t="shared" ref="BB278:BB282" si="188">SUM(AU278:BA278)-AT278</f>
        <v>0</v>
      </c>
      <c r="BC278" s="169"/>
      <c r="BD278" s="169"/>
      <c r="BE278" s="169"/>
      <c r="BF278" s="169"/>
    </row>
    <row r="279" spans="1:58" ht="51.6" customHeight="1" x14ac:dyDescent="0.25">
      <c r="A279" s="172"/>
      <c r="B279" s="200"/>
      <c r="C279" s="201"/>
      <c r="D279" s="202"/>
      <c r="E279" s="357"/>
      <c r="F279" s="358"/>
      <c r="G279" s="359"/>
      <c r="H279" s="213" t="s">
        <v>364</v>
      </c>
      <c r="I279" s="178"/>
      <c r="J279" s="174"/>
      <c r="K279" s="174"/>
      <c r="L279" s="125" t="str">
        <f>IF(I279&lt;&gt;0,((VLOOKUP(I279,'1. Standard_Cost'!$B$4:$D$11,2)+VLOOKUP(I279,'1. Standard_Cost'!$B$4:$D$11,3))*J279*K279),"0")</f>
        <v>0</v>
      </c>
      <c r="M279" s="125">
        <f>L279*'1. Standard_Cost'!$F$4</f>
        <v>0</v>
      </c>
      <c r="N279" s="174"/>
      <c r="O279" s="174"/>
      <c r="P279" s="174"/>
      <c r="Q279" s="174"/>
      <c r="R279" s="127">
        <f>'1. Standard_Cost'!$B$15*N279*P279</f>
        <v>0</v>
      </c>
      <c r="S279" s="127">
        <f>N279*O279*P279*'1. Standard_Cost'!$C$15</f>
        <v>0</v>
      </c>
      <c r="T279" s="127">
        <f>N279*P279*Q279*'1. Standard_Cost'!$D$15</f>
        <v>0</v>
      </c>
      <c r="U279" s="127">
        <f>N279*O279*'1. Standard_Cost'!$E$15</f>
        <v>0</v>
      </c>
      <c r="V279" s="174"/>
      <c r="W279" s="174"/>
      <c r="X279" s="174"/>
      <c r="Y279" s="127">
        <f>+V279*((X279*'1. Standard_Cost'!$B$19)+(W279*X279*'1. Standard_Cost'!$C$19))</f>
        <v>0</v>
      </c>
      <c r="Z279" s="174"/>
      <c r="AA279" s="174"/>
      <c r="AB279" s="127">
        <f>+Z279*'1. Standard_Cost'!$B$23+AA279*'1. Standard_Cost'!$C$23</f>
        <v>0</v>
      </c>
      <c r="AC279" s="176"/>
      <c r="AD279" s="177"/>
      <c r="AE279" s="127">
        <f>SUM(AD279,AC279,AB279,Y279,U279,T279,S279,R279)*'1. Standard_Cost'!$B$31</f>
        <v>0</v>
      </c>
      <c r="AF279" s="127">
        <f>SUM(AE279,AD279,AC279,AB279,Y279,U279,T279,S279,R279)</f>
        <v>0</v>
      </c>
      <c r="AG279" s="174"/>
      <c r="AH279" s="174"/>
      <c r="AI279" s="174"/>
      <c r="AJ279" s="178"/>
      <c r="AK279" s="178"/>
      <c r="AL279" s="178"/>
      <c r="AM279" s="127">
        <f>AG279*'1. Standard_Cost'!$B$27+'Incremental_Cost Year 5'!AH279*'1. Standard_Cost'!$C$27+'Incremental_Cost Year 5'!AI279*'1. Standard_Cost'!$D$27+'Incremental_Cost Year 5'!AJ279+'Incremental_Cost Year 5'!AL279+AK279</f>
        <v>0</v>
      </c>
      <c r="AN279" s="127">
        <f>AM279*'1. Standard_Cost'!$C$31</f>
        <v>0</v>
      </c>
      <c r="AO279" s="178"/>
      <c r="AP279" s="256"/>
      <c r="AQ279" s="171">
        <f>L279+M279</f>
        <v>0</v>
      </c>
      <c r="AR279" s="171">
        <f>AF279</f>
        <v>0</v>
      </c>
      <c r="AS279" s="171">
        <f>AM279+AN279</f>
        <v>0</v>
      </c>
      <c r="AT279" s="171">
        <f>SUM(AQ279,AR279,AS279)</f>
        <v>0</v>
      </c>
      <c r="AU279" s="250">
        <f>AT279</f>
        <v>0</v>
      </c>
      <c r="AV279" s="250"/>
      <c r="AW279" s="250"/>
      <c r="AX279" s="250"/>
      <c r="AY279" s="250"/>
      <c r="AZ279" s="250"/>
      <c r="BA279" s="250"/>
      <c r="BB279" s="251">
        <f t="shared" si="188"/>
        <v>0</v>
      </c>
      <c r="BC279" s="169"/>
      <c r="BD279" s="169"/>
      <c r="BE279" s="169"/>
      <c r="BF279" s="169"/>
    </row>
    <row r="280" spans="1:58" ht="51.6" customHeight="1" x14ac:dyDescent="0.25">
      <c r="A280" s="172"/>
      <c r="B280" s="200"/>
      <c r="C280" s="201"/>
      <c r="D280" s="202"/>
      <c r="E280" s="357"/>
      <c r="F280" s="358"/>
      <c r="G280" s="359"/>
      <c r="H280" s="213" t="s">
        <v>365</v>
      </c>
      <c r="I280" s="178" t="s">
        <v>3</v>
      </c>
      <c r="J280" s="174">
        <v>2</v>
      </c>
      <c r="K280" s="174">
        <v>20</v>
      </c>
      <c r="L280" s="125">
        <f>IF(I280&lt;&gt;0,((VLOOKUP(I280,'1. Standard_Cost'!$B$4:$D$11,2)+VLOOKUP(I280,'1. Standard_Cost'!$B$4:$D$11,3))*J280*K280),"0")</f>
        <v>4032000</v>
      </c>
      <c r="M280" s="125">
        <f>L280*'1. Standard_Cost'!$F$4</f>
        <v>673344</v>
      </c>
      <c r="N280" s="174"/>
      <c r="O280" s="174"/>
      <c r="P280" s="174"/>
      <c r="Q280" s="174"/>
      <c r="R280" s="127">
        <f>'1. Standard_Cost'!$B$15*N280*P280</f>
        <v>0</v>
      </c>
      <c r="S280" s="127">
        <f>N280*O280*P280*'1. Standard_Cost'!$C$15</f>
        <v>0</v>
      </c>
      <c r="T280" s="127">
        <f>N280*P280*Q280*'1. Standard_Cost'!$D$15</f>
        <v>0</v>
      </c>
      <c r="U280" s="127">
        <f>N280*O280*'1. Standard_Cost'!$E$15</f>
        <v>0</v>
      </c>
      <c r="V280" s="174"/>
      <c r="W280" s="174"/>
      <c r="X280" s="174"/>
      <c r="Y280" s="127">
        <f>+V280*((X280*'1. Standard_Cost'!$B$19)+(W280*X280*'1. Standard_Cost'!$C$19))</f>
        <v>0</v>
      </c>
      <c r="Z280" s="174"/>
      <c r="AA280" s="174"/>
      <c r="AB280" s="127">
        <f>+Z280*'1. Standard_Cost'!$B$23+AA280*'1. Standard_Cost'!$C$23</f>
        <v>0</v>
      </c>
      <c r="AC280" s="176"/>
      <c r="AD280" s="177"/>
      <c r="AE280" s="127">
        <f>SUM(AD280,AC280,AB280,Y280,U280,T280,S280,R280)*'1. Standard_Cost'!$B$31</f>
        <v>0</v>
      </c>
      <c r="AF280" s="127">
        <f>SUM(AE280,AD280,AC280,AB280,Y280,U280,T280,S280,R280)</f>
        <v>0</v>
      </c>
      <c r="AG280" s="174"/>
      <c r="AH280" s="174"/>
      <c r="AI280" s="174"/>
      <c r="AJ280" s="178"/>
      <c r="AK280" s="178"/>
      <c r="AL280" s="178"/>
      <c r="AM280" s="127">
        <f>AG280*'1. Standard_Cost'!$B$27+'Incremental_Cost Year 5'!AH280*'1. Standard_Cost'!$C$27+'Incremental_Cost Year 5'!AI280*'1. Standard_Cost'!$D$27+'Incremental_Cost Year 5'!AJ280+'Incremental_Cost Year 5'!AL280+AK280</f>
        <v>0</v>
      </c>
      <c r="AN280" s="127">
        <f>AM280*'1. Standard_Cost'!$C$31</f>
        <v>0</v>
      </c>
      <c r="AO280" s="178"/>
      <c r="AP280" s="256"/>
      <c r="AQ280" s="171">
        <f>L280+M280</f>
        <v>4705344</v>
      </c>
      <c r="AR280" s="171">
        <f>AF280</f>
        <v>0</v>
      </c>
      <c r="AS280" s="171">
        <f>AM280+AN280</f>
        <v>0</v>
      </c>
      <c r="AT280" s="171">
        <f>SUM(AQ280,AR280,AS280)</f>
        <v>4705344</v>
      </c>
      <c r="AU280" s="250">
        <f>AT280</f>
        <v>4705344</v>
      </c>
      <c r="AV280" s="250"/>
      <c r="AW280" s="250"/>
      <c r="AX280" s="250"/>
      <c r="AY280" s="250"/>
      <c r="AZ280" s="250"/>
      <c r="BA280" s="250"/>
      <c r="BB280" s="251">
        <f t="shared" si="188"/>
        <v>0</v>
      </c>
      <c r="BC280" s="169"/>
      <c r="BD280" s="169"/>
      <c r="BE280" s="169"/>
      <c r="BF280" s="169"/>
    </row>
    <row r="281" spans="1:58" ht="51.6" customHeight="1" x14ac:dyDescent="0.25">
      <c r="A281" s="172"/>
      <c r="B281" s="200"/>
      <c r="C281" s="201"/>
      <c r="D281" s="202"/>
      <c r="E281" s="357"/>
      <c r="F281" s="358"/>
      <c r="G281" s="359"/>
      <c r="H281" s="369"/>
      <c r="I281" s="178"/>
      <c r="J281" s="174"/>
      <c r="K281" s="174"/>
      <c r="L281" s="125" t="str">
        <f>IF(I281&lt;&gt;0,((VLOOKUP(I281,'1. Standard_Cost'!$B$4:$D$11,2)+VLOOKUP(I281,'1. Standard_Cost'!$B$4:$D$11,3))*J281*K281),"0")</f>
        <v>0</v>
      </c>
      <c r="M281" s="125">
        <f>L281*'1. Standard_Cost'!$F$4</f>
        <v>0</v>
      </c>
      <c r="N281" s="174"/>
      <c r="O281" s="174"/>
      <c r="P281" s="174"/>
      <c r="Q281" s="174"/>
      <c r="R281" s="127">
        <f>'1. Standard_Cost'!$B$15*N281*P281</f>
        <v>0</v>
      </c>
      <c r="S281" s="127">
        <f>N281*O281*P281*'1. Standard_Cost'!$C$15</f>
        <v>0</v>
      </c>
      <c r="T281" s="127">
        <f>N281*P281*Q281*'1. Standard_Cost'!$D$15</f>
        <v>0</v>
      </c>
      <c r="U281" s="127">
        <f>N281*O281*'1. Standard_Cost'!$E$15</f>
        <v>0</v>
      </c>
      <c r="V281" s="174"/>
      <c r="W281" s="174"/>
      <c r="X281" s="174"/>
      <c r="Y281" s="127">
        <f>+V281*((X281*'1. Standard_Cost'!$B$19)+(W281*X281*'1. Standard_Cost'!$C$19))</f>
        <v>0</v>
      </c>
      <c r="Z281" s="174"/>
      <c r="AA281" s="174"/>
      <c r="AB281" s="127">
        <f>+Z281*'1. Standard_Cost'!$B$23+AA281*'1. Standard_Cost'!$C$23</f>
        <v>0</v>
      </c>
      <c r="AC281" s="176"/>
      <c r="AD281" s="177"/>
      <c r="AE281" s="127">
        <f>SUM(AD281,AC281,AB281,Y281,U281,T281,S281,R281)*'1. Standard_Cost'!$B$31</f>
        <v>0</v>
      </c>
      <c r="AF281" s="127">
        <f>SUM(AE281,AD281,AC281,AB281,Y281,U281,T281,S281,R281)</f>
        <v>0</v>
      </c>
      <c r="AG281" s="174"/>
      <c r="AH281" s="174"/>
      <c r="AI281" s="174"/>
      <c r="AJ281" s="178"/>
      <c r="AK281" s="178"/>
      <c r="AL281" s="178"/>
      <c r="AM281" s="127">
        <f>AG281*'1. Standard_Cost'!$B$27+'Incremental_Cost Year 5'!AH281*'1. Standard_Cost'!$C$27+'Incremental_Cost Year 5'!AI281*'1. Standard_Cost'!$D$27+'Incremental_Cost Year 5'!AJ281+'Incremental_Cost Year 5'!AL281+AK281</f>
        <v>0</v>
      </c>
      <c r="AN281" s="127">
        <f>AM281*'1. Standard_Cost'!$C$31</f>
        <v>0</v>
      </c>
      <c r="AO281" s="178"/>
      <c r="AP281" s="256"/>
      <c r="AQ281" s="171">
        <f>L281+M281</f>
        <v>0</v>
      </c>
      <c r="AR281" s="171">
        <f>AF281</f>
        <v>0</v>
      </c>
      <c r="AS281" s="171">
        <f>AM281+AN281</f>
        <v>0</v>
      </c>
      <c r="AT281" s="171">
        <f>SUM(AQ281,AR281,AS281)</f>
        <v>0</v>
      </c>
      <c r="AU281" s="250"/>
      <c r="AV281" s="250"/>
      <c r="AW281" s="250"/>
      <c r="AX281" s="250"/>
      <c r="AY281" s="250"/>
      <c r="AZ281" s="250"/>
      <c r="BA281" s="250"/>
      <c r="BB281" s="251">
        <f t="shared" si="188"/>
        <v>0</v>
      </c>
      <c r="BC281" s="169"/>
      <c r="BD281" s="169"/>
      <c r="BE281" s="169"/>
      <c r="BF281" s="169"/>
    </row>
    <row r="282" spans="1:58" ht="51.6" customHeight="1" x14ac:dyDescent="0.25">
      <c r="A282" s="172"/>
      <c r="B282" s="200"/>
      <c r="C282" s="201"/>
      <c r="D282" s="202"/>
      <c r="E282" s="360"/>
      <c r="F282" s="361"/>
      <c r="G282" s="362"/>
      <c r="H282" s="213" t="s">
        <v>366</v>
      </c>
      <c r="I282" s="178" t="s">
        <v>3</v>
      </c>
      <c r="J282" s="174">
        <v>12</v>
      </c>
      <c r="K282" s="174">
        <v>3</v>
      </c>
      <c r="L282" s="125">
        <f>IF(I282&lt;&gt;0,((VLOOKUP(I282,'1. Standard_Cost'!$B$4:$D$11,2)+VLOOKUP(I282,'1. Standard_Cost'!$B$4:$D$11,3))*J282*K282),"0")</f>
        <v>3628800</v>
      </c>
      <c r="M282" s="125">
        <f>L282*'1. Standard_Cost'!$F$4</f>
        <v>606009.59999999998</v>
      </c>
      <c r="N282" s="174"/>
      <c r="O282" s="174"/>
      <c r="P282" s="174"/>
      <c r="Q282" s="174"/>
      <c r="R282" s="127">
        <f>'1. Standard_Cost'!$B$15*N282*P282</f>
        <v>0</v>
      </c>
      <c r="S282" s="127">
        <f>N282*O282*P282*'1. Standard_Cost'!$C$15</f>
        <v>0</v>
      </c>
      <c r="T282" s="127">
        <f>N282*P282*Q282*'1. Standard_Cost'!$D$15</f>
        <v>0</v>
      </c>
      <c r="U282" s="127">
        <f>N282*O282*'1. Standard_Cost'!$E$15</f>
        <v>0</v>
      </c>
      <c r="V282" s="174"/>
      <c r="W282" s="174"/>
      <c r="X282" s="174"/>
      <c r="Y282" s="127">
        <f>+V282*((X282*'1. Standard_Cost'!$B$19)+(W282*X282*'1. Standard_Cost'!$C$19))</f>
        <v>0</v>
      </c>
      <c r="Z282" s="174"/>
      <c r="AA282" s="174"/>
      <c r="AB282" s="127">
        <f>+Z282*'1. Standard_Cost'!$B$23+AA282*'1. Standard_Cost'!$C$23</f>
        <v>0</v>
      </c>
      <c r="AC282" s="176"/>
      <c r="AD282" s="177"/>
      <c r="AE282" s="127">
        <f>SUM(AD282,AC282,AB282,Y282,U282,T282,S282,R282)*'1. Standard_Cost'!$B$31</f>
        <v>0</v>
      </c>
      <c r="AF282" s="127">
        <f>SUM(AE282,AD282,AC282,AB282,Y282,U282,T282,S282,R282)</f>
        <v>0</v>
      </c>
      <c r="AG282" s="174"/>
      <c r="AH282" s="174"/>
      <c r="AI282" s="174"/>
      <c r="AJ282" s="178"/>
      <c r="AK282" s="178"/>
      <c r="AL282" s="178"/>
      <c r="AM282" s="127">
        <f>AG282*'1. Standard_Cost'!$B$27+'Incremental_Cost Year 5'!AH282*'1. Standard_Cost'!$C$27+'Incremental_Cost Year 5'!AI282*'1. Standard_Cost'!$D$27+'Incremental_Cost Year 5'!AJ282+'Incremental_Cost Year 5'!AL282+AK282</f>
        <v>0</v>
      </c>
      <c r="AN282" s="127">
        <f>AM282*'1. Standard_Cost'!$C$31</f>
        <v>0</v>
      </c>
      <c r="AO282" s="178"/>
      <c r="AP282" s="256"/>
      <c r="AQ282" s="171">
        <f>L282+M282</f>
        <v>4234809.5999999996</v>
      </c>
      <c r="AR282" s="171">
        <f>AF282</f>
        <v>0</v>
      </c>
      <c r="AS282" s="171">
        <f>AM282+AN282</f>
        <v>0</v>
      </c>
      <c r="AT282" s="171">
        <f>SUM(AQ282,AR282,AS282)</f>
        <v>4234809.5999999996</v>
      </c>
      <c r="AU282" s="250">
        <f>AT282</f>
        <v>4234809.5999999996</v>
      </c>
      <c r="AV282" s="250"/>
      <c r="AW282" s="250"/>
      <c r="AX282" s="250"/>
      <c r="AY282" s="250"/>
      <c r="AZ282" s="250"/>
      <c r="BA282" s="250"/>
      <c r="BB282" s="251">
        <f t="shared" si="188"/>
        <v>0</v>
      </c>
      <c r="BC282" s="169"/>
      <c r="BD282" s="169"/>
      <c r="BE282" s="169"/>
      <c r="BF282" s="169"/>
    </row>
    <row r="283" spans="1:58" ht="51.6" customHeight="1" x14ac:dyDescent="0.2">
      <c r="A283" s="172"/>
      <c r="B283" s="168"/>
      <c r="C283" s="204"/>
      <c r="D283" s="212" t="s">
        <v>559</v>
      </c>
      <c r="E283" s="212" t="s">
        <v>355</v>
      </c>
      <c r="F283" s="212">
        <v>2021</v>
      </c>
      <c r="G283" s="212">
        <v>2030</v>
      </c>
      <c r="H283" s="182" t="s">
        <v>356</v>
      </c>
      <c r="I283" s="273"/>
      <c r="J283" s="273"/>
      <c r="K283" s="273"/>
      <c r="L283" s="175">
        <f>SUM(L278:L282)</f>
        <v>7660800</v>
      </c>
      <c r="M283" s="175">
        <f>SUM(M278:M282)</f>
        <v>1279353.6000000001</v>
      </c>
      <c r="N283" s="273"/>
      <c r="O283" s="273"/>
      <c r="P283" s="273"/>
      <c r="Q283" s="273"/>
      <c r="R283" s="175">
        <f>SUM(R278:R282)</f>
        <v>0</v>
      </c>
      <c r="S283" s="175">
        <f>SUM(S278:S282)</f>
        <v>0</v>
      </c>
      <c r="T283" s="175">
        <f>SUM(T278:T282)</f>
        <v>0</v>
      </c>
      <c r="U283" s="175">
        <f>SUM(U278:U282)</f>
        <v>0</v>
      </c>
      <c r="V283" s="273"/>
      <c r="W283" s="273"/>
      <c r="X283" s="273"/>
      <c r="Y283" s="175">
        <f>SUM(Y278:Y282)</f>
        <v>0</v>
      </c>
      <c r="Z283" s="175"/>
      <c r="AA283" s="273"/>
      <c r="AB283" s="175">
        <f>SUM(AB278:AB282)</f>
        <v>0</v>
      </c>
      <c r="AC283" s="175">
        <f>SUM(AC278:AC282)</f>
        <v>0</v>
      </c>
      <c r="AD283" s="175">
        <f>SUM(AD278:AD282)</f>
        <v>0</v>
      </c>
      <c r="AE283" s="175">
        <f>SUM(AE278:AE282)</f>
        <v>0</v>
      </c>
      <c r="AF283" s="175">
        <f>SUM(AF278:AF282)</f>
        <v>0</v>
      </c>
      <c r="AG283" s="273"/>
      <c r="AH283" s="273"/>
      <c r="AI283" s="273"/>
      <c r="AJ283" s="175">
        <f>SUM(AJ278:AJ282)</f>
        <v>0</v>
      </c>
      <c r="AK283" s="175">
        <f>SUM(AK278:AK282)</f>
        <v>0</v>
      </c>
      <c r="AL283" s="175">
        <f>SUM(AL278:AL282)</f>
        <v>0</v>
      </c>
      <c r="AM283" s="175">
        <f>SUM(AM278:AM282)</f>
        <v>0</v>
      </c>
      <c r="AN283" s="175">
        <f>SUM(AN278:AN282)</f>
        <v>0</v>
      </c>
      <c r="AO283" s="274"/>
      <c r="AP283" s="254"/>
      <c r="AQ283" s="175">
        <f t="shared" ref="AQ283:AT283" si="189">SUM(AQ278:AQ282)</f>
        <v>8940153.5999999996</v>
      </c>
      <c r="AR283" s="175">
        <f t="shared" si="189"/>
        <v>0</v>
      </c>
      <c r="AS283" s="175">
        <f t="shared" si="189"/>
        <v>0</v>
      </c>
      <c r="AT283" s="175">
        <f t="shared" si="189"/>
        <v>8940153.5999999996</v>
      </c>
      <c r="AU283" s="175">
        <f t="shared" ref="AU283:BB283" si="190">SUM(AU278:AU282)</f>
        <v>8940153.5999999996</v>
      </c>
      <c r="AV283" s="175">
        <f t="shared" si="190"/>
        <v>0</v>
      </c>
      <c r="AW283" s="175">
        <f t="shared" si="190"/>
        <v>0</v>
      </c>
      <c r="AX283" s="175">
        <f t="shared" si="190"/>
        <v>0</v>
      </c>
      <c r="AY283" s="175">
        <f t="shared" si="190"/>
        <v>0</v>
      </c>
      <c r="AZ283" s="175">
        <f t="shared" si="190"/>
        <v>0</v>
      </c>
      <c r="BA283" s="175">
        <f t="shared" si="190"/>
        <v>0</v>
      </c>
      <c r="BB283" s="175">
        <f t="shared" si="190"/>
        <v>0</v>
      </c>
      <c r="BC283" s="169"/>
      <c r="BD283" s="169"/>
      <c r="BE283" s="169"/>
      <c r="BF283" s="169"/>
    </row>
    <row r="284" spans="1:58" ht="51.6" customHeight="1" x14ac:dyDescent="0.2">
      <c r="A284" s="179"/>
      <c r="B284" s="290"/>
      <c r="C284" s="391" t="s">
        <v>357</v>
      </c>
      <c r="D284" s="391"/>
      <c r="E284" s="392"/>
      <c r="F284" s="287"/>
      <c r="G284" s="289"/>
      <c r="H284" s="181" t="s">
        <v>358</v>
      </c>
      <c r="I284" s="271"/>
      <c r="J284" s="271"/>
      <c r="K284" s="271"/>
      <c r="L284" s="261">
        <f>L289</f>
        <v>0</v>
      </c>
      <c r="M284" s="261">
        <f>M289</f>
        <v>0</v>
      </c>
      <c r="N284" s="271"/>
      <c r="O284" s="271"/>
      <c r="P284" s="271"/>
      <c r="Q284" s="271"/>
      <c r="R284" s="261">
        <f>R289</f>
        <v>0</v>
      </c>
      <c r="S284" s="261">
        <f>S289</f>
        <v>0</v>
      </c>
      <c r="T284" s="261">
        <f>T289</f>
        <v>0</v>
      </c>
      <c r="U284" s="261">
        <f>U289</f>
        <v>0</v>
      </c>
      <c r="V284" s="271"/>
      <c r="W284" s="271"/>
      <c r="X284" s="271"/>
      <c r="Y284" s="261">
        <f>Y289</f>
        <v>0</v>
      </c>
      <c r="Z284" s="261"/>
      <c r="AA284" s="261"/>
      <c r="AB284" s="261">
        <f>AB289</f>
        <v>0</v>
      </c>
      <c r="AC284" s="261">
        <f>AC289</f>
        <v>0</v>
      </c>
      <c r="AD284" s="261">
        <f>AD289</f>
        <v>0</v>
      </c>
      <c r="AE284" s="261">
        <f>AE289</f>
        <v>0</v>
      </c>
      <c r="AF284" s="261">
        <f>AF289</f>
        <v>0</v>
      </c>
      <c r="AG284" s="271"/>
      <c r="AH284" s="271"/>
      <c r="AI284" s="271"/>
      <c r="AJ284" s="261">
        <f>AJ289</f>
        <v>0</v>
      </c>
      <c r="AK284" s="261">
        <f>AK289</f>
        <v>0</v>
      </c>
      <c r="AL284" s="261">
        <f>AL289</f>
        <v>0</v>
      </c>
      <c r="AM284" s="261">
        <f>AM289</f>
        <v>0</v>
      </c>
      <c r="AN284" s="261">
        <f>AN289</f>
        <v>0</v>
      </c>
      <c r="AO284" s="272"/>
      <c r="AP284" s="260"/>
      <c r="AQ284" s="261">
        <f t="shared" ref="AQ284:BB284" si="191">AQ289</f>
        <v>0</v>
      </c>
      <c r="AR284" s="261">
        <f t="shared" si="191"/>
        <v>0</v>
      </c>
      <c r="AS284" s="261">
        <f t="shared" si="191"/>
        <v>0</v>
      </c>
      <c r="AT284" s="261">
        <f t="shared" si="191"/>
        <v>0</v>
      </c>
      <c r="AU284" s="261">
        <f t="shared" si="191"/>
        <v>0</v>
      </c>
      <c r="AV284" s="261">
        <f t="shared" si="191"/>
        <v>0</v>
      </c>
      <c r="AW284" s="261">
        <f t="shared" si="191"/>
        <v>0</v>
      </c>
      <c r="AX284" s="261">
        <f t="shared" si="191"/>
        <v>0</v>
      </c>
      <c r="AY284" s="261">
        <f t="shared" si="191"/>
        <v>0</v>
      </c>
      <c r="AZ284" s="261">
        <f t="shared" si="191"/>
        <v>0</v>
      </c>
      <c r="BA284" s="261">
        <f t="shared" si="191"/>
        <v>0</v>
      </c>
      <c r="BB284" s="261">
        <f t="shared" si="191"/>
        <v>0</v>
      </c>
      <c r="BC284" s="184"/>
      <c r="BD284" s="184"/>
      <c r="BE284" s="184"/>
      <c r="BF284" s="184"/>
    </row>
    <row r="285" spans="1:58" ht="51.6" customHeight="1" x14ac:dyDescent="0.25">
      <c r="A285" s="172"/>
      <c r="B285" s="354"/>
      <c r="C285" s="356"/>
      <c r="D285" s="342"/>
      <c r="E285" s="328"/>
      <c r="F285" s="328"/>
      <c r="G285" s="328"/>
      <c r="H285" s="213" t="s">
        <v>550</v>
      </c>
      <c r="I285" s="178"/>
      <c r="J285" s="174"/>
      <c r="K285" s="174"/>
      <c r="L285" s="125" t="str">
        <f>IF(I285&lt;&gt;0,((VLOOKUP(I285,'1. Standard_Cost'!$B$4:$D$11,2)+VLOOKUP(I285,'1. Standard_Cost'!$B$4:$D$11,3))*J285*K285),"0")</f>
        <v>0</v>
      </c>
      <c r="M285" s="125">
        <f>L285*'1. Standard_Cost'!$F$4</f>
        <v>0</v>
      </c>
      <c r="N285" s="174"/>
      <c r="O285" s="174"/>
      <c r="P285" s="174"/>
      <c r="Q285" s="174"/>
      <c r="R285" s="127">
        <f>'1. Standard_Cost'!$B$15*N285*P285</f>
        <v>0</v>
      </c>
      <c r="S285" s="127">
        <f>N285*O285*P285*'1. Standard_Cost'!$C$15</f>
        <v>0</v>
      </c>
      <c r="T285" s="127">
        <f>N285*P285*Q285*'1. Standard_Cost'!$D$15</f>
        <v>0</v>
      </c>
      <c r="U285" s="127">
        <f>N285*O285*'1. Standard_Cost'!$E$15</f>
        <v>0</v>
      </c>
      <c r="V285" s="174"/>
      <c r="W285" s="174"/>
      <c r="X285" s="174"/>
      <c r="Y285" s="127">
        <f>+V285*((X285*'1. Standard_Cost'!$B$19)+(W285*X285*'1. Standard_Cost'!$C$19))</f>
        <v>0</v>
      </c>
      <c r="Z285" s="174"/>
      <c r="AA285" s="174"/>
      <c r="AB285" s="127">
        <f>+Z285*'1. Standard_Cost'!$B$23+AA285*'1. Standard_Cost'!$C$23</f>
        <v>0</v>
      </c>
      <c r="AC285" s="176"/>
      <c r="AD285" s="177"/>
      <c r="AE285" s="127">
        <f>SUM(AD285,AC285,AB285,Y285,U285,T285,S285,R285)*'1. Standard_Cost'!$B$31</f>
        <v>0</v>
      </c>
      <c r="AF285" s="127">
        <f>SUM(AE285,AD285,AC285,AB285,Y285,U285,T285,S285,R285)</f>
        <v>0</v>
      </c>
      <c r="AG285" s="174"/>
      <c r="AH285" s="174"/>
      <c r="AI285" s="174"/>
      <c r="AJ285" s="178"/>
      <c r="AK285" s="178"/>
      <c r="AL285" s="178"/>
      <c r="AM285" s="127">
        <f>AG285*'1. Standard_Cost'!$B$27+'Incremental_Cost Year 5'!AH285*'1. Standard_Cost'!$C$27+'Incremental_Cost Year 5'!AI285*'1. Standard_Cost'!$D$27+'Incremental_Cost Year 5'!AJ285+'Incremental_Cost Year 5'!AL285+AK285</f>
        <v>0</v>
      </c>
      <c r="AN285" s="127">
        <f>AM285*'1. Standard_Cost'!$C$31</f>
        <v>0</v>
      </c>
      <c r="AO285" s="178"/>
      <c r="AP285" s="256"/>
      <c r="AQ285" s="171">
        <f>L285+M285</f>
        <v>0</v>
      </c>
      <c r="AR285" s="171">
        <f>AF285</f>
        <v>0</v>
      </c>
      <c r="AS285" s="171">
        <f>AM285+AN285</f>
        <v>0</v>
      </c>
      <c r="AT285" s="171">
        <f>SUM(AQ285,AR285,AS285)</f>
        <v>0</v>
      </c>
      <c r="AU285" s="250"/>
      <c r="AV285" s="250"/>
      <c r="AW285" s="250"/>
      <c r="AX285" s="250"/>
      <c r="AY285" s="250"/>
      <c r="AZ285" s="250"/>
      <c r="BA285" s="250"/>
      <c r="BB285" s="251">
        <f t="shared" ref="BB285:BB288" si="192">SUM(AU285:BA285)-AT285</f>
        <v>0</v>
      </c>
      <c r="BC285" s="169"/>
      <c r="BD285" s="169"/>
      <c r="BE285" s="169"/>
      <c r="BF285" s="169"/>
    </row>
    <row r="286" spans="1:58" ht="51.6" customHeight="1" x14ac:dyDescent="0.25">
      <c r="A286" s="172"/>
      <c r="B286" s="357"/>
      <c r="C286" s="359"/>
      <c r="D286" s="343"/>
      <c r="E286" s="328"/>
      <c r="F286" s="328"/>
      <c r="G286" s="328"/>
      <c r="H286" s="213" t="s">
        <v>555</v>
      </c>
      <c r="I286" s="178"/>
      <c r="J286" s="174"/>
      <c r="K286" s="174"/>
      <c r="L286" s="125" t="str">
        <f>IF(I286&lt;&gt;0,((VLOOKUP(I286,'1. Standard_Cost'!$B$4:$D$11,2)+VLOOKUP(I286,'1. Standard_Cost'!$B$4:$D$11,3))*J286*K286),"0")</f>
        <v>0</v>
      </c>
      <c r="M286" s="125">
        <f>L286*'1. Standard_Cost'!$F$4</f>
        <v>0</v>
      </c>
      <c r="N286" s="174"/>
      <c r="O286" s="174"/>
      <c r="P286" s="174"/>
      <c r="Q286" s="174"/>
      <c r="R286" s="127">
        <f>'1. Standard_Cost'!$B$15*N286*P286</f>
        <v>0</v>
      </c>
      <c r="S286" s="127">
        <f>N286*O286*P286*'1. Standard_Cost'!$C$15</f>
        <v>0</v>
      </c>
      <c r="T286" s="127">
        <f>N286*P286*Q286*'1. Standard_Cost'!$D$15</f>
        <v>0</v>
      </c>
      <c r="U286" s="127">
        <f>N286*O286*'1. Standard_Cost'!$E$15</f>
        <v>0</v>
      </c>
      <c r="V286" s="174"/>
      <c r="W286" s="174"/>
      <c r="X286" s="174"/>
      <c r="Y286" s="127">
        <f>+V286*((X286*'1. Standard_Cost'!$B$19)+(W286*X286*'1. Standard_Cost'!$C$19))</f>
        <v>0</v>
      </c>
      <c r="Z286" s="174"/>
      <c r="AA286" s="174"/>
      <c r="AB286" s="127">
        <f>+Z286*'1. Standard_Cost'!$B$23+AA286*'1. Standard_Cost'!$C$23</f>
        <v>0</v>
      </c>
      <c r="AC286" s="176"/>
      <c r="AD286" s="177"/>
      <c r="AE286" s="127">
        <f>SUM(AD286,AC286,AB286,Y286,U286,T286,S286,R286)*'1. Standard_Cost'!$B$31</f>
        <v>0</v>
      </c>
      <c r="AF286" s="127">
        <f>SUM(AE286,AD286,AC286,AB286,Y286,U286,T286,S286,R286)</f>
        <v>0</v>
      </c>
      <c r="AG286" s="174"/>
      <c r="AH286" s="174"/>
      <c r="AI286" s="174"/>
      <c r="AJ286" s="178"/>
      <c r="AK286" s="178"/>
      <c r="AL286" s="178"/>
      <c r="AM286" s="127">
        <f>AG286*'1. Standard_Cost'!$B$27+'Incremental_Cost Year 5'!AH286*'1. Standard_Cost'!$C$27+'Incremental_Cost Year 5'!AI286*'1. Standard_Cost'!$D$27+'Incremental_Cost Year 5'!AJ286+'Incremental_Cost Year 5'!AL286+AK286</f>
        <v>0</v>
      </c>
      <c r="AN286" s="127">
        <f>AM286*'1. Standard_Cost'!$C$31</f>
        <v>0</v>
      </c>
      <c r="AO286" s="178"/>
      <c r="AP286" s="256"/>
      <c r="AQ286" s="171">
        <f>L286+M286</f>
        <v>0</v>
      </c>
      <c r="AR286" s="171">
        <f>AF286</f>
        <v>0</v>
      </c>
      <c r="AS286" s="171">
        <f>AM286+AN286</f>
        <v>0</v>
      </c>
      <c r="AT286" s="171">
        <f>SUM(AQ286,AR286,AS286)</f>
        <v>0</v>
      </c>
      <c r="AU286" s="250"/>
      <c r="AV286" s="250"/>
      <c r="AW286" s="250"/>
      <c r="AX286" s="250"/>
      <c r="AY286" s="250"/>
      <c r="AZ286" s="250"/>
      <c r="BA286" s="250"/>
      <c r="BB286" s="251">
        <f t="shared" si="192"/>
        <v>0</v>
      </c>
      <c r="BC286" s="169"/>
      <c r="BD286" s="169"/>
      <c r="BE286" s="169"/>
      <c r="BF286" s="169"/>
    </row>
    <row r="287" spans="1:58" ht="51.6" customHeight="1" x14ac:dyDescent="0.25">
      <c r="A287" s="172"/>
      <c r="B287" s="357"/>
      <c r="C287" s="359"/>
      <c r="D287" s="343"/>
      <c r="E287" s="328"/>
      <c r="F287" s="328"/>
      <c r="G287" s="328"/>
      <c r="H287" s="213" t="s">
        <v>367</v>
      </c>
      <c r="I287" s="178"/>
      <c r="J287" s="174"/>
      <c r="K287" s="174"/>
      <c r="L287" s="125" t="str">
        <f>IF(I287&lt;&gt;0,((VLOOKUP(I287,'1. Standard_Cost'!$B$4:$D$11,2)+VLOOKUP(I287,'1. Standard_Cost'!$B$4:$D$11,3))*J287*K287),"0")</f>
        <v>0</v>
      </c>
      <c r="M287" s="125">
        <f>L287*'1. Standard_Cost'!$F$4</f>
        <v>0</v>
      </c>
      <c r="N287" s="174"/>
      <c r="O287" s="174"/>
      <c r="P287" s="174"/>
      <c r="Q287" s="174"/>
      <c r="R287" s="127">
        <f>'1. Standard_Cost'!$B$15*N287*P287</f>
        <v>0</v>
      </c>
      <c r="S287" s="127">
        <f>N287*O287*P287*'1. Standard_Cost'!$C$15</f>
        <v>0</v>
      </c>
      <c r="T287" s="127">
        <f>N287*P287*Q287*'1. Standard_Cost'!$D$15</f>
        <v>0</v>
      </c>
      <c r="U287" s="127">
        <f>N287*O287*'1. Standard_Cost'!$E$15</f>
        <v>0</v>
      </c>
      <c r="V287" s="174"/>
      <c r="W287" s="174"/>
      <c r="X287" s="174"/>
      <c r="Y287" s="127">
        <f>+V287*((X287*'1. Standard_Cost'!$B$19)+(W287*X287*'1. Standard_Cost'!$C$19))</f>
        <v>0</v>
      </c>
      <c r="Z287" s="174"/>
      <c r="AA287" s="174"/>
      <c r="AB287" s="127">
        <f>+Z287*'1. Standard_Cost'!$B$23+AA287*'1. Standard_Cost'!$C$23</f>
        <v>0</v>
      </c>
      <c r="AC287" s="176"/>
      <c r="AD287" s="177"/>
      <c r="AE287" s="127">
        <f>SUM(AD287,AC287,AB287,Y287,U287,T287,S287,R287)*'1. Standard_Cost'!$B$31</f>
        <v>0</v>
      </c>
      <c r="AF287" s="127">
        <f>SUM(AE287,AD287,AC287,AB287,Y287,U287,T287,S287,R287)</f>
        <v>0</v>
      </c>
      <c r="AG287" s="174"/>
      <c r="AH287" s="174"/>
      <c r="AI287" s="174"/>
      <c r="AJ287" s="178"/>
      <c r="AK287" s="178"/>
      <c r="AL287" s="178"/>
      <c r="AM287" s="127">
        <f>AG287*'1. Standard_Cost'!$B$27+'Incremental_Cost Year 5'!AH287*'1. Standard_Cost'!$C$27+'Incremental_Cost Year 5'!AI287*'1. Standard_Cost'!$D$27+'Incremental_Cost Year 5'!AJ287+'Incremental_Cost Year 5'!AL287+AK287</f>
        <v>0</v>
      </c>
      <c r="AN287" s="127">
        <f>AM287*'1. Standard_Cost'!$C$31</f>
        <v>0</v>
      </c>
      <c r="AO287" s="178"/>
      <c r="AP287" s="256"/>
      <c r="AQ287" s="171">
        <f>L287+M287</f>
        <v>0</v>
      </c>
      <c r="AR287" s="171">
        <f>AF287</f>
        <v>0</v>
      </c>
      <c r="AS287" s="171">
        <f>AM287+AN287</f>
        <v>0</v>
      </c>
      <c r="AT287" s="171">
        <f>SUM(AQ287,AR287,AS287)</f>
        <v>0</v>
      </c>
      <c r="AU287" s="250">
        <f>AT287</f>
        <v>0</v>
      </c>
      <c r="AV287" s="250"/>
      <c r="AW287" s="250"/>
      <c r="AX287" s="250"/>
      <c r="AY287" s="250"/>
      <c r="AZ287" s="250"/>
      <c r="BA287" s="250"/>
      <c r="BB287" s="251">
        <f t="shared" si="192"/>
        <v>0</v>
      </c>
      <c r="BC287" s="169"/>
      <c r="BD287" s="169"/>
      <c r="BE287" s="169"/>
      <c r="BF287" s="169"/>
    </row>
    <row r="288" spans="1:58" ht="51.6" customHeight="1" x14ac:dyDescent="0.25">
      <c r="A288" s="172"/>
      <c r="B288" s="360"/>
      <c r="C288" s="362"/>
      <c r="D288" s="344"/>
      <c r="E288" s="328"/>
      <c r="F288" s="328"/>
      <c r="G288" s="328"/>
      <c r="H288" s="213" t="s">
        <v>368</v>
      </c>
      <c r="I288" s="178"/>
      <c r="J288" s="174"/>
      <c r="K288" s="174"/>
      <c r="L288" s="125" t="str">
        <f>IF(I288&lt;&gt;0,((VLOOKUP(I288,'1. Standard_Cost'!$B$4:$D$11,2)+VLOOKUP(I288,'1. Standard_Cost'!$B$4:$D$11,3))*J288*K288),"0")</f>
        <v>0</v>
      </c>
      <c r="M288" s="125">
        <f>L288*'1. Standard_Cost'!$F$4</f>
        <v>0</v>
      </c>
      <c r="N288" s="174"/>
      <c r="O288" s="174"/>
      <c r="P288" s="174"/>
      <c r="Q288" s="174"/>
      <c r="R288" s="127">
        <f>'1. Standard_Cost'!$B$15*N288*P288</f>
        <v>0</v>
      </c>
      <c r="S288" s="127">
        <f>N288*O288*P288*'1. Standard_Cost'!$C$15</f>
        <v>0</v>
      </c>
      <c r="T288" s="127">
        <f>N288*P288*Q288*'1. Standard_Cost'!$D$15</f>
        <v>0</v>
      </c>
      <c r="U288" s="127">
        <f>N288*O288*'1. Standard_Cost'!$E$15</f>
        <v>0</v>
      </c>
      <c r="V288" s="174"/>
      <c r="W288" s="174"/>
      <c r="X288" s="174"/>
      <c r="Y288" s="127">
        <f>+V288*((X288*'1. Standard_Cost'!$B$19)+(W288*X288*'1. Standard_Cost'!$C$19))</f>
        <v>0</v>
      </c>
      <c r="Z288" s="174"/>
      <c r="AA288" s="174"/>
      <c r="AB288" s="127">
        <f>+Z288*'1. Standard_Cost'!$B$23+AA288*'1. Standard_Cost'!$C$23</f>
        <v>0</v>
      </c>
      <c r="AC288" s="176"/>
      <c r="AD288" s="177"/>
      <c r="AE288" s="127">
        <f>SUM(AD288,AC288,AB288,Y288,U288,T288,S288,R288)*'1. Standard_Cost'!$B$31</f>
        <v>0</v>
      </c>
      <c r="AF288" s="127">
        <f>SUM(AE288,AD288,AC288,AB288,Y288,U288,T288,S288,R288)</f>
        <v>0</v>
      </c>
      <c r="AG288" s="174"/>
      <c r="AH288" s="174"/>
      <c r="AI288" s="174"/>
      <c r="AJ288" s="178"/>
      <c r="AK288" s="178"/>
      <c r="AL288" s="178"/>
      <c r="AM288" s="127">
        <f>AG288*'1. Standard_Cost'!$B$27+'Incremental_Cost Year 5'!AH288*'1. Standard_Cost'!$C$27+'Incremental_Cost Year 5'!AI288*'1. Standard_Cost'!$D$27+'Incremental_Cost Year 5'!AJ288+'Incremental_Cost Year 5'!AL288+AK288</f>
        <v>0</v>
      </c>
      <c r="AN288" s="127">
        <f>AM288*'1. Standard_Cost'!$C$31</f>
        <v>0</v>
      </c>
      <c r="AO288" s="178"/>
      <c r="AP288" s="256"/>
      <c r="AQ288" s="171">
        <f>L288+M288</f>
        <v>0</v>
      </c>
      <c r="AR288" s="171">
        <f>AF288</f>
        <v>0</v>
      </c>
      <c r="AS288" s="171">
        <f>AM288+AN288</f>
        <v>0</v>
      </c>
      <c r="AT288" s="171">
        <f>SUM(AQ288,AR288,AS288)</f>
        <v>0</v>
      </c>
      <c r="AU288" s="250">
        <f>AT288</f>
        <v>0</v>
      </c>
      <c r="AV288" s="250"/>
      <c r="AW288" s="250"/>
      <c r="AX288" s="250"/>
      <c r="AY288" s="250"/>
      <c r="AZ288" s="250"/>
      <c r="BA288" s="250"/>
      <c r="BB288" s="251">
        <f t="shared" si="192"/>
        <v>0</v>
      </c>
      <c r="BC288" s="169"/>
      <c r="BD288" s="169"/>
      <c r="BE288" s="169"/>
      <c r="BF288" s="169"/>
    </row>
    <row r="289" spans="1:54" ht="51.6" customHeight="1" x14ac:dyDescent="0.25">
      <c r="A289" s="167"/>
      <c r="B289" s="168"/>
      <c r="C289" s="204"/>
      <c r="D289" s="212" t="s">
        <v>388</v>
      </c>
      <c r="E289" s="212" t="s">
        <v>359</v>
      </c>
      <c r="F289" s="212">
        <v>2021</v>
      </c>
      <c r="G289" s="212">
        <v>2023</v>
      </c>
      <c r="H289" s="182" t="s">
        <v>360</v>
      </c>
      <c r="I289" s="273"/>
      <c r="J289" s="273"/>
      <c r="K289" s="273"/>
      <c r="L289" s="175">
        <f>SUM(L285:L288)</f>
        <v>0</v>
      </c>
      <c r="M289" s="175">
        <f>SUM(M285:M288)</f>
        <v>0</v>
      </c>
      <c r="N289" s="273"/>
      <c r="O289" s="273"/>
      <c r="P289" s="273"/>
      <c r="Q289" s="273"/>
      <c r="R289" s="175">
        <f>SUM(R285:R288)</f>
        <v>0</v>
      </c>
      <c r="S289" s="175">
        <f>SUM(S285:S288)</f>
        <v>0</v>
      </c>
      <c r="T289" s="175">
        <f>SUM(T285:T288)</f>
        <v>0</v>
      </c>
      <c r="U289" s="175">
        <f>SUM(U285:U288)</f>
        <v>0</v>
      </c>
      <c r="V289" s="273"/>
      <c r="W289" s="273"/>
      <c r="X289" s="273"/>
      <c r="Y289" s="175">
        <f>SUM(Y285:Y288)</f>
        <v>0</v>
      </c>
      <c r="Z289" s="175"/>
      <c r="AA289" s="273"/>
      <c r="AB289" s="175">
        <f>SUM(AB285:AB288)</f>
        <v>0</v>
      </c>
      <c r="AC289" s="175">
        <f>SUM(AC285:AC287)</f>
        <v>0</v>
      </c>
      <c r="AD289" s="175">
        <f>SUM(AD285:AD287)</f>
        <v>0</v>
      </c>
      <c r="AE289" s="175">
        <f>SUM(AE285:AE288)</f>
        <v>0</v>
      </c>
      <c r="AF289" s="175">
        <f>SUM(AF285:AF288)</f>
        <v>0</v>
      </c>
      <c r="AG289" s="273"/>
      <c r="AH289" s="273"/>
      <c r="AI289" s="273"/>
      <c r="AJ289" s="175">
        <f>SUM(AJ285:AJ287)</f>
        <v>0</v>
      </c>
      <c r="AK289" s="175">
        <f>SUM(AK285:AK287)</f>
        <v>0</v>
      </c>
      <c r="AL289" s="175">
        <f>SUM(AL285:AL287)</f>
        <v>0</v>
      </c>
      <c r="AM289" s="175">
        <f>SUM(AM285:AM288)</f>
        <v>0</v>
      </c>
      <c r="AN289" s="175">
        <f>SUM(AN285:AN288)</f>
        <v>0</v>
      </c>
      <c r="AO289" s="274"/>
      <c r="AP289" s="254"/>
      <c r="AQ289" s="175">
        <f t="shared" ref="AQ289:AT289" si="193">SUM(AQ285:AQ288)</f>
        <v>0</v>
      </c>
      <c r="AR289" s="175">
        <f t="shared" si="193"/>
        <v>0</v>
      </c>
      <c r="AS289" s="175">
        <f t="shared" si="193"/>
        <v>0</v>
      </c>
      <c r="AT289" s="175">
        <f t="shared" si="193"/>
        <v>0</v>
      </c>
      <c r="AU289" s="175">
        <f t="shared" ref="AU289:BB289" si="194">SUM(AU285:AU288)</f>
        <v>0</v>
      </c>
      <c r="AV289" s="175">
        <f t="shared" si="194"/>
        <v>0</v>
      </c>
      <c r="AW289" s="175">
        <f t="shared" si="194"/>
        <v>0</v>
      </c>
      <c r="AX289" s="175">
        <f t="shared" si="194"/>
        <v>0</v>
      </c>
      <c r="AY289" s="175">
        <f t="shared" si="194"/>
        <v>0</v>
      </c>
      <c r="AZ289" s="175">
        <f t="shared" si="194"/>
        <v>0</v>
      </c>
      <c r="BA289" s="175">
        <f t="shared" si="194"/>
        <v>0</v>
      </c>
      <c r="BB289" s="175">
        <f t="shared" si="194"/>
        <v>0</v>
      </c>
    </row>
    <row r="292" spans="1:54" ht="51.6" customHeight="1" x14ac:dyDescent="0.25">
      <c r="AQ292" s="239">
        <f>AQ5+AQ78+AQ150+AQ197+AQ244</f>
        <v>16863273521.464287</v>
      </c>
      <c r="AR292" s="239">
        <f t="shared" ref="AR292:BB292" si="195">AR5+AR78+AR150+AR197+AR244</f>
        <v>35557415406.599998</v>
      </c>
      <c r="AS292" s="239">
        <f t="shared" si="195"/>
        <v>2154414150</v>
      </c>
      <c r="AT292" s="239">
        <f t="shared" si="195"/>
        <v>54575103078.064285</v>
      </c>
      <c r="AU292" s="239">
        <f t="shared" si="195"/>
        <v>50596026318.259995</v>
      </c>
      <c r="AV292" s="239">
        <f t="shared" si="195"/>
        <v>0</v>
      </c>
      <c r="AW292" s="239">
        <f t="shared" si="195"/>
        <v>0</v>
      </c>
      <c r="AX292" s="239">
        <f t="shared" si="195"/>
        <v>0</v>
      </c>
      <c r="AY292" s="239">
        <f t="shared" si="195"/>
        <v>2346000</v>
      </c>
      <c r="AZ292" s="239">
        <f t="shared" si="195"/>
        <v>0</v>
      </c>
      <c r="BA292" s="239">
        <f t="shared" si="195"/>
        <v>0</v>
      </c>
      <c r="BB292" s="239">
        <f t="shared" si="195"/>
        <v>-3976730759.8042841</v>
      </c>
    </row>
  </sheetData>
  <mergeCells count="38">
    <mergeCell ref="C269:E269"/>
    <mergeCell ref="C277:E277"/>
    <mergeCell ref="C284:E284"/>
    <mergeCell ref="C232:E232"/>
    <mergeCell ref="C238:E238"/>
    <mergeCell ref="B244:E244"/>
    <mergeCell ref="C245:E245"/>
    <mergeCell ref="C259:E259"/>
    <mergeCell ref="B197:E197"/>
    <mergeCell ref="C198:E198"/>
    <mergeCell ref="C213:E213"/>
    <mergeCell ref="C221:E221"/>
    <mergeCell ref="C226:E226"/>
    <mergeCell ref="C140:E140"/>
    <mergeCell ref="B150:E150"/>
    <mergeCell ref="C151:E151"/>
    <mergeCell ref="C163:E163"/>
    <mergeCell ref="C182:E182"/>
    <mergeCell ref="C106:E106"/>
    <mergeCell ref="C111:E111"/>
    <mergeCell ref="C118:E118"/>
    <mergeCell ref="C123:E123"/>
    <mergeCell ref="C134:E134"/>
    <mergeCell ref="C61:E61"/>
    <mergeCell ref="B78:E78"/>
    <mergeCell ref="C79:E79"/>
    <mergeCell ref="C93:E93"/>
    <mergeCell ref="C100:E100"/>
    <mergeCell ref="C6:E6"/>
    <mergeCell ref="C16:E16"/>
    <mergeCell ref="C20:E20"/>
    <mergeCell ref="C40:E40"/>
    <mergeCell ref="C45:E45"/>
    <mergeCell ref="AQ2:BB2"/>
    <mergeCell ref="B1:H1"/>
    <mergeCell ref="B2:E2"/>
    <mergeCell ref="B3:E3"/>
    <mergeCell ref="B5:E5"/>
  </mergeCells>
  <conditionalFormatting sqref="BB203 BB220:BB221 BB235:BB243 BB231:BB233 BB212:BB213 BB225:BB226">
    <cfRule type="cellIs" dxfId="25735" priority="2461" operator="lessThan">
      <formula>0</formula>
    </cfRule>
    <cfRule type="cellIs" dxfId="25734" priority="2462" operator="lessThan">
      <formula>-105575</formula>
    </cfRule>
  </conditionalFormatting>
  <conditionalFormatting sqref="BB220 BB212:BB213 BB235:BB238 BB240:BB243 BB225:BB226 BB231:BB233">
    <cfRule type="cellIs" dxfId="25733" priority="2459" operator="lessThan">
      <formula>0</formula>
    </cfRule>
    <cfRule type="cellIs" dxfId="25732" priority="2460" operator="lessThan">
      <formula>-105575</formula>
    </cfRule>
  </conditionalFormatting>
  <conditionalFormatting sqref="BB220:BB221 BB243 BB226 BB231:BB236 BB238:BB241 BB203 BB213">
    <cfRule type="cellIs" dxfId="25731" priority="2457" operator="lessThan">
      <formula>0</formula>
    </cfRule>
    <cfRule type="cellIs" dxfId="25730" priority="2458" operator="lessThan">
      <formula>-105575</formula>
    </cfRule>
  </conditionalFormatting>
  <conditionalFormatting sqref="BB235:BB243 BB231:BB233 BB220 BB212:BB213 BB225:BB226">
    <cfRule type="cellIs" dxfId="25729" priority="2455" operator="lessThan">
      <formula>0</formula>
    </cfRule>
    <cfRule type="cellIs" dxfId="25728" priority="2456" operator="lessThan">
      <formula>-105575</formula>
    </cfRule>
  </conditionalFormatting>
  <conditionalFormatting sqref="BB220:BB221 BB237:BB243 BB203 BB231:BB235 BB212:BB213 BB225:BB226">
    <cfRule type="cellIs" dxfId="25727" priority="2453" operator="lessThan">
      <formula>0</formula>
    </cfRule>
    <cfRule type="cellIs" dxfId="25726" priority="2454" operator="lessThan">
      <formula>-105575</formula>
    </cfRule>
  </conditionalFormatting>
  <conditionalFormatting sqref="BB220:BB221 BB237:BB240 BB242:BB243 BB225:BB226 BB231:BB235">
    <cfRule type="cellIs" dxfId="25725" priority="2451" operator="lessThan">
      <formula>0</formula>
    </cfRule>
    <cfRule type="cellIs" dxfId="25724" priority="2452" operator="lessThan">
      <formula>-105575</formula>
    </cfRule>
  </conditionalFormatting>
  <conditionalFormatting sqref="BB212 BB231 BB233:BB238 BB240:BB243 BB225">
    <cfRule type="cellIs" dxfId="25723" priority="2449" operator="lessThan">
      <formula>0</formula>
    </cfRule>
    <cfRule type="cellIs" dxfId="25722" priority="2450" operator="lessThan">
      <formula>-105575</formula>
    </cfRule>
  </conditionalFormatting>
  <conditionalFormatting sqref="BB237:BB243 BB231:BB235 BB220:BB221 BB225:BB226">
    <cfRule type="cellIs" dxfId="25721" priority="2447" operator="lessThan">
      <formula>0</formula>
    </cfRule>
    <cfRule type="cellIs" dxfId="25720" priority="2448" operator="lessThan">
      <formula>-105575</formula>
    </cfRule>
  </conditionalFormatting>
  <conditionalFormatting sqref="BB233:BB237 BB231 BB239:BB243">
    <cfRule type="cellIs" dxfId="25719" priority="2445" operator="lessThan">
      <formula>0</formula>
    </cfRule>
    <cfRule type="cellIs" dxfId="25718" priority="2446" operator="lessThan">
      <formula>-105575</formula>
    </cfRule>
  </conditionalFormatting>
  <conditionalFormatting sqref="BB233:BB237 BB231 BB239:BB243">
    <cfRule type="cellIs" dxfId="25717" priority="2443" operator="lessThan">
      <formula>0</formula>
    </cfRule>
    <cfRule type="cellIs" dxfId="25716" priority="2444" operator="lessThan">
      <formula>-105575</formula>
    </cfRule>
  </conditionalFormatting>
  <conditionalFormatting sqref="BB119:BB128 BB106:BB117 BB101:BB104 BB80:BB98">
    <cfRule type="cellIs" dxfId="25715" priority="2441" operator="lessThan">
      <formula>0</formula>
    </cfRule>
    <cfRule type="cellIs" dxfId="25714" priority="2442" operator="lessThan">
      <formula>-105575</formula>
    </cfRule>
  </conditionalFormatting>
  <conditionalFormatting sqref="BB130 BB132 BB134">
    <cfRule type="cellIs" dxfId="25713" priority="2439" operator="lessThan">
      <formula>0</formula>
    </cfRule>
    <cfRule type="cellIs" dxfId="25712" priority="2440" operator="lessThan">
      <formula>-105575</formula>
    </cfRule>
  </conditionalFormatting>
  <conditionalFormatting sqref="BB130 BB132 BB134">
    <cfRule type="cellIs" dxfId="25711" priority="2437" operator="lessThan">
      <formula>0</formula>
    </cfRule>
    <cfRule type="cellIs" dxfId="25710" priority="2438" operator="lessThan">
      <formula>-105575</formula>
    </cfRule>
  </conditionalFormatting>
  <conditionalFormatting sqref="BB129 BB131 BB133 BB135">
    <cfRule type="cellIs" dxfId="25709" priority="2435" operator="lessThan">
      <formula>0</formula>
    </cfRule>
    <cfRule type="cellIs" dxfId="25708" priority="2436" operator="lessThan">
      <formula>-105575</formula>
    </cfRule>
  </conditionalFormatting>
  <conditionalFormatting sqref="BB140 BB145 BB142:BB143 BB137:BB138">
    <cfRule type="cellIs" dxfId="25707" priority="2425" operator="lessThan">
      <formula>0</formula>
    </cfRule>
    <cfRule type="cellIs" dxfId="25706" priority="2426" operator="lessThan">
      <formula>-105575</formula>
    </cfRule>
  </conditionalFormatting>
  <conditionalFormatting sqref="BB149">
    <cfRule type="cellIs" dxfId="25705" priority="2421" operator="lessThan">
      <formula>0</formula>
    </cfRule>
    <cfRule type="cellIs" dxfId="25704" priority="2422" operator="lessThan">
      <formula>-105575</formula>
    </cfRule>
  </conditionalFormatting>
  <conditionalFormatting sqref="BB129:BB138 BB140:BB149">
    <cfRule type="cellIs" dxfId="25703" priority="2419" operator="lessThan">
      <formula>0</formula>
    </cfRule>
    <cfRule type="cellIs" dxfId="25702" priority="2420" operator="lessThan">
      <formula>-105575</formula>
    </cfRule>
  </conditionalFormatting>
  <conditionalFormatting sqref="BB94:BB98 BB86:BB87 BB89:BB91 BB141:BB149 BB124:BB133 BB107:BB110 BB112:BB117 BB119:BB122 BB135:BB138 BB101:BB104 BB80:BB84">
    <cfRule type="cellIs" dxfId="25701" priority="2415" operator="lessThan">
      <formula>0</formula>
    </cfRule>
    <cfRule type="cellIs" dxfId="25700" priority="2416" operator="lessThan">
      <formula>-105575</formula>
    </cfRule>
  </conditionalFormatting>
  <conditionalFormatting sqref="BB129 BB131 BB133 BB135">
    <cfRule type="cellIs" dxfId="25699" priority="2433" operator="lessThan">
      <formula>0</formula>
    </cfRule>
    <cfRule type="cellIs" dxfId="25698" priority="2434" operator="lessThan">
      <formula>-105575</formula>
    </cfRule>
  </conditionalFormatting>
  <conditionalFormatting sqref="BB146 BB144 BB141">
    <cfRule type="cellIs" dxfId="25697" priority="2431" operator="lessThan">
      <formula>0</formula>
    </cfRule>
    <cfRule type="cellIs" dxfId="25696" priority="2432" operator="lessThan">
      <formula>-105575</formula>
    </cfRule>
  </conditionalFormatting>
  <conditionalFormatting sqref="BB146 BB144 BB141">
    <cfRule type="cellIs" dxfId="25695" priority="2429" operator="lessThan">
      <formula>0</formula>
    </cfRule>
    <cfRule type="cellIs" dxfId="25694" priority="2430" operator="lessThan">
      <formula>-105575</formula>
    </cfRule>
  </conditionalFormatting>
  <conditionalFormatting sqref="BB140 BB145 BB142:BB143 BB137:BB138">
    <cfRule type="cellIs" dxfId="25693" priority="2427" operator="lessThan">
      <formula>0</formula>
    </cfRule>
    <cfRule type="cellIs" dxfId="25692" priority="2428" operator="lessThan">
      <formula>-105575</formula>
    </cfRule>
  </conditionalFormatting>
  <conditionalFormatting sqref="BB149">
    <cfRule type="cellIs" dxfId="25691" priority="2423" operator="lessThan">
      <formula>0</formula>
    </cfRule>
    <cfRule type="cellIs" dxfId="25690" priority="2424" operator="lessThan">
      <formula>-105575</formula>
    </cfRule>
  </conditionalFormatting>
  <conditionalFormatting sqref="BB94:BB98 BB86:BB87 BB89:BB91 BB141:BB149 BB124:BB133 BB107:BB110 BB112:BB117 BB119:BB122 BB135:BB138 BB101:BB104 BB80:BB84">
    <cfRule type="cellIs" dxfId="25689" priority="2417" operator="lessThan">
      <formula>0</formula>
    </cfRule>
    <cfRule type="cellIs" dxfId="25688" priority="2418" operator="lessThan">
      <formula>-105575</formula>
    </cfRule>
  </conditionalFormatting>
  <conditionalFormatting sqref="BB246:BB249 BB262 BB267 BB279:BB282 BB285:BB288 BB274:BB275 BB306:BB309 BB311:BB325 BB327:BB330 BB332:BB341 BB344:BB347 BB349:BB353 BB355:BB358 BB360:BB384 BB386:BB389 BB392:BB395 BB397:BB411 BB413:BB416 BB418:BB432 BB434:BB437 BB439:BB453 BB455:BB458 BB460:BB469 BB7:BB10 BB12:BB14 BB17:BB18 BB21:BB24 BB26:BB28 BB30:BB36 BB38 BB41:BB43 BB46:BB49 BB51:BB55 BB57:BB59 BB62:BB76 BB251:BB253 BB255:BB257 BB293:BB304 BB264:BB265 BB260 BB290:BB291 BB270:BB272">
    <cfRule type="cellIs" dxfId="25687" priority="2465" operator="lessThan">
      <formula>0</formula>
    </cfRule>
    <cfRule type="cellIs" dxfId="25686" priority="2466" operator="lessThan">
      <formula>-105575</formula>
    </cfRule>
  </conditionalFormatting>
  <conditionalFormatting sqref="BB41">
    <cfRule type="cellIs" dxfId="25685" priority="2463" operator="lessThan">
      <formula>0</formula>
    </cfRule>
    <cfRule type="cellIs" dxfId="25684" priority="2464" operator="lessThan">
      <formula>-105575</formula>
    </cfRule>
  </conditionalFormatting>
  <conditionalFormatting sqref="BB152:BB155">
    <cfRule type="cellIs" dxfId="25683" priority="2413" operator="lessThan">
      <formula>0</formula>
    </cfRule>
    <cfRule type="cellIs" dxfId="25682" priority="2414" operator="lessThan">
      <formula>-105575</formula>
    </cfRule>
  </conditionalFormatting>
  <conditionalFormatting sqref="BB152:BB155">
    <cfRule type="cellIs" dxfId="25681" priority="2409" operator="lessThan">
      <formula>0</formula>
    </cfRule>
    <cfRule type="cellIs" dxfId="25680" priority="2410" operator="lessThan">
      <formula>-105575</formula>
    </cfRule>
  </conditionalFormatting>
  <conditionalFormatting sqref="BB152:BB155">
    <cfRule type="cellIs" dxfId="25679" priority="2411" operator="lessThan">
      <formula>0</formula>
    </cfRule>
    <cfRule type="cellIs" dxfId="25678" priority="2412" operator="lessThan">
      <formula>-105575</formula>
    </cfRule>
  </conditionalFormatting>
  <conditionalFormatting sqref="BB157:BB158">
    <cfRule type="cellIs" dxfId="25677" priority="2407" operator="lessThan">
      <formula>0</formula>
    </cfRule>
    <cfRule type="cellIs" dxfId="25676" priority="2408" operator="lessThan">
      <formula>-105575</formula>
    </cfRule>
  </conditionalFormatting>
  <conditionalFormatting sqref="BB157:BB158">
    <cfRule type="cellIs" dxfId="25675" priority="2403" operator="lessThan">
      <formula>0</formula>
    </cfRule>
    <cfRule type="cellIs" dxfId="25674" priority="2404" operator="lessThan">
      <formula>-105575</formula>
    </cfRule>
  </conditionalFormatting>
  <conditionalFormatting sqref="BB157:BB158">
    <cfRule type="cellIs" dxfId="25673" priority="2405" operator="lessThan">
      <formula>0</formula>
    </cfRule>
    <cfRule type="cellIs" dxfId="25672" priority="2406" operator="lessThan">
      <formula>-105575</formula>
    </cfRule>
  </conditionalFormatting>
  <conditionalFormatting sqref="BB160:BB161">
    <cfRule type="cellIs" dxfId="25671" priority="2401" operator="lessThan">
      <formula>0</formula>
    </cfRule>
    <cfRule type="cellIs" dxfId="25670" priority="2402" operator="lessThan">
      <formula>-105575</formula>
    </cfRule>
  </conditionalFormatting>
  <conditionalFormatting sqref="BB160:BB161">
    <cfRule type="cellIs" dxfId="25669" priority="2397" operator="lessThan">
      <formula>0</formula>
    </cfRule>
    <cfRule type="cellIs" dxfId="25668" priority="2398" operator="lessThan">
      <formula>-105575</formula>
    </cfRule>
  </conditionalFormatting>
  <conditionalFormatting sqref="BB160:BB161">
    <cfRule type="cellIs" dxfId="25667" priority="2399" operator="lessThan">
      <formula>0</formula>
    </cfRule>
    <cfRule type="cellIs" dxfId="25666" priority="2400" operator="lessThan">
      <formula>-105575</formula>
    </cfRule>
  </conditionalFormatting>
  <conditionalFormatting sqref="BB164:BB167">
    <cfRule type="cellIs" dxfId="25665" priority="2395" operator="lessThan">
      <formula>0</formula>
    </cfRule>
    <cfRule type="cellIs" dxfId="25664" priority="2396" operator="lessThan">
      <formula>-105575</formula>
    </cfRule>
  </conditionalFormatting>
  <conditionalFormatting sqref="BB164:BB167">
    <cfRule type="cellIs" dxfId="25663" priority="2391" operator="lessThan">
      <formula>0</formula>
    </cfRule>
    <cfRule type="cellIs" dxfId="25662" priority="2392" operator="lessThan">
      <formula>-105575</formula>
    </cfRule>
  </conditionalFormatting>
  <conditionalFormatting sqref="BB164:BB167">
    <cfRule type="cellIs" dxfId="25661" priority="2393" operator="lessThan">
      <formula>0</formula>
    </cfRule>
    <cfRule type="cellIs" dxfId="25660" priority="2394" operator="lessThan">
      <formula>-105575</formula>
    </cfRule>
  </conditionalFormatting>
  <conditionalFormatting sqref="BB169:BB177">
    <cfRule type="cellIs" dxfId="25659" priority="2389" operator="lessThan">
      <formula>0</formula>
    </cfRule>
    <cfRule type="cellIs" dxfId="25658" priority="2390" operator="lessThan">
      <formula>-105575</formula>
    </cfRule>
  </conditionalFormatting>
  <conditionalFormatting sqref="BB169:BB177">
    <cfRule type="cellIs" dxfId="25657" priority="2385" operator="lessThan">
      <formula>0</formula>
    </cfRule>
    <cfRule type="cellIs" dxfId="25656" priority="2386" operator="lessThan">
      <formula>-105575</formula>
    </cfRule>
  </conditionalFormatting>
  <conditionalFormatting sqref="BB169:BB177">
    <cfRule type="cellIs" dxfId="25655" priority="2387" operator="lessThan">
      <formula>0</formula>
    </cfRule>
    <cfRule type="cellIs" dxfId="25654" priority="2388" operator="lessThan">
      <formula>-105575</formula>
    </cfRule>
  </conditionalFormatting>
  <conditionalFormatting sqref="BB179:BB180">
    <cfRule type="cellIs" dxfId="25653" priority="2383" operator="lessThan">
      <formula>0</formula>
    </cfRule>
    <cfRule type="cellIs" dxfId="25652" priority="2384" operator="lessThan">
      <formula>-105575</formula>
    </cfRule>
  </conditionalFormatting>
  <conditionalFormatting sqref="BB179:BB180">
    <cfRule type="cellIs" dxfId="25651" priority="2379" operator="lessThan">
      <formula>0</formula>
    </cfRule>
    <cfRule type="cellIs" dxfId="25650" priority="2380" operator="lessThan">
      <formula>-105575</formula>
    </cfRule>
  </conditionalFormatting>
  <conditionalFormatting sqref="BB179:BB180">
    <cfRule type="cellIs" dxfId="25649" priority="2381" operator="lessThan">
      <formula>0</formula>
    </cfRule>
    <cfRule type="cellIs" dxfId="25648" priority="2382" operator="lessThan">
      <formula>-105575</formula>
    </cfRule>
  </conditionalFormatting>
  <conditionalFormatting sqref="BB183:BB189">
    <cfRule type="cellIs" dxfId="25647" priority="2377" operator="lessThan">
      <formula>0</formula>
    </cfRule>
    <cfRule type="cellIs" dxfId="25646" priority="2378" operator="lessThan">
      <formula>-105575</formula>
    </cfRule>
  </conditionalFormatting>
  <conditionalFormatting sqref="BB183:BB189">
    <cfRule type="cellIs" dxfId="25645" priority="2373" operator="lessThan">
      <formula>0</formula>
    </cfRule>
    <cfRule type="cellIs" dxfId="25644" priority="2374" operator="lessThan">
      <formula>-105575</formula>
    </cfRule>
  </conditionalFormatting>
  <conditionalFormatting sqref="BB183:BB189">
    <cfRule type="cellIs" dxfId="25643" priority="2375" operator="lessThan">
      <formula>0</formula>
    </cfRule>
    <cfRule type="cellIs" dxfId="25642" priority="2376" operator="lessThan">
      <formula>-105575</formula>
    </cfRule>
  </conditionalFormatting>
  <conditionalFormatting sqref="BB191:BB192">
    <cfRule type="cellIs" dxfId="25641" priority="2371" operator="lessThan">
      <formula>0</formula>
    </cfRule>
    <cfRule type="cellIs" dxfId="25640" priority="2372" operator="lessThan">
      <formula>-105575</formula>
    </cfRule>
  </conditionalFormatting>
  <conditionalFormatting sqref="BB191:BB192">
    <cfRule type="cellIs" dxfId="25639" priority="2367" operator="lessThan">
      <formula>0</formula>
    </cfRule>
    <cfRule type="cellIs" dxfId="25638" priority="2368" operator="lessThan">
      <formula>-105575</formula>
    </cfRule>
  </conditionalFormatting>
  <conditionalFormatting sqref="BB191:BB192">
    <cfRule type="cellIs" dxfId="25637" priority="2369" operator="lessThan">
      <formula>0</formula>
    </cfRule>
    <cfRule type="cellIs" dxfId="25636" priority="2370" operator="lessThan">
      <formula>-105575</formula>
    </cfRule>
  </conditionalFormatting>
  <conditionalFormatting sqref="BB194:BB195">
    <cfRule type="cellIs" dxfId="25635" priority="2365" operator="lessThan">
      <formula>0</formula>
    </cfRule>
    <cfRule type="cellIs" dxfId="25634" priority="2366" operator="lessThan">
      <formula>-105575</formula>
    </cfRule>
  </conditionalFormatting>
  <conditionalFormatting sqref="BB194:BB195">
    <cfRule type="cellIs" dxfId="25633" priority="2361" operator="lessThan">
      <formula>0</formula>
    </cfRule>
    <cfRule type="cellIs" dxfId="25632" priority="2362" operator="lessThan">
      <formula>-105575</formula>
    </cfRule>
  </conditionalFormatting>
  <conditionalFormatting sqref="BB194:BB195">
    <cfRule type="cellIs" dxfId="25631" priority="2363" operator="lessThan">
      <formula>0</formula>
    </cfRule>
    <cfRule type="cellIs" dxfId="25630" priority="2364" operator="lessThan">
      <formula>-105575</formula>
    </cfRule>
  </conditionalFormatting>
  <conditionalFormatting sqref="BB199:BB202">
    <cfRule type="cellIs" dxfId="25629" priority="2359" operator="lessThan">
      <formula>0</formula>
    </cfRule>
    <cfRule type="cellIs" dxfId="25628" priority="2360" operator="lessThan">
      <formula>-105575</formula>
    </cfRule>
  </conditionalFormatting>
  <conditionalFormatting sqref="BB199:BB202">
    <cfRule type="cellIs" dxfId="25627" priority="2355" operator="lessThan">
      <formula>0</formula>
    </cfRule>
    <cfRule type="cellIs" dxfId="25626" priority="2356" operator="lessThan">
      <formula>-105575</formula>
    </cfRule>
  </conditionalFormatting>
  <conditionalFormatting sqref="BB199:BB202">
    <cfRule type="cellIs" dxfId="25625" priority="2357" operator="lessThan">
      <formula>0</formula>
    </cfRule>
    <cfRule type="cellIs" dxfId="25624" priority="2358" operator="lessThan">
      <formula>-105575</formula>
    </cfRule>
  </conditionalFormatting>
  <conditionalFormatting sqref="BB204:BB208">
    <cfRule type="cellIs" dxfId="25623" priority="2353" operator="lessThan">
      <formula>0</formula>
    </cfRule>
    <cfRule type="cellIs" dxfId="25622" priority="2354" operator="lessThan">
      <formula>-105575</formula>
    </cfRule>
  </conditionalFormatting>
  <conditionalFormatting sqref="BB204:BB208">
    <cfRule type="cellIs" dxfId="25621" priority="2349" operator="lessThan">
      <formula>0</formula>
    </cfRule>
    <cfRule type="cellIs" dxfId="25620" priority="2350" operator="lessThan">
      <formula>-105575</formula>
    </cfRule>
  </conditionalFormatting>
  <conditionalFormatting sqref="BB204:BB208">
    <cfRule type="cellIs" dxfId="25619" priority="2351" operator="lessThan">
      <formula>0</formula>
    </cfRule>
    <cfRule type="cellIs" dxfId="25618" priority="2352" operator="lessThan">
      <formula>-105575</formula>
    </cfRule>
  </conditionalFormatting>
  <conditionalFormatting sqref="BB210:BB211">
    <cfRule type="cellIs" dxfId="25617" priority="2347" operator="lessThan">
      <formula>0</formula>
    </cfRule>
    <cfRule type="cellIs" dxfId="25616" priority="2348" operator="lessThan">
      <formula>-105575</formula>
    </cfRule>
  </conditionalFormatting>
  <conditionalFormatting sqref="BB210:BB211">
    <cfRule type="cellIs" dxfId="25615" priority="2343" operator="lessThan">
      <formula>0</formula>
    </cfRule>
    <cfRule type="cellIs" dxfId="25614" priority="2344" operator="lessThan">
      <formula>-105575</formula>
    </cfRule>
  </conditionalFormatting>
  <conditionalFormatting sqref="BB210:BB211">
    <cfRule type="cellIs" dxfId="25613" priority="2345" operator="lessThan">
      <formula>0</formula>
    </cfRule>
    <cfRule type="cellIs" dxfId="25612" priority="2346" operator="lessThan">
      <formula>-105575</formula>
    </cfRule>
  </conditionalFormatting>
  <conditionalFormatting sqref="BB214:BB219">
    <cfRule type="cellIs" dxfId="25611" priority="2341" operator="lessThan">
      <formula>0</formula>
    </cfRule>
    <cfRule type="cellIs" dxfId="25610" priority="2342" operator="lessThan">
      <formula>-105575</formula>
    </cfRule>
  </conditionalFormatting>
  <conditionalFormatting sqref="BB214:BB219">
    <cfRule type="cellIs" dxfId="25609" priority="2337" operator="lessThan">
      <formula>0</formula>
    </cfRule>
    <cfRule type="cellIs" dxfId="25608" priority="2338" operator="lessThan">
      <formula>-105575</formula>
    </cfRule>
  </conditionalFormatting>
  <conditionalFormatting sqref="BB214:BB219">
    <cfRule type="cellIs" dxfId="25607" priority="2339" operator="lessThan">
      <formula>0</formula>
    </cfRule>
    <cfRule type="cellIs" dxfId="25606" priority="2340" operator="lessThan">
      <formula>-105575</formula>
    </cfRule>
  </conditionalFormatting>
  <conditionalFormatting sqref="BB222:BB224">
    <cfRule type="cellIs" dxfId="25605" priority="2335" operator="lessThan">
      <formula>0</formula>
    </cfRule>
    <cfRule type="cellIs" dxfId="25604" priority="2336" operator="lessThan">
      <formula>-105575</formula>
    </cfRule>
  </conditionalFormatting>
  <conditionalFormatting sqref="BB222:BB224">
    <cfRule type="cellIs" dxfId="25603" priority="2331" operator="lessThan">
      <formula>0</formula>
    </cfRule>
    <cfRule type="cellIs" dxfId="25602" priority="2332" operator="lessThan">
      <formula>-105575</formula>
    </cfRule>
  </conditionalFormatting>
  <conditionalFormatting sqref="BB222:BB224">
    <cfRule type="cellIs" dxfId="25601" priority="2333" operator="lessThan">
      <formula>0</formula>
    </cfRule>
    <cfRule type="cellIs" dxfId="25600" priority="2334" operator="lessThan">
      <formula>-105575</formula>
    </cfRule>
  </conditionalFormatting>
  <conditionalFormatting sqref="BB227:BB230">
    <cfRule type="cellIs" dxfId="25599" priority="2329" operator="lessThan">
      <formula>0</formula>
    </cfRule>
    <cfRule type="cellIs" dxfId="25598" priority="2330" operator="lessThan">
      <formula>-105575</formula>
    </cfRule>
  </conditionalFormatting>
  <conditionalFormatting sqref="BB227:BB230">
    <cfRule type="cellIs" dxfId="25597" priority="2325" operator="lessThan">
      <formula>0</formula>
    </cfRule>
    <cfRule type="cellIs" dxfId="25596" priority="2326" operator="lessThan">
      <formula>-105575</formula>
    </cfRule>
  </conditionalFormatting>
  <conditionalFormatting sqref="BB227:BB230">
    <cfRule type="cellIs" dxfId="25595" priority="2327" operator="lessThan">
      <formula>0</formula>
    </cfRule>
    <cfRule type="cellIs" dxfId="25594" priority="2328" operator="lessThan">
      <formula>-105575</formula>
    </cfRule>
  </conditionalFormatting>
  <conditionalFormatting sqref="BB203 BB220:BB221 BB235:BB243 BB231:BB233 BB212:BB213 BB225:BB226">
    <cfRule type="cellIs" dxfId="25593" priority="2323" operator="lessThan">
      <formula>0</formula>
    </cfRule>
    <cfRule type="cellIs" dxfId="25592" priority="2324" operator="lessThan">
      <formula>-105575</formula>
    </cfRule>
  </conditionalFormatting>
  <conditionalFormatting sqref="BB220 BB212:BB213 BB235:BB238 BB240:BB243 BB225:BB226 BB231:BB233">
    <cfRule type="cellIs" dxfId="25591" priority="2321" operator="lessThan">
      <formula>0</formula>
    </cfRule>
    <cfRule type="cellIs" dxfId="25590" priority="2322" operator="lessThan">
      <formula>-105575</formula>
    </cfRule>
  </conditionalFormatting>
  <conditionalFormatting sqref="BB220:BB221 BB243 BB226 BB231:BB236 BB238:BB241 BB203 BB213">
    <cfRule type="cellIs" dxfId="25589" priority="2319" operator="lessThan">
      <formula>0</formula>
    </cfRule>
    <cfRule type="cellIs" dxfId="25588" priority="2320" operator="lessThan">
      <formula>-105575</formula>
    </cfRule>
  </conditionalFormatting>
  <conditionalFormatting sqref="BB235:BB243 BB231:BB233 BB220 BB212:BB213 BB225:BB226">
    <cfRule type="cellIs" dxfId="25587" priority="2317" operator="lessThan">
      <formula>0</formula>
    </cfRule>
    <cfRule type="cellIs" dxfId="25586" priority="2318" operator="lessThan">
      <formula>-105575</formula>
    </cfRule>
  </conditionalFormatting>
  <conditionalFormatting sqref="BB220:BB221 BB237:BB243 BB203 BB231:BB235 BB212:BB213 BB225:BB226">
    <cfRule type="cellIs" dxfId="25585" priority="2315" operator="lessThan">
      <formula>0</formula>
    </cfRule>
    <cfRule type="cellIs" dxfId="25584" priority="2316" operator="lessThan">
      <formula>-105575</formula>
    </cfRule>
  </conditionalFormatting>
  <conditionalFormatting sqref="BB220:BB221 BB237:BB240 BB242:BB243 BB225:BB226 BB231:BB235">
    <cfRule type="cellIs" dxfId="25583" priority="2313" operator="lessThan">
      <formula>0</formula>
    </cfRule>
    <cfRule type="cellIs" dxfId="25582" priority="2314" operator="lessThan">
      <formula>-105575</formula>
    </cfRule>
  </conditionalFormatting>
  <conditionalFormatting sqref="BB212 BB231 BB233:BB238 BB240:BB243 BB225">
    <cfRule type="cellIs" dxfId="25581" priority="2311" operator="lessThan">
      <formula>0</formula>
    </cfRule>
    <cfRule type="cellIs" dxfId="25580" priority="2312" operator="lessThan">
      <formula>-105575</formula>
    </cfRule>
  </conditionalFormatting>
  <conditionalFormatting sqref="BB237:BB243 BB231:BB235 BB220:BB221 BB225:BB226">
    <cfRule type="cellIs" dxfId="25579" priority="2309" operator="lessThan">
      <formula>0</formula>
    </cfRule>
    <cfRule type="cellIs" dxfId="25578" priority="2310" operator="lessThan">
      <formula>-105575</formula>
    </cfRule>
  </conditionalFormatting>
  <conditionalFormatting sqref="BB233:BB237 BB231 BB239:BB243">
    <cfRule type="cellIs" dxfId="25577" priority="2307" operator="lessThan">
      <formula>0</formula>
    </cfRule>
    <cfRule type="cellIs" dxfId="25576" priority="2308" operator="lessThan">
      <formula>-105575</formula>
    </cfRule>
  </conditionalFormatting>
  <conditionalFormatting sqref="BB233:BB237 BB231 BB239:BB243">
    <cfRule type="cellIs" dxfId="25575" priority="2305" operator="lessThan">
      <formula>0</formula>
    </cfRule>
    <cfRule type="cellIs" dxfId="25574" priority="2306" operator="lessThan">
      <formula>-105575</formula>
    </cfRule>
  </conditionalFormatting>
  <conditionalFormatting sqref="BB119:BB128 BB106:BB117 BB101:BB104 BB80:BB98">
    <cfRule type="cellIs" dxfId="25573" priority="2303" operator="lessThan">
      <formula>0</formula>
    </cfRule>
    <cfRule type="cellIs" dxfId="25572" priority="2304" operator="lessThan">
      <formula>-105575</formula>
    </cfRule>
  </conditionalFormatting>
  <conditionalFormatting sqref="BB130 BB132 BB134">
    <cfRule type="cellIs" dxfId="25571" priority="2301" operator="lessThan">
      <formula>0</formula>
    </cfRule>
    <cfRule type="cellIs" dxfId="25570" priority="2302" operator="lessThan">
      <formula>-105575</formula>
    </cfRule>
  </conditionalFormatting>
  <conditionalFormatting sqref="BB130 BB132 BB134">
    <cfRule type="cellIs" dxfId="25569" priority="2299" operator="lessThan">
      <formula>0</formula>
    </cfRule>
    <cfRule type="cellIs" dxfId="25568" priority="2300" operator="lessThan">
      <formula>-105575</formula>
    </cfRule>
  </conditionalFormatting>
  <conditionalFormatting sqref="BB129 BB131 BB133 BB135">
    <cfRule type="cellIs" dxfId="25567" priority="2297" operator="lessThan">
      <formula>0</formula>
    </cfRule>
    <cfRule type="cellIs" dxfId="25566" priority="2298" operator="lessThan">
      <formula>-105575</formula>
    </cfRule>
  </conditionalFormatting>
  <conditionalFormatting sqref="BB140 BB145 BB142:BB143 BB137:BB138">
    <cfRule type="cellIs" dxfId="25565" priority="2295" operator="lessThan">
      <formula>0</formula>
    </cfRule>
    <cfRule type="cellIs" dxfId="25564" priority="2296" operator="lessThan">
      <formula>-105575</formula>
    </cfRule>
  </conditionalFormatting>
  <conditionalFormatting sqref="BB149">
    <cfRule type="cellIs" dxfId="25563" priority="2293" operator="lessThan">
      <formula>0</formula>
    </cfRule>
    <cfRule type="cellIs" dxfId="25562" priority="2294" operator="lessThan">
      <formula>-105575</formula>
    </cfRule>
  </conditionalFormatting>
  <conditionalFormatting sqref="BB129:BB138 BB140:BB149">
    <cfRule type="cellIs" dxfId="25561" priority="2291" operator="lessThan">
      <formula>0</formula>
    </cfRule>
    <cfRule type="cellIs" dxfId="25560" priority="2292" operator="lessThan">
      <formula>-105575</formula>
    </cfRule>
  </conditionalFormatting>
  <conditionalFormatting sqref="BB94:BB98 BB86:BB87 BB89:BB91 BB141:BB149 BB124:BB133 BB107:BB110 BB112:BB117 BB119:BB122 BB135:BB138 BB101:BB104 BB80:BB84">
    <cfRule type="cellIs" dxfId="25559" priority="2289" operator="lessThan">
      <formula>0</formula>
    </cfRule>
    <cfRule type="cellIs" dxfId="25558" priority="2290" operator="lessThan">
      <formula>-105575</formula>
    </cfRule>
  </conditionalFormatting>
  <conditionalFormatting sqref="BB129 BB131 BB133 BB135">
    <cfRule type="cellIs" dxfId="25557" priority="2287" operator="lessThan">
      <formula>0</formula>
    </cfRule>
    <cfRule type="cellIs" dxfId="25556" priority="2288" operator="lessThan">
      <formula>-105575</formula>
    </cfRule>
  </conditionalFormatting>
  <conditionalFormatting sqref="BB146 BB144 BB141">
    <cfRule type="cellIs" dxfId="25555" priority="2285" operator="lessThan">
      <formula>0</formula>
    </cfRule>
    <cfRule type="cellIs" dxfId="25554" priority="2286" operator="lessThan">
      <formula>-105575</formula>
    </cfRule>
  </conditionalFormatting>
  <conditionalFormatting sqref="BB146 BB144 BB141">
    <cfRule type="cellIs" dxfId="25553" priority="2283" operator="lessThan">
      <formula>0</formula>
    </cfRule>
    <cfRule type="cellIs" dxfId="25552" priority="2284" operator="lessThan">
      <formula>-105575</formula>
    </cfRule>
  </conditionalFormatting>
  <conditionalFormatting sqref="BB140 BB145 BB142:BB143 BB137:BB138">
    <cfRule type="cellIs" dxfId="25551" priority="2281" operator="lessThan">
      <formula>0</formula>
    </cfRule>
    <cfRule type="cellIs" dxfId="25550" priority="2282" operator="lessThan">
      <formula>-105575</formula>
    </cfRule>
  </conditionalFormatting>
  <conditionalFormatting sqref="BB149">
    <cfRule type="cellIs" dxfId="25549" priority="2279" operator="lessThan">
      <formula>0</formula>
    </cfRule>
    <cfRule type="cellIs" dxfId="25548" priority="2280" operator="lessThan">
      <formula>-105575</formula>
    </cfRule>
  </conditionalFormatting>
  <conditionalFormatting sqref="BB94:BB98 BB86:BB87 BB89:BB91 BB141:BB149 BB124:BB133 BB107:BB110 BB112:BB117 BB119:BB122 BB135:BB138 BB101:BB104 BB80:BB84">
    <cfRule type="cellIs" dxfId="25547" priority="2277" operator="lessThan">
      <formula>0</formula>
    </cfRule>
    <cfRule type="cellIs" dxfId="25546" priority="2278" operator="lessThan">
      <formula>-105575</formula>
    </cfRule>
  </conditionalFormatting>
  <conditionalFormatting sqref="BB62:BB76 BB306:BB309 BB311:BB325 BB327:BB330 BB332:BB341 BB344:BB347 BB349:BB353 BB355:BB358 BB360:BB384 BB386:BB389 BB392:BB395 BB397:BB411 BB413:BB416 BB418:BB432 BB434:BB437 BB439:BB453 BB455:BB458 BB460:BB469 BB7:BB10 BB12:BB14 BB17:BB18 BB21:BB24 BB26:BB28 BB30:BB36 BB38 BB41:BB43 BB46:BB49 BB51:BB55 BB57:BB59 BB290:BB291 BB293:BB304">
    <cfRule type="cellIs" dxfId="25545" priority="2275" operator="lessThan">
      <formula>0</formula>
    </cfRule>
    <cfRule type="cellIs" dxfId="25544" priority="2276" operator="lessThan">
      <formula>-105575</formula>
    </cfRule>
  </conditionalFormatting>
  <conditionalFormatting sqref="BB41">
    <cfRule type="cellIs" dxfId="25543" priority="2273" operator="lessThan">
      <formula>0</formula>
    </cfRule>
    <cfRule type="cellIs" dxfId="25542" priority="2274" operator="lessThan">
      <formula>-105575</formula>
    </cfRule>
  </conditionalFormatting>
  <conditionalFormatting sqref="BB152:BB155">
    <cfRule type="cellIs" dxfId="25541" priority="2271" operator="lessThan">
      <formula>0</formula>
    </cfRule>
    <cfRule type="cellIs" dxfId="25540" priority="2272" operator="lessThan">
      <formula>-105575</formula>
    </cfRule>
  </conditionalFormatting>
  <conditionalFormatting sqref="BB152:BB155">
    <cfRule type="cellIs" dxfId="25539" priority="2269" operator="lessThan">
      <formula>0</formula>
    </cfRule>
    <cfRule type="cellIs" dxfId="25538" priority="2270" operator="lessThan">
      <formula>-105575</formula>
    </cfRule>
  </conditionalFormatting>
  <conditionalFormatting sqref="BB152:BB155">
    <cfRule type="cellIs" dxfId="25537" priority="2267" operator="lessThan">
      <formula>0</formula>
    </cfRule>
    <cfRule type="cellIs" dxfId="25536" priority="2268" operator="lessThan">
      <formula>-105575</formula>
    </cfRule>
  </conditionalFormatting>
  <conditionalFormatting sqref="BB157:BB158">
    <cfRule type="cellIs" dxfId="25535" priority="2265" operator="lessThan">
      <formula>0</formula>
    </cfRule>
    <cfRule type="cellIs" dxfId="25534" priority="2266" operator="lessThan">
      <formula>-105575</formula>
    </cfRule>
  </conditionalFormatting>
  <conditionalFormatting sqref="BB157:BB158">
    <cfRule type="cellIs" dxfId="25533" priority="2263" operator="lessThan">
      <formula>0</formula>
    </cfRule>
    <cfRule type="cellIs" dxfId="25532" priority="2264" operator="lessThan">
      <formula>-105575</formula>
    </cfRule>
  </conditionalFormatting>
  <conditionalFormatting sqref="BB157:BB158">
    <cfRule type="cellIs" dxfId="25531" priority="2261" operator="lessThan">
      <formula>0</formula>
    </cfRule>
    <cfRule type="cellIs" dxfId="25530" priority="2262" operator="lessThan">
      <formula>-105575</formula>
    </cfRule>
  </conditionalFormatting>
  <conditionalFormatting sqref="BB160:BB161">
    <cfRule type="cellIs" dxfId="25529" priority="2259" operator="lessThan">
      <formula>0</formula>
    </cfRule>
    <cfRule type="cellIs" dxfId="25528" priority="2260" operator="lessThan">
      <formula>-105575</formula>
    </cfRule>
  </conditionalFormatting>
  <conditionalFormatting sqref="BB160:BB161">
    <cfRule type="cellIs" dxfId="25527" priority="2257" operator="lessThan">
      <formula>0</formula>
    </cfRule>
    <cfRule type="cellIs" dxfId="25526" priority="2258" operator="lessThan">
      <formula>-105575</formula>
    </cfRule>
  </conditionalFormatting>
  <conditionalFormatting sqref="BB160:BB161">
    <cfRule type="cellIs" dxfId="25525" priority="2255" operator="lessThan">
      <formula>0</formula>
    </cfRule>
    <cfRule type="cellIs" dxfId="25524" priority="2256" operator="lessThan">
      <formula>-105575</formula>
    </cfRule>
  </conditionalFormatting>
  <conditionalFormatting sqref="BB164:BB167">
    <cfRule type="cellIs" dxfId="25523" priority="2253" operator="lessThan">
      <formula>0</formula>
    </cfRule>
    <cfRule type="cellIs" dxfId="25522" priority="2254" operator="lessThan">
      <formula>-105575</formula>
    </cfRule>
  </conditionalFormatting>
  <conditionalFormatting sqref="BB164:BB167">
    <cfRule type="cellIs" dxfId="25521" priority="2251" operator="lessThan">
      <formula>0</formula>
    </cfRule>
    <cfRule type="cellIs" dxfId="25520" priority="2252" operator="lessThan">
      <formula>-105575</formula>
    </cfRule>
  </conditionalFormatting>
  <conditionalFormatting sqref="BB164:BB167">
    <cfRule type="cellIs" dxfId="25519" priority="2249" operator="lessThan">
      <formula>0</formula>
    </cfRule>
    <cfRule type="cellIs" dxfId="25518" priority="2250" operator="lessThan">
      <formula>-105575</formula>
    </cfRule>
  </conditionalFormatting>
  <conditionalFormatting sqref="BB169:BB177">
    <cfRule type="cellIs" dxfId="25517" priority="2247" operator="lessThan">
      <formula>0</formula>
    </cfRule>
    <cfRule type="cellIs" dxfId="25516" priority="2248" operator="lessThan">
      <formula>-105575</formula>
    </cfRule>
  </conditionalFormatting>
  <conditionalFormatting sqref="BB169:BB177">
    <cfRule type="cellIs" dxfId="25515" priority="2245" operator="lessThan">
      <formula>0</formula>
    </cfRule>
    <cfRule type="cellIs" dxfId="25514" priority="2246" operator="lessThan">
      <formula>-105575</formula>
    </cfRule>
  </conditionalFormatting>
  <conditionalFormatting sqref="BB169:BB177">
    <cfRule type="cellIs" dxfId="25513" priority="2243" operator="lessThan">
      <formula>0</formula>
    </cfRule>
    <cfRule type="cellIs" dxfId="25512" priority="2244" operator="lessThan">
      <formula>-105575</formula>
    </cfRule>
  </conditionalFormatting>
  <conditionalFormatting sqref="BB179:BB180">
    <cfRule type="cellIs" dxfId="25511" priority="2241" operator="lessThan">
      <formula>0</formula>
    </cfRule>
    <cfRule type="cellIs" dxfId="25510" priority="2242" operator="lessThan">
      <formula>-105575</formula>
    </cfRule>
  </conditionalFormatting>
  <conditionalFormatting sqref="BB179:BB180">
    <cfRule type="cellIs" dxfId="25509" priority="2239" operator="lessThan">
      <formula>0</formula>
    </cfRule>
    <cfRule type="cellIs" dxfId="25508" priority="2240" operator="lessThan">
      <formula>-105575</formula>
    </cfRule>
  </conditionalFormatting>
  <conditionalFormatting sqref="BB179:BB180">
    <cfRule type="cellIs" dxfId="25507" priority="2237" operator="lessThan">
      <formula>0</formula>
    </cfRule>
    <cfRule type="cellIs" dxfId="25506" priority="2238" operator="lessThan">
      <formula>-105575</formula>
    </cfRule>
  </conditionalFormatting>
  <conditionalFormatting sqref="BB183:BB189">
    <cfRule type="cellIs" dxfId="25505" priority="2235" operator="lessThan">
      <formula>0</formula>
    </cfRule>
    <cfRule type="cellIs" dxfId="25504" priority="2236" operator="lessThan">
      <formula>-105575</formula>
    </cfRule>
  </conditionalFormatting>
  <conditionalFormatting sqref="BB183:BB189">
    <cfRule type="cellIs" dxfId="25503" priority="2233" operator="lessThan">
      <formula>0</formula>
    </cfRule>
    <cfRule type="cellIs" dxfId="25502" priority="2234" operator="lessThan">
      <formula>-105575</formula>
    </cfRule>
  </conditionalFormatting>
  <conditionalFormatting sqref="BB183:BB189">
    <cfRule type="cellIs" dxfId="25501" priority="2231" operator="lessThan">
      <formula>0</formula>
    </cfRule>
    <cfRule type="cellIs" dxfId="25500" priority="2232" operator="lessThan">
      <formula>-105575</formula>
    </cfRule>
  </conditionalFormatting>
  <conditionalFormatting sqref="BB191:BB192">
    <cfRule type="cellIs" dxfId="25499" priority="2229" operator="lessThan">
      <formula>0</formula>
    </cfRule>
    <cfRule type="cellIs" dxfId="25498" priority="2230" operator="lessThan">
      <formula>-105575</formula>
    </cfRule>
  </conditionalFormatting>
  <conditionalFormatting sqref="BB191:BB192">
    <cfRule type="cellIs" dxfId="25497" priority="2227" operator="lessThan">
      <formula>0</formula>
    </cfRule>
    <cfRule type="cellIs" dxfId="25496" priority="2228" operator="lessThan">
      <formula>-105575</formula>
    </cfRule>
  </conditionalFormatting>
  <conditionalFormatting sqref="BB191:BB192">
    <cfRule type="cellIs" dxfId="25495" priority="2225" operator="lessThan">
      <formula>0</formula>
    </cfRule>
    <cfRule type="cellIs" dxfId="25494" priority="2226" operator="lessThan">
      <formula>-105575</formula>
    </cfRule>
  </conditionalFormatting>
  <conditionalFormatting sqref="BB194:BB195">
    <cfRule type="cellIs" dxfId="25493" priority="2223" operator="lessThan">
      <formula>0</formula>
    </cfRule>
    <cfRule type="cellIs" dxfId="25492" priority="2224" operator="lessThan">
      <formula>-105575</formula>
    </cfRule>
  </conditionalFormatting>
  <conditionalFormatting sqref="BB194:BB195">
    <cfRule type="cellIs" dxfId="25491" priority="2221" operator="lessThan">
      <formula>0</formula>
    </cfRule>
    <cfRule type="cellIs" dxfId="25490" priority="2222" operator="lessThan">
      <formula>-105575</formula>
    </cfRule>
  </conditionalFormatting>
  <conditionalFormatting sqref="BB194:BB195">
    <cfRule type="cellIs" dxfId="25489" priority="2219" operator="lessThan">
      <formula>0</formula>
    </cfRule>
    <cfRule type="cellIs" dxfId="25488" priority="2220" operator="lessThan">
      <formula>-105575</formula>
    </cfRule>
  </conditionalFormatting>
  <conditionalFormatting sqref="BB199:BB202">
    <cfRule type="cellIs" dxfId="25487" priority="2217" operator="lessThan">
      <formula>0</formula>
    </cfRule>
    <cfRule type="cellIs" dxfId="25486" priority="2218" operator="lessThan">
      <formula>-105575</formula>
    </cfRule>
  </conditionalFormatting>
  <conditionalFormatting sqref="BB199:BB202">
    <cfRule type="cellIs" dxfId="25485" priority="2215" operator="lessThan">
      <formula>0</formula>
    </cfRule>
    <cfRule type="cellIs" dxfId="25484" priority="2216" operator="lessThan">
      <formula>-105575</formula>
    </cfRule>
  </conditionalFormatting>
  <conditionalFormatting sqref="BB199:BB202">
    <cfRule type="cellIs" dxfId="25483" priority="2213" operator="lessThan">
      <formula>0</formula>
    </cfRule>
    <cfRule type="cellIs" dxfId="25482" priority="2214" operator="lessThan">
      <formula>-105575</formula>
    </cfRule>
  </conditionalFormatting>
  <conditionalFormatting sqref="BB204:BB208">
    <cfRule type="cellIs" dxfId="25481" priority="2211" operator="lessThan">
      <formula>0</formula>
    </cfRule>
    <cfRule type="cellIs" dxfId="25480" priority="2212" operator="lessThan">
      <formula>-105575</formula>
    </cfRule>
  </conditionalFormatting>
  <conditionalFormatting sqref="BB204:BB208">
    <cfRule type="cellIs" dxfId="25479" priority="2209" operator="lessThan">
      <formula>0</formula>
    </cfRule>
    <cfRule type="cellIs" dxfId="25478" priority="2210" operator="lessThan">
      <formula>-105575</formula>
    </cfRule>
  </conditionalFormatting>
  <conditionalFormatting sqref="BB204:BB208">
    <cfRule type="cellIs" dxfId="25477" priority="2207" operator="lessThan">
      <formula>0</formula>
    </cfRule>
    <cfRule type="cellIs" dxfId="25476" priority="2208" operator="lessThan">
      <formula>-105575</formula>
    </cfRule>
  </conditionalFormatting>
  <conditionalFormatting sqref="BB210:BB211">
    <cfRule type="cellIs" dxfId="25475" priority="2205" operator="lessThan">
      <formula>0</formula>
    </cfRule>
    <cfRule type="cellIs" dxfId="25474" priority="2206" operator="lessThan">
      <formula>-105575</formula>
    </cfRule>
  </conditionalFormatting>
  <conditionalFormatting sqref="BB210:BB211">
    <cfRule type="cellIs" dxfId="25473" priority="2203" operator="lessThan">
      <formula>0</formula>
    </cfRule>
    <cfRule type="cellIs" dxfId="25472" priority="2204" operator="lessThan">
      <formula>-105575</formula>
    </cfRule>
  </conditionalFormatting>
  <conditionalFormatting sqref="BB210:BB211">
    <cfRule type="cellIs" dxfId="25471" priority="2201" operator="lessThan">
      <formula>0</formula>
    </cfRule>
    <cfRule type="cellIs" dxfId="25470" priority="2202" operator="lessThan">
      <formula>-105575</formula>
    </cfRule>
  </conditionalFormatting>
  <conditionalFormatting sqref="BB214:BB219">
    <cfRule type="cellIs" dxfId="25469" priority="2199" operator="lessThan">
      <formula>0</formula>
    </cfRule>
    <cfRule type="cellIs" dxfId="25468" priority="2200" operator="lessThan">
      <formula>-105575</formula>
    </cfRule>
  </conditionalFormatting>
  <conditionalFormatting sqref="BB214:BB219">
    <cfRule type="cellIs" dxfId="25467" priority="2197" operator="lessThan">
      <formula>0</formula>
    </cfRule>
    <cfRule type="cellIs" dxfId="25466" priority="2198" operator="lessThan">
      <formula>-105575</formula>
    </cfRule>
  </conditionalFormatting>
  <conditionalFormatting sqref="BB214:BB219">
    <cfRule type="cellIs" dxfId="25465" priority="2195" operator="lessThan">
      <formula>0</formula>
    </cfRule>
    <cfRule type="cellIs" dxfId="25464" priority="2196" operator="lessThan">
      <formula>-105575</formula>
    </cfRule>
  </conditionalFormatting>
  <conditionalFormatting sqref="BB222:BB224">
    <cfRule type="cellIs" dxfId="25463" priority="2193" operator="lessThan">
      <formula>0</formula>
    </cfRule>
    <cfRule type="cellIs" dxfId="25462" priority="2194" operator="lessThan">
      <formula>-105575</formula>
    </cfRule>
  </conditionalFormatting>
  <conditionalFormatting sqref="BB222:BB224">
    <cfRule type="cellIs" dxfId="25461" priority="2191" operator="lessThan">
      <formula>0</formula>
    </cfRule>
    <cfRule type="cellIs" dxfId="25460" priority="2192" operator="lessThan">
      <formula>-105575</formula>
    </cfRule>
  </conditionalFormatting>
  <conditionalFormatting sqref="BB222:BB224">
    <cfRule type="cellIs" dxfId="25459" priority="2189" operator="lessThan">
      <formula>0</formula>
    </cfRule>
    <cfRule type="cellIs" dxfId="25458" priority="2190" operator="lessThan">
      <formula>-105575</formula>
    </cfRule>
  </conditionalFormatting>
  <conditionalFormatting sqref="BB227:BB230">
    <cfRule type="cellIs" dxfId="25457" priority="2187" operator="lessThan">
      <formula>0</formula>
    </cfRule>
    <cfRule type="cellIs" dxfId="25456" priority="2188" operator="lessThan">
      <formula>-105575</formula>
    </cfRule>
  </conditionalFormatting>
  <conditionalFormatting sqref="BB227:BB230">
    <cfRule type="cellIs" dxfId="25455" priority="2185" operator="lessThan">
      <formula>0</formula>
    </cfRule>
    <cfRule type="cellIs" dxfId="25454" priority="2186" operator="lessThan">
      <formula>-105575</formula>
    </cfRule>
  </conditionalFormatting>
  <conditionalFormatting sqref="BB227:BB230">
    <cfRule type="cellIs" dxfId="25453" priority="2183" operator="lessThan">
      <formula>0</formula>
    </cfRule>
    <cfRule type="cellIs" dxfId="25452" priority="2184" operator="lessThan">
      <formula>-105575</formula>
    </cfRule>
  </conditionalFormatting>
  <conditionalFormatting sqref="BB246:BB249">
    <cfRule type="cellIs" dxfId="25451" priority="2181" operator="lessThan">
      <formula>0</formula>
    </cfRule>
    <cfRule type="cellIs" dxfId="25450" priority="2182" operator="lessThan">
      <formula>-105575</formula>
    </cfRule>
  </conditionalFormatting>
  <conditionalFormatting sqref="BB246:BB249">
    <cfRule type="cellIs" dxfId="25449" priority="2179" operator="lessThan">
      <formula>0</formula>
    </cfRule>
    <cfRule type="cellIs" dxfId="25448" priority="2180" operator="lessThan">
      <formula>-105575</formula>
    </cfRule>
  </conditionalFormatting>
  <conditionalFormatting sqref="BB246:BB249">
    <cfRule type="cellIs" dxfId="25447" priority="2177" operator="lessThan">
      <formula>0</formula>
    </cfRule>
    <cfRule type="cellIs" dxfId="25446" priority="2178" operator="lessThan">
      <formula>-105575</formula>
    </cfRule>
  </conditionalFormatting>
  <conditionalFormatting sqref="BB246:BB249">
    <cfRule type="cellIs" dxfId="25445" priority="2175" operator="lessThan">
      <formula>0</formula>
    </cfRule>
    <cfRule type="cellIs" dxfId="25444" priority="2176" operator="lessThan">
      <formula>-105575</formula>
    </cfRule>
  </conditionalFormatting>
  <conditionalFormatting sqref="BB246:BB249">
    <cfRule type="cellIs" dxfId="25443" priority="2173" operator="lessThan">
      <formula>0</formula>
    </cfRule>
    <cfRule type="cellIs" dxfId="25442" priority="2174" operator="lessThan">
      <formula>-105575</formula>
    </cfRule>
  </conditionalFormatting>
  <conditionalFormatting sqref="BB246:BB249">
    <cfRule type="cellIs" dxfId="25441" priority="2171" operator="lessThan">
      <formula>0</formula>
    </cfRule>
    <cfRule type="cellIs" dxfId="25440" priority="2172" operator="lessThan">
      <formula>-105575</formula>
    </cfRule>
  </conditionalFormatting>
  <conditionalFormatting sqref="BB246:BB249">
    <cfRule type="cellIs" dxfId="25439" priority="2169" operator="lessThan">
      <formula>0</formula>
    </cfRule>
    <cfRule type="cellIs" dxfId="25438" priority="2170" operator="lessThan">
      <formula>-105575</formula>
    </cfRule>
  </conditionalFormatting>
  <conditionalFormatting sqref="BB246:BB249">
    <cfRule type="cellIs" dxfId="25437" priority="2167" operator="lessThan">
      <formula>0</formula>
    </cfRule>
    <cfRule type="cellIs" dxfId="25436" priority="2168" operator="lessThan">
      <formula>-105575</formula>
    </cfRule>
  </conditionalFormatting>
  <conditionalFormatting sqref="BB246:BB249">
    <cfRule type="cellIs" dxfId="25435" priority="2165" operator="lessThan">
      <formula>0</formula>
    </cfRule>
    <cfRule type="cellIs" dxfId="25434" priority="2166" operator="lessThan">
      <formula>-105575</formula>
    </cfRule>
  </conditionalFormatting>
  <conditionalFormatting sqref="BB251:BB253">
    <cfRule type="cellIs" dxfId="25433" priority="2163" operator="lessThan">
      <formula>0</formula>
    </cfRule>
    <cfRule type="cellIs" dxfId="25432" priority="2164" operator="lessThan">
      <formula>-105575</formula>
    </cfRule>
  </conditionalFormatting>
  <conditionalFormatting sqref="BB251:BB253">
    <cfRule type="cellIs" dxfId="25431" priority="2161" operator="lessThan">
      <formula>0</formula>
    </cfRule>
    <cfRule type="cellIs" dxfId="25430" priority="2162" operator="lessThan">
      <formula>-105575</formula>
    </cfRule>
  </conditionalFormatting>
  <conditionalFormatting sqref="BB251:BB253">
    <cfRule type="cellIs" dxfId="25429" priority="2159" operator="lessThan">
      <formula>0</formula>
    </cfRule>
    <cfRule type="cellIs" dxfId="25428" priority="2160" operator="lessThan">
      <formula>-105575</formula>
    </cfRule>
  </conditionalFormatting>
  <conditionalFormatting sqref="BB251:BB253">
    <cfRule type="cellIs" dxfId="25427" priority="2157" operator="lessThan">
      <formula>0</formula>
    </cfRule>
    <cfRule type="cellIs" dxfId="25426" priority="2158" operator="lessThan">
      <formula>-105575</formula>
    </cfRule>
  </conditionalFormatting>
  <conditionalFormatting sqref="BB251:BB253">
    <cfRule type="cellIs" dxfId="25425" priority="2155" operator="lessThan">
      <formula>0</formula>
    </cfRule>
    <cfRule type="cellIs" dxfId="25424" priority="2156" operator="lessThan">
      <formula>-105575</formula>
    </cfRule>
  </conditionalFormatting>
  <conditionalFormatting sqref="BB251:BB253">
    <cfRule type="cellIs" dxfId="25423" priority="2153" operator="lessThan">
      <formula>0</formula>
    </cfRule>
    <cfRule type="cellIs" dxfId="25422" priority="2154" operator="lessThan">
      <formula>-105575</formula>
    </cfRule>
  </conditionalFormatting>
  <conditionalFormatting sqref="BB251:BB253">
    <cfRule type="cellIs" dxfId="25421" priority="2151" operator="lessThan">
      <formula>0</formula>
    </cfRule>
    <cfRule type="cellIs" dxfId="25420" priority="2152" operator="lessThan">
      <formula>-105575</formula>
    </cfRule>
  </conditionalFormatting>
  <conditionalFormatting sqref="BB251:BB253">
    <cfRule type="cellIs" dxfId="25419" priority="2149" operator="lessThan">
      <formula>0</formula>
    </cfRule>
    <cfRule type="cellIs" dxfId="25418" priority="2150" operator="lessThan">
      <formula>-105575</formula>
    </cfRule>
  </conditionalFormatting>
  <conditionalFormatting sqref="BB251:BB253">
    <cfRule type="cellIs" dxfId="25417" priority="2147" operator="lessThan">
      <formula>0</formula>
    </cfRule>
    <cfRule type="cellIs" dxfId="25416" priority="2148" operator="lessThan">
      <formula>-105575</formula>
    </cfRule>
  </conditionalFormatting>
  <conditionalFormatting sqref="BB255:BB257">
    <cfRule type="cellIs" dxfId="25415" priority="2145" operator="lessThan">
      <formula>0</formula>
    </cfRule>
    <cfRule type="cellIs" dxfId="25414" priority="2146" operator="lessThan">
      <formula>-105575</formula>
    </cfRule>
  </conditionalFormatting>
  <conditionalFormatting sqref="BB255:BB257">
    <cfRule type="cellIs" dxfId="25413" priority="2143" operator="lessThan">
      <formula>0</formula>
    </cfRule>
    <cfRule type="cellIs" dxfId="25412" priority="2144" operator="lessThan">
      <formula>-105575</formula>
    </cfRule>
  </conditionalFormatting>
  <conditionalFormatting sqref="BB255:BB257">
    <cfRule type="cellIs" dxfId="25411" priority="2141" operator="lessThan">
      <formula>0</formula>
    </cfRule>
    <cfRule type="cellIs" dxfId="25410" priority="2142" operator="lessThan">
      <formula>-105575</formula>
    </cfRule>
  </conditionalFormatting>
  <conditionalFormatting sqref="BB255:BB257">
    <cfRule type="cellIs" dxfId="25409" priority="2139" operator="lessThan">
      <formula>0</formula>
    </cfRule>
    <cfRule type="cellIs" dxfId="25408" priority="2140" operator="lessThan">
      <formula>-105575</formula>
    </cfRule>
  </conditionalFormatting>
  <conditionalFormatting sqref="BB255:BB257">
    <cfRule type="cellIs" dxfId="25407" priority="2137" operator="lessThan">
      <formula>0</formula>
    </cfRule>
    <cfRule type="cellIs" dxfId="25406" priority="2138" operator="lessThan">
      <formula>-105575</formula>
    </cfRule>
  </conditionalFormatting>
  <conditionalFormatting sqref="BB255:BB257">
    <cfRule type="cellIs" dxfId="25405" priority="2135" operator="lessThan">
      <formula>0</formula>
    </cfRule>
    <cfRule type="cellIs" dxfId="25404" priority="2136" operator="lessThan">
      <formula>-105575</formula>
    </cfRule>
  </conditionalFormatting>
  <conditionalFormatting sqref="BB255:BB257">
    <cfRule type="cellIs" dxfId="25403" priority="2133" operator="lessThan">
      <formula>0</formula>
    </cfRule>
    <cfRule type="cellIs" dxfId="25402" priority="2134" operator="lessThan">
      <formula>-105575</formula>
    </cfRule>
  </conditionalFormatting>
  <conditionalFormatting sqref="BB255:BB257">
    <cfRule type="cellIs" dxfId="25401" priority="2131" operator="lessThan">
      <formula>0</formula>
    </cfRule>
    <cfRule type="cellIs" dxfId="25400" priority="2132" operator="lessThan">
      <formula>-105575</formula>
    </cfRule>
  </conditionalFormatting>
  <conditionalFormatting sqref="BB255:BB257">
    <cfRule type="cellIs" dxfId="25399" priority="2129" operator="lessThan">
      <formula>0</formula>
    </cfRule>
    <cfRule type="cellIs" dxfId="25398" priority="2130" operator="lessThan">
      <formula>-105575</formula>
    </cfRule>
  </conditionalFormatting>
  <conditionalFormatting sqref="BB260:BB262">
    <cfRule type="cellIs" dxfId="25397" priority="2127" operator="lessThan">
      <formula>0</formula>
    </cfRule>
    <cfRule type="cellIs" dxfId="25396" priority="2128" operator="lessThan">
      <formula>-105575</formula>
    </cfRule>
  </conditionalFormatting>
  <conditionalFormatting sqref="BB260:BB262">
    <cfRule type="cellIs" dxfId="25395" priority="2125" operator="lessThan">
      <formula>0</formula>
    </cfRule>
    <cfRule type="cellIs" dxfId="25394" priority="2126" operator="lessThan">
      <formula>-105575</formula>
    </cfRule>
  </conditionalFormatting>
  <conditionalFormatting sqref="BB260:BB262">
    <cfRule type="cellIs" dxfId="25393" priority="2123" operator="lessThan">
      <formula>0</formula>
    </cfRule>
    <cfRule type="cellIs" dxfId="25392" priority="2124" operator="lessThan">
      <formula>-105575</formula>
    </cfRule>
  </conditionalFormatting>
  <conditionalFormatting sqref="BB260:BB262">
    <cfRule type="cellIs" dxfId="25391" priority="2121" operator="lessThan">
      <formula>0</formula>
    </cfRule>
    <cfRule type="cellIs" dxfId="25390" priority="2122" operator="lessThan">
      <formula>-105575</formula>
    </cfRule>
  </conditionalFormatting>
  <conditionalFormatting sqref="BB260:BB262">
    <cfRule type="cellIs" dxfId="25389" priority="2119" operator="lessThan">
      <formula>0</formula>
    </cfRule>
    <cfRule type="cellIs" dxfId="25388" priority="2120" operator="lessThan">
      <formula>-105575</formula>
    </cfRule>
  </conditionalFormatting>
  <conditionalFormatting sqref="BB260:BB262">
    <cfRule type="cellIs" dxfId="25387" priority="2117" operator="lessThan">
      <formula>0</formula>
    </cfRule>
    <cfRule type="cellIs" dxfId="25386" priority="2118" operator="lessThan">
      <formula>-105575</formula>
    </cfRule>
  </conditionalFormatting>
  <conditionalFormatting sqref="BB260:BB262">
    <cfRule type="cellIs" dxfId="25385" priority="2115" operator="lessThan">
      <formula>0</formula>
    </cfRule>
    <cfRule type="cellIs" dxfId="25384" priority="2116" operator="lessThan">
      <formula>-105575</formula>
    </cfRule>
  </conditionalFormatting>
  <conditionalFormatting sqref="BB260:BB262">
    <cfRule type="cellIs" dxfId="25383" priority="2113" operator="lessThan">
      <formula>0</formula>
    </cfRule>
    <cfRule type="cellIs" dxfId="25382" priority="2114" operator="lessThan">
      <formula>-105575</formula>
    </cfRule>
  </conditionalFormatting>
  <conditionalFormatting sqref="BB260:BB262">
    <cfRule type="cellIs" dxfId="25381" priority="2111" operator="lessThan">
      <formula>0</formula>
    </cfRule>
    <cfRule type="cellIs" dxfId="25380" priority="2112" operator="lessThan">
      <formula>-105575</formula>
    </cfRule>
  </conditionalFormatting>
  <conditionalFormatting sqref="BB264:BB267">
    <cfRule type="cellIs" dxfId="25379" priority="2109" operator="lessThan">
      <formula>0</formula>
    </cfRule>
    <cfRule type="cellIs" dxfId="25378" priority="2110" operator="lessThan">
      <formula>-105575</formula>
    </cfRule>
  </conditionalFormatting>
  <conditionalFormatting sqref="BB264:BB267">
    <cfRule type="cellIs" dxfId="25377" priority="2107" operator="lessThan">
      <formula>0</formula>
    </cfRule>
    <cfRule type="cellIs" dxfId="25376" priority="2108" operator="lessThan">
      <formula>-105575</formula>
    </cfRule>
  </conditionalFormatting>
  <conditionalFormatting sqref="BB264:BB267">
    <cfRule type="cellIs" dxfId="25375" priority="2105" operator="lessThan">
      <formula>0</formula>
    </cfRule>
    <cfRule type="cellIs" dxfId="25374" priority="2106" operator="lessThan">
      <formula>-105575</formula>
    </cfRule>
  </conditionalFormatting>
  <conditionalFormatting sqref="BB264:BB267">
    <cfRule type="cellIs" dxfId="25373" priority="2103" operator="lessThan">
      <formula>0</formula>
    </cfRule>
    <cfRule type="cellIs" dxfId="25372" priority="2104" operator="lessThan">
      <formula>-105575</formula>
    </cfRule>
  </conditionalFormatting>
  <conditionalFormatting sqref="BB264:BB267">
    <cfRule type="cellIs" dxfId="25371" priority="2101" operator="lessThan">
      <formula>0</formula>
    </cfRule>
    <cfRule type="cellIs" dxfId="25370" priority="2102" operator="lessThan">
      <formula>-105575</formula>
    </cfRule>
  </conditionalFormatting>
  <conditionalFormatting sqref="BB264:BB267">
    <cfRule type="cellIs" dxfId="25369" priority="2099" operator="lessThan">
      <formula>0</formula>
    </cfRule>
    <cfRule type="cellIs" dxfId="25368" priority="2100" operator="lessThan">
      <formula>-105575</formula>
    </cfRule>
  </conditionalFormatting>
  <conditionalFormatting sqref="BB264:BB267">
    <cfRule type="cellIs" dxfId="25367" priority="2097" operator="lessThan">
      <formula>0</formula>
    </cfRule>
    <cfRule type="cellIs" dxfId="25366" priority="2098" operator="lessThan">
      <formula>-105575</formula>
    </cfRule>
  </conditionalFormatting>
  <conditionalFormatting sqref="BB264:BB267">
    <cfRule type="cellIs" dxfId="25365" priority="2095" operator="lessThan">
      <formula>0</formula>
    </cfRule>
    <cfRule type="cellIs" dxfId="25364" priority="2096" operator="lessThan">
      <formula>-105575</formula>
    </cfRule>
  </conditionalFormatting>
  <conditionalFormatting sqref="BB264:BB267">
    <cfRule type="cellIs" dxfId="25363" priority="2093" operator="lessThan">
      <formula>0</formula>
    </cfRule>
    <cfRule type="cellIs" dxfId="25362" priority="2094" operator="lessThan">
      <formula>-105575</formula>
    </cfRule>
  </conditionalFormatting>
  <conditionalFormatting sqref="BB270:BB272">
    <cfRule type="cellIs" dxfId="25361" priority="2091" operator="lessThan">
      <formula>0</formula>
    </cfRule>
    <cfRule type="cellIs" dxfId="25360" priority="2092" operator="lessThan">
      <formula>-105575</formula>
    </cfRule>
  </conditionalFormatting>
  <conditionalFormatting sqref="BB270:BB272">
    <cfRule type="cellIs" dxfId="25359" priority="2089" operator="lessThan">
      <formula>0</formula>
    </cfRule>
    <cfRule type="cellIs" dxfId="25358" priority="2090" operator="lessThan">
      <formula>-105575</formula>
    </cfRule>
  </conditionalFormatting>
  <conditionalFormatting sqref="BB270:BB272">
    <cfRule type="cellIs" dxfId="25357" priority="2087" operator="lessThan">
      <formula>0</formula>
    </cfRule>
    <cfRule type="cellIs" dxfId="25356" priority="2088" operator="lessThan">
      <formula>-105575</formula>
    </cfRule>
  </conditionalFormatting>
  <conditionalFormatting sqref="BB270:BB272">
    <cfRule type="cellIs" dxfId="25355" priority="2085" operator="lessThan">
      <formula>0</formula>
    </cfRule>
    <cfRule type="cellIs" dxfId="25354" priority="2086" operator="lessThan">
      <formula>-105575</formula>
    </cfRule>
  </conditionalFormatting>
  <conditionalFormatting sqref="BB270:BB272">
    <cfRule type="cellIs" dxfId="25353" priority="2083" operator="lessThan">
      <formula>0</formula>
    </cfRule>
    <cfRule type="cellIs" dxfId="25352" priority="2084" operator="lessThan">
      <formula>-105575</formula>
    </cfRule>
  </conditionalFormatting>
  <conditionalFormatting sqref="BB270:BB272">
    <cfRule type="cellIs" dxfId="25351" priority="2081" operator="lessThan">
      <formula>0</formula>
    </cfRule>
    <cfRule type="cellIs" dxfId="25350" priority="2082" operator="lessThan">
      <formula>-105575</formula>
    </cfRule>
  </conditionalFormatting>
  <conditionalFormatting sqref="BB270:BB272">
    <cfRule type="cellIs" dxfId="25349" priority="2079" operator="lessThan">
      <formula>0</formula>
    </cfRule>
    <cfRule type="cellIs" dxfId="25348" priority="2080" operator="lessThan">
      <formula>-105575</formula>
    </cfRule>
  </conditionalFormatting>
  <conditionalFormatting sqref="BB270:BB272">
    <cfRule type="cellIs" dxfId="25347" priority="2077" operator="lessThan">
      <formula>0</formula>
    </cfRule>
    <cfRule type="cellIs" dxfId="25346" priority="2078" operator="lessThan">
      <formula>-105575</formula>
    </cfRule>
  </conditionalFormatting>
  <conditionalFormatting sqref="BB270:BB272">
    <cfRule type="cellIs" dxfId="25345" priority="2075" operator="lessThan">
      <formula>0</formula>
    </cfRule>
    <cfRule type="cellIs" dxfId="25344" priority="2076" operator="lessThan">
      <formula>-105575</formula>
    </cfRule>
  </conditionalFormatting>
  <conditionalFormatting sqref="BB274:BB275">
    <cfRule type="cellIs" dxfId="25343" priority="2073" operator="lessThan">
      <formula>0</formula>
    </cfRule>
    <cfRule type="cellIs" dxfId="25342" priority="2074" operator="lessThan">
      <formula>-105575</formula>
    </cfRule>
  </conditionalFormatting>
  <conditionalFormatting sqref="BB274:BB275">
    <cfRule type="cellIs" dxfId="25341" priority="2071" operator="lessThan">
      <formula>0</formula>
    </cfRule>
    <cfRule type="cellIs" dxfId="25340" priority="2072" operator="lessThan">
      <formula>-105575</formula>
    </cfRule>
  </conditionalFormatting>
  <conditionalFormatting sqref="BB274:BB275">
    <cfRule type="cellIs" dxfId="25339" priority="2069" operator="lessThan">
      <formula>0</formula>
    </cfRule>
    <cfRule type="cellIs" dxfId="25338" priority="2070" operator="lessThan">
      <formula>-105575</formula>
    </cfRule>
  </conditionalFormatting>
  <conditionalFormatting sqref="BB274:BB275">
    <cfRule type="cellIs" dxfId="25337" priority="2067" operator="lessThan">
      <formula>0</formula>
    </cfRule>
    <cfRule type="cellIs" dxfId="25336" priority="2068" operator="lessThan">
      <formula>-105575</formula>
    </cfRule>
  </conditionalFormatting>
  <conditionalFormatting sqref="BB274:BB275">
    <cfRule type="cellIs" dxfId="25335" priority="2065" operator="lessThan">
      <formula>0</formula>
    </cfRule>
    <cfRule type="cellIs" dxfId="25334" priority="2066" operator="lessThan">
      <formula>-105575</formula>
    </cfRule>
  </conditionalFormatting>
  <conditionalFormatting sqref="BB274:BB275">
    <cfRule type="cellIs" dxfId="25333" priority="2063" operator="lessThan">
      <formula>0</formula>
    </cfRule>
    <cfRule type="cellIs" dxfId="25332" priority="2064" operator="lessThan">
      <formula>-105575</formula>
    </cfRule>
  </conditionalFormatting>
  <conditionalFormatting sqref="BB274:BB275">
    <cfRule type="cellIs" dxfId="25331" priority="2061" operator="lessThan">
      <formula>0</formula>
    </cfRule>
    <cfRule type="cellIs" dxfId="25330" priority="2062" operator="lessThan">
      <formula>-105575</formula>
    </cfRule>
  </conditionalFormatting>
  <conditionalFormatting sqref="BB274:BB275">
    <cfRule type="cellIs" dxfId="25329" priority="2059" operator="lessThan">
      <formula>0</formula>
    </cfRule>
    <cfRule type="cellIs" dxfId="25328" priority="2060" operator="lessThan">
      <formula>-105575</formula>
    </cfRule>
  </conditionalFormatting>
  <conditionalFormatting sqref="BB274:BB275">
    <cfRule type="cellIs" dxfId="25327" priority="2057" operator="lessThan">
      <formula>0</formula>
    </cfRule>
    <cfRule type="cellIs" dxfId="25326" priority="2058" operator="lessThan">
      <formula>-105575</formula>
    </cfRule>
  </conditionalFormatting>
  <conditionalFormatting sqref="BB278:BB282">
    <cfRule type="cellIs" dxfId="25325" priority="2055" operator="lessThan">
      <formula>0</formula>
    </cfRule>
    <cfRule type="cellIs" dxfId="25324" priority="2056" operator="lessThan">
      <formula>-105575</formula>
    </cfRule>
  </conditionalFormatting>
  <conditionalFormatting sqref="BB278:BB282">
    <cfRule type="cellIs" dxfId="25323" priority="2053" operator="lessThan">
      <formula>0</formula>
    </cfRule>
    <cfRule type="cellIs" dxfId="25322" priority="2054" operator="lessThan">
      <formula>-105575</formula>
    </cfRule>
  </conditionalFormatting>
  <conditionalFormatting sqref="BB278:BB282">
    <cfRule type="cellIs" dxfId="25321" priority="2051" operator="lessThan">
      <formula>0</formula>
    </cfRule>
    <cfRule type="cellIs" dxfId="25320" priority="2052" operator="lessThan">
      <formula>-105575</formula>
    </cfRule>
  </conditionalFormatting>
  <conditionalFormatting sqref="BB278:BB282">
    <cfRule type="cellIs" dxfId="25319" priority="2049" operator="lessThan">
      <formula>0</formula>
    </cfRule>
    <cfRule type="cellIs" dxfId="25318" priority="2050" operator="lessThan">
      <formula>-105575</formula>
    </cfRule>
  </conditionalFormatting>
  <conditionalFormatting sqref="BB278:BB282">
    <cfRule type="cellIs" dxfId="25317" priority="2047" operator="lessThan">
      <formula>0</formula>
    </cfRule>
    <cfRule type="cellIs" dxfId="25316" priority="2048" operator="lessThan">
      <formula>-105575</formula>
    </cfRule>
  </conditionalFormatting>
  <conditionalFormatting sqref="BB278:BB282">
    <cfRule type="cellIs" dxfId="25315" priority="2045" operator="lessThan">
      <formula>0</formula>
    </cfRule>
    <cfRule type="cellIs" dxfId="25314" priority="2046" operator="lessThan">
      <formula>-105575</formula>
    </cfRule>
  </conditionalFormatting>
  <conditionalFormatting sqref="BB278:BB282">
    <cfRule type="cellIs" dxfId="25313" priority="2043" operator="lessThan">
      <formula>0</formula>
    </cfRule>
    <cfRule type="cellIs" dxfId="25312" priority="2044" operator="lessThan">
      <formula>-105575</formula>
    </cfRule>
  </conditionalFormatting>
  <conditionalFormatting sqref="BB278:BB282">
    <cfRule type="cellIs" dxfId="25311" priority="2041" operator="lessThan">
      <formula>0</formula>
    </cfRule>
    <cfRule type="cellIs" dxfId="25310" priority="2042" operator="lessThan">
      <formula>-105575</formula>
    </cfRule>
  </conditionalFormatting>
  <conditionalFormatting sqref="BB278:BB282">
    <cfRule type="cellIs" dxfId="25309" priority="2039" operator="lessThan">
      <formula>0</formula>
    </cfRule>
    <cfRule type="cellIs" dxfId="25308" priority="2040" operator="lessThan">
      <formula>-105575</formula>
    </cfRule>
  </conditionalFormatting>
  <conditionalFormatting sqref="BB285:BB288">
    <cfRule type="cellIs" dxfId="25307" priority="2037" operator="lessThan">
      <formula>0</formula>
    </cfRule>
    <cfRule type="cellIs" dxfId="25306" priority="2038" operator="lessThan">
      <formula>-105575</formula>
    </cfRule>
  </conditionalFormatting>
  <conditionalFormatting sqref="BB285:BB288">
    <cfRule type="cellIs" dxfId="25305" priority="2035" operator="lessThan">
      <formula>0</formula>
    </cfRule>
    <cfRule type="cellIs" dxfId="25304" priority="2036" operator="lessThan">
      <formula>-105575</formula>
    </cfRule>
  </conditionalFormatting>
  <conditionalFormatting sqref="BB285:BB288">
    <cfRule type="cellIs" dxfId="25303" priority="2033" operator="lessThan">
      <formula>0</formula>
    </cfRule>
    <cfRule type="cellIs" dxfId="25302" priority="2034" operator="lessThan">
      <formula>-105575</formula>
    </cfRule>
  </conditionalFormatting>
  <conditionalFormatting sqref="BB285:BB288">
    <cfRule type="cellIs" dxfId="25301" priority="2031" operator="lessThan">
      <formula>0</formula>
    </cfRule>
    <cfRule type="cellIs" dxfId="25300" priority="2032" operator="lessThan">
      <formula>-105575</formula>
    </cfRule>
  </conditionalFormatting>
  <conditionalFormatting sqref="BB285:BB288">
    <cfRule type="cellIs" dxfId="25299" priority="2029" operator="lessThan">
      <formula>0</formula>
    </cfRule>
    <cfRule type="cellIs" dxfId="25298" priority="2030" operator="lessThan">
      <formula>-105575</formula>
    </cfRule>
  </conditionalFormatting>
  <conditionalFormatting sqref="BB285:BB288">
    <cfRule type="cellIs" dxfId="25297" priority="2027" operator="lessThan">
      <formula>0</formula>
    </cfRule>
    <cfRule type="cellIs" dxfId="25296" priority="2028" operator="lessThan">
      <formula>-105575</formula>
    </cfRule>
  </conditionalFormatting>
  <conditionalFormatting sqref="BB285:BB288">
    <cfRule type="cellIs" dxfId="25295" priority="2025" operator="lessThan">
      <formula>0</formula>
    </cfRule>
    <cfRule type="cellIs" dxfId="25294" priority="2026" operator="lessThan">
      <formula>-105575</formula>
    </cfRule>
  </conditionalFormatting>
  <conditionalFormatting sqref="BB285:BB288">
    <cfRule type="cellIs" dxfId="25293" priority="2023" operator="lessThan">
      <formula>0</formula>
    </cfRule>
    <cfRule type="cellIs" dxfId="25292" priority="2024" operator="lessThan">
      <formula>-105575</formula>
    </cfRule>
  </conditionalFormatting>
  <conditionalFormatting sqref="BB285:BB288">
    <cfRule type="cellIs" dxfId="25291" priority="2021" operator="lessThan">
      <formula>0</formula>
    </cfRule>
    <cfRule type="cellIs" dxfId="25290" priority="2022" operator="lessThan">
      <formula>-105575</formula>
    </cfRule>
  </conditionalFormatting>
  <conditionalFormatting sqref="BB203 BB220:BB221 BB235:BB243 BB231:BB233 BB212:BB213 BB225:BB226">
    <cfRule type="cellIs" dxfId="25289" priority="2019" operator="lessThan">
      <formula>0</formula>
    </cfRule>
    <cfRule type="cellIs" dxfId="25288" priority="2020" operator="lessThan">
      <formula>-105575</formula>
    </cfRule>
  </conditionalFormatting>
  <conditionalFormatting sqref="BB220 BB212:BB213 BB235:BB238 BB240:BB243 BB225:BB226 BB231:BB233">
    <cfRule type="cellIs" dxfId="25287" priority="2017" operator="lessThan">
      <formula>0</formula>
    </cfRule>
    <cfRule type="cellIs" dxfId="25286" priority="2018" operator="lessThan">
      <formula>-105575</formula>
    </cfRule>
  </conditionalFormatting>
  <conditionalFormatting sqref="BB220:BB221 BB243 BB226 BB231:BB236 BB238:BB241 BB203 BB213">
    <cfRule type="cellIs" dxfId="25285" priority="2015" operator="lessThan">
      <formula>0</formula>
    </cfRule>
    <cfRule type="cellIs" dxfId="25284" priority="2016" operator="lessThan">
      <formula>-105575</formula>
    </cfRule>
  </conditionalFormatting>
  <conditionalFormatting sqref="BB235:BB243 BB231:BB233 BB220 BB212:BB213 BB225:BB226">
    <cfRule type="cellIs" dxfId="25283" priority="2013" operator="lessThan">
      <formula>0</formula>
    </cfRule>
    <cfRule type="cellIs" dxfId="25282" priority="2014" operator="lessThan">
      <formula>-105575</formula>
    </cfRule>
  </conditionalFormatting>
  <conditionalFormatting sqref="BB220:BB221 BB237:BB243 BB203 BB231:BB235 BB212:BB213 BB225:BB226">
    <cfRule type="cellIs" dxfId="25281" priority="2011" operator="lessThan">
      <formula>0</formula>
    </cfRule>
    <cfRule type="cellIs" dxfId="25280" priority="2012" operator="lessThan">
      <formula>-105575</formula>
    </cfRule>
  </conditionalFormatting>
  <conditionalFormatting sqref="BB220:BB221 BB237:BB240 BB242:BB243 BB225:BB226 BB231:BB235">
    <cfRule type="cellIs" dxfId="25279" priority="2009" operator="lessThan">
      <formula>0</formula>
    </cfRule>
    <cfRule type="cellIs" dxfId="25278" priority="2010" operator="lessThan">
      <formula>-105575</formula>
    </cfRule>
  </conditionalFormatting>
  <conditionalFormatting sqref="BB212 BB231 BB233:BB238 BB240:BB243 BB225">
    <cfRule type="cellIs" dxfId="25277" priority="2007" operator="lessThan">
      <formula>0</formula>
    </cfRule>
    <cfRule type="cellIs" dxfId="25276" priority="2008" operator="lessThan">
      <formula>-105575</formula>
    </cfRule>
  </conditionalFormatting>
  <conditionalFormatting sqref="BB237:BB243 BB231:BB235 BB220:BB221 BB225:BB226">
    <cfRule type="cellIs" dxfId="25275" priority="2005" operator="lessThan">
      <formula>0</formula>
    </cfRule>
    <cfRule type="cellIs" dxfId="25274" priority="2006" operator="lessThan">
      <formula>-105575</formula>
    </cfRule>
  </conditionalFormatting>
  <conditionalFormatting sqref="BB233:BB237 BB231 BB239:BB243">
    <cfRule type="cellIs" dxfId="25273" priority="2003" operator="lessThan">
      <formula>0</formula>
    </cfRule>
    <cfRule type="cellIs" dxfId="25272" priority="2004" operator="lessThan">
      <formula>-105575</formula>
    </cfRule>
  </conditionalFormatting>
  <conditionalFormatting sqref="BB233:BB237 BB231 BB239:BB243">
    <cfRule type="cellIs" dxfId="25271" priority="2001" operator="lessThan">
      <formula>0</formula>
    </cfRule>
    <cfRule type="cellIs" dxfId="25270" priority="2002" operator="lessThan">
      <formula>-105575</formula>
    </cfRule>
  </conditionalFormatting>
  <conditionalFormatting sqref="BB119:BB128 BB106:BB117 BB101:BB104 BB80:BB98">
    <cfRule type="cellIs" dxfId="25269" priority="1999" operator="lessThan">
      <formula>0</formula>
    </cfRule>
    <cfRule type="cellIs" dxfId="25268" priority="2000" operator="lessThan">
      <formula>-105575</formula>
    </cfRule>
  </conditionalFormatting>
  <conditionalFormatting sqref="BB130 BB132 BB134">
    <cfRule type="cellIs" dxfId="25267" priority="1997" operator="lessThan">
      <formula>0</formula>
    </cfRule>
    <cfRule type="cellIs" dxfId="25266" priority="1998" operator="lessThan">
      <formula>-105575</formula>
    </cfRule>
  </conditionalFormatting>
  <conditionalFormatting sqref="BB130 BB132 BB134">
    <cfRule type="cellIs" dxfId="25265" priority="1995" operator="lessThan">
      <formula>0</formula>
    </cfRule>
    <cfRule type="cellIs" dxfId="25264" priority="1996" operator="lessThan">
      <formula>-105575</formula>
    </cfRule>
  </conditionalFormatting>
  <conditionalFormatting sqref="BB129 BB131 BB133 BB135">
    <cfRule type="cellIs" dxfId="25263" priority="1993" operator="lessThan">
      <formula>0</formula>
    </cfRule>
    <cfRule type="cellIs" dxfId="25262" priority="1994" operator="lessThan">
      <formula>-105575</formula>
    </cfRule>
  </conditionalFormatting>
  <conditionalFormatting sqref="BB140 BB145 BB142:BB143 BB137:BB138">
    <cfRule type="cellIs" dxfId="25261" priority="1991" operator="lessThan">
      <formula>0</formula>
    </cfRule>
    <cfRule type="cellIs" dxfId="25260" priority="1992" operator="lessThan">
      <formula>-105575</formula>
    </cfRule>
  </conditionalFormatting>
  <conditionalFormatting sqref="BB149">
    <cfRule type="cellIs" dxfId="25259" priority="1989" operator="lessThan">
      <formula>0</formula>
    </cfRule>
    <cfRule type="cellIs" dxfId="25258" priority="1990" operator="lessThan">
      <formula>-105575</formula>
    </cfRule>
  </conditionalFormatting>
  <conditionalFormatting sqref="BB129:BB138 BB140:BB149">
    <cfRule type="cellIs" dxfId="25257" priority="1987" operator="lessThan">
      <formula>0</formula>
    </cfRule>
    <cfRule type="cellIs" dxfId="25256" priority="1988" operator="lessThan">
      <formula>-105575</formula>
    </cfRule>
  </conditionalFormatting>
  <conditionalFormatting sqref="BB94:BB98 BB86:BB87 BB89:BB91 BB141:BB149 BB124:BB133 BB107:BB110 BB112:BB117 BB119:BB122 BB135:BB138 BB101:BB104 BB80:BB84">
    <cfRule type="cellIs" dxfId="25255" priority="1985" operator="lessThan">
      <formula>0</formula>
    </cfRule>
    <cfRule type="cellIs" dxfId="25254" priority="1986" operator="lessThan">
      <formula>-105575</formula>
    </cfRule>
  </conditionalFormatting>
  <conditionalFormatting sqref="BB129 BB131 BB133 BB135">
    <cfRule type="cellIs" dxfId="25253" priority="1983" operator="lessThan">
      <formula>0</formula>
    </cfRule>
    <cfRule type="cellIs" dxfId="25252" priority="1984" operator="lessThan">
      <formula>-105575</formula>
    </cfRule>
  </conditionalFormatting>
  <conditionalFormatting sqref="BB146 BB144 BB141">
    <cfRule type="cellIs" dxfId="25251" priority="1981" operator="lessThan">
      <formula>0</formula>
    </cfRule>
    <cfRule type="cellIs" dxfId="25250" priority="1982" operator="lessThan">
      <formula>-105575</formula>
    </cfRule>
  </conditionalFormatting>
  <conditionalFormatting sqref="BB146 BB144 BB141">
    <cfRule type="cellIs" dxfId="25249" priority="1979" operator="lessThan">
      <formula>0</formula>
    </cfRule>
    <cfRule type="cellIs" dxfId="25248" priority="1980" operator="lessThan">
      <formula>-105575</formula>
    </cfRule>
  </conditionalFormatting>
  <conditionalFormatting sqref="BB140 BB145 BB142:BB143 BB137:BB138">
    <cfRule type="cellIs" dxfId="25247" priority="1977" operator="lessThan">
      <formula>0</formula>
    </cfRule>
    <cfRule type="cellIs" dxfId="25246" priority="1978" operator="lessThan">
      <formula>-105575</formula>
    </cfRule>
  </conditionalFormatting>
  <conditionalFormatting sqref="BB149">
    <cfRule type="cellIs" dxfId="25245" priority="1975" operator="lessThan">
      <formula>0</formula>
    </cfRule>
    <cfRule type="cellIs" dxfId="25244" priority="1976" operator="lessThan">
      <formula>-105575</formula>
    </cfRule>
  </conditionalFormatting>
  <conditionalFormatting sqref="BB94:BB98 BB86:BB87 BB89:BB91 BB141:BB149 BB124:BB133 BB107:BB110 BB112:BB117 BB119:BB122 BB135:BB138 BB101:BB104 BB80:BB84">
    <cfRule type="cellIs" dxfId="25243" priority="1973" operator="lessThan">
      <formula>0</formula>
    </cfRule>
    <cfRule type="cellIs" dxfId="25242" priority="1974" operator="lessThan">
      <formula>-105575</formula>
    </cfRule>
  </conditionalFormatting>
  <conditionalFormatting sqref="BB246:BB249 BB262 BB267 BB279:BB282 BB285:BB288 BB274:BB275 BB306:BB309 BB311:BB325 BB327:BB330 BB332:BB341 BB344:BB347 BB349:BB353 BB355:BB358 BB360:BB384 BB386:BB389 BB392:BB395 BB397:BB411 BB413:BB416 BB418:BB432 BB434:BB437 BB439:BB453 BB455:BB458 BB460:BB469 BB7:BB10 BB12:BB14 BB17:BB18 BB21:BB24 BB26:BB28 BB30:BB36 BB38 BB41:BB43 BB46:BB49 BB51:BB55 BB57:BB59 BB62:BB76 BB251:BB253 BB255:BB257 BB293:BB304 BB264:BB265 BB260 BB290:BB291 BB270:BB272">
    <cfRule type="cellIs" dxfId="25241" priority="1971" operator="lessThan">
      <formula>0</formula>
    </cfRule>
    <cfRule type="cellIs" dxfId="25240" priority="1972" operator="lessThan">
      <formula>-105575</formula>
    </cfRule>
  </conditionalFormatting>
  <conditionalFormatting sqref="BB41">
    <cfRule type="cellIs" dxfId="25239" priority="1969" operator="lessThan">
      <formula>0</formula>
    </cfRule>
    <cfRule type="cellIs" dxfId="25238" priority="1970" operator="lessThan">
      <formula>-105575</formula>
    </cfRule>
  </conditionalFormatting>
  <conditionalFormatting sqref="BB152:BB155">
    <cfRule type="cellIs" dxfId="25237" priority="1967" operator="lessThan">
      <formula>0</formula>
    </cfRule>
    <cfRule type="cellIs" dxfId="25236" priority="1968" operator="lessThan">
      <formula>-105575</formula>
    </cfRule>
  </conditionalFormatting>
  <conditionalFormatting sqref="BB152:BB155">
    <cfRule type="cellIs" dxfId="25235" priority="1965" operator="lessThan">
      <formula>0</formula>
    </cfRule>
    <cfRule type="cellIs" dxfId="25234" priority="1966" operator="lessThan">
      <formula>-105575</formula>
    </cfRule>
  </conditionalFormatting>
  <conditionalFormatting sqref="BB152:BB155">
    <cfRule type="cellIs" dxfId="25233" priority="1963" operator="lessThan">
      <formula>0</formula>
    </cfRule>
    <cfRule type="cellIs" dxfId="25232" priority="1964" operator="lessThan">
      <formula>-105575</formula>
    </cfRule>
  </conditionalFormatting>
  <conditionalFormatting sqref="BB157:BB158">
    <cfRule type="cellIs" dxfId="25231" priority="1961" operator="lessThan">
      <formula>0</formula>
    </cfRule>
    <cfRule type="cellIs" dxfId="25230" priority="1962" operator="lessThan">
      <formula>-105575</formula>
    </cfRule>
  </conditionalFormatting>
  <conditionalFormatting sqref="BB157:BB158">
    <cfRule type="cellIs" dxfId="25229" priority="1959" operator="lessThan">
      <formula>0</formula>
    </cfRule>
    <cfRule type="cellIs" dxfId="25228" priority="1960" operator="lessThan">
      <formula>-105575</formula>
    </cfRule>
  </conditionalFormatting>
  <conditionalFormatting sqref="BB157:BB158">
    <cfRule type="cellIs" dxfId="25227" priority="1957" operator="lessThan">
      <formula>0</formula>
    </cfRule>
    <cfRule type="cellIs" dxfId="25226" priority="1958" operator="lessThan">
      <formula>-105575</formula>
    </cfRule>
  </conditionalFormatting>
  <conditionalFormatting sqref="BB160:BB161">
    <cfRule type="cellIs" dxfId="25225" priority="1955" operator="lessThan">
      <formula>0</formula>
    </cfRule>
    <cfRule type="cellIs" dxfId="25224" priority="1956" operator="lessThan">
      <formula>-105575</formula>
    </cfRule>
  </conditionalFormatting>
  <conditionalFormatting sqref="BB160:BB161">
    <cfRule type="cellIs" dxfId="25223" priority="1953" operator="lessThan">
      <formula>0</formula>
    </cfRule>
    <cfRule type="cellIs" dxfId="25222" priority="1954" operator="lessThan">
      <formula>-105575</formula>
    </cfRule>
  </conditionalFormatting>
  <conditionalFormatting sqref="BB160:BB161">
    <cfRule type="cellIs" dxfId="25221" priority="1951" operator="lessThan">
      <formula>0</formula>
    </cfRule>
    <cfRule type="cellIs" dxfId="25220" priority="1952" operator="lessThan">
      <formula>-105575</formula>
    </cfRule>
  </conditionalFormatting>
  <conditionalFormatting sqref="BB164:BB167">
    <cfRule type="cellIs" dxfId="25219" priority="1949" operator="lessThan">
      <formula>0</formula>
    </cfRule>
    <cfRule type="cellIs" dxfId="25218" priority="1950" operator="lessThan">
      <formula>-105575</formula>
    </cfRule>
  </conditionalFormatting>
  <conditionalFormatting sqref="BB164:BB167">
    <cfRule type="cellIs" dxfId="25217" priority="1947" operator="lessThan">
      <formula>0</formula>
    </cfRule>
    <cfRule type="cellIs" dxfId="25216" priority="1948" operator="lessThan">
      <formula>-105575</formula>
    </cfRule>
  </conditionalFormatting>
  <conditionalFormatting sqref="BB164:BB167">
    <cfRule type="cellIs" dxfId="25215" priority="1945" operator="lessThan">
      <formula>0</formula>
    </cfRule>
    <cfRule type="cellIs" dxfId="25214" priority="1946" operator="lessThan">
      <formula>-105575</formula>
    </cfRule>
  </conditionalFormatting>
  <conditionalFormatting sqref="BB169:BB177">
    <cfRule type="cellIs" dxfId="25213" priority="1943" operator="lessThan">
      <formula>0</formula>
    </cfRule>
    <cfRule type="cellIs" dxfId="25212" priority="1944" operator="lessThan">
      <formula>-105575</formula>
    </cfRule>
  </conditionalFormatting>
  <conditionalFormatting sqref="BB169:BB177">
    <cfRule type="cellIs" dxfId="25211" priority="1941" operator="lessThan">
      <formula>0</formula>
    </cfRule>
    <cfRule type="cellIs" dxfId="25210" priority="1942" operator="lessThan">
      <formula>-105575</formula>
    </cfRule>
  </conditionalFormatting>
  <conditionalFormatting sqref="BB169:BB177">
    <cfRule type="cellIs" dxfId="25209" priority="1939" operator="lessThan">
      <formula>0</formula>
    </cfRule>
    <cfRule type="cellIs" dxfId="25208" priority="1940" operator="lessThan">
      <formula>-105575</formula>
    </cfRule>
  </conditionalFormatting>
  <conditionalFormatting sqref="BB179:BB180">
    <cfRule type="cellIs" dxfId="25207" priority="1937" operator="lessThan">
      <formula>0</formula>
    </cfRule>
    <cfRule type="cellIs" dxfId="25206" priority="1938" operator="lessThan">
      <formula>-105575</formula>
    </cfRule>
  </conditionalFormatting>
  <conditionalFormatting sqref="BB179:BB180">
    <cfRule type="cellIs" dxfId="25205" priority="1935" operator="lessThan">
      <formula>0</formula>
    </cfRule>
    <cfRule type="cellIs" dxfId="25204" priority="1936" operator="lessThan">
      <formula>-105575</formula>
    </cfRule>
  </conditionalFormatting>
  <conditionalFormatting sqref="BB179:BB180">
    <cfRule type="cellIs" dxfId="25203" priority="1933" operator="lessThan">
      <formula>0</formula>
    </cfRule>
    <cfRule type="cellIs" dxfId="25202" priority="1934" operator="lessThan">
      <formula>-105575</formula>
    </cfRule>
  </conditionalFormatting>
  <conditionalFormatting sqref="BB183:BB189">
    <cfRule type="cellIs" dxfId="25201" priority="1931" operator="lessThan">
      <formula>0</formula>
    </cfRule>
    <cfRule type="cellIs" dxfId="25200" priority="1932" operator="lessThan">
      <formula>-105575</formula>
    </cfRule>
  </conditionalFormatting>
  <conditionalFormatting sqref="BB183:BB189">
    <cfRule type="cellIs" dxfId="25199" priority="1929" operator="lessThan">
      <formula>0</formula>
    </cfRule>
    <cfRule type="cellIs" dxfId="25198" priority="1930" operator="lessThan">
      <formula>-105575</formula>
    </cfRule>
  </conditionalFormatting>
  <conditionalFormatting sqref="BB183:BB189">
    <cfRule type="cellIs" dxfId="25197" priority="1927" operator="lessThan">
      <formula>0</formula>
    </cfRule>
    <cfRule type="cellIs" dxfId="25196" priority="1928" operator="lessThan">
      <formula>-105575</formula>
    </cfRule>
  </conditionalFormatting>
  <conditionalFormatting sqref="BB191:BB192">
    <cfRule type="cellIs" dxfId="25195" priority="1925" operator="lessThan">
      <formula>0</formula>
    </cfRule>
    <cfRule type="cellIs" dxfId="25194" priority="1926" operator="lessThan">
      <formula>-105575</formula>
    </cfRule>
  </conditionalFormatting>
  <conditionalFormatting sqref="BB191:BB192">
    <cfRule type="cellIs" dxfId="25193" priority="1923" operator="lessThan">
      <formula>0</formula>
    </cfRule>
    <cfRule type="cellIs" dxfId="25192" priority="1924" operator="lessThan">
      <formula>-105575</formula>
    </cfRule>
  </conditionalFormatting>
  <conditionalFormatting sqref="BB191:BB192">
    <cfRule type="cellIs" dxfId="25191" priority="1921" operator="lessThan">
      <formula>0</formula>
    </cfRule>
    <cfRule type="cellIs" dxfId="25190" priority="1922" operator="lessThan">
      <formula>-105575</formula>
    </cfRule>
  </conditionalFormatting>
  <conditionalFormatting sqref="BB194:BB195">
    <cfRule type="cellIs" dxfId="25189" priority="1919" operator="lessThan">
      <formula>0</formula>
    </cfRule>
    <cfRule type="cellIs" dxfId="25188" priority="1920" operator="lessThan">
      <formula>-105575</formula>
    </cfRule>
  </conditionalFormatting>
  <conditionalFormatting sqref="BB194:BB195">
    <cfRule type="cellIs" dxfId="25187" priority="1917" operator="lessThan">
      <formula>0</formula>
    </cfRule>
    <cfRule type="cellIs" dxfId="25186" priority="1918" operator="lessThan">
      <formula>-105575</formula>
    </cfRule>
  </conditionalFormatting>
  <conditionalFormatting sqref="BB194:BB195">
    <cfRule type="cellIs" dxfId="25185" priority="1915" operator="lessThan">
      <formula>0</formula>
    </cfRule>
    <cfRule type="cellIs" dxfId="25184" priority="1916" operator="lessThan">
      <formula>-105575</formula>
    </cfRule>
  </conditionalFormatting>
  <conditionalFormatting sqref="BB199:BB202">
    <cfRule type="cellIs" dxfId="25183" priority="1913" operator="lessThan">
      <formula>0</formula>
    </cfRule>
    <cfRule type="cellIs" dxfId="25182" priority="1914" operator="lessThan">
      <formula>-105575</formula>
    </cfRule>
  </conditionalFormatting>
  <conditionalFormatting sqref="BB199:BB202">
    <cfRule type="cellIs" dxfId="25181" priority="1911" operator="lessThan">
      <formula>0</formula>
    </cfRule>
    <cfRule type="cellIs" dxfId="25180" priority="1912" operator="lessThan">
      <formula>-105575</formula>
    </cfRule>
  </conditionalFormatting>
  <conditionalFormatting sqref="BB199:BB202">
    <cfRule type="cellIs" dxfId="25179" priority="1909" operator="lessThan">
      <formula>0</formula>
    </cfRule>
    <cfRule type="cellIs" dxfId="25178" priority="1910" operator="lessThan">
      <formula>-105575</formula>
    </cfRule>
  </conditionalFormatting>
  <conditionalFormatting sqref="BB204:BB208">
    <cfRule type="cellIs" dxfId="25177" priority="1907" operator="lessThan">
      <formula>0</formula>
    </cfRule>
    <cfRule type="cellIs" dxfId="25176" priority="1908" operator="lessThan">
      <formula>-105575</formula>
    </cfRule>
  </conditionalFormatting>
  <conditionalFormatting sqref="BB204:BB208">
    <cfRule type="cellIs" dxfId="25175" priority="1905" operator="lessThan">
      <formula>0</formula>
    </cfRule>
    <cfRule type="cellIs" dxfId="25174" priority="1906" operator="lessThan">
      <formula>-105575</formula>
    </cfRule>
  </conditionalFormatting>
  <conditionalFormatting sqref="BB204:BB208">
    <cfRule type="cellIs" dxfId="25173" priority="1903" operator="lessThan">
      <formula>0</formula>
    </cfRule>
    <cfRule type="cellIs" dxfId="25172" priority="1904" operator="lessThan">
      <formula>-105575</formula>
    </cfRule>
  </conditionalFormatting>
  <conditionalFormatting sqref="BB210:BB211">
    <cfRule type="cellIs" dxfId="25171" priority="1901" operator="lessThan">
      <formula>0</formula>
    </cfRule>
    <cfRule type="cellIs" dxfId="25170" priority="1902" operator="lessThan">
      <formula>-105575</formula>
    </cfRule>
  </conditionalFormatting>
  <conditionalFormatting sqref="BB210:BB211">
    <cfRule type="cellIs" dxfId="25169" priority="1899" operator="lessThan">
      <formula>0</formula>
    </cfRule>
    <cfRule type="cellIs" dxfId="25168" priority="1900" operator="lessThan">
      <formula>-105575</formula>
    </cfRule>
  </conditionalFormatting>
  <conditionalFormatting sqref="BB210:BB211">
    <cfRule type="cellIs" dxfId="25167" priority="1897" operator="lessThan">
      <formula>0</formula>
    </cfRule>
    <cfRule type="cellIs" dxfId="25166" priority="1898" operator="lessThan">
      <formula>-105575</formula>
    </cfRule>
  </conditionalFormatting>
  <conditionalFormatting sqref="BB214:BB219">
    <cfRule type="cellIs" dxfId="25165" priority="1895" operator="lessThan">
      <formula>0</formula>
    </cfRule>
    <cfRule type="cellIs" dxfId="25164" priority="1896" operator="lessThan">
      <formula>-105575</formula>
    </cfRule>
  </conditionalFormatting>
  <conditionalFormatting sqref="BB214:BB219">
    <cfRule type="cellIs" dxfId="25163" priority="1893" operator="lessThan">
      <formula>0</formula>
    </cfRule>
    <cfRule type="cellIs" dxfId="25162" priority="1894" operator="lessThan">
      <formula>-105575</formula>
    </cfRule>
  </conditionalFormatting>
  <conditionalFormatting sqref="BB214:BB219">
    <cfRule type="cellIs" dxfId="25161" priority="1891" operator="lessThan">
      <formula>0</formula>
    </cfRule>
    <cfRule type="cellIs" dxfId="25160" priority="1892" operator="lessThan">
      <formula>-105575</formula>
    </cfRule>
  </conditionalFormatting>
  <conditionalFormatting sqref="BB222:BB224">
    <cfRule type="cellIs" dxfId="25159" priority="1889" operator="lessThan">
      <formula>0</formula>
    </cfRule>
    <cfRule type="cellIs" dxfId="25158" priority="1890" operator="lessThan">
      <formula>-105575</formula>
    </cfRule>
  </conditionalFormatting>
  <conditionalFormatting sqref="BB222:BB224">
    <cfRule type="cellIs" dxfId="25157" priority="1887" operator="lessThan">
      <formula>0</formula>
    </cfRule>
    <cfRule type="cellIs" dxfId="25156" priority="1888" operator="lessThan">
      <formula>-105575</formula>
    </cfRule>
  </conditionalFormatting>
  <conditionalFormatting sqref="BB222:BB224">
    <cfRule type="cellIs" dxfId="25155" priority="1885" operator="lessThan">
      <formula>0</formula>
    </cfRule>
    <cfRule type="cellIs" dxfId="25154" priority="1886" operator="lessThan">
      <formula>-105575</formula>
    </cfRule>
  </conditionalFormatting>
  <conditionalFormatting sqref="BB227:BB230">
    <cfRule type="cellIs" dxfId="25153" priority="1883" operator="lessThan">
      <formula>0</formula>
    </cfRule>
    <cfRule type="cellIs" dxfId="25152" priority="1884" operator="lessThan">
      <formula>-105575</formula>
    </cfRule>
  </conditionalFormatting>
  <conditionalFormatting sqref="BB227:BB230">
    <cfRule type="cellIs" dxfId="25151" priority="1881" operator="lessThan">
      <formula>0</formula>
    </cfRule>
    <cfRule type="cellIs" dxfId="25150" priority="1882" operator="lessThan">
      <formula>-105575</formula>
    </cfRule>
  </conditionalFormatting>
  <conditionalFormatting sqref="BB227:BB230">
    <cfRule type="cellIs" dxfId="25149" priority="1879" operator="lessThan">
      <formula>0</formula>
    </cfRule>
    <cfRule type="cellIs" dxfId="25148" priority="1880" operator="lessThan">
      <formula>-105575</formula>
    </cfRule>
  </conditionalFormatting>
  <conditionalFormatting sqref="BB203 BB220:BB221 BB235:BB243 BB231:BB233 BB212:BB213 BB225:BB226">
    <cfRule type="cellIs" dxfId="25147" priority="1877" operator="lessThan">
      <formula>0</formula>
    </cfRule>
    <cfRule type="cellIs" dxfId="25146" priority="1878" operator="lessThan">
      <formula>-105575</formula>
    </cfRule>
  </conditionalFormatting>
  <conditionalFormatting sqref="BB220 BB212:BB213 BB235:BB238 BB240:BB243 BB225:BB226 BB231:BB233">
    <cfRule type="cellIs" dxfId="25145" priority="1875" operator="lessThan">
      <formula>0</formula>
    </cfRule>
    <cfRule type="cellIs" dxfId="25144" priority="1876" operator="lessThan">
      <formula>-105575</formula>
    </cfRule>
  </conditionalFormatting>
  <conditionalFormatting sqref="BB220:BB221 BB243 BB226 BB231:BB236 BB238:BB241 BB203 BB213">
    <cfRule type="cellIs" dxfId="25143" priority="1873" operator="lessThan">
      <formula>0</formula>
    </cfRule>
    <cfRule type="cellIs" dxfId="25142" priority="1874" operator="lessThan">
      <formula>-105575</formula>
    </cfRule>
  </conditionalFormatting>
  <conditionalFormatting sqref="BB235:BB243 BB231:BB233 BB220 BB212:BB213 BB225:BB226">
    <cfRule type="cellIs" dxfId="25141" priority="1871" operator="lessThan">
      <formula>0</formula>
    </cfRule>
    <cfRule type="cellIs" dxfId="25140" priority="1872" operator="lessThan">
      <formula>-105575</formula>
    </cfRule>
  </conditionalFormatting>
  <conditionalFormatting sqref="BB220:BB221 BB237:BB243 BB203 BB231:BB235 BB212:BB213 BB225:BB226">
    <cfRule type="cellIs" dxfId="25139" priority="1869" operator="lessThan">
      <formula>0</formula>
    </cfRule>
    <cfRule type="cellIs" dxfId="25138" priority="1870" operator="lessThan">
      <formula>-105575</formula>
    </cfRule>
  </conditionalFormatting>
  <conditionalFormatting sqref="BB220:BB221 BB237:BB240 BB242:BB243 BB225:BB226 BB231:BB235">
    <cfRule type="cellIs" dxfId="25137" priority="1867" operator="lessThan">
      <formula>0</formula>
    </cfRule>
    <cfRule type="cellIs" dxfId="25136" priority="1868" operator="lessThan">
      <formula>-105575</formula>
    </cfRule>
  </conditionalFormatting>
  <conditionalFormatting sqref="BB212 BB231 BB233:BB238 BB240:BB243 BB225">
    <cfRule type="cellIs" dxfId="25135" priority="1865" operator="lessThan">
      <formula>0</formula>
    </cfRule>
    <cfRule type="cellIs" dxfId="25134" priority="1866" operator="lessThan">
      <formula>-105575</formula>
    </cfRule>
  </conditionalFormatting>
  <conditionalFormatting sqref="BB237:BB243 BB231:BB235 BB220:BB221 BB225:BB226">
    <cfRule type="cellIs" dxfId="25133" priority="1863" operator="lessThan">
      <formula>0</formula>
    </cfRule>
    <cfRule type="cellIs" dxfId="25132" priority="1864" operator="lessThan">
      <formula>-105575</formula>
    </cfRule>
  </conditionalFormatting>
  <conditionalFormatting sqref="BB233:BB237 BB231 BB239:BB243">
    <cfRule type="cellIs" dxfId="25131" priority="1861" operator="lessThan">
      <formula>0</formula>
    </cfRule>
    <cfRule type="cellIs" dxfId="25130" priority="1862" operator="lessThan">
      <formula>-105575</formula>
    </cfRule>
  </conditionalFormatting>
  <conditionalFormatting sqref="BB233:BB237 BB231 BB239:BB243">
    <cfRule type="cellIs" dxfId="25129" priority="1859" operator="lessThan">
      <formula>0</formula>
    </cfRule>
    <cfRule type="cellIs" dxfId="25128" priority="1860" operator="lessThan">
      <formula>-105575</formula>
    </cfRule>
  </conditionalFormatting>
  <conditionalFormatting sqref="BB119:BB128 BB106:BB117 BB101:BB104 BB80:BB98">
    <cfRule type="cellIs" dxfId="25127" priority="1857" operator="lessThan">
      <formula>0</formula>
    </cfRule>
    <cfRule type="cellIs" dxfId="25126" priority="1858" operator="lessThan">
      <formula>-105575</formula>
    </cfRule>
  </conditionalFormatting>
  <conditionalFormatting sqref="BB130 BB132 BB134">
    <cfRule type="cellIs" dxfId="25125" priority="1855" operator="lessThan">
      <formula>0</formula>
    </cfRule>
    <cfRule type="cellIs" dxfId="25124" priority="1856" operator="lessThan">
      <formula>-105575</formula>
    </cfRule>
  </conditionalFormatting>
  <conditionalFormatting sqref="BB130 BB132 BB134">
    <cfRule type="cellIs" dxfId="25123" priority="1853" operator="lessThan">
      <formula>0</formula>
    </cfRule>
    <cfRule type="cellIs" dxfId="25122" priority="1854" operator="lessThan">
      <formula>-105575</formula>
    </cfRule>
  </conditionalFormatting>
  <conditionalFormatting sqref="BB129 BB131 BB133 BB135">
    <cfRule type="cellIs" dxfId="25121" priority="1851" operator="lessThan">
      <formula>0</formula>
    </cfRule>
    <cfRule type="cellIs" dxfId="25120" priority="1852" operator="lessThan">
      <formula>-105575</formula>
    </cfRule>
  </conditionalFormatting>
  <conditionalFormatting sqref="BB140 BB145 BB142:BB143 BB137:BB138">
    <cfRule type="cellIs" dxfId="25119" priority="1849" operator="lessThan">
      <formula>0</formula>
    </cfRule>
    <cfRule type="cellIs" dxfId="25118" priority="1850" operator="lessThan">
      <formula>-105575</formula>
    </cfRule>
  </conditionalFormatting>
  <conditionalFormatting sqref="BB149">
    <cfRule type="cellIs" dxfId="25117" priority="1847" operator="lessThan">
      <formula>0</formula>
    </cfRule>
    <cfRule type="cellIs" dxfId="25116" priority="1848" operator="lessThan">
      <formula>-105575</formula>
    </cfRule>
  </conditionalFormatting>
  <conditionalFormatting sqref="BB129:BB138 BB140:BB149">
    <cfRule type="cellIs" dxfId="25115" priority="1845" operator="lessThan">
      <formula>0</formula>
    </cfRule>
    <cfRule type="cellIs" dxfId="25114" priority="1846" operator="lessThan">
      <formula>-105575</formula>
    </cfRule>
  </conditionalFormatting>
  <conditionalFormatting sqref="BB94:BB98 BB86:BB87 BB89:BB91 BB141:BB149 BB124:BB133 BB107:BB110 BB112:BB117 BB119:BB122 BB135:BB138 BB101:BB104 BB80:BB84">
    <cfRule type="cellIs" dxfId="25113" priority="1843" operator="lessThan">
      <formula>0</formula>
    </cfRule>
    <cfRule type="cellIs" dxfId="25112" priority="1844" operator="lessThan">
      <formula>-105575</formula>
    </cfRule>
  </conditionalFormatting>
  <conditionalFormatting sqref="BB129 BB131 BB133 BB135">
    <cfRule type="cellIs" dxfId="25111" priority="1841" operator="lessThan">
      <formula>0</formula>
    </cfRule>
    <cfRule type="cellIs" dxfId="25110" priority="1842" operator="lessThan">
      <formula>-105575</formula>
    </cfRule>
  </conditionalFormatting>
  <conditionalFormatting sqref="BB146 BB144 BB141">
    <cfRule type="cellIs" dxfId="25109" priority="1839" operator="lessThan">
      <formula>0</formula>
    </cfRule>
    <cfRule type="cellIs" dxfId="25108" priority="1840" operator="lessThan">
      <formula>-105575</formula>
    </cfRule>
  </conditionalFormatting>
  <conditionalFormatting sqref="BB146 BB144 BB141">
    <cfRule type="cellIs" dxfId="25107" priority="1837" operator="lessThan">
      <formula>0</formula>
    </cfRule>
    <cfRule type="cellIs" dxfId="25106" priority="1838" operator="lessThan">
      <formula>-105575</formula>
    </cfRule>
  </conditionalFormatting>
  <conditionalFormatting sqref="BB140 BB145 BB142:BB143 BB137:BB138">
    <cfRule type="cellIs" dxfId="25105" priority="1835" operator="lessThan">
      <formula>0</formula>
    </cfRule>
    <cfRule type="cellIs" dxfId="25104" priority="1836" operator="lessThan">
      <formula>-105575</formula>
    </cfRule>
  </conditionalFormatting>
  <conditionalFormatting sqref="BB149">
    <cfRule type="cellIs" dxfId="25103" priority="1833" operator="lessThan">
      <formula>0</formula>
    </cfRule>
    <cfRule type="cellIs" dxfId="25102" priority="1834" operator="lessThan">
      <formula>-105575</formula>
    </cfRule>
  </conditionalFormatting>
  <conditionalFormatting sqref="BB94:BB98 BB86:BB87 BB89:BB91 BB141:BB149 BB124:BB133 BB107:BB110 BB112:BB117 BB119:BB122 BB135:BB138 BB101:BB104 BB80:BB84">
    <cfRule type="cellIs" dxfId="25101" priority="1831" operator="lessThan">
      <formula>0</formula>
    </cfRule>
    <cfRule type="cellIs" dxfId="25100" priority="1832" operator="lessThan">
      <formula>-105575</formula>
    </cfRule>
  </conditionalFormatting>
  <conditionalFormatting sqref="BB62:BB76 BB306:BB309 BB311:BB325 BB327:BB330 BB332:BB341 BB344:BB347 BB349:BB353 BB355:BB358 BB360:BB384 BB386:BB389 BB392:BB395 BB397:BB411 BB413:BB416 BB418:BB432 BB434:BB437 BB439:BB453 BB455:BB458 BB460:BB469 BB7:BB10 BB12:BB14 BB17:BB18 BB21:BB24 BB26:BB28 BB30:BB36 BB38 BB41:BB43 BB46:BB49 BB51:BB55 BB57:BB59 BB290:BB291 BB293:BB304">
    <cfRule type="cellIs" dxfId="25099" priority="1829" operator="lessThan">
      <formula>0</formula>
    </cfRule>
    <cfRule type="cellIs" dxfId="25098" priority="1830" operator="lessThan">
      <formula>-105575</formula>
    </cfRule>
  </conditionalFormatting>
  <conditionalFormatting sqref="BB41">
    <cfRule type="cellIs" dxfId="25097" priority="1827" operator="lessThan">
      <formula>0</formula>
    </cfRule>
    <cfRule type="cellIs" dxfId="25096" priority="1828" operator="lessThan">
      <formula>-105575</formula>
    </cfRule>
  </conditionalFormatting>
  <conditionalFormatting sqref="BB152:BB155">
    <cfRule type="cellIs" dxfId="25095" priority="1825" operator="lessThan">
      <formula>0</formula>
    </cfRule>
    <cfRule type="cellIs" dxfId="25094" priority="1826" operator="lessThan">
      <formula>-105575</formula>
    </cfRule>
  </conditionalFormatting>
  <conditionalFormatting sqref="BB152:BB155">
    <cfRule type="cellIs" dxfId="25093" priority="1823" operator="lessThan">
      <formula>0</formula>
    </cfRule>
    <cfRule type="cellIs" dxfId="25092" priority="1824" operator="lessThan">
      <formula>-105575</formula>
    </cfRule>
  </conditionalFormatting>
  <conditionalFormatting sqref="BB152:BB155">
    <cfRule type="cellIs" dxfId="25091" priority="1821" operator="lessThan">
      <formula>0</formula>
    </cfRule>
    <cfRule type="cellIs" dxfId="25090" priority="1822" operator="lessThan">
      <formula>-105575</formula>
    </cfRule>
  </conditionalFormatting>
  <conditionalFormatting sqref="BB157:BB158">
    <cfRule type="cellIs" dxfId="25089" priority="1819" operator="lessThan">
      <formula>0</formula>
    </cfRule>
    <cfRule type="cellIs" dxfId="25088" priority="1820" operator="lessThan">
      <formula>-105575</formula>
    </cfRule>
  </conditionalFormatting>
  <conditionalFormatting sqref="BB157:BB158">
    <cfRule type="cellIs" dxfId="25087" priority="1817" operator="lessThan">
      <formula>0</formula>
    </cfRule>
    <cfRule type="cellIs" dxfId="25086" priority="1818" operator="lessThan">
      <formula>-105575</formula>
    </cfRule>
  </conditionalFormatting>
  <conditionalFormatting sqref="BB157:BB158">
    <cfRule type="cellIs" dxfId="25085" priority="1815" operator="lessThan">
      <formula>0</formula>
    </cfRule>
    <cfRule type="cellIs" dxfId="25084" priority="1816" operator="lessThan">
      <formula>-105575</formula>
    </cfRule>
  </conditionalFormatting>
  <conditionalFormatting sqref="BB160:BB161">
    <cfRule type="cellIs" dxfId="25083" priority="1813" operator="lessThan">
      <formula>0</formula>
    </cfRule>
    <cfRule type="cellIs" dxfId="25082" priority="1814" operator="lessThan">
      <formula>-105575</formula>
    </cfRule>
  </conditionalFormatting>
  <conditionalFormatting sqref="BB160:BB161">
    <cfRule type="cellIs" dxfId="25081" priority="1811" operator="lessThan">
      <formula>0</formula>
    </cfRule>
    <cfRule type="cellIs" dxfId="25080" priority="1812" operator="lessThan">
      <formula>-105575</formula>
    </cfRule>
  </conditionalFormatting>
  <conditionalFormatting sqref="BB160:BB161">
    <cfRule type="cellIs" dxfId="25079" priority="1809" operator="lessThan">
      <formula>0</formula>
    </cfRule>
    <cfRule type="cellIs" dxfId="25078" priority="1810" operator="lessThan">
      <formula>-105575</formula>
    </cfRule>
  </conditionalFormatting>
  <conditionalFormatting sqref="BB164:BB167">
    <cfRule type="cellIs" dxfId="25077" priority="1807" operator="lessThan">
      <formula>0</formula>
    </cfRule>
    <cfRule type="cellIs" dxfId="25076" priority="1808" operator="lessThan">
      <formula>-105575</formula>
    </cfRule>
  </conditionalFormatting>
  <conditionalFormatting sqref="BB164:BB167">
    <cfRule type="cellIs" dxfId="25075" priority="1805" operator="lessThan">
      <formula>0</formula>
    </cfRule>
    <cfRule type="cellIs" dxfId="25074" priority="1806" operator="lessThan">
      <formula>-105575</formula>
    </cfRule>
  </conditionalFormatting>
  <conditionalFormatting sqref="BB164:BB167">
    <cfRule type="cellIs" dxfId="25073" priority="1803" operator="lessThan">
      <formula>0</formula>
    </cfRule>
    <cfRule type="cellIs" dxfId="25072" priority="1804" operator="lessThan">
      <formula>-105575</formula>
    </cfRule>
  </conditionalFormatting>
  <conditionalFormatting sqref="BB169:BB177">
    <cfRule type="cellIs" dxfId="25071" priority="1801" operator="lessThan">
      <formula>0</formula>
    </cfRule>
    <cfRule type="cellIs" dxfId="25070" priority="1802" operator="lessThan">
      <formula>-105575</formula>
    </cfRule>
  </conditionalFormatting>
  <conditionalFormatting sqref="BB169:BB177">
    <cfRule type="cellIs" dxfId="25069" priority="1799" operator="lessThan">
      <formula>0</formula>
    </cfRule>
    <cfRule type="cellIs" dxfId="25068" priority="1800" operator="lessThan">
      <formula>-105575</formula>
    </cfRule>
  </conditionalFormatting>
  <conditionalFormatting sqref="BB169:BB177">
    <cfRule type="cellIs" dxfId="25067" priority="1797" operator="lessThan">
      <formula>0</formula>
    </cfRule>
    <cfRule type="cellIs" dxfId="25066" priority="1798" operator="lessThan">
      <formula>-105575</formula>
    </cfRule>
  </conditionalFormatting>
  <conditionalFormatting sqref="BB179:BB180">
    <cfRule type="cellIs" dxfId="25065" priority="1795" operator="lessThan">
      <formula>0</formula>
    </cfRule>
    <cfRule type="cellIs" dxfId="25064" priority="1796" operator="lessThan">
      <formula>-105575</formula>
    </cfRule>
  </conditionalFormatting>
  <conditionalFormatting sqref="BB179:BB180">
    <cfRule type="cellIs" dxfId="25063" priority="1793" operator="lessThan">
      <formula>0</formula>
    </cfRule>
    <cfRule type="cellIs" dxfId="25062" priority="1794" operator="lessThan">
      <formula>-105575</formula>
    </cfRule>
  </conditionalFormatting>
  <conditionalFormatting sqref="BB179:BB180">
    <cfRule type="cellIs" dxfId="25061" priority="1791" operator="lessThan">
      <formula>0</formula>
    </cfRule>
    <cfRule type="cellIs" dxfId="25060" priority="1792" operator="lessThan">
      <formula>-105575</formula>
    </cfRule>
  </conditionalFormatting>
  <conditionalFormatting sqref="BB183:BB189">
    <cfRule type="cellIs" dxfId="25059" priority="1789" operator="lessThan">
      <formula>0</formula>
    </cfRule>
    <cfRule type="cellIs" dxfId="25058" priority="1790" operator="lessThan">
      <formula>-105575</formula>
    </cfRule>
  </conditionalFormatting>
  <conditionalFormatting sqref="BB183:BB189">
    <cfRule type="cellIs" dxfId="25057" priority="1787" operator="lessThan">
      <formula>0</formula>
    </cfRule>
    <cfRule type="cellIs" dxfId="25056" priority="1788" operator="lessThan">
      <formula>-105575</formula>
    </cfRule>
  </conditionalFormatting>
  <conditionalFormatting sqref="BB183:BB189">
    <cfRule type="cellIs" dxfId="25055" priority="1785" operator="lessThan">
      <formula>0</formula>
    </cfRule>
    <cfRule type="cellIs" dxfId="25054" priority="1786" operator="lessThan">
      <formula>-105575</formula>
    </cfRule>
  </conditionalFormatting>
  <conditionalFormatting sqref="BB191:BB192">
    <cfRule type="cellIs" dxfId="25053" priority="1783" operator="lessThan">
      <formula>0</formula>
    </cfRule>
    <cfRule type="cellIs" dxfId="25052" priority="1784" operator="lessThan">
      <formula>-105575</formula>
    </cfRule>
  </conditionalFormatting>
  <conditionalFormatting sqref="BB191:BB192">
    <cfRule type="cellIs" dxfId="25051" priority="1781" operator="lessThan">
      <formula>0</formula>
    </cfRule>
    <cfRule type="cellIs" dxfId="25050" priority="1782" operator="lessThan">
      <formula>-105575</formula>
    </cfRule>
  </conditionalFormatting>
  <conditionalFormatting sqref="BB191:BB192">
    <cfRule type="cellIs" dxfId="25049" priority="1779" operator="lessThan">
      <formula>0</formula>
    </cfRule>
    <cfRule type="cellIs" dxfId="25048" priority="1780" operator="lessThan">
      <formula>-105575</formula>
    </cfRule>
  </conditionalFormatting>
  <conditionalFormatting sqref="BB194:BB195">
    <cfRule type="cellIs" dxfId="25047" priority="1777" operator="lessThan">
      <formula>0</formula>
    </cfRule>
    <cfRule type="cellIs" dxfId="25046" priority="1778" operator="lessThan">
      <formula>-105575</formula>
    </cfRule>
  </conditionalFormatting>
  <conditionalFormatting sqref="BB194:BB195">
    <cfRule type="cellIs" dxfId="25045" priority="1775" operator="lessThan">
      <formula>0</formula>
    </cfRule>
    <cfRule type="cellIs" dxfId="25044" priority="1776" operator="lessThan">
      <formula>-105575</formula>
    </cfRule>
  </conditionalFormatting>
  <conditionalFormatting sqref="BB194:BB195">
    <cfRule type="cellIs" dxfId="25043" priority="1773" operator="lessThan">
      <formula>0</formula>
    </cfRule>
    <cfRule type="cellIs" dxfId="25042" priority="1774" operator="lessThan">
      <formula>-105575</formula>
    </cfRule>
  </conditionalFormatting>
  <conditionalFormatting sqref="BB199:BB202">
    <cfRule type="cellIs" dxfId="25041" priority="1771" operator="lessThan">
      <formula>0</formula>
    </cfRule>
    <cfRule type="cellIs" dxfId="25040" priority="1772" operator="lessThan">
      <formula>-105575</formula>
    </cfRule>
  </conditionalFormatting>
  <conditionalFormatting sqref="BB199:BB202">
    <cfRule type="cellIs" dxfId="25039" priority="1769" operator="lessThan">
      <formula>0</formula>
    </cfRule>
    <cfRule type="cellIs" dxfId="25038" priority="1770" operator="lessThan">
      <formula>-105575</formula>
    </cfRule>
  </conditionalFormatting>
  <conditionalFormatting sqref="BB199:BB202">
    <cfRule type="cellIs" dxfId="25037" priority="1767" operator="lessThan">
      <formula>0</formula>
    </cfRule>
    <cfRule type="cellIs" dxfId="25036" priority="1768" operator="lessThan">
      <formula>-105575</formula>
    </cfRule>
  </conditionalFormatting>
  <conditionalFormatting sqref="BB204:BB208">
    <cfRule type="cellIs" dxfId="25035" priority="1765" operator="lessThan">
      <formula>0</formula>
    </cfRule>
    <cfRule type="cellIs" dxfId="25034" priority="1766" operator="lessThan">
      <formula>-105575</formula>
    </cfRule>
  </conditionalFormatting>
  <conditionalFormatting sqref="BB204:BB208">
    <cfRule type="cellIs" dxfId="25033" priority="1763" operator="lessThan">
      <formula>0</formula>
    </cfRule>
    <cfRule type="cellIs" dxfId="25032" priority="1764" operator="lessThan">
      <formula>-105575</formula>
    </cfRule>
  </conditionalFormatting>
  <conditionalFormatting sqref="BB204:BB208">
    <cfRule type="cellIs" dxfId="25031" priority="1761" operator="lessThan">
      <formula>0</formula>
    </cfRule>
    <cfRule type="cellIs" dxfId="25030" priority="1762" operator="lessThan">
      <formula>-105575</formula>
    </cfRule>
  </conditionalFormatting>
  <conditionalFormatting sqref="BB210:BB211">
    <cfRule type="cellIs" dxfId="25029" priority="1759" operator="lessThan">
      <formula>0</formula>
    </cfRule>
    <cfRule type="cellIs" dxfId="25028" priority="1760" operator="lessThan">
      <formula>-105575</formula>
    </cfRule>
  </conditionalFormatting>
  <conditionalFormatting sqref="BB210:BB211">
    <cfRule type="cellIs" dxfId="25027" priority="1757" operator="lessThan">
      <formula>0</formula>
    </cfRule>
    <cfRule type="cellIs" dxfId="25026" priority="1758" operator="lessThan">
      <formula>-105575</formula>
    </cfRule>
  </conditionalFormatting>
  <conditionalFormatting sqref="BB210:BB211">
    <cfRule type="cellIs" dxfId="25025" priority="1755" operator="lessThan">
      <formula>0</formula>
    </cfRule>
    <cfRule type="cellIs" dxfId="25024" priority="1756" operator="lessThan">
      <formula>-105575</formula>
    </cfRule>
  </conditionalFormatting>
  <conditionalFormatting sqref="BB214:BB219">
    <cfRule type="cellIs" dxfId="25023" priority="1753" operator="lessThan">
      <formula>0</formula>
    </cfRule>
    <cfRule type="cellIs" dxfId="25022" priority="1754" operator="lessThan">
      <formula>-105575</formula>
    </cfRule>
  </conditionalFormatting>
  <conditionalFormatting sqref="BB214:BB219">
    <cfRule type="cellIs" dxfId="25021" priority="1751" operator="lessThan">
      <formula>0</formula>
    </cfRule>
    <cfRule type="cellIs" dxfId="25020" priority="1752" operator="lessThan">
      <formula>-105575</formula>
    </cfRule>
  </conditionalFormatting>
  <conditionalFormatting sqref="BB214:BB219">
    <cfRule type="cellIs" dxfId="25019" priority="1749" operator="lessThan">
      <formula>0</formula>
    </cfRule>
    <cfRule type="cellIs" dxfId="25018" priority="1750" operator="lessThan">
      <formula>-105575</formula>
    </cfRule>
  </conditionalFormatting>
  <conditionalFormatting sqref="BB222:BB224">
    <cfRule type="cellIs" dxfId="25017" priority="1747" operator="lessThan">
      <formula>0</formula>
    </cfRule>
    <cfRule type="cellIs" dxfId="25016" priority="1748" operator="lessThan">
      <formula>-105575</formula>
    </cfRule>
  </conditionalFormatting>
  <conditionalFormatting sqref="BB222:BB224">
    <cfRule type="cellIs" dxfId="25015" priority="1745" operator="lessThan">
      <formula>0</formula>
    </cfRule>
    <cfRule type="cellIs" dxfId="25014" priority="1746" operator="lessThan">
      <formula>-105575</formula>
    </cfRule>
  </conditionalFormatting>
  <conditionalFormatting sqref="BB222:BB224">
    <cfRule type="cellIs" dxfId="25013" priority="1743" operator="lessThan">
      <formula>0</formula>
    </cfRule>
    <cfRule type="cellIs" dxfId="25012" priority="1744" operator="lessThan">
      <formula>-105575</formula>
    </cfRule>
  </conditionalFormatting>
  <conditionalFormatting sqref="BB227:BB230">
    <cfRule type="cellIs" dxfId="25011" priority="1741" operator="lessThan">
      <formula>0</formula>
    </cfRule>
    <cfRule type="cellIs" dxfId="25010" priority="1742" operator="lessThan">
      <formula>-105575</formula>
    </cfRule>
  </conditionalFormatting>
  <conditionalFormatting sqref="BB227:BB230">
    <cfRule type="cellIs" dxfId="25009" priority="1739" operator="lessThan">
      <formula>0</formula>
    </cfRule>
    <cfRule type="cellIs" dxfId="25008" priority="1740" operator="lessThan">
      <formula>-105575</formula>
    </cfRule>
  </conditionalFormatting>
  <conditionalFormatting sqref="BB227:BB230">
    <cfRule type="cellIs" dxfId="25007" priority="1737" operator="lessThan">
      <formula>0</formula>
    </cfRule>
    <cfRule type="cellIs" dxfId="25006" priority="1738" operator="lessThan">
      <formula>-105575</formula>
    </cfRule>
  </conditionalFormatting>
  <conditionalFormatting sqref="BB246:BB249">
    <cfRule type="cellIs" dxfId="25005" priority="1735" operator="lessThan">
      <formula>0</formula>
    </cfRule>
    <cfRule type="cellIs" dxfId="25004" priority="1736" operator="lessThan">
      <formula>-105575</formula>
    </cfRule>
  </conditionalFormatting>
  <conditionalFormatting sqref="BB246:BB249">
    <cfRule type="cellIs" dxfId="25003" priority="1733" operator="lessThan">
      <formula>0</formula>
    </cfRule>
    <cfRule type="cellIs" dxfId="25002" priority="1734" operator="lessThan">
      <formula>-105575</formula>
    </cfRule>
  </conditionalFormatting>
  <conditionalFormatting sqref="BB246:BB249">
    <cfRule type="cellIs" dxfId="25001" priority="1731" operator="lessThan">
      <formula>0</formula>
    </cfRule>
    <cfRule type="cellIs" dxfId="25000" priority="1732" operator="lessThan">
      <formula>-105575</formula>
    </cfRule>
  </conditionalFormatting>
  <conditionalFormatting sqref="BB246:BB249">
    <cfRule type="cellIs" dxfId="24999" priority="1729" operator="lessThan">
      <formula>0</formula>
    </cfRule>
    <cfRule type="cellIs" dxfId="24998" priority="1730" operator="lessThan">
      <formula>-105575</formula>
    </cfRule>
  </conditionalFormatting>
  <conditionalFormatting sqref="BB246:BB249">
    <cfRule type="cellIs" dxfId="24997" priority="1727" operator="lessThan">
      <formula>0</formula>
    </cfRule>
    <cfRule type="cellIs" dxfId="24996" priority="1728" operator="lessThan">
      <formula>-105575</formula>
    </cfRule>
  </conditionalFormatting>
  <conditionalFormatting sqref="BB246:BB249">
    <cfRule type="cellIs" dxfId="24995" priority="1725" operator="lessThan">
      <formula>0</formula>
    </cfRule>
    <cfRule type="cellIs" dxfId="24994" priority="1726" operator="lessThan">
      <formula>-105575</formula>
    </cfRule>
  </conditionalFormatting>
  <conditionalFormatting sqref="BB246:BB249">
    <cfRule type="cellIs" dxfId="24993" priority="1723" operator="lessThan">
      <formula>0</formula>
    </cfRule>
    <cfRule type="cellIs" dxfId="24992" priority="1724" operator="lessThan">
      <formula>-105575</formula>
    </cfRule>
  </conditionalFormatting>
  <conditionalFormatting sqref="BB246:BB249">
    <cfRule type="cellIs" dxfId="24991" priority="1721" operator="lessThan">
      <formula>0</formula>
    </cfRule>
    <cfRule type="cellIs" dxfId="24990" priority="1722" operator="lessThan">
      <formula>-105575</formula>
    </cfRule>
  </conditionalFormatting>
  <conditionalFormatting sqref="BB246:BB249">
    <cfRule type="cellIs" dxfId="24989" priority="1719" operator="lessThan">
      <formula>0</formula>
    </cfRule>
    <cfRule type="cellIs" dxfId="24988" priority="1720" operator="lessThan">
      <formula>-105575</formula>
    </cfRule>
  </conditionalFormatting>
  <conditionalFormatting sqref="BB251:BB253">
    <cfRule type="cellIs" dxfId="24987" priority="1717" operator="lessThan">
      <formula>0</formula>
    </cfRule>
    <cfRule type="cellIs" dxfId="24986" priority="1718" operator="lessThan">
      <formula>-105575</formula>
    </cfRule>
  </conditionalFormatting>
  <conditionalFormatting sqref="BB251:BB253">
    <cfRule type="cellIs" dxfId="24985" priority="1715" operator="lessThan">
      <formula>0</formula>
    </cfRule>
    <cfRule type="cellIs" dxfId="24984" priority="1716" operator="lessThan">
      <formula>-105575</formula>
    </cfRule>
  </conditionalFormatting>
  <conditionalFormatting sqref="BB251:BB253">
    <cfRule type="cellIs" dxfId="24983" priority="1713" operator="lessThan">
      <formula>0</formula>
    </cfRule>
    <cfRule type="cellIs" dxfId="24982" priority="1714" operator="lessThan">
      <formula>-105575</formula>
    </cfRule>
  </conditionalFormatting>
  <conditionalFormatting sqref="BB251:BB253">
    <cfRule type="cellIs" dxfId="24981" priority="1711" operator="lessThan">
      <formula>0</formula>
    </cfRule>
    <cfRule type="cellIs" dxfId="24980" priority="1712" operator="lessThan">
      <formula>-105575</formula>
    </cfRule>
  </conditionalFormatting>
  <conditionalFormatting sqref="BB251:BB253">
    <cfRule type="cellIs" dxfId="24979" priority="1709" operator="lessThan">
      <formula>0</formula>
    </cfRule>
    <cfRule type="cellIs" dxfId="24978" priority="1710" operator="lessThan">
      <formula>-105575</formula>
    </cfRule>
  </conditionalFormatting>
  <conditionalFormatting sqref="BB251:BB253">
    <cfRule type="cellIs" dxfId="24977" priority="1707" operator="lessThan">
      <formula>0</formula>
    </cfRule>
    <cfRule type="cellIs" dxfId="24976" priority="1708" operator="lessThan">
      <formula>-105575</formula>
    </cfRule>
  </conditionalFormatting>
  <conditionalFormatting sqref="BB251:BB253">
    <cfRule type="cellIs" dxfId="24975" priority="1705" operator="lessThan">
      <formula>0</formula>
    </cfRule>
    <cfRule type="cellIs" dxfId="24974" priority="1706" operator="lessThan">
      <formula>-105575</formula>
    </cfRule>
  </conditionalFormatting>
  <conditionalFormatting sqref="BB251:BB253">
    <cfRule type="cellIs" dxfId="24973" priority="1703" operator="lessThan">
      <formula>0</formula>
    </cfRule>
    <cfRule type="cellIs" dxfId="24972" priority="1704" operator="lessThan">
      <formula>-105575</formula>
    </cfRule>
  </conditionalFormatting>
  <conditionalFormatting sqref="BB251:BB253">
    <cfRule type="cellIs" dxfId="24971" priority="1701" operator="lessThan">
      <formula>0</formula>
    </cfRule>
    <cfRule type="cellIs" dxfId="24970" priority="1702" operator="lessThan">
      <formula>-105575</formula>
    </cfRule>
  </conditionalFormatting>
  <conditionalFormatting sqref="BB255:BB257">
    <cfRule type="cellIs" dxfId="24969" priority="1699" operator="lessThan">
      <formula>0</formula>
    </cfRule>
    <cfRule type="cellIs" dxfId="24968" priority="1700" operator="lessThan">
      <formula>-105575</formula>
    </cfRule>
  </conditionalFormatting>
  <conditionalFormatting sqref="BB255:BB257">
    <cfRule type="cellIs" dxfId="24967" priority="1697" operator="lessThan">
      <formula>0</formula>
    </cfRule>
    <cfRule type="cellIs" dxfId="24966" priority="1698" operator="lessThan">
      <formula>-105575</formula>
    </cfRule>
  </conditionalFormatting>
  <conditionalFormatting sqref="BB255:BB257">
    <cfRule type="cellIs" dxfId="24965" priority="1695" operator="lessThan">
      <formula>0</formula>
    </cfRule>
    <cfRule type="cellIs" dxfId="24964" priority="1696" operator="lessThan">
      <formula>-105575</formula>
    </cfRule>
  </conditionalFormatting>
  <conditionalFormatting sqref="BB255:BB257">
    <cfRule type="cellIs" dxfId="24963" priority="1693" operator="lessThan">
      <formula>0</formula>
    </cfRule>
    <cfRule type="cellIs" dxfId="24962" priority="1694" operator="lessThan">
      <formula>-105575</formula>
    </cfRule>
  </conditionalFormatting>
  <conditionalFormatting sqref="BB255:BB257">
    <cfRule type="cellIs" dxfId="24961" priority="1691" operator="lessThan">
      <formula>0</formula>
    </cfRule>
    <cfRule type="cellIs" dxfId="24960" priority="1692" operator="lessThan">
      <formula>-105575</formula>
    </cfRule>
  </conditionalFormatting>
  <conditionalFormatting sqref="BB255:BB257">
    <cfRule type="cellIs" dxfId="24959" priority="1689" operator="lessThan">
      <formula>0</formula>
    </cfRule>
    <cfRule type="cellIs" dxfId="24958" priority="1690" operator="lessThan">
      <formula>-105575</formula>
    </cfRule>
  </conditionalFormatting>
  <conditionalFormatting sqref="BB255:BB257">
    <cfRule type="cellIs" dxfId="24957" priority="1687" operator="lessThan">
      <formula>0</formula>
    </cfRule>
    <cfRule type="cellIs" dxfId="24956" priority="1688" operator="lessThan">
      <formula>-105575</formula>
    </cfRule>
  </conditionalFormatting>
  <conditionalFormatting sqref="BB255:BB257">
    <cfRule type="cellIs" dxfId="24955" priority="1685" operator="lessThan">
      <formula>0</formula>
    </cfRule>
    <cfRule type="cellIs" dxfId="24954" priority="1686" operator="lessThan">
      <formula>-105575</formula>
    </cfRule>
  </conditionalFormatting>
  <conditionalFormatting sqref="BB255:BB257">
    <cfRule type="cellIs" dxfId="24953" priority="1683" operator="lessThan">
      <formula>0</formula>
    </cfRule>
    <cfRule type="cellIs" dxfId="24952" priority="1684" operator="lessThan">
      <formula>-105575</formula>
    </cfRule>
  </conditionalFormatting>
  <conditionalFormatting sqref="BB260:BB262">
    <cfRule type="cellIs" dxfId="24951" priority="1681" operator="lessThan">
      <formula>0</formula>
    </cfRule>
    <cfRule type="cellIs" dxfId="24950" priority="1682" operator="lessThan">
      <formula>-105575</formula>
    </cfRule>
  </conditionalFormatting>
  <conditionalFormatting sqref="BB260:BB262">
    <cfRule type="cellIs" dxfId="24949" priority="1679" operator="lessThan">
      <formula>0</formula>
    </cfRule>
    <cfRule type="cellIs" dxfId="24948" priority="1680" operator="lessThan">
      <formula>-105575</formula>
    </cfRule>
  </conditionalFormatting>
  <conditionalFormatting sqref="BB260:BB262">
    <cfRule type="cellIs" dxfId="24947" priority="1677" operator="lessThan">
      <formula>0</formula>
    </cfRule>
    <cfRule type="cellIs" dxfId="24946" priority="1678" operator="lessThan">
      <formula>-105575</formula>
    </cfRule>
  </conditionalFormatting>
  <conditionalFormatting sqref="BB260:BB262">
    <cfRule type="cellIs" dxfId="24945" priority="1675" operator="lessThan">
      <formula>0</formula>
    </cfRule>
    <cfRule type="cellIs" dxfId="24944" priority="1676" operator="lessThan">
      <formula>-105575</formula>
    </cfRule>
  </conditionalFormatting>
  <conditionalFormatting sqref="BB260:BB262">
    <cfRule type="cellIs" dxfId="24943" priority="1673" operator="lessThan">
      <formula>0</formula>
    </cfRule>
    <cfRule type="cellIs" dxfId="24942" priority="1674" operator="lessThan">
      <formula>-105575</formula>
    </cfRule>
  </conditionalFormatting>
  <conditionalFormatting sqref="BB260:BB262">
    <cfRule type="cellIs" dxfId="24941" priority="1671" operator="lessThan">
      <formula>0</formula>
    </cfRule>
    <cfRule type="cellIs" dxfId="24940" priority="1672" operator="lessThan">
      <formula>-105575</formula>
    </cfRule>
  </conditionalFormatting>
  <conditionalFormatting sqref="BB260:BB262">
    <cfRule type="cellIs" dxfId="24939" priority="1669" operator="lessThan">
      <formula>0</formula>
    </cfRule>
    <cfRule type="cellIs" dxfId="24938" priority="1670" operator="lessThan">
      <formula>-105575</formula>
    </cfRule>
  </conditionalFormatting>
  <conditionalFormatting sqref="BB260:BB262">
    <cfRule type="cellIs" dxfId="24937" priority="1667" operator="lessThan">
      <formula>0</formula>
    </cfRule>
    <cfRule type="cellIs" dxfId="24936" priority="1668" operator="lessThan">
      <formula>-105575</formula>
    </cfRule>
  </conditionalFormatting>
  <conditionalFormatting sqref="BB260:BB262">
    <cfRule type="cellIs" dxfId="24935" priority="1665" operator="lessThan">
      <formula>0</formula>
    </cfRule>
    <cfRule type="cellIs" dxfId="24934" priority="1666" operator="lessThan">
      <formula>-105575</formula>
    </cfRule>
  </conditionalFormatting>
  <conditionalFormatting sqref="BB264:BB267">
    <cfRule type="cellIs" dxfId="24933" priority="1663" operator="lessThan">
      <formula>0</formula>
    </cfRule>
    <cfRule type="cellIs" dxfId="24932" priority="1664" operator="lessThan">
      <formula>-105575</formula>
    </cfRule>
  </conditionalFormatting>
  <conditionalFormatting sqref="BB264:BB267">
    <cfRule type="cellIs" dxfId="24931" priority="1661" operator="lessThan">
      <formula>0</formula>
    </cfRule>
    <cfRule type="cellIs" dxfId="24930" priority="1662" operator="lessThan">
      <formula>-105575</formula>
    </cfRule>
  </conditionalFormatting>
  <conditionalFormatting sqref="BB264:BB267">
    <cfRule type="cellIs" dxfId="24929" priority="1659" operator="lessThan">
      <formula>0</formula>
    </cfRule>
    <cfRule type="cellIs" dxfId="24928" priority="1660" operator="lessThan">
      <formula>-105575</formula>
    </cfRule>
  </conditionalFormatting>
  <conditionalFormatting sqref="BB264:BB267">
    <cfRule type="cellIs" dxfId="24927" priority="1657" operator="lessThan">
      <formula>0</formula>
    </cfRule>
    <cfRule type="cellIs" dxfId="24926" priority="1658" operator="lessThan">
      <formula>-105575</formula>
    </cfRule>
  </conditionalFormatting>
  <conditionalFormatting sqref="BB264:BB267">
    <cfRule type="cellIs" dxfId="24925" priority="1655" operator="lessThan">
      <formula>0</formula>
    </cfRule>
    <cfRule type="cellIs" dxfId="24924" priority="1656" operator="lessThan">
      <formula>-105575</formula>
    </cfRule>
  </conditionalFormatting>
  <conditionalFormatting sqref="BB264:BB267">
    <cfRule type="cellIs" dxfId="24923" priority="1653" operator="lessThan">
      <formula>0</formula>
    </cfRule>
    <cfRule type="cellIs" dxfId="24922" priority="1654" operator="lessThan">
      <formula>-105575</formula>
    </cfRule>
  </conditionalFormatting>
  <conditionalFormatting sqref="BB264:BB267">
    <cfRule type="cellIs" dxfId="24921" priority="1651" operator="lessThan">
      <formula>0</formula>
    </cfRule>
    <cfRule type="cellIs" dxfId="24920" priority="1652" operator="lessThan">
      <formula>-105575</formula>
    </cfRule>
  </conditionalFormatting>
  <conditionalFormatting sqref="BB264:BB267">
    <cfRule type="cellIs" dxfId="24919" priority="1649" operator="lessThan">
      <formula>0</formula>
    </cfRule>
    <cfRule type="cellIs" dxfId="24918" priority="1650" operator="lessThan">
      <formula>-105575</formula>
    </cfRule>
  </conditionalFormatting>
  <conditionalFormatting sqref="BB264:BB267">
    <cfRule type="cellIs" dxfId="24917" priority="1647" operator="lessThan">
      <formula>0</formula>
    </cfRule>
    <cfRule type="cellIs" dxfId="24916" priority="1648" operator="lessThan">
      <formula>-105575</formula>
    </cfRule>
  </conditionalFormatting>
  <conditionalFormatting sqref="BB270:BB272">
    <cfRule type="cellIs" dxfId="24915" priority="1645" operator="lessThan">
      <formula>0</formula>
    </cfRule>
    <cfRule type="cellIs" dxfId="24914" priority="1646" operator="lessThan">
      <formula>-105575</formula>
    </cfRule>
  </conditionalFormatting>
  <conditionalFormatting sqref="BB270:BB272">
    <cfRule type="cellIs" dxfId="24913" priority="1643" operator="lessThan">
      <formula>0</formula>
    </cfRule>
    <cfRule type="cellIs" dxfId="24912" priority="1644" operator="lessThan">
      <formula>-105575</formula>
    </cfRule>
  </conditionalFormatting>
  <conditionalFormatting sqref="BB270:BB272">
    <cfRule type="cellIs" dxfId="24911" priority="1641" operator="lessThan">
      <formula>0</formula>
    </cfRule>
    <cfRule type="cellIs" dxfId="24910" priority="1642" operator="lessThan">
      <formula>-105575</formula>
    </cfRule>
  </conditionalFormatting>
  <conditionalFormatting sqref="BB270:BB272">
    <cfRule type="cellIs" dxfId="24909" priority="1639" operator="lessThan">
      <formula>0</formula>
    </cfRule>
    <cfRule type="cellIs" dxfId="24908" priority="1640" operator="lessThan">
      <formula>-105575</formula>
    </cfRule>
  </conditionalFormatting>
  <conditionalFormatting sqref="BB270:BB272">
    <cfRule type="cellIs" dxfId="24907" priority="1637" operator="lessThan">
      <formula>0</formula>
    </cfRule>
    <cfRule type="cellIs" dxfId="24906" priority="1638" operator="lessThan">
      <formula>-105575</formula>
    </cfRule>
  </conditionalFormatting>
  <conditionalFormatting sqref="BB270:BB272">
    <cfRule type="cellIs" dxfId="24905" priority="1635" operator="lessThan">
      <formula>0</formula>
    </cfRule>
    <cfRule type="cellIs" dxfId="24904" priority="1636" operator="lessThan">
      <formula>-105575</formula>
    </cfRule>
  </conditionalFormatting>
  <conditionalFormatting sqref="BB270:BB272">
    <cfRule type="cellIs" dxfId="24903" priority="1633" operator="lessThan">
      <formula>0</formula>
    </cfRule>
    <cfRule type="cellIs" dxfId="24902" priority="1634" operator="lessThan">
      <formula>-105575</formula>
    </cfRule>
  </conditionalFormatting>
  <conditionalFormatting sqref="BB270:BB272">
    <cfRule type="cellIs" dxfId="24901" priority="1631" operator="lessThan">
      <formula>0</formula>
    </cfRule>
    <cfRule type="cellIs" dxfId="24900" priority="1632" operator="lessThan">
      <formula>-105575</formula>
    </cfRule>
  </conditionalFormatting>
  <conditionalFormatting sqref="BB270:BB272">
    <cfRule type="cellIs" dxfId="24899" priority="1629" operator="lessThan">
      <formula>0</formula>
    </cfRule>
    <cfRule type="cellIs" dxfId="24898" priority="1630" operator="lessThan">
      <formula>-105575</formula>
    </cfRule>
  </conditionalFormatting>
  <conditionalFormatting sqref="BB274:BB275">
    <cfRule type="cellIs" dxfId="24897" priority="1627" operator="lessThan">
      <formula>0</formula>
    </cfRule>
    <cfRule type="cellIs" dxfId="24896" priority="1628" operator="lessThan">
      <formula>-105575</formula>
    </cfRule>
  </conditionalFormatting>
  <conditionalFormatting sqref="BB274:BB275">
    <cfRule type="cellIs" dxfId="24895" priority="1625" operator="lessThan">
      <formula>0</formula>
    </cfRule>
    <cfRule type="cellIs" dxfId="24894" priority="1626" operator="lessThan">
      <formula>-105575</formula>
    </cfRule>
  </conditionalFormatting>
  <conditionalFormatting sqref="BB274:BB275">
    <cfRule type="cellIs" dxfId="24893" priority="1623" operator="lessThan">
      <formula>0</formula>
    </cfRule>
    <cfRule type="cellIs" dxfId="24892" priority="1624" operator="lessThan">
      <formula>-105575</formula>
    </cfRule>
  </conditionalFormatting>
  <conditionalFormatting sqref="BB274:BB275">
    <cfRule type="cellIs" dxfId="24891" priority="1621" operator="lessThan">
      <formula>0</formula>
    </cfRule>
    <cfRule type="cellIs" dxfId="24890" priority="1622" operator="lessThan">
      <formula>-105575</formula>
    </cfRule>
  </conditionalFormatting>
  <conditionalFormatting sqref="BB274:BB275">
    <cfRule type="cellIs" dxfId="24889" priority="1619" operator="lessThan">
      <formula>0</formula>
    </cfRule>
    <cfRule type="cellIs" dxfId="24888" priority="1620" operator="lessThan">
      <formula>-105575</formula>
    </cfRule>
  </conditionalFormatting>
  <conditionalFormatting sqref="BB274:BB275">
    <cfRule type="cellIs" dxfId="24887" priority="1617" operator="lessThan">
      <formula>0</formula>
    </cfRule>
    <cfRule type="cellIs" dxfId="24886" priority="1618" operator="lessThan">
      <formula>-105575</formula>
    </cfRule>
  </conditionalFormatting>
  <conditionalFormatting sqref="BB274:BB275">
    <cfRule type="cellIs" dxfId="24885" priority="1615" operator="lessThan">
      <formula>0</formula>
    </cfRule>
    <cfRule type="cellIs" dxfId="24884" priority="1616" operator="lessThan">
      <formula>-105575</formula>
    </cfRule>
  </conditionalFormatting>
  <conditionalFormatting sqref="BB274:BB275">
    <cfRule type="cellIs" dxfId="24883" priority="1613" operator="lessThan">
      <formula>0</formula>
    </cfRule>
    <cfRule type="cellIs" dxfId="24882" priority="1614" operator="lessThan">
      <formula>-105575</formula>
    </cfRule>
  </conditionalFormatting>
  <conditionalFormatting sqref="BB274:BB275">
    <cfRule type="cellIs" dxfId="24881" priority="1611" operator="lessThan">
      <formula>0</formula>
    </cfRule>
    <cfRule type="cellIs" dxfId="24880" priority="1612" operator="lessThan">
      <formula>-105575</formula>
    </cfRule>
  </conditionalFormatting>
  <conditionalFormatting sqref="BB278:BB282">
    <cfRule type="cellIs" dxfId="24879" priority="1609" operator="lessThan">
      <formula>0</formula>
    </cfRule>
    <cfRule type="cellIs" dxfId="24878" priority="1610" operator="lessThan">
      <formula>-105575</formula>
    </cfRule>
  </conditionalFormatting>
  <conditionalFormatting sqref="BB278:BB282">
    <cfRule type="cellIs" dxfId="24877" priority="1607" operator="lessThan">
      <formula>0</formula>
    </cfRule>
    <cfRule type="cellIs" dxfId="24876" priority="1608" operator="lessThan">
      <formula>-105575</formula>
    </cfRule>
  </conditionalFormatting>
  <conditionalFormatting sqref="BB278:BB282">
    <cfRule type="cellIs" dxfId="24875" priority="1605" operator="lessThan">
      <formula>0</formula>
    </cfRule>
    <cfRule type="cellIs" dxfId="24874" priority="1606" operator="lessThan">
      <formula>-105575</formula>
    </cfRule>
  </conditionalFormatting>
  <conditionalFormatting sqref="BB278:BB282">
    <cfRule type="cellIs" dxfId="24873" priority="1603" operator="lessThan">
      <formula>0</formula>
    </cfRule>
    <cfRule type="cellIs" dxfId="24872" priority="1604" operator="lessThan">
      <formula>-105575</formula>
    </cfRule>
  </conditionalFormatting>
  <conditionalFormatting sqref="BB278:BB282">
    <cfRule type="cellIs" dxfId="24871" priority="1601" operator="lessThan">
      <formula>0</formula>
    </cfRule>
    <cfRule type="cellIs" dxfId="24870" priority="1602" operator="lessThan">
      <formula>-105575</formula>
    </cfRule>
  </conditionalFormatting>
  <conditionalFormatting sqref="BB278:BB282">
    <cfRule type="cellIs" dxfId="24869" priority="1599" operator="lessThan">
      <formula>0</formula>
    </cfRule>
    <cfRule type="cellIs" dxfId="24868" priority="1600" operator="lessThan">
      <formula>-105575</formula>
    </cfRule>
  </conditionalFormatting>
  <conditionalFormatting sqref="BB278:BB282">
    <cfRule type="cellIs" dxfId="24867" priority="1597" operator="lessThan">
      <formula>0</formula>
    </cfRule>
    <cfRule type="cellIs" dxfId="24866" priority="1598" operator="lessThan">
      <formula>-105575</formula>
    </cfRule>
  </conditionalFormatting>
  <conditionalFormatting sqref="BB278:BB282">
    <cfRule type="cellIs" dxfId="24865" priority="1595" operator="lessThan">
      <formula>0</formula>
    </cfRule>
    <cfRule type="cellIs" dxfId="24864" priority="1596" operator="lessThan">
      <formula>-105575</formula>
    </cfRule>
  </conditionalFormatting>
  <conditionalFormatting sqref="BB278:BB282">
    <cfRule type="cellIs" dxfId="24863" priority="1593" operator="lessThan">
      <formula>0</formula>
    </cfRule>
    <cfRule type="cellIs" dxfId="24862" priority="1594" operator="lessThan">
      <formula>-105575</formula>
    </cfRule>
  </conditionalFormatting>
  <conditionalFormatting sqref="BB285:BB288">
    <cfRule type="cellIs" dxfId="24861" priority="1591" operator="lessThan">
      <formula>0</formula>
    </cfRule>
    <cfRule type="cellIs" dxfId="24860" priority="1592" operator="lessThan">
      <formula>-105575</formula>
    </cfRule>
  </conditionalFormatting>
  <conditionalFormatting sqref="BB285:BB288">
    <cfRule type="cellIs" dxfId="24859" priority="1589" operator="lessThan">
      <formula>0</formula>
    </cfRule>
    <cfRule type="cellIs" dxfId="24858" priority="1590" operator="lessThan">
      <formula>-105575</formula>
    </cfRule>
  </conditionalFormatting>
  <conditionalFormatting sqref="BB285:BB288">
    <cfRule type="cellIs" dxfId="24857" priority="1587" operator="lessThan">
      <formula>0</formula>
    </cfRule>
    <cfRule type="cellIs" dxfId="24856" priority="1588" operator="lessThan">
      <formula>-105575</formula>
    </cfRule>
  </conditionalFormatting>
  <conditionalFormatting sqref="BB285:BB288">
    <cfRule type="cellIs" dxfId="24855" priority="1585" operator="lessThan">
      <formula>0</formula>
    </cfRule>
    <cfRule type="cellIs" dxfId="24854" priority="1586" operator="lessThan">
      <formula>-105575</formula>
    </cfRule>
  </conditionalFormatting>
  <conditionalFormatting sqref="BB285:BB288">
    <cfRule type="cellIs" dxfId="24853" priority="1583" operator="lessThan">
      <formula>0</formula>
    </cfRule>
    <cfRule type="cellIs" dxfId="24852" priority="1584" operator="lessThan">
      <formula>-105575</formula>
    </cfRule>
  </conditionalFormatting>
  <conditionalFormatting sqref="BB285:BB288">
    <cfRule type="cellIs" dxfId="24851" priority="1581" operator="lessThan">
      <formula>0</formula>
    </cfRule>
    <cfRule type="cellIs" dxfId="24850" priority="1582" operator="lessThan">
      <formula>-105575</formula>
    </cfRule>
  </conditionalFormatting>
  <conditionalFormatting sqref="BB285:BB288">
    <cfRule type="cellIs" dxfId="24849" priority="1579" operator="lessThan">
      <formula>0</formula>
    </cfRule>
    <cfRule type="cellIs" dxfId="24848" priority="1580" operator="lessThan">
      <formula>-105575</formula>
    </cfRule>
  </conditionalFormatting>
  <conditionalFormatting sqref="BB285:BB288">
    <cfRule type="cellIs" dxfId="24847" priority="1577" operator="lessThan">
      <formula>0</formula>
    </cfRule>
    <cfRule type="cellIs" dxfId="24846" priority="1578" operator="lessThan">
      <formula>-105575</formula>
    </cfRule>
  </conditionalFormatting>
  <conditionalFormatting sqref="BB285:BB288">
    <cfRule type="cellIs" dxfId="24845" priority="1575" operator="lessThan">
      <formula>0</formula>
    </cfRule>
    <cfRule type="cellIs" dxfId="24844" priority="1576" operator="lessThan">
      <formula>-105575</formula>
    </cfRule>
  </conditionalFormatting>
  <conditionalFormatting sqref="BB203 BB220:BB221 BB235:BB243 BB231:BB233 BB212:BB213 BB225:BB226">
    <cfRule type="cellIs" dxfId="24843" priority="1573" operator="lessThan">
      <formula>0</formula>
    </cfRule>
    <cfRule type="cellIs" dxfId="24842" priority="1574" operator="lessThan">
      <formula>-105575</formula>
    </cfRule>
  </conditionalFormatting>
  <conditionalFormatting sqref="BB220 BB212:BB213 BB235:BB238 BB240:BB243 BB225:BB226 BB231:BB233">
    <cfRule type="cellIs" dxfId="24841" priority="1571" operator="lessThan">
      <formula>0</formula>
    </cfRule>
    <cfRule type="cellIs" dxfId="24840" priority="1572" operator="lessThan">
      <formula>-105575</formula>
    </cfRule>
  </conditionalFormatting>
  <conditionalFormatting sqref="BB220:BB221 BB243 BB226 BB231:BB236 BB238:BB241 BB203 BB213">
    <cfRule type="cellIs" dxfId="24839" priority="1569" operator="lessThan">
      <formula>0</formula>
    </cfRule>
    <cfRule type="cellIs" dxfId="24838" priority="1570" operator="lessThan">
      <formula>-105575</formula>
    </cfRule>
  </conditionalFormatting>
  <conditionalFormatting sqref="BB235:BB243 BB231:BB233 BB220 BB212:BB213 BB225:BB226">
    <cfRule type="cellIs" dxfId="24837" priority="1567" operator="lessThan">
      <formula>0</formula>
    </cfRule>
    <cfRule type="cellIs" dxfId="24836" priority="1568" operator="lessThan">
      <formula>-105575</formula>
    </cfRule>
  </conditionalFormatting>
  <conditionalFormatting sqref="BB220:BB221 BB237:BB243 BB203 BB231:BB235 BB212:BB213 BB225:BB226">
    <cfRule type="cellIs" dxfId="24835" priority="1565" operator="lessThan">
      <formula>0</formula>
    </cfRule>
    <cfRule type="cellIs" dxfId="24834" priority="1566" operator="lessThan">
      <formula>-105575</formula>
    </cfRule>
  </conditionalFormatting>
  <conditionalFormatting sqref="BB220:BB221 BB237:BB240 BB242:BB243 BB225:BB226 BB231:BB235">
    <cfRule type="cellIs" dxfId="24833" priority="1563" operator="lessThan">
      <formula>0</formula>
    </cfRule>
    <cfRule type="cellIs" dxfId="24832" priority="1564" operator="lessThan">
      <formula>-105575</formula>
    </cfRule>
  </conditionalFormatting>
  <conditionalFormatting sqref="BB212 BB231 BB233:BB238 BB240:BB243 BB225">
    <cfRule type="cellIs" dxfId="24831" priority="1561" operator="lessThan">
      <formula>0</formula>
    </cfRule>
    <cfRule type="cellIs" dxfId="24830" priority="1562" operator="lessThan">
      <formula>-105575</formula>
    </cfRule>
  </conditionalFormatting>
  <conditionalFormatting sqref="BB237:BB243 BB231:BB235 BB220:BB221 BB225:BB226">
    <cfRule type="cellIs" dxfId="24829" priority="1559" operator="lessThan">
      <formula>0</formula>
    </cfRule>
    <cfRule type="cellIs" dxfId="24828" priority="1560" operator="lessThan">
      <formula>-105575</formula>
    </cfRule>
  </conditionalFormatting>
  <conditionalFormatting sqref="BB233:BB237 BB231 BB239:BB243">
    <cfRule type="cellIs" dxfId="24827" priority="1557" operator="lessThan">
      <formula>0</formula>
    </cfRule>
    <cfRule type="cellIs" dxfId="24826" priority="1558" operator="lessThan">
      <formula>-105575</formula>
    </cfRule>
  </conditionalFormatting>
  <conditionalFormatting sqref="BB233:BB237 BB231 BB239:BB243">
    <cfRule type="cellIs" dxfId="24825" priority="1555" operator="lessThan">
      <formula>0</formula>
    </cfRule>
    <cfRule type="cellIs" dxfId="24824" priority="1556" operator="lessThan">
      <formula>-105575</formula>
    </cfRule>
  </conditionalFormatting>
  <conditionalFormatting sqref="BB119:BB128 BB106:BB117 BB101:BB104 BB80:BB98">
    <cfRule type="cellIs" dxfId="24823" priority="1553" operator="lessThan">
      <formula>0</formula>
    </cfRule>
    <cfRule type="cellIs" dxfId="24822" priority="1554" operator="lessThan">
      <formula>-105575</formula>
    </cfRule>
  </conditionalFormatting>
  <conditionalFormatting sqref="BB130 BB132 BB134">
    <cfRule type="cellIs" dxfId="24821" priority="1551" operator="lessThan">
      <formula>0</formula>
    </cfRule>
    <cfRule type="cellIs" dxfId="24820" priority="1552" operator="lessThan">
      <formula>-105575</formula>
    </cfRule>
  </conditionalFormatting>
  <conditionalFormatting sqref="BB130 BB132 BB134">
    <cfRule type="cellIs" dxfId="24819" priority="1549" operator="lessThan">
      <formula>0</formula>
    </cfRule>
    <cfRule type="cellIs" dxfId="24818" priority="1550" operator="lessThan">
      <formula>-105575</formula>
    </cfRule>
  </conditionalFormatting>
  <conditionalFormatting sqref="BB129 BB131 BB133 BB135">
    <cfRule type="cellIs" dxfId="24817" priority="1547" operator="lessThan">
      <formula>0</formula>
    </cfRule>
    <cfRule type="cellIs" dxfId="24816" priority="1548" operator="lessThan">
      <formula>-105575</formula>
    </cfRule>
  </conditionalFormatting>
  <conditionalFormatting sqref="BB140 BB145 BB142:BB143 BB137:BB138">
    <cfRule type="cellIs" dxfId="24815" priority="1545" operator="lessThan">
      <formula>0</formula>
    </cfRule>
    <cfRule type="cellIs" dxfId="24814" priority="1546" operator="lessThan">
      <formula>-105575</formula>
    </cfRule>
  </conditionalFormatting>
  <conditionalFormatting sqref="BB149">
    <cfRule type="cellIs" dxfId="24813" priority="1543" operator="lessThan">
      <formula>0</formula>
    </cfRule>
    <cfRule type="cellIs" dxfId="24812" priority="1544" operator="lessThan">
      <formula>-105575</formula>
    </cfRule>
  </conditionalFormatting>
  <conditionalFormatting sqref="BB129:BB138 BB140:BB149">
    <cfRule type="cellIs" dxfId="24811" priority="1541" operator="lessThan">
      <formula>0</formula>
    </cfRule>
    <cfRule type="cellIs" dxfId="24810" priority="1542" operator="lessThan">
      <formula>-105575</formula>
    </cfRule>
  </conditionalFormatting>
  <conditionalFormatting sqref="BB94:BB98 BB86:BB87 BB89:BB91 BB141:BB149 BB124:BB133 BB107:BB110 BB112:BB117 BB119:BB122 BB135:BB138 BB101:BB104 BB80:BB84">
    <cfRule type="cellIs" dxfId="24809" priority="1539" operator="lessThan">
      <formula>0</formula>
    </cfRule>
    <cfRule type="cellIs" dxfId="24808" priority="1540" operator="lessThan">
      <formula>-105575</formula>
    </cfRule>
  </conditionalFormatting>
  <conditionalFormatting sqref="BB129 BB131 BB133 BB135">
    <cfRule type="cellIs" dxfId="24807" priority="1537" operator="lessThan">
      <formula>0</formula>
    </cfRule>
    <cfRule type="cellIs" dxfId="24806" priority="1538" operator="lessThan">
      <formula>-105575</formula>
    </cfRule>
  </conditionalFormatting>
  <conditionalFormatting sqref="BB146 BB144 BB141">
    <cfRule type="cellIs" dxfId="24805" priority="1535" operator="lessThan">
      <formula>0</formula>
    </cfRule>
    <cfRule type="cellIs" dxfId="24804" priority="1536" operator="lessThan">
      <formula>-105575</formula>
    </cfRule>
  </conditionalFormatting>
  <conditionalFormatting sqref="BB146 BB144 BB141">
    <cfRule type="cellIs" dxfId="24803" priority="1533" operator="lessThan">
      <formula>0</formula>
    </cfRule>
    <cfRule type="cellIs" dxfId="24802" priority="1534" operator="lessThan">
      <formula>-105575</formula>
    </cfRule>
  </conditionalFormatting>
  <conditionalFormatting sqref="BB140 BB145 BB142:BB143 BB137:BB138">
    <cfRule type="cellIs" dxfId="24801" priority="1531" operator="lessThan">
      <formula>0</formula>
    </cfRule>
    <cfRule type="cellIs" dxfId="24800" priority="1532" operator="lessThan">
      <formula>-105575</formula>
    </cfRule>
  </conditionalFormatting>
  <conditionalFormatting sqref="BB149">
    <cfRule type="cellIs" dxfId="24799" priority="1529" operator="lessThan">
      <formula>0</formula>
    </cfRule>
    <cfRule type="cellIs" dxfId="24798" priority="1530" operator="lessThan">
      <formula>-105575</formula>
    </cfRule>
  </conditionalFormatting>
  <conditionalFormatting sqref="BB94:BB98 BB86:BB87 BB89:BB91 BB141:BB149 BB124:BB133 BB107:BB110 BB112:BB117 BB119:BB122 BB135:BB138 BB101:BB104 BB80:BB84">
    <cfRule type="cellIs" dxfId="24797" priority="1527" operator="lessThan">
      <formula>0</formula>
    </cfRule>
    <cfRule type="cellIs" dxfId="24796" priority="1528" operator="lessThan">
      <formula>-105575</formula>
    </cfRule>
  </conditionalFormatting>
  <conditionalFormatting sqref="BB246:BB249 BB262 BB267 BB279:BB282 BB285:BB288 BB274:BB275 BB306:BB309 BB311:BB325 BB327:BB330 BB332:BB341 BB344:BB347 BB349:BB353 BB355:BB358 BB360:BB384 BB386:BB389 BB392:BB395 BB397:BB411 BB413:BB416 BB418:BB432 BB434:BB437 BB439:BB453 BB455:BB458 BB460:BB469 BB7:BB10 BB12:BB14 BB17:BB18 BB21:BB24 BB26:BB28 BB30:BB36 BB38 BB41:BB43 BB46:BB49 BB51:BB55 BB57:BB59 BB62:BB76 BB251:BB253 BB255:BB257 BB293:BB304 BB264:BB265 BB260 BB290:BB291 BB270:BB272">
    <cfRule type="cellIs" dxfId="24795" priority="1525" operator="lessThan">
      <formula>0</formula>
    </cfRule>
    <cfRule type="cellIs" dxfId="24794" priority="1526" operator="lessThan">
      <formula>-105575</formula>
    </cfRule>
  </conditionalFormatting>
  <conditionalFormatting sqref="BB41">
    <cfRule type="cellIs" dxfId="24793" priority="1523" operator="lessThan">
      <formula>0</formula>
    </cfRule>
    <cfRule type="cellIs" dxfId="24792" priority="1524" operator="lessThan">
      <formula>-105575</formula>
    </cfRule>
  </conditionalFormatting>
  <conditionalFormatting sqref="BB152:BB155">
    <cfRule type="cellIs" dxfId="24791" priority="1521" operator="lessThan">
      <formula>0</formula>
    </cfRule>
    <cfRule type="cellIs" dxfId="24790" priority="1522" operator="lessThan">
      <formula>-105575</formula>
    </cfRule>
  </conditionalFormatting>
  <conditionalFormatting sqref="BB152:BB155">
    <cfRule type="cellIs" dxfId="24789" priority="1519" operator="lessThan">
      <formula>0</formula>
    </cfRule>
    <cfRule type="cellIs" dxfId="24788" priority="1520" operator="lessThan">
      <formula>-105575</formula>
    </cfRule>
  </conditionalFormatting>
  <conditionalFormatting sqref="BB152:BB155">
    <cfRule type="cellIs" dxfId="24787" priority="1517" operator="lessThan">
      <formula>0</formula>
    </cfRule>
    <cfRule type="cellIs" dxfId="24786" priority="1518" operator="lessThan">
      <formula>-105575</formula>
    </cfRule>
  </conditionalFormatting>
  <conditionalFormatting sqref="BB157:BB158">
    <cfRule type="cellIs" dxfId="24785" priority="1515" operator="lessThan">
      <formula>0</formula>
    </cfRule>
    <cfRule type="cellIs" dxfId="24784" priority="1516" operator="lessThan">
      <formula>-105575</formula>
    </cfRule>
  </conditionalFormatting>
  <conditionalFormatting sqref="BB157:BB158">
    <cfRule type="cellIs" dxfId="24783" priority="1513" operator="lessThan">
      <formula>0</formula>
    </cfRule>
    <cfRule type="cellIs" dxfId="24782" priority="1514" operator="lessThan">
      <formula>-105575</formula>
    </cfRule>
  </conditionalFormatting>
  <conditionalFormatting sqref="BB157:BB158">
    <cfRule type="cellIs" dxfId="24781" priority="1511" operator="lessThan">
      <formula>0</formula>
    </cfRule>
    <cfRule type="cellIs" dxfId="24780" priority="1512" operator="lessThan">
      <formula>-105575</formula>
    </cfRule>
  </conditionalFormatting>
  <conditionalFormatting sqref="BB160:BB161">
    <cfRule type="cellIs" dxfId="24779" priority="1509" operator="lessThan">
      <formula>0</formula>
    </cfRule>
    <cfRule type="cellIs" dxfId="24778" priority="1510" operator="lessThan">
      <formula>-105575</formula>
    </cfRule>
  </conditionalFormatting>
  <conditionalFormatting sqref="BB160:BB161">
    <cfRule type="cellIs" dxfId="24777" priority="1507" operator="lessThan">
      <formula>0</formula>
    </cfRule>
    <cfRule type="cellIs" dxfId="24776" priority="1508" operator="lessThan">
      <formula>-105575</formula>
    </cfRule>
  </conditionalFormatting>
  <conditionalFormatting sqref="BB160:BB161">
    <cfRule type="cellIs" dxfId="24775" priority="1505" operator="lessThan">
      <formula>0</formula>
    </cfRule>
    <cfRule type="cellIs" dxfId="24774" priority="1506" operator="lessThan">
      <formula>-105575</formula>
    </cfRule>
  </conditionalFormatting>
  <conditionalFormatting sqref="BB164:BB167">
    <cfRule type="cellIs" dxfId="24773" priority="1503" operator="lessThan">
      <formula>0</formula>
    </cfRule>
    <cfRule type="cellIs" dxfId="24772" priority="1504" operator="lessThan">
      <formula>-105575</formula>
    </cfRule>
  </conditionalFormatting>
  <conditionalFormatting sqref="BB164:BB167">
    <cfRule type="cellIs" dxfId="24771" priority="1501" operator="lessThan">
      <formula>0</formula>
    </cfRule>
    <cfRule type="cellIs" dxfId="24770" priority="1502" operator="lessThan">
      <formula>-105575</formula>
    </cfRule>
  </conditionalFormatting>
  <conditionalFormatting sqref="BB164:BB167">
    <cfRule type="cellIs" dxfId="24769" priority="1499" operator="lessThan">
      <formula>0</formula>
    </cfRule>
    <cfRule type="cellIs" dxfId="24768" priority="1500" operator="lessThan">
      <formula>-105575</formula>
    </cfRule>
  </conditionalFormatting>
  <conditionalFormatting sqref="BB169:BB177">
    <cfRule type="cellIs" dxfId="24767" priority="1497" operator="lessThan">
      <formula>0</formula>
    </cfRule>
    <cfRule type="cellIs" dxfId="24766" priority="1498" operator="lessThan">
      <formula>-105575</formula>
    </cfRule>
  </conditionalFormatting>
  <conditionalFormatting sqref="BB169:BB177">
    <cfRule type="cellIs" dxfId="24765" priority="1495" operator="lessThan">
      <formula>0</formula>
    </cfRule>
    <cfRule type="cellIs" dxfId="24764" priority="1496" operator="lessThan">
      <formula>-105575</formula>
    </cfRule>
  </conditionalFormatting>
  <conditionalFormatting sqref="BB169:BB177">
    <cfRule type="cellIs" dxfId="24763" priority="1493" operator="lessThan">
      <formula>0</formula>
    </cfRule>
    <cfRule type="cellIs" dxfId="24762" priority="1494" operator="lessThan">
      <formula>-105575</formula>
    </cfRule>
  </conditionalFormatting>
  <conditionalFormatting sqref="BB179:BB180">
    <cfRule type="cellIs" dxfId="24761" priority="1491" operator="lessThan">
      <formula>0</formula>
    </cfRule>
    <cfRule type="cellIs" dxfId="24760" priority="1492" operator="lessThan">
      <formula>-105575</formula>
    </cfRule>
  </conditionalFormatting>
  <conditionalFormatting sqref="BB179:BB180">
    <cfRule type="cellIs" dxfId="24759" priority="1489" operator="lessThan">
      <formula>0</formula>
    </cfRule>
    <cfRule type="cellIs" dxfId="24758" priority="1490" operator="lessThan">
      <formula>-105575</formula>
    </cfRule>
  </conditionalFormatting>
  <conditionalFormatting sqref="BB179:BB180">
    <cfRule type="cellIs" dxfId="24757" priority="1487" operator="lessThan">
      <formula>0</formula>
    </cfRule>
    <cfRule type="cellIs" dxfId="24756" priority="1488" operator="lessThan">
      <formula>-105575</formula>
    </cfRule>
  </conditionalFormatting>
  <conditionalFormatting sqref="BB183:BB189">
    <cfRule type="cellIs" dxfId="24755" priority="1485" operator="lessThan">
      <formula>0</formula>
    </cfRule>
    <cfRule type="cellIs" dxfId="24754" priority="1486" operator="lessThan">
      <formula>-105575</formula>
    </cfRule>
  </conditionalFormatting>
  <conditionalFormatting sqref="BB183:BB189">
    <cfRule type="cellIs" dxfId="24753" priority="1483" operator="lessThan">
      <formula>0</formula>
    </cfRule>
    <cfRule type="cellIs" dxfId="24752" priority="1484" operator="lessThan">
      <formula>-105575</formula>
    </cfRule>
  </conditionalFormatting>
  <conditionalFormatting sqref="BB183:BB189">
    <cfRule type="cellIs" dxfId="24751" priority="1481" operator="lessThan">
      <formula>0</formula>
    </cfRule>
    <cfRule type="cellIs" dxfId="24750" priority="1482" operator="lessThan">
      <formula>-105575</formula>
    </cfRule>
  </conditionalFormatting>
  <conditionalFormatting sqref="BB191:BB192">
    <cfRule type="cellIs" dxfId="24749" priority="1479" operator="lessThan">
      <formula>0</formula>
    </cfRule>
    <cfRule type="cellIs" dxfId="24748" priority="1480" operator="lessThan">
      <formula>-105575</formula>
    </cfRule>
  </conditionalFormatting>
  <conditionalFormatting sqref="BB191:BB192">
    <cfRule type="cellIs" dxfId="24747" priority="1477" operator="lessThan">
      <formula>0</formula>
    </cfRule>
    <cfRule type="cellIs" dxfId="24746" priority="1478" operator="lessThan">
      <formula>-105575</formula>
    </cfRule>
  </conditionalFormatting>
  <conditionalFormatting sqref="BB191:BB192">
    <cfRule type="cellIs" dxfId="24745" priority="1475" operator="lessThan">
      <formula>0</formula>
    </cfRule>
    <cfRule type="cellIs" dxfId="24744" priority="1476" operator="lessThan">
      <formula>-105575</formula>
    </cfRule>
  </conditionalFormatting>
  <conditionalFormatting sqref="BB194:BB195">
    <cfRule type="cellIs" dxfId="24743" priority="1473" operator="lessThan">
      <formula>0</formula>
    </cfRule>
    <cfRule type="cellIs" dxfId="24742" priority="1474" operator="lessThan">
      <formula>-105575</formula>
    </cfRule>
  </conditionalFormatting>
  <conditionalFormatting sqref="BB194:BB195">
    <cfRule type="cellIs" dxfId="24741" priority="1471" operator="lessThan">
      <formula>0</formula>
    </cfRule>
    <cfRule type="cellIs" dxfId="24740" priority="1472" operator="lessThan">
      <formula>-105575</formula>
    </cfRule>
  </conditionalFormatting>
  <conditionalFormatting sqref="BB194:BB195">
    <cfRule type="cellIs" dxfId="24739" priority="1469" operator="lessThan">
      <formula>0</formula>
    </cfRule>
    <cfRule type="cellIs" dxfId="24738" priority="1470" operator="lessThan">
      <formula>-105575</formula>
    </cfRule>
  </conditionalFormatting>
  <conditionalFormatting sqref="BB199:BB202">
    <cfRule type="cellIs" dxfId="24737" priority="1467" operator="lessThan">
      <formula>0</formula>
    </cfRule>
    <cfRule type="cellIs" dxfId="24736" priority="1468" operator="lessThan">
      <formula>-105575</formula>
    </cfRule>
  </conditionalFormatting>
  <conditionalFormatting sqref="BB199:BB202">
    <cfRule type="cellIs" dxfId="24735" priority="1465" operator="lessThan">
      <formula>0</formula>
    </cfRule>
    <cfRule type="cellIs" dxfId="24734" priority="1466" operator="lessThan">
      <formula>-105575</formula>
    </cfRule>
  </conditionalFormatting>
  <conditionalFormatting sqref="BB199:BB202">
    <cfRule type="cellIs" dxfId="24733" priority="1463" operator="lessThan">
      <formula>0</formula>
    </cfRule>
    <cfRule type="cellIs" dxfId="24732" priority="1464" operator="lessThan">
      <formula>-105575</formula>
    </cfRule>
  </conditionalFormatting>
  <conditionalFormatting sqref="BB204:BB208">
    <cfRule type="cellIs" dxfId="24731" priority="1461" operator="lessThan">
      <formula>0</formula>
    </cfRule>
    <cfRule type="cellIs" dxfId="24730" priority="1462" operator="lessThan">
      <formula>-105575</formula>
    </cfRule>
  </conditionalFormatting>
  <conditionalFormatting sqref="BB204:BB208">
    <cfRule type="cellIs" dxfId="24729" priority="1459" operator="lessThan">
      <formula>0</formula>
    </cfRule>
    <cfRule type="cellIs" dxfId="24728" priority="1460" operator="lessThan">
      <formula>-105575</formula>
    </cfRule>
  </conditionalFormatting>
  <conditionalFormatting sqref="BB204:BB208">
    <cfRule type="cellIs" dxfId="24727" priority="1457" operator="lessThan">
      <formula>0</formula>
    </cfRule>
    <cfRule type="cellIs" dxfId="24726" priority="1458" operator="lessThan">
      <formula>-105575</formula>
    </cfRule>
  </conditionalFormatting>
  <conditionalFormatting sqref="BB210:BB211">
    <cfRule type="cellIs" dxfId="24725" priority="1455" operator="lessThan">
      <formula>0</formula>
    </cfRule>
    <cfRule type="cellIs" dxfId="24724" priority="1456" operator="lessThan">
      <formula>-105575</formula>
    </cfRule>
  </conditionalFormatting>
  <conditionalFormatting sqref="BB210:BB211">
    <cfRule type="cellIs" dxfId="24723" priority="1453" operator="lessThan">
      <formula>0</formula>
    </cfRule>
    <cfRule type="cellIs" dxfId="24722" priority="1454" operator="lessThan">
      <formula>-105575</formula>
    </cfRule>
  </conditionalFormatting>
  <conditionalFormatting sqref="BB210:BB211">
    <cfRule type="cellIs" dxfId="24721" priority="1451" operator="lessThan">
      <formula>0</formula>
    </cfRule>
    <cfRule type="cellIs" dxfId="24720" priority="1452" operator="lessThan">
      <formula>-105575</formula>
    </cfRule>
  </conditionalFormatting>
  <conditionalFormatting sqref="BB214:BB219">
    <cfRule type="cellIs" dxfId="24719" priority="1449" operator="lessThan">
      <formula>0</formula>
    </cfRule>
    <cfRule type="cellIs" dxfId="24718" priority="1450" operator="lessThan">
      <formula>-105575</formula>
    </cfRule>
  </conditionalFormatting>
  <conditionalFormatting sqref="BB214:BB219">
    <cfRule type="cellIs" dxfId="24717" priority="1447" operator="lessThan">
      <formula>0</formula>
    </cfRule>
    <cfRule type="cellIs" dxfId="24716" priority="1448" operator="lessThan">
      <formula>-105575</formula>
    </cfRule>
  </conditionalFormatting>
  <conditionalFormatting sqref="BB214:BB219">
    <cfRule type="cellIs" dxfId="24715" priority="1445" operator="lessThan">
      <formula>0</formula>
    </cfRule>
    <cfRule type="cellIs" dxfId="24714" priority="1446" operator="lessThan">
      <formula>-105575</formula>
    </cfRule>
  </conditionalFormatting>
  <conditionalFormatting sqref="BB222:BB224">
    <cfRule type="cellIs" dxfId="24713" priority="1443" operator="lessThan">
      <formula>0</formula>
    </cfRule>
    <cfRule type="cellIs" dxfId="24712" priority="1444" operator="lessThan">
      <formula>-105575</formula>
    </cfRule>
  </conditionalFormatting>
  <conditionalFormatting sqref="BB222:BB224">
    <cfRule type="cellIs" dxfId="24711" priority="1441" operator="lessThan">
      <formula>0</formula>
    </cfRule>
    <cfRule type="cellIs" dxfId="24710" priority="1442" operator="lessThan">
      <formula>-105575</formula>
    </cfRule>
  </conditionalFormatting>
  <conditionalFormatting sqref="BB222:BB224">
    <cfRule type="cellIs" dxfId="24709" priority="1439" operator="lessThan">
      <formula>0</formula>
    </cfRule>
    <cfRule type="cellIs" dxfId="24708" priority="1440" operator="lessThan">
      <formula>-105575</formula>
    </cfRule>
  </conditionalFormatting>
  <conditionalFormatting sqref="BB227:BB230">
    <cfRule type="cellIs" dxfId="24707" priority="1437" operator="lessThan">
      <formula>0</formula>
    </cfRule>
    <cfRule type="cellIs" dxfId="24706" priority="1438" operator="lessThan">
      <formula>-105575</formula>
    </cfRule>
  </conditionalFormatting>
  <conditionalFormatting sqref="BB227:BB230">
    <cfRule type="cellIs" dxfId="24705" priority="1435" operator="lessThan">
      <formula>0</formula>
    </cfRule>
    <cfRule type="cellIs" dxfId="24704" priority="1436" operator="lessThan">
      <formula>-105575</formula>
    </cfRule>
  </conditionalFormatting>
  <conditionalFormatting sqref="BB227:BB230">
    <cfRule type="cellIs" dxfId="24703" priority="1433" operator="lessThan">
      <formula>0</formula>
    </cfRule>
    <cfRule type="cellIs" dxfId="24702" priority="1434" operator="lessThan">
      <formula>-105575</formula>
    </cfRule>
  </conditionalFormatting>
  <conditionalFormatting sqref="BB203 BB220:BB221 BB235:BB243 BB231:BB233 BB212:BB213 BB225:BB226">
    <cfRule type="cellIs" dxfId="24701" priority="1431" operator="lessThan">
      <formula>0</formula>
    </cfRule>
    <cfRule type="cellIs" dxfId="24700" priority="1432" operator="lessThan">
      <formula>-105575</formula>
    </cfRule>
  </conditionalFormatting>
  <conditionalFormatting sqref="BB220 BB212:BB213 BB235:BB238 BB240:BB243 BB225:BB226 BB231:BB233">
    <cfRule type="cellIs" dxfId="24699" priority="1429" operator="lessThan">
      <formula>0</formula>
    </cfRule>
    <cfRule type="cellIs" dxfId="24698" priority="1430" operator="lessThan">
      <formula>-105575</formula>
    </cfRule>
  </conditionalFormatting>
  <conditionalFormatting sqref="BB220:BB221 BB243 BB226 BB231:BB236 BB238:BB241 BB203 BB213">
    <cfRule type="cellIs" dxfId="24697" priority="1427" operator="lessThan">
      <formula>0</formula>
    </cfRule>
    <cfRule type="cellIs" dxfId="24696" priority="1428" operator="lessThan">
      <formula>-105575</formula>
    </cfRule>
  </conditionalFormatting>
  <conditionalFormatting sqref="BB235:BB243 BB231:BB233 BB220 BB212:BB213 BB225:BB226">
    <cfRule type="cellIs" dxfId="24695" priority="1425" operator="lessThan">
      <formula>0</formula>
    </cfRule>
    <cfRule type="cellIs" dxfId="24694" priority="1426" operator="lessThan">
      <formula>-105575</formula>
    </cfRule>
  </conditionalFormatting>
  <conditionalFormatting sqref="BB220:BB221 BB237:BB243 BB203 BB231:BB235 BB212:BB213 BB225:BB226">
    <cfRule type="cellIs" dxfId="24693" priority="1423" operator="lessThan">
      <formula>0</formula>
    </cfRule>
    <cfRule type="cellIs" dxfId="24692" priority="1424" operator="lessThan">
      <formula>-105575</formula>
    </cfRule>
  </conditionalFormatting>
  <conditionalFormatting sqref="BB220:BB221 BB237:BB240 BB242:BB243 BB225:BB226 BB231:BB235">
    <cfRule type="cellIs" dxfId="24691" priority="1421" operator="lessThan">
      <formula>0</formula>
    </cfRule>
    <cfRule type="cellIs" dxfId="24690" priority="1422" operator="lessThan">
      <formula>-105575</formula>
    </cfRule>
  </conditionalFormatting>
  <conditionalFormatting sqref="BB212 BB231 BB233:BB238 BB240:BB243 BB225">
    <cfRule type="cellIs" dxfId="24689" priority="1419" operator="lessThan">
      <formula>0</formula>
    </cfRule>
    <cfRule type="cellIs" dxfId="24688" priority="1420" operator="lessThan">
      <formula>-105575</formula>
    </cfRule>
  </conditionalFormatting>
  <conditionalFormatting sqref="BB237:BB243 BB231:BB235 BB220:BB221 BB225:BB226">
    <cfRule type="cellIs" dxfId="24687" priority="1417" operator="lessThan">
      <formula>0</formula>
    </cfRule>
    <cfRule type="cellIs" dxfId="24686" priority="1418" operator="lessThan">
      <formula>-105575</formula>
    </cfRule>
  </conditionalFormatting>
  <conditionalFormatting sqref="BB233:BB237 BB231 BB239:BB243">
    <cfRule type="cellIs" dxfId="24685" priority="1415" operator="lessThan">
      <formula>0</formula>
    </cfRule>
    <cfRule type="cellIs" dxfId="24684" priority="1416" operator="lessThan">
      <formula>-105575</formula>
    </cfRule>
  </conditionalFormatting>
  <conditionalFormatting sqref="BB233:BB237 BB231 BB239:BB243">
    <cfRule type="cellIs" dxfId="24683" priority="1413" operator="lessThan">
      <formula>0</formula>
    </cfRule>
    <cfRule type="cellIs" dxfId="24682" priority="1414" operator="lessThan">
      <formula>-105575</formula>
    </cfRule>
  </conditionalFormatting>
  <conditionalFormatting sqref="BB119:BB128 BB106:BB117 BB101:BB104 BB80:BB98">
    <cfRule type="cellIs" dxfId="24681" priority="1411" operator="lessThan">
      <formula>0</formula>
    </cfRule>
    <cfRule type="cellIs" dxfId="24680" priority="1412" operator="lessThan">
      <formula>-105575</formula>
    </cfRule>
  </conditionalFormatting>
  <conditionalFormatting sqref="BB130 BB132 BB134">
    <cfRule type="cellIs" dxfId="24679" priority="1409" operator="lessThan">
      <formula>0</formula>
    </cfRule>
    <cfRule type="cellIs" dxfId="24678" priority="1410" operator="lessThan">
      <formula>-105575</formula>
    </cfRule>
  </conditionalFormatting>
  <conditionalFormatting sqref="BB130 BB132 BB134">
    <cfRule type="cellIs" dxfId="24677" priority="1407" operator="lessThan">
      <formula>0</formula>
    </cfRule>
    <cfRule type="cellIs" dxfId="24676" priority="1408" operator="lessThan">
      <formula>-105575</formula>
    </cfRule>
  </conditionalFormatting>
  <conditionalFormatting sqref="BB129 BB131 BB133 BB135">
    <cfRule type="cellIs" dxfId="24675" priority="1405" operator="lessThan">
      <formula>0</formula>
    </cfRule>
    <cfRule type="cellIs" dxfId="24674" priority="1406" operator="lessThan">
      <formula>-105575</formula>
    </cfRule>
  </conditionalFormatting>
  <conditionalFormatting sqref="BB140 BB145 BB142:BB143 BB137:BB138">
    <cfRule type="cellIs" dxfId="24673" priority="1403" operator="lessThan">
      <formula>0</formula>
    </cfRule>
    <cfRule type="cellIs" dxfId="24672" priority="1404" operator="lessThan">
      <formula>-105575</formula>
    </cfRule>
  </conditionalFormatting>
  <conditionalFormatting sqref="BB149">
    <cfRule type="cellIs" dxfId="24671" priority="1401" operator="lessThan">
      <formula>0</formula>
    </cfRule>
    <cfRule type="cellIs" dxfId="24670" priority="1402" operator="lessThan">
      <formula>-105575</formula>
    </cfRule>
  </conditionalFormatting>
  <conditionalFormatting sqref="BB129:BB138 BB140:BB149">
    <cfRule type="cellIs" dxfId="24669" priority="1399" operator="lessThan">
      <formula>0</formula>
    </cfRule>
    <cfRule type="cellIs" dxfId="24668" priority="1400" operator="lessThan">
      <formula>-105575</formula>
    </cfRule>
  </conditionalFormatting>
  <conditionalFormatting sqref="BB94:BB98 BB86:BB87 BB89:BB91 BB141:BB149 BB124:BB133 BB107:BB110 BB112:BB117 BB119:BB122 BB135:BB138 BB101:BB104 BB80:BB84">
    <cfRule type="cellIs" dxfId="24667" priority="1397" operator="lessThan">
      <formula>0</formula>
    </cfRule>
    <cfRule type="cellIs" dxfId="24666" priority="1398" operator="lessThan">
      <formula>-105575</formula>
    </cfRule>
  </conditionalFormatting>
  <conditionalFormatting sqref="BB129 BB131 BB133 BB135">
    <cfRule type="cellIs" dxfId="24665" priority="1395" operator="lessThan">
      <formula>0</formula>
    </cfRule>
    <cfRule type="cellIs" dxfId="24664" priority="1396" operator="lessThan">
      <formula>-105575</formula>
    </cfRule>
  </conditionalFormatting>
  <conditionalFormatting sqref="BB146 BB144 BB141">
    <cfRule type="cellIs" dxfId="24663" priority="1393" operator="lessThan">
      <formula>0</formula>
    </cfRule>
    <cfRule type="cellIs" dxfId="24662" priority="1394" operator="lessThan">
      <formula>-105575</formula>
    </cfRule>
  </conditionalFormatting>
  <conditionalFormatting sqref="BB146 BB144 BB141">
    <cfRule type="cellIs" dxfId="24661" priority="1391" operator="lessThan">
      <formula>0</formula>
    </cfRule>
    <cfRule type="cellIs" dxfId="24660" priority="1392" operator="lessThan">
      <formula>-105575</formula>
    </cfRule>
  </conditionalFormatting>
  <conditionalFormatting sqref="BB140 BB145 BB142:BB143 BB137:BB138">
    <cfRule type="cellIs" dxfId="24659" priority="1389" operator="lessThan">
      <formula>0</formula>
    </cfRule>
    <cfRule type="cellIs" dxfId="24658" priority="1390" operator="lessThan">
      <formula>-105575</formula>
    </cfRule>
  </conditionalFormatting>
  <conditionalFormatting sqref="BB149">
    <cfRule type="cellIs" dxfId="24657" priority="1387" operator="lessThan">
      <formula>0</formula>
    </cfRule>
    <cfRule type="cellIs" dxfId="24656" priority="1388" operator="lessThan">
      <formula>-105575</formula>
    </cfRule>
  </conditionalFormatting>
  <conditionalFormatting sqref="BB94:BB98 BB86:BB87 BB89:BB91 BB141:BB149 BB124:BB133 BB107:BB110 BB112:BB117 BB119:BB122 BB135:BB138 BB101:BB104 BB80:BB84">
    <cfRule type="cellIs" dxfId="24655" priority="1385" operator="lessThan">
      <formula>0</formula>
    </cfRule>
    <cfRule type="cellIs" dxfId="24654" priority="1386" operator="lessThan">
      <formula>-105575</formula>
    </cfRule>
  </conditionalFormatting>
  <conditionalFormatting sqref="BB62:BB76 BB306:BB309 BB311:BB325 BB327:BB330 BB332:BB341 BB344:BB347 BB349:BB353 BB355:BB358 BB360:BB384 BB386:BB389 BB392:BB395 BB397:BB411 BB413:BB416 BB418:BB432 BB434:BB437 BB439:BB453 BB455:BB458 BB460:BB469 BB7:BB10 BB12:BB14 BB17:BB18 BB21:BB24 BB26:BB28 BB30:BB36 BB38 BB41:BB43 BB46:BB49 BB51:BB55 BB57:BB59 BB290:BB291 BB293:BB304">
    <cfRule type="cellIs" dxfId="24653" priority="1383" operator="lessThan">
      <formula>0</formula>
    </cfRule>
    <cfRule type="cellIs" dxfId="24652" priority="1384" operator="lessThan">
      <formula>-105575</formula>
    </cfRule>
  </conditionalFormatting>
  <conditionalFormatting sqref="BB41">
    <cfRule type="cellIs" dxfId="24651" priority="1381" operator="lessThan">
      <formula>0</formula>
    </cfRule>
    <cfRule type="cellIs" dxfId="24650" priority="1382" operator="lessThan">
      <formula>-105575</formula>
    </cfRule>
  </conditionalFormatting>
  <conditionalFormatting sqref="BB152:BB155">
    <cfRule type="cellIs" dxfId="24649" priority="1379" operator="lessThan">
      <formula>0</formula>
    </cfRule>
    <cfRule type="cellIs" dxfId="24648" priority="1380" operator="lessThan">
      <formula>-105575</formula>
    </cfRule>
  </conditionalFormatting>
  <conditionalFormatting sqref="BB152:BB155">
    <cfRule type="cellIs" dxfId="24647" priority="1377" operator="lessThan">
      <formula>0</formula>
    </cfRule>
    <cfRule type="cellIs" dxfId="24646" priority="1378" operator="lessThan">
      <formula>-105575</formula>
    </cfRule>
  </conditionalFormatting>
  <conditionalFormatting sqref="BB152:BB155">
    <cfRule type="cellIs" dxfId="24645" priority="1375" operator="lessThan">
      <formula>0</formula>
    </cfRule>
    <cfRule type="cellIs" dxfId="24644" priority="1376" operator="lessThan">
      <formula>-105575</formula>
    </cfRule>
  </conditionalFormatting>
  <conditionalFormatting sqref="BB157:BB158">
    <cfRule type="cellIs" dxfId="24643" priority="1373" operator="lessThan">
      <formula>0</formula>
    </cfRule>
    <cfRule type="cellIs" dxfId="24642" priority="1374" operator="lessThan">
      <formula>-105575</formula>
    </cfRule>
  </conditionalFormatting>
  <conditionalFormatting sqref="BB157:BB158">
    <cfRule type="cellIs" dxfId="24641" priority="1371" operator="lessThan">
      <formula>0</formula>
    </cfRule>
    <cfRule type="cellIs" dxfId="24640" priority="1372" operator="lessThan">
      <formula>-105575</formula>
    </cfRule>
  </conditionalFormatting>
  <conditionalFormatting sqref="BB157:BB158">
    <cfRule type="cellIs" dxfId="24639" priority="1369" operator="lessThan">
      <formula>0</formula>
    </cfRule>
    <cfRule type="cellIs" dxfId="24638" priority="1370" operator="lessThan">
      <formula>-105575</formula>
    </cfRule>
  </conditionalFormatting>
  <conditionalFormatting sqref="BB160:BB161">
    <cfRule type="cellIs" dxfId="24637" priority="1367" operator="lessThan">
      <formula>0</formula>
    </cfRule>
    <cfRule type="cellIs" dxfId="24636" priority="1368" operator="lessThan">
      <formula>-105575</formula>
    </cfRule>
  </conditionalFormatting>
  <conditionalFormatting sqref="BB160:BB161">
    <cfRule type="cellIs" dxfId="24635" priority="1365" operator="lessThan">
      <formula>0</formula>
    </cfRule>
    <cfRule type="cellIs" dxfId="24634" priority="1366" operator="lessThan">
      <formula>-105575</formula>
    </cfRule>
  </conditionalFormatting>
  <conditionalFormatting sqref="BB160:BB161">
    <cfRule type="cellIs" dxfId="24633" priority="1363" operator="lessThan">
      <formula>0</formula>
    </cfRule>
    <cfRule type="cellIs" dxfId="24632" priority="1364" operator="lessThan">
      <formula>-105575</formula>
    </cfRule>
  </conditionalFormatting>
  <conditionalFormatting sqref="BB164:BB167">
    <cfRule type="cellIs" dxfId="24631" priority="1361" operator="lessThan">
      <formula>0</formula>
    </cfRule>
    <cfRule type="cellIs" dxfId="24630" priority="1362" operator="lessThan">
      <formula>-105575</formula>
    </cfRule>
  </conditionalFormatting>
  <conditionalFormatting sqref="BB164:BB167">
    <cfRule type="cellIs" dxfId="24629" priority="1359" operator="lessThan">
      <formula>0</formula>
    </cfRule>
    <cfRule type="cellIs" dxfId="24628" priority="1360" operator="lessThan">
      <formula>-105575</formula>
    </cfRule>
  </conditionalFormatting>
  <conditionalFormatting sqref="BB164:BB167">
    <cfRule type="cellIs" dxfId="24627" priority="1357" operator="lessThan">
      <formula>0</formula>
    </cfRule>
    <cfRule type="cellIs" dxfId="24626" priority="1358" operator="lessThan">
      <formula>-105575</formula>
    </cfRule>
  </conditionalFormatting>
  <conditionalFormatting sqref="BB169:BB177">
    <cfRule type="cellIs" dxfId="24625" priority="1355" operator="lessThan">
      <formula>0</formula>
    </cfRule>
    <cfRule type="cellIs" dxfId="24624" priority="1356" operator="lessThan">
      <formula>-105575</formula>
    </cfRule>
  </conditionalFormatting>
  <conditionalFormatting sqref="BB169:BB177">
    <cfRule type="cellIs" dxfId="24623" priority="1353" operator="lessThan">
      <formula>0</formula>
    </cfRule>
    <cfRule type="cellIs" dxfId="24622" priority="1354" operator="lessThan">
      <formula>-105575</formula>
    </cfRule>
  </conditionalFormatting>
  <conditionalFormatting sqref="BB169:BB177">
    <cfRule type="cellIs" dxfId="24621" priority="1351" operator="lessThan">
      <formula>0</formula>
    </cfRule>
    <cfRule type="cellIs" dxfId="24620" priority="1352" operator="lessThan">
      <formula>-105575</formula>
    </cfRule>
  </conditionalFormatting>
  <conditionalFormatting sqref="BB179:BB180">
    <cfRule type="cellIs" dxfId="24619" priority="1349" operator="lessThan">
      <formula>0</formula>
    </cfRule>
    <cfRule type="cellIs" dxfId="24618" priority="1350" operator="lessThan">
      <formula>-105575</formula>
    </cfRule>
  </conditionalFormatting>
  <conditionalFormatting sqref="BB179:BB180">
    <cfRule type="cellIs" dxfId="24617" priority="1347" operator="lessThan">
      <formula>0</formula>
    </cfRule>
    <cfRule type="cellIs" dxfId="24616" priority="1348" operator="lessThan">
      <formula>-105575</formula>
    </cfRule>
  </conditionalFormatting>
  <conditionalFormatting sqref="BB179:BB180">
    <cfRule type="cellIs" dxfId="24615" priority="1345" operator="lessThan">
      <formula>0</formula>
    </cfRule>
    <cfRule type="cellIs" dxfId="24614" priority="1346" operator="lessThan">
      <formula>-105575</formula>
    </cfRule>
  </conditionalFormatting>
  <conditionalFormatting sqref="BB183:BB189">
    <cfRule type="cellIs" dxfId="24613" priority="1343" operator="lessThan">
      <formula>0</formula>
    </cfRule>
    <cfRule type="cellIs" dxfId="24612" priority="1344" operator="lessThan">
      <formula>-105575</formula>
    </cfRule>
  </conditionalFormatting>
  <conditionalFormatting sqref="BB183:BB189">
    <cfRule type="cellIs" dxfId="24611" priority="1341" operator="lessThan">
      <formula>0</formula>
    </cfRule>
    <cfRule type="cellIs" dxfId="24610" priority="1342" operator="lessThan">
      <formula>-105575</formula>
    </cfRule>
  </conditionalFormatting>
  <conditionalFormatting sqref="BB183:BB189">
    <cfRule type="cellIs" dxfId="24609" priority="1339" operator="lessThan">
      <formula>0</formula>
    </cfRule>
    <cfRule type="cellIs" dxfId="24608" priority="1340" operator="lessThan">
      <formula>-105575</formula>
    </cfRule>
  </conditionalFormatting>
  <conditionalFormatting sqref="BB191:BB192">
    <cfRule type="cellIs" dxfId="24607" priority="1337" operator="lessThan">
      <formula>0</formula>
    </cfRule>
    <cfRule type="cellIs" dxfId="24606" priority="1338" operator="lessThan">
      <formula>-105575</formula>
    </cfRule>
  </conditionalFormatting>
  <conditionalFormatting sqref="BB191:BB192">
    <cfRule type="cellIs" dxfId="24605" priority="1335" operator="lessThan">
      <formula>0</formula>
    </cfRule>
    <cfRule type="cellIs" dxfId="24604" priority="1336" operator="lessThan">
      <formula>-105575</formula>
    </cfRule>
  </conditionalFormatting>
  <conditionalFormatting sqref="BB191:BB192">
    <cfRule type="cellIs" dxfId="24603" priority="1333" operator="lessThan">
      <formula>0</formula>
    </cfRule>
    <cfRule type="cellIs" dxfId="24602" priority="1334" operator="lessThan">
      <formula>-105575</formula>
    </cfRule>
  </conditionalFormatting>
  <conditionalFormatting sqref="BB194:BB195">
    <cfRule type="cellIs" dxfId="24601" priority="1331" operator="lessThan">
      <formula>0</formula>
    </cfRule>
    <cfRule type="cellIs" dxfId="24600" priority="1332" operator="lessThan">
      <formula>-105575</formula>
    </cfRule>
  </conditionalFormatting>
  <conditionalFormatting sqref="BB194:BB195">
    <cfRule type="cellIs" dxfId="24599" priority="1329" operator="lessThan">
      <formula>0</formula>
    </cfRule>
    <cfRule type="cellIs" dxfId="24598" priority="1330" operator="lessThan">
      <formula>-105575</formula>
    </cfRule>
  </conditionalFormatting>
  <conditionalFormatting sqref="BB194:BB195">
    <cfRule type="cellIs" dxfId="24597" priority="1327" operator="lessThan">
      <formula>0</formula>
    </cfRule>
    <cfRule type="cellIs" dxfId="24596" priority="1328" operator="lessThan">
      <formula>-105575</formula>
    </cfRule>
  </conditionalFormatting>
  <conditionalFormatting sqref="BB199:BB202">
    <cfRule type="cellIs" dxfId="24595" priority="1325" operator="lessThan">
      <formula>0</formula>
    </cfRule>
    <cfRule type="cellIs" dxfId="24594" priority="1326" operator="lessThan">
      <formula>-105575</formula>
    </cfRule>
  </conditionalFormatting>
  <conditionalFormatting sqref="BB199:BB202">
    <cfRule type="cellIs" dxfId="24593" priority="1323" operator="lessThan">
      <formula>0</formula>
    </cfRule>
    <cfRule type="cellIs" dxfId="24592" priority="1324" operator="lessThan">
      <formula>-105575</formula>
    </cfRule>
  </conditionalFormatting>
  <conditionalFormatting sqref="BB199:BB202">
    <cfRule type="cellIs" dxfId="24591" priority="1321" operator="lessThan">
      <formula>0</formula>
    </cfRule>
    <cfRule type="cellIs" dxfId="24590" priority="1322" operator="lessThan">
      <formula>-105575</formula>
    </cfRule>
  </conditionalFormatting>
  <conditionalFormatting sqref="BB204:BB208">
    <cfRule type="cellIs" dxfId="24589" priority="1319" operator="lessThan">
      <formula>0</formula>
    </cfRule>
    <cfRule type="cellIs" dxfId="24588" priority="1320" operator="lessThan">
      <formula>-105575</formula>
    </cfRule>
  </conditionalFormatting>
  <conditionalFormatting sqref="BB204:BB208">
    <cfRule type="cellIs" dxfId="24587" priority="1317" operator="lessThan">
      <formula>0</formula>
    </cfRule>
    <cfRule type="cellIs" dxfId="24586" priority="1318" operator="lessThan">
      <formula>-105575</formula>
    </cfRule>
  </conditionalFormatting>
  <conditionalFormatting sqref="BB204:BB208">
    <cfRule type="cellIs" dxfId="24585" priority="1315" operator="lessThan">
      <formula>0</formula>
    </cfRule>
    <cfRule type="cellIs" dxfId="24584" priority="1316" operator="lessThan">
      <formula>-105575</formula>
    </cfRule>
  </conditionalFormatting>
  <conditionalFormatting sqref="BB210:BB211">
    <cfRule type="cellIs" dxfId="24583" priority="1313" operator="lessThan">
      <formula>0</formula>
    </cfRule>
    <cfRule type="cellIs" dxfId="24582" priority="1314" operator="lessThan">
      <formula>-105575</formula>
    </cfRule>
  </conditionalFormatting>
  <conditionalFormatting sqref="BB210:BB211">
    <cfRule type="cellIs" dxfId="24581" priority="1311" operator="lessThan">
      <formula>0</formula>
    </cfRule>
    <cfRule type="cellIs" dxfId="24580" priority="1312" operator="lessThan">
      <formula>-105575</formula>
    </cfRule>
  </conditionalFormatting>
  <conditionalFormatting sqref="BB210:BB211">
    <cfRule type="cellIs" dxfId="24579" priority="1309" operator="lessThan">
      <formula>0</formula>
    </cfRule>
    <cfRule type="cellIs" dxfId="24578" priority="1310" operator="lessThan">
      <formula>-105575</formula>
    </cfRule>
  </conditionalFormatting>
  <conditionalFormatting sqref="BB214:BB219">
    <cfRule type="cellIs" dxfId="24577" priority="1307" operator="lessThan">
      <formula>0</formula>
    </cfRule>
    <cfRule type="cellIs" dxfId="24576" priority="1308" operator="lessThan">
      <formula>-105575</formula>
    </cfRule>
  </conditionalFormatting>
  <conditionalFormatting sqref="BB214:BB219">
    <cfRule type="cellIs" dxfId="24575" priority="1305" operator="lessThan">
      <formula>0</formula>
    </cfRule>
    <cfRule type="cellIs" dxfId="24574" priority="1306" operator="lessThan">
      <formula>-105575</formula>
    </cfRule>
  </conditionalFormatting>
  <conditionalFormatting sqref="BB214:BB219">
    <cfRule type="cellIs" dxfId="24573" priority="1303" operator="lessThan">
      <formula>0</formula>
    </cfRule>
    <cfRule type="cellIs" dxfId="24572" priority="1304" operator="lessThan">
      <formula>-105575</formula>
    </cfRule>
  </conditionalFormatting>
  <conditionalFormatting sqref="BB222:BB224">
    <cfRule type="cellIs" dxfId="24571" priority="1301" operator="lessThan">
      <formula>0</formula>
    </cfRule>
    <cfRule type="cellIs" dxfId="24570" priority="1302" operator="lessThan">
      <formula>-105575</formula>
    </cfRule>
  </conditionalFormatting>
  <conditionalFormatting sqref="BB222:BB224">
    <cfRule type="cellIs" dxfId="24569" priority="1299" operator="lessThan">
      <formula>0</formula>
    </cfRule>
    <cfRule type="cellIs" dxfId="24568" priority="1300" operator="lessThan">
      <formula>-105575</formula>
    </cfRule>
  </conditionalFormatting>
  <conditionalFormatting sqref="BB222:BB224">
    <cfRule type="cellIs" dxfId="24567" priority="1297" operator="lessThan">
      <formula>0</formula>
    </cfRule>
    <cfRule type="cellIs" dxfId="24566" priority="1298" operator="lessThan">
      <formula>-105575</formula>
    </cfRule>
  </conditionalFormatting>
  <conditionalFormatting sqref="BB227:BB230">
    <cfRule type="cellIs" dxfId="24565" priority="1295" operator="lessThan">
      <formula>0</formula>
    </cfRule>
    <cfRule type="cellIs" dxfId="24564" priority="1296" operator="lessThan">
      <formula>-105575</formula>
    </cfRule>
  </conditionalFormatting>
  <conditionalFormatting sqref="BB227:BB230">
    <cfRule type="cellIs" dxfId="24563" priority="1293" operator="lessThan">
      <formula>0</formula>
    </cfRule>
    <cfRule type="cellIs" dxfId="24562" priority="1294" operator="lessThan">
      <formula>-105575</formula>
    </cfRule>
  </conditionalFormatting>
  <conditionalFormatting sqref="BB227:BB230">
    <cfRule type="cellIs" dxfId="24561" priority="1291" operator="lessThan">
      <formula>0</formula>
    </cfRule>
    <cfRule type="cellIs" dxfId="24560" priority="1292" operator="lessThan">
      <formula>-105575</formula>
    </cfRule>
  </conditionalFormatting>
  <conditionalFormatting sqref="BB246:BB249">
    <cfRule type="cellIs" dxfId="24559" priority="1289" operator="lessThan">
      <formula>0</formula>
    </cfRule>
    <cfRule type="cellIs" dxfId="24558" priority="1290" operator="lessThan">
      <formula>-105575</formula>
    </cfRule>
  </conditionalFormatting>
  <conditionalFormatting sqref="BB246:BB249">
    <cfRule type="cellIs" dxfId="24557" priority="1287" operator="lessThan">
      <formula>0</formula>
    </cfRule>
    <cfRule type="cellIs" dxfId="24556" priority="1288" operator="lessThan">
      <formula>-105575</formula>
    </cfRule>
  </conditionalFormatting>
  <conditionalFormatting sqref="BB246:BB249">
    <cfRule type="cellIs" dxfId="24555" priority="1285" operator="lessThan">
      <formula>0</formula>
    </cfRule>
    <cfRule type="cellIs" dxfId="24554" priority="1286" operator="lessThan">
      <formula>-105575</formula>
    </cfRule>
  </conditionalFormatting>
  <conditionalFormatting sqref="BB246:BB249">
    <cfRule type="cellIs" dxfId="24553" priority="1283" operator="lessThan">
      <formula>0</formula>
    </cfRule>
    <cfRule type="cellIs" dxfId="24552" priority="1284" operator="lessThan">
      <formula>-105575</formula>
    </cfRule>
  </conditionalFormatting>
  <conditionalFormatting sqref="BB246:BB249">
    <cfRule type="cellIs" dxfId="24551" priority="1281" operator="lessThan">
      <formula>0</formula>
    </cfRule>
    <cfRule type="cellIs" dxfId="24550" priority="1282" operator="lessThan">
      <formula>-105575</formula>
    </cfRule>
  </conditionalFormatting>
  <conditionalFormatting sqref="BB246:BB249">
    <cfRule type="cellIs" dxfId="24549" priority="1279" operator="lessThan">
      <formula>0</formula>
    </cfRule>
    <cfRule type="cellIs" dxfId="24548" priority="1280" operator="lessThan">
      <formula>-105575</formula>
    </cfRule>
  </conditionalFormatting>
  <conditionalFormatting sqref="BB246:BB249">
    <cfRule type="cellIs" dxfId="24547" priority="1277" operator="lessThan">
      <formula>0</formula>
    </cfRule>
    <cfRule type="cellIs" dxfId="24546" priority="1278" operator="lessThan">
      <formula>-105575</formula>
    </cfRule>
  </conditionalFormatting>
  <conditionalFormatting sqref="BB246:BB249">
    <cfRule type="cellIs" dxfId="24545" priority="1275" operator="lessThan">
      <formula>0</formula>
    </cfRule>
    <cfRule type="cellIs" dxfId="24544" priority="1276" operator="lessThan">
      <formula>-105575</formula>
    </cfRule>
  </conditionalFormatting>
  <conditionalFormatting sqref="BB246:BB249">
    <cfRule type="cellIs" dxfId="24543" priority="1273" operator="lessThan">
      <formula>0</formula>
    </cfRule>
    <cfRule type="cellIs" dxfId="24542" priority="1274" operator="lessThan">
      <formula>-105575</formula>
    </cfRule>
  </conditionalFormatting>
  <conditionalFormatting sqref="BB251:BB253">
    <cfRule type="cellIs" dxfId="24541" priority="1271" operator="lessThan">
      <formula>0</formula>
    </cfRule>
    <cfRule type="cellIs" dxfId="24540" priority="1272" operator="lessThan">
      <formula>-105575</formula>
    </cfRule>
  </conditionalFormatting>
  <conditionalFormatting sqref="BB251:BB253">
    <cfRule type="cellIs" dxfId="24539" priority="1269" operator="lessThan">
      <formula>0</formula>
    </cfRule>
    <cfRule type="cellIs" dxfId="24538" priority="1270" operator="lessThan">
      <formula>-105575</formula>
    </cfRule>
  </conditionalFormatting>
  <conditionalFormatting sqref="BB251:BB253">
    <cfRule type="cellIs" dxfId="24537" priority="1267" operator="lessThan">
      <formula>0</formula>
    </cfRule>
    <cfRule type="cellIs" dxfId="24536" priority="1268" operator="lessThan">
      <formula>-105575</formula>
    </cfRule>
  </conditionalFormatting>
  <conditionalFormatting sqref="BB251:BB253">
    <cfRule type="cellIs" dxfId="24535" priority="1265" operator="lessThan">
      <formula>0</formula>
    </cfRule>
    <cfRule type="cellIs" dxfId="24534" priority="1266" operator="lessThan">
      <formula>-105575</formula>
    </cfRule>
  </conditionalFormatting>
  <conditionalFormatting sqref="BB251:BB253">
    <cfRule type="cellIs" dxfId="24533" priority="1263" operator="lessThan">
      <formula>0</formula>
    </cfRule>
    <cfRule type="cellIs" dxfId="24532" priority="1264" operator="lessThan">
      <formula>-105575</formula>
    </cfRule>
  </conditionalFormatting>
  <conditionalFormatting sqref="BB251:BB253">
    <cfRule type="cellIs" dxfId="24531" priority="1261" operator="lessThan">
      <formula>0</formula>
    </cfRule>
    <cfRule type="cellIs" dxfId="24530" priority="1262" operator="lessThan">
      <formula>-105575</formula>
    </cfRule>
  </conditionalFormatting>
  <conditionalFormatting sqref="BB251:BB253">
    <cfRule type="cellIs" dxfId="24529" priority="1259" operator="lessThan">
      <formula>0</formula>
    </cfRule>
    <cfRule type="cellIs" dxfId="24528" priority="1260" operator="lessThan">
      <formula>-105575</formula>
    </cfRule>
  </conditionalFormatting>
  <conditionalFormatting sqref="BB251:BB253">
    <cfRule type="cellIs" dxfId="24527" priority="1257" operator="lessThan">
      <formula>0</formula>
    </cfRule>
    <cfRule type="cellIs" dxfId="24526" priority="1258" operator="lessThan">
      <formula>-105575</formula>
    </cfRule>
  </conditionalFormatting>
  <conditionalFormatting sqref="BB251:BB253">
    <cfRule type="cellIs" dxfId="24525" priority="1255" operator="lessThan">
      <formula>0</formula>
    </cfRule>
    <cfRule type="cellIs" dxfId="24524" priority="1256" operator="lessThan">
      <formula>-105575</formula>
    </cfRule>
  </conditionalFormatting>
  <conditionalFormatting sqref="BB255:BB257">
    <cfRule type="cellIs" dxfId="24523" priority="1253" operator="lessThan">
      <formula>0</formula>
    </cfRule>
    <cfRule type="cellIs" dxfId="24522" priority="1254" operator="lessThan">
      <formula>-105575</formula>
    </cfRule>
  </conditionalFormatting>
  <conditionalFormatting sqref="BB255:BB257">
    <cfRule type="cellIs" dxfId="24521" priority="1251" operator="lessThan">
      <formula>0</formula>
    </cfRule>
    <cfRule type="cellIs" dxfId="24520" priority="1252" operator="lessThan">
      <formula>-105575</formula>
    </cfRule>
  </conditionalFormatting>
  <conditionalFormatting sqref="BB255:BB257">
    <cfRule type="cellIs" dxfId="24519" priority="1249" operator="lessThan">
      <formula>0</formula>
    </cfRule>
    <cfRule type="cellIs" dxfId="24518" priority="1250" operator="lessThan">
      <formula>-105575</formula>
    </cfRule>
  </conditionalFormatting>
  <conditionalFormatting sqref="BB255:BB257">
    <cfRule type="cellIs" dxfId="24517" priority="1247" operator="lessThan">
      <formula>0</formula>
    </cfRule>
    <cfRule type="cellIs" dxfId="24516" priority="1248" operator="lessThan">
      <formula>-105575</formula>
    </cfRule>
  </conditionalFormatting>
  <conditionalFormatting sqref="BB255:BB257">
    <cfRule type="cellIs" dxfId="24515" priority="1245" operator="lessThan">
      <formula>0</formula>
    </cfRule>
    <cfRule type="cellIs" dxfId="24514" priority="1246" operator="lessThan">
      <formula>-105575</formula>
    </cfRule>
  </conditionalFormatting>
  <conditionalFormatting sqref="BB255:BB257">
    <cfRule type="cellIs" dxfId="24513" priority="1243" operator="lessThan">
      <formula>0</formula>
    </cfRule>
    <cfRule type="cellIs" dxfId="24512" priority="1244" operator="lessThan">
      <formula>-105575</formula>
    </cfRule>
  </conditionalFormatting>
  <conditionalFormatting sqref="BB255:BB257">
    <cfRule type="cellIs" dxfId="24511" priority="1241" operator="lessThan">
      <formula>0</formula>
    </cfRule>
    <cfRule type="cellIs" dxfId="24510" priority="1242" operator="lessThan">
      <formula>-105575</formula>
    </cfRule>
  </conditionalFormatting>
  <conditionalFormatting sqref="BB255:BB257">
    <cfRule type="cellIs" dxfId="24509" priority="1239" operator="lessThan">
      <formula>0</formula>
    </cfRule>
    <cfRule type="cellIs" dxfId="24508" priority="1240" operator="lessThan">
      <formula>-105575</formula>
    </cfRule>
  </conditionalFormatting>
  <conditionalFormatting sqref="BB255:BB257">
    <cfRule type="cellIs" dxfId="24507" priority="1237" operator="lessThan">
      <formula>0</formula>
    </cfRule>
    <cfRule type="cellIs" dxfId="24506" priority="1238" operator="lessThan">
      <formula>-105575</formula>
    </cfRule>
  </conditionalFormatting>
  <conditionalFormatting sqref="BB260:BB262">
    <cfRule type="cellIs" dxfId="24505" priority="1235" operator="lessThan">
      <formula>0</formula>
    </cfRule>
    <cfRule type="cellIs" dxfId="24504" priority="1236" operator="lessThan">
      <formula>-105575</formula>
    </cfRule>
  </conditionalFormatting>
  <conditionalFormatting sqref="BB260:BB262">
    <cfRule type="cellIs" dxfId="24503" priority="1233" operator="lessThan">
      <formula>0</formula>
    </cfRule>
    <cfRule type="cellIs" dxfId="24502" priority="1234" operator="lessThan">
      <formula>-105575</formula>
    </cfRule>
  </conditionalFormatting>
  <conditionalFormatting sqref="BB260:BB262">
    <cfRule type="cellIs" dxfId="24501" priority="1231" operator="lessThan">
      <formula>0</formula>
    </cfRule>
    <cfRule type="cellIs" dxfId="24500" priority="1232" operator="lessThan">
      <formula>-105575</formula>
    </cfRule>
  </conditionalFormatting>
  <conditionalFormatting sqref="BB260:BB262">
    <cfRule type="cellIs" dxfId="24499" priority="1229" operator="lessThan">
      <formula>0</formula>
    </cfRule>
    <cfRule type="cellIs" dxfId="24498" priority="1230" operator="lessThan">
      <formula>-105575</formula>
    </cfRule>
  </conditionalFormatting>
  <conditionalFormatting sqref="BB260:BB262">
    <cfRule type="cellIs" dxfId="24497" priority="1227" operator="lessThan">
      <formula>0</formula>
    </cfRule>
    <cfRule type="cellIs" dxfId="24496" priority="1228" operator="lessThan">
      <formula>-105575</formula>
    </cfRule>
  </conditionalFormatting>
  <conditionalFormatting sqref="BB260:BB262">
    <cfRule type="cellIs" dxfId="24495" priority="1225" operator="lessThan">
      <formula>0</formula>
    </cfRule>
    <cfRule type="cellIs" dxfId="24494" priority="1226" operator="lessThan">
      <formula>-105575</formula>
    </cfRule>
  </conditionalFormatting>
  <conditionalFormatting sqref="BB260:BB262">
    <cfRule type="cellIs" dxfId="24493" priority="1223" operator="lessThan">
      <formula>0</formula>
    </cfRule>
    <cfRule type="cellIs" dxfId="24492" priority="1224" operator="lessThan">
      <formula>-105575</formula>
    </cfRule>
  </conditionalFormatting>
  <conditionalFormatting sqref="BB260:BB262">
    <cfRule type="cellIs" dxfId="24491" priority="1221" operator="lessThan">
      <formula>0</formula>
    </cfRule>
    <cfRule type="cellIs" dxfId="24490" priority="1222" operator="lessThan">
      <formula>-105575</formula>
    </cfRule>
  </conditionalFormatting>
  <conditionalFormatting sqref="BB260:BB262">
    <cfRule type="cellIs" dxfId="24489" priority="1219" operator="lessThan">
      <formula>0</formula>
    </cfRule>
    <cfRule type="cellIs" dxfId="24488" priority="1220" operator="lessThan">
      <formula>-105575</formula>
    </cfRule>
  </conditionalFormatting>
  <conditionalFormatting sqref="BB264:BB267">
    <cfRule type="cellIs" dxfId="24487" priority="1217" operator="lessThan">
      <formula>0</formula>
    </cfRule>
    <cfRule type="cellIs" dxfId="24486" priority="1218" operator="lessThan">
      <formula>-105575</formula>
    </cfRule>
  </conditionalFormatting>
  <conditionalFormatting sqref="BB264:BB267">
    <cfRule type="cellIs" dxfId="24485" priority="1215" operator="lessThan">
      <formula>0</formula>
    </cfRule>
    <cfRule type="cellIs" dxfId="24484" priority="1216" operator="lessThan">
      <formula>-105575</formula>
    </cfRule>
  </conditionalFormatting>
  <conditionalFormatting sqref="BB264:BB267">
    <cfRule type="cellIs" dxfId="24483" priority="1213" operator="lessThan">
      <formula>0</formula>
    </cfRule>
    <cfRule type="cellIs" dxfId="24482" priority="1214" operator="lessThan">
      <formula>-105575</formula>
    </cfRule>
  </conditionalFormatting>
  <conditionalFormatting sqref="BB264:BB267">
    <cfRule type="cellIs" dxfId="24481" priority="1211" operator="lessThan">
      <formula>0</formula>
    </cfRule>
    <cfRule type="cellIs" dxfId="24480" priority="1212" operator="lessThan">
      <formula>-105575</formula>
    </cfRule>
  </conditionalFormatting>
  <conditionalFormatting sqref="BB264:BB267">
    <cfRule type="cellIs" dxfId="24479" priority="1209" operator="lessThan">
      <formula>0</formula>
    </cfRule>
    <cfRule type="cellIs" dxfId="24478" priority="1210" operator="lessThan">
      <formula>-105575</formula>
    </cfRule>
  </conditionalFormatting>
  <conditionalFormatting sqref="BB264:BB267">
    <cfRule type="cellIs" dxfId="24477" priority="1207" operator="lessThan">
      <formula>0</formula>
    </cfRule>
    <cfRule type="cellIs" dxfId="24476" priority="1208" operator="lessThan">
      <formula>-105575</formula>
    </cfRule>
  </conditionalFormatting>
  <conditionalFormatting sqref="BB264:BB267">
    <cfRule type="cellIs" dxfId="24475" priority="1205" operator="lessThan">
      <formula>0</formula>
    </cfRule>
    <cfRule type="cellIs" dxfId="24474" priority="1206" operator="lessThan">
      <formula>-105575</formula>
    </cfRule>
  </conditionalFormatting>
  <conditionalFormatting sqref="BB264:BB267">
    <cfRule type="cellIs" dxfId="24473" priority="1203" operator="lessThan">
      <formula>0</formula>
    </cfRule>
    <cfRule type="cellIs" dxfId="24472" priority="1204" operator="lessThan">
      <formula>-105575</formula>
    </cfRule>
  </conditionalFormatting>
  <conditionalFormatting sqref="BB264:BB267">
    <cfRule type="cellIs" dxfId="24471" priority="1201" operator="lessThan">
      <formula>0</formula>
    </cfRule>
    <cfRule type="cellIs" dxfId="24470" priority="1202" operator="lessThan">
      <formula>-105575</formula>
    </cfRule>
  </conditionalFormatting>
  <conditionalFormatting sqref="BB270:BB272">
    <cfRule type="cellIs" dxfId="24469" priority="1199" operator="lessThan">
      <formula>0</formula>
    </cfRule>
    <cfRule type="cellIs" dxfId="24468" priority="1200" operator="lessThan">
      <formula>-105575</formula>
    </cfRule>
  </conditionalFormatting>
  <conditionalFormatting sqref="BB270:BB272">
    <cfRule type="cellIs" dxfId="24467" priority="1197" operator="lessThan">
      <formula>0</formula>
    </cfRule>
    <cfRule type="cellIs" dxfId="24466" priority="1198" operator="lessThan">
      <formula>-105575</formula>
    </cfRule>
  </conditionalFormatting>
  <conditionalFormatting sqref="BB270:BB272">
    <cfRule type="cellIs" dxfId="24465" priority="1195" operator="lessThan">
      <formula>0</formula>
    </cfRule>
    <cfRule type="cellIs" dxfId="24464" priority="1196" operator="lessThan">
      <formula>-105575</formula>
    </cfRule>
  </conditionalFormatting>
  <conditionalFormatting sqref="BB270:BB272">
    <cfRule type="cellIs" dxfId="24463" priority="1193" operator="lessThan">
      <formula>0</formula>
    </cfRule>
    <cfRule type="cellIs" dxfId="24462" priority="1194" operator="lessThan">
      <formula>-105575</formula>
    </cfRule>
  </conditionalFormatting>
  <conditionalFormatting sqref="BB270:BB272">
    <cfRule type="cellIs" dxfId="24461" priority="1191" operator="lessThan">
      <formula>0</formula>
    </cfRule>
    <cfRule type="cellIs" dxfId="24460" priority="1192" operator="lessThan">
      <formula>-105575</formula>
    </cfRule>
  </conditionalFormatting>
  <conditionalFormatting sqref="BB270:BB272">
    <cfRule type="cellIs" dxfId="24459" priority="1189" operator="lessThan">
      <formula>0</formula>
    </cfRule>
    <cfRule type="cellIs" dxfId="24458" priority="1190" operator="lessThan">
      <formula>-105575</formula>
    </cfRule>
  </conditionalFormatting>
  <conditionalFormatting sqref="BB270:BB272">
    <cfRule type="cellIs" dxfId="24457" priority="1187" operator="lessThan">
      <formula>0</formula>
    </cfRule>
    <cfRule type="cellIs" dxfId="24456" priority="1188" operator="lessThan">
      <formula>-105575</formula>
    </cfRule>
  </conditionalFormatting>
  <conditionalFormatting sqref="BB270:BB272">
    <cfRule type="cellIs" dxfId="24455" priority="1185" operator="lessThan">
      <formula>0</formula>
    </cfRule>
    <cfRule type="cellIs" dxfId="24454" priority="1186" operator="lessThan">
      <formula>-105575</formula>
    </cfRule>
  </conditionalFormatting>
  <conditionalFormatting sqref="BB270:BB272">
    <cfRule type="cellIs" dxfId="24453" priority="1183" operator="lessThan">
      <formula>0</formula>
    </cfRule>
    <cfRule type="cellIs" dxfId="24452" priority="1184" operator="lessThan">
      <formula>-105575</formula>
    </cfRule>
  </conditionalFormatting>
  <conditionalFormatting sqref="BB274:BB275">
    <cfRule type="cellIs" dxfId="24451" priority="1181" operator="lessThan">
      <formula>0</formula>
    </cfRule>
    <cfRule type="cellIs" dxfId="24450" priority="1182" operator="lessThan">
      <formula>-105575</formula>
    </cfRule>
  </conditionalFormatting>
  <conditionalFormatting sqref="BB274:BB275">
    <cfRule type="cellIs" dxfId="24449" priority="1179" operator="lessThan">
      <formula>0</formula>
    </cfRule>
    <cfRule type="cellIs" dxfId="24448" priority="1180" operator="lessThan">
      <formula>-105575</formula>
    </cfRule>
  </conditionalFormatting>
  <conditionalFormatting sqref="BB274:BB275">
    <cfRule type="cellIs" dxfId="24447" priority="1177" operator="lessThan">
      <formula>0</formula>
    </cfRule>
    <cfRule type="cellIs" dxfId="24446" priority="1178" operator="lessThan">
      <formula>-105575</formula>
    </cfRule>
  </conditionalFormatting>
  <conditionalFormatting sqref="BB274:BB275">
    <cfRule type="cellIs" dxfId="24445" priority="1175" operator="lessThan">
      <formula>0</formula>
    </cfRule>
    <cfRule type="cellIs" dxfId="24444" priority="1176" operator="lessThan">
      <formula>-105575</formula>
    </cfRule>
  </conditionalFormatting>
  <conditionalFormatting sqref="BB274:BB275">
    <cfRule type="cellIs" dxfId="24443" priority="1173" operator="lessThan">
      <formula>0</formula>
    </cfRule>
    <cfRule type="cellIs" dxfId="24442" priority="1174" operator="lessThan">
      <formula>-105575</formula>
    </cfRule>
  </conditionalFormatting>
  <conditionalFormatting sqref="BB274:BB275">
    <cfRule type="cellIs" dxfId="24441" priority="1171" operator="lessThan">
      <formula>0</formula>
    </cfRule>
    <cfRule type="cellIs" dxfId="24440" priority="1172" operator="lessThan">
      <formula>-105575</formula>
    </cfRule>
  </conditionalFormatting>
  <conditionalFormatting sqref="BB274:BB275">
    <cfRule type="cellIs" dxfId="24439" priority="1169" operator="lessThan">
      <formula>0</formula>
    </cfRule>
    <cfRule type="cellIs" dxfId="24438" priority="1170" operator="lessThan">
      <formula>-105575</formula>
    </cfRule>
  </conditionalFormatting>
  <conditionalFormatting sqref="BB274:BB275">
    <cfRule type="cellIs" dxfId="24437" priority="1167" operator="lessThan">
      <formula>0</formula>
    </cfRule>
    <cfRule type="cellIs" dxfId="24436" priority="1168" operator="lessThan">
      <formula>-105575</formula>
    </cfRule>
  </conditionalFormatting>
  <conditionalFormatting sqref="BB274:BB275">
    <cfRule type="cellIs" dxfId="24435" priority="1165" operator="lessThan">
      <formula>0</formula>
    </cfRule>
    <cfRule type="cellIs" dxfId="24434" priority="1166" operator="lessThan">
      <formula>-105575</formula>
    </cfRule>
  </conditionalFormatting>
  <conditionalFormatting sqref="BB278:BB282">
    <cfRule type="cellIs" dxfId="24433" priority="1163" operator="lessThan">
      <formula>0</formula>
    </cfRule>
    <cfRule type="cellIs" dxfId="24432" priority="1164" operator="lessThan">
      <formula>-105575</formula>
    </cfRule>
  </conditionalFormatting>
  <conditionalFormatting sqref="BB278:BB282">
    <cfRule type="cellIs" dxfId="24431" priority="1161" operator="lessThan">
      <formula>0</formula>
    </cfRule>
    <cfRule type="cellIs" dxfId="24430" priority="1162" operator="lessThan">
      <formula>-105575</formula>
    </cfRule>
  </conditionalFormatting>
  <conditionalFormatting sqref="BB278:BB282">
    <cfRule type="cellIs" dxfId="24429" priority="1159" operator="lessThan">
      <formula>0</formula>
    </cfRule>
    <cfRule type="cellIs" dxfId="24428" priority="1160" operator="lessThan">
      <formula>-105575</formula>
    </cfRule>
  </conditionalFormatting>
  <conditionalFormatting sqref="BB278:BB282">
    <cfRule type="cellIs" dxfId="24427" priority="1157" operator="lessThan">
      <formula>0</formula>
    </cfRule>
    <cfRule type="cellIs" dxfId="24426" priority="1158" operator="lessThan">
      <formula>-105575</formula>
    </cfRule>
  </conditionalFormatting>
  <conditionalFormatting sqref="BB278:BB282">
    <cfRule type="cellIs" dxfId="24425" priority="1155" operator="lessThan">
      <formula>0</formula>
    </cfRule>
    <cfRule type="cellIs" dxfId="24424" priority="1156" operator="lessThan">
      <formula>-105575</formula>
    </cfRule>
  </conditionalFormatting>
  <conditionalFormatting sqref="BB278:BB282">
    <cfRule type="cellIs" dxfId="24423" priority="1153" operator="lessThan">
      <formula>0</formula>
    </cfRule>
    <cfRule type="cellIs" dxfId="24422" priority="1154" operator="lessThan">
      <formula>-105575</formula>
    </cfRule>
  </conditionalFormatting>
  <conditionalFormatting sqref="BB278:BB282">
    <cfRule type="cellIs" dxfId="24421" priority="1151" operator="lessThan">
      <formula>0</formula>
    </cfRule>
    <cfRule type="cellIs" dxfId="24420" priority="1152" operator="lessThan">
      <formula>-105575</formula>
    </cfRule>
  </conditionalFormatting>
  <conditionalFormatting sqref="BB278:BB282">
    <cfRule type="cellIs" dxfId="24419" priority="1149" operator="lessThan">
      <formula>0</formula>
    </cfRule>
    <cfRule type="cellIs" dxfId="24418" priority="1150" operator="lessThan">
      <formula>-105575</formula>
    </cfRule>
  </conditionalFormatting>
  <conditionalFormatting sqref="BB278:BB282">
    <cfRule type="cellIs" dxfId="24417" priority="1147" operator="lessThan">
      <formula>0</formula>
    </cfRule>
    <cfRule type="cellIs" dxfId="24416" priority="1148" operator="lessThan">
      <formula>-105575</formula>
    </cfRule>
  </conditionalFormatting>
  <conditionalFormatting sqref="BB285:BB288">
    <cfRule type="cellIs" dxfId="24415" priority="1145" operator="lessThan">
      <formula>0</formula>
    </cfRule>
    <cfRule type="cellIs" dxfId="24414" priority="1146" operator="lessThan">
      <formula>-105575</formula>
    </cfRule>
  </conditionalFormatting>
  <conditionalFormatting sqref="BB285:BB288">
    <cfRule type="cellIs" dxfId="24413" priority="1143" operator="lessThan">
      <formula>0</formula>
    </cfRule>
    <cfRule type="cellIs" dxfId="24412" priority="1144" operator="lessThan">
      <formula>-105575</formula>
    </cfRule>
  </conditionalFormatting>
  <conditionalFormatting sqref="BB285:BB288">
    <cfRule type="cellIs" dxfId="24411" priority="1141" operator="lessThan">
      <formula>0</formula>
    </cfRule>
    <cfRule type="cellIs" dxfId="24410" priority="1142" operator="lessThan">
      <formula>-105575</formula>
    </cfRule>
  </conditionalFormatting>
  <conditionalFormatting sqref="BB285:BB288">
    <cfRule type="cellIs" dxfId="24409" priority="1139" operator="lessThan">
      <formula>0</formula>
    </cfRule>
    <cfRule type="cellIs" dxfId="24408" priority="1140" operator="lessThan">
      <formula>-105575</formula>
    </cfRule>
  </conditionalFormatting>
  <conditionalFormatting sqref="BB285:BB288">
    <cfRule type="cellIs" dxfId="24407" priority="1137" operator="lessThan">
      <formula>0</formula>
    </cfRule>
    <cfRule type="cellIs" dxfId="24406" priority="1138" operator="lessThan">
      <formula>-105575</formula>
    </cfRule>
  </conditionalFormatting>
  <conditionalFormatting sqref="BB285:BB288">
    <cfRule type="cellIs" dxfId="24405" priority="1135" operator="lessThan">
      <formula>0</formula>
    </cfRule>
    <cfRule type="cellIs" dxfId="24404" priority="1136" operator="lessThan">
      <formula>-105575</formula>
    </cfRule>
  </conditionalFormatting>
  <conditionalFormatting sqref="BB285:BB288">
    <cfRule type="cellIs" dxfId="24403" priority="1133" operator="lessThan">
      <formula>0</formula>
    </cfRule>
    <cfRule type="cellIs" dxfId="24402" priority="1134" operator="lessThan">
      <formula>-105575</formula>
    </cfRule>
  </conditionalFormatting>
  <conditionalFormatting sqref="BB285:BB288">
    <cfRule type="cellIs" dxfId="24401" priority="1131" operator="lessThan">
      <formula>0</formula>
    </cfRule>
    <cfRule type="cellIs" dxfId="24400" priority="1132" operator="lessThan">
      <formula>-105575</formula>
    </cfRule>
  </conditionalFormatting>
  <conditionalFormatting sqref="BB285:BB288">
    <cfRule type="cellIs" dxfId="24399" priority="1129" operator="lessThan">
      <formula>0</formula>
    </cfRule>
    <cfRule type="cellIs" dxfId="24398" priority="1130" operator="lessThan">
      <formula>-105575</formula>
    </cfRule>
  </conditionalFormatting>
  <conditionalFormatting sqref="BB203 BB220:BB221 BB235:BB243 BB231:BB233 BB212:BB213 BB225:BB226">
    <cfRule type="cellIs" dxfId="24397" priority="1127" operator="lessThan">
      <formula>0</formula>
    </cfRule>
    <cfRule type="cellIs" dxfId="24396" priority="1128" operator="lessThan">
      <formula>-105575</formula>
    </cfRule>
  </conditionalFormatting>
  <conditionalFormatting sqref="BB220 BB212:BB213 BB235:BB238 BB240:BB243 BB225:BB226 BB231:BB233">
    <cfRule type="cellIs" dxfId="24395" priority="1125" operator="lessThan">
      <formula>0</formula>
    </cfRule>
    <cfRule type="cellIs" dxfId="24394" priority="1126" operator="lessThan">
      <formula>-105575</formula>
    </cfRule>
  </conditionalFormatting>
  <conditionalFormatting sqref="BB220:BB221 BB243 BB226 BB231:BB236 BB238:BB241 BB203 BB213">
    <cfRule type="cellIs" dxfId="24393" priority="1123" operator="lessThan">
      <formula>0</formula>
    </cfRule>
    <cfRule type="cellIs" dxfId="24392" priority="1124" operator="lessThan">
      <formula>-105575</formula>
    </cfRule>
  </conditionalFormatting>
  <conditionalFormatting sqref="BB235:BB243 BB231:BB233 BB220 BB212:BB213 BB225:BB226">
    <cfRule type="cellIs" dxfId="24391" priority="1121" operator="lessThan">
      <formula>0</formula>
    </cfRule>
    <cfRule type="cellIs" dxfId="24390" priority="1122" operator="lessThan">
      <formula>-105575</formula>
    </cfRule>
  </conditionalFormatting>
  <conditionalFormatting sqref="BB220:BB221 BB237:BB243 BB203 BB231:BB235 BB212:BB213 BB225:BB226">
    <cfRule type="cellIs" dxfId="24389" priority="1119" operator="lessThan">
      <formula>0</formula>
    </cfRule>
    <cfRule type="cellIs" dxfId="24388" priority="1120" operator="lessThan">
      <formula>-105575</formula>
    </cfRule>
  </conditionalFormatting>
  <conditionalFormatting sqref="BB220:BB221 BB237:BB240 BB242:BB243 BB225:BB226 BB231:BB235">
    <cfRule type="cellIs" dxfId="24387" priority="1117" operator="lessThan">
      <formula>0</formula>
    </cfRule>
    <cfRule type="cellIs" dxfId="24386" priority="1118" operator="lessThan">
      <formula>-105575</formula>
    </cfRule>
  </conditionalFormatting>
  <conditionalFormatting sqref="BB212 BB231 BB233:BB238 BB240:BB243 BB225">
    <cfRule type="cellIs" dxfId="24385" priority="1115" operator="lessThan">
      <formula>0</formula>
    </cfRule>
    <cfRule type="cellIs" dxfId="24384" priority="1116" operator="lessThan">
      <formula>-105575</formula>
    </cfRule>
  </conditionalFormatting>
  <conditionalFormatting sqref="BB237:BB243 BB231:BB235 BB220:BB221 BB225:BB226">
    <cfRule type="cellIs" dxfId="24383" priority="1113" operator="lessThan">
      <formula>0</formula>
    </cfRule>
    <cfRule type="cellIs" dxfId="24382" priority="1114" operator="lessThan">
      <formula>-105575</formula>
    </cfRule>
  </conditionalFormatting>
  <conditionalFormatting sqref="BB233:BB237 BB231 BB239:BB243">
    <cfRule type="cellIs" dxfId="24381" priority="1111" operator="lessThan">
      <formula>0</formula>
    </cfRule>
    <cfRule type="cellIs" dxfId="24380" priority="1112" operator="lessThan">
      <formula>-105575</formula>
    </cfRule>
  </conditionalFormatting>
  <conditionalFormatting sqref="BB233:BB237 BB231 BB239:BB243">
    <cfRule type="cellIs" dxfId="24379" priority="1109" operator="lessThan">
      <formula>0</formula>
    </cfRule>
    <cfRule type="cellIs" dxfId="24378" priority="1110" operator="lessThan">
      <formula>-105575</formula>
    </cfRule>
  </conditionalFormatting>
  <conditionalFormatting sqref="BB119:BB128 BB106:BB117 BB101:BB104 BB80:BB98">
    <cfRule type="cellIs" dxfId="24377" priority="1107" operator="lessThan">
      <formula>0</formula>
    </cfRule>
    <cfRule type="cellIs" dxfId="24376" priority="1108" operator="lessThan">
      <formula>-105575</formula>
    </cfRule>
  </conditionalFormatting>
  <conditionalFormatting sqref="BB130 BB132 BB134">
    <cfRule type="cellIs" dxfId="24375" priority="1105" operator="lessThan">
      <formula>0</formula>
    </cfRule>
    <cfRule type="cellIs" dxfId="24374" priority="1106" operator="lessThan">
      <formula>-105575</formula>
    </cfRule>
  </conditionalFormatting>
  <conditionalFormatting sqref="BB130 BB132 BB134">
    <cfRule type="cellIs" dxfId="24373" priority="1103" operator="lessThan">
      <formula>0</formula>
    </cfRule>
    <cfRule type="cellIs" dxfId="24372" priority="1104" operator="lessThan">
      <formula>-105575</formula>
    </cfRule>
  </conditionalFormatting>
  <conditionalFormatting sqref="BB129 BB131 BB133 BB135">
    <cfRule type="cellIs" dxfId="24371" priority="1101" operator="lessThan">
      <formula>0</formula>
    </cfRule>
    <cfRule type="cellIs" dxfId="24370" priority="1102" operator="lessThan">
      <formula>-105575</formula>
    </cfRule>
  </conditionalFormatting>
  <conditionalFormatting sqref="BB140 BB145 BB142:BB143 BB137:BB138">
    <cfRule type="cellIs" dxfId="24369" priority="1099" operator="lessThan">
      <formula>0</formula>
    </cfRule>
    <cfRule type="cellIs" dxfId="24368" priority="1100" operator="lessThan">
      <formula>-105575</formula>
    </cfRule>
  </conditionalFormatting>
  <conditionalFormatting sqref="BB149">
    <cfRule type="cellIs" dxfId="24367" priority="1097" operator="lessThan">
      <formula>0</formula>
    </cfRule>
    <cfRule type="cellIs" dxfId="24366" priority="1098" operator="lessThan">
      <formula>-105575</formula>
    </cfRule>
  </conditionalFormatting>
  <conditionalFormatting sqref="BB129:BB138 BB140:BB149">
    <cfRule type="cellIs" dxfId="24365" priority="1095" operator="lessThan">
      <formula>0</formula>
    </cfRule>
    <cfRule type="cellIs" dxfId="24364" priority="1096" operator="lessThan">
      <formula>-105575</formula>
    </cfRule>
  </conditionalFormatting>
  <conditionalFormatting sqref="BB94:BB98 BB86:BB87 BB89:BB91 BB141:BB149 BB124:BB133 BB107:BB110 BB112:BB117 BB119:BB122 BB135:BB138 BB101:BB104 BB80:BB84">
    <cfRule type="cellIs" dxfId="24363" priority="1093" operator="lessThan">
      <formula>0</formula>
    </cfRule>
    <cfRule type="cellIs" dxfId="24362" priority="1094" operator="lessThan">
      <formula>-105575</formula>
    </cfRule>
  </conditionalFormatting>
  <conditionalFormatting sqref="BB129 BB131 BB133 BB135">
    <cfRule type="cellIs" dxfId="24361" priority="1091" operator="lessThan">
      <formula>0</formula>
    </cfRule>
    <cfRule type="cellIs" dxfId="24360" priority="1092" operator="lessThan">
      <formula>-105575</formula>
    </cfRule>
  </conditionalFormatting>
  <conditionalFormatting sqref="BB146 BB144 BB141">
    <cfRule type="cellIs" dxfId="24359" priority="1089" operator="lessThan">
      <formula>0</formula>
    </cfRule>
    <cfRule type="cellIs" dxfId="24358" priority="1090" operator="lessThan">
      <formula>-105575</formula>
    </cfRule>
  </conditionalFormatting>
  <conditionalFormatting sqref="BB146 BB144 BB141">
    <cfRule type="cellIs" dxfId="24357" priority="1087" operator="lessThan">
      <formula>0</formula>
    </cfRule>
    <cfRule type="cellIs" dxfId="24356" priority="1088" operator="lessThan">
      <formula>-105575</formula>
    </cfRule>
  </conditionalFormatting>
  <conditionalFormatting sqref="BB140 BB145 BB142:BB143 BB137:BB138">
    <cfRule type="cellIs" dxfId="24355" priority="1085" operator="lessThan">
      <formula>0</formula>
    </cfRule>
    <cfRule type="cellIs" dxfId="24354" priority="1086" operator="lessThan">
      <formula>-105575</formula>
    </cfRule>
  </conditionalFormatting>
  <conditionalFormatting sqref="BB149">
    <cfRule type="cellIs" dxfId="24353" priority="1083" operator="lessThan">
      <formula>0</formula>
    </cfRule>
    <cfRule type="cellIs" dxfId="24352" priority="1084" operator="lessThan">
      <formula>-105575</formula>
    </cfRule>
  </conditionalFormatting>
  <conditionalFormatting sqref="BB94:BB98 BB86:BB87 BB89:BB91 BB141:BB149 BB124:BB133 BB107:BB110 BB112:BB117 BB119:BB122 BB135:BB138 BB101:BB104 BB80:BB84">
    <cfRule type="cellIs" dxfId="24351" priority="1081" operator="lessThan">
      <formula>0</formula>
    </cfRule>
    <cfRule type="cellIs" dxfId="24350" priority="1082" operator="lessThan">
      <formula>-105575</formula>
    </cfRule>
  </conditionalFormatting>
  <conditionalFormatting sqref="BB246:BB249 BB262 BB267 BB279:BB282 BB285:BB288 BB274:BB275 BB306:BB309 BB311:BB325 BB327:BB330 BB332:BB341 BB344:BB347 BB349:BB353 BB355:BB358 BB360:BB384 BB386:BB389 BB392:BB395 BB397:BB411 BB413:BB416 BB418:BB432 BB434:BB437 BB439:BB453 BB455:BB458 BB460:BB469 BB7:BB10 BB12:BB14 BB17:BB18 BB21:BB24 BB26:BB28 BB30:BB36 BB38 BB41:BB43 BB46:BB49 BB51:BB55 BB57:BB59 BB62:BB76 BB251:BB253 BB255:BB257 BB293:BB304 BB264:BB265 BB260 BB290:BB291 BB270:BB272">
    <cfRule type="cellIs" dxfId="24349" priority="1079" operator="lessThan">
      <formula>0</formula>
    </cfRule>
    <cfRule type="cellIs" dxfId="24348" priority="1080" operator="lessThan">
      <formula>-105575</formula>
    </cfRule>
  </conditionalFormatting>
  <conditionalFormatting sqref="BB41">
    <cfRule type="cellIs" dxfId="24347" priority="1077" operator="lessThan">
      <formula>0</formula>
    </cfRule>
    <cfRule type="cellIs" dxfId="24346" priority="1078" operator="lessThan">
      <formula>-105575</formula>
    </cfRule>
  </conditionalFormatting>
  <conditionalFormatting sqref="BB152:BB155">
    <cfRule type="cellIs" dxfId="24345" priority="1075" operator="lessThan">
      <formula>0</formula>
    </cfRule>
    <cfRule type="cellIs" dxfId="24344" priority="1076" operator="lessThan">
      <formula>-105575</formula>
    </cfRule>
  </conditionalFormatting>
  <conditionalFormatting sqref="BB152:BB155">
    <cfRule type="cellIs" dxfId="24343" priority="1073" operator="lessThan">
      <formula>0</formula>
    </cfRule>
    <cfRule type="cellIs" dxfId="24342" priority="1074" operator="lessThan">
      <formula>-105575</formula>
    </cfRule>
  </conditionalFormatting>
  <conditionalFormatting sqref="BB152:BB155">
    <cfRule type="cellIs" dxfId="24341" priority="1071" operator="lessThan">
      <formula>0</formula>
    </cfRule>
    <cfRule type="cellIs" dxfId="24340" priority="1072" operator="lessThan">
      <formula>-105575</formula>
    </cfRule>
  </conditionalFormatting>
  <conditionalFormatting sqref="BB157:BB158">
    <cfRule type="cellIs" dxfId="24339" priority="1069" operator="lessThan">
      <formula>0</formula>
    </cfRule>
    <cfRule type="cellIs" dxfId="24338" priority="1070" operator="lessThan">
      <formula>-105575</formula>
    </cfRule>
  </conditionalFormatting>
  <conditionalFormatting sqref="BB157:BB158">
    <cfRule type="cellIs" dxfId="24337" priority="1067" operator="lessThan">
      <formula>0</formula>
    </cfRule>
    <cfRule type="cellIs" dxfId="24336" priority="1068" operator="lessThan">
      <formula>-105575</formula>
    </cfRule>
  </conditionalFormatting>
  <conditionalFormatting sqref="BB157:BB158">
    <cfRule type="cellIs" dxfId="24335" priority="1065" operator="lessThan">
      <formula>0</formula>
    </cfRule>
    <cfRule type="cellIs" dxfId="24334" priority="1066" operator="lessThan">
      <formula>-105575</formula>
    </cfRule>
  </conditionalFormatting>
  <conditionalFormatting sqref="BB160:BB161">
    <cfRule type="cellIs" dxfId="24333" priority="1063" operator="lessThan">
      <formula>0</formula>
    </cfRule>
    <cfRule type="cellIs" dxfId="24332" priority="1064" operator="lessThan">
      <formula>-105575</formula>
    </cfRule>
  </conditionalFormatting>
  <conditionalFormatting sqref="BB160:BB161">
    <cfRule type="cellIs" dxfId="24331" priority="1061" operator="lessThan">
      <formula>0</formula>
    </cfRule>
    <cfRule type="cellIs" dxfId="24330" priority="1062" operator="lessThan">
      <formula>-105575</formula>
    </cfRule>
  </conditionalFormatting>
  <conditionalFormatting sqref="BB160:BB161">
    <cfRule type="cellIs" dxfId="24329" priority="1059" operator="lessThan">
      <formula>0</formula>
    </cfRule>
    <cfRule type="cellIs" dxfId="24328" priority="1060" operator="lessThan">
      <formula>-105575</formula>
    </cfRule>
  </conditionalFormatting>
  <conditionalFormatting sqref="BB164:BB167">
    <cfRule type="cellIs" dxfId="24327" priority="1057" operator="lessThan">
      <formula>0</formula>
    </cfRule>
    <cfRule type="cellIs" dxfId="24326" priority="1058" operator="lessThan">
      <formula>-105575</formula>
    </cfRule>
  </conditionalFormatting>
  <conditionalFormatting sqref="BB164:BB167">
    <cfRule type="cellIs" dxfId="24325" priority="1055" operator="lessThan">
      <formula>0</formula>
    </cfRule>
    <cfRule type="cellIs" dxfId="24324" priority="1056" operator="lessThan">
      <formula>-105575</formula>
    </cfRule>
  </conditionalFormatting>
  <conditionalFormatting sqref="BB164:BB167">
    <cfRule type="cellIs" dxfId="24323" priority="1053" operator="lessThan">
      <formula>0</formula>
    </cfRule>
    <cfRule type="cellIs" dxfId="24322" priority="1054" operator="lessThan">
      <formula>-105575</formula>
    </cfRule>
  </conditionalFormatting>
  <conditionalFormatting sqref="BB169:BB177">
    <cfRule type="cellIs" dxfId="24321" priority="1051" operator="lessThan">
      <formula>0</formula>
    </cfRule>
    <cfRule type="cellIs" dxfId="24320" priority="1052" operator="lessThan">
      <formula>-105575</formula>
    </cfRule>
  </conditionalFormatting>
  <conditionalFormatting sqref="BB169:BB177">
    <cfRule type="cellIs" dxfId="24319" priority="1049" operator="lessThan">
      <formula>0</formula>
    </cfRule>
    <cfRule type="cellIs" dxfId="24318" priority="1050" operator="lessThan">
      <formula>-105575</formula>
    </cfRule>
  </conditionalFormatting>
  <conditionalFormatting sqref="BB169:BB177">
    <cfRule type="cellIs" dxfId="24317" priority="1047" operator="lessThan">
      <formula>0</formula>
    </cfRule>
    <cfRule type="cellIs" dxfId="24316" priority="1048" operator="lessThan">
      <formula>-105575</formula>
    </cfRule>
  </conditionalFormatting>
  <conditionalFormatting sqref="BB179:BB180">
    <cfRule type="cellIs" dxfId="24315" priority="1045" operator="lessThan">
      <formula>0</formula>
    </cfRule>
    <cfRule type="cellIs" dxfId="24314" priority="1046" operator="lessThan">
      <formula>-105575</formula>
    </cfRule>
  </conditionalFormatting>
  <conditionalFormatting sqref="BB179:BB180">
    <cfRule type="cellIs" dxfId="24313" priority="1043" operator="lessThan">
      <formula>0</formula>
    </cfRule>
    <cfRule type="cellIs" dxfId="24312" priority="1044" operator="lessThan">
      <formula>-105575</formula>
    </cfRule>
  </conditionalFormatting>
  <conditionalFormatting sqref="BB179:BB180">
    <cfRule type="cellIs" dxfId="24311" priority="1041" operator="lessThan">
      <formula>0</formula>
    </cfRule>
    <cfRule type="cellIs" dxfId="24310" priority="1042" operator="lessThan">
      <formula>-105575</formula>
    </cfRule>
  </conditionalFormatting>
  <conditionalFormatting sqref="BB183:BB189">
    <cfRule type="cellIs" dxfId="24309" priority="1039" operator="lessThan">
      <formula>0</formula>
    </cfRule>
    <cfRule type="cellIs" dxfId="24308" priority="1040" operator="lessThan">
      <formula>-105575</formula>
    </cfRule>
  </conditionalFormatting>
  <conditionalFormatting sqref="BB183:BB189">
    <cfRule type="cellIs" dxfId="24307" priority="1037" operator="lessThan">
      <formula>0</formula>
    </cfRule>
    <cfRule type="cellIs" dxfId="24306" priority="1038" operator="lessThan">
      <formula>-105575</formula>
    </cfRule>
  </conditionalFormatting>
  <conditionalFormatting sqref="BB183:BB189">
    <cfRule type="cellIs" dxfId="24305" priority="1035" operator="lessThan">
      <formula>0</formula>
    </cfRule>
    <cfRule type="cellIs" dxfId="24304" priority="1036" operator="lessThan">
      <formula>-105575</formula>
    </cfRule>
  </conditionalFormatting>
  <conditionalFormatting sqref="BB191:BB192">
    <cfRule type="cellIs" dxfId="24303" priority="1033" operator="lessThan">
      <formula>0</formula>
    </cfRule>
    <cfRule type="cellIs" dxfId="24302" priority="1034" operator="lessThan">
      <formula>-105575</formula>
    </cfRule>
  </conditionalFormatting>
  <conditionalFormatting sqref="BB191:BB192">
    <cfRule type="cellIs" dxfId="24301" priority="1031" operator="lessThan">
      <formula>0</formula>
    </cfRule>
    <cfRule type="cellIs" dxfId="24300" priority="1032" operator="lessThan">
      <formula>-105575</formula>
    </cfRule>
  </conditionalFormatting>
  <conditionalFormatting sqref="BB191:BB192">
    <cfRule type="cellIs" dxfId="24299" priority="1029" operator="lessThan">
      <formula>0</formula>
    </cfRule>
    <cfRule type="cellIs" dxfId="24298" priority="1030" operator="lessThan">
      <formula>-105575</formula>
    </cfRule>
  </conditionalFormatting>
  <conditionalFormatting sqref="BB194:BB195">
    <cfRule type="cellIs" dxfId="24297" priority="1027" operator="lessThan">
      <formula>0</formula>
    </cfRule>
    <cfRule type="cellIs" dxfId="24296" priority="1028" operator="lessThan">
      <formula>-105575</formula>
    </cfRule>
  </conditionalFormatting>
  <conditionalFormatting sqref="BB194:BB195">
    <cfRule type="cellIs" dxfId="24295" priority="1025" operator="lessThan">
      <formula>0</formula>
    </cfRule>
    <cfRule type="cellIs" dxfId="24294" priority="1026" operator="lessThan">
      <formula>-105575</formula>
    </cfRule>
  </conditionalFormatting>
  <conditionalFormatting sqref="BB194:BB195">
    <cfRule type="cellIs" dxfId="24293" priority="1023" operator="lessThan">
      <formula>0</formula>
    </cfRule>
    <cfRule type="cellIs" dxfId="24292" priority="1024" operator="lessThan">
      <formula>-105575</formula>
    </cfRule>
  </conditionalFormatting>
  <conditionalFormatting sqref="BB199:BB202">
    <cfRule type="cellIs" dxfId="24291" priority="1021" operator="lessThan">
      <formula>0</formula>
    </cfRule>
    <cfRule type="cellIs" dxfId="24290" priority="1022" operator="lessThan">
      <formula>-105575</formula>
    </cfRule>
  </conditionalFormatting>
  <conditionalFormatting sqref="BB199:BB202">
    <cfRule type="cellIs" dxfId="24289" priority="1019" operator="lessThan">
      <formula>0</formula>
    </cfRule>
    <cfRule type="cellIs" dxfId="24288" priority="1020" operator="lessThan">
      <formula>-105575</formula>
    </cfRule>
  </conditionalFormatting>
  <conditionalFormatting sqref="BB199:BB202">
    <cfRule type="cellIs" dxfId="24287" priority="1017" operator="lessThan">
      <formula>0</formula>
    </cfRule>
    <cfRule type="cellIs" dxfId="24286" priority="1018" operator="lessThan">
      <formula>-105575</formula>
    </cfRule>
  </conditionalFormatting>
  <conditionalFormatting sqref="BB204:BB208">
    <cfRule type="cellIs" dxfId="24285" priority="1015" operator="lessThan">
      <formula>0</formula>
    </cfRule>
    <cfRule type="cellIs" dxfId="24284" priority="1016" operator="lessThan">
      <formula>-105575</formula>
    </cfRule>
  </conditionalFormatting>
  <conditionalFormatting sqref="BB204:BB208">
    <cfRule type="cellIs" dxfId="24283" priority="1013" operator="lessThan">
      <formula>0</formula>
    </cfRule>
    <cfRule type="cellIs" dxfId="24282" priority="1014" operator="lessThan">
      <formula>-105575</formula>
    </cfRule>
  </conditionalFormatting>
  <conditionalFormatting sqref="BB204:BB208">
    <cfRule type="cellIs" dxfId="24281" priority="1011" operator="lessThan">
      <formula>0</formula>
    </cfRule>
    <cfRule type="cellIs" dxfId="24280" priority="1012" operator="lessThan">
      <formula>-105575</formula>
    </cfRule>
  </conditionalFormatting>
  <conditionalFormatting sqref="BB210:BB211">
    <cfRule type="cellIs" dxfId="24279" priority="1009" operator="lessThan">
      <formula>0</formula>
    </cfRule>
    <cfRule type="cellIs" dxfId="24278" priority="1010" operator="lessThan">
      <formula>-105575</formula>
    </cfRule>
  </conditionalFormatting>
  <conditionalFormatting sqref="BB210:BB211">
    <cfRule type="cellIs" dxfId="24277" priority="1007" operator="lessThan">
      <formula>0</formula>
    </cfRule>
    <cfRule type="cellIs" dxfId="24276" priority="1008" operator="lessThan">
      <formula>-105575</formula>
    </cfRule>
  </conditionalFormatting>
  <conditionalFormatting sqref="BB210:BB211">
    <cfRule type="cellIs" dxfId="24275" priority="1005" operator="lessThan">
      <formula>0</formula>
    </cfRule>
    <cfRule type="cellIs" dxfId="24274" priority="1006" operator="lessThan">
      <formula>-105575</formula>
    </cfRule>
  </conditionalFormatting>
  <conditionalFormatting sqref="BB214:BB219">
    <cfRule type="cellIs" dxfId="24273" priority="1003" operator="lessThan">
      <formula>0</formula>
    </cfRule>
    <cfRule type="cellIs" dxfId="24272" priority="1004" operator="lessThan">
      <formula>-105575</formula>
    </cfRule>
  </conditionalFormatting>
  <conditionalFormatting sqref="BB214:BB219">
    <cfRule type="cellIs" dxfId="24271" priority="1001" operator="lessThan">
      <formula>0</formula>
    </cfRule>
    <cfRule type="cellIs" dxfId="24270" priority="1002" operator="lessThan">
      <formula>-105575</formula>
    </cfRule>
  </conditionalFormatting>
  <conditionalFormatting sqref="BB214:BB219">
    <cfRule type="cellIs" dxfId="24269" priority="999" operator="lessThan">
      <formula>0</formula>
    </cfRule>
    <cfRule type="cellIs" dxfId="24268" priority="1000" operator="lessThan">
      <formula>-105575</formula>
    </cfRule>
  </conditionalFormatting>
  <conditionalFormatting sqref="BB222:BB224">
    <cfRule type="cellIs" dxfId="24267" priority="997" operator="lessThan">
      <formula>0</formula>
    </cfRule>
    <cfRule type="cellIs" dxfId="24266" priority="998" operator="lessThan">
      <formula>-105575</formula>
    </cfRule>
  </conditionalFormatting>
  <conditionalFormatting sqref="BB222:BB224">
    <cfRule type="cellIs" dxfId="24265" priority="995" operator="lessThan">
      <formula>0</formula>
    </cfRule>
    <cfRule type="cellIs" dxfId="24264" priority="996" operator="lessThan">
      <formula>-105575</formula>
    </cfRule>
  </conditionalFormatting>
  <conditionalFormatting sqref="BB222:BB224">
    <cfRule type="cellIs" dxfId="24263" priority="993" operator="lessThan">
      <formula>0</formula>
    </cfRule>
    <cfRule type="cellIs" dxfId="24262" priority="994" operator="lessThan">
      <formula>-105575</formula>
    </cfRule>
  </conditionalFormatting>
  <conditionalFormatting sqref="BB227:BB230">
    <cfRule type="cellIs" dxfId="24261" priority="991" operator="lessThan">
      <formula>0</formula>
    </cfRule>
    <cfRule type="cellIs" dxfId="24260" priority="992" operator="lessThan">
      <formula>-105575</formula>
    </cfRule>
  </conditionalFormatting>
  <conditionalFormatting sqref="BB227:BB230">
    <cfRule type="cellIs" dxfId="24259" priority="989" operator="lessThan">
      <formula>0</formula>
    </cfRule>
    <cfRule type="cellIs" dxfId="24258" priority="990" operator="lessThan">
      <formula>-105575</formula>
    </cfRule>
  </conditionalFormatting>
  <conditionalFormatting sqref="BB227:BB230">
    <cfRule type="cellIs" dxfId="24257" priority="987" operator="lessThan">
      <formula>0</formula>
    </cfRule>
    <cfRule type="cellIs" dxfId="24256" priority="988" operator="lessThan">
      <formula>-105575</formula>
    </cfRule>
  </conditionalFormatting>
  <conditionalFormatting sqref="BB203 BB220:BB221 BB235:BB243 BB231:BB233 BB212:BB213 BB225:BB226">
    <cfRule type="cellIs" dxfId="24255" priority="985" operator="lessThan">
      <formula>0</formula>
    </cfRule>
    <cfRule type="cellIs" dxfId="24254" priority="986" operator="lessThan">
      <formula>-105575</formula>
    </cfRule>
  </conditionalFormatting>
  <conditionalFormatting sqref="BB220 BB212:BB213 BB235:BB238 BB240:BB243 BB225:BB226 BB231:BB233">
    <cfRule type="cellIs" dxfId="24253" priority="983" operator="lessThan">
      <formula>0</formula>
    </cfRule>
    <cfRule type="cellIs" dxfId="24252" priority="984" operator="lessThan">
      <formula>-105575</formula>
    </cfRule>
  </conditionalFormatting>
  <conditionalFormatting sqref="BB220:BB221 BB243 BB226 BB231:BB236 BB238:BB241 BB203 BB213">
    <cfRule type="cellIs" dxfId="24251" priority="981" operator="lessThan">
      <formula>0</formula>
    </cfRule>
    <cfRule type="cellIs" dxfId="24250" priority="982" operator="lessThan">
      <formula>-105575</formula>
    </cfRule>
  </conditionalFormatting>
  <conditionalFormatting sqref="BB235:BB243 BB231:BB233 BB220 BB212:BB213 BB225:BB226">
    <cfRule type="cellIs" dxfId="24249" priority="979" operator="lessThan">
      <formula>0</formula>
    </cfRule>
    <cfRule type="cellIs" dxfId="24248" priority="980" operator="lessThan">
      <formula>-105575</formula>
    </cfRule>
  </conditionalFormatting>
  <conditionalFormatting sqref="BB220:BB221 BB237:BB243 BB203 BB231:BB235 BB212:BB213 BB225:BB226">
    <cfRule type="cellIs" dxfId="24247" priority="977" operator="lessThan">
      <formula>0</formula>
    </cfRule>
    <cfRule type="cellIs" dxfId="24246" priority="978" operator="lessThan">
      <formula>-105575</formula>
    </cfRule>
  </conditionalFormatting>
  <conditionalFormatting sqref="BB220:BB221 BB237:BB240 BB242:BB243 BB225:BB226 BB231:BB235">
    <cfRule type="cellIs" dxfId="24245" priority="975" operator="lessThan">
      <formula>0</formula>
    </cfRule>
    <cfRule type="cellIs" dxfId="24244" priority="976" operator="lessThan">
      <formula>-105575</formula>
    </cfRule>
  </conditionalFormatting>
  <conditionalFormatting sqref="BB212 BB231 BB233:BB238 BB240:BB243 BB225">
    <cfRule type="cellIs" dxfId="24243" priority="973" operator="lessThan">
      <formula>0</formula>
    </cfRule>
    <cfRule type="cellIs" dxfId="24242" priority="974" operator="lessThan">
      <formula>-105575</formula>
    </cfRule>
  </conditionalFormatting>
  <conditionalFormatting sqref="BB237:BB243 BB231:BB235 BB220:BB221 BB225:BB226">
    <cfRule type="cellIs" dxfId="24241" priority="971" operator="lessThan">
      <formula>0</formula>
    </cfRule>
    <cfRule type="cellIs" dxfId="24240" priority="972" operator="lessThan">
      <formula>-105575</formula>
    </cfRule>
  </conditionalFormatting>
  <conditionalFormatting sqref="BB233:BB237 BB231 BB239:BB243">
    <cfRule type="cellIs" dxfId="24239" priority="969" operator="lessThan">
      <formula>0</formula>
    </cfRule>
    <cfRule type="cellIs" dxfId="24238" priority="970" operator="lessThan">
      <formula>-105575</formula>
    </cfRule>
  </conditionalFormatting>
  <conditionalFormatting sqref="BB233:BB237 BB231 BB239:BB243">
    <cfRule type="cellIs" dxfId="24237" priority="967" operator="lessThan">
      <formula>0</formula>
    </cfRule>
    <cfRule type="cellIs" dxfId="24236" priority="968" operator="lessThan">
      <formula>-105575</formula>
    </cfRule>
  </conditionalFormatting>
  <conditionalFormatting sqref="BB119:BB128 BB106:BB117 BB101:BB104 BB80:BB98">
    <cfRule type="cellIs" dxfId="24235" priority="965" operator="lessThan">
      <formula>0</formula>
    </cfRule>
    <cfRule type="cellIs" dxfId="24234" priority="966" operator="lessThan">
      <formula>-105575</formula>
    </cfRule>
  </conditionalFormatting>
  <conditionalFormatting sqref="BB130 BB132 BB134">
    <cfRule type="cellIs" dxfId="24233" priority="963" operator="lessThan">
      <formula>0</formula>
    </cfRule>
    <cfRule type="cellIs" dxfId="24232" priority="964" operator="lessThan">
      <formula>-105575</formula>
    </cfRule>
  </conditionalFormatting>
  <conditionalFormatting sqref="BB130 BB132 BB134">
    <cfRule type="cellIs" dxfId="24231" priority="961" operator="lessThan">
      <formula>0</formula>
    </cfRule>
    <cfRule type="cellIs" dxfId="24230" priority="962" operator="lessThan">
      <formula>-105575</formula>
    </cfRule>
  </conditionalFormatting>
  <conditionalFormatting sqref="BB129 BB131 BB133 BB135">
    <cfRule type="cellIs" dxfId="24229" priority="959" operator="lessThan">
      <formula>0</formula>
    </cfRule>
    <cfRule type="cellIs" dxfId="24228" priority="960" operator="lessThan">
      <formula>-105575</formula>
    </cfRule>
  </conditionalFormatting>
  <conditionalFormatting sqref="BB140 BB145 BB142:BB143 BB137:BB138">
    <cfRule type="cellIs" dxfId="24227" priority="957" operator="lessThan">
      <formula>0</formula>
    </cfRule>
    <cfRule type="cellIs" dxfId="24226" priority="958" operator="lessThan">
      <formula>-105575</formula>
    </cfRule>
  </conditionalFormatting>
  <conditionalFormatting sqref="BB149">
    <cfRule type="cellIs" dxfId="24225" priority="955" operator="lessThan">
      <formula>0</formula>
    </cfRule>
    <cfRule type="cellIs" dxfId="24224" priority="956" operator="lessThan">
      <formula>-105575</formula>
    </cfRule>
  </conditionalFormatting>
  <conditionalFormatting sqref="BB129:BB138 BB140:BB149">
    <cfRule type="cellIs" dxfId="24223" priority="953" operator="lessThan">
      <formula>0</formula>
    </cfRule>
    <cfRule type="cellIs" dxfId="24222" priority="954" operator="lessThan">
      <formula>-105575</formula>
    </cfRule>
  </conditionalFormatting>
  <conditionalFormatting sqref="BB94:BB98 BB86:BB87 BB89:BB91 BB141:BB149 BB124:BB133 BB107:BB110 BB112:BB117 BB119:BB122 BB135:BB138 BB101:BB104 BB80:BB84">
    <cfRule type="cellIs" dxfId="24221" priority="951" operator="lessThan">
      <formula>0</formula>
    </cfRule>
    <cfRule type="cellIs" dxfId="24220" priority="952" operator="lessThan">
      <formula>-105575</formula>
    </cfRule>
  </conditionalFormatting>
  <conditionalFormatting sqref="BB129 BB131 BB133 BB135">
    <cfRule type="cellIs" dxfId="24219" priority="949" operator="lessThan">
      <formula>0</formula>
    </cfRule>
    <cfRule type="cellIs" dxfId="24218" priority="950" operator="lessThan">
      <formula>-105575</formula>
    </cfRule>
  </conditionalFormatting>
  <conditionalFormatting sqref="BB146 BB144 BB141">
    <cfRule type="cellIs" dxfId="24217" priority="947" operator="lessThan">
      <formula>0</formula>
    </cfRule>
    <cfRule type="cellIs" dxfId="24216" priority="948" operator="lessThan">
      <formula>-105575</formula>
    </cfRule>
  </conditionalFormatting>
  <conditionalFormatting sqref="BB146 BB144 BB141">
    <cfRule type="cellIs" dxfId="24215" priority="945" operator="lessThan">
      <formula>0</formula>
    </cfRule>
    <cfRule type="cellIs" dxfId="24214" priority="946" operator="lessThan">
      <formula>-105575</formula>
    </cfRule>
  </conditionalFormatting>
  <conditionalFormatting sqref="BB140 BB145 BB142:BB143 BB137:BB138">
    <cfRule type="cellIs" dxfId="24213" priority="943" operator="lessThan">
      <formula>0</formula>
    </cfRule>
    <cfRule type="cellIs" dxfId="24212" priority="944" operator="lessThan">
      <formula>-105575</formula>
    </cfRule>
  </conditionalFormatting>
  <conditionalFormatting sqref="BB149">
    <cfRule type="cellIs" dxfId="24211" priority="941" operator="lessThan">
      <formula>0</formula>
    </cfRule>
    <cfRule type="cellIs" dxfId="24210" priority="942" operator="lessThan">
      <formula>-105575</formula>
    </cfRule>
  </conditionalFormatting>
  <conditionalFormatting sqref="BB94:BB98 BB86:BB87 BB89:BB91 BB141:BB149 BB124:BB133 BB107:BB110 BB112:BB117 BB119:BB122 BB135:BB138 BB101:BB104 BB80:BB84">
    <cfRule type="cellIs" dxfId="24209" priority="939" operator="lessThan">
      <formula>0</formula>
    </cfRule>
    <cfRule type="cellIs" dxfId="24208" priority="940" operator="lessThan">
      <formula>-105575</formula>
    </cfRule>
  </conditionalFormatting>
  <conditionalFormatting sqref="BB62:BB76 BB306:BB309 BB311:BB325 BB327:BB330 BB332:BB341 BB344:BB347 BB349:BB353 BB355:BB358 BB360:BB384 BB386:BB389 BB392:BB395 BB397:BB411 BB413:BB416 BB418:BB432 BB434:BB437 BB439:BB453 BB455:BB458 BB460:BB469 BB7:BB10 BB12:BB14 BB17:BB18 BB21:BB24 BB26:BB28 BB30:BB36 BB38 BB41:BB43 BB46:BB49 BB51:BB55 BB57:BB59 BB290:BB291 BB293:BB304">
    <cfRule type="cellIs" dxfId="24207" priority="937" operator="lessThan">
      <formula>0</formula>
    </cfRule>
    <cfRule type="cellIs" dxfId="24206" priority="938" operator="lessThan">
      <formula>-105575</formula>
    </cfRule>
  </conditionalFormatting>
  <conditionalFormatting sqref="BB41">
    <cfRule type="cellIs" dxfId="24205" priority="935" operator="lessThan">
      <formula>0</formula>
    </cfRule>
    <cfRule type="cellIs" dxfId="24204" priority="936" operator="lessThan">
      <formula>-105575</formula>
    </cfRule>
  </conditionalFormatting>
  <conditionalFormatting sqref="BB152:BB155">
    <cfRule type="cellIs" dxfId="24203" priority="933" operator="lessThan">
      <formula>0</formula>
    </cfRule>
    <cfRule type="cellIs" dxfId="24202" priority="934" operator="lessThan">
      <formula>-105575</formula>
    </cfRule>
  </conditionalFormatting>
  <conditionalFormatting sqref="BB152:BB155">
    <cfRule type="cellIs" dxfId="24201" priority="931" operator="lessThan">
      <formula>0</formula>
    </cfRule>
    <cfRule type="cellIs" dxfId="24200" priority="932" operator="lessThan">
      <formula>-105575</formula>
    </cfRule>
  </conditionalFormatting>
  <conditionalFormatting sqref="BB152:BB155">
    <cfRule type="cellIs" dxfId="24199" priority="929" operator="lessThan">
      <formula>0</formula>
    </cfRule>
    <cfRule type="cellIs" dxfId="24198" priority="930" operator="lessThan">
      <formula>-105575</formula>
    </cfRule>
  </conditionalFormatting>
  <conditionalFormatting sqref="BB157:BB158">
    <cfRule type="cellIs" dxfId="24197" priority="927" operator="lessThan">
      <formula>0</formula>
    </cfRule>
    <cfRule type="cellIs" dxfId="24196" priority="928" operator="lessThan">
      <formula>-105575</formula>
    </cfRule>
  </conditionalFormatting>
  <conditionalFormatting sqref="BB157:BB158">
    <cfRule type="cellIs" dxfId="24195" priority="925" operator="lessThan">
      <formula>0</formula>
    </cfRule>
    <cfRule type="cellIs" dxfId="24194" priority="926" operator="lessThan">
      <formula>-105575</formula>
    </cfRule>
  </conditionalFormatting>
  <conditionalFormatting sqref="BB157:BB158">
    <cfRule type="cellIs" dxfId="24193" priority="923" operator="lessThan">
      <formula>0</formula>
    </cfRule>
    <cfRule type="cellIs" dxfId="24192" priority="924" operator="lessThan">
      <formula>-105575</formula>
    </cfRule>
  </conditionalFormatting>
  <conditionalFormatting sqref="BB160:BB161">
    <cfRule type="cellIs" dxfId="24191" priority="921" operator="lessThan">
      <formula>0</formula>
    </cfRule>
    <cfRule type="cellIs" dxfId="24190" priority="922" operator="lessThan">
      <formula>-105575</formula>
    </cfRule>
  </conditionalFormatting>
  <conditionalFormatting sqref="BB160:BB161">
    <cfRule type="cellIs" dxfId="24189" priority="919" operator="lessThan">
      <formula>0</formula>
    </cfRule>
    <cfRule type="cellIs" dxfId="24188" priority="920" operator="lessThan">
      <formula>-105575</formula>
    </cfRule>
  </conditionalFormatting>
  <conditionalFormatting sqref="BB160:BB161">
    <cfRule type="cellIs" dxfId="24187" priority="917" operator="lessThan">
      <formula>0</formula>
    </cfRule>
    <cfRule type="cellIs" dxfId="24186" priority="918" operator="lessThan">
      <formula>-105575</formula>
    </cfRule>
  </conditionalFormatting>
  <conditionalFormatting sqref="BB164:BB167">
    <cfRule type="cellIs" dxfId="24185" priority="915" operator="lessThan">
      <formula>0</formula>
    </cfRule>
    <cfRule type="cellIs" dxfId="24184" priority="916" operator="lessThan">
      <formula>-105575</formula>
    </cfRule>
  </conditionalFormatting>
  <conditionalFormatting sqref="BB164:BB167">
    <cfRule type="cellIs" dxfId="24183" priority="913" operator="lessThan">
      <formula>0</formula>
    </cfRule>
    <cfRule type="cellIs" dxfId="24182" priority="914" operator="lessThan">
      <formula>-105575</formula>
    </cfRule>
  </conditionalFormatting>
  <conditionalFormatting sqref="BB164:BB167">
    <cfRule type="cellIs" dxfId="24181" priority="911" operator="lessThan">
      <formula>0</formula>
    </cfRule>
    <cfRule type="cellIs" dxfId="24180" priority="912" operator="lessThan">
      <formula>-105575</formula>
    </cfRule>
  </conditionalFormatting>
  <conditionalFormatting sqref="BB169:BB177">
    <cfRule type="cellIs" dxfId="24179" priority="909" operator="lessThan">
      <formula>0</formula>
    </cfRule>
    <cfRule type="cellIs" dxfId="24178" priority="910" operator="lessThan">
      <formula>-105575</formula>
    </cfRule>
  </conditionalFormatting>
  <conditionalFormatting sqref="BB169:BB177">
    <cfRule type="cellIs" dxfId="24177" priority="907" operator="lessThan">
      <formula>0</formula>
    </cfRule>
    <cfRule type="cellIs" dxfId="24176" priority="908" operator="lessThan">
      <formula>-105575</formula>
    </cfRule>
  </conditionalFormatting>
  <conditionalFormatting sqref="BB169:BB177">
    <cfRule type="cellIs" dxfId="24175" priority="905" operator="lessThan">
      <formula>0</formula>
    </cfRule>
    <cfRule type="cellIs" dxfId="24174" priority="906" operator="lessThan">
      <formula>-105575</formula>
    </cfRule>
  </conditionalFormatting>
  <conditionalFormatting sqref="BB179:BB180">
    <cfRule type="cellIs" dxfId="24173" priority="903" operator="lessThan">
      <formula>0</formula>
    </cfRule>
    <cfRule type="cellIs" dxfId="24172" priority="904" operator="lessThan">
      <formula>-105575</formula>
    </cfRule>
  </conditionalFormatting>
  <conditionalFormatting sqref="BB179:BB180">
    <cfRule type="cellIs" dxfId="24171" priority="901" operator="lessThan">
      <formula>0</formula>
    </cfRule>
    <cfRule type="cellIs" dxfId="24170" priority="902" operator="lessThan">
      <formula>-105575</formula>
    </cfRule>
  </conditionalFormatting>
  <conditionalFormatting sqref="BB179:BB180">
    <cfRule type="cellIs" dxfId="24169" priority="899" operator="lessThan">
      <formula>0</formula>
    </cfRule>
    <cfRule type="cellIs" dxfId="24168" priority="900" operator="lessThan">
      <formula>-105575</formula>
    </cfRule>
  </conditionalFormatting>
  <conditionalFormatting sqref="BB183:BB189">
    <cfRule type="cellIs" dxfId="24167" priority="897" operator="lessThan">
      <formula>0</formula>
    </cfRule>
    <cfRule type="cellIs" dxfId="24166" priority="898" operator="lessThan">
      <formula>-105575</formula>
    </cfRule>
  </conditionalFormatting>
  <conditionalFormatting sqref="BB183:BB189">
    <cfRule type="cellIs" dxfId="24165" priority="895" operator="lessThan">
      <formula>0</formula>
    </cfRule>
    <cfRule type="cellIs" dxfId="24164" priority="896" operator="lessThan">
      <formula>-105575</formula>
    </cfRule>
  </conditionalFormatting>
  <conditionalFormatting sqref="BB183:BB189">
    <cfRule type="cellIs" dxfId="24163" priority="893" operator="lessThan">
      <formula>0</formula>
    </cfRule>
    <cfRule type="cellIs" dxfId="24162" priority="894" operator="lessThan">
      <formula>-105575</formula>
    </cfRule>
  </conditionalFormatting>
  <conditionalFormatting sqref="BB191:BB192">
    <cfRule type="cellIs" dxfId="24161" priority="891" operator="lessThan">
      <formula>0</formula>
    </cfRule>
    <cfRule type="cellIs" dxfId="24160" priority="892" operator="lessThan">
      <formula>-105575</formula>
    </cfRule>
  </conditionalFormatting>
  <conditionalFormatting sqref="BB191:BB192">
    <cfRule type="cellIs" dxfId="24159" priority="889" operator="lessThan">
      <formula>0</formula>
    </cfRule>
    <cfRule type="cellIs" dxfId="24158" priority="890" operator="lessThan">
      <formula>-105575</formula>
    </cfRule>
  </conditionalFormatting>
  <conditionalFormatting sqref="BB191:BB192">
    <cfRule type="cellIs" dxfId="24157" priority="887" operator="lessThan">
      <formula>0</formula>
    </cfRule>
    <cfRule type="cellIs" dxfId="24156" priority="888" operator="lessThan">
      <formula>-105575</formula>
    </cfRule>
  </conditionalFormatting>
  <conditionalFormatting sqref="BB194:BB195">
    <cfRule type="cellIs" dxfId="24155" priority="885" operator="lessThan">
      <formula>0</formula>
    </cfRule>
    <cfRule type="cellIs" dxfId="24154" priority="886" operator="lessThan">
      <formula>-105575</formula>
    </cfRule>
  </conditionalFormatting>
  <conditionalFormatting sqref="BB194:BB195">
    <cfRule type="cellIs" dxfId="24153" priority="883" operator="lessThan">
      <formula>0</formula>
    </cfRule>
    <cfRule type="cellIs" dxfId="24152" priority="884" operator="lessThan">
      <formula>-105575</formula>
    </cfRule>
  </conditionalFormatting>
  <conditionalFormatting sqref="BB194:BB195">
    <cfRule type="cellIs" dxfId="24151" priority="881" operator="lessThan">
      <formula>0</formula>
    </cfRule>
    <cfRule type="cellIs" dxfId="24150" priority="882" operator="lessThan">
      <formula>-105575</formula>
    </cfRule>
  </conditionalFormatting>
  <conditionalFormatting sqref="BB199:BB202">
    <cfRule type="cellIs" dxfId="24149" priority="879" operator="lessThan">
      <formula>0</formula>
    </cfRule>
    <cfRule type="cellIs" dxfId="24148" priority="880" operator="lessThan">
      <formula>-105575</formula>
    </cfRule>
  </conditionalFormatting>
  <conditionalFormatting sqref="BB199:BB202">
    <cfRule type="cellIs" dxfId="24147" priority="877" operator="lessThan">
      <formula>0</formula>
    </cfRule>
    <cfRule type="cellIs" dxfId="24146" priority="878" operator="lessThan">
      <formula>-105575</formula>
    </cfRule>
  </conditionalFormatting>
  <conditionalFormatting sqref="BB199:BB202">
    <cfRule type="cellIs" dxfId="24145" priority="875" operator="lessThan">
      <formula>0</formula>
    </cfRule>
    <cfRule type="cellIs" dxfId="24144" priority="876" operator="lessThan">
      <formula>-105575</formula>
    </cfRule>
  </conditionalFormatting>
  <conditionalFormatting sqref="BB204:BB208">
    <cfRule type="cellIs" dxfId="24143" priority="873" operator="lessThan">
      <formula>0</formula>
    </cfRule>
    <cfRule type="cellIs" dxfId="24142" priority="874" operator="lessThan">
      <formula>-105575</formula>
    </cfRule>
  </conditionalFormatting>
  <conditionalFormatting sqref="BB204:BB208">
    <cfRule type="cellIs" dxfId="24141" priority="871" operator="lessThan">
      <formula>0</formula>
    </cfRule>
    <cfRule type="cellIs" dxfId="24140" priority="872" operator="lessThan">
      <formula>-105575</formula>
    </cfRule>
  </conditionalFormatting>
  <conditionalFormatting sqref="BB204:BB208">
    <cfRule type="cellIs" dxfId="24139" priority="869" operator="lessThan">
      <formula>0</formula>
    </cfRule>
    <cfRule type="cellIs" dxfId="24138" priority="870" operator="lessThan">
      <formula>-105575</formula>
    </cfRule>
  </conditionalFormatting>
  <conditionalFormatting sqref="BB210:BB211">
    <cfRule type="cellIs" dxfId="24137" priority="867" operator="lessThan">
      <formula>0</formula>
    </cfRule>
    <cfRule type="cellIs" dxfId="24136" priority="868" operator="lessThan">
      <formula>-105575</formula>
    </cfRule>
  </conditionalFormatting>
  <conditionalFormatting sqref="BB210:BB211">
    <cfRule type="cellIs" dxfId="24135" priority="865" operator="lessThan">
      <formula>0</formula>
    </cfRule>
    <cfRule type="cellIs" dxfId="24134" priority="866" operator="lessThan">
      <formula>-105575</formula>
    </cfRule>
  </conditionalFormatting>
  <conditionalFormatting sqref="BB210:BB211">
    <cfRule type="cellIs" dxfId="24133" priority="863" operator="lessThan">
      <formula>0</formula>
    </cfRule>
    <cfRule type="cellIs" dxfId="24132" priority="864" operator="lessThan">
      <formula>-105575</formula>
    </cfRule>
  </conditionalFormatting>
  <conditionalFormatting sqref="BB214:BB219">
    <cfRule type="cellIs" dxfId="24131" priority="861" operator="lessThan">
      <formula>0</formula>
    </cfRule>
    <cfRule type="cellIs" dxfId="24130" priority="862" operator="lessThan">
      <formula>-105575</formula>
    </cfRule>
  </conditionalFormatting>
  <conditionalFormatting sqref="BB214:BB219">
    <cfRule type="cellIs" dxfId="24129" priority="859" operator="lessThan">
      <formula>0</formula>
    </cfRule>
    <cfRule type="cellIs" dxfId="24128" priority="860" operator="lessThan">
      <formula>-105575</formula>
    </cfRule>
  </conditionalFormatting>
  <conditionalFormatting sqref="BB214:BB219">
    <cfRule type="cellIs" dxfId="24127" priority="857" operator="lessThan">
      <formula>0</formula>
    </cfRule>
    <cfRule type="cellIs" dxfId="24126" priority="858" operator="lessThan">
      <formula>-105575</formula>
    </cfRule>
  </conditionalFormatting>
  <conditionalFormatting sqref="BB222:BB224">
    <cfRule type="cellIs" dxfId="24125" priority="855" operator="lessThan">
      <formula>0</formula>
    </cfRule>
    <cfRule type="cellIs" dxfId="24124" priority="856" operator="lessThan">
      <formula>-105575</formula>
    </cfRule>
  </conditionalFormatting>
  <conditionalFormatting sqref="BB222:BB224">
    <cfRule type="cellIs" dxfId="24123" priority="853" operator="lessThan">
      <formula>0</formula>
    </cfRule>
    <cfRule type="cellIs" dxfId="24122" priority="854" operator="lessThan">
      <formula>-105575</formula>
    </cfRule>
  </conditionalFormatting>
  <conditionalFormatting sqref="BB222:BB224">
    <cfRule type="cellIs" dxfId="24121" priority="851" operator="lessThan">
      <formula>0</formula>
    </cfRule>
    <cfRule type="cellIs" dxfId="24120" priority="852" operator="lessThan">
      <formula>-105575</formula>
    </cfRule>
  </conditionalFormatting>
  <conditionalFormatting sqref="BB227:BB230">
    <cfRule type="cellIs" dxfId="24119" priority="849" operator="lessThan">
      <formula>0</formula>
    </cfRule>
    <cfRule type="cellIs" dxfId="24118" priority="850" operator="lessThan">
      <formula>-105575</formula>
    </cfRule>
  </conditionalFormatting>
  <conditionalFormatting sqref="BB227:BB230">
    <cfRule type="cellIs" dxfId="24117" priority="847" operator="lessThan">
      <formula>0</formula>
    </cfRule>
    <cfRule type="cellIs" dxfId="24116" priority="848" operator="lessThan">
      <formula>-105575</formula>
    </cfRule>
  </conditionalFormatting>
  <conditionalFormatting sqref="BB227:BB230">
    <cfRule type="cellIs" dxfId="24115" priority="845" operator="lessThan">
      <formula>0</formula>
    </cfRule>
    <cfRule type="cellIs" dxfId="24114" priority="846" operator="lessThan">
      <formula>-105575</formula>
    </cfRule>
  </conditionalFormatting>
  <conditionalFormatting sqref="BB246:BB249">
    <cfRule type="cellIs" dxfId="24113" priority="843" operator="lessThan">
      <formula>0</formula>
    </cfRule>
    <cfRule type="cellIs" dxfId="24112" priority="844" operator="lessThan">
      <formula>-105575</formula>
    </cfRule>
  </conditionalFormatting>
  <conditionalFormatting sqref="BB246:BB249">
    <cfRule type="cellIs" dxfId="24111" priority="841" operator="lessThan">
      <formula>0</formula>
    </cfRule>
    <cfRule type="cellIs" dxfId="24110" priority="842" operator="lessThan">
      <formula>-105575</formula>
    </cfRule>
  </conditionalFormatting>
  <conditionalFormatting sqref="BB246:BB249">
    <cfRule type="cellIs" dxfId="24109" priority="839" operator="lessThan">
      <formula>0</formula>
    </cfRule>
    <cfRule type="cellIs" dxfId="24108" priority="840" operator="lessThan">
      <formula>-105575</formula>
    </cfRule>
  </conditionalFormatting>
  <conditionalFormatting sqref="BB246:BB249">
    <cfRule type="cellIs" dxfId="24107" priority="837" operator="lessThan">
      <formula>0</formula>
    </cfRule>
    <cfRule type="cellIs" dxfId="24106" priority="838" operator="lessThan">
      <formula>-105575</formula>
    </cfRule>
  </conditionalFormatting>
  <conditionalFormatting sqref="BB246:BB249">
    <cfRule type="cellIs" dxfId="24105" priority="835" operator="lessThan">
      <formula>0</formula>
    </cfRule>
    <cfRule type="cellIs" dxfId="24104" priority="836" operator="lessThan">
      <formula>-105575</formula>
    </cfRule>
  </conditionalFormatting>
  <conditionalFormatting sqref="BB246:BB249">
    <cfRule type="cellIs" dxfId="24103" priority="833" operator="lessThan">
      <formula>0</formula>
    </cfRule>
    <cfRule type="cellIs" dxfId="24102" priority="834" operator="lessThan">
      <formula>-105575</formula>
    </cfRule>
  </conditionalFormatting>
  <conditionalFormatting sqref="BB246:BB249">
    <cfRule type="cellIs" dxfId="24101" priority="831" operator="lessThan">
      <formula>0</formula>
    </cfRule>
    <cfRule type="cellIs" dxfId="24100" priority="832" operator="lessThan">
      <formula>-105575</formula>
    </cfRule>
  </conditionalFormatting>
  <conditionalFormatting sqref="BB246:BB249">
    <cfRule type="cellIs" dxfId="24099" priority="829" operator="lessThan">
      <formula>0</formula>
    </cfRule>
    <cfRule type="cellIs" dxfId="24098" priority="830" operator="lessThan">
      <formula>-105575</formula>
    </cfRule>
  </conditionalFormatting>
  <conditionalFormatting sqref="BB246:BB249">
    <cfRule type="cellIs" dxfId="24097" priority="827" operator="lessThan">
      <formula>0</formula>
    </cfRule>
    <cfRule type="cellIs" dxfId="24096" priority="828" operator="lessThan">
      <formula>-105575</formula>
    </cfRule>
  </conditionalFormatting>
  <conditionalFormatting sqref="BB251:BB253">
    <cfRule type="cellIs" dxfId="24095" priority="825" operator="lessThan">
      <formula>0</formula>
    </cfRule>
    <cfRule type="cellIs" dxfId="24094" priority="826" operator="lessThan">
      <formula>-105575</formula>
    </cfRule>
  </conditionalFormatting>
  <conditionalFormatting sqref="BB251:BB253">
    <cfRule type="cellIs" dxfId="24093" priority="823" operator="lessThan">
      <formula>0</formula>
    </cfRule>
    <cfRule type="cellIs" dxfId="24092" priority="824" operator="lessThan">
      <formula>-105575</formula>
    </cfRule>
  </conditionalFormatting>
  <conditionalFormatting sqref="BB251:BB253">
    <cfRule type="cellIs" dxfId="24091" priority="821" operator="lessThan">
      <formula>0</formula>
    </cfRule>
    <cfRule type="cellIs" dxfId="24090" priority="822" operator="lessThan">
      <formula>-105575</formula>
    </cfRule>
  </conditionalFormatting>
  <conditionalFormatting sqref="BB251:BB253">
    <cfRule type="cellIs" dxfId="24089" priority="819" operator="lessThan">
      <formula>0</formula>
    </cfRule>
    <cfRule type="cellIs" dxfId="24088" priority="820" operator="lessThan">
      <formula>-105575</formula>
    </cfRule>
  </conditionalFormatting>
  <conditionalFormatting sqref="BB251:BB253">
    <cfRule type="cellIs" dxfId="24087" priority="817" operator="lessThan">
      <formula>0</formula>
    </cfRule>
    <cfRule type="cellIs" dxfId="24086" priority="818" operator="lessThan">
      <formula>-105575</formula>
    </cfRule>
  </conditionalFormatting>
  <conditionalFormatting sqref="BB251:BB253">
    <cfRule type="cellIs" dxfId="24085" priority="815" operator="lessThan">
      <formula>0</formula>
    </cfRule>
    <cfRule type="cellIs" dxfId="24084" priority="816" operator="lessThan">
      <formula>-105575</formula>
    </cfRule>
  </conditionalFormatting>
  <conditionalFormatting sqref="BB251:BB253">
    <cfRule type="cellIs" dxfId="24083" priority="813" operator="lessThan">
      <formula>0</formula>
    </cfRule>
    <cfRule type="cellIs" dxfId="24082" priority="814" operator="lessThan">
      <formula>-105575</formula>
    </cfRule>
  </conditionalFormatting>
  <conditionalFormatting sqref="BB251:BB253">
    <cfRule type="cellIs" dxfId="24081" priority="811" operator="lessThan">
      <formula>0</formula>
    </cfRule>
    <cfRule type="cellIs" dxfId="24080" priority="812" operator="lessThan">
      <formula>-105575</formula>
    </cfRule>
  </conditionalFormatting>
  <conditionalFormatting sqref="BB251:BB253">
    <cfRule type="cellIs" dxfId="24079" priority="809" operator="lessThan">
      <formula>0</formula>
    </cfRule>
    <cfRule type="cellIs" dxfId="24078" priority="810" operator="lessThan">
      <formula>-105575</formula>
    </cfRule>
  </conditionalFormatting>
  <conditionalFormatting sqref="BB255:BB257">
    <cfRule type="cellIs" dxfId="24077" priority="807" operator="lessThan">
      <formula>0</formula>
    </cfRule>
    <cfRule type="cellIs" dxfId="24076" priority="808" operator="lessThan">
      <formula>-105575</formula>
    </cfRule>
  </conditionalFormatting>
  <conditionalFormatting sqref="BB255:BB257">
    <cfRule type="cellIs" dxfId="24075" priority="805" operator="lessThan">
      <formula>0</formula>
    </cfRule>
    <cfRule type="cellIs" dxfId="24074" priority="806" operator="lessThan">
      <formula>-105575</formula>
    </cfRule>
  </conditionalFormatting>
  <conditionalFormatting sqref="BB255:BB257">
    <cfRule type="cellIs" dxfId="24073" priority="803" operator="lessThan">
      <formula>0</formula>
    </cfRule>
    <cfRule type="cellIs" dxfId="24072" priority="804" operator="lessThan">
      <formula>-105575</formula>
    </cfRule>
  </conditionalFormatting>
  <conditionalFormatting sqref="BB255:BB257">
    <cfRule type="cellIs" dxfId="24071" priority="801" operator="lessThan">
      <formula>0</formula>
    </cfRule>
    <cfRule type="cellIs" dxfId="24070" priority="802" operator="lessThan">
      <formula>-105575</formula>
    </cfRule>
  </conditionalFormatting>
  <conditionalFormatting sqref="BB255:BB257">
    <cfRule type="cellIs" dxfId="24069" priority="799" operator="lessThan">
      <formula>0</formula>
    </cfRule>
    <cfRule type="cellIs" dxfId="24068" priority="800" operator="lessThan">
      <formula>-105575</formula>
    </cfRule>
  </conditionalFormatting>
  <conditionalFormatting sqref="BB255:BB257">
    <cfRule type="cellIs" dxfId="24067" priority="797" operator="lessThan">
      <formula>0</formula>
    </cfRule>
    <cfRule type="cellIs" dxfId="24066" priority="798" operator="lessThan">
      <formula>-105575</formula>
    </cfRule>
  </conditionalFormatting>
  <conditionalFormatting sqref="BB255:BB257">
    <cfRule type="cellIs" dxfId="24065" priority="795" operator="lessThan">
      <formula>0</formula>
    </cfRule>
    <cfRule type="cellIs" dxfId="24064" priority="796" operator="lessThan">
      <formula>-105575</formula>
    </cfRule>
  </conditionalFormatting>
  <conditionalFormatting sqref="BB255:BB257">
    <cfRule type="cellIs" dxfId="24063" priority="793" operator="lessThan">
      <formula>0</formula>
    </cfRule>
    <cfRule type="cellIs" dxfId="24062" priority="794" operator="lessThan">
      <formula>-105575</formula>
    </cfRule>
  </conditionalFormatting>
  <conditionalFormatting sqref="BB255:BB257">
    <cfRule type="cellIs" dxfId="24061" priority="791" operator="lessThan">
      <formula>0</formula>
    </cfRule>
    <cfRule type="cellIs" dxfId="24060" priority="792" operator="lessThan">
      <formula>-105575</formula>
    </cfRule>
  </conditionalFormatting>
  <conditionalFormatting sqref="BB260:BB262">
    <cfRule type="cellIs" dxfId="24059" priority="789" operator="lessThan">
      <formula>0</formula>
    </cfRule>
    <cfRule type="cellIs" dxfId="24058" priority="790" operator="lessThan">
      <formula>-105575</formula>
    </cfRule>
  </conditionalFormatting>
  <conditionalFormatting sqref="BB260:BB262">
    <cfRule type="cellIs" dxfId="24057" priority="787" operator="lessThan">
      <formula>0</formula>
    </cfRule>
    <cfRule type="cellIs" dxfId="24056" priority="788" operator="lessThan">
      <formula>-105575</formula>
    </cfRule>
  </conditionalFormatting>
  <conditionalFormatting sqref="BB260:BB262">
    <cfRule type="cellIs" dxfId="24055" priority="785" operator="lessThan">
      <formula>0</formula>
    </cfRule>
    <cfRule type="cellIs" dxfId="24054" priority="786" operator="lessThan">
      <formula>-105575</formula>
    </cfRule>
  </conditionalFormatting>
  <conditionalFormatting sqref="BB260:BB262">
    <cfRule type="cellIs" dxfId="24053" priority="783" operator="lessThan">
      <formula>0</formula>
    </cfRule>
    <cfRule type="cellIs" dxfId="24052" priority="784" operator="lessThan">
      <formula>-105575</formula>
    </cfRule>
  </conditionalFormatting>
  <conditionalFormatting sqref="BB260:BB262">
    <cfRule type="cellIs" dxfId="24051" priority="781" operator="lessThan">
      <formula>0</formula>
    </cfRule>
    <cfRule type="cellIs" dxfId="24050" priority="782" operator="lessThan">
      <formula>-105575</formula>
    </cfRule>
  </conditionalFormatting>
  <conditionalFormatting sqref="BB260:BB262">
    <cfRule type="cellIs" dxfId="24049" priority="779" operator="lessThan">
      <formula>0</formula>
    </cfRule>
    <cfRule type="cellIs" dxfId="24048" priority="780" operator="lessThan">
      <formula>-105575</formula>
    </cfRule>
  </conditionalFormatting>
  <conditionalFormatting sqref="BB260:BB262">
    <cfRule type="cellIs" dxfId="24047" priority="777" operator="lessThan">
      <formula>0</formula>
    </cfRule>
    <cfRule type="cellIs" dxfId="24046" priority="778" operator="lessThan">
      <formula>-105575</formula>
    </cfRule>
  </conditionalFormatting>
  <conditionalFormatting sqref="BB260:BB262">
    <cfRule type="cellIs" dxfId="24045" priority="775" operator="lessThan">
      <formula>0</formula>
    </cfRule>
    <cfRule type="cellIs" dxfId="24044" priority="776" operator="lessThan">
      <formula>-105575</formula>
    </cfRule>
  </conditionalFormatting>
  <conditionalFormatting sqref="BB260:BB262">
    <cfRule type="cellIs" dxfId="24043" priority="773" operator="lessThan">
      <formula>0</formula>
    </cfRule>
    <cfRule type="cellIs" dxfId="24042" priority="774" operator="lessThan">
      <formula>-105575</formula>
    </cfRule>
  </conditionalFormatting>
  <conditionalFormatting sqref="BB264:BB267">
    <cfRule type="cellIs" dxfId="24041" priority="771" operator="lessThan">
      <formula>0</formula>
    </cfRule>
    <cfRule type="cellIs" dxfId="24040" priority="772" operator="lessThan">
      <formula>-105575</formula>
    </cfRule>
  </conditionalFormatting>
  <conditionalFormatting sqref="BB264:BB267">
    <cfRule type="cellIs" dxfId="24039" priority="769" operator="lessThan">
      <formula>0</formula>
    </cfRule>
    <cfRule type="cellIs" dxfId="24038" priority="770" operator="lessThan">
      <formula>-105575</formula>
    </cfRule>
  </conditionalFormatting>
  <conditionalFormatting sqref="BB264:BB267">
    <cfRule type="cellIs" dxfId="24037" priority="767" operator="lessThan">
      <formula>0</formula>
    </cfRule>
    <cfRule type="cellIs" dxfId="24036" priority="768" operator="lessThan">
      <formula>-105575</formula>
    </cfRule>
  </conditionalFormatting>
  <conditionalFormatting sqref="BB264:BB267">
    <cfRule type="cellIs" dxfId="24035" priority="765" operator="lessThan">
      <formula>0</formula>
    </cfRule>
    <cfRule type="cellIs" dxfId="24034" priority="766" operator="lessThan">
      <formula>-105575</formula>
    </cfRule>
  </conditionalFormatting>
  <conditionalFormatting sqref="BB264:BB267">
    <cfRule type="cellIs" dxfId="24033" priority="763" operator="lessThan">
      <formula>0</formula>
    </cfRule>
    <cfRule type="cellIs" dxfId="24032" priority="764" operator="lessThan">
      <formula>-105575</formula>
    </cfRule>
  </conditionalFormatting>
  <conditionalFormatting sqref="BB264:BB267">
    <cfRule type="cellIs" dxfId="24031" priority="761" operator="lessThan">
      <formula>0</formula>
    </cfRule>
    <cfRule type="cellIs" dxfId="24030" priority="762" operator="lessThan">
      <formula>-105575</formula>
    </cfRule>
  </conditionalFormatting>
  <conditionalFormatting sqref="BB264:BB267">
    <cfRule type="cellIs" dxfId="24029" priority="759" operator="lessThan">
      <formula>0</formula>
    </cfRule>
    <cfRule type="cellIs" dxfId="24028" priority="760" operator="lessThan">
      <formula>-105575</formula>
    </cfRule>
  </conditionalFormatting>
  <conditionalFormatting sqref="BB264:BB267">
    <cfRule type="cellIs" dxfId="24027" priority="757" operator="lessThan">
      <formula>0</formula>
    </cfRule>
    <cfRule type="cellIs" dxfId="24026" priority="758" operator="lessThan">
      <formula>-105575</formula>
    </cfRule>
  </conditionalFormatting>
  <conditionalFormatting sqref="BB264:BB267">
    <cfRule type="cellIs" dxfId="24025" priority="755" operator="lessThan">
      <formula>0</formula>
    </cfRule>
    <cfRule type="cellIs" dxfId="24024" priority="756" operator="lessThan">
      <formula>-105575</formula>
    </cfRule>
  </conditionalFormatting>
  <conditionalFormatting sqref="BB270:BB272">
    <cfRule type="cellIs" dxfId="24023" priority="753" operator="lessThan">
      <formula>0</formula>
    </cfRule>
    <cfRule type="cellIs" dxfId="24022" priority="754" operator="lessThan">
      <formula>-105575</formula>
    </cfRule>
  </conditionalFormatting>
  <conditionalFormatting sqref="BB270:BB272">
    <cfRule type="cellIs" dxfId="24021" priority="751" operator="lessThan">
      <formula>0</formula>
    </cfRule>
    <cfRule type="cellIs" dxfId="24020" priority="752" operator="lessThan">
      <formula>-105575</formula>
    </cfRule>
  </conditionalFormatting>
  <conditionalFormatting sqref="BB270:BB272">
    <cfRule type="cellIs" dxfId="24019" priority="749" operator="lessThan">
      <formula>0</formula>
    </cfRule>
    <cfRule type="cellIs" dxfId="24018" priority="750" operator="lessThan">
      <formula>-105575</formula>
    </cfRule>
  </conditionalFormatting>
  <conditionalFormatting sqref="BB270:BB272">
    <cfRule type="cellIs" dxfId="24017" priority="747" operator="lessThan">
      <formula>0</formula>
    </cfRule>
    <cfRule type="cellIs" dxfId="24016" priority="748" operator="lessThan">
      <formula>-105575</formula>
    </cfRule>
  </conditionalFormatting>
  <conditionalFormatting sqref="BB270:BB272">
    <cfRule type="cellIs" dxfId="24015" priority="745" operator="lessThan">
      <formula>0</formula>
    </cfRule>
    <cfRule type="cellIs" dxfId="24014" priority="746" operator="lessThan">
      <formula>-105575</formula>
    </cfRule>
  </conditionalFormatting>
  <conditionalFormatting sqref="BB270:BB272">
    <cfRule type="cellIs" dxfId="24013" priority="743" operator="lessThan">
      <formula>0</formula>
    </cfRule>
    <cfRule type="cellIs" dxfId="24012" priority="744" operator="lessThan">
      <formula>-105575</formula>
    </cfRule>
  </conditionalFormatting>
  <conditionalFormatting sqref="BB270:BB272">
    <cfRule type="cellIs" dxfId="24011" priority="741" operator="lessThan">
      <formula>0</formula>
    </cfRule>
    <cfRule type="cellIs" dxfId="24010" priority="742" operator="lessThan">
      <formula>-105575</formula>
    </cfRule>
  </conditionalFormatting>
  <conditionalFormatting sqref="BB270:BB272">
    <cfRule type="cellIs" dxfId="24009" priority="739" operator="lessThan">
      <formula>0</formula>
    </cfRule>
    <cfRule type="cellIs" dxfId="24008" priority="740" operator="lessThan">
      <formula>-105575</formula>
    </cfRule>
  </conditionalFormatting>
  <conditionalFormatting sqref="BB270:BB272">
    <cfRule type="cellIs" dxfId="24007" priority="737" operator="lessThan">
      <formula>0</formula>
    </cfRule>
    <cfRule type="cellIs" dxfId="24006" priority="738" operator="lessThan">
      <formula>-105575</formula>
    </cfRule>
  </conditionalFormatting>
  <conditionalFormatting sqref="BB274:BB275">
    <cfRule type="cellIs" dxfId="24005" priority="735" operator="lessThan">
      <formula>0</formula>
    </cfRule>
    <cfRule type="cellIs" dxfId="24004" priority="736" operator="lessThan">
      <formula>-105575</formula>
    </cfRule>
  </conditionalFormatting>
  <conditionalFormatting sqref="BB274:BB275">
    <cfRule type="cellIs" dxfId="24003" priority="733" operator="lessThan">
      <formula>0</formula>
    </cfRule>
    <cfRule type="cellIs" dxfId="24002" priority="734" operator="lessThan">
      <formula>-105575</formula>
    </cfRule>
  </conditionalFormatting>
  <conditionalFormatting sqref="BB274:BB275">
    <cfRule type="cellIs" dxfId="24001" priority="731" operator="lessThan">
      <formula>0</formula>
    </cfRule>
    <cfRule type="cellIs" dxfId="24000" priority="732" operator="lessThan">
      <formula>-105575</formula>
    </cfRule>
  </conditionalFormatting>
  <conditionalFormatting sqref="BB274:BB275">
    <cfRule type="cellIs" dxfId="23999" priority="729" operator="lessThan">
      <formula>0</formula>
    </cfRule>
    <cfRule type="cellIs" dxfId="23998" priority="730" operator="lessThan">
      <formula>-105575</formula>
    </cfRule>
  </conditionalFormatting>
  <conditionalFormatting sqref="BB274:BB275">
    <cfRule type="cellIs" dxfId="23997" priority="727" operator="lessThan">
      <formula>0</formula>
    </cfRule>
    <cfRule type="cellIs" dxfId="23996" priority="728" operator="lessThan">
      <formula>-105575</formula>
    </cfRule>
  </conditionalFormatting>
  <conditionalFormatting sqref="BB274:BB275">
    <cfRule type="cellIs" dxfId="23995" priority="725" operator="lessThan">
      <formula>0</formula>
    </cfRule>
    <cfRule type="cellIs" dxfId="23994" priority="726" operator="lessThan">
      <formula>-105575</formula>
    </cfRule>
  </conditionalFormatting>
  <conditionalFormatting sqref="BB274:BB275">
    <cfRule type="cellIs" dxfId="23993" priority="723" operator="lessThan">
      <formula>0</formula>
    </cfRule>
    <cfRule type="cellIs" dxfId="23992" priority="724" operator="lessThan">
      <formula>-105575</formula>
    </cfRule>
  </conditionalFormatting>
  <conditionalFormatting sqref="BB274:BB275">
    <cfRule type="cellIs" dxfId="23991" priority="721" operator="lessThan">
      <formula>0</formula>
    </cfRule>
    <cfRule type="cellIs" dxfId="23990" priority="722" operator="lessThan">
      <formula>-105575</formula>
    </cfRule>
  </conditionalFormatting>
  <conditionalFormatting sqref="BB274:BB275">
    <cfRule type="cellIs" dxfId="23989" priority="719" operator="lessThan">
      <formula>0</formula>
    </cfRule>
    <cfRule type="cellIs" dxfId="23988" priority="720" operator="lessThan">
      <formula>-105575</formula>
    </cfRule>
  </conditionalFormatting>
  <conditionalFormatting sqref="BB278:BB282">
    <cfRule type="cellIs" dxfId="23987" priority="717" operator="lessThan">
      <formula>0</formula>
    </cfRule>
    <cfRule type="cellIs" dxfId="23986" priority="718" operator="lessThan">
      <formula>-105575</formula>
    </cfRule>
  </conditionalFormatting>
  <conditionalFormatting sqref="BB278:BB282">
    <cfRule type="cellIs" dxfId="23985" priority="715" operator="lessThan">
      <formula>0</formula>
    </cfRule>
    <cfRule type="cellIs" dxfId="23984" priority="716" operator="lessThan">
      <formula>-105575</formula>
    </cfRule>
  </conditionalFormatting>
  <conditionalFormatting sqref="BB278:BB282">
    <cfRule type="cellIs" dxfId="23983" priority="713" operator="lessThan">
      <formula>0</formula>
    </cfRule>
    <cfRule type="cellIs" dxfId="23982" priority="714" operator="lessThan">
      <formula>-105575</formula>
    </cfRule>
  </conditionalFormatting>
  <conditionalFormatting sqref="BB278:BB282">
    <cfRule type="cellIs" dxfId="23981" priority="711" operator="lessThan">
      <formula>0</formula>
    </cfRule>
    <cfRule type="cellIs" dxfId="23980" priority="712" operator="lessThan">
      <formula>-105575</formula>
    </cfRule>
  </conditionalFormatting>
  <conditionalFormatting sqref="BB278:BB282">
    <cfRule type="cellIs" dxfId="23979" priority="709" operator="lessThan">
      <formula>0</formula>
    </cfRule>
    <cfRule type="cellIs" dxfId="23978" priority="710" operator="lessThan">
      <formula>-105575</formula>
    </cfRule>
  </conditionalFormatting>
  <conditionalFormatting sqref="BB278:BB282">
    <cfRule type="cellIs" dxfId="23977" priority="707" operator="lessThan">
      <formula>0</formula>
    </cfRule>
    <cfRule type="cellIs" dxfId="23976" priority="708" operator="lessThan">
      <formula>-105575</formula>
    </cfRule>
  </conditionalFormatting>
  <conditionalFormatting sqref="BB278:BB282">
    <cfRule type="cellIs" dxfId="23975" priority="705" operator="lessThan">
      <formula>0</formula>
    </cfRule>
    <cfRule type="cellIs" dxfId="23974" priority="706" operator="lessThan">
      <formula>-105575</formula>
    </cfRule>
  </conditionalFormatting>
  <conditionalFormatting sqref="BB278:BB282">
    <cfRule type="cellIs" dxfId="23973" priority="703" operator="lessThan">
      <formula>0</formula>
    </cfRule>
    <cfRule type="cellIs" dxfId="23972" priority="704" operator="lessThan">
      <formula>-105575</formula>
    </cfRule>
  </conditionalFormatting>
  <conditionalFormatting sqref="BB278:BB282">
    <cfRule type="cellIs" dxfId="23971" priority="701" operator="lessThan">
      <formula>0</formula>
    </cfRule>
    <cfRule type="cellIs" dxfId="23970" priority="702" operator="lessThan">
      <formula>-105575</formula>
    </cfRule>
  </conditionalFormatting>
  <conditionalFormatting sqref="BB285:BB288">
    <cfRule type="cellIs" dxfId="23969" priority="699" operator="lessThan">
      <formula>0</formula>
    </cfRule>
    <cfRule type="cellIs" dxfId="23968" priority="700" operator="lessThan">
      <formula>-105575</formula>
    </cfRule>
  </conditionalFormatting>
  <conditionalFormatting sqref="BB285:BB288">
    <cfRule type="cellIs" dxfId="23967" priority="697" operator="lessThan">
      <formula>0</formula>
    </cfRule>
    <cfRule type="cellIs" dxfId="23966" priority="698" operator="lessThan">
      <formula>-105575</formula>
    </cfRule>
  </conditionalFormatting>
  <conditionalFormatting sqref="BB285:BB288">
    <cfRule type="cellIs" dxfId="23965" priority="695" operator="lessThan">
      <formula>0</formula>
    </cfRule>
    <cfRule type="cellIs" dxfId="23964" priority="696" operator="lessThan">
      <formula>-105575</formula>
    </cfRule>
  </conditionalFormatting>
  <conditionalFormatting sqref="BB285:BB288">
    <cfRule type="cellIs" dxfId="23963" priority="693" operator="lessThan">
      <formula>0</formula>
    </cfRule>
    <cfRule type="cellIs" dxfId="23962" priority="694" operator="lessThan">
      <formula>-105575</formula>
    </cfRule>
  </conditionalFormatting>
  <conditionalFormatting sqref="BB285:BB288">
    <cfRule type="cellIs" dxfId="23961" priority="691" operator="lessThan">
      <formula>0</formula>
    </cfRule>
    <cfRule type="cellIs" dxfId="23960" priority="692" operator="lessThan">
      <formula>-105575</formula>
    </cfRule>
  </conditionalFormatting>
  <conditionalFormatting sqref="BB285:BB288">
    <cfRule type="cellIs" dxfId="23959" priority="689" operator="lessThan">
      <formula>0</formula>
    </cfRule>
    <cfRule type="cellIs" dxfId="23958" priority="690" operator="lessThan">
      <formula>-105575</formula>
    </cfRule>
  </conditionalFormatting>
  <conditionalFormatting sqref="BB285:BB288">
    <cfRule type="cellIs" dxfId="23957" priority="687" operator="lessThan">
      <formula>0</formula>
    </cfRule>
    <cfRule type="cellIs" dxfId="23956" priority="688" operator="lessThan">
      <formula>-105575</formula>
    </cfRule>
  </conditionalFormatting>
  <conditionalFormatting sqref="BB285:BB288">
    <cfRule type="cellIs" dxfId="23955" priority="685" operator="lessThan">
      <formula>0</formula>
    </cfRule>
    <cfRule type="cellIs" dxfId="23954" priority="686" operator="lessThan">
      <formula>-105575</formula>
    </cfRule>
  </conditionalFormatting>
  <conditionalFormatting sqref="BB285:BB288">
    <cfRule type="cellIs" dxfId="23953" priority="683" operator="lessThan">
      <formula>0</formula>
    </cfRule>
    <cfRule type="cellIs" dxfId="23952" priority="684" operator="lessThan">
      <formula>-105575</formula>
    </cfRule>
  </conditionalFormatting>
  <conditionalFormatting sqref="BB203 BB220:BB221 BB235:BB243 BB231:BB233 BB212:BB213 BB225:BB226">
    <cfRule type="cellIs" dxfId="23951" priority="681" operator="lessThan">
      <formula>0</formula>
    </cfRule>
    <cfRule type="cellIs" dxfId="23950" priority="682" operator="lessThan">
      <formula>-105575</formula>
    </cfRule>
  </conditionalFormatting>
  <conditionalFormatting sqref="BB220 BB212:BB213 BB235:BB238 BB240:BB243 BB225:BB226 BB231:BB233">
    <cfRule type="cellIs" dxfId="23949" priority="679" operator="lessThan">
      <formula>0</formula>
    </cfRule>
    <cfRule type="cellIs" dxfId="23948" priority="680" operator="lessThan">
      <formula>-105575</formula>
    </cfRule>
  </conditionalFormatting>
  <conditionalFormatting sqref="BB220:BB221 BB243 BB226 BB231:BB236 BB238:BB241 BB203 BB213">
    <cfRule type="cellIs" dxfId="23947" priority="677" operator="lessThan">
      <formula>0</formula>
    </cfRule>
    <cfRule type="cellIs" dxfId="23946" priority="678" operator="lessThan">
      <formula>-105575</formula>
    </cfRule>
  </conditionalFormatting>
  <conditionalFormatting sqref="BB235:BB243 BB231:BB233 BB220 BB212:BB213 BB225:BB226">
    <cfRule type="cellIs" dxfId="23945" priority="675" operator="lessThan">
      <formula>0</formula>
    </cfRule>
    <cfRule type="cellIs" dxfId="23944" priority="676" operator="lessThan">
      <formula>-105575</formula>
    </cfRule>
  </conditionalFormatting>
  <conditionalFormatting sqref="BB220:BB221 BB237:BB243 BB203 BB231:BB235 BB212:BB213 BB225:BB226">
    <cfRule type="cellIs" dxfId="23943" priority="673" operator="lessThan">
      <formula>0</formula>
    </cfRule>
    <cfRule type="cellIs" dxfId="23942" priority="674" operator="lessThan">
      <formula>-105575</formula>
    </cfRule>
  </conditionalFormatting>
  <conditionalFormatting sqref="BB220:BB221 BB237:BB240 BB242:BB243 BB225:BB226 BB231:BB235">
    <cfRule type="cellIs" dxfId="23941" priority="671" operator="lessThan">
      <formula>0</formula>
    </cfRule>
    <cfRule type="cellIs" dxfId="23940" priority="672" operator="lessThan">
      <formula>-105575</formula>
    </cfRule>
  </conditionalFormatting>
  <conditionalFormatting sqref="BB212 BB231 BB233:BB238 BB240:BB243 BB225">
    <cfRule type="cellIs" dxfId="23939" priority="669" operator="lessThan">
      <formula>0</formula>
    </cfRule>
    <cfRule type="cellIs" dxfId="23938" priority="670" operator="lessThan">
      <formula>-105575</formula>
    </cfRule>
  </conditionalFormatting>
  <conditionalFormatting sqref="BB237:BB243 BB231:BB235 BB220:BB221 BB225:BB226">
    <cfRule type="cellIs" dxfId="23937" priority="667" operator="lessThan">
      <formula>0</formula>
    </cfRule>
    <cfRule type="cellIs" dxfId="23936" priority="668" operator="lessThan">
      <formula>-105575</formula>
    </cfRule>
  </conditionalFormatting>
  <conditionalFormatting sqref="BB233:BB237 BB231 BB239:BB243">
    <cfRule type="cellIs" dxfId="23935" priority="665" operator="lessThan">
      <formula>0</formula>
    </cfRule>
    <cfRule type="cellIs" dxfId="23934" priority="666" operator="lessThan">
      <formula>-105575</formula>
    </cfRule>
  </conditionalFormatting>
  <conditionalFormatting sqref="BB233:BB237 BB231 BB239:BB243">
    <cfRule type="cellIs" dxfId="23933" priority="663" operator="lessThan">
      <formula>0</formula>
    </cfRule>
    <cfRule type="cellIs" dxfId="23932" priority="664" operator="lessThan">
      <formula>-105575</formula>
    </cfRule>
  </conditionalFormatting>
  <conditionalFormatting sqref="BB119:BB128 BB106:BB117 BB101:BB104 BB80:BB98">
    <cfRule type="cellIs" dxfId="23931" priority="661" operator="lessThan">
      <formula>0</formula>
    </cfRule>
    <cfRule type="cellIs" dxfId="23930" priority="662" operator="lessThan">
      <formula>-105575</formula>
    </cfRule>
  </conditionalFormatting>
  <conditionalFormatting sqref="BB130 BB132 BB134">
    <cfRule type="cellIs" dxfId="23929" priority="659" operator="lessThan">
      <formula>0</formula>
    </cfRule>
    <cfRule type="cellIs" dxfId="23928" priority="660" operator="lessThan">
      <formula>-105575</formula>
    </cfRule>
  </conditionalFormatting>
  <conditionalFormatting sqref="BB130 BB132 BB134">
    <cfRule type="cellIs" dxfId="23927" priority="657" operator="lessThan">
      <formula>0</formula>
    </cfRule>
    <cfRule type="cellIs" dxfId="23926" priority="658" operator="lessThan">
      <formula>-105575</formula>
    </cfRule>
  </conditionalFormatting>
  <conditionalFormatting sqref="BB129 BB131 BB133 BB135">
    <cfRule type="cellIs" dxfId="23925" priority="655" operator="lessThan">
      <formula>0</formula>
    </cfRule>
    <cfRule type="cellIs" dxfId="23924" priority="656" operator="lessThan">
      <formula>-105575</formula>
    </cfRule>
  </conditionalFormatting>
  <conditionalFormatting sqref="BB140 BB145 BB142:BB143 BB137:BB138">
    <cfRule type="cellIs" dxfId="23923" priority="653" operator="lessThan">
      <formula>0</formula>
    </cfRule>
    <cfRule type="cellIs" dxfId="23922" priority="654" operator="lessThan">
      <formula>-105575</formula>
    </cfRule>
  </conditionalFormatting>
  <conditionalFormatting sqref="BB149">
    <cfRule type="cellIs" dxfId="23921" priority="651" operator="lessThan">
      <formula>0</formula>
    </cfRule>
    <cfRule type="cellIs" dxfId="23920" priority="652" operator="lessThan">
      <formula>-105575</formula>
    </cfRule>
  </conditionalFormatting>
  <conditionalFormatting sqref="BB129:BB138 BB140:BB149">
    <cfRule type="cellIs" dxfId="23919" priority="649" operator="lessThan">
      <formula>0</formula>
    </cfRule>
    <cfRule type="cellIs" dxfId="23918" priority="650" operator="lessThan">
      <formula>-105575</formula>
    </cfRule>
  </conditionalFormatting>
  <conditionalFormatting sqref="BB94:BB98 BB86:BB87 BB89:BB91 BB141:BB149 BB124:BB133 BB107:BB110 BB112:BB117 BB119:BB122 BB135:BB138 BB101:BB104 BB80:BB84">
    <cfRule type="cellIs" dxfId="23917" priority="647" operator="lessThan">
      <formula>0</formula>
    </cfRule>
    <cfRule type="cellIs" dxfId="23916" priority="648" operator="lessThan">
      <formula>-105575</formula>
    </cfRule>
  </conditionalFormatting>
  <conditionalFormatting sqref="BB129 BB131 BB133 BB135">
    <cfRule type="cellIs" dxfId="23915" priority="645" operator="lessThan">
      <formula>0</formula>
    </cfRule>
    <cfRule type="cellIs" dxfId="23914" priority="646" operator="lessThan">
      <formula>-105575</formula>
    </cfRule>
  </conditionalFormatting>
  <conditionalFormatting sqref="BB146 BB144 BB141">
    <cfRule type="cellIs" dxfId="23913" priority="643" operator="lessThan">
      <formula>0</formula>
    </cfRule>
    <cfRule type="cellIs" dxfId="23912" priority="644" operator="lessThan">
      <formula>-105575</formula>
    </cfRule>
  </conditionalFormatting>
  <conditionalFormatting sqref="BB146 BB144 BB141">
    <cfRule type="cellIs" dxfId="23911" priority="641" operator="lessThan">
      <formula>0</formula>
    </cfRule>
    <cfRule type="cellIs" dxfId="23910" priority="642" operator="lessThan">
      <formula>-105575</formula>
    </cfRule>
  </conditionalFormatting>
  <conditionalFormatting sqref="BB140 BB145 BB142:BB143 BB137:BB138">
    <cfRule type="cellIs" dxfId="23909" priority="639" operator="lessThan">
      <formula>0</formula>
    </cfRule>
    <cfRule type="cellIs" dxfId="23908" priority="640" operator="lessThan">
      <formula>-105575</formula>
    </cfRule>
  </conditionalFormatting>
  <conditionalFormatting sqref="BB149">
    <cfRule type="cellIs" dxfId="23907" priority="637" operator="lessThan">
      <formula>0</formula>
    </cfRule>
    <cfRule type="cellIs" dxfId="23906" priority="638" operator="lessThan">
      <formula>-105575</formula>
    </cfRule>
  </conditionalFormatting>
  <conditionalFormatting sqref="BB94:BB98 BB86:BB87 BB89:BB91 BB141:BB149 BB124:BB133 BB107:BB110 BB112:BB117 BB119:BB122 BB135:BB138 BB101:BB104 BB80:BB84">
    <cfRule type="cellIs" dxfId="23905" priority="635" operator="lessThan">
      <formula>0</formula>
    </cfRule>
    <cfRule type="cellIs" dxfId="23904" priority="636" operator="lessThan">
      <formula>-105575</formula>
    </cfRule>
  </conditionalFormatting>
  <conditionalFormatting sqref="BB62:BB76 BB306:BB309 BB311:BB325 BB327:BB330 BB332:BB341 BB344:BB347 BB349:BB353 BB355:BB358 BB360:BB384 BB386:BB389 BB392:BB395 BB397:BB411 BB413:BB416 BB418:BB432 BB434:BB437 BB439:BB453 BB455:BB458 BB460:BB469 BB7:BB10 BB12:BB14 BB17:BB18 BB21:BB24 BB26:BB28 BB30:BB36 BB38 BB41:BB43 BB46:BB49 BB51:BB55 BB57:BB59 BB290:BB291 BB293:BB304">
    <cfRule type="cellIs" dxfId="23903" priority="633" operator="lessThan">
      <formula>0</formula>
    </cfRule>
    <cfRule type="cellIs" dxfId="23902" priority="634" operator="lessThan">
      <formula>-105575</formula>
    </cfRule>
  </conditionalFormatting>
  <conditionalFormatting sqref="BB41">
    <cfRule type="cellIs" dxfId="23901" priority="631" operator="lessThan">
      <formula>0</formula>
    </cfRule>
    <cfRule type="cellIs" dxfId="23900" priority="632" operator="lessThan">
      <formula>-105575</formula>
    </cfRule>
  </conditionalFormatting>
  <conditionalFormatting sqref="BB152:BB155">
    <cfRule type="cellIs" dxfId="23899" priority="629" operator="lessThan">
      <formula>0</formula>
    </cfRule>
    <cfRule type="cellIs" dxfId="23898" priority="630" operator="lessThan">
      <formula>-105575</formula>
    </cfRule>
  </conditionalFormatting>
  <conditionalFormatting sqref="BB152:BB155">
    <cfRule type="cellIs" dxfId="23897" priority="627" operator="lessThan">
      <formula>0</formula>
    </cfRule>
    <cfRule type="cellIs" dxfId="23896" priority="628" operator="lessThan">
      <formula>-105575</formula>
    </cfRule>
  </conditionalFormatting>
  <conditionalFormatting sqref="BB152:BB155">
    <cfRule type="cellIs" dxfId="23895" priority="625" operator="lessThan">
      <formula>0</formula>
    </cfRule>
    <cfRule type="cellIs" dxfId="23894" priority="626" operator="lessThan">
      <formula>-105575</formula>
    </cfRule>
  </conditionalFormatting>
  <conditionalFormatting sqref="BB157:BB158">
    <cfRule type="cellIs" dxfId="23893" priority="623" operator="lessThan">
      <formula>0</formula>
    </cfRule>
    <cfRule type="cellIs" dxfId="23892" priority="624" operator="lessThan">
      <formula>-105575</formula>
    </cfRule>
  </conditionalFormatting>
  <conditionalFormatting sqref="BB157:BB158">
    <cfRule type="cellIs" dxfId="23891" priority="621" operator="lessThan">
      <formula>0</formula>
    </cfRule>
    <cfRule type="cellIs" dxfId="23890" priority="622" operator="lessThan">
      <formula>-105575</formula>
    </cfRule>
  </conditionalFormatting>
  <conditionalFormatting sqref="BB157:BB158">
    <cfRule type="cellIs" dxfId="23889" priority="619" operator="lessThan">
      <formula>0</formula>
    </cfRule>
    <cfRule type="cellIs" dxfId="23888" priority="620" operator="lessThan">
      <formula>-105575</formula>
    </cfRule>
  </conditionalFormatting>
  <conditionalFormatting sqref="BB160:BB161">
    <cfRule type="cellIs" dxfId="23887" priority="617" operator="lessThan">
      <formula>0</formula>
    </cfRule>
    <cfRule type="cellIs" dxfId="23886" priority="618" operator="lessThan">
      <formula>-105575</formula>
    </cfRule>
  </conditionalFormatting>
  <conditionalFormatting sqref="BB160:BB161">
    <cfRule type="cellIs" dxfId="23885" priority="615" operator="lessThan">
      <formula>0</formula>
    </cfRule>
    <cfRule type="cellIs" dxfId="23884" priority="616" operator="lessThan">
      <formula>-105575</formula>
    </cfRule>
  </conditionalFormatting>
  <conditionalFormatting sqref="BB160:BB161">
    <cfRule type="cellIs" dxfId="23883" priority="613" operator="lessThan">
      <formula>0</formula>
    </cfRule>
    <cfRule type="cellIs" dxfId="23882" priority="614" operator="lessThan">
      <formula>-105575</formula>
    </cfRule>
  </conditionalFormatting>
  <conditionalFormatting sqref="BB164:BB167">
    <cfRule type="cellIs" dxfId="23881" priority="611" operator="lessThan">
      <formula>0</formula>
    </cfRule>
    <cfRule type="cellIs" dxfId="23880" priority="612" operator="lessThan">
      <formula>-105575</formula>
    </cfRule>
  </conditionalFormatting>
  <conditionalFormatting sqref="BB164:BB167">
    <cfRule type="cellIs" dxfId="23879" priority="609" operator="lessThan">
      <formula>0</formula>
    </cfRule>
    <cfRule type="cellIs" dxfId="23878" priority="610" operator="lessThan">
      <formula>-105575</formula>
    </cfRule>
  </conditionalFormatting>
  <conditionalFormatting sqref="BB164:BB167">
    <cfRule type="cellIs" dxfId="23877" priority="607" operator="lessThan">
      <formula>0</formula>
    </cfRule>
    <cfRule type="cellIs" dxfId="23876" priority="608" operator="lessThan">
      <formula>-105575</formula>
    </cfRule>
  </conditionalFormatting>
  <conditionalFormatting sqref="BB169:BB177">
    <cfRule type="cellIs" dxfId="23875" priority="605" operator="lessThan">
      <formula>0</formula>
    </cfRule>
    <cfRule type="cellIs" dxfId="23874" priority="606" operator="lessThan">
      <formula>-105575</formula>
    </cfRule>
  </conditionalFormatting>
  <conditionalFormatting sqref="BB169:BB177">
    <cfRule type="cellIs" dxfId="23873" priority="603" operator="lessThan">
      <formula>0</formula>
    </cfRule>
    <cfRule type="cellIs" dxfId="23872" priority="604" operator="lessThan">
      <formula>-105575</formula>
    </cfRule>
  </conditionalFormatting>
  <conditionalFormatting sqref="BB169:BB177">
    <cfRule type="cellIs" dxfId="23871" priority="601" operator="lessThan">
      <formula>0</formula>
    </cfRule>
    <cfRule type="cellIs" dxfId="23870" priority="602" operator="lessThan">
      <formula>-105575</formula>
    </cfRule>
  </conditionalFormatting>
  <conditionalFormatting sqref="BB179:BB180">
    <cfRule type="cellIs" dxfId="23869" priority="599" operator="lessThan">
      <formula>0</formula>
    </cfRule>
    <cfRule type="cellIs" dxfId="23868" priority="600" operator="lessThan">
      <formula>-105575</formula>
    </cfRule>
  </conditionalFormatting>
  <conditionalFormatting sqref="BB179:BB180">
    <cfRule type="cellIs" dxfId="23867" priority="597" operator="lessThan">
      <formula>0</formula>
    </cfRule>
    <cfRule type="cellIs" dxfId="23866" priority="598" operator="lessThan">
      <formula>-105575</formula>
    </cfRule>
  </conditionalFormatting>
  <conditionalFormatting sqref="BB179:BB180">
    <cfRule type="cellIs" dxfId="23865" priority="595" operator="lessThan">
      <formula>0</formula>
    </cfRule>
    <cfRule type="cellIs" dxfId="23864" priority="596" operator="lessThan">
      <formula>-105575</formula>
    </cfRule>
  </conditionalFormatting>
  <conditionalFormatting sqref="BB183:BB189">
    <cfRule type="cellIs" dxfId="23863" priority="593" operator="lessThan">
      <formula>0</formula>
    </cfRule>
    <cfRule type="cellIs" dxfId="23862" priority="594" operator="lessThan">
      <formula>-105575</formula>
    </cfRule>
  </conditionalFormatting>
  <conditionalFormatting sqref="BB183:BB189">
    <cfRule type="cellIs" dxfId="23861" priority="591" operator="lessThan">
      <formula>0</formula>
    </cfRule>
    <cfRule type="cellIs" dxfId="23860" priority="592" operator="lessThan">
      <formula>-105575</formula>
    </cfRule>
  </conditionalFormatting>
  <conditionalFormatting sqref="BB183:BB189">
    <cfRule type="cellIs" dxfId="23859" priority="589" operator="lessThan">
      <formula>0</formula>
    </cfRule>
    <cfRule type="cellIs" dxfId="23858" priority="590" operator="lessThan">
      <formula>-105575</formula>
    </cfRule>
  </conditionalFormatting>
  <conditionalFormatting sqref="BB191:BB192">
    <cfRule type="cellIs" dxfId="23857" priority="587" operator="lessThan">
      <formula>0</formula>
    </cfRule>
    <cfRule type="cellIs" dxfId="23856" priority="588" operator="lessThan">
      <formula>-105575</formula>
    </cfRule>
  </conditionalFormatting>
  <conditionalFormatting sqref="BB191:BB192">
    <cfRule type="cellIs" dxfId="23855" priority="585" operator="lessThan">
      <formula>0</formula>
    </cfRule>
    <cfRule type="cellIs" dxfId="23854" priority="586" operator="lessThan">
      <formula>-105575</formula>
    </cfRule>
  </conditionalFormatting>
  <conditionalFormatting sqref="BB191:BB192">
    <cfRule type="cellIs" dxfId="23853" priority="583" operator="lessThan">
      <formula>0</formula>
    </cfRule>
    <cfRule type="cellIs" dxfId="23852" priority="584" operator="lessThan">
      <formula>-105575</formula>
    </cfRule>
  </conditionalFormatting>
  <conditionalFormatting sqref="BB194:BB195">
    <cfRule type="cellIs" dxfId="23851" priority="581" operator="lessThan">
      <formula>0</formula>
    </cfRule>
    <cfRule type="cellIs" dxfId="23850" priority="582" operator="lessThan">
      <formula>-105575</formula>
    </cfRule>
  </conditionalFormatting>
  <conditionalFormatting sqref="BB194:BB195">
    <cfRule type="cellIs" dxfId="23849" priority="579" operator="lessThan">
      <formula>0</formula>
    </cfRule>
    <cfRule type="cellIs" dxfId="23848" priority="580" operator="lessThan">
      <formula>-105575</formula>
    </cfRule>
  </conditionalFormatting>
  <conditionalFormatting sqref="BB194:BB195">
    <cfRule type="cellIs" dxfId="23847" priority="577" operator="lessThan">
      <formula>0</formula>
    </cfRule>
    <cfRule type="cellIs" dxfId="23846" priority="578" operator="lessThan">
      <formula>-105575</formula>
    </cfRule>
  </conditionalFormatting>
  <conditionalFormatting sqref="BB199:BB202">
    <cfRule type="cellIs" dxfId="23845" priority="575" operator="lessThan">
      <formula>0</formula>
    </cfRule>
    <cfRule type="cellIs" dxfId="23844" priority="576" operator="lessThan">
      <formula>-105575</formula>
    </cfRule>
  </conditionalFormatting>
  <conditionalFormatting sqref="BB199:BB202">
    <cfRule type="cellIs" dxfId="23843" priority="573" operator="lessThan">
      <formula>0</formula>
    </cfRule>
    <cfRule type="cellIs" dxfId="23842" priority="574" operator="lessThan">
      <formula>-105575</formula>
    </cfRule>
  </conditionalFormatting>
  <conditionalFormatting sqref="BB199:BB202">
    <cfRule type="cellIs" dxfId="23841" priority="571" operator="lessThan">
      <formula>0</formula>
    </cfRule>
    <cfRule type="cellIs" dxfId="23840" priority="572" operator="lessThan">
      <formula>-105575</formula>
    </cfRule>
  </conditionalFormatting>
  <conditionalFormatting sqref="BB204:BB208">
    <cfRule type="cellIs" dxfId="23839" priority="569" operator="lessThan">
      <formula>0</formula>
    </cfRule>
    <cfRule type="cellIs" dxfId="23838" priority="570" operator="lessThan">
      <formula>-105575</formula>
    </cfRule>
  </conditionalFormatting>
  <conditionalFormatting sqref="BB204:BB208">
    <cfRule type="cellIs" dxfId="23837" priority="567" operator="lessThan">
      <formula>0</formula>
    </cfRule>
    <cfRule type="cellIs" dxfId="23836" priority="568" operator="lessThan">
      <formula>-105575</formula>
    </cfRule>
  </conditionalFormatting>
  <conditionalFormatting sqref="BB204:BB208">
    <cfRule type="cellIs" dxfId="23835" priority="565" operator="lessThan">
      <formula>0</formula>
    </cfRule>
    <cfRule type="cellIs" dxfId="23834" priority="566" operator="lessThan">
      <formula>-105575</formula>
    </cfRule>
  </conditionalFormatting>
  <conditionalFormatting sqref="BB210:BB211">
    <cfRule type="cellIs" dxfId="23833" priority="563" operator="lessThan">
      <formula>0</formula>
    </cfRule>
    <cfRule type="cellIs" dxfId="23832" priority="564" operator="lessThan">
      <formula>-105575</formula>
    </cfRule>
  </conditionalFormatting>
  <conditionalFormatting sqref="BB210:BB211">
    <cfRule type="cellIs" dxfId="23831" priority="561" operator="lessThan">
      <formula>0</formula>
    </cfRule>
    <cfRule type="cellIs" dxfId="23830" priority="562" operator="lessThan">
      <formula>-105575</formula>
    </cfRule>
  </conditionalFormatting>
  <conditionalFormatting sqref="BB210:BB211">
    <cfRule type="cellIs" dxfId="23829" priority="559" operator="lessThan">
      <formula>0</formula>
    </cfRule>
    <cfRule type="cellIs" dxfId="23828" priority="560" operator="lessThan">
      <formula>-105575</formula>
    </cfRule>
  </conditionalFormatting>
  <conditionalFormatting sqref="BB214:BB219">
    <cfRule type="cellIs" dxfId="23827" priority="557" operator="lessThan">
      <formula>0</formula>
    </cfRule>
    <cfRule type="cellIs" dxfId="23826" priority="558" operator="lessThan">
      <formula>-105575</formula>
    </cfRule>
  </conditionalFormatting>
  <conditionalFormatting sqref="BB214:BB219">
    <cfRule type="cellIs" dxfId="23825" priority="555" operator="lessThan">
      <formula>0</formula>
    </cfRule>
    <cfRule type="cellIs" dxfId="23824" priority="556" operator="lessThan">
      <formula>-105575</formula>
    </cfRule>
  </conditionalFormatting>
  <conditionalFormatting sqref="BB214:BB219">
    <cfRule type="cellIs" dxfId="23823" priority="553" operator="lessThan">
      <formula>0</formula>
    </cfRule>
    <cfRule type="cellIs" dxfId="23822" priority="554" operator="lessThan">
      <formula>-105575</formula>
    </cfRule>
  </conditionalFormatting>
  <conditionalFormatting sqref="BB222:BB224">
    <cfRule type="cellIs" dxfId="23821" priority="551" operator="lessThan">
      <formula>0</formula>
    </cfRule>
    <cfRule type="cellIs" dxfId="23820" priority="552" operator="lessThan">
      <formula>-105575</formula>
    </cfRule>
  </conditionalFormatting>
  <conditionalFormatting sqref="BB222:BB224">
    <cfRule type="cellIs" dxfId="23819" priority="549" operator="lessThan">
      <formula>0</formula>
    </cfRule>
    <cfRule type="cellIs" dxfId="23818" priority="550" operator="lessThan">
      <formula>-105575</formula>
    </cfRule>
  </conditionalFormatting>
  <conditionalFormatting sqref="BB222:BB224">
    <cfRule type="cellIs" dxfId="23817" priority="547" operator="lessThan">
      <formula>0</formula>
    </cfRule>
    <cfRule type="cellIs" dxfId="23816" priority="548" operator="lessThan">
      <formula>-105575</formula>
    </cfRule>
  </conditionalFormatting>
  <conditionalFormatting sqref="BB227:BB230">
    <cfRule type="cellIs" dxfId="23815" priority="545" operator="lessThan">
      <formula>0</formula>
    </cfRule>
    <cfRule type="cellIs" dxfId="23814" priority="546" operator="lessThan">
      <formula>-105575</formula>
    </cfRule>
  </conditionalFormatting>
  <conditionalFormatting sqref="BB227:BB230">
    <cfRule type="cellIs" dxfId="23813" priority="543" operator="lessThan">
      <formula>0</formula>
    </cfRule>
    <cfRule type="cellIs" dxfId="23812" priority="544" operator="lessThan">
      <formula>-105575</formula>
    </cfRule>
  </conditionalFormatting>
  <conditionalFormatting sqref="BB227:BB230">
    <cfRule type="cellIs" dxfId="23811" priority="541" operator="lessThan">
      <formula>0</formula>
    </cfRule>
    <cfRule type="cellIs" dxfId="23810" priority="542" operator="lessThan">
      <formula>-105575</formula>
    </cfRule>
  </conditionalFormatting>
  <conditionalFormatting sqref="BB246:BB249">
    <cfRule type="cellIs" dxfId="23809" priority="539" operator="lessThan">
      <formula>0</formula>
    </cfRule>
    <cfRule type="cellIs" dxfId="23808" priority="540" operator="lessThan">
      <formula>-105575</formula>
    </cfRule>
  </conditionalFormatting>
  <conditionalFormatting sqref="BB246:BB249">
    <cfRule type="cellIs" dxfId="23807" priority="537" operator="lessThan">
      <formula>0</formula>
    </cfRule>
    <cfRule type="cellIs" dxfId="23806" priority="538" operator="lessThan">
      <formula>-105575</formula>
    </cfRule>
  </conditionalFormatting>
  <conditionalFormatting sqref="BB246:BB249">
    <cfRule type="cellIs" dxfId="23805" priority="535" operator="lessThan">
      <formula>0</formula>
    </cfRule>
    <cfRule type="cellIs" dxfId="23804" priority="536" operator="lessThan">
      <formula>-105575</formula>
    </cfRule>
  </conditionalFormatting>
  <conditionalFormatting sqref="BB246:BB249">
    <cfRule type="cellIs" dxfId="23803" priority="533" operator="lessThan">
      <formula>0</formula>
    </cfRule>
    <cfRule type="cellIs" dxfId="23802" priority="534" operator="lessThan">
      <formula>-105575</formula>
    </cfRule>
  </conditionalFormatting>
  <conditionalFormatting sqref="BB246:BB249">
    <cfRule type="cellIs" dxfId="23801" priority="531" operator="lessThan">
      <formula>0</formula>
    </cfRule>
    <cfRule type="cellIs" dxfId="23800" priority="532" operator="lessThan">
      <formula>-105575</formula>
    </cfRule>
  </conditionalFormatting>
  <conditionalFormatting sqref="BB246:BB249">
    <cfRule type="cellIs" dxfId="23799" priority="529" operator="lessThan">
      <formula>0</formula>
    </cfRule>
    <cfRule type="cellIs" dxfId="23798" priority="530" operator="lessThan">
      <formula>-105575</formula>
    </cfRule>
  </conditionalFormatting>
  <conditionalFormatting sqref="BB246:BB249">
    <cfRule type="cellIs" dxfId="23797" priority="527" operator="lessThan">
      <formula>0</formula>
    </cfRule>
    <cfRule type="cellIs" dxfId="23796" priority="528" operator="lessThan">
      <formula>-105575</formula>
    </cfRule>
  </conditionalFormatting>
  <conditionalFormatting sqref="BB246:BB249">
    <cfRule type="cellIs" dxfId="23795" priority="525" operator="lessThan">
      <formula>0</formula>
    </cfRule>
    <cfRule type="cellIs" dxfId="23794" priority="526" operator="lessThan">
      <formula>-105575</formula>
    </cfRule>
  </conditionalFormatting>
  <conditionalFormatting sqref="BB246:BB249">
    <cfRule type="cellIs" dxfId="23793" priority="523" operator="lessThan">
      <formula>0</formula>
    </cfRule>
    <cfRule type="cellIs" dxfId="23792" priority="524" operator="lessThan">
      <formula>-105575</formula>
    </cfRule>
  </conditionalFormatting>
  <conditionalFormatting sqref="BB251:BB253">
    <cfRule type="cellIs" dxfId="23791" priority="521" operator="lessThan">
      <formula>0</formula>
    </cfRule>
    <cfRule type="cellIs" dxfId="23790" priority="522" operator="lessThan">
      <formula>-105575</formula>
    </cfRule>
  </conditionalFormatting>
  <conditionalFormatting sqref="BB251:BB253">
    <cfRule type="cellIs" dxfId="23789" priority="519" operator="lessThan">
      <formula>0</formula>
    </cfRule>
    <cfRule type="cellIs" dxfId="23788" priority="520" operator="lessThan">
      <formula>-105575</formula>
    </cfRule>
  </conditionalFormatting>
  <conditionalFormatting sqref="BB251:BB253">
    <cfRule type="cellIs" dxfId="23787" priority="517" operator="lessThan">
      <formula>0</formula>
    </cfRule>
    <cfRule type="cellIs" dxfId="23786" priority="518" operator="lessThan">
      <formula>-105575</formula>
    </cfRule>
  </conditionalFormatting>
  <conditionalFormatting sqref="BB251:BB253">
    <cfRule type="cellIs" dxfId="23785" priority="515" operator="lessThan">
      <formula>0</formula>
    </cfRule>
    <cfRule type="cellIs" dxfId="23784" priority="516" operator="lessThan">
      <formula>-105575</formula>
    </cfRule>
  </conditionalFormatting>
  <conditionalFormatting sqref="BB251:BB253">
    <cfRule type="cellIs" dxfId="23783" priority="513" operator="lessThan">
      <formula>0</formula>
    </cfRule>
    <cfRule type="cellIs" dxfId="23782" priority="514" operator="lessThan">
      <formula>-105575</formula>
    </cfRule>
  </conditionalFormatting>
  <conditionalFormatting sqref="BB251:BB253">
    <cfRule type="cellIs" dxfId="23781" priority="511" operator="lessThan">
      <formula>0</formula>
    </cfRule>
    <cfRule type="cellIs" dxfId="23780" priority="512" operator="lessThan">
      <formula>-105575</formula>
    </cfRule>
  </conditionalFormatting>
  <conditionalFormatting sqref="BB251:BB253">
    <cfRule type="cellIs" dxfId="23779" priority="509" operator="lessThan">
      <formula>0</formula>
    </cfRule>
    <cfRule type="cellIs" dxfId="23778" priority="510" operator="lessThan">
      <formula>-105575</formula>
    </cfRule>
  </conditionalFormatting>
  <conditionalFormatting sqref="BB251:BB253">
    <cfRule type="cellIs" dxfId="23777" priority="507" operator="lessThan">
      <formula>0</formula>
    </cfRule>
    <cfRule type="cellIs" dxfId="23776" priority="508" operator="lessThan">
      <formula>-105575</formula>
    </cfRule>
  </conditionalFormatting>
  <conditionalFormatting sqref="BB251:BB253">
    <cfRule type="cellIs" dxfId="23775" priority="505" operator="lessThan">
      <formula>0</formula>
    </cfRule>
    <cfRule type="cellIs" dxfId="23774" priority="506" operator="lessThan">
      <formula>-105575</formula>
    </cfRule>
  </conditionalFormatting>
  <conditionalFormatting sqref="BB255:BB257">
    <cfRule type="cellIs" dxfId="23773" priority="503" operator="lessThan">
      <formula>0</formula>
    </cfRule>
    <cfRule type="cellIs" dxfId="23772" priority="504" operator="lessThan">
      <formula>-105575</formula>
    </cfRule>
  </conditionalFormatting>
  <conditionalFormatting sqref="BB255:BB257">
    <cfRule type="cellIs" dxfId="23771" priority="501" operator="lessThan">
      <formula>0</formula>
    </cfRule>
    <cfRule type="cellIs" dxfId="23770" priority="502" operator="lessThan">
      <formula>-105575</formula>
    </cfRule>
  </conditionalFormatting>
  <conditionalFormatting sqref="BB255:BB257">
    <cfRule type="cellIs" dxfId="23769" priority="499" operator="lessThan">
      <formula>0</formula>
    </cfRule>
    <cfRule type="cellIs" dxfId="23768" priority="500" operator="lessThan">
      <formula>-105575</formula>
    </cfRule>
  </conditionalFormatting>
  <conditionalFormatting sqref="BB255:BB257">
    <cfRule type="cellIs" dxfId="23767" priority="497" operator="lessThan">
      <formula>0</formula>
    </cfRule>
    <cfRule type="cellIs" dxfId="23766" priority="498" operator="lessThan">
      <formula>-105575</formula>
    </cfRule>
  </conditionalFormatting>
  <conditionalFormatting sqref="BB255:BB257">
    <cfRule type="cellIs" dxfId="23765" priority="495" operator="lessThan">
      <formula>0</formula>
    </cfRule>
    <cfRule type="cellIs" dxfId="23764" priority="496" operator="lessThan">
      <formula>-105575</formula>
    </cfRule>
  </conditionalFormatting>
  <conditionalFormatting sqref="BB255:BB257">
    <cfRule type="cellIs" dxfId="23763" priority="493" operator="lessThan">
      <formula>0</formula>
    </cfRule>
    <cfRule type="cellIs" dxfId="23762" priority="494" operator="lessThan">
      <formula>-105575</formula>
    </cfRule>
  </conditionalFormatting>
  <conditionalFormatting sqref="BB255:BB257">
    <cfRule type="cellIs" dxfId="23761" priority="491" operator="lessThan">
      <formula>0</formula>
    </cfRule>
    <cfRule type="cellIs" dxfId="23760" priority="492" operator="lessThan">
      <formula>-105575</formula>
    </cfRule>
  </conditionalFormatting>
  <conditionalFormatting sqref="BB255:BB257">
    <cfRule type="cellIs" dxfId="23759" priority="489" operator="lessThan">
      <formula>0</formula>
    </cfRule>
    <cfRule type="cellIs" dxfId="23758" priority="490" operator="lessThan">
      <formula>-105575</formula>
    </cfRule>
  </conditionalFormatting>
  <conditionalFormatting sqref="BB255:BB257">
    <cfRule type="cellIs" dxfId="23757" priority="487" operator="lessThan">
      <formula>0</formula>
    </cfRule>
    <cfRule type="cellIs" dxfId="23756" priority="488" operator="lessThan">
      <formula>-105575</formula>
    </cfRule>
  </conditionalFormatting>
  <conditionalFormatting sqref="BB260:BB262">
    <cfRule type="cellIs" dxfId="23755" priority="485" operator="lessThan">
      <formula>0</formula>
    </cfRule>
    <cfRule type="cellIs" dxfId="23754" priority="486" operator="lessThan">
      <formula>-105575</formula>
    </cfRule>
  </conditionalFormatting>
  <conditionalFormatting sqref="BB260:BB262">
    <cfRule type="cellIs" dxfId="23753" priority="483" operator="lessThan">
      <formula>0</formula>
    </cfRule>
    <cfRule type="cellIs" dxfId="23752" priority="484" operator="lessThan">
      <formula>-105575</formula>
    </cfRule>
  </conditionalFormatting>
  <conditionalFormatting sqref="BB260:BB262">
    <cfRule type="cellIs" dxfId="23751" priority="481" operator="lessThan">
      <formula>0</formula>
    </cfRule>
    <cfRule type="cellIs" dxfId="23750" priority="482" operator="lessThan">
      <formula>-105575</formula>
    </cfRule>
  </conditionalFormatting>
  <conditionalFormatting sqref="BB260:BB262">
    <cfRule type="cellIs" dxfId="23749" priority="479" operator="lessThan">
      <formula>0</formula>
    </cfRule>
    <cfRule type="cellIs" dxfId="23748" priority="480" operator="lessThan">
      <formula>-105575</formula>
    </cfRule>
  </conditionalFormatting>
  <conditionalFormatting sqref="BB260:BB262">
    <cfRule type="cellIs" dxfId="23747" priority="477" operator="lessThan">
      <formula>0</formula>
    </cfRule>
    <cfRule type="cellIs" dxfId="23746" priority="478" operator="lessThan">
      <formula>-105575</formula>
    </cfRule>
  </conditionalFormatting>
  <conditionalFormatting sqref="BB260:BB262">
    <cfRule type="cellIs" dxfId="23745" priority="475" operator="lessThan">
      <formula>0</formula>
    </cfRule>
    <cfRule type="cellIs" dxfId="23744" priority="476" operator="lessThan">
      <formula>-105575</formula>
    </cfRule>
  </conditionalFormatting>
  <conditionalFormatting sqref="BB260:BB262">
    <cfRule type="cellIs" dxfId="23743" priority="473" operator="lessThan">
      <formula>0</formula>
    </cfRule>
    <cfRule type="cellIs" dxfId="23742" priority="474" operator="lessThan">
      <formula>-105575</formula>
    </cfRule>
  </conditionalFormatting>
  <conditionalFormatting sqref="BB260:BB262">
    <cfRule type="cellIs" dxfId="23741" priority="471" operator="lessThan">
      <formula>0</formula>
    </cfRule>
    <cfRule type="cellIs" dxfId="23740" priority="472" operator="lessThan">
      <formula>-105575</formula>
    </cfRule>
  </conditionalFormatting>
  <conditionalFormatting sqref="BB260:BB262">
    <cfRule type="cellIs" dxfId="23739" priority="469" operator="lessThan">
      <formula>0</formula>
    </cfRule>
    <cfRule type="cellIs" dxfId="23738" priority="470" operator="lessThan">
      <formula>-105575</formula>
    </cfRule>
  </conditionalFormatting>
  <conditionalFormatting sqref="BB264:BB267">
    <cfRule type="cellIs" dxfId="23737" priority="467" operator="lessThan">
      <formula>0</formula>
    </cfRule>
    <cfRule type="cellIs" dxfId="23736" priority="468" operator="lessThan">
      <formula>-105575</formula>
    </cfRule>
  </conditionalFormatting>
  <conditionalFormatting sqref="BB264:BB267">
    <cfRule type="cellIs" dxfId="23735" priority="465" operator="lessThan">
      <formula>0</formula>
    </cfRule>
    <cfRule type="cellIs" dxfId="23734" priority="466" operator="lessThan">
      <formula>-105575</formula>
    </cfRule>
  </conditionalFormatting>
  <conditionalFormatting sqref="BB264:BB267">
    <cfRule type="cellIs" dxfId="23733" priority="463" operator="lessThan">
      <formula>0</formula>
    </cfRule>
    <cfRule type="cellIs" dxfId="23732" priority="464" operator="lessThan">
      <formula>-105575</formula>
    </cfRule>
  </conditionalFormatting>
  <conditionalFormatting sqref="BB264:BB267">
    <cfRule type="cellIs" dxfId="23731" priority="461" operator="lessThan">
      <formula>0</formula>
    </cfRule>
    <cfRule type="cellIs" dxfId="23730" priority="462" operator="lessThan">
      <formula>-105575</formula>
    </cfRule>
  </conditionalFormatting>
  <conditionalFormatting sqref="BB264:BB267">
    <cfRule type="cellIs" dxfId="23729" priority="459" operator="lessThan">
      <formula>0</formula>
    </cfRule>
    <cfRule type="cellIs" dxfId="23728" priority="460" operator="lessThan">
      <formula>-105575</formula>
    </cfRule>
  </conditionalFormatting>
  <conditionalFormatting sqref="BB264:BB267">
    <cfRule type="cellIs" dxfId="23727" priority="457" operator="lessThan">
      <formula>0</formula>
    </cfRule>
    <cfRule type="cellIs" dxfId="23726" priority="458" operator="lessThan">
      <formula>-105575</formula>
    </cfRule>
  </conditionalFormatting>
  <conditionalFormatting sqref="BB264:BB267">
    <cfRule type="cellIs" dxfId="23725" priority="455" operator="lessThan">
      <formula>0</formula>
    </cfRule>
    <cfRule type="cellIs" dxfId="23724" priority="456" operator="lessThan">
      <formula>-105575</formula>
    </cfRule>
  </conditionalFormatting>
  <conditionalFormatting sqref="BB264:BB267">
    <cfRule type="cellIs" dxfId="23723" priority="453" operator="lessThan">
      <formula>0</formula>
    </cfRule>
    <cfRule type="cellIs" dxfId="23722" priority="454" operator="lessThan">
      <formula>-105575</formula>
    </cfRule>
  </conditionalFormatting>
  <conditionalFormatting sqref="BB264:BB267">
    <cfRule type="cellIs" dxfId="23721" priority="451" operator="lessThan">
      <formula>0</formula>
    </cfRule>
    <cfRule type="cellIs" dxfId="23720" priority="452" operator="lessThan">
      <formula>-105575</formula>
    </cfRule>
  </conditionalFormatting>
  <conditionalFormatting sqref="BB270:BB272">
    <cfRule type="cellIs" dxfId="23719" priority="449" operator="lessThan">
      <formula>0</formula>
    </cfRule>
    <cfRule type="cellIs" dxfId="23718" priority="450" operator="lessThan">
      <formula>-105575</formula>
    </cfRule>
  </conditionalFormatting>
  <conditionalFormatting sqref="BB270:BB272">
    <cfRule type="cellIs" dxfId="23717" priority="447" operator="lessThan">
      <formula>0</formula>
    </cfRule>
    <cfRule type="cellIs" dxfId="23716" priority="448" operator="lessThan">
      <formula>-105575</formula>
    </cfRule>
  </conditionalFormatting>
  <conditionalFormatting sqref="BB270:BB272">
    <cfRule type="cellIs" dxfId="23715" priority="445" operator="lessThan">
      <formula>0</formula>
    </cfRule>
    <cfRule type="cellIs" dxfId="23714" priority="446" operator="lessThan">
      <formula>-105575</formula>
    </cfRule>
  </conditionalFormatting>
  <conditionalFormatting sqref="BB270:BB272">
    <cfRule type="cellIs" dxfId="23713" priority="443" operator="lessThan">
      <formula>0</formula>
    </cfRule>
    <cfRule type="cellIs" dxfId="23712" priority="444" operator="lessThan">
      <formula>-105575</formula>
    </cfRule>
  </conditionalFormatting>
  <conditionalFormatting sqref="BB270:BB272">
    <cfRule type="cellIs" dxfId="23711" priority="441" operator="lessThan">
      <formula>0</formula>
    </cfRule>
    <cfRule type="cellIs" dxfId="23710" priority="442" operator="lessThan">
      <formula>-105575</formula>
    </cfRule>
  </conditionalFormatting>
  <conditionalFormatting sqref="BB270:BB272">
    <cfRule type="cellIs" dxfId="23709" priority="439" operator="lessThan">
      <formula>0</formula>
    </cfRule>
    <cfRule type="cellIs" dxfId="23708" priority="440" operator="lessThan">
      <formula>-105575</formula>
    </cfRule>
  </conditionalFormatting>
  <conditionalFormatting sqref="BB270:BB272">
    <cfRule type="cellIs" dxfId="23707" priority="437" operator="lessThan">
      <formula>0</formula>
    </cfRule>
    <cfRule type="cellIs" dxfId="23706" priority="438" operator="lessThan">
      <formula>-105575</formula>
    </cfRule>
  </conditionalFormatting>
  <conditionalFormatting sqref="BB270:BB272">
    <cfRule type="cellIs" dxfId="23705" priority="435" operator="lessThan">
      <formula>0</formula>
    </cfRule>
    <cfRule type="cellIs" dxfId="23704" priority="436" operator="lessThan">
      <formula>-105575</formula>
    </cfRule>
  </conditionalFormatting>
  <conditionalFormatting sqref="BB270:BB272">
    <cfRule type="cellIs" dxfId="23703" priority="433" operator="lessThan">
      <formula>0</formula>
    </cfRule>
    <cfRule type="cellIs" dxfId="23702" priority="434" operator="lessThan">
      <formula>-105575</formula>
    </cfRule>
  </conditionalFormatting>
  <conditionalFormatting sqref="BB274:BB275">
    <cfRule type="cellIs" dxfId="23701" priority="431" operator="lessThan">
      <formula>0</formula>
    </cfRule>
    <cfRule type="cellIs" dxfId="23700" priority="432" operator="lessThan">
      <formula>-105575</formula>
    </cfRule>
  </conditionalFormatting>
  <conditionalFormatting sqref="BB274:BB275">
    <cfRule type="cellIs" dxfId="23699" priority="429" operator="lessThan">
      <formula>0</formula>
    </cfRule>
    <cfRule type="cellIs" dxfId="23698" priority="430" operator="lessThan">
      <formula>-105575</formula>
    </cfRule>
  </conditionalFormatting>
  <conditionalFormatting sqref="BB274:BB275">
    <cfRule type="cellIs" dxfId="23697" priority="427" operator="lessThan">
      <formula>0</formula>
    </cfRule>
    <cfRule type="cellIs" dxfId="23696" priority="428" operator="lessThan">
      <formula>-105575</formula>
    </cfRule>
  </conditionalFormatting>
  <conditionalFormatting sqref="BB274:BB275">
    <cfRule type="cellIs" dxfId="23695" priority="425" operator="lessThan">
      <formula>0</formula>
    </cfRule>
    <cfRule type="cellIs" dxfId="23694" priority="426" operator="lessThan">
      <formula>-105575</formula>
    </cfRule>
  </conditionalFormatting>
  <conditionalFormatting sqref="BB274:BB275">
    <cfRule type="cellIs" dxfId="23693" priority="423" operator="lessThan">
      <formula>0</formula>
    </cfRule>
    <cfRule type="cellIs" dxfId="23692" priority="424" operator="lessThan">
      <formula>-105575</formula>
    </cfRule>
  </conditionalFormatting>
  <conditionalFormatting sqref="BB274:BB275">
    <cfRule type="cellIs" dxfId="23691" priority="421" operator="lessThan">
      <formula>0</formula>
    </cfRule>
    <cfRule type="cellIs" dxfId="23690" priority="422" operator="lessThan">
      <formula>-105575</formula>
    </cfRule>
  </conditionalFormatting>
  <conditionalFormatting sqref="BB274:BB275">
    <cfRule type="cellIs" dxfId="23689" priority="419" operator="lessThan">
      <formula>0</formula>
    </cfRule>
    <cfRule type="cellIs" dxfId="23688" priority="420" operator="lessThan">
      <formula>-105575</formula>
    </cfRule>
  </conditionalFormatting>
  <conditionalFormatting sqref="BB274:BB275">
    <cfRule type="cellIs" dxfId="23687" priority="417" operator="lessThan">
      <formula>0</formula>
    </cfRule>
    <cfRule type="cellIs" dxfId="23686" priority="418" operator="lessThan">
      <formula>-105575</formula>
    </cfRule>
  </conditionalFormatting>
  <conditionalFormatting sqref="BB274:BB275">
    <cfRule type="cellIs" dxfId="23685" priority="415" operator="lessThan">
      <formula>0</formula>
    </cfRule>
    <cfRule type="cellIs" dxfId="23684" priority="416" operator="lessThan">
      <formula>-105575</formula>
    </cfRule>
  </conditionalFormatting>
  <conditionalFormatting sqref="BB278:BB282">
    <cfRule type="cellIs" dxfId="23683" priority="413" operator="lessThan">
      <formula>0</formula>
    </cfRule>
    <cfRule type="cellIs" dxfId="23682" priority="414" operator="lessThan">
      <formula>-105575</formula>
    </cfRule>
  </conditionalFormatting>
  <conditionalFormatting sqref="BB278:BB282">
    <cfRule type="cellIs" dxfId="23681" priority="411" operator="lessThan">
      <formula>0</formula>
    </cfRule>
    <cfRule type="cellIs" dxfId="23680" priority="412" operator="lessThan">
      <formula>-105575</formula>
    </cfRule>
  </conditionalFormatting>
  <conditionalFormatting sqref="BB278:BB282">
    <cfRule type="cellIs" dxfId="23679" priority="409" operator="lessThan">
      <formula>0</formula>
    </cfRule>
    <cfRule type="cellIs" dxfId="23678" priority="410" operator="lessThan">
      <formula>-105575</formula>
    </cfRule>
  </conditionalFormatting>
  <conditionalFormatting sqref="BB278:BB282">
    <cfRule type="cellIs" dxfId="23677" priority="407" operator="lessThan">
      <formula>0</formula>
    </cfRule>
    <cfRule type="cellIs" dxfId="23676" priority="408" operator="lessThan">
      <formula>-105575</formula>
    </cfRule>
  </conditionalFormatting>
  <conditionalFormatting sqref="BB278:BB282">
    <cfRule type="cellIs" dxfId="23675" priority="405" operator="lessThan">
      <formula>0</formula>
    </cfRule>
    <cfRule type="cellIs" dxfId="23674" priority="406" operator="lessThan">
      <formula>-105575</formula>
    </cfRule>
  </conditionalFormatting>
  <conditionalFormatting sqref="BB278:BB282">
    <cfRule type="cellIs" dxfId="23673" priority="403" operator="lessThan">
      <formula>0</formula>
    </cfRule>
    <cfRule type="cellIs" dxfId="23672" priority="404" operator="lessThan">
      <formula>-105575</formula>
    </cfRule>
  </conditionalFormatting>
  <conditionalFormatting sqref="BB278:BB282">
    <cfRule type="cellIs" dxfId="23671" priority="401" operator="lessThan">
      <formula>0</formula>
    </cfRule>
    <cfRule type="cellIs" dxfId="23670" priority="402" operator="lessThan">
      <formula>-105575</formula>
    </cfRule>
  </conditionalFormatting>
  <conditionalFormatting sqref="BB278:BB282">
    <cfRule type="cellIs" dxfId="23669" priority="399" operator="lessThan">
      <formula>0</formula>
    </cfRule>
    <cfRule type="cellIs" dxfId="23668" priority="400" operator="lessThan">
      <formula>-105575</formula>
    </cfRule>
  </conditionalFormatting>
  <conditionalFormatting sqref="BB278:BB282">
    <cfRule type="cellIs" dxfId="23667" priority="397" operator="lessThan">
      <formula>0</formula>
    </cfRule>
    <cfRule type="cellIs" dxfId="23666" priority="398" operator="lessThan">
      <formula>-105575</formula>
    </cfRule>
  </conditionalFormatting>
  <conditionalFormatting sqref="BB285:BB288">
    <cfRule type="cellIs" dxfId="23665" priority="395" operator="lessThan">
      <formula>0</formula>
    </cfRule>
    <cfRule type="cellIs" dxfId="23664" priority="396" operator="lessThan">
      <formula>-105575</formula>
    </cfRule>
  </conditionalFormatting>
  <conditionalFormatting sqref="BB285:BB288">
    <cfRule type="cellIs" dxfId="23663" priority="393" operator="lessThan">
      <formula>0</formula>
    </cfRule>
    <cfRule type="cellIs" dxfId="23662" priority="394" operator="lessThan">
      <formula>-105575</formula>
    </cfRule>
  </conditionalFormatting>
  <conditionalFormatting sqref="BB285:BB288">
    <cfRule type="cellIs" dxfId="23661" priority="391" operator="lessThan">
      <formula>0</formula>
    </cfRule>
    <cfRule type="cellIs" dxfId="23660" priority="392" operator="lessThan">
      <formula>-105575</formula>
    </cfRule>
  </conditionalFormatting>
  <conditionalFormatting sqref="BB285:BB288">
    <cfRule type="cellIs" dxfId="23659" priority="389" operator="lessThan">
      <formula>0</formula>
    </cfRule>
    <cfRule type="cellIs" dxfId="23658" priority="390" operator="lessThan">
      <formula>-105575</formula>
    </cfRule>
  </conditionalFormatting>
  <conditionalFormatting sqref="BB285:BB288">
    <cfRule type="cellIs" dxfId="23657" priority="387" operator="lessThan">
      <formula>0</formula>
    </cfRule>
    <cfRule type="cellIs" dxfId="23656" priority="388" operator="lessThan">
      <formula>-105575</formula>
    </cfRule>
  </conditionalFormatting>
  <conditionalFormatting sqref="BB285:BB288">
    <cfRule type="cellIs" dxfId="23655" priority="385" operator="lessThan">
      <formula>0</formula>
    </cfRule>
    <cfRule type="cellIs" dxfId="23654" priority="386" operator="lessThan">
      <formula>-105575</formula>
    </cfRule>
  </conditionalFormatting>
  <conditionalFormatting sqref="BB285:BB288">
    <cfRule type="cellIs" dxfId="23653" priority="383" operator="lessThan">
      <formula>0</formula>
    </cfRule>
    <cfRule type="cellIs" dxfId="23652" priority="384" operator="lessThan">
      <formula>-105575</formula>
    </cfRule>
  </conditionalFormatting>
  <conditionalFormatting sqref="BB285:BB288">
    <cfRule type="cellIs" dxfId="23651" priority="381" operator="lessThan">
      <formula>0</formula>
    </cfRule>
    <cfRule type="cellIs" dxfId="23650" priority="382" operator="lessThan">
      <formula>-105575</formula>
    </cfRule>
  </conditionalFormatting>
  <conditionalFormatting sqref="BB285:BB288">
    <cfRule type="cellIs" dxfId="23649" priority="379" operator="lessThan">
      <formula>0</formula>
    </cfRule>
    <cfRule type="cellIs" dxfId="23648" priority="380" operator="lessThan">
      <formula>-105575</formula>
    </cfRule>
  </conditionalFormatting>
  <conditionalFormatting sqref="BB203 BB220:BB221 BB235:BB243 BB231:BB233 BB212:BB213 BB225:BB226">
    <cfRule type="cellIs" dxfId="23647" priority="377" operator="lessThan">
      <formula>0</formula>
    </cfRule>
    <cfRule type="cellIs" dxfId="23646" priority="378" operator="lessThan">
      <formula>-105575</formula>
    </cfRule>
  </conditionalFormatting>
  <conditionalFormatting sqref="BB220 BB212:BB213 BB235:BB238 BB240:BB243 BB225:BB226 BB231:BB233">
    <cfRule type="cellIs" dxfId="23645" priority="375" operator="lessThan">
      <formula>0</formula>
    </cfRule>
    <cfRule type="cellIs" dxfId="23644" priority="376" operator="lessThan">
      <formula>-105575</formula>
    </cfRule>
  </conditionalFormatting>
  <conditionalFormatting sqref="BB220:BB221 BB243 BB226 BB231:BB236 BB238:BB241 BB203 BB213">
    <cfRule type="cellIs" dxfId="23643" priority="373" operator="lessThan">
      <formula>0</formula>
    </cfRule>
    <cfRule type="cellIs" dxfId="23642" priority="374" operator="lessThan">
      <formula>-105575</formula>
    </cfRule>
  </conditionalFormatting>
  <conditionalFormatting sqref="BB235:BB243 BB231:BB233 BB220 BB212:BB213 BB225:BB226">
    <cfRule type="cellIs" dxfId="23641" priority="371" operator="lessThan">
      <formula>0</formula>
    </cfRule>
    <cfRule type="cellIs" dxfId="23640" priority="372" operator="lessThan">
      <formula>-105575</formula>
    </cfRule>
  </conditionalFormatting>
  <conditionalFormatting sqref="BB220:BB221 BB237:BB243 BB203 BB231:BB235 BB212:BB213 BB225:BB226">
    <cfRule type="cellIs" dxfId="23639" priority="369" operator="lessThan">
      <formula>0</formula>
    </cfRule>
    <cfRule type="cellIs" dxfId="23638" priority="370" operator="lessThan">
      <formula>-105575</formula>
    </cfRule>
  </conditionalFormatting>
  <conditionalFormatting sqref="BB220:BB221 BB237:BB240 BB242:BB243 BB225:BB226 BB231:BB235">
    <cfRule type="cellIs" dxfId="23637" priority="367" operator="lessThan">
      <formula>0</formula>
    </cfRule>
    <cfRule type="cellIs" dxfId="23636" priority="368" operator="lessThan">
      <formula>-105575</formula>
    </cfRule>
  </conditionalFormatting>
  <conditionalFormatting sqref="BB212 BB231 BB233:BB238 BB240:BB243 BB225">
    <cfRule type="cellIs" dxfId="23635" priority="365" operator="lessThan">
      <formula>0</formula>
    </cfRule>
    <cfRule type="cellIs" dxfId="23634" priority="366" operator="lessThan">
      <formula>-105575</formula>
    </cfRule>
  </conditionalFormatting>
  <conditionalFormatting sqref="BB237:BB243 BB231:BB235 BB220:BB221 BB225:BB226">
    <cfRule type="cellIs" dxfId="23633" priority="363" operator="lessThan">
      <formula>0</formula>
    </cfRule>
    <cfRule type="cellIs" dxfId="23632" priority="364" operator="lessThan">
      <formula>-105575</formula>
    </cfRule>
  </conditionalFormatting>
  <conditionalFormatting sqref="BB233:BB237 BB231 BB239:BB243">
    <cfRule type="cellIs" dxfId="23631" priority="361" operator="lessThan">
      <formula>0</formula>
    </cfRule>
    <cfRule type="cellIs" dxfId="23630" priority="362" operator="lessThan">
      <formula>-105575</formula>
    </cfRule>
  </conditionalFormatting>
  <conditionalFormatting sqref="BB233:BB237 BB231 BB239:BB243">
    <cfRule type="cellIs" dxfId="23629" priority="359" operator="lessThan">
      <formula>0</formula>
    </cfRule>
    <cfRule type="cellIs" dxfId="23628" priority="360" operator="lessThan">
      <formula>-105575</formula>
    </cfRule>
  </conditionalFormatting>
  <conditionalFormatting sqref="BB119:BB128 BB106:BB117 BB101:BB104 BB80:BB99">
    <cfRule type="cellIs" dxfId="23627" priority="357" operator="lessThan">
      <formula>0</formula>
    </cfRule>
    <cfRule type="cellIs" dxfId="23626" priority="358" operator="lessThan">
      <formula>-105575</formula>
    </cfRule>
  </conditionalFormatting>
  <conditionalFormatting sqref="BB130 BB132 BB134">
    <cfRule type="cellIs" dxfId="23625" priority="355" operator="lessThan">
      <formula>0</formula>
    </cfRule>
    <cfRule type="cellIs" dxfId="23624" priority="356" operator="lessThan">
      <formula>-105575</formula>
    </cfRule>
  </conditionalFormatting>
  <conditionalFormatting sqref="BB130 BB132 BB134">
    <cfRule type="cellIs" dxfId="23623" priority="353" operator="lessThan">
      <formula>0</formula>
    </cfRule>
    <cfRule type="cellIs" dxfId="23622" priority="354" operator="lessThan">
      <formula>-105575</formula>
    </cfRule>
  </conditionalFormatting>
  <conditionalFormatting sqref="BB129 BB131 BB133 BB135">
    <cfRule type="cellIs" dxfId="23621" priority="351" operator="lessThan">
      <formula>0</formula>
    </cfRule>
    <cfRule type="cellIs" dxfId="23620" priority="352" operator="lessThan">
      <formula>-105575</formula>
    </cfRule>
  </conditionalFormatting>
  <conditionalFormatting sqref="BB140 BB145 BB142:BB143 BB137:BB138">
    <cfRule type="cellIs" dxfId="23619" priority="349" operator="lessThan">
      <formula>0</formula>
    </cfRule>
    <cfRule type="cellIs" dxfId="23618" priority="350" operator="lessThan">
      <formula>-105575</formula>
    </cfRule>
  </conditionalFormatting>
  <conditionalFormatting sqref="BB149">
    <cfRule type="cellIs" dxfId="23617" priority="347" operator="lessThan">
      <formula>0</formula>
    </cfRule>
    <cfRule type="cellIs" dxfId="23616" priority="348" operator="lessThan">
      <formula>-105575</formula>
    </cfRule>
  </conditionalFormatting>
  <conditionalFormatting sqref="BB129:BB138 BB140:BB149">
    <cfRule type="cellIs" dxfId="23615" priority="345" operator="lessThan">
      <formula>0</formula>
    </cfRule>
    <cfRule type="cellIs" dxfId="23614" priority="346" operator="lessThan">
      <formula>-105575</formula>
    </cfRule>
  </conditionalFormatting>
  <conditionalFormatting sqref="BB86:BB87 BB89:BB91 BB141:BB149 BB124:BB133 BB107:BB110 BB112:BB117 BB119:BB122 BB135:BB138 BB101:BB104 BB80:BB84 BB94:BB99">
    <cfRule type="cellIs" dxfId="23613" priority="343" operator="lessThan">
      <formula>0</formula>
    </cfRule>
    <cfRule type="cellIs" dxfId="23612" priority="344" operator="lessThan">
      <formula>-105575</formula>
    </cfRule>
  </conditionalFormatting>
  <conditionalFormatting sqref="BB129 BB131 BB133 BB135">
    <cfRule type="cellIs" dxfId="23611" priority="341" operator="lessThan">
      <formula>0</formula>
    </cfRule>
    <cfRule type="cellIs" dxfId="23610" priority="342" operator="lessThan">
      <formula>-105575</formula>
    </cfRule>
  </conditionalFormatting>
  <conditionalFormatting sqref="BB146 BB144 BB141">
    <cfRule type="cellIs" dxfId="23609" priority="339" operator="lessThan">
      <formula>0</formula>
    </cfRule>
    <cfRule type="cellIs" dxfId="23608" priority="340" operator="lessThan">
      <formula>-105575</formula>
    </cfRule>
  </conditionalFormatting>
  <conditionalFormatting sqref="BB146 BB144 BB141">
    <cfRule type="cellIs" dxfId="23607" priority="337" operator="lessThan">
      <formula>0</formula>
    </cfRule>
    <cfRule type="cellIs" dxfId="23606" priority="338" operator="lessThan">
      <formula>-105575</formula>
    </cfRule>
  </conditionalFormatting>
  <conditionalFormatting sqref="BB140 BB145 BB142:BB143 BB137:BB138">
    <cfRule type="cellIs" dxfId="23605" priority="335" operator="lessThan">
      <formula>0</formula>
    </cfRule>
    <cfRule type="cellIs" dxfId="23604" priority="336" operator="lessThan">
      <formula>-105575</formula>
    </cfRule>
  </conditionalFormatting>
  <conditionalFormatting sqref="BB149">
    <cfRule type="cellIs" dxfId="23603" priority="333" operator="lessThan">
      <formula>0</formula>
    </cfRule>
    <cfRule type="cellIs" dxfId="23602" priority="334" operator="lessThan">
      <formula>-105575</formula>
    </cfRule>
  </conditionalFormatting>
  <conditionalFormatting sqref="BB86:BB87 BB89:BB91 BB141:BB149 BB124:BB133 BB107:BB110 BB112:BB117 BB119:BB122 BB135:BB138 BB101:BB104 BB80:BB84 BB94:BB99">
    <cfRule type="cellIs" dxfId="23601" priority="331" operator="lessThan">
      <formula>0</formula>
    </cfRule>
    <cfRule type="cellIs" dxfId="23600" priority="332" operator="lessThan">
      <formula>-105575</formula>
    </cfRule>
  </conditionalFormatting>
  <conditionalFormatting sqref="BB306:BB309 BB311:BB325 BB327:BB330 BB332:BB341 BB344:BB347 BB349:BB353 BB355:BB358 BB360:BB384 BB386:BB389 BB392:BB395 BB397:BB411 BB413:BB416 BB418:BB432 BB434:BB437 BB439:BB453 BB455:BB458 BB460:BB469 BB290:BB291 BB293:BB304 BB7:BB10 BB12:BB14 BB17:BB18 BB21:BB24 BB26:BB28 BB30:BB36 BB38 BB41:BB43 BB46:BB49 BB51:BB55 BB57:BB59 BB62:BB76">
    <cfRule type="cellIs" dxfId="23599" priority="329" operator="lessThan">
      <formula>0</formula>
    </cfRule>
    <cfRule type="cellIs" dxfId="23598" priority="330" operator="lessThan">
      <formula>-105575</formula>
    </cfRule>
  </conditionalFormatting>
  <conditionalFormatting sqref="BB41">
    <cfRule type="cellIs" dxfId="23597" priority="327" operator="lessThan">
      <formula>0</formula>
    </cfRule>
    <cfRule type="cellIs" dxfId="23596" priority="328" operator="lessThan">
      <formula>-105575</formula>
    </cfRule>
  </conditionalFormatting>
  <conditionalFormatting sqref="BB152:BB155">
    <cfRule type="cellIs" dxfId="23595" priority="325" operator="lessThan">
      <formula>0</formula>
    </cfRule>
    <cfRule type="cellIs" dxfId="23594" priority="326" operator="lessThan">
      <formula>-105575</formula>
    </cfRule>
  </conditionalFormatting>
  <conditionalFormatting sqref="BB152:BB155">
    <cfRule type="cellIs" dxfId="23593" priority="323" operator="lessThan">
      <formula>0</formula>
    </cfRule>
    <cfRule type="cellIs" dxfId="23592" priority="324" operator="lessThan">
      <formula>-105575</formula>
    </cfRule>
  </conditionalFormatting>
  <conditionalFormatting sqref="BB152:BB155">
    <cfRule type="cellIs" dxfId="23591" priority="321" operator="lessThan">
      <formula>0</formula>
    </cfRule>
    <cfRule type="cellIs" dxfId="23590" priority="322" operator="lessThan">
      <formula>-105575</formula>
    </cfRule>
  </conditionalFormatting>
  <conditionalFormatting sqref="BB157:BB158">
    <cfRule type="cellIs" dxfId="23589" priority="319" operator="lessThan">
      <formula>0</formula>
    </cfRule>
    <cfRule type="cellIs" dxfId="23588" priority="320" operator="lessThan">
      <formula>-105575</formula>
    </cfRule>
  </conditionalFormatting>
  <conditionalFormatting sqref="BB157:BB158">
    <cfRule type="cellIs" dxfId="23587" priority="317" operator="lessThan">
      <formula>0</formula>
    </cfRule>
    <cfRule type="cellIs" dxfId="23586" priority="318" operator="lessThan">
      <formula>-105575</formula>
    </cfRule>
  </conditionalFormatting>
  <conditionalFormatting sqref="BB157:BB158">
    <cfRule type="cellIs" dxfId="23585" priority="315" operator="lessThan">
      <formula>0</formula>
    </cfRule>
    <cfRule type="cellIs" dxfId="23584" priority="316" operator="lessThan">
      <formula>-105575</formula>
    </cfRule>
  </conditionalFormatting>
  <conditionalFormatting sqref="BB160:BB161">
    <cfRule type="cellIs" dxfId="23583" priority="313" operator="lessThan">
      <formula>0</formula>
    </cfRule>
    <cfRule type="cellIs" dxfId="23582" priority="314" operator="lessThan">
      <formula>-105575</formula>
    </cfRule>
  </conditionalFormatting>
  <conditionalFormatting sqref="BB160:BB161">
    <cfRule type="cellIs" dxfId="23581" priority="311" operator="lessThan">
      <formula>0</formula>
    </cfRule>
    <cfRule type="cellIs" dxfId="23580" priority="312" operator="lessThan">
      <formula>-105575</formula>
    </cfRule>
  </conditionalFormatting>
  <conditionalFormatting sqref="BB160:BB161">
    <cfRule type="cellIs" dxfId="23579" priority="309" operator="lessThan">
      <formula>0</formula>
    </cfRule>
    <cfRule type="cellIs" dxfId="23578" priority="310" operator="lessThan">
      <formula>-105575</formula>
    </cfRule>
  </conditionalFormatting>
  <conditionalFormatting sqref="BB164:BB167">
    <cfRule type="cellIs" dxfId="23577" priority="307" operator="lessThan">
      <formula>0</formula>
    </cfRule>
    <cfRule type="cellIs" dxfId="23576" priority="308" operator="lessThan">
      <formula>-105575</formula>
    </cfRule>
  </conditionalFormatting>
  <conditionalFormatting sqref="BB164:BB167">
    <cfRule type="cellIs" dxfId="23575" priority="305" operator="lessThan">
      <formula>0</formula>
    </cfRule>
    <cfRule type="cellIs" dxfId="23574" priority="306" operator="lessThan">
      <formula>-105575</formula>
    </cfRule>
  </conditionalFormatting>
  <conditionalFormatting sqref="BB164:BB167">
    <cfRule type="cellIs" dxfId="23573" priority="303" operator="lessThan">
      <formula>0</formula>
    </cfRule>
    <cfRule type="cellIs" dxfId="23572" priority="304" operator="lessThan">
      <formula>-105575</formula>
    </cfRule>
  </conditionalFormatting>
  <conditionalFormatting sqref="BB169:BB177">
    <cfRule type="cellIs" dxfId="23571" priority="301" operator="lessThan">
      <formula>0</formula>
    </cfRule>
    <cfRule type="cellIs" dxfId="23570" priority="302" operator="lessThan">
      <formula>-105575</formula>
    </cfRule>
  </conditionalFormatting>
  <conditionalFormatting sqref="BB169:BB177">
    <cfRule type="cellIs" dxfId="23569" priority="299" operator="lessThan">
      <formula>0</formula>
    </cfRule>
    <cfRule type="cellIs" dxfId="23568" priority="300" operator="lessThan">
      <formula>-105575</formula>
    </cfRule>
  </conditionalFormatting>
  <conditionalFormatting sqref="BB169:BB177">
    <cfRule type="cellIs" dxfId="23567" priority="297" operator="lessThan">
      <formula>0</formula>
    </cfRule>
    <cfRule type="cellIs" dxfId="23566" priority="298" operator="lessThan">
      <formula>-105575</formula>
    </cfRule>
  </conditionalFormatting>
  <conditionalFormatting sqref="BB179:BB180">
    <cfRule type="cellIs" dxfId="23565" priority="295" operator="lessThan">
      <formula>0</formula>
    </cfRule>
    <cfRule type="cellIs" dxfId="23564" priority="296" operator="lessThan">
      <formula>-105575</formula>
    </cfRule>
  </conditionalFormatting>
  <conditionalFormatting sqref="BB179:BB180">
    <cfRule type="cellIs" dxfId="23563" priority="293" operator="lessThan">
      <formula>0</formula>
    </cfRule>
    <cfRule type="cellIs" dxfId="23562" priority="294" operator="lessThan">
      <formula>-105575</formula>
    </cfRule>
  </conditionalFormatting>
  <conditionalFormatting sqref="BB179:BB180">
    <cfRule type="cellIs" dxfId="23561" priority="291" operator="lessThan">
      <formula>0</formula>
    </cfRule>
    <cfRule type="cellIs" dxfId="23560" priority="292" operator="lessThan">
      <formula>-105575</formula>
    </cfRule>
  </conditionalFormatting>
  <conditionalFormatting sqref="BB183:BB189">
    <cfRule type="cellIs" dxfId="23559" priority="289" operator="lessThan">
      <formula>0</formula>
    </cfRule>
    <cfRule type="cellIs" dxfId="23558" priority="290" operator="lessThan">
      <formula>-105575</formula>
    </cfRule>
  </conditionalFormatting>
  <conditionalFormatting sqref="BB183:BB189">
    <cfRule type="cellIs" dxfId="23557" priority="287" operator="lessThan">
      <formula>0</formula>
    </cfRule>
    <cfRule type="cellIs" dxfId="23556" priority="288" operator="lessThan">
      <formula>-105575</formula>
    </cfRule>
  </conditionalFormatting>
  <conditionalFormatting sqref="BB183:BB189">
    <cfRule type="cellIs" dxfId="23555" priority="285" operator="lessThan">
      <formula>0</formula>
    </cfRule>
    <cfRule type="cellIs" dxfId="23554" priority="286" operator="lessThan">
      <formula>-105575</formula>
    </cfRule>
  </conditionalFormatting>
  <conditionalFormatting sqref="BB191:BB192">
    <cfRule type="cellIs" dxfId="23553" priority="283" operator="lessThan">
      <formula>0</formula>
    </cfRule>
    <cfRule type="cellIs" dxfId="23552" priority="284" operator="lessThan">
      <formula>-105575</formula>
    </cfRule>
  </conditionalFormatting>
  <conditionalFormatting sqref="BB191:BB192">
    <cfRule type="cellIs" dxfId="23551" priority="281" operator="lessThan">
      <formula>0</formula>
    </cfRule>
    <cfRule type="cellIs" dxfId="23550" priority="282" operator="lessThan">
      <formula>-105575</formula>
    </cfRule>
  </conditionalFormatting>
  <conditionalFormatting sqref="BB191:BB192">
    <cfRule type="cellIs" dxfId="23549" priority="279" operator="lessThan">
      <formula>0</formula>
    </cfRule>
    <cfRule type="cellIs" dxfId="23548" priority="280" operator="lessThan">
      <formula>-105575</formula>
    </cfRule>
  </conditionalFormatting>
  <conditionalFormatting sqref="BB194:BB195">
    <cfRule type="cellIs" dxfId="23547" priority="277" operator="lessThan">
      <formula>0</formula>
    </cfRule>
    <cfRule type="cellIs" dxfId="23546" priority="278" operator="lessThan">
      <formula>-105575</formula>
    </cfRule>
  </conditionalFormatting>
  <conditionalFormatting sqref="BB194:BB195">
    <cfRule type="cellIs" dxfId="23545" priority="275" operator="lessThan">
      <formula>0</formula>
    </cfRule>
    <cfRule type="cellIs" dxfId="23544" priority="276" operator="lessThan">
      <formula>-105575</formula>
    </cfRule>
  </conditionalFormatting>
  <conditionalFormatting sqref="BB194:BB195">
    <cfRule type="cellIs" dxfId="23543" priority="273" operator="lessThan">
      <formula>0</formula>
    </cfRule>
    <cfRule type="cellIs" dxfId="23542" priority="274" operator="lessThan">
      <formula>-105575</formula>
    </cfRule>
  </conditionalFormatting>
  <conditionalFormatting sqref="BB199:BB202">
    <cfRule type="cellIs" dxfId="23541" priority="271" operator="lessThan">
      <formula>0</formula>
    </cfRule>
    <cfRule type="cellIs" dxfId="23540" priority="272" operator="lessThan">
      <formula>-105575</formula>
    </cfRule>
  </conditionalFormatting>
  <conditionalFormatting sqref="BB199:BB202">
    <cfRule type="cellIs" dxfId="23539" priority="269" operator="lessThan">
      <formula>0</formula>
    </cfRule>
    <cfRule type="cellIs" dxfId="23538" priority="270" operator="lessThan">
      <formula>-105575</formula>
    </cfRule>
  </conditionalFormatting>
  <conditionalFormatting sqref="BB199:BB202">
    <cfRule type="cellIs" dxfId="23537" priority="267" operator="lessThan">
      <formula>0</formula>
    </cfRule>
    <cfRule type="cellIs" dxfId="23536" priority="268" operator="lessThan">
      <formula>-105575</formula>
    </cfRule>
  </conditionalFormatting>
  <conditionalFormatting sqref="BB204:BB208">
    <cfRule type="cellIs" dxfId="23535" priority="265" operator="lessThan">
      <formula>0</formula>
    </cfRule>
    <cfRule type="cellIs" dxfId="23534" priority="266" operator="lessThan">
      <formula>-105575</formula>
    </cfRule>
  </conditionalFormatting>
  <conditionalFormatting sqref="BB204:BB208">
    <cfRule type="cellIs" dxfId="23533" priority="263" operator="lessThan">
      <formula>0</formula>
    </cfRule>
    <cfRule type="cellIs" dxfId="23532" priority="264" operator="lessThan">
      <formula>-105575</formula>
    </cfRule>
  </conditionalFormatting>
  <conditionalFormatting sqref="BB204:BB208">
    <cfRule type="cellIs" dxfId="23531" priority="261" operator="lessThan">
      <formula>0</formula>
    </cfRule>
    <cfRule type="cellIs" dxfId="23530" priority="262" operator="lessThan">
      <formula>-105575</formula>
    </cfRule>
  </conditionalFormatting>
  <conditionalFormatting sqref="BB210:BB211">
    <cfRule type="cellIs" dxfId="23529" priority="259" operator="lessThan">
      <formula>0</formula>
    </cfRule>
    <cfRule type="cellIs" dxfId="23528" priority="260" operator="lessThan">
      <formula>-105575</formula>
    </cfRule>
  </conditionalFormatting>
  <conditionalFormatting sqref="BB210:BB211">
    <cfRule type="cellIs" dxfId="23527" priority="257" operator="lessThan">
      <formula>0</formula>
    </cfRule>
    <cfRule type="cellIs" dxfId="23526" priority="258" operator="lessThan">
      <formula>-105575</formula>
    </cfRule>
  </conditionalFormatting>
  <conditionalFormatting sqref="BB210:BB211">
    <cfRule type="cellIs" dxfId="23525" priority="255" operator="lessThan">
      <formula>0</formula>
    </cfRule>
    <cfRule type="cellIs" dxfId="23524" priority="256" operator="lessThan">
      <formula>-105575</formula>
    </cfRule>
  </conditionalFormatting>
  <conditionalFormatting sqref="BB214:BB219">
    <cfRule type="cellIs" dxfId="23523" priority="253" operator="lessThan">
      <formula>0</formula>
    </cfRule>
    <cfRule type="cellIs" dxfId="23522" priority="254" operator="lessThan">
      <formula>-105575</formula>
    </cfRule>
  </conditionalFormatting>
  <conditionalFormatting sqref="BB214:BB219">
    <cfRule type="cellIs" dxfId="23521" priority="251" operator="lessThan">
      <formula>0</formula>
    </cfRule>
    <cfRule type="cellIs" dxfId="23520" priority="252" operator="lessThan">
      <formula>-105575</formula>
    </cfRule>
  </conditionalFormatting>
  <conditionalFormatting sqref="BB214:BB219">
    <cfRule type="cellIs" dxfId="23519" priority="249" operator="lessThan">
      <formula>0</formula>
    </cfRule>
    <cfRule type="cellIs" dxfId="23518" priority="250" operator="lessThan">
      <formula>-105575</formula>
    </cfRule>
  </conditionalFormatting>
  <conditionalFormatting sqref="BB222:BB224">
    <cfRule type="cellIs" dxfId="23517" priority="247" operator="lessThan">
      <formula>0</formula>
    </cfRule>
    <cfRule type="cellIs" dxfId="23516" priority="248" operator="lessThan">
      <formula>-105575</formula>
    </cfRule>
  </conditionalFormatting>
  <conditionalFormatting sqref="BB222:BB224">
    <cfRule type="cellIs" dxfId="23515" priority="245" operator="lessThan">
      <formula>0</formula>
    </cfRule>
    <cfRule type="cellIs" dxfId="23514" priority="246" operator="lessThan">
      <formula>-105575</formula>
    </cfRule>
  </conditionalFormatting>
  <conditionalFormatting sqref="BB222:BB224">
    <cfRule type="cellIs" dxfId="23513" priority="243" operator="lessThan">
      <formula>0</formula>
    </cfRule>
    <cfRule type="cellIs" dxfId="23512" priority="244" operator="lessThan">
      <formula>-105575</formula>
    </cfRule>
  </conditionalFormatting>
  <conditionalFormatting sqref="BB227:BB230">
    <cfRule type="cellIs" dxfId="23511" priority="241" operator="lessThan">
      <formula>0</formula>
    </cfRule>
    <cfRule type="cellIs" dxfId="23510" priority="242" operator="lessThan">
      <formula>-105575</formula>
    </cfRule>
  </conditionalFormatting>
  <conditionalFormatting sqref="BB227:BB230">
    <cfRule type="cellIs" dxfId="23509" priority="239" operator="lessThan">
      <formula>0</formula>
    </cfRule>
    <cfRule type="cellIs" dxfId="23508" priority="240" operator="lessThan">
      <formula>-105575</formula>
    </cfRule>
  </conditionalFormatting>
  <conditionalFormatting sqref="BB227:BB230">
    <cfRule type="cellIs" dxfId="23507" priority="237" operator="lessThan">
      <formula>0</formula>
    </cfRule>
    <cfRule type="cellIs" dxfId="23506" priority="238" operator="lessThan">
      <formula>-105575</formula>
    </cfRule>
  </conditionalFormatting>
  <conditionalFormatting sqref="BB246:BB249">
    <cfRule type="cellIs" dxfId="23505" priority="235" operator="lessThan">
      <formula>0</formula>
    </cfRule>
    <cfRule type="cellIs" dxfId="23504" priority="236" operator="lessThan">
      <formula>-105575</formula>
    </cfRule>
  </conditionalFormatting>
  <conditionalFormatting sqref="BB246:BB249">
    <cfRule type="cellIs" dxfId="23503" priority="233" operator="lessThan">
      <formula>0</formula>
    </cfRule>
    <cfRule type="cellIs" dxfId="23502" priority="234" operator="lessThan">
      <formula>-105575</formula>
    </cfRule>
  </conditionalFormatting>
  <conditionalFormatting sqref="BB246:BB249">
    <cfRule type="cellIs" dxfId="23501" priority="231" operator="lessThan">
      <formula>0</formula>
    </cfRule>
    <cfRule type="cellIs" dxfId="23500" priority="232" operator="lessThan">
      <formula>-105575</formula>
    </cfRule>
  </conditionalFormatting>
  <conditionalFormatting sqref="BB246:BB249">
    <cfRule type="cellIs" dxfId="23499" priority="229" operator="lessThan">
      <formula>0</formula>
    </cfRule>
    <cfRule type="cellIs" dxfId="23498" priority="230" operator="lessThan">
      <formula>-105575</formula>
    </cfRule>
  </conditionalFormatting>
  <conditionalFormatting sqref="BB246:BB249">
    <cfRule type="cellIs" dxfId="23497" priority="227" operator="lessThan">
      <formula>0</formula>
    </cfRule>
    <cfRule type="cellIs" dxfId="23496" priority="228" operator="lessThan">
      <formula>-105575</formula>
    </cfRule>
  </conditionalFormatting>
  <conditionalFormatting sqref="BB246:BB249">
    <cfRule type="cellIs" dxfId="23495" priority="225" operator="lessThan">
      <formula>0</formula>
    </cfRule>
    <cfRule type="cellIs" dxfId="23494" priority="226" operator="lessThan">
      <formula>-105575</formula>
    </cfRule>
  </conditionalFormatting>
  <conditionalFormatting sqref="BB246:BB249">
    <cfRule type="cellIs" dxfId="23493" priority="223" operator="lessThan">
      <formula>0</formula>
    </cfRule>
    <cfRule type="cellIs" dxfId="23492" priority="224" operator="lessThan">
      <formula>-105575</formula>
    </cfRule>
  </conditionalFormatting>
  <conditionalFormatting sqref="BB246:BB249">
    <cfRule type="cellIs" dxfId="23491" priority="221" operator="lessThan">
      <formula>0</formula>
    </cfRule>
    <cfRule type="cellIs" dxfId="23490" priority="222" operator="lessThan">
      <formula>-105575</formula>
    </cfRule>
  </conditionalFormatting>
  <conditionalFormatting sqref="BB246:BB249">
    <cfRule type="cellIs" dxfId="23489" priority="219" operator="lessThan">
      <formula>0</formula>
    </cfRule>
    <cfRule type="cellIs" dxfId="23488" priority="220" operator="lessThan">
      <formula>-105575</formula>
    </cfRule>
  </conditionalFormatting>
  <conditionalFormatting sqref="BB251:BB253">
    <cfRule type="cellIs" dxfId="23487" priority="217" operator="lessThan">
      <formula>0</formula>
    </cfRule>
    <cfRule type="cellIs" dxfId="23486" priority="218" operator="lessThan">
      <formula>-105575</formula>
    </cfRule>
  </conditionalFormatting>
  <conditionalFormatting sqref="BB251:BB253">
    <cfRule type="cellIs" dxfId="23485" priority="215" operator="lessThan">
      <formula>0</formula>
    </cfRule>
    <cfRule type="cellIs" dxfId="23484" priority="216" operator="lessThan">
      <formula>-105575</formula>
    </cfRule>
  </conditionalFormatting>
  <conditionalFormatting sqref="BB251:BB253">
    <cfRule type="cellIs" dxfId="23483" priority="213" operator="lessThan">
      <formula>0</formula>
    </cfRule>
    <cfRule type="cellIs" dxfId="23482" priority="214" operator="lessThan">
      <formula>-105575</formula>
    </cfRule>
  </conditionalFormatting>
  <conditionalFormatting sqref="BB251:BB253">
    <cfRule type="cellIs" dxfId="23481" priority="211" operator="lessThan">
      <formula>0</formula>
    </cfRule>
    <cfRule type="cellIs" dxfId="23480" priority="212" operator="lessThan">
      <formula>-105575</formula>
    </cfRule>
  </conditionalFormatting>
  <conditionalFormatting sqref="BB251:BB253">
    <cfRule type="cellIs" dxfId="23479" priority="209" operator="lessThan">
      <formula>0</formula>
    </cfRule>
    <cfRule type="cellIs" dxfId="23478" priority="210" operator="lessThan">
      <formula>-105575</formula>
    </cfRule>
  </conditionalFormatting>
  <conditionalFormatting sqref="BB251:BB253">
    <cfRule type="cellIs" dxfId="23477" priority="207" operator="lessThan">
      <formula>0</formula>
    </cfRule>
    <cfRule type="cellIs" dxfId="23476" priority="208" operator="lessThan">
      <formula>-105575</formula>
    </cfRule>
  </conditionalFormatting>
  <conditionalFormatting sqref="BB251:BB253">
    <cfRule type="cellIs" dxfId="23475" priority="205" operator="lessThan">
      <formula>0</formula>
    </cfRule>
    <cfRule type="cellIs" dxfId="23474" priority="206" operator="lessThan">
      <formula>-105575</formula>
    </cfRule>
  </conditionalFormatting>
  <conditionalFormatting sqref="BB251:BB253">
    <cfRule type="cellIs" dxfId="23473" priority="203" operator="lessThan">
      <formula>0</formula>
    </cfRule>
    <cfRule type="cellIs" dxfId="23472" priority="204" operator="lessThan">
      <formula>-105575</formula>
    </cfRule>
  </conditionalFormatting>
  <conditionalFormatting sqref="BB251:BB253">
    <cfRule type="cellIs" dxfId="23471" priority="201" operator="lessThan">
      <formula>0</formula>
    </cfRule>
    <cfRule type="cellIs" dxfId="23470" priority="202" operator="lessThan">
      <formula>-105575</formula>
    </cfRule>
  </conditionalFormatting>
  <conditionalFormatting sqref="BB255:BB257">
    <cfRule type="cellIs" dxfId="23469" priority="199" operator="lessThan">
      <formula>0</formula>
    </cfRule>
    <cfRule type="cellIs" dxfId="23468" priority="200" operator="lessThan">
      <formula>-105575</formula>
    </cfRule>
  </conditionalFormatting>
  <conditionalFormatting sqref="BB255:BB257">
    <cfRule type="cellIs" dxfId="23467" priority="197" operator="lessThan">
      <formula>0</formula>
    </cfRule>
    <cfRule type="cellIs" dxfId="23466" priority="198" operator="lessThan">
      <formula>-105575</formula>
    </cfRule>
  </conditionalFormatting>
  <conditionalFormatting sqref="BB255:BB257">
    <cfRule type="cellIs" dxfId="23465" priority="195" operator="lessThan">
      <formula>0</formula>
    </cfRule>
    <cfRule type="cellIs" dxfId="23464" priority="196" operator="lessThan">
      <formula>-105575</formula>
    </cfRule>
  </conditionalFormatting>
  <conditionalFormatting sqref="BB255:BB257">
    <cfRule type="cellIs" dxfId="23463" priority="193" operator="lessThan">
      <formula>0</formula>
    </cfRule>
    <cfRule type="cellIs" dxfId="23462" priority="194" operator="lessThan">
      <formula>-105575</formula>
    </cfRule>
  </conditionalFormatting>
  <conditionalFormatting sqref="BB255:BB257">
    <cfRule type="cellIs" dxfId="23461" priority="191" operator="lessThan">
      <formula>0</formula>
    </cfRule>
    <cfRule type="cellIs" dxfId="23460" priority="192" operator="lessThan">
      <formula>-105575</formula>
    </cfRule>
  </conditionalFormatting>
  <conditionalFormatting sqref="BB255:BB257">
    <cfRule type="cellIs" dxfId="23459" priority="189" operator="lessThan">
      <formula>0</formula>
    </cfRule>
    <cfRule type="cellIs" dxfId="23458" priority="190" operator="lessThan">
      <formula>-105575</formula>
    </cfRule>
  </conditionalFormatting>
  <conditionalFormatting sqref="BB255:BB257">
    <cfRule type="cellIs" dxfId="23457" priority="187" operator="lessThan">
      <formula>0</formula>
    </cfRule>
    <cfRule type="cellIs" dxfId="23456" priority="188" operator="lessThan">
      <formula>-105575</formula>
    </cfRule>
  </conditionalFormatting>
  <conditionalFormatting sqref="BB255:BB257">
    <cfRule type="cellIs" dxfId="23455" priority="185" operator="lessThan">
      <formula>0</formula>
    </cfRule>
    <cfRule type="cellIs" dxfId="23454" priority="186" operator="lessThan">
      <formula>-105575</formula>
    </cfRule>
  </conditionalFormatting>
  <conditionalFormatting sqref="BB255:BB257">
    <cfRule type="cellIs" dxfId="23453" priority="183" operator="lessThan">
      <formula>0</formula>
    </cfRule>
    <cfRule type="cellIs" dxfId="23452" priority="184" operator="lessThan">
      <formula>-105575</formula>
    </cfRule>
  </conditionalFormatting>
  <conditionalFormatting sqref="BB260:BB262">
    <cfRule type="cellIs" dxfId="23451" priority="181" operator="lessThan">
      <formula>0</formula>
    </cfRule>
    <cfRule type="cellIs" dxfId="23450" priority="182" operator="lessThan">
      <formula>-105575</formula>
    </cfRule>
  </conditionalFormatting>
  <conditionalFormatting sqref="BB260:BB262">
    <cfRule type="cellIs" dxfId="23449" priority="179" operator="lessThan">
      <formula>0</formula>
    </cfRule>
    <cfRule type="cellIs" dxfId="23448" priority="180" operator="lessThan">
      <formula>-105575</formula>
    </cfRule>
  </conditionalFormatting>
  <conditionalFormatting sqref="BB260:BB262">
    <cfRule type="cellIs" dxfId="23447" priority="177" operator="lessThan">
      <formula>0</formula>
    </cfRule>
    <cfRule type="cellIs" dxfId="23446" priority="178" operator="lessThan">
      <formula>-105575</formula>
    </cfRule>
  </conditionalFormatting>
  <conditionalFormatting sqref="BB260:BB262">
    <cfRule type="cellIs" dxfId="23445" priority="175" operator="lessThan">
      <formula>0</formula>
    </cfRule>
    <cfRule type="cellIs" dxfId="23444" priority="176" operator="lessThan">
      <formula>-105575</formula>
    </cfRule>
  </conditionalFormatting>
  <conditionalFormatting sqref="BB260:BB262">
    <cfRule type="cellIs" dxfId="23443" priority="173" operator="lessThan">
      <formula>0</formula>
    </cfRule>
    <cfRule type="cellIs" dxfId="23442" priority="174" operator="lessThan">
      <formula>-105575</formula>
    </cfRule>
  </conditionalFormatting>
  <conditionalFormatting sqref="BB260:BB262">
    <cfRule type="cellIs" dxfId="23441" priority="171" operator="lessThan">
      <formula>0</formula>
    </cfRule>
    <cfRule type="cellIs" dxfId="23440" priority="172" operator="lessThan">
      <formula>-105575</formula>
    </cfRule>
  </conditionalFormatting>
  <conditionalFormatting sqref="BB260:BB262">
    <cfRule type="cellIs" dxfId="23439" priority="169" operator="lessThan">
      <formula>0</formula>
    </cfRule>
    <cfRule type="cellIs" dxfId="23438" priority="170" operator="lessThan">
      <formula>-105575</formula>
    </cfRule>
  </conditionalFormatting>
  <conditionalFormatting sqref="BB260:BB262">
    <cfRule type="cellIs" dxfId="23437" priority="167" operator="lessThan">
      <formula>0</formula>
    </cfRule>
    <cfRule type="cellIs" dxfId="23436" priority="168" operator="lessThan">
      <formula>-105575</formula>
    </cfRule>
  </conditionalFormatting>
  <conditionalFormatting sqref="BB260:BB262">
    <cfRule type="cellIs" dxfId="23435" priority="165" operator="lessThan">
      <formula>0</formula>
    </cfRule>
    <cfRule type="cellIs" dxfId="23434" priority="166" operator="lessThan">
      <formula>-105575</formula>
    </cfRule>
  </conditionalFormatting>
  <conditionalFormatting sqref="BB264:BB267">
    <cfRule type="cellIs" dxfId="23433" priority="163" operator="lessThan">
      <formula>0</formula>
    </cfRule>
    <cfRule type="cellIs" dxfId="23432" priority="164" operator="lessThan">
      <formula>-105575</formula>
    </cfRule>
  </conditionalFormatting>
  <conditionalFormatting sqref="BB264:BB267">
    <cfRule type="cellIs" dxfId="23431" priority="161" operator="lessThan">
      <formula>0</formula>
    </cfRule>
    <cfRule type="cellIs" dxfId="23430" priority="162" operator="lessThan">
      <formula>-105575</formula>
    </cfRule>
  </conditionalFormatting>
  <conditionalFormatting sqref="BB264:BB267">
    <cfRule type="cellIs" dxfId="23429" priority="159" operator="lessThan">
      <formula>0</formula>
    </cfRule>
    <cfRule type="cellIs" dxfId="23428" priority="160" operator="lessThan">
      <formula>-105575</formula>
    </cfRule>
  </conditionalFormatting>
  <conditionalFormatting sqref="BB264:BB267">
    <cfRule type="cellIs" dxfId="23427" priority="157" operator="lessThan">
      <formula>0</formula>
    </cfRule>
    <cfRule type="cellIs" dxfId="23426" priority="158" operator="lessThan">
      <formula>-105575</formula>
    </cfRule>
  </conditionalFormatting>
  <conditionalFormatting sqref="BB264:BB267">
    <cfRule type="cellIs" dxfId="23425" priority="155" operator="lessThan">
      <formula>0</formula>
    </cfRule>
    <cfRule type="cellIs" dxfId="23424" priority="156" operator="lessThan">
      <formula>-105575</formula>
    </cfRule>
  </conditionalFormatting>
  <conditionalFormatting sqref="BB264:BB267">
    <cfRule type="cellIs" dxfId="23423" priority="153" operator="lessThan">
      <formula>0</formula>
    </cfRule>
    <cfRule type="cellIs" dxfId="23422" priority="154" operator="lessThan">
      <formula>-105575</formula>
    </cfRule>
  </conditionalFormatting>
  <conditionalFormatting sqref="BB264:BB267">
    <cfRule type="cellIs" dxfId="23421" priority="151" operator="lessThan">
      <formula>0</formula>
    </cfRule>
    <cfRule type="cellIs" dxfId="23420" priority="152" operator="lessThan">
      <formula>-105575</formula>
    </cfRule>
  </conditionalFormatting>
  <conditionalFormatting sqref="BB264:BB267">
    <cfRule type="cellIs" dxfId="23419" priority="149" operator="lessThan">
      <formula>0</formula>
    </cfRule>
    <cfRule type="cellIs" dxfId="23418" priority="150" operator="lessThan">
      <formula>-105575</formula>
    </cfRule>
  </conditionalFormatting>
  <conditionalFormatting sqref="BB264:BB267">
    <cfRule type="cellIs" dxfId="23417" priority="147" operator="lessThan">
      <formula>0</formula>
    </cfRule>
    <cfRule type="cellIs" dxfId="23416" priority="148" operator="lessThan">
      <formula>-105575</formula>
    </cfRule>
  </conditionalFormatting>
  <conditionalFormatting sqref="BB270:BB272">
    <cfRule type="cellIs" dxfId="23415" priority="145" operator="lessThan">
      <formula>0</formula>
    </cfRule>
    <cfRule type="cellIs" dxfId="23414" priority="146" operator="lessThan">
      <formula>-105575</formula>
    </cfRule>
  </conditionalFormatting>
  <conditionalFormatting sqref="BB270:BB272">
    <cfRule type="cellIs" dxfId="23413" priority="143" operator="lessThan">
      <formula>0</formula>
    </cfRule>
    <cfRule type="cellIs" dxfId="23412" priority="144" operator="lessThan">
      <formula>-105575</formula>
    </cfRule>
  </conditionalFormatting>
  <conditionalFormatting sqref="BB270:BB272">
    <cfRule type="cellIs" dxfId="23411" priority="141" operator="lessThan">
      <formula>0</formula>
    </cfRule>
    <cfRule type="cellIs" dxfId="23410" priority="142" operator="lessThan">
      <formula>-105575</formula>
    </cfRule>
  </conditionalFormatting>
  <conditionalFormatting sqref="BB270:BB272">
    <cfRule type="cellIs" dxfId="23409" priority="139" operator="lessThan">
      <formula>0</formula>
    </cfRule>
    <cfRule type="cellIs" dxfId="23408" priority="140" operator="lessThan">
      <formula>-105575</formula>
    </cfRule>
  </conditionalFormatting>
  <conditionalFormatting sqref="BB270:BB272">
    <cfRule type="cellIs" dxfId="23407" priority="137" operator="lessThan">
      <formula>0</formula>
    </cfRule>
    <cfRule type="cellIs" dxfId="23406" priority="138" operator="lessThan">
      <formula>-105575</formula>
    </cfRule>
  </conditionalFormatting>
  <conditionalFormatting sqref="BB270:BB272">
    <cfRule type="cellIs" dxfId="23405" priority="135" operator="lessThan">
      <formula>0</formula>
    </cfRule>
    <cfRule type="cellIs" dxfId="23404" priority="136" operator="lessThan">
      <formula>-105575</formula>
    </cfRule>
  </conditionalFormatting>
  <conditionalFormatting sqref="BB270:BB272">
    <cfRule type="cellIs" dxfId="23403" priority="133" operator="lessThan">
      <formula>0</formula>
    </cfRule>
    <cfRule type="cellIs" dxfId="23402" priority="134" operator="lessThan">
      <formula>-105575</formula>
    </cfRule>
  </conditionalFormatting>
  <conditionalFormatting sqref="BB270:BB272">
    <cfRule type="cellIs" dxfId="23401" priority="131" operator="lessThan">
      <formula>0</formula>
    </cfRule>
    <cfRule type="cellIs" dxfId="23400" priority="132" operator="lessThan">
      <formula>-105575</formula>
    </cfRule>
  </conditionalFormatting>
  <conditionalFormatting sqref="BB270:BB272">
    <cfRule type="cellIs" dxfId="23399" priority="129" operator="lessThan">
      <formula>0</formula>
    </cfRule>
    <cfRule type="cellIs" dxfId="23398" priority="130" operator="lessThan">
      <formula>-105575</formula>
    </cfRule>
  </conditionalFormatting>
  <conditionalFormatting sqref="BB274:BB275">
    <cfRule type="cellIs" dxfId="23397" priority="127" operator="lessThan">
      <formula>0</formula>
    </cfRule>
    <cfRule type="cellIs" dxfId="23396" priority="128" operator="lessThan">
      <formula>-105575</formula>
    </cfRule>
  </conditionalFormatting>
  <conditionalFormatting sqref="BB274:BB275">
    <cfRule type="cellIs" dxfId="23395" priority="125" operator="lessThan">
      <formula>0</formula>
    </cfRule>
    <cfRule type="cellIs" dxfId="23394" priority="126" operator="lessThan">
      <formula>-105575</formula>
    </cfRule>
  </conditionalFormatting>
  <conditionalFormatting sqref="BB274:BB275">
    <cfRule type="cellIs" dxfId="23393" priority="123" operator="lessThan">
      <formula>0</formula>
    </cfRule>
    <cfRule type="cellIs" dxfId="23392" priority="124" operator="lessThan">
      <formula>-105575</formula>
    </cfRule>
  </conditionalFormatting>
  <conditionalFormatting sqref="BB274:BB275">
    <cfRule type="cellIs" dxfId="23391" priority="121" operator="lessThan">
      <formula>0</formula>
    </cfRule>
    <cfRule type="cellIs" dxfId="23390" priority="122" operator="lessThan">
      <formula>-105575</formula>
    </cfRule>
  </conditionalFormatting>
  <conditionalFormatting sqref="BB274:BB275">
    <cfRule type="cellIs" dxfId="23389" priority="119" operator="lessThan">
      <formula>0</formula>
    </cfRule>
    <cfRule type="cellIs" dxfId="23388" priority="120" operator="lessThan">
      <formula>-105575</formula>
    </cfRule>
  </conditionalFormatting>
  <conditionalFormatting sqref="BB274:BB275">
    <cfRule type="cellIs" dxfId="23387" priority="117" operator="lessThan">
      <formula>0</formula>
    </cfRule>
    <cfRule type="cellIs" dxfId="23386" priority="118" operator="lessThan">
      <formula>-105575</formula>
    </cfRule>
  </conditionalFormatting>
  <conditionalFormatting sqref="BB274:BB275">
    <cfRule type="cellIs" dxfId="23385" priority="115" operator="lessThan">
      <formula>0</formula>
    </cfRule>
    <cfRule type="cellIs" dxfId="23384" priority="116" operator="lessThan">
      <formula>-105575</formula>
    </cfRule>
  </conditionalFormatting>
  <conditionalFormatting sqref="BB274:BB275">
    <cfRule type="cellIs" dxfId="23383" priority="113" operator="lessThan">
      <formula>0</formula>
    </cfRule>
    <cfRule type="cellIs" dxfId="23382" priority="114" operator="lessThan">
      <formula>-105575</formula>
    </cfRule>
  </conditionalFormatting>
  <conditionalFormatting sqref="BB274:BB275">
    <cfRule type="cellIs" dxfId="23381" priority="111" operator="lessThan">
      <formula>0</formula>
    </cfRule>
    <cfRule type="cellIs" dxfId="23380" priority="112" operator="lessThan">
      <formula>-105575</formula>
    </cfRule>
  </conditionalFormatting>
  <conditionalFormatting sqref="BB278:BB282">
    <cfRule type="cellIs" dxfId="23379" priority="109" operator="lessThan">
      <formula>0</formula>
    </cfRule>
    <cfRule type="cellIs" dxfId="23378" priority="110" operator="lessThan">
      <formula>-105575</formula>
    </cfRule>
  </conditionalFormatting>
  <conditionalFormatting sqref="BB278:BB282">
    <cfRule type="cellIs" dxfId="23377" priority="107" operator="lessThan">
      <formula>0</formula>
    </cfRule>
    <cfRule type="cellIs" dxfId="23376" priority="108" operator="lessThan">
      <formula>-105575</formula>
    </cfRule>
  </conditionalFormatting>
  <conditionalFormatting sqref="BB278:BB282">
    <cfRule type="cellIs" dxfId="23375" priority="105" operator="lessThan">
      <formula>0</formula>
    </cfRule>
    <cfRule type="cellIs" dxfId="23374" priority="106" operator="lessThan">
      <formula>-105575</formula>
    </cfRule>
  </conditionalFormatting>
  <conditionalFormatting sqref="BB278:BB282">
    <cfRule type="cellIs" dxfId="23373" priority="103" operator="lessThan">
      <formula>0</formula>
    </cfRule>
    <cfRule type="cellIs" dxfId="23372" priority="104" operator="lessThan">
      <formula>-105575</formula>
    </cfRule>
  </conditionalFormatting>
  <conditionalFormatting sqref="BB278:BB282">
    <cfRule type="cellIs" dxfId="23371" priority="101" operator="lessThan">
      <formula>0</formula>
    </cfRule>
    <cfRule type="cellIs" dxfId="23370" priority="102" operator="lessThan">
      <formula>-105575</formula>
    </cfRule>
  </conditionalFormatting>
  <conditionalFormatting sqref="BB278:BB282">
    <cfRule type="cellIs" dxfId="23369" priority="99" operator="lessThan">
      <formula>0</formula>
    </cfRule>
    <cfRule type="cellIs" dxfId="23368" priority="100" operator="lessThan">
      <formula>-105575</formula>
    </cfRule>
  </conditionalFormatting>
  <conditionalFormatting sqref="BB278:BB282">
    <cfRule type="cellIs" dxfId="23367" priority="97" operator="lessThan">
      <formula>0</formula>
    </cfRule>
    <cfRule type="cellIs" dxfId="23366" priority="98" operator="lessThan">
      <formula>-105575</formula>
    </cfRule>
  </conditionalFormatting>
  <conditionalFormatting sqref="BB278:BB282">
    <cfRule type="cellIs" dxfId="23365" priority="95" operator="lessThan">
      <formula>0</formula>
    </cfRule>
    <cfRule type="cellIs" dxfId="23364" priority="96" operator="lessThan">
      <formula>-105575</formula>
    </cfRule>
  </conditionalFormatting>
  <conditionalFormatting sqref="BB278:BB282">
    <cfRule type="cellIs" dxfId="23363" priority="93" operator="lessThan">
      <formula>0</formula>
    </cfRule>
    <cfRule type="cellIs" dxfId="23362" priority="94" operator="lessThan">
      <formula>-105575</formula>
    </cfRule>
  </conditionalFormatting>
  <conditionalFormatting sqref="BB285:BB288">
    <cfRule type="cellIs" dxfId="23361" priority="91" operator="lessThan">
      <formula>0</formula>
    </cfRule>
    <cfRule type="cellIs" dxfId="23360" priority="92" operator="lessThan">
      <formula>-105575</formula>
    </cfRule>
  </conditionalFormatting>
  <conditionalFormatting sqref="BB285:BB288">
    <cfRule type="cellIs" dxfId="23359" priority="89" operator="lessThan">
      <formula>0</formula>
    </cfRule>
    <cfRule type="cellIs" dxfId="23358" priority="90" operator="lessThan">
      <formula>-105575</formula>
    </cfRule>
  </conditionalFormatting>
  <conditionalFormatting sqref="BB285:BB288">
    <cfRule type="cellIs" dxfId="23357" priority="87" operator="lessThan">
      <formula>0</formula>
    </cfRule>
    <cfRule type="cellIs" dxfId="23356" priority="88" operator="lessThan">
      <formula>-105575</formula>
    </cfRule>
  </conditionalFormatting>
  <conditionalFormatting sqref="BB285:BB288">
    <cfRule type="cellIs" dxfId="23355" priority="85" operator="lessThan">
      <formula>0</formula>
    </cfRule>
    <cfRule type="cellIs" dxfId="23354" priority="86" operator="lessThan">
      <formula>-105575</formula>
    </cfRule>
  </conditionalFormatting>
  <conditionalFormatting sqref="BB285:BB288">
    <cfRule type="cellIs" dxfId="23353" priority="83" operator="lessThan">
      <formula>0</formula>
    </cfRule>
    <cfRule type="cellIs" dxfId="23352" priority="84" operator="lessThan">
      <formula>-105575</formula>
    </cfRule>
  </conditionalFormatting>
  <conditionalFormatting sqref="BB285:BB288">
    <cfRule type="cellIs" dxfId="23351" priority="81" operator="lessThan">
      <formula>0</formula>
    </cfRule>
    <cfRule type="cellIs" dxfId="23350" priority="82" operator="lessThan">
      <formula>-105575</formula>
    </cfRule>
  </conditionalFormatting>
  <conditionalFormatting sqref="BB285:BB288">
    <cfRule type="cellIs" dxfId="23349" priority="79" operator="lessThan">
      <formula>0</formula>
    </cfRule>
    <cfRule type="cellIs" dxfId="23348" priority="80" operator="lessThan">
      <formula>-105575</formula>
    </cfRule>
  </conditionalFormatting>
  <conditionalFormatting sqref="BB285:BB288">
    <cfRule type="cellIs" dxfId="23347" priority="77" operator="lessThan">
      <formula>0</formula>
    </cfRule>
    <cfRule type="cellIs" dxfId="23346" priority="78" operator="lessThan">
      <formula>-105575</formula>
    </cfRule>
  </conditionalFormatting>
  <conditionalFormatting sqref="BB285:BB288">
    <cfRule type="cellIs" dxfId="23345" priority="75" operator="lessThan">
      <formula>0</formula>
    </cfRule>
    <cfRule type="cellIs" dxfId="23344" priority="76" operator="lessThan">
      <formula>-105575</formula>
    </cfRule>
  </conditionalFormatting>
  <conditionalFormatting sqref="BB80:BB84">
    <cfRule type="cellIs" dxfId="23343" priority="73" operator="lessThan">
      <formula>0</formula>
    </cfRule>
    <cfRule type="cellIs" dxfId="23342" priority="74" operator="lessThan">
      <formula>-105575</formula>
    </cfRule>
  </conditionalFormatting>
  <conditionalFormatting sqref="BB86:BB87">
    <cfRule type="cellIs" dxfId="23341" priority="71" operator="lessThan">
      <formula>0</formula>
    </cfRule>
    <cfRule type="cellIs" dxfId="23340" priority="72" operator="lessThan">
      <formula>-105575</formula>
    </cfRule>
  </conditionalFormatting>
  <conditionalFormatting sqref="BB89:BB91">
    <cfRule type="cellIs" dxfId="23339" priority="69" operator="lessThan">
      <formula>0</formula>
    </cfRule>
    <cfRule type="cellIs" dxfId="23338" priority="70" operator="lessThan">
      <formula>-105575</formula>
    </cfRule>
  </conditionalFormatting>
  <conditionalFormatting sqref="BB94:BB98">
    <cfRule type="cellIs" dxfId="23337" priority="67" operator="lessThan">
      <formula>0</formula>
    </cfRule>
    <cfRule type="cellIs" dxfId="23336" priority="68" operator="lessThan">
      <formula>-105575</formula>
    </cfRule>
  </conditionalFormatting>
  <conditionalFormatting sqref="BB101:BB104">
    <cfRule type="cellIs" dxfId="23335" priority="65" operator="lessThan">
      <formula>0</formula>
    </cfRule>
    <cfRule type="cellIs" dxfId="23334" priority="66" operator="lessThan">
      <formula>-105575</formula>
    </cfRule>
  </conditionalFormatting>
  <conditionalFormatting sqref="BB107:BB109">
    <cfRule type="cellIs" dxfId="23333" priority="63" operator="lessThan">
      <formula>0</formula>
    </cfRule>
    <cfRule type="cellIs" dxfId="23332" priority="64" operator="lessThan">
      <formula>-105575</formula>
    </cfRule>
  </conditionalFormatting>
  <conditionalFormatting sqref="BB112:BB116">
    <cfRule type="cellIs" dxfId="23331" priority="61" operator="lessThan">
      <formula>0</formula>
    </cfRule>
    <cfRule type="cellIs" dxfId="23330" priority="62" operator="lessThan">
      <formula>-105575</formula>
    </cfRule>
  </conditionalFormatting>
  <conditionalFormatting sqref="BB119:BB121">
    <cfRule type="cellIs" dxfId="23329" priority="59" operator="lessThan">
      <formula>0</formula>
    </cfRule>
    <cfRule type="cellIs" dxfId="23328" priority="60" operator="lessThan">
      <formula>-105575</formula>
    </cfRule>
  </conditionalFormatting>
  <conditionalFormatting sqref="BB124:BB132">
    <cfRule type="cellIs" dxfId="23327" priority="57" operator="lessThan">
      <formula>0</formula>
    </cfRule>
    <cfRule type="cellIs" dxfId="23326" priority="58" operator="lessThan">
      <formula>-105575</formula>
    </cfRule>
  </conditionalFormatting>
  <conditionalFormatting sqref="BB135:BB138">
    <cfRule type="cellIs" dxfId="23325" priority="55" operator="lessThan">
      <formula>0</formula>
    </cfRule>
    <cfRule type="cellIs" dxfId="23324" priority="56" operator="lessThan">
      <formula>-105575</formula>
    </cfRule>
  </conditionalFormatting>
  <conditionalFormatting sqref="BB141:BB148">
    <cfRule type="cellIs" dxfId="23323" priority="53" operator="lessThan">
      <formula>0</formula>
    </cfRule>
    <cfRule type="cellIs" dxfId="23322" priority="54" operator="lessThan">
      <formula>-105575</formula>
    </cfRule>
  </conditionalFormatting>
  <conditionalFormatting sqref="BB152:BB155">
    <cfRule type="cellIs" dxfId="23321" priority="51" operator="lessThan">
      <formula>0</formula>
    </cfRule>
    <cfRule type="cellIs" dxfId="23320" priority="52" operator="lessThan">
      <formula>-105575</formula>
    </cfRule>
  </conditionalFormatting>
  <conditionalFormatting sqref="BB157:BB158">
    <cfRule type="cellIs" dxfId="23319" priority="49" operator="lessThan">
      <formula>0</formula>
    </cfRule>
    <cfRule type="cellIs" dxfId="23318" priority="50" operator="lessThan">
      <formula>-105575</formula>
    </cfRule>
  </conditionalFormatting>
  <conditionalFormatting sqref="BB160:BB161">
    <cfRule type="cellIs" dxfId="23317" priority="47" operator="lessThan">
      <formula>0</formula>
    </cfRule>
    <cfRule type="cellIs" dxfId="23316" priority="48" operator="lessThan">
      <formula>-105575</formula>
    </cfRule>
  </conditionalFormatting>
  <conditionalFormatting sqref="BB164:BB167">
    <cfRule type="cellIs" dxfId="23315" priority="45" operator="lessThan">
      <formula>0</formula>
    </cfRule>
    <cfRule type="cellIs" dxfId="23314" priority="46" operator="lessThan">
      <formula>-105575</formula>
    </cfRule>
  </conditionalFormatting>
  <conditionalFormatting sqref="BB169:BB177">
    <cfRule type="cellIs" dxfId="23313" priority="43" operator="lessThan">
      <formula>0</formula>
    </cfRule>
    <cfRule type="cellIs" dxfId="23312" priority="44" operator="lessThan">
      <formula>-105575</formula>
    </cfRule>
  </conditionalFormatting>
  <conditionalFormatting sqref="BB179:BB180">
    <cfRule type="cellIs" dxfId="23311" priority="41" operator="lessThan">
      <formula>0</formula>
    </cfRule>
    <cfRule type="cellIs" dxfId="23310" priority="42" operator="lessThan">
      <formula>-105575</formula>
    </cfRule>
  </conditionalFormatting>
  <conditionalFormatting sqref="BB183:BB189">
    <cfRule type="cellIs" dxfId="23309" priority="39" operator="lessThan">
      <formula>0</formula>
    </cfRule>
    <cfRule type="cellIs" dxfId="23308" priority="40" operator="lessThan">
      <formula>-105575</formula>
    </cfRule>
  </conditionalFormatting>
  <conditionalFormatting sqref="BB191:BB192">
    <cfRule type="cellIs" dxfId="23307" priority="37" operator="lessThan">
      <formula>0</formula>
    </cfRule>
    <cfRule type="cellIs" dxfId="23306" priority="38" operator="lessThan">
      <formula>-105575</formula>
    </cfRule>
  </conditionalFormatting>
  <conditionalFormatting sqref="BB194:BB195">
    <cfRule type="cellIs" dxfId="23305" priority="35" operator="lessThan">
      <formula>0</formula>
    </cfRule>
    <cfRule type="cellIs" dxfId="23304" priority="36" operator="lessThan">
      <formula>-105575</formula>
    </cfRule>
  </conditionalFormatting>
  <conditionalFormatting sqref="BB199:BB202">
    <cfRule type="cellIs" dxfId="23303" priority="33" operator="lessThan">
      <formula>0</formula>
    </cfRule>
    <cfRule type="cellIs" dxfId="23302" priority="34" operator="lessThan">
      <formula>-105575</formula>
    </cfRule>
  </conditionalFormatting>
  <conditionalFormatting sqref="BB204:BB208">
    <cfRule type="cellIs" dxfId="23301" priority="31" operator="lessThan">
      <formula>0</formula>
    </cfRule>
    <cfRule type="cellIs" dxfId="23300" priority="32" operator="lessThan">
      <formula>-105575</formula>
    </cfRule>
  </conditionalFormatting>
  <conditionalFormatting sqref="BB210:BB211">
    <cfRule type="cellIs" dxfId="23299" priority="29" operator="lessThan">
      <formula>0</formula>
    </cfRule>
    <cfRule type="cellIs" dxfId="23298" priority="30" operator="lessThan">
      <formula>-105575</formula>
    </cfRule>
  </conditionalFormatting>
  <conditionalFormatting sqref="BB214:BB219">
    <cfRule type="cellIs" dxfId="23297" priority="27" operator="lessThan">
      <formula>0</formula>
    </cfRule>
    <cfRule type="cellIs" dxfId="23296" priority="28" operator="lessThan">
      <formula>-105575</formula>
    </cfRule>
  </conditionalFormatting>
  <conditionalFormatting sqref="BB222:BB224">
    <cfRule type="cellIs" dxfId="23295" priority="25" operator="lessThan">
      <formula>0</formula>
    </cfRule>
    <cfRule type="cellIs" dxfId="23294" priority="26" operator="lessThan">
      <formula>-105575</formula>
    </cfRule>
  </conditionalFormatting>
  <conditionalFormatting sqref="BB227:BB230">
    <cfRule type="cellIs" dxfId="23293" priority="23" operator="lessThan">
      <formula>0</formula>
    </cfRule>
    <cfRule type="cellIs" dxfId="23292" priority="24" operator="lessThan">
      <formula>-105575</formula>
    </cfRule>
  </conditionalFormatting>
  <conditionalFormatting sqref="BB233:BB236">
    <cfRule type="cellIs" dxfId="23291" priority="21" operator="lessThan">
      <formula>0</formula>
    </cfRule>
    <cfRule type="cellIs" dxfId="23290" priority="22" operator="lessThan">
      <formula>-105575</formula>
    </cfRule>
  </conditionalFormatting>
  <conditionalFormatting sqref="BB239:BB242">
    <cfRule type="cellIs" dxfId="23289" priority="19" operator="lessThan">
      <formula>0</formula>
    </cfRule>
    <cfRule type="cellIs" dxfId="23288" priority="20" operator="lessThan">
      <formula>-105575</formula>
    </cfRule>
  </conditionalFormatting>
  <conditionalFormatting sqref="BB246:BB249">
    <cfRule type="cellIs" dxfId="23287" priority="17" operator="lessThan">
      <formula>0</formula>
    </cfRule>
    <cfRule type="cellIs" dxfId="23286" priority="18" operator="lessThan">
      <formula>-105575</formula>
    </cfRule>
  </conditionalFormatting>
  <conditionalFormatting sqref="BB251:BB253">
    <cfRule type="cellIs" dxfId="23285" priority="15" operator="lessThan">
      <formula>0</formula>
    </cfRule>
    <cfRule type="cellIs" dxfId="23284" priority="16" operator="lessThan">
      <formula>-105575</formula>
    </cfRule>
  </conditionalFormatting>
  <conditionalFormatting sqref="BB255:BB257">
    <cfRule type="cellIs" dxfId="23283" priority="13" operator="lessThan">
      <formula>0</formula>
    </cfRule>
    <cfRule type="cellIs" dxfId="23282" priority="14" operator="lessThan">
      <formula>-105575</formula>
    </cfRule>
  </conditionalFormatting>
  <conditionalFormatting sqref="BB260:BB262">
    <cfRule type="cellIs" dxfId="23281" priority="11" operator="lessThan">
      <formula>0</formula>
    </cfRule>
    <cfRule type="cellIs" dxfId="23280" priority="12" operator="lessThan">
      <formula>-105575</formula>
    </cfRule>
  </conditionalFormatting>
  <conditionalFormatting sqref="BB264:BB267">
    <cfRule type="cellIs" dxfId="23279" priority="9" operator="lessThan">
      <formula>0</formula>
    </cfRule>
    <cfRule type="cellIs" dxfId="23278" priority="10" operator="lessThan">
      <formula>-105575</formula>
    </cfRule>
  </conditionalFormatting>
  <conditionalFormatting sqref="BB270:BB272">
    <cfRule type="cellIs" dxfId="23277" priority="7" operator="lessThan">
      <formula>0</formula>
    </cfRule>
    <cfRule type="cellIs" dxfId="23276" priority="8" operator="lessThan">
      <formula>-105575</formula>
    </cfRule>
  </conditionalFormatting>
  <conditionalFormatting sqref="BB274:BB275">
    <cfRule type="cellIs" dxfId="23275" priority="5" operator="lessThan">
      <formula>0</formula>
    </cfRule>
    <cfRule type="cellIs" dxfId="23274" priority="6" operator="lessThan">
      <formula>-105575</formula>
    </cfRule>
  </conditionalFormatting>
  <conditionalFormatting sqref="BB278:BB282">
    <cfRule type="cellIs" dxfId="23273" priority="3" operator="lessThan">
      <formula>0</formula>
    </cfRule>
    <cfRule type="cellIs" dxfId="23272" priority="4" operator="lessThan">
      <formula>-105575</formula>
    </cfRule>
  </conditionalFormatting>
  <conditionalFormatting sqref="BB285:BB288">
    <cfRule type="cellIs" dxfId="23271" priority="1" operator="lessThan">
      <formula>0</formula>
    </cfRule>
    <cfRule type="cellIs" dxfId="23270" priority="2" operator="lessThan">
      <formula>-105575</formula>
    </cfRule>
  </conditionalFormatting>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BF292"/>
  <sheetViews>
    <sheetView topLeftCell="AN1" zoomScale="65" zoomScaleNormal="65" workbookViewId="0">
      <selection activeCell="AQ3" sqref="AQ3:BB4"/>
    </sheetView>
  </sheetViews>
  <sheetFormatPr defaultColWidth="8.85546875" defaultRowHeight="15" outlineLevelRow="2" outlineLevelCol="2" x14ac:dyDescent="0.25"/>
  <cols>
    <col min="1" max="1" width="4.140625" style="183" bestFit="1" customWidth="1"/>
    <col min="2" max="2" width="3.28515625" style="183" customWidth="1"/>
    <col min="3" max="3" width="2.42578125" style="101" customWidth="1"/>
    <col min="4" max="4" width="24.7109375" style="101" customWidth="1"/>
    <col min="5" max="5" width="41.42578125" style="102" customWidth="1" outlineLevel="1"/>
    <col min="6" max="6" width="12.140625" style="101" customWidth="1" outlineLevel="1"/>
    <col min="7" max="7" width="12.7109375" style="101" customWidth="1" outlineLevel="1"/>
    <col min="8" max="8" width="97.85546875" style="101" customWidth="1" outlineLevel="2"/>
    <col min="9" max="9" width="16.140625" style="239" customWidth="1" outlineLevel="2"/>
    <col min="10" max="10" width="8.42578125" style="239" bestFit="1" customWidth="1" outlineLevel="2"/>
    <col min="11" max="11" width="12" style="239" bestFit="1" customWidth="1" outlineLevel="2"/>
    <col min="12" max="12" width="21.42578125" style="239" customWidth="1" outlineLevel="1"/>
    <col min="13" max="13" width="19.140625" style="239" customWidth="1" outlineLevel="1"/>
    <col min="14" max="14" width="10.5703125" style="239" customWidth="1" outlineLevel="2"/>
    <col min="15" max="15" width="11" style="239" customWidth="1" outlineLevel="2"/>
    <col min="16" max="16" width="13.28515625" style="239" customWidth="1" outlineLevel="2"/>
    <col min="17" max="17" width="14.140625" style="239" customWidth="1" outlineLevel="2"/>
    <col min="18" max="21" width="12.140625" style="239" customWidth="1" outlineLevel="2"/>
    <col min="22" max="23" width="8.42578125" style="239" bestFit="1" customWidth="1" outlineLevel="2"/>
    <col min="24" max="24" width="7.5703125" style="239" customWidth="1" outlineLevel="2"/>
    <col min="25" max="25" width="12" style="239" bestFit="1" customWidth="1" outlineLevel="1"/>
    <col min="26" max="26" width="8.42578125" style="239" bestFit="1" customWidth="1" outlineLevel="2"/>
    <col min="27" max="27" width="9" style="239" bestFit="1" customWidth="1" outlineLevel="2"/>
    <col min="28" max="28" width="14.42578125" style="239" customWidth="1" outlineLevel="1"/>
    <col min="29" max="29" width="24.140625" style="239" customWidth="1" outlineLevel="1"/>
    <col min="30" max="30" width="12.85546875" style="239" customWidth="1" outlineLevel="2"/>
    <col min="31" max="31" width="22.28515625" style="239" customWidth="1" outlineLevel="2"/>
    <col min="32" max="32" width="20.7109375" style="239" customWidth="1" outlineLevel="1"/>
    <col min="33" max="34" width="9" style="239" bestFit="1" customWidth="1" outlineLevel="2"/>
    <col min="35" max="35" width="7.28515625" style="239" customWidth="1" outlineLevel="2"/>
    <col min="36" max="36" width="18" style="239" customWidth="1" outlineLevel="2"/>
    <col min="37" max="37" width="13.28515625" style="239" customWidth="1" outlineLevel="2"/>
    <col min="38" max="38" width="17.5703125" style="239" customWidth="1" outlineLevel="2"/>
    <col min="39" max="39" width="20.28515625" style="239" customWidth="1" outlineLevel="1"/>
    <col min="40" max="40" width="17" style="239" customWidth="1" outlineLevel="1"/>
    <col min="41" max="41" width="39.85546875" style="239" customWidth="1" outlineLevel="2"/>
    <col min="42" max="42" width="2.7109375" style="239" customWidth="1"/>
    <col min="43" max="43" width="19.5703125" style="239" customWidth="1"/>
    <col min="44" max="44" width="26" style="239" customWidth="1"/>
    <col min="45" max="45" width="20.28515625" style="239" customWidth="1"/>
    <col min="46" max="46" width="25.7109375" style="239" customWidth="1"/>
    <col min="47" max="47" width="24" style="235" customWidth="1"/>
    <col min="48" max="48" width="21.42578125" style="235" customWidth="1"/>
    <col min="49" max="49" width="17.28515625" style="235" customWidth="1"/>
    <col min="50" max="51" width="15" style="235" customWidth="1"/>
    <col min="52" max="52" width="21.42578125" style="235" customWidth="1"/>
    <col min="53" max="53" width="15" style="235" customWidth="1"/>
    <col min="54" max="54" width="22.7109375" style="235" customWidth="1"/>
    <col min="55" max="58" width="9.140625" style="167" customWidth="1"/>
    <col min="59" max="16384" width="8.85546875" style="169"/>
  </cols>
  <sheetData>
    <row r="1" spans="1:58" s="183" customFormat="1" ht="37.9" customHeight="1" x14ac:dyDescent="0.25">
      <c r="A1" s="115"/>
      <c r="B1" s="395" t="s">
        <v>155</v>
      </c>
      <c r="C1" s="395"/>
      <c r="D1" s="395"/>
      <c r="E1" s="395"/>
      <c r="F1" s="395"/>
      <c r="G1" s="395"/>
      <c r="H1" s="395"/>
      <c r="I1" s="292"/>
      <c r="J1" s="292"/>
      <c r="K1" s="292"/>
      <c r="L1" s="292"/>
      <c r="M1" s="232"/>
      <c r="N1" s="233"/>
      <c r="O1" s="233"/>
      <c r="P1" s="233"/>
      <c r="Q1" s="233"/>
      <c r="R1" s="233"/>
      <c r="S1" s="233"/>
      <c r="T1" s="233"/>
      <c r="U1" s="233"/>
      <c r="V1" s="233"/>
      <c r="W1" s="233"/>
      <c r="X1" s="233"/>
      <c r="Y1" s="233"/>
      <c r="Z1" s="233"/>
      <c r="AA1" s="233"/>
      <c r="AB1" s="233"/>
      <c r="AC1" s="233"/>
      <c r="AD1" s="233"/>
      <c r="AE1" s="233"/>
      <c r="AF1" s="233"/>
      <c r="AG1" s="233"/>
      <c r="AH1" s="233"/>
      <c r="AI1" s="233"/>
      <c r="AJ1" s="233"/>
      <c r="AK1" s="233"/>
      <c r="AL1" s="233"/>
      <c r="AM1" s="233"/>
      <c r="AN1" s="233"/>
      <c r="AO1" s="233"/>
      <c r="AP1" s="234"/>
      <c r="AQ1" s="234"/>
      <c r="AR1" s="234"/>
      <c r="AS1" s="234"/>
      <c r="AT1" s="234"/>
      <c r="AU1" s="235"/>
      <c r="AV1" s="235"/>
      <c r="AW1" s="235"/>
      <c r="AX1" s="235"/>
      <c r="AY1" s="235"/>
      <c r="AZ1" s="235"/>
      <c r="BA1" s="235"/>
      <c r="BB1" s="235"/>
    </row>
    <row r="2" spans="1:58" ht="78.75" customHeight="1" x14ac:dyDescent="0.25">
      <c r="A2" s="115" t="s">
        <v>55</v>
      </c>
      <c r="B2" s="385" t="s">
        <v>120</v>
      </c>
      <c r="C2" s="386"/>
      <c r="D2" s="386"/>
      <c r="E2" s="387"/>
      <c r="F2" s="296" t="s">
        <v>133</v>
      </c>
      <c r="G2" s="296" t="s">
        <v>134</v>
      </c>
      <c r="H2" s="116" t="s">
        <v>54</v>
      </c>
      <c r="I2" s="236" t="s">
        <v>0</v>
      </c>
      <c r="J2" s="236" t="s">
        <v>14</v>
      </c>
      <c r="K2" s="236" t="s">
        <v>15</v>
      </c>
      <c r="L2" s="237" t="s">
        <v>11</v>
      </c>
      <c r="M2" s="237" t="s">
        <v>82</v>
      </c>
      <c r="N2" s="236" t="s">
        <v>16</v>
      </c>
      <c r="O2" s="236" t="s">
        <v>7</v>
      </c>
      <c r="P2" s="236" t="s">
        <v>6</v>
      </c>
      <c r="Q2" s="236" t="s">
        <v>8</v>
      </c>
      <c r="R2" s="237" t="s">
        <v>57</v>
      </c>
      <c r="S2" s="237" t="s">
        <v>65</v>
      </c>
      <c r="T2" s="237" t="s">
        <v>64</v>
      </c>
      <c r="U2" s="237" t="s">
        <v>63</v>
      </c>
      <c r="V2" s="236" t="s">
        <v>17</v>
      </c>
      <c r="W2" s="236" t="s">
        <v>67</v>
      </c>
      <c r="X2" s="236" t="s">
        <v>6</v>
      </c>
      <c r="Y2" s="237" t="s">
        <v>71</v>
      </c>
      <c r="Z2" s="236" t="s">
        <v>10</v>
      </c>
      <c r="AA2" s="236" t="s">
        <v>9</v>
      </c>
      <c r="AB2" s="237" t="s">
        <v>70</v>
      </c>
      <c r="AC2" s="238" t="s">
        <v>18</v>
      </c>
      <c r="AD2" s="237" t="s">
        <v>79</v>
      </c>
      <c r="AE2" s="237" t="s">
        <v>23</v>
      </c>
      <c r="AF2" s="237" t="s">
        <v>80</v>
      </c>
      <c r="AG2" s="236" t="s">
        <v>20</v>
      </c>
      <c r="AH2" s="236" t="s">
        <v>21</v>
      </c>
      <c r="AI2" s="236" t="s">
        <v>22</v>
      </c>
      <c r="AJ2" s="236" t="s">
        <v>99</v>
      </c>
      <c r="AK2" s="236" t="s">
        <v>101</v>
      </c>
      <c r="AL2" s="236" t="s">
        <v>90</v>
      </c>
      <c r="AM2" s="237" t="s">
        <v>92</v>
      </c>
      <c r="AN2" s="237" t="s">
        <v>13</v>
      </c>
      <c r="AO2" s="236"/>
      <c r="AQ2" s="402" t="s">
        <v>532</v>
      </c>
      <c r="AR2" s="403"/>
      <c r="AS2" s="403"/>
      <c r="AT2" s="403"/>
      <c r="AU2" s="403"/>
      <c r="AV2" s="403"/>
      <c r="AW2" s="403"/>
      <c r="AX2" s="403"/>
      <c r="AY2" s="403"/>
      <c r="AZ2" s="403"/>
      <c r="BA2" s="403"/>
      <c r="BB2" s="404"/>
      <c r="BC2" s="169"/>
      <c r="BD2" s="169"/>
      <c r="BE2" s="169"/>
      <c r="BF2" s="169"/>
    </row>
    <row r="3" spans="1:58" s="79" customFormat="1" ht="110.25" customHeight="1" x14ac:dyDescent="0.25">
      <c r="A3" s="118" t="s">
        <v>56</v>
      </c>
      <c r="B3" s="385" t="s">
        <v>121</v>
      </c>
      <c r="C3" s="386"/>
      <c r="D3" s="386"/>
      <c r="E3" s="387"/>
      <c r="F3" s="296" t="s">
        <v>135</v>
      </c>
      <c r="G3" s="296" t="s">
        <v>135</v>
      </c>
      <c r="H3" s="119" t="s">
        <v>45</v>
      </c>
      <c r="I3" s="236" t="s">
        <v>51</v>
      </c>
      <c r="J3" s="236" t="s">
        <v>52</v>
      </c>
      <c r="K3" s="236" t="s">
        <v>53</v>
      </c>
      <c r="L3" s="237" t="s">
        <v>117</v>
      </c>
      <c r="M3" s="237" t="s">
        <v>116</v>
      </c>
      <c r="N3" s="236" t="s">
        <v>73</v>
      </c>
      <c r="O3" s="236" t="s">
        <v>72</v>
      </c>
      <c r="P3" s="236" t="s">
        <v>74</v>
      </c>
      <c r="Q3" s="236" t="s">
        <v>75</v>
      </c>
      <c r="R3" s="237" t="s">
        <v>115</v>
      </c>
      <c r="S3" s="237" t="s">
        <v>114</v>
      </c>
      <c r="T3" s="237" t="s">
        <v>113</v>
      </c>
      <c r="U3" s="237" t="s">
        <v>112</v>
      </c>
      <c r="V3" s="236" t="s">
        <v>76</v>
      </c>
      <c r="W3" s="236" t="s">
        <v>77</v>
      </c>
      <c r="X3" s="236" t="s">
        <v>78</v>
      </c>
      <c r="Y3" s="237" t="s">
        <v>111</v>
      </c>
      <c r="Z3" s="236" t="s">
        <v>68</v>
      </c>
      <c r="AA3" s="236" t="s">
        <v>69</v>
      </c>
      <c r="AB3" s="237" t="s">
        <v>110</v>
      </c>
      <c r="AC3" s="238" t="s">
        <v>109</v>
      </c>
      <c r="AD3" s="237" t="s">
        <v>108</v>
      </c>
      <c r="AE3" s="237" t="s">
        <v>107</v>
      </c>
      <c r="AF3" s="237" t="s">
        <v>106</v>
      </c>
      <c r="AG3" s="236" t="s">
        <v>87</v>
      </c>
      <c r="AH3" s="236" t="s">
        <v>89</v>
      </c>
      <c r="AI3" s="236" t="s">
        <v>88</v>
      </c>
      <c r="AJ3" s="237" t="s">
        <v>100</v>
      </c>
      <c r="AK3" s="237" t="s">
        <v>102</v>
      </c>
      <c r="AL3" s="237" t="s">
        <v>96</v>
      </c>
      <c r="AM3" s="237" t="s">
        <v>104</v>
      </c>
      <c r="AN3" s="237" t="s">
        <v>105</v>
      </c>
      <c r="AO3" s="236"/>
      <c r="AP3" s="240"/>
      <c r="AQ3" s="370" t="s">
        <v>123</v>
      </c>
      <c r="AR3" s="370" t="s">
        <v>24</v>
      </c>
      <c r="AS3" s="370" t="s">
        <v>12</v>
      </c>
      <c r="AT3" s="370" t="s">
        <v>19</v>
      </c>
      <c r="AU3" s="371" t="s">
        <v>124</v>
      </c>
      <c r="AV3" s="371" t="s">
        <v>125</v>
      </c>
      <c r="AW3" s="371" t="s">
        <v>222</v>
      </c>
      <c r="AX3" s="371" t="s">
        <v>136</v>
      </c>
      <c r="AY3" s="371" t="s">
        <v>546</v>
      </c>
      <c r="AZ3" s="371" t="s">
        <v>565</v>
      </c>
      <c r="BA3" s="372" t="s">
        <v>126</v>
      </c>
      <c r="BB3" s="371" t="s">
        <v>25</v>
      </c>
    </row>
    <row r="4" spans="1:58" s="81" customFormat="1" ht="63" x14ac:dyDescent="0.25">
      <c r="A4" s="120"/>
      <c r="B4" s="121"/>
      <c r="C4" s="122"/>
      <c r="D4" s="122"/>
      <c r="E4" s="123"/>
      <c r="F4" s="123" t="s">
        <v>131</v>
      </c>
      <c r="G4" s="123" t="s">
        <v>132</v>
      </c>
      <c r="H4" s="116" t="s">
        <v>119</v>
      </c>
      <c r="I4" s="241" t="s">
        <v>118</v>
      </c>
      <c r="J4" s="241">
        <v>2</v>
      </c>
      <c r="K4" s="241">
        <v>3</v>
      </c>
      <c r="L4" s="241" t="s">
        <v>81</v>
      </c>
      <c r="M4" s="241" t="s">
        <v>83</v>
      </c>
      <c r="N4" s="241">
        <v>6</v>
      </c>
      <c r="O4" s="241">
        <v>7</v>
      </c>
      <c r="P4" s="241">
        <v>8</v>
      </c>
      <c r="Q4" s="241">
        <v>9</v>
      </c>
      <c r="R4" s="241" t="s">
        <v>26</v>
      </c>
      <c r="S4" s="241" t="s">
        <v>27</v>
      </c>
      <c r="T4" s="241" t="s">
        <v>28</v>
      </c>
      <c r="U4" s="241" t="s">
        <v>29</v>
      </c>
      <c r="V4" s="241">
        <v>14</v>
      </c>
      <c r="W4" s="241">
        <v>15</v>
      </c>
      <c r="X4" s="241">
        <v>16</v>
      </c>
      <c r="Y4" s="241" t="s">
        <v>84</v>
      </c>
      <c r="Z4" s="241">
        <v>18</v>
      </c>
      <c r="AA4" s="241">
        <v>19</v>
      </c>
      <c r="AB4" s="241" t="s">
        <v>85</v>
      </c>
      <c r="AC4" s="241">
        <v>21</v>
      </c>
      <c r="AD4" s="241">
        <v>22</v>
      </c>
      <c r="AE4" s="241" t="s">
        <v>94</v>
      </c>
      <c r="AF4" s="241" t="s">
        <v>86</v>
      </c>
      <c r="AG4" s="241">
        <v>25</v>
      </c>
      <c r="AH4" s="241">
        <v>26</v>
      </c>
      <c r="AI4" s="241">
        <v>27</v>
      </c>
      <c r="AJ4" s="241">
        <v>28</v>
      </c>
      <c r="AK4" s="241">
        <v>29</v>
      </c>
      <c r="AL4" s="241">
        <v>30</v>
      </c>
      <c r="AM4" s="241" t="s">
        <v>95</v>
      </c>
      <c r="AN4" s="241" t="s">
        <v>103</v>
      </c>
      <c r="AO4" s="241"/>
      <c r="AP4" s="242"/>
      <c r="AQ4" s="241" t="s">
        <v>127</v>
      </c>
      <c r="AR4" s="241" t="s">
        <v>128</v>
      </c>
      <c r="AS4" s="241" t="s">
        <v>129</v>
      </c>
      <c r="AT4" s="241" t="s">
        <v>130</v>
      </c>
      <c r="AU4" s="377">
        <v>37</v>
      </c>
      <c r="AV4" s="377">
        <v>38</v>
      </c>
      <c r="AW4" s="377">
        <v>39</v>
      </c>
      <c r="AX4" s="377">
        <v>40</v>
      </c>
      <c r="AY4" s="377"/>
      <c r="AZ4" s="377">
        <v>41</v>
      </c>
      <c r="BA4" s="377">
        <v>42</v>
      </c>
      <c r="BB4" s="377" t="s">
        <v>142</v>
      </c>
    </row>
    <row r="5" spans="1:58" s="170" customFormat="1" ht="15.75" customHeight="1" x14ac:dyDescent="0.25">
      <c r="A5" s="120"/>
      <c r="B5" s="388" t="s">
        <v>312</v>
      </c>
      <c r="C5" s="389"/>
      <c r="D5" s="389"/>
      <c r="E5" s="390"/>
      <c r="F5" s="339"/>
      <c r="G5" s="339"/>
      <c r="H5" s="113" t="s">
        <v>58</v>
      </c>
      <c r="I5" s="243"/>
      <c r="J5" s="243"/>
      <c r="K5" s="243"/>
      <c r="L5" s="243">
        <f>SUM(L6+L16+L20+L40+L45+L61)</f>
        <v>2005272068.5714285</v>
      </c>
      <c r="M5" s="243">
        <f>SUM(M6+M16+M20+M40+M45+M61)</f>
        <v>334880435.45142853</v>
      </c>
      <c r="N5" s="243"/>
      <c r="O5" s="243"/>
      <c r="P5" s="243"/>
      <c r="Q5" s="243"/>
      <c r="R5" s="243">
        <f>SUM(R6+R16+R20+R40+R45+R61)</f>
        <v>930000</v>
      </c>
      <c r="S5" s="243">
        <f>SUM(S6+S16+S20+S40+S45+S61)</f>
        <v>907500</v>
      </c>
      <c r="T5" s="243">
        <f>SUM(T6+T16+T20+T40+T45+T61)</f>
        <v>0</v>
      </c>
      <c r="U5" s="243">
        <f>SUM(U6+U16+U20+U40+U45+U61)</f>
        <v>1160000</v>
      </c>
      <c r="V5" s="243"/>
      <c r="W5" s="243"/>
      <c r="X5" s="243"/>
      <c r="Y5" s="243">
        <f>SUM(Y6+Y16+Y20+Y40+Y45+Y61)</f>
        <v>0</v>
      </c>
      <c r="Z5" s="243">
        <f t="shared" ref="Z5:AF5" si="0">SUM(Z6+Z16+Z20+Z40+Z45+Z61)</f>
        <v>0</v>
      </c>
      <c r="AA5" s="243">
        <f t="shared" si="0"/>
        <v>0</v>
      </c>
      <c r="AB5" s="243">
        <f t="shared" si="0"/>
        <v>1643000</v>
      </c>
      <c r="AC5" s="243">
        <f t="shared" si="0"/>
        <v>1519963102</v>
      </c>
      <c r="AD5" s="243">
        <f t="shared" si="0"/>
        <v>0</v>
      </c>
      <c r="AE5" s="243">
        <f t="shared" si="0"/>
        <v>87861400</v>
      </c>
      <c r="AF5" s="243">
        <f t="shared" si="0"/>
        <v>1612465002</v>
      </c>
      <c r="AG5" s="243"/>
      <c r="AH5" s="243"/>
      <c r="AI5" s="243"/>
      <c r="AJ5" s="243">
        <f>SUM(AJ6+AJ16+AJ20+AJ40+AJ45+AJ61)</f>
        <v>0</v>
      </c>
      <c r="AK5" s="243">
        <f>SUM(AK6+AK16+AK20+AK40+AK45+AK61)</f>
        <v>0</v>
      </c>
      <c r="AL5" s="243">
        <f>SUM(AL6+AL16+AL20+AL40+AL45+AL61)</f>
        <v>0</v>
      </c>
      <c r="AM5" s="243">
        <f>SUM(AM6+AM16+AM20+AM40+AM45+AM61)</f>
        <v>0</v>
      </c>
      <c r="AN5" s="243">
        <f>SUM(AN6+AN16+AN20+AN40+AN45+AN61)</f>
        <v>0</v>
      </c>
      <c r="AO5" s="243"/>
      <c r="AP5" s="244"/>
      <c r="AQ5" s="245">
        <f>SUM(AQ6+AQ16+AQ20+AQ40+AQ45+AQ61)</f>
        <v>2340152504.0228567</v>
      </c>
      <c r="AR5" s="245">
        <f>SUM(AR6+AR16+AR20+AR40+AR45+AR61)</f>
        <v>1612465002</v>
      </c>
      <c r="AS5" s="245">
        <f>SUM(AS6+AS16+AS20+AS40+AS45+AS61)</f>
        <v>0</v>
      </c>
      <c r="AT5" s="245">
        <f>SUM(AT6+AT16+AT20+AT40+AT45+AT61)</f>
        <v>3952617506.0228572</v>
      </c>
      <c r="AU5" s="245">
        <f t="shared" ref="AU5:BB5" si="1">SUM(AU6+AU16+AU20+AU40+AU45+AU61)</f>
        <v>3944031506.0228572</v>
      </c>
      <c r="AV5" s="245">
        <f t="shared" si="1"/>
        <v>0</v>
      </c>
      <c r="AW5" s="245">
        <f>SUM(AW6+AW16+AW20+AW40+AW45+AW61)</f>
        <v>0</v>
      </c>
      <c r="AX5" s="245">
        <f t="shared" si="1"/>
        <v>0</v>
      </c>
      <c r="AY5" s="245">
        <f t="shared" si="1"/>
        <v>2346000</v>
      </c>
      <c r="AZ5" s="245">
        <f t="shared" si="1"/>
        <v>0</v>
      </c>
      <c r="BA5" s="245">
        <f t="shared" si="1"/>
        <v>0</v>
      </c>
      <c r="BB5" s="245">
        <f t="shared" si="1"/>
        <v>-6240000</v>
      </c>
    </row>
    <row r="6" spans="1:58" s="170" customFormat="1" ht="15.75" customHeight="1" x14ac:dyDescent="0.25">
      <c r="A6" s="120"/>
      <c r="B6" s="290"/>
      <c r="C6" s="391" t="s">
        <v>191</v>
      </c>
      <c r="D6" s="391"/>
      <c r="E6" s="392"/>
      <c r="F6" s="289"/>
      <c r="G6" s="288"/>
      <c r="H6" s="114" t="s">
        <v>59</v>
      </c>
      <c r="I6" s="246"/>
      <c r="J6" s="246"/>
      <c r="K6" s="246"/>
      <c r="L6" s="247">
        <f>SUM(L11+L15)</f>
        <v>151200</v>
      </c>
      <c r="M6" s="247">
        <f>SUM(M11+M15)</f>
        <v>25250.400000000001</v>
      </c>
      <c r="N6" s="247"/>
      <c r="O6" s="247"/>
      <c r="P6" s="247"/>
      <c r="Q6" s="247"/>
      <c r="R6" s="247">
        <f>SUM(R11+R15)</f>
        <v>150000</v>
      </c>
      <c r="S6" s="247">
        <f>SUM(S11+S15)</f>
        <v>112500</v>
      </c>
      <c r="T6" s="247">
        <f>SUM(T11+T15)</f>
        <v>0</v>
      </c>
      <c r="U6" s="247">
        <f>SUM(U11+U15)</f>
        <v>200000</v>
      </c>
      <c r="V6" s="247"/>
      <c r="W6" s="247"/>
      <c r="X6" s="247"/>
      <c r="Y6" s="247">
        <f>SUM(Y11+Y15)</f>
        <v>0</v>
      </c>
      <c r="Z6" s="247">
        <f t="shared" ref="Z6:AF6" si="2">SUM(Z11+Z15)</f>
        <v>0</v>
      </c>
      <c r="AA6" s="247">
        <f t="shared" si="2"/>
        <v>0</v>
      </c>
      <c r="AB6" s="247">
        <f t="shared" si="2"/>
        <v>114000</v>
      </c>
      <c r="AC6" s="247">
        <f t="shared" si="2"/>
        <v>247500</v>
      </c>
      <c r="AD6" s="247">
        <f t="shared" si="2"/>
        <v>0</v>
      </c>
      <c r="AE6" s="247">
        <f t="shared" si="2"/>
        <v>164800</v>
      </c>
      <c r="AF6" s="247">
        <f t="shared" si="2"/>
        <v>988800</v>
      </c>
      <c r="AG6" s="247"/>
      <c r="AH6" s="247"/>
      <c r="AI6" s="247"/>
      <c r="AJ6" s="247">
        <f>SUM(AJ11+AJ15)</f>
        <v>0</v>
      </c>
      <c r="AK6" s="247">
        <f>SUM(AK11+AK15)</f>
        <v>0</v>
      </c>
      <c r="AL6" s="247">
        <f>SUM(AL11+AL15)</f>
        <v>0</v>
      </c>
      <c r="AM6" s="247">
        <f>SUM(AM11+AM15)</f>
        <v>0</v>
      </c>
      <c r="AN6" s="247">
        <f>SUM(AN11+AN15)</f>
        <v>0</v>
      </c>
      <c r="AO6" s="247"/>
      <c r="AP6" s="244"/>
      <c r="AQ6" s="248">
        <f>SUM(AQ11+AQ15)</f>
        <v>176450.4</v>
      </c>
      <c r="AR6" s="248">
        <f>SUM(AR11+AR15)</f>
        <v>988800</v>
      </c>
      <c r="AS6" s="248">
        <f>SUM(AS11+AS15)</f>
        <v>0</v>
      </c>
      <c r="AT6" s="248">
        <f>SUM(AT11+AT15)</f>
        <v>1165250.3999999999</v>
      </c>
      <c r="AU6" s="248">
        <f t="shared" ref="AU6:BB6" si="3">SUM(AU11+AU15)</f>
        <v>176450.4</v>
      </c>
      <c r="AV6" s="248">
        <f t="shared" si="3"/>
        <v>0</v>
      </c>
      <c r="AW6" s="248">
        <f>SUM(AW11+AW15)</f>
        <v>0</v>
      </c>
      <c r="AX6" s="248">
        <f t="shared" si="3"/>
        <v>0</v>
      </c>
      <c r="AY6" s="248">
        <f t="shared" si="3"/>
        <v>0</v>
      </c>
      <c r="AZ6" s="248">
        <f t="shared" si="3"/>
        <v>0</v>
      </c>
      <c r="BA6" s="248">
        <f t="shared" si="3"/>
        <v>0</v>
      </c>
      <c r="BB6" s="248">
        <f t="shared" si="3"/>
        <v>-988799.99999999988</v>
      </c>
    </row>
    <row r="7" spans="1:58" ht="78.75" outlineLevel="2" x14ac:dyDescent="0.25">
      <c r="A7" s="115"/>
      <c r="B7" s="200"/>
      <c r="C7" s="201"/>
      <c r="D7" s="138"/>
      <c r="E7" s="295"/>
      <c r="F7" s="295"/>
      <c r="G7" s="296"/>
      <c r="H7" s="199" t="s">
        <v>369</v>
      </c>
      <c r="I7" s="130"/>
      <c r="J7" s="126"/>
      <c r="K7" s="126"/>
      <c r="L7" s="125" t="str">
        <f>IF(I7&lt;&gt;0,((VLOOKUP(I7,'1. Standard_Cost'!$B$4:$D$11,2)+VLOOKUP(I7,'1. Standard_Cost'!$B$4:$D$11,3))*J7*K7),"0")</f>
        <v>0</v>
      </c>
      <c r="M7" s="125">
        <f>L7*'1. Standard_Cost'!$F$4</f>
        <v>0</v>
      </c>
      <c r="N7" s="126"/>
      <c r="O7" s="126"/>
      <c r="P7" s="126"/>
      <c r="Q7" s="126"/>
      <c r="R7" s="127">
        <f>'1. Standard_Cost'!$B$15*N7*P7</f>
        <v>0</v>
      </c>
      <c r="S7" s="127">
        <f>N7*O7*P7*'1. Standard_Cost'!$C$15</f>
        <v>0</v>
      </c>
      <c r="T7" s="127">
        <f>N7*P7*Q7*'1. Standard_Cost'!$D$15</f>
        <v>0</v>
      </c>
      <c r="U7" s="127">
        <f>N7*O7*'1. Standard_Cost'!$E$15</f>
        <v>0</v>
      </c>
      <c r="V7" s="126"/>
      <c r="W7" s="126"/>
      <c r="X7" s="126"/>
      <c r="Y7" s="127">
        <f>+V7*((X7*'1. Standard_Cost'!$B$19)+(W7*X7*'1. Standard_Cost'!$C$19))</f>
        <v>0</v>
      </c>
      <c r="Z7" s="126"/>
      <c r="AA7" s="126"/>
      <c r="AB7" s="127">
        <f>+Z7*'1. Standard_Cost'!$B$23+AA7*'1. Standard_Cost'!$C$23</f>
        <v>0</v>
      </c>
      <c r="AC7" s="128"/>
      <c r="AD7" s="129"/>
      <c r="AE7" s="127">
        <f>SUM(AD7,AC7,AB7,Y7,U7,T7,S7,R7)*'1. Standard_Cost'!$B$31</f>
        <v>0</v>
      </c>
      <c r="AF7" s="127">
        <f>SUM(AE7,AD7,AC7,AB7,Y7,U7,T7,S7,R7)</f>
        <v>0</v>
      </c>
      <c r="AG7" s="126"/>
      <c r="AH7" s="126"/>
      <c r="AI7" s="126"/>
      <c r="AJ7" s="130"/>
      <c r="AK7" s="130"/>
      <c r="AL7" s="130"/>
      <c r="AM7" s="127">
        <f>AG7*'1. Standard_Cost'!$B$27+'Incremental_Cost Year 6'!AH7*'1. Standard_Cost'!$C$27+'Incremental_Cost Year 6'!AI7*'1. Standard_Cost'!$D$27+'Incremental_Cost Year 6'!AJ7+'Incremental_Cost Year 6'!AL7+AK7</f>
        <v>0</v>
      </c>
      <c r="AN7" s="127">
        <f>AM7*'1. Standard_Cost'!$C$31</f>
        <v>0</v>
      </c>
      <c r="AO7" s="249"/>
      <c r="AQ7" s="171">
        <f>L7+M7</f>
        <v>0</v>
      </c>
      <c r="AR7" s="171">
        <f>AF7</f>
        <v>0</v>
      </c>
      <c r="AS7" s="171">
        <f>AM7+AN7</f>
        <v>0</v>
      </c>
      <c r="AT7" s="171">
        <f>SUM(AQ7,AR7,AS7)</f>
        <v>0</v>
      </c>
      <c r="AU7" s="250">
        <f>AQ7</f>
        <v>0</v>
      </c>
      <c r="AV7" s="250"/>
      <c r="AW7" s="250"/>
      <c r="AX7" s="250"/>
      <c r="AY7" s="250"/>
      <c r="AZ7" s="250"/>
      <c r="BA7" s="250"/>
      <c r="BB7" s="251">
        <f>SUM(AU7:BA7)-AT7</f>
        <v>0</v>
      </c>
      <c r="BC7" s="169"/>
      <c r="BD7" s="169"/>
      <c r="BE7" s="169"/>
      <c r="BF7" s="169"/>
    </row>
    <row r="8" spans="1:58" ht="126" outlineLevel="2" x14ac:dyDescent="0.25">
      <c r="A8" s="115"/>
      <c r="B8" s="200"/>
      <c r="C8" s="201"/>
      <c r="D8" s="135"/>
      <c r="E8" s="219"/>
      <c r="F8" s="219"/>
      <c r="G8" s="313"/>
      <c r="H8" s="199" t="s">
        <v>370</v>
      </c>
      <c r="I8" s="130"/>
      <c r="J8" s="126"/>
      <c r="K8" s="126"/>
      <c r="L8" s="125" t="str">
        <f>IF(I8&lt;&gt;0,((VLOOKUP(I8,'1. Standard_Cost'!$B$4:$D$11,2)+VLOOKUP(I8,'1. Standard_Cost'!$B$4:$D$11,3))*J8*K8),"0")</f>
        <v>0</v>
      </c>
      <c r="M8" s="125">
        <f>L8*'1. Standard_Cost'!$F$4</f>
        <v>0</v>
      </c>
      <c r="N8" s="126"/>
      <c r="O8" s="126"/>
      <c r="P8" s="126"/>
      <c r="Q8" s="126"/>
      <c r="R8" s="127">
        <f>'1. Standard_Cost'!$B$15*N8*P8</f>
        <v>0</v>
      </c>
      <c r="S8" s="127">
        <f>N8*O8*P8*'1. Standard_Cost'!$C$15</f>
        <v>0</v>
      </c>
      <c r="T8" s="127">
        <f>N8*P8*Q8*'1. Standard_Cost'!$D$15</f>
        <v>0</v>
      </c>
      <c r="U8" s="127">
        <f>N8*O8*'1. Standard_Cost'!$E$15</f>
        <v>0</v>
      </c>
      <c r="V8" s="126"/>
      <c r="W8" s="126"/>
      <c r="X8" s="126"/>
      <c r="Y8" s="127">
        <f>+V8*((X8*'1. Standard_Cost'!$B$19)+(W8*X8*'1. Standard_Cost'!$C$19))</f>
        <v>0</v>
      </c>
      <c r="Z8" s="126"/>
      <c r="AA8" s="126"/>
      <c r="AB8" s="127">
        <f>+Z8*'1. Standard_Cost'!$B$23+AA8*'1. Standard_Cost'!$C$23</f>
        <v>0</v>
      </c>
      <c r="AC8" s="128"/>
      <c r="AD8" s="129"/>
      <c r="AE8" s="127">
        <f>SUM(AD8,AC8,AB8,Y8,U8,T8,S8,R8)*'1. Standard_Cost'!$B$31</f>
        <v>0</v>
      </c>
      <c r="AF8" s="127">
        <f>SUM(AE8,AD8,AC8,AB8,Y8,U8,T8,S8,R8)</f>
        <v>0</v>
      </c>
      <c r="AG8" s="126"/>
      <c r="AH8" s="126"/>
      <c r="AI8" s="126"/>
      <c r="AJ8" s="130"/>
      <c r="AK8" s="130"/>
      <c r="AL8" s="130"/>
      <c r="AM8" s="127">
        <f>AG8*'1. Standard_Cost'!$B$27+'Incremental_Cost Year 6'!AH8*'1. Standard_Cost'!$C$27+'Incremental_Cost Year 6'!AI8*'1. Standard_Cost'!$D$27+'Incremental_Cost Year 6'!AJ8+'Incremental_Cost Year 6'!AL8+AK8</f>
        <v>0</v>
      </c>
      <c r="AN8" s="127">
        <f>AM8*'1. Standard_Cost'!$C$31</f>
        <v>0</v>
      </c>
      <c r="AO8" s="130"/>
      <c r="AQ8" s="171">
        <f>L8+M8</f>
        <v>0</v>
      </c>
      <c r="AR8" s="171">
        <f>AF8</f>
        <v>0</v>
      </c>
      <c r="AS8" s="171">
        <f>AM8+AN8</f>
        <v>0</v>
      </c>
      <c r="AT8" s="171">
        <f>SUM(AQ8,AR8,AS8)</f>
        <v>0</v>
      </c>
      <c r="AU8" s="250">
        <f>AQ8</f>
        <v>0</v>
      </c>
      <c r="AV8" s="250"/>
      <c r="AW8" s="250"/>
      <c r="AX8" s="250"/>
      <c r="AY8" s="250"/>
      <c r="AZ8" s="250"/>
      <c r="BA8" s="250"/>
      <c r="BB8" s="251">
        <f t="shared" ref="BB8:BB14" si="4">SUM(AU8:BA8)-AT8</f>
        <v>0</v>
      </c>
      <c r="BC8" s="169"/>
      <c r="BD8" s="169"/>
      <c r="BE8" s="169"/>
      <c r="BF8" s="169"/>
    </row>
    <row r="9" spans="1:58" ht="141.75" outlineLevel="2" x14ac:dyDescent="0.25">
      <c r="A9" s="115"/>
      <c r="B9" s="200"/>
      <c r="C9" s="201"/>
      <c r="D9" s="135"/>
      <c r="E9" s="219"/>
      <c r="F9" s="219"/>
      <c r="G9" s="313"/>
      <c r="H9" s="199" t="s">
        <v>371</v>
      </c>
      <c r="I9" s="130"/>
      <c r="J9" s="126"/>
      <c r="K9" s="126"/>
      <c r="L9" s="125" t="str">
        <f>IF(I9&lt;&gt;0,((VLOOKUP(I9,'1. Standard_Cost'!$B$4:$D$11,2)+VLOOKUP(I9,'1. Standard_Cost'!$B$4:$D$11,3))*J9*K9),"0")</f>
        <v>0</v>
      </c>
      <c r="M9" s="125">
        <f>L9*'1. Standard_Cost'!$F$4</f>
        <v>0</v>
      </c>
      <c r="N9" s="126"/>
      <c r="O9" s="126"/>
      <c r="P9" s="126"/>
      <c r="Q9" s="126"/>
      <c r="R9" s="127">
        <f>'1. Standard_Cost'!$B$15*N9*P9</f>
        <v>0</v>
      </c>
      <c r="S9" s="127">
        <f>N9*O9*P9*'1. Standard_Cost'!$C$15</f>
        <v>0</v>
      </c>
      <c r="T9" s="127">
        <f>N9*P9*Q9*'1. Standard_Cost'!$D$15</f>
        <v>0</v>
      </c>
      <c r="U9" s="127">
        <f>N9*O9*'1. Standard_Cost'!$E$15</f>
        <v>0</v>
      </c>
      <c r="V9" s="126"/>
      <c r="W9" s="126"/>
      <c r="X9" s="126"/>
      <c r="Y9" s="127">
        <f>+V9*((X9*'1. Standard_Cost'!$B$19)+(W9*X9*'1. Standard_Cost'!$C$19))</f>
        <v>0</v>
      </c>
      <c r="Z9" s="126"/>
      <c r="AA9" s="126">
        <v>0</v>
      </c>
      <c r="AB9" s="127">
        <f>+Z9*'1. Standard_Cost'!$B$23+AA9*'1. Standard_Cost'!$C$23</f>
        <v>0</v>
      </c>
      <c r="AC9" s="128">
        <v>0</v>
      </c>
      <c r="AD9" s="129"/>
      <c r="AE9" s="127">
        <f>SUM(AD9,AC9,AB9,Y9,U9,T9,S9,R9)*'1. Standard_Cost'!$B$31</f>
        <v>0</v>
      </c>
      <c r="AF9" s="127">
        <f>SUM(AE9,AD9,AC9,AB9,Y9,U9,T9,S9,R9)</f>
        <v>0</v>
      </c>
      <c r="AG9" s="126"/>
      <c r="AH9" s="126"/>
      <c r="AI9" s="126"/>
      <c r="AJ9" s="130"/>
      <c r="AK9" s="130"/>
      <c r="AL9" s="130"/>
      <c r="AM9" s="127">
        <f>AG9*'1. Standard_Cost'!$B$27+'Incremental_Cost Year 6'!AH9*'1. Standard_Cost'!$C$27+'Incremental_Cost Year 6'!AI9*'1. Standard_Cost'!$D$27+'Incremental_Cost Year 6'!AJ9+'Incremental_Cost Year 6'!AL9+AK9</f>
        <v>0</v>
      </c>
      <c r="AN9" s="127">
        <f>AM9*'1. Standard_Cost'!$C$31</f>
        <v>0</v>
      </c>
      <c r="AO9" s="130"/>
      <c r="AQ9" s="171">
        <f>L9+M9</f>
        <v>0</v>
      </c>
      <c r="AR9" s="171">
        <f>AF9</f>
        <v>0</v>
      </c>
      <c r="AS9" s="171">
        <f>AM9+AN9</f>
        <v>0</v>
      </c>
      <c r="AT9" s="171">
        <f>SUM(AQ9,AR9,AS9)</f>
        <v>0</v>
      </c>
      <c r="AU9" s="250">
        <f>AQ9</f>
        <v>0</v>
      </c>
      <c r="AV9" s="250"/>
      <c r="AW9" s="250"/>
      <c r="AX9" s="250"/>
      <c r="AY9" s="250"/>
      <c r="AZ9" s="250"/>
      <c r="BA9" s="250"/>
      <c r="BB9" s="251">
        <f t="shared" si="4"/>
        <v>0</v>
      </c>
      <c r="BC9" s="169"/>
      <c r="BD9" s="169"/>
      <c r="BE9" s="169"/>
      <c r="BF9" s="169"/>
    </row>
    <row r="10" spans="1:58" ht="141.75" outlineLevel="2" x14ac:dyDescent="0.25">
      <c r="A10" s="115"/>
      <c r="B10" s="200"/>
      <c r="C10" s="201"/>
      <c r="D10" s="223"/>
      <c r="E10" s="219"/>
      <c r="F10" s="122"/>
      <c r="G10" s="123"/>
      <c r="H10" s="199" t="s">
        <v>372</v>
      </c>
      <c r="I10" s="130"/>
      <c r="J10" s="126"/>
      <c r="K10" s="126"/>
      <c r="L10" s="125" t="str">
        <f>IF(I10&lt;&gt;0,((VLOOKUP(I10,'1. Standard_Cost'!$B$4:$D$11,2)+VLOOKUP(I10,'1. Standard_Cost'!$B$4:$D$11,3))*J10*K10),"0")</f>
        <v>0</v>
      </c>
      <c r="M10" s="125">
        <f>L10*'1. Standard_Cost'!$F$4</f>
        <v>0</v>
      </c>
      <c r="N10" s="126"/>
      <c r="O10" s="126"/>
      <c r="P10" s="126"/>
      <c r="Q10" s="126"/>
      <c r="R10" s="127">
        <f>'1. Standard_Cost'!$B$15*N10*P10</f>
        <v>0</v>
      </c>
      <c r="S10" s="127">
        <f>N10*O10*P10*'1. Standard_Cost'!$C$15</f>
        <v>0</v>
      </c>
      <c r="T10" s="127">
        <f>N10*P10*Q10*'1. Standard_Cost'!$D$15</f>
        <v>0</v>
      </c>
      <c r="U10" s="127">
        <f>N10*O10*'1. Standard_Cost'!$E$15</f>
        <v>0</v>
      </c>
      <c r="V10" s="126"/>
      <c r="W10" s="126"/>
      <c r="X10" s="126"/>
      <c r="Y10" s="127">
        <f>+V10*((X10*'1. Standard_Cost'!$B$19)+(W10*X10*'1. Standard_Cost'!$C$19))</f>
        <v>0</v>
      </c>
      <c r="Z10" s="126"/>
      <c r="AA10" s="126"/>
      <c r="AB10" s="127">
        <f>+Z10*'1. Standard_Cost'!$B$23+AA10*'1. Standard_Cost'!$C$23</f>
        <v>0</v>
      </c>
      <c r="AC10" s="128"/>
      <c r="AD10" s="129"/>
      <c r="AE10" s="127">
        <f>SUM(AD10,AC10,AB10,Y10,U10,T10,S10,R10)*'1. Standard_Cost'!$B$31</f>
        <v>0</v>
      </c>
      <c r="AF10" s="127">
        <f>SUM(AE10,AD10,AC10,AB10,Y10,U10,T10,S10,R10)</f>
        <v>0</v>
      </c>
      <c r="AG10" s="126"/>
      <c r="AH10" s="126"/>
      <c r="AI10" s="126"/>
      <c r="AJ10" s="130"/>
      <c r="AK10" s="130"/>
      <c r="AL10" s="130"/>
      <c r="AM10" s="127">
        <f>AG10*'1. Standard_Cost'!$B$27+'Incremental_Cost Year 6'!AH10*'1. Standard_Cost'!$C$27+'Incremental_Cost Year 6'!AI10*'1. Standard_Cost'!$D$27+'Incremental_Cost Year 6'!AJ10+'Incremental_Cost Year 6'!AL10+AK10</f>
        <v>0</v>
      </c>
      <c r="AN10" s="127">
        <f>AM10*'1. Standard_Cost'!$C$31</f>
        <v>0</v>
      </c>
      <c r="AO10" s="130"/>
      <c r="AQ10" s="171">
        <f>L10+M10</f>
        <v>0</v>
      </c>
      <c r="AR10" s="171">
        <f>AF10</f>
        <v>0</v>
      </c>
      <c r="AS10" s="171">
        <f>AM10+AN10</f>
        <v>0</v>
      </c>
      <c r="AT10" s="171">
        <f>SUM(AQ10,AR10,AS10)</f>
        <v>0</v>
      </c>
      <c r="AU10" s="250">
        <f>AQ10</f>
        <v>0</v>
      </c>
      <c r="AV10" s="250"/>
      <c r="AW10" s="250"/>
      <c r="AX10" s="250"/>
      <c r="AY10" s="250"/>
      <c r="AZ10" s="250"/>
      <c r="BA10" s="250"/>
      <c r="BB10" s="251">
        <f t="shared" si="4"/>
        <v>0</v>
      </c>
      <c r="BC10" s="169"/>
      <c r="BD10" s="169"/>
      <c r="BE10" s="169"/>
      <c r="BF10" s="169"/>
    </row>
    <row r="11" spans="1:58" ht="78.75" outlineLevel="1" x14ac:dyDescent="0.25">
      <c r="A11" s="115"/>
      <c r="B11" s="142"/>
      <c r="C11" s="297"/>
      <c r="D11" s="116" t="s">
        <v>373</v>
      </c>
      <c r="E11" s="209" t="s">
        <v>374</v>
      </c>
      <c r="F11" s="117">
        <v>2022</v>
      </c>
      <c r="G11" s="117">
        <v>2024</v>
      </c>
      <c r="H11" s="298" t="s">
        <v>46</v>
      </c>
      <c r="I11" s="252"/>
      <c r="J11" s="252"/>
      <c r="K11" s="252"/>
      <c r="L11" s="127">
        <f>SUM(L7:L10)</f>
        <v>0</v>
      </c>
      <c r="M11" s="127">
        <f>SUM(M7:M10)</f>
        <v>0</v>
      </c>
      <c r="N11" s="127"/>
      <c r="O11" s="252"/>
      <c r="P11" s="252"/>
      <c r="Q11" s="252"/>
      <c r="R11" s="127">
        <f>SUM(R7:R10)</f>
        <v>0</v>
      </c>
      <c r="S11" s="127">
        <f>SUM(S7:S10)</f>
        <v>0</v>
      </c>
      <c r="T11" s="127">
        <f>SUM(T7:T10)</f>
        <v>0</v>
      </c>
      <c r="U11" s="127">
        <f>SUM(U7:U10)</f>
        <v>0</v>
      </c>
      <c r="V11" s="252"/>
      <c r="W11" s="252"/>
      <c r="X11" s="252"/>
      <c r="Y11" s="127">
        <f>SUM(Y7:Y10)</f>
        <v>0</v>
      </c>
      <c r="Z11" s="252"/>
      <c r="AA11" s="252"/>
      <c r="AB11" s="127">
        <f>SUM(AB7:AB10)</f>
        <v>0</v>
      </c>
      <c r="AC11" s="127">
        <f>SUM(AC7:AC9)</f>
        <v>0</v>
      </c>
      <c r="AD11" s="127">
        <f>SUM(AD7:AD9)</f>
        <v>0</v>
      </c>
      <c r="AE11" s="127">
        <f>SUM(AE7:AE9)</f>
        <v>0</v>
      </c>
      <c r="AF11" s="127">
        <f>SUM(AF7:AF9)</f>
        <v>0</v>
      </c>
      <c r="AG11" s="252"/>
      <c r="AH11" s="252"/>
      <c r="AI11" s="252"/>
      <c r="AJ11" s="127">
        <f>SUM(AJ7:AJ9)</f>
        <v>0</v>
      </c>
      <c r="AK11" s="127">
        <f>SUM(AK7:AK9)</f>
        <v>0</v>
      </c>
      <c r="AL11" s="127">
        <f>SUM(AL7:AL9)</f>
        <v>0</v>
      </c>
      <c r="AM11" s="127">
        <f>SUM(AM7:AM9)</f>
        <v>0</v>
      </c>
      <c r="AN11" s="127">
        <f>SUM(AN7:AN9)</f>
        <v>0</v>
      </c>
      <c r="AO11" s="253"/>
      <c r="AP11" s="254"/>
      <c r="AQ11" s="175">
        <f>SUM(AQ7:AQ10)</f>
        <v>0</v>
      </c>
      <c r="AR11" s="175">
        <f>SUM(AR7:AR10)</f>
        <v>0</v>
      </c>
      <c r="AS11" s="175">
        <f>SUM(AS7:AS10)</f>
        <v>0</v>
      </c>
      <c r="AT11" s="175">
        <f>SUM(AT7:AT10)</f>
        <v>0</v>
      </c>
      <c r="AU11" s="175">
        <f t="shared" ref="AU11:BA11" si="5">SUM(AU7:AU9)</f>
        <v>0</v>
      </c>
      <c r="AV11" s="175">
        <f t="shared" si="5"/>
        <v>0</v>
      </c>
      <c r="AW11" s="175">
        <f>SUM(AW7:AW9)</f>
        <v>0</v>
      </c>
      <c r="AX11" s="175">
        <f t="shared" si="5"/>
        <v>0</v>
      </c>
      <c r="AY11" s="175">
        <f t="shared" si="5"/>
        <v>0</v>
      </c>
      <c r="AZ11" s="175">
        <f t="shared" si="5"/>
        <v>0</v>
      </c>
      <c r="BA11" s="175">
        <f t="shared" si="5"/>
        <v>0</v>
      </c>
      <c r="BB11" s="175">
        <f>SUM(BB7:BB10)</f>
        <v>0</v>
      </c>
      <c r="BC11" s="169"/>
      <c r="BD11" s="169"/>
      <c r="BE11" s="169"/>
      <c r="BF11" s="169"/>
    </row>
    <row r="12" spans="1:58" ht="189" outlineLevel="2" x14ac:dyDescent="0.25">
      <c r="A12" s="115"/>
      <c r="B12" s="200"/>
      <c r="C12" s="201"/>
      <c r="D12" s="138"/>
      <c r="E12" s="295"/>
      <c r="F12" s="295"/>
      <c r="G12" s="296"/>
      <c r="H12" s="299" t="s">
        <v>375</v>
      </c>
      <c r="I12" s="130"/>
      <c r="J12" s="126"/>
      <c r="K12" s="126"/>
      <c r="L12" s="125" t="str">
        <f>IF(I12&lt;&gt;0,((VLOOKUP(I12,'1. Standard_Cost'!$B$4:$D$11,2)+VLOOKUP(I12,'1. Standard_Cost'!$B$4:$D$11,3))*J12*K12),"0")</f>
        <v>0</v>
      </c>
      <c r="M12" s="125">
        <f>L12*'1. Standard_Cost'!$F$4</f>
        <v>0</v>
      </c>
      <c r="N12" s="126"/>
      <c r="O12" s="126"/>
      <c r="P12" s="126"/>
      <c r="Q12" s="126"/>
      <c r="R12" s="127">
        <f>'1. Standard_Cost'!$B$15*N12*P12</f>
        <v>0</v>
      </c>
      <c r="S12" s="127">
        <f>N12*O12*P12*'1. Standard_Cost'!$C$15</f>
        <v>0</v>
      </c>
      <c r="T12" s="127">
        <f>N12*P12*Q12*'1. Standard_Cost'!$D$15</f>
        <v>0</v>
      </c>
      <c r="U12" s="127">
        <f>N12*O12*'1. Standard_Cost'!$E$15</f>
        <v>0</v>
      </c>
      <c r="V12" s="126"/>
      <c r="W12" s="126"/>
      <c r="X12" s="126"/>
      <c r="Y12" s="127">
        <f>+V12*((X12*'1. Standard_Cost'!$B$19)+(W12*X12*'1. Standard_Cost'!$C$19))</f>
        <v>0</v>
      </c>
      <c r="Z12" s="126"/>
      <c r="AA12" s="126"/>
      <c r="AB12" s="127">
        <f>+Z12*'1. Standard_Cost'!$B$23+AA12*'1. Standard_Cost'!$C$23</f>
        <v>0</v>
      </c>
      <c r="AC12" s="128"/>
      <c r="AD12" s="129"/>
      <c r="AE12" s="127">
        <f>SUM(AD12,AC12,AB12,Y12,U12,T12,S12,R12)*'1. Standard_Cost'!$B$31</f>
        <v>0</v>
      </c>
      <c r="AF12" s="127">
        <f>SUM(AE12,AD12,AC12,AB12,Y12,U12,T12,S12,R12)</f>
        <v>0</v>
      </c>
      <c r="AG12" s="126"/>
      <c r="AH12" s="126"/>
      <c r="AI12" s="126"/>
      <c r="AJ12" s="130"/>
      <c r="AK12" s="130"/>
      <c r="AL12" s="130"/>
      <c r="AM12" s="127">
        <f>AG12*'1. Standard_Cost'!$B$27+'Incremental_Cost Year 6'!AH12*'1. Standard_Cost'!$C$27+'Incremental_Cost Year 6'!AI12*'1. Standard_Cost'!$D$27+'Incremental_Cost Year 6'!AJ12+'Incremental_Cost Year 6'!AL12+AK12</f>
        <v>0</v>
      </c>
      <c r="AN12" s="127">
        <f>AM12*'1. Standard_Cost'!$C$31</f>
        <v>0</v>
      </c>
      <c r="AO12" s="130"/>
      <c r="AQ12" s="171">
        <f>L12+M12</f>
        <v>0</v>
      </c>
      <c r="AR12" s="171">
        <f>AF12</f>
        <v>0</v>
      </c>
      <c r="AS12" s="171">
        <f>AM12+AN12</f>
        <v>0</v>
      </c>
      <c r="AT12" s="171">
        <f>SUM(AQ12,AR12,AS12)</f>
        <v>0</v>
      </c>
      <c r="AU12" s="250">
        <f>AQ12</f>
        <v>0</v>
      </c>
      <c r="AV12" s="250"/>
      <c r="AW12" s="250"/>
      <c r="AX12" s="250"/>
      <c r="AY12" s="250"/>
      <c r="AZ12" s="250"/>
      <c r="BA12" s="250"/>
      <c r="BB12" s="251">
        <f t="shared" si="4"/>
        <v>0</v>
      </c>
      <c r="BC12" s="169"/>
      <c r="BD12" s="169"/>
      <c r="BE12" s="169"/>
      <c r="BF12" s="169"/>
    </row>
    <row r="13" spans="1:58" ht="94.5" outlineLevel="2" x14ac:dyDescent="0.25">
      <c r="A13" s="115"/>
      <c r="B13" s="200"/>
      <c r="C13" s="201"/>
      <c r="D13" s="135"/>
      <c r="E13" s="219"/>
      <c r="F13" s="219"/>
      <c r="G13" s="313"/>
      <c r="H13" s="213" t="s">
        <v>376</v>
      </c>
      <c r="I13" s="130"/>
      <c r="J13" s="126"/>
      <c r="K13" s="126"/>
      <c r="L13" s="125" t="str">
        <f>IF(I13&lt;&gt;0,((VLOOKUP(I13,'1. Standard_Cost'!$B$4:$D$11,2)+VLOOKUP(I13,'1. Standard_Cost'!$B$4:$D$11,3))*J13*K13),"0")</f>
        <v>0</v>
      </c>
      <c r="M13" s="125">
        <f>L13*'1. Standard_Cost'!$F$4</f>
        <v>0</v>
      </c>
      <c r="N13" s="126"/>
      <c r="O13" s="126"/>
      <c r="P13" s="126"/>
      <c r="Q13" s="126"/>
      <c r="R13" s="127">
        <f>'1. Standard_Cost'!$B$15*N13*P13</f>
        <v>0</v>
      </c>
      <c r="S13" s="127">
        <f>N13*O13*P13*'1. Standard_Cost'!$C$15</f>
        <v>0</v>
      </c>
      <c r="T13" s="127">
        <f>N13*P13*Q13*'1. Standard_Cost'!$D$15</f>
        <v>0</v>
      </c>
      <c r="U13" s="127">
        <f>N13*O13*'1. Standard_Cost'!$E$15</f>
        <v>0</v>
      </c>
      <c r="V13" s="126"/>
      <c r="W13" s="126"/>
      <c r="X13" s="126"/>
      <c r="Y13" s="127">
        <f>+V13*((X13*'1. Standard_Cost'!$B$19)+(W13*X13*'1. Standard_Cost'!$C$19))</f>
        <v>0</v>
      </c>
      <c r="Z13" s="126">
        <v>0</v>
      </c>
      <c r="AA13" s="126">
        <v>0</v>
      </c>
      <c r="AB13" s="127">
        <f>+Z13*'1. Standard_Cost'!$B$23+AA13*'1. Standard_Cost'!$C$23</f>
        <v>0</v>
      </c>
      <c r="AC13" s="128">
        <v>0</v>
      </c>
      <c r="AD13" s="129"/>
      <c r="AE13" s="127">
        <f>SUM(AD13,AC13,AB13,Y13,U13,T13,S13,R13)*'1. Standard_Cost'!$B$31</f>
        <v>0</v>
      </c>
      <c r="AF13" s="127">
        <f>SUM(AE13,AD13,AC13,AB13,Y13,U13,T13,S13,R13)</f>
        <v>0</v>
      </c>
      <c r="AG13" s="126"/>
      <c r="AH13" s="126"/>
      <c r="AI13" s="126"/>
      <c r="AJ13" s="130"/>
      <c r="AK13" s="130"/>
      <c r="AL13" s="130"/>
      <c r="AM13" s="127">
        <f>AG13*'1. Standard_Cost'!$B$27+'Incremental_Cost Year 6'!AH13*'1. Standard_Cost'!$C$27+'Incremental_Cost Year 6'!AI13*'1. Standard_Cost'!$D$27+'Incremental_Cost Year 6'!AJ13+'Incremental_Cost Year 6'!AL13+AK13</f>
        <v>0</v>
      </c>
      <c r="AN13" s="127">
        <f>AM13*'1. Standard_Cost'!$C$31</f>
        <v>0</v>
      </c>
      <c r="AO13" s="130"/>
      <c r="AQ13" s="171">
        <f>L13+M13</f>
        <v>0</v>
      </c>
      <c r="AR13" s="171">
        <f>AF13</f>
        <v>0</v>
      </c>
      <c r="AS13" s="171">
        <f>AM13+AN13</f>
        <v>0</v>
      </c>
      <c r="AT13" s="171">
        <f>SUM(AQ13,AR13,AS13)</f>
        <v>0</v>
      </c>
      <c r="AU13" s="250">
        <f>AQ13</f>
        <v>0</v>
      </c>
      <c r="AV13" s="250"/>
      <c r="AW13" s="250"/>
      <c r="AX13" s="250"/>
      <c r="AY13" s="250"/>
      <c r="AZ13" s="250"/>
      <c r="BA13" s="250"/>
      <c r="BB13" s="251">
        <f t="shared" si="4"/>
        <v>0</v>
      </c>
      <c r="BC13" s="169"/>
      <c r="BD13" s="169"/>
      <c r="BE13" s="169"/>
      <c r="BF13" s="169"/>
    </row>
    <row r="14" spans="1:58" ht="141.75" outlineLevel="2" x14ac:dyDescent="0.25">
      <c r="A14" s="115"/>
      <c r="B14" s="200"/>
      <c r="C14" s="201"/>
      <c r="D14" s="223"/>
      <c r="E14" s="219"/>
      <c r="F14" s="219"/>
      <c r="G14" s="313"/>
      <c r="H14" s="213" t="s">
        <v>377</v>
      </c>
      <c r="I14" s="130" t="s">
        <v>3</v>
      </c>
      <c r="J14" s="126">
        <v>0.5</v>
      </c>
      <c r="K14" s="126">
        <v>3</v>
      </c>
      <c r="L14" s="125">
        <f>IF(I14&lt;&gt;0,((VLOOKUP(I14,'1. Standard_Cost'!$B$4:$D$11,2)+VLOOKUP(I14,'1. Standard_Cost'!$B$4:$D$11,3))*J14*K14),"0")</f>
        <v>151200</v>
      </c>
      <c r="M14" s="125">
        <f>L14*'1. Standard_Cost'!$F$4</f>
        <v>25250.400000000001</v>
      </c>
      <c r="N14" s="126">
        <v>5</v>
      </c>
      <c r="O14" s="126">
        <v>1</v>
      </c>
      <c r="P14" s="126">
        <v>15</v>
      </c>
      <c r="Q14" s="126"/>
      <c r="R14" s="127">
        <f>'1. Standard_Cost'!$B$15*N14*P14</f>
        <v>150000</v>
      </c>
      <c r="S14" s="127">
        <f>N14*O14*P14*'1. Standard_Cost'!$C$15</f>
        <v>112500</v>
      </c>
      <c r="T14" s="127">
        <f>N14*P14*Q14*'1. Standard_Cost'!$D$15</f>
        <v>0</v>
      </c>
      <c r="U14" s="127">
        <f>N14*O14*'1. Standard_Cost'!$E$15</f>
        <v>200000</v>
      </c>
      <c r="V14" s="126"/>
      <c r="W14" s="126"/>
      <c r="X14" s="126"/>
      <c r="Y14" s="127">
        <f>+V14*((X14*'1. Standard_Cost'!$B$19)+(W14*X14*'1. Standard_Cost'!$C$19))</f>
        <v>0</v>
      </c>
      <c r="Z14" s="126"/>
      <c r="AA14" s="126">
        <v>6</v>
      </c>
      <c r="AB14" s="127">
        <f>+Z14*'1. Standard_Cost'!$B$23+AA14*'1. Standard_Cost'!$C$23</f>
        <v>114000</v>
      </c>
      <c r="AC14" s="128">
        <f>75*3300</f>
        <v>247500</v>
      </c>
      <c r="AD14" s="129"/>
      <c r="AE14" s="127">
        <f>SUM(AD14,AC14,AB14,Y14,U14,T14,S14,R14)*'1. Standard_Cost'!$B$31</f>
        <v>164800</v>
      </c>
      <c r="AF14" s="127">
        <f>SUM(AE14,AD14,AC14,AB14,Y14,U14,T14,S14,R14)</f>
        <v>988800</v>
      </c>
      <c r="AG14" s="126"/>
      <c r="AH14" s="126"/>
      <c r="AI14" s="126"/>
      <c r="AJ14" s="130"/>
      <c r="AK14" s="130"/>
      <c r="AL14" s="130"/>
      <c r="AM14" s="127">
        <f>AG14*'1. Standard_Cost'!$B$27+'Incremental_Cost Year 6'!AH14*'1. Standard_Cost'!$C$27+'Incremental_Cost Year 6'!AI14*'1. Standard_Cost'!$D$27+'Incremental_Cost Year 6'!AJ14+'Incremental_Cost Year 6'!AL14+AK14</f>
        <v>0</v>
      </c>
      <c r="AN14" s="127">
        <f>AM14*'1. Standard_Cost'!$C$31</f>
        <v>0</v>
      </c>
      <c r="AO14" s="130"/>
      <c r="AQ14" s="171">
        <f>L14+M14</f>
        <v>176450.4</v>
      </c>
      <c r="AR14" s="171">
        <f>AF14</f>
        <v>988800</v>
      </c>
      <c r="AS14" s="171">
        <f>AM14+AN14</f>
        <v>0</v>
      </c>
      <c r="AT14" s="171">
        <f>SUM(AQ14,AR14,AS14)</f>
        <v>1165250.3999999999</v>
      </c>
      <c r="AU14" s="250">
        <f>AQ14</f>
        <v>176450.4</v>
      </c>
      <c r="AV14" s="250"/>
      <c r="AW14" s="250"/>
      <c r="AX14" s="250"/>
      <c r="AY14" s="250"/>
      <c r="AZ14" s="250"/>
      <c r="BA14" s="250"/>
      <c r="BB14" s="251">
        <f t="shared" si="4"/>
        <v>-988799.99999999988</v>
      </c>
      <c r="BC14" s="169"/>
      <c r="BD14" s="169"/>
      <c r="BE14" s="169"/>
      <c r="BF14" s="169"/>
    </row>
    <row r="15" spans="1:58" ht="63" outlineLevel="1" x14ac:dyDescent="0.25">
      <c r="A15" s="115"/>
      <c r="B15" s="165"/>
      <c r="C15" s="166"/>
      <c r="D15" s="110" t="s">
        <v>378</v>
      </c>
      <c r="E15" s="116" t="s">
        <v>379</v>
      </c>
      <c r="F15" s="209">
        <v>2021</v>
      </c>
      <c r="G15" s="117">
        <v>2030</v>
      </c>
      <c r="H15" s="110" t="s">
        <v>47</v>
      </c>
      <c r="I15" s="252"/>
      <c r="J15" s="252"/>
      <c r="K15" s="252"/>
      <c r="L15" s="127">
        <f>SUM(L12:L14)</f>
        <v>151200</v>
      </c>
      <c r="M15" s="127">
        <f>SUM(M12:M14)</f>
        <v>25250.400000000001</v>
      </c>
      <c r="N15" s="252"/>
      <c r="O15" s="252"/>
      <c r="P15" s="252"/>
      <c r="Q15" s="252"/>
      <c r="R15" s="127">
        <f>SUM(R12:R14)</f>
        <v>150000</v>
      </c>
      <c r="S15" s="127">
        <f>SUM(S12:S14)</f>
        <v>112500</v>
      </c>
      <c r="T15" s="127">
        <f>SUM(T12:T14)</f>
        <v>0</v>
      </c>
      <c r="U15" s="127">
        <f>SUM(U12:U14)</f>
        <v>200000</v>
      </c>
      <c r="V15" s="252"/>
      <c r="W15" s="252"/>
      <c r="X15" s="252"/>
      <c r="Y15" s="127">
        <f>SUM(Y12:Y14)</f>
        <v>0</v>
      </c>
      <c r="Z15" s="252"/>
      <c r="AA15" s="252"/>
      <c r="AB15" s="127">
        <f>SUM(AB12:AB14)</f>
        <v>114000</v>
      </c>
      <c r="AC15" s="127">
        <f>SUM(AC12:AC14)</f>
        <v>247500</v>
      </c>
      <c r="AD15" s="127">
        <f>SUM(AD12:AD14)</f>
        <v>0</v>
      </c>
      <c r="AE15" s="127">
        <f>SUM(AE12:AE14)</f>
        <v>164800</v>
      </c>
      <c r="AF15" s="127">
        <f>SUM(AF12:AF14)</f>
        <v>988800</v>
      </c>
      <c r="AG15" s="252"/>
      <c r="AH15" s="252"/>
      <c r="AI15" s="252"/>
      <c r="AJ15" s="127">
        <f>SUM(AJ12:AJ12)</f>
        <v>0</v>
      </c>
      <c r="AK15" s="127">
        <f>SUM(AK12:AK14)</f>
        <v>0</v>
      </c>
      <c r="AL15" s="127">
        <f>SUM(AL12:AL14)</f>
        <v>0</v>
      </c>
      <c r="AM15" s="127">
        <f>SUM(AM12:AM14)</f>
        <v>0</v>
      </c>
      <c r="AN15" s="127">
        <f>SUM(AN12:AN14)</f>
        <v>0</v>
      </c>
      <c r="AO15" s="253"/>
      <c r="AP15" s="254"/>
      <c r="AQ15" s="175">
        <f>SUM(AQ12:AQ14)</f>
        <v>176450.4</v>
      </c>
      <c r="AR15" s="175">
        <f>SUM(AR12:AR14)</f>
        <v>988800</v>
      </c>
      <c r="AS15" s="175">
        <f>SUM(AS12:AS14)</f>
        <v>0</v>
      </c>
      <c r="AT15" s="175">
        <f>SUM(AT12:AT14)</f>
        <v>1165250.3999999999</v>
      </c>
      <c r="AU15" s="175">
        <f t="shared" ref="AU15:BB15" si="6">SUM(AU12:AU14)</f>
        <v>176450.4</v>
      </c>
      <c r="AV15" s="175">
        <f t="shared" si="6"/>
        <v>0</v>
      </c>
      <c r="AW15" s="175">
        <f>SUM(AW12:AW14)</f>
        <v>0</v>
      </c>
      <c r="AX15" s="175">
        <f t="shared" si="6"/>
        <v>0</v>
      </c>
      <c r="AY15" s="175">
        <f t="shared" si="6"/>
        <v>0</v>
      </c>
      <c r="AZ15" s="175">
        <f t="shared" si="6"/>
        <v>0</v>
      </c>
      <c r="BA15" s="175">
        <f t="shared" si="6"/>
        <v>0</v>
      </c>
      <c r="BB15" s="175">
        <f t="shared" si="6"/>
        <v>-988799.99999999988</v>
      </c>
      <c r="BC15" s="169"/>
      <c r="BD15" s="169"/>
      <c r="BE15" s="169"/>
      <c r="BF15" s="169"/>
    </row>
    <row r="16" spans="1:58" s="170" customFormat="1" ht="15.75" customHeight="1" x14ac:dyDescent="0.25">
      <c r="A16" s="120"/>
      <c r="B16" s="290"/>
      <c r="C16" s="391" t="s">
        <v>192</v>
      </c>
      <c r="D16" s="391"/>
      <c r="E16" s="392"/>
      <c r="F16" s="288"/>
      <c r="G16" s="288"/>
      <c r="H16" s="114" t="s">
        <v>209</v>
      </c>
      <c r="I16" s="246"/>
      <c r="J16" s="246"/>
      <c r="K16" s="246"/>
      <c r="L16" s="247">
        <f>SUM(L19)</f>
        <v>3230000</v>
      </c>
      <c r="M16" s="247">
        <f>SUM(M19)</f>
        <v>539410</v>
      </c>
      <c r="N16" s="247"/>
      <c r="O16" s="247"/>
      <c r="P16" s="247"/>
      <c r="Q16" s="247"/>
      <c r="R16" s="247">
        <f>SUM(R19)</f>
        <v>0</v>
      </c>
      <c r="S16" s="247">
        <f>SUM(S19)</f>
        <v>0</v>
      </c>
      <c r="T16" s="247">
        <f>SUM(T19)</f>
        <v>0</v>
      </c>
      <c r="U16" s="247">
        <f>SUM(U19)</f>
        <v>0</v>
      </c>
      <c r="V16" s="247"/>
      <c r="W16" s="247"/>
      <c r="X16" s="247"/>
      <c r="Y16" s="247">
        <f>SUM(Y19)</f>
        <v>0</v>
      </c>
      <c r="Z16" s="247">
        <f t="shared" ref="Z16:AA16" si="7">SUM(Z19)</f>
        <v>0</v>
      </c>
      <c r="AA16" s="247">
        <f t="shared" si="7"/>
        <v>0</v>
      </c>
      <c r="AB16" s="247">
        <f t="shared" ref="AB16:AF16" si="8">SUM(AB19)</f>
        <v>1130000</v>
      </c>
      <c r="AC16" s="247">
        <f t="shared" si="8"/>
        <v>18000</v>
      </c>
      <c r="AD16" s="247">
        <f t="shared" si="8"/>
        <v>0</v>
      </c>
      <c r="AE16" s="247">
        <f t="shared" si="8"/>
        <v>229600</v>
      </c>
      <c r="AF16" s="247">
        <f t="shared" si="8"/>
        <v>1377600</v>
      </c>
      <c r="AG16" s="247"/>
      <c r="AH16" s="247"/>
      <c r="AI16" s="247"/>
      <c r="AJ16" s="247">
        <f>SUM(AJ19)</f>
        <v>0</v>
      </c>
      <c r="AK16" s="247">
        <f>SUM(AK19)</f>
        <v>0</v>
      </c>
      <c r="AL16" s="247">
        <f>SUM(AL19)</f>
        <v>0</v>
      </c>
      <c r="AM16" s="247">
        <f>SUM(AM19)</f>
        <v>0</v>
      </c>
      <c r="AN16" s="247">
        <f>SUM(AN19)</f>
        <v>0</v>
      </c>
      <c r="AO16" s="247"/>
      <c r="AP16" s="244"/>
      <c r="AQ16" s="248">
        <f>SUM(AQ19)</f>
        <v>3769410</v>
      </c>
      <c r="AR16" s="248">
        <f>SUM(AR19)</f>
        <v>1377600</v>
      </c>
      <c r="AS16" s="248">
        <f>SUM(AS19)</f>
        <v>0</v>
      </c>
      <c r="AT16" s="248">
        <f>SUM(AT19)</f>
        <v>5147010</v>
      </c>
      <c r="AU16" s="248">
        <f t="shared" ref="AU16:BB16" si="9">SUM(AU19)</f>
        <v>3769410</v>
      </c>
      <c r="AV16" s="248">
        <f t="shared" si="9"/>
        <v>0</v>
      </c>
      <c r="AW16" s="248">
        <f>SUM(AW19)</f>
        <v>0</v>
      </c>
      <c r="AX16" s="248">
        <f t="shared" si="9"/>
        <v>0</v>
      </c>
      <c r="AY16" s="248">
        <f t="shared" si="9"/>
        <v>0</v>
      </c>
      <c r="AZ16" s="248">
        <f t="shared" si="9"/>
        <v>0</v>
      </c>
      <c r="BA16" s="248">
        <f t="shared" si="9"/>
        <v>0</v>
      </c>
      <c r="BB16" s="248">
        <f t="shared" si="9"/>
        <v>-1377600</v>
      </c>
    </row>
    <row r="17" spans="1:58" ht="110.25" outlineLevel="2" x14ac:dyDescent="0.25">
      <c r="A17" s="115"/>
      <c r="B17" s="200"/>
      <c r="C17" s="201"/>
      <c r="D17" s="220"/>
      <c r="E17" s="294"/>
      <c r="F17" s="295"/>
      <c r="G17" s="296"/>
      <c r="H17" s="199" t="s">
        <v>380</v>
      </c>
      <c r="I17" s="130"/>
      <c r="J17" s="126"/>
      <c r="K17" s="126"/>
      <c r="L17" s="125" t="str">
        <f>IF(I17&lt;&gt;0,((VLOOKUP(I17,'1. Standard_Cost'!$B$4:$D$11,2)+VLOOKUP(I17,'1. Standard_Cost'!$B$4:$D$11,3))*J17*K17),"0")</f>
        <v>0</v>
      </c>
      <c r="M17" s="125">
        <f>L17*'1. Standard_Cost'!$F$4</f>
        <v>0</v>
      </c>
      <c r="N17" s="126"/>
      <c r="O17" s="126"/>
      <c r="P17" s="126"/>
      <c r="Q17" s="126"/>
      <c r="R17" s="127">
        <f>'1. Standard_Cost'!$B$15*N17*P17</f>
        <v>0</v>
      </c>
      <c r="S17" s="127">
        <f>N17*O17*P17*'1. Standard_Cost'!$C$15</f>
        <v>0</v>
      </c>
      <c r="T17" s="127">
        <f>N17*P17*Q17*'1. Standard_Cost'!$D$15</f>
        <v>0</v>
      </c>
      <c r="U17" s="127">
        <f>N17*O17*'1. Standard_Cost'!$E$15</f>
        <v>0</v>
      </c>
      <c r="V17" s="126"/>
      <c r="W17" s="126"/>
      <c r="X17" s="126"/>
      <c r="Y17" s="127">
        <f>+V17*((X17*'1. Standard_Cost'!$B$19)+(W17*X17*'1. Standard_Cost'!$C$19))</f>
        <v>0</v>
      </c>
      <c r="Z17" s="126"/>
      <c r="AA17" s="126"/>
      <c r="AB17" s="127">
        <f>+Z17*'1. Standard_Cost'!$B$23+AA17*'1. Standard_Cost'!$C$23</f>
        <v>0</v>
      </c>
      <c r="AC17" s="128"/>
      <c r="AD17" s="129"/>
      <c r="AE17" s="127">
        <f>SUM(AD17,AC17,AB17,Y17,U17,T17,S17,R17)*'1. Standard_Cost'!$B$31</f>
        <v>0</v>
      </c>
      <c r="AF17" s="127">
        <f>SUM(AE17,AD17,AC17,AB17,Y17,U17,T17,S17,R17)</f>
        <v>0</v>
      </c>
      <c r="AG17" s="126"/>
      <c r="AH17" s="126"/>
      <c r="AI17" s="126"/>
      <c r="AJ17" s="130"/>
      <c r="AK17" s="130"/>
      <c r="AL17" s="130"/>
      <c r="AM17" s="127">
        <f>AG17*'1. Standard_Cost'!$B$27+'Incremental_Cost Year 6'!AH17*'1. Standard_Cost'!$C$27+'Incremental_Cost Year 6'!AI17*'1. Standard_Cost'!$D$27+'Incremental_Cost Year 6'!AJ17+'Incremental_Cost Year 6'!AL17+AK17</f>
        <v>0</v>
      </c>
      <c r="AN17" s="127">
        <f>AM17*'1. Standard_Cost'!$C$31</f>
        <v>0</v>
      </c>
      <c r="AO17" s="249"/>
      <c r="AQ17" s="171">
        <f>L17+M17</f>
        <v>0</v>
      </c>
      <c r="AR17" s="171">
        <f>AF17</f>
        <v>0</v>
      </c>
      <c r="AS17" s="171">
        <f>AM17+AN17</f>
        <v>0</v>
      </c>
      <c r="AT17" s="171">
        <f>SUM(AQ17,AR17,AS17)</f>
        <v>0</v>
      </c>
      <c r="AU17" s="250"/>
      <c r="AV17" s="250"/>
      <c r="AW17" s="250"/>
      <c r="AX17" s="250"/>
      <c r="AY17" s="250"/>
      <c r="AZ17" s="250"/>
      <c r="BA17" s="250"/>
      <c r="BB17" s="251">
        <f t="shared" ref="BB17:BB18" si="10">SUM(AU17:BA17)-AT17</f>
        <v>0</v>
      </c>
      <c r="BC17" s="169"/>
      <c r="BD17" s="169"/>
      <c r="BE17" s="169"/>
      <c r="BF17" s="169"/>
    </row>
    <row r="18" spans="1:58" ht="109.15" customHeight="1" outlineLevel="2" x14ac:dyDescent="0.25">
      <c r="A18" s="115"/>
      <c r="B18" s="200"/>
      <c r="C18" s="201"/>
      <c r="D18" s="221"/>
      <c r="E18" s="121"/>
      <c r="F18" s="122"/>
      <c r="G18" s="123"/>
      <c r="H18" s="199" t="s">
        <v>381</v>
      </c>
      <c r="I18" s="130" t="s">
        <v>4</v>
      </c>
      <c r="J18" s="126">
        <v>2</v>
      </c>
      <c r="K18" s="126">
        <v>20</v>
      </c>
      <c r="L18" s="125">
        <f>IF(I18&lt;&gt;0,((VLOOKUP(I18,'1. Standard_Cost'!$B$4:$D$11,2)+VLOOKUP(I18,'1. Standard_Cost'!$B$4:$D$11,3))*J18*K18),"0")</f>
        <v>3230000</v>
      </c>
      <c r="M18" s="125">
        <f>L18*'1. Standard_Cost'!$F$4</f>
        <v>539410</v>
      </c>
      <c r="N18" s="126"/>
      <c r="O18" s="126"/>
      <c r="P18" s="126"/>
      <c r="Q18" s="126"/>
      <c r="R18" s="127">
        <f>'1. Standard_Cost'!$B$15*N18*P18</f>
        <v>0</v>
      </c>
      <c r="S18" s="127">
        <f>N18*O18*P18*'1. Standard_Cost'!$C$15</f>
        <v>0</v>
      </c>
      <c r="T18" s="127">
        <f>N18*P18*Q18*'1. Standard_Cost'!$D$15</f>
        <v>0</v>
      </c>
      <c r="U18" s="127">
        <f>N18*O18*'1. Standard_Cost'!$E$15</f>
        <v>0</v>
      </c>
      <c r="V18" s="126"/>
      <c r="W18" s="126"/>
      <c r="X18" s="126"/>
      <c r="Y18" s="127">
        <f>+V18*((X18*'1. Standard_Cost'!$B$19)+(W18*X18*'1. Standard_Cost'!$C$19))</f>
        <v>0</v>
      </c>
      <c r="Z18" s="126">
        <v>5</v>
      </c>
      <c r="AA18" s="126">
        <v>40</v>
      </c>
      <c r="AB18" s="127">
        <f>+Z18*'1. Standard_Cost'!$B$23+AA18*'1. Standard_Cost'!$C$23</f>
        <v>1130000</v>
      </c>
      <c r="AC18" s="128">
        <f>60*300</f>
        <v>18000</v>
      </c>
      <c r="AD18" s="129"/>
      <c r="AE18" s="127">
        <f>SUM(AD18,AC18,AB18,Y18,U18,T18,S18,R18)*'1. Standard_Cost'!$B$31</f>
        <v>229600</v>
      </c>
      <c r="AF18" s="127">
        <f>SUM(AE18,AD18,AC18,AB18,Y18,U18,T18,S18,R18)</f>
        <v>1377600</v>
      </c>
      <c r="AG18" s="126"/>
      <c r="AH18" s="126"/>
      <c r="AI18" s="126"/>
      <c r="AJ18" s="130"/>
      <c r="AK18" s="130"/>
      <c r="AL18" s="130"/>
      <c r="AM18" s="127">
        <f>AG18*'1. Standard_Cost'!$B$27+'Incremental_Cost Year 6'!AH18*'1. Standard_Cost'!$C$27+'Incremental_Cost Year 6'!AI18*'1. Standard_Cost'!$D$27+'Incremental_Cost Year 6'!AJ18+'Incremental_Cost Year 6'!AL18+AK18</f>
        <v>0</v>
      </c>
      <c r="AN18" s="127">
        <f>AM18*'1. Standard_Cost'!$C$31</f>
        <v>0</v>
      </c>
      <c r="AO18" s="130"/>
      <c r="AQ18" s="171">
        <f>L18+M18</f>
        <v>3769410</v>
      </c>
      <c r="AR18" s="171">
        <f>AF18</f>
        <v>1377600</v>
      </c>
      <c r="AS18" s="171">
        <f>AM18+AN18</f>
        <v>0</v>
      </c>
      <c r="AT18" s="171">
        <f>SUM(AQ18,AR18,AS18)</f>
        <v>5147010</v>
      </c>
      <c r="AU18" s="250">
        <f>AQ18</f>
        <v>3769410</v>
      </c>
      <c r="AV18" s="250"/>
      <c r="AW18" s="250"/>
      <c r="AX18" s="250"/>
      <c r="AY18" s="250"/>
      <c r="AZ18" s="250"/>
      <c r="BA18" s="250"/>
      <c r="BB18" s="251">
        <f t="shared" si="10"/>
        <v>-1377600</v>
      </c>
      <c r="BC18" s="169"/>
      <c r="BD18" s="169"/>
      <c r="BE18" s="169"/>
      <c r="BF18" s="169"/>
    </row>
    <row r="19" spans="1:58" ht="63" outlineLevel="1" x14ac:dyDescent="0.25">
      <c r="A19" s="115"/>
      <c r="B19" s="200"/>
      <c r="C19" s="201"/>
      <c r="D19" s="107" t="s">
        <v>240</v>
      </c>
      <c r="E19" s="139" t="s">
        <v>193</v>
      </c>
      <c r="F19" s="136">
        <v>2024</v>
      </c>
      <c r="G19" s="117">
        <v>2027</v>
      </c>
      <c r="H19" s="134" t="s">
        <v>194</v>
      </c>
      <c r="I19" s="252"/>
      <c r="J19" s="252"/>
      <c r="K19" s="252"/>
      <c r="L19" s="127">
        <f>SUM(L17:L18)</f>
        <v>3230000</v>
      </c>
      <c r="M19" s="127">
        <f>SUM(M17:M18)</f>
        <v>539410</v>
      </c>
      <c r="N19" s="127"/>
      <c r="O19" s="252"/>
      <c r="P19" s="252"/>
      <c r="Q19" s="252"/>
      <c r="R19" s="127">
        <f>SUM(R17:R18)</f>
        <v>0</v>
      </c>
      <c r="S19" s="127">
        <f>SUM(S17:S18)</f>
        <v>0</v>
      </c>
      <c r="T19" s="127">
        <f>SUM(T17:T18)</f>
        <v>0</v>
      </c>
      <c r="U19" s="127">
        <f>SUM(U17:U18)</f>
        <v>0</v>
      </c>
      <c r="V19" s="252"/>
      <c r="W19" s="252"/>
      <c r="X19" s="252"/>
      <c r="Y19" s="127">
        <f>SUM(Y17:Y18)</f>
        <v>0</v>
      </c>
      <c r="Z19" s="252"/>
      <c r="AA19" s="252"/>
      <c r="AB19" s="127">
        <f>SUM(AB17:AB18)</f>
        <v>1130000</v>
      </c>
      <c r="AC19" s="127">
        <f>SUM(AC17:AC18)</f>
        <v>18000</v>
      </c>
      <c r="AD19" s="127">
        <f>SUM(AD17:AD18)</f>
        <v>0</v>
      </c>
      <c r="AE19" s="127">
        <f>SUM(AE17:AE18)</f>
        <v>229600</v>
      </c>
      <c r="AF19" s="127">
        <f>SUM(AF17:AF18)</f>
        <v>1377600</v>
      </c>
      <c r="AG19" s="252"/>
      <c r="AH19" s="252"/>
      <c r="AI19" s="252"/>
      <c r="AJ19" s="127">
        <f>SUM(AJ17:AJ18)</f>
        <v>0</v>
      </c>
      <c r="AK19" s="127">
        <f>SUM(AK17:AK18)</f>
        <v>0</v>
      </c>
      <c r="AL19" s="127">
        <f>SUM(AL17:AL18)</f>
        <v>0</v>
      </c>
      <c r="AM19" s="127">
        <f>SUM(AM17:AM18)</f>
        <v>0</v>
      </c>
      <c r="AN19" s="127">
        <f>SUM(AN17:AN18)</f>
        <v>0</v>
      </c>
      <c r="AO19" s="253"/>
      <c r="AP19" s="254"/>
      <c r="AQ19" s="175">
        <f>SUM(AQ17:AQ18)</f>
        <v>3769410</v>
      </c>
      <c r="AR19" s="175">
        <f>SUM(AR17:AR18)</f>
        <v>1377600</v>
      </c>
      <c r="AS19" s="175">
        <f>SUM(AS17:AS18)</f>
        <v>0</v>
      </c>
      <c r="AT19" s="175">
        <f>SUM(AT17:AT18)</f>
        <v>5147010</v>
      </c>
      <c r="AU19" s="175">
        <f t="shared" ref="AU19:BB19" si="11">SUM(AU17:AU18)</f>
        <v>3769410</v>
      </c>
      <c r="AV19" s="175">
        <f t="shared" si="11"/>
        <v>0</v>
      </c>
      <c r="AW19" s="175">
        <f>SUM(AW17:AW18)</f>
        <v>0</v>
      </c>
      <c r="AX19" s="175">
        <f t="shared" si="11"/>
        <v>0</v>
      </c>
      <c r="AY19" s="175">
        <f t="shared" si="11"/>
        <v>0</v>
      </c>
      <c r="AZ19" s="175">
        <f t="shared" si="11"/>
        <v>0</v>
      </c>
      <c r="BA19" s="175">
        <f t="shared" si="11"/>
        <v>0</v>
      </c>
      <c r="BB19" s="175">
        <f t="shared" si="11"/>
        <v>-1377600</v>
      </c>
      <c r="BC19" s="169"/>
      <c r="BD19" s="169"/>
      <c r="BE19" s="169"/>
      <c r="BF19" s="169"/>
    </row>
    <row r="20" spans="1:58" s="170" customFormat="1" ht="15.75" customHeight="1" x14ac:dyDescent="0.25">
      <c r="A20" s="120"/>
      <c r="B20" s="290"/>
      <c r="C20" s="391" t="s">
        <v>195</v>
      </c>
      <c r="D20" s="391"/>
      <c r="E20" s="392"/>
      <c r="F20" s="288"/>
      <c r="G20" s="288"/>
      <c r="H20" s="114" t="s">
        <v>208</v>
      </c>
      <c r="I20" s="246"/>
      <c r="J20" s="246"/>
      <c r="K20" s="246"/>
      <c r="L20" s="247">
        <f>SUM(L25+L29+L37+L39)</f>
        <v>279312600</v>
      </c>
      <c r="M20" s="247">
        <f>SUM(M25+M29+M37+M39)</f>
        <v>46645204.200000003</v>
      </c>
      <c r="N20" s="247"/>
      <c r="O20" s="247"/>
      <c r="P20" s="247"/>
      <c r="Q20" s="247"/>
      <c r="R20" s="247">
        <f>SUM(R25+R29+R37+R39)</f>
        <v>0</v>
      </c>
      <c r="S20" s="247">
        <f>SUM(S25+S29+S37+S39)</f>
        <v>0</v>
      </c>
      <c r="T20" s="247">
        <f>SUM(T25+T29+T37+T39)</f>
        <v>0</v>
      </c>
      <c r="U20" s="247">
        <f>SUM(U25+U29+U37+U39)</f>
        <v>0</v>
      </c>
      <c r="V20" s="247"/>
      <c r="W20" s="247"/>
      <c r="X20" s="247"/>
      <c r="Y20" s="247">
        <f>SUM(Y25+Y29+Y37+Y39)</f>
        <v>0</v>
      </c>
      <c r="Z20" s="247">
        <f t="shared" ref="Z20:AA20" si="12">SUM(Z25+Z29+Z37+Z39)</f>
        <v>0</v>
      </c>
      <c r="AA20" s="247">
        <f t="shared" si="12"/>
        <v>0</v>
      </c>
      <c r="AB20" s="247">
        <f t="shared" ref="AB20:AF20" si="13">SUM(AB25+AB29+AB37+AB39)</f>
        <v>0</v>
      </c>
      <c r="AC20" s="247">
        <f t="shared" si="13"/>
        <v>958946602</v>
      </c>
      <c r="AD20" s="247">
        <f t="shared" si="13"/>
        <v>0</v>
      </c>
      <c r="AE20" s="247">
        <f t="shared" si="13"/>
        <v>570000</v>
      </c>
      <c r="AF20" s="247">
        <f t="shared" si="13"/>
        <v>959516602</v>
      </c>
      <c r="AG20" s="247"/>
      <c r="AH20" s="247"/>
      <c r="AI20" s="247"/>
      <c r="AJ20" s="247">
        <f>SUM(AJ25+AJ29+AJ37+AJ39)</f>
        <v>0</v>
      </c>
      <c r="AK20" s="247">
        <f>SUM(AK25+AK29+AK37+AK39)</f>
        <v>0</v>
      </c>
      <c r="AL20" s="247">
        <f>SUM(AL25+AL29+AL37+AL39)</f>
        <v>0</v>
      </c>
      <c r="AM20" s="247">
        <f>SUM(AM25+AM29+AM37+AM39)</f>
        <v>0</v>
      </c>
      <c r="AN20" s="247">
        <f>SUM(AN25+AN29+AN37+AN39)</f>
        <v>0</v>
      </c>
      <c r="AO20" s="247"/>
      <c r="AP20" s="244"/>
      <c r="AQ20" s="248">
        <f>SUM(AQ25+AQ29+AQ37+AQ39)</f>
        <v>325957804.19999999</v>
      </c>
      <c r="AR20" s="248">
        <f>SUM(AR25+AR29+AR37+AR39)</f>
        <v>959516602</v>
      </c>
      <c r="AS20" s="248">
        <f>SUM(AS25+AS29+AS37+AS39)</f>
        <v>0</v>
      </c>
      <c r="AT20" s="248">
        <f>SUM(AT25+AT29+AT37+AT39)</f>
        <v>1285474406.1999998</v>
      </c>
      <c r="AU20" s="248">
        <f t="shared" ref="AU20:BB20" si="14">SUM(AU25+AU29+AU37+AU39)</f>
        <v>1285474406.1999998</v>
      </c>
      <c r="AV20" s="248">
        <f t="shared" si="14"/>
        <v>0</v>
      </c>
      <c r="AW20" s="248">
        <f>SUM(AW25+AW29+AW37+AW39)</f>
        <v>0</v>
      </c>
      <c r="AX20" s="248">
        <f t="shared" si="14"/>
        <v>0</v>
      </c>
      <c r="AY20" s="248">
        <f t="shared" si="14"/>
        <v>0</v>
      </c>
      <c r="AZ20" s="248">
        <f t="shared" si="14"/>
        <v>0</v>
      </c>
      <c r="BA20" s="248">
        <f t="shared" si="14"/>
        <v>0</v>
      </c>
      <c r="BB20" s="248">
        <f t="shared" si="14"/>
        <v>0</v>
      </c>
    </row>
    <row r="21" spans="1:58" ht="189" outlineLevel="2" x14ac:dyDescent="0.25">
      <c r="A21" s="115"/>
      <c r="B21" s="200"/>
      <c r="C21" s="201"/>
      <c r="D21" s="135"/>
      <c r="E21" s="219"/>
      <c r="F21" s="219"/>
      <c r="G21" s="313"/>
      <c r="H21" s="199" t="s">
        <v>382</v>
      </c>
      <c r="I21" s="130"/>
      <c r="J21" s="126"/>
      <c r="K21" s="126"/>
      <c r="L21" s="125" t="str">
        <f>IF(I21&lt;&gt;0,((VLOOKUP(I21,'1. Standard_Cost'!$B$4:$D$11,2)+VLOOKUP(I21,'1. Standard_Cost'!$B$4:$D$11,3))*J21*K21),"0")</f>
        <v>0</v>
      </c>
      <c r="M21" s="125">
        <f>L21*'1. Standard_Cost'!$F$4</f>
        <v>0</v>
      </c>
      <c r="N21" s="126"/>
      <c r="O21" s="126"/>
      <c r="P21" s="126"/>
      <c r="Q21" s="126"/>
      <c r="R21" s="127">
        <f>'1. Standard_Cost'!$B$15*N21*P21</f>
        <v>0</v>
      </c>
      <c r="S21" s="127">
        <f>N21*O21*P21*'1. Standard_Cost'!$C$15</f>
        <v>0</v>
      </c>
      <c r="T21" s="127">
        <f>N21*P21*Q21*'1. Standard_Cost'!$D$15</f>
        <v>0</v>
      </c>
      <c r="U21" s="127">
        <f>N21*O21*'1. Standard_Cost'!$E$15</f>
        <v>0</v>
      </c>
      <c r="V21" s="126"/>
      <c r="W21" s="126"/>
      <c r="X21" s="126"/>
      <c r="Y21" s="127">
        <f>+V21*((X21*'1. Standard_Cost'!$B$19)+(W21*X21*'1. Standard_Cost'!$C$19))</f>
        <v>0</v>
      </c>
      <c r="Z21" s="126"/>
      <c r="AA21" s="126"/>
      <c r="AB21" s="127">
        <f>+Z21*'1. Standard_Cost'!$B$23+AA21*'1. Standard_Cost'!$C$23</f>
        <v>0</v>
      </c>
      <c r="AC21" s="128">
        <v>271978153</v>
      </c>
      <c r="AD21" s="129"/>
      <c r="AE21" s="127">
        <v>0</v>
      </c>
      <c r="AF21" s="127">
        <f>SUM(AE21,AD21,AC21,AB21,Y21,U21,T21,S21,R21)</f>
        <v>271978153</v>
      </c>
      <c r="AG21" s="126"/>
      <c r="AH21" s="126"/>
      <c r="AI21" s="126"/>
      <c r="AJ21" s="130"/>
      <c r="AK21" s="130"/>
      <c r="AL21" s="130"/>
      <c r="AM21" s="127">
        <f>AG21*'1. Standard_Cost'!$B$27+'Incremental_Cost Year 6'!AH21*'1. Standard_Cost'!$C$27+'Incremental_Cost Year 6'!AI21*'1. Standard_Cost'!$D$27+'Incremental_Cost Year 6'!AJ21+'Incremental_Cost Year 6'!AL21+AK21</f>
        <v>0</v>
      </c>
      <c r="AN21" s="127">
        <f>AM21*'1. Standard_Cost'!$C$31</f>
        <v>0</v>
      </c>
      <c r="AO21" s="249"/>
      <c r="AQ21" s="171">
        <f>L21+M21</f>
        <v>0</v>
      </c>
      <c r="AR21" s="171">
        <f>AF21</f>
        <v>271978153</v>
      </c>
      <c r="AS21" s="171">
        <f>AM21+AN21</f>
        <v>0</v>
      </c>
      <c r="AT21" s="171">
        <f>SUM(AQ21,AR21,AS21)</f>
        <v>271978153</v>
      </c>
      <c r="AU21" s="250">
        <f>AT21</f>
        <v>271978153</v>
      </c>
      <c r="AV21" s="250"/>
      <c r="AW21" s="250"/>
      <c r="AX21" s="250"/>
      <c r="AY21" s="250"/>
      <c r="AZ21" s="250"/>
      <c r="BA21" s="250"/>
      <c r="BB21" s="251">
        <f t="shared" ref="BB21:BB24" si="15">SUM(AU21:BA21)-AT21</f>
        <v>0</v>
      </c>
      <c r="BC21" s="169"/>
      <c r="BD21" s="169"/>
      <c r="BE21" s="169"/>
      <c r="BF21" s="169"/>
    </row>
    <row r="22" spans="1:58" ht="47.25" outlineLevel="2" x14ac:dyDescent="0.25">
      <c r="A22" s="115"/>
      <c r="B22" s="200"/>
      <c r="C22" s="201"/>
      <c r="D22" s="135"/>
      <c r="E22" s="219"/>
      <c r="F22" s="219"/>
      <c r="G22" s="313"/>
      <c r="H22" s="199" t="s">
        <v>225</v>
      </c>
      <c r="I22" s="130" t="s">
        <v>3</v>
      </c>
      <c r="J22" s="126">
        <v>12</v>
      </c>
      <c r="K22" s="126">
        <v>10</v>
      </c>
      <c r="L22" s="125">
        <f>IF(I22&lt;&gt;0,((VLOOKUP(I22,'1. Standard_Cost'!$B$4:$D$11,2)+VLOOKUP(I22,'1. Standard_Cost'!$B$4:$D$11,3))*J22*K22),"0")</f>
        <v>12096000</v>
      </c>
      <c r="M22" s="125">
        <f>L22*'1. Standard_Cost'!$F$4</f>
        <v>2020032</v>
      </c>
      <c r="N22" s="126"/>
      <c r="O22" s="126"/>
      <c r="P22" s="126"/>
      <c r="Q22" s="126"/>
      <c r="R22" s="127">
        <f>'1. Standard_Cost'!$B$15*N22*P22</f>
        <v>0</v>
      </c>
      <c r="S22" s="127">
        <f>N22*O22*P22*'1. Standard_Cost'!$C$15</f>
        <v>0</v>
      </c>
      <c r="T22" s="127">
        <f>N22*P22*Q22*'1. Standard_Cost'!$D$15</f>
        <v>0</v>
      </c>
      <c r="U22" s="127">
        <f>N22*O22*'1. Standard_Cost'!$E$15</f>
        <v>0</v>
      </c>
      <c r="V22" s="126"/>
      <c r="W22" s="126"/>
      <c r="X22" s="126"/>
      <c r="Y22" s="127">
        <f>+V22*((X22*'1. Standard_Cost'!$B$19)+(W22*X22*'1. Standard_Cost'!$C$19))</f>
        <v>0</v>
      </c>
      <c r="Z22" s="126"/>
      <c r="AA22" s="126"/>
      <c r="AB22" s="127">
        <f>+Z22*'1. Standard_Cost'!$B$23+AA22*'1. Standard_Cost'!$C$23</f>
        <v>0</v>
      </c>
      <c r="AC22" s="128">
        <v>50000</v>
      </c>
      <c r="AD22" s="129"/>
      <c r="AE22" s="127">
        <f>SUM(AD22,AC22,AB22,Y22,U22,T22,S22,R22)*'1. Standard_Cost'!$B$31</f>
        <v>10000</v>
      </c>
      <c r="AF22" s="127">
        <f>SUM(AE22,AD22,AC22,AB22,Y22,U22,T22,S22,R22)</f>
        <v>60000</v>
      </c>
      <c r="AG22" s="126"/>
      <c r="AH22" s="126"/>
      <c r="AI22" s="126"/>
      <c r="AJ22" s="130"/>
      <c r="AK22" s="130"/>
      <c r="AL22" s="130"/>
      <c r="AM22" s="127">
        <f>AG22*'1. Standard_Cost'!$B$27+'Incremental_Cost Year 6'!AH22*'1. Standard_Cost'!$C$27+'Incremental_Cost Year 6'!AI22*'1. Standard_Cost'!$D$27+'Incremental_Cost Year 6'!AJ22+'Incremental_Cost Year 6'!AL22+AK22</f>
        <v>0</v>
      </c>
      <c r="AN22" s="127">
        <f>AM22*'1. Standard_Cost'!$C$31</f>
        <v>0</v>
      </c>
      <c r="AO22" s="249"/>
      <c r="AQ22" s="171">
        <f>L22+M22</f>
        <v>14116032</v>
      </c>
      <c r="AR22" s="171">
        <f>AF22</f>
        <v>60000</v>
      </c>
      <c r="AS22" s="171">
        <f>AM22+AN22</f>
        <v>0</v>
      </c>
      <c r="AT22" s="171">
        <f>SUM(AQ22,AR22,AS22)</f>
        <v>14176032</v>
      </c>
      <c r="AU22" s="250">
        <f>AT22</f>
        <v>14176032</v>
      </c>
      <c r="AV22" s="250"/>
      <c r="AW22" s="250"/>
      <c r="AX22" s="250"/>
      <c r="AY22" s="250"/>
      <c r="AZ22" s="250"/>
      <c r="BA22" s="250"/>
      <c r="BB22" s="251">
        <f t="shared" si="15"/>
        <v>0</v>
      </c>
      <c r="BC22" s="169"/>
      <c r="BD22" s="169"/>
      <c r="BE22" s="169"/>
      <c r="BF22" s="169"/>
    </row>
    <row r="23" spans="1:58" ht="47.25" outlineLevel="2" x14ac:dyDescent="0.25">
      <c r="A23" s="115"/>
      <c r="B23" s="200"/>
      <c r="C23" s="201"/>
      <c r="D23" s="135"/>
      <c r="E23" s="219"/>
      <c r="F23" s="219"/>
      <c r="G23" s="313"/>
      <c r="H23" s="199" t="s">
        <v>383</v>
      </c>
      <c r="I23" s="130" t="s">
        <v>5</v>
      </c>
      <c r="J23" s="126">
        <v>12</v>
      </c>
      <c r="K23" s="126">
        <v>36</v>
      </c>
      <c r="L23" s="125">
        <f>IF(I23&lt;&gt;0,((VLOOKUP(I23,'1. Standard_Cost'!$B$4:$D$11,2)+VLOOKUP(I23,'1. Standard_Cost'!$B$4:$D$11,3))*J23*K23),"0")</f>
        <v>30542400</v>
      </c>
      <c r="M23" s="125">
        <f>L23*'1. Standard_Cost'!$F$4</f>
        <v>5100580.8000000007</v>
      </c>
      <c r="N23" s="126"/>
      <c r="O23" s="126"/>
      <c r="P23" s="126"/>
      <c r="Q23" s="126"/>
      <c r="R23" s="127">
        <f>'1. Standard_Cost'!$B$15*N23*P23</f>
        <v>0</v>
      </c>
      <c r="S23" s="127">
        <f>N23*O23*P23*'1. Standard_Cost'!$C$15</f>
        <v>0</v>
      </c>
      <c r="T23" s="127">
        <f>N23*P23*Q23*'1. Standard_Cost'!$D$15</f>
        <v>0</v>
      </c>
      <c r="U23" s="127">
        <f>N23*O23*'1. Standard_Cost'!$E$15</f>
        <v>0</v>
      </c>
      <c r="V23" s="126"/>
      <c r="W23" s="126"/>
      <c r="X23" s="126"/>
      <c r="Y23" s="127">
        <f>+V23*((X23*'1. Standard_Cost'!$B$19)+(W23*X23*'1. Standard_Cost'!$C$19))</f>
        <v>0</v>
      </c>
      <c r="Z23" s="126"/>
      <c r="AA23" s="126"/>
      <c r="AB23" s="127">
        <f>+Z23*'1. Standard_Cost'!$B$23+AA23*'1. Standard_Cost'!$C$23</f>
        <v>0</v>
      </c>
      <c r="AC23" s="128">
        <f>50000*36</f>
        <v>1800000</v>
      </c>
      <c r="AD23" s="129"/>
      <c r="AE23" s="127">
        <f>SUM(AD23,AC23,AB23,Y23,U23,T23,S23,R23)*'1. Standard_Cost'!$B$31</f>
        <v>360000</v>
      </c>
      <c r="AF23" s="127">
        <f>SUM(AE23,AD23,AC23,AB23,Y23,U23,T23,S23,R23)</f>
        <v>2160000</v>
      </c>
      <c r="AG23" s="126"/>
      <c r="AH23" s="126"/>
      <c r="AI23" s="126"/>
      <c r="AJ23" s="130"/>
      <c r="AK23" s="130"/>
      <c r="AL23" s="130"/>
      <c r="AM23" s="127">
        <f>AG23*'1. Standard_Cost'!$B$27+'Incremental_Cost Year 6'!AH23*'1. Standard_Cost'!$C$27+'Incremental_Cost Year 6'!AI23*'1. Standard_Cost'!$D$27+'Incremental_Cost Year 6'!AJ23+'Incremental_Cost Year 6'!AL23+AK23</f>
        <v>0</v>
      </c>
      <c r="AN23" s="127">
        <f>AM23*'1. Standard_Cost'!$C$31</f>
        <v>0</v>
      </c>
      <c r="AO23" s="249"/>
      <c r="AQ23" s="171">
        <f>L23+M23</f>
        <v>35642980.799999997</v>
      </c>
      <c r="AR23" s="171">
        <f>AF23</f>
        <v>2160000</v>
      </c>
      <c r="AS23" s="171">
        <f>AM23+AN23</f>
        <v>0</v>
      </c>
      <c r="AT23" s="171">
        <f>SUM(AQ23,AR23,AS23)</f>
        <v>37802980.799999997</v>
      </c>
      <c r="AU23" s="250">
        <f>AT23</f>
        <v>37802980.799999997</v>
      </c>
      <c r="AV23" s="250"/>
      <c r="AW23" s="250"/>
      <c r="AX23" s="250"/>
      <c r="AY23" s="250"/>
      <c r="AZ23" s="250"/>
      <c r="BA23" s="250"/>
      <c r="BB23" s="251">
        <f t="shared" si="15"/>
        <v>0</v>
      </c>
      <c r="BC23" s="169"/>
      <c r="BD23" s="169"/>
      <c r="BE23" s="169"/>
      <c r="BF23" s="169"/>
    </row>
    <row r="24" spans="1:58" ht="15.75" outlineLevel="2" x14ac:dyDescent="0.25">
      <c r="A24" s="115"/>
      <c r="B24" s="200"/>
      <c r="C24" s="201"/>
      <c r="D24" s="211"/>
      <c r="E24" s="124"/>
      <c r="F24" s="140"/>
      <c r="G24" s="351"/>
      <c r="H24" s="199"/>
      <c r="I24" s="130"/>
      <c r="J24" s="126"/>
      <c r="K24" s="126"/>
      <c r="L24" s="125" t="str">
        <f>IF(I24&lt;&gt;0,((VLOOKUP(I24,'1. Standard_Cost'!$B$4:$D$11,2)+VLOOKUP(I24,'1. Standard_Cost'!$B$4:$D$11,3))*J24*K24),"0")</f>
        <v>0</v>
      </c>
      <c r="M24" s="125">
        <f>L24*'1. Standard_Cost'!$F$4</f>
        <v>0</v>
      </c>
      <c r="N24" s="126"/>
      <c r="O24" s="126"/>
      <c r="P24" s="126"/>
      <c r="Q24" s="126"/>
      <c r="R24" s="127">
        <f>'1. Standard_Cost'!$B$15*N24*P24</f>
        <v>0</v>
      </c>
      <c r="S24" s="127">
        <f>N24*O24*P24*'1. Standard_Cost'!$C$15</f>
        <v>0</v>
      </c>
      <c r="T24" s="127">
        <f>N24*P24*Q24*'1. Standard_Cost'!$D$15</f>
        <v>0</v>
      </c>
      <c r="U24" s="127">
        <f>N24*O24*'1. Standard_Cost'!$E$15</f>
        <v>0</v>
      </c>
      <c r="V24" s="126"/>
      <c r="W24" s="126"/>
      <c r="X24" s="126"/>
      <c r="Y24" s="127">
        <f>+V24*((X24*'1. Standard_Cost'!$B$19)+(W24*X24*'1. Standard_Cost'!$C$19))</f>
        <v>0</v>
      </c>
      <c r="Z24" s="126"/>
      <c r="AA24" s="126"/>
      <c r="AB24" s="127">
        <f>+Z24*'1. Standard_Cost'!$B$23+AA24*'1. Standard_Cost'!$C$23</f>
        <v>0</v>
      </c>
      <c r="AC24" s="128"/>
      <c r="AD24" s="129"/>
      <c r="AE24" s="127">
        <f>SUM(AD24,AC24,AB24,Y24,U24,T24,S24,R24)*'1. Standard_Cost'!$B$31</f>
        <v>0</v>
      </c>
      <c r="AF24" s="127">
        <f>SUM(AE24,AD24,AC24,AB24,Y24,U24,T24,S24,R24)</f>
        <v>0</v>
      </c>
      <c r="AG24" s="126"/>
      <c r="AH24" s="126"/>
      <c r="AI24" s="126"/>
      <c r="AJ24" s="130"/>
      <c r="AK24" s="130"/>
      <c r="AL24" s="130"/>
      <c r="AM24" s="127">
        <f>AG24*'1. Standard_Cost'!$B$27+'Incremental_Cost Year 6'!AH24*'1. Standard_Cost'!$C$27+'Incremental_Cost Year 6'!AI24*'1. Standard_Cost'!$D$27+'Incremental_Cost Year 6'!AJ24+'Incremental_Cost Year 6'!AL24+AK24</f>
        <v>0</v>
      </c>
      <c r="AN24" s="127">
        <f>AM24*'1. Standard_Cost'!$C$31</f>
        <v>0</v>
      </c>
      <c r="AO24" s="130"/>
      <c r="AQ24" s="171">
        <f>L24+M24</f>
        <v>0</v>
      </c>
      <c r="AR24" s="171">
        <f>AF24</f>
        <v>0</v>
      </c>
      <c r="AS24" s="171">
        <f>AM24+AN24</f>
        <v>0</v>
      </c>
      <c r="AT24" s="171">
        <f>SUM(AQ24,AR24,AS24)</f>
        <v>0</v>
      </c>
      <c r="AU24" s="250">
        <f>AT24</f>
        <v>0</v>
      </c>
      <c r="AV24" s="250"/>
      <c r="AW24" s="250"/>
      <c r="AX24" s="250"/>
      <c r="AY24" s="250"/>
      <c r="AZ24" s="250"/>
      <c r="BA24" s="250"/>
      <c r="BB24" s="251">
        <f t="shared" si="15"/>
        <v>0</v>
      </c>
      <c r="BC24" s="169"/>
      <c r="BD24" s="169"/>
      <c r="BE24" s="169"/>
      <c r="BF24" s="169"/>
    </row>
    <row r="25" spans="1:58" ht="63" outlineLevel="1" x14ac:dyDescent="0.25">
      <c r="A25" s="115"/>
      <c r="B25" s="165"/>
      <c r="C25" s="166"/>
      <c r="D25" s="150" t="s">
        <v>384</v>
      </c>
      <c r="E25" s="139" t="s">
        <v>196</v>
      </c>
      <c r="F25" s="222">
        <v>2021</v>
      </c>
      <c r="G25" s="117">
        <v>2030</v>
      </c>
      <c r="H25" s="134" t="s">
        <v>197</v>
      </c>
      <c r="I25" s="252"/>
      <c r="J25" s="252"/>
      <c r="K25" s="252"/>
      <c r="L25" s="127">
        <f>SUM(L21:L24)</f>
        <v>42638400</v>
      </c>
      <c r="M25" s="127">
        <f>SUM(M21:M24)</f>
        <v>7120612.8000000007</v>
      </c>
      <c r="N25" s="127"/>
      <c r="O25" s="252"/>
      <c r="P25" s="252"/>
      <c r="Q25" s="252"/>
      <c r="R25" s="127">
        <f>SUM(R21:R24)</f>
        <v>0</v>
      </c>
      <c r="S25" s="127">
        <f>SUM(S21:S24)</f>
        <v>0</v>
      </c>
      <c r="T25" s="127">
        <f>SUM(T21:T24)</f>
        <v>0</v>
      </c>
      <c r="U25" s="127">
        <f>SUM(U21:U24)</f>
        <v>0</v>
      </c>
      <c r="V25" s="252"/>
      <c r="W25" s="252"/>
      <c r="X25" s="252"/>
      <c r="Y25" s="127">
        <f>SUM(Y21:Y24)</f>
        <v>0</v>
      </c>
      <c r="Z25" s="252"/>
      <c r="AA25" s="252"/>
      <c r="AB25" s="127">
        <f>SUM(AB21:AB24)</f>
        <v>0</v>
      </c>
      <c r="AC25" s="127">
        <f>SUM(AC21:AC24)</f>
        <v>273828153</v>
      </c>
      <c r="AD25" s="127">
        <f>SUM(AD21:AD24)</f>
        <v>0</v>
      </c>
      <c r="AE25" s="127">
        <f>SUM(AE21:AE24)</f>
        <v>370000</v>
      </c>
      <c r="AF25" s="127">
        <f>SUM(AF21:AF24)</f>
        <v>274198153</v>
      </c>
      <c r="AG25" s="252"/>
      <c r="AH25" s="252"/>
      <c r="AI25" s="252"/>
      <c r="AJ25" s="127">
        <f>SUM(AJ21:AJ24)</f>
        <v>0</v>
      </c>
      <c r="AK25" s="127">
        <f>SUM(AK21:AK24)</f>
        <v>0</v>
      </c>
      <c r="AL25" s="127">
        <f>SUM(AL21:AL24)</f>
        <v>0</v>
      </c>
      <c r="AM25" s="127">
        <f>SUM(AM21:AM24)</f>
        <v>0</v>
      </c>
      <c r="AN25" s="127">
        <f>SUM(AN21:AN24)</f>
        <v>0</v>
      </c>
      <c r="AO25" s="253"/>
      <c r="AP25" s="254"/>
      <c r="AQ25" s="175">
        <f>SUM(AQ21:AQ24)</f>
        <v>49759012.799999997</v>
      </c>
      <c r="AR25" s="175">
        <f>SUM(AR21:AR24)</f>
        <v>274198153</v>
      </c>
      <c r="AS25" s="175">
        <f>SUM(AS21:AS24)</f>
        <v>0</v>
      </c>
      <c r="AT25" s="175">
        <f>SUM(AT21:AT24)</f>
        <v>323957165.80000001</v>
      </c>
      <c r="AU25" s="175">
        <f t="shared" ref="AU25:BB25" si="16">SUM(AU21:AU24)</f>
        <v>323957165.80000001</v>
      </c>
      <c r="AV25" s="175">
        <f t="shared" si="16"/>
        <v>0</v>
      </c>
      <c r="AW25" s="175">
        <f>SUM(AW21:AW24)</f>
        <v>0</v>
      </c>
      <c r="AX25" s="175">
        <f t="shared" si="16"/>
        <v>0</v>
      </c>
      <c r="AY25" s="175">
        <f t="shared" si="16"/>
        <v>0</v>
      </c>
      <c r="AZ25" s="175">
        <f t="shared" si="16"/>
        <v>0</v>
      </c>
      <c r="BA25" s="175">
        <f t="shared" si="16"/>
        <v>0</v>
      </c>
      <c r="BB25" s="175">
        <f t="shared" si="16"/>
        <v>0</v>
      </c>
      <c r="BC25" s="169"/>
      <c r="BD25" s="169"/>
      <c r="BE25" s="169"/>
      <c r="BF25" s="169"/>
    </row>
    <row r="26" spans="1:58" ht="157.5" outlineLevel="2" x14ac:dyDescent="0.25">
      <c r="A26" s="115"/>
      <c r="B26" s="200"/>
      <c r="C26" s="201"/>
      <c r="D26" s="138"/>
      <c r="E26" s="219"/>
      <c r="F26" s="219"/>
      <c r="G26" s="313"/>
      <c r="H26" s="199" t="s">
        <v>385</v>
      </c>
      <c r="I26" s="130"/>
      <c r="J26" s="126"/>
      <c r="K26" s="126"/>
      <c r="L26" s="125" t="str">
        <f>IF(I26&lt;&gt;0,((VLOOKUP(I26,'1. Standard_Cost'!$B$4:$D$11,2)+VLOOKUP(I26,'1. Standard_Cost'!$B$4:$D$11,3))*J26*K26),"0")</f>
        <v>0</v>
      </c>
      <c r="M26" s="125">
        <f>L26*'1. Standard_Cost'!$F$4</f>
        <v>0</v>
      </c>
      <c r="N26" s="126"/>
      <c r="O26" s="126"/>
      <c r="P26" s="126"/>
      <c r="Q26" s="126"/>
      <c r="R26" s="127">
        <f>'1. Standard_Cost'!$B$15*N26*P26</f>
        <v>0</v>
      </c>
      <c r="S26" s="127">
        <f>N26*O26*P26*'1. Standard_Cost'!$C$15</f>
        <v>0</v>
      </c>
      <c r="T26" s="127">
        <f>N26*P26*Q26*'1. Standard_Cost'!$D$15</f>
        <v>0</v>
      </c>
      <c r="U26" s="127">
        <f>N26*O26*'1. Standard_Cost'!$E$15</f>
        <v>0</v>
      </c>
      <c r="V26" s="126"/>
      <c r="W26" s="126"/>
      <c r="X26" s="126"/>
      <c r="Y26" s="127">
        <f>+V26*((X26*'1. Standard_Cost'!$B$19)+(W26*X26*'1. Standard_Cost'!$C$19))</f>
        <v>0</v>
      </c>
      <c r="Z26" s="126"/>
      <c r="AA26" s="126"/>
      <c r="AB26" s="127">
        <f>+Z26*'1. Standard_Cost'!$B$23+AA26*'1. Standard_Cost'!$C$23</f>
        <v>0</v>
      </c>
      <c r="AC26" s="128">
        <v>229006449</v>
      </c>
      <c r="AD26" s="129"/>
      <c r="AE26" s="127">
        <v>0</v>
      </c>
      <c r="AF26" s="127">
        <f>SUM(AE26,AD26,AC26,AB26,Y26,U26,T26,S26,R26)</f>
        <v>229006449</v>
      </c>
      <c r="AG26" s="126"/>
      <c r="AH26" s="126"/>
      <c r="AI26" s="126"/>
      <c r="AJ26" s="130"/>
      <c r="AK26" s="130"/>
      <c r="AL26" s="130"/>
      <c r="AM26" s="127">
        <f>AG26*'1. Standard_Cost'!$B$27+'Incremental_Cost Year 6'!AH26*'1. Standard_Cost'!$C$27+'Incremental_Cost Year 6'!AI26*'1. Standard_Cost'!$D$27+'Incremental_Cost Year 6'!AJ26+'Incremental_Cost Year 6'!AL26+AK26</f>
        <v>0</v>
      </c>
      <c r="AN26" s="127">
        <f>AM26*'1. Standard_Cost'!$C$31</f>
        <v>0</v>
      </c>
      <c r="AO26" s="249"/>
      <c r="AQ26" s="171">
        <f>L26+M26</f>
        <v>0</v>
      </c>
      <c r="AR26" s="171">
        <f>AF26</f>
        <v>229006449</v>
      </c>
      <c r="AS26" s="171">
        <f>AM26+AN26</f>
        <v>0</v>
      </c>
      <c r="AT26" s="171">
        <f>SUM(AQ26,AR26,AS26)</f>
        <v>229006449</v>
      </c>
      <c r="AU26" s="250">
        <f>AT26</f>
        <v>229006449</v>
      </c>
      <c r="AV26" s="250"/>
      <c r="AW26" s="250"/>
      <c r="AX26" s="250"/>
      <c r="AY26" s="250"/>
      <c r="AZ26" s="250"/>
      <c r="BA26" s="250"/>
      <c r="BB26" s="251">
        <f t="shared" ref="BB26:BB28" si="17">SUM(AU26:BA26)-AT26</f>
        <v>0</v>
      </c>
      <c r="BC26" s="169"/>
      <c r="BD26" s="169"/>
      <c r="BE26" s="169"/>
      <c r="BF26" s="169"/>
    </row>
    <row r="27" spans="1:58" ht="141.75" outlineLevel="2" x14ac:dyDescent="0.25">
      <c r="A27" s="115"/>
      <c r="B27" s="200"/>
      <c r="C27" s="201"/>
      <c r="D27" s="135"/>
      <c r="E27" s="219"/>
      <c r="F27" s="219"/>
      <c r="G27" s="313"/>
      <c r="H27" s="199" t="s">
        <v>386</v>
      </c>
      <c r="I27" s="130"/>
      <c r="J27" s="126"/>
      <c r="K27" s="126"/>
      <c r="L27" s="125" t="str">
        <f>IF(I27&lt;&gt;0,((VLOOKUP(I27,'1. Standard_Cost'!$B$4:$D$11,2)+VLOOKUP(I27,'1. Standard_Cost'!$B$4:$D$11,3))*J27*K27),"0")</f>
        <v>0</v>
      </c>
      <c r="M27" s="125">
        <f>L27*'1. Standard_Cost'!$F$4</f>
        <v>0</v>
      </c>
      <c r="N27" s="126"/>
      <c r="O27" s="126"/>
      <c r="P27" s="126"/>
      <c r="Q27" s="126"/>
      <c r="R27" s="127">
        <f>'1. Standard_Cost'!$B$15*N27*P27</f>
        <v>0</v>
      </c>
      <c r="S27" s="127">
        <f>N27*O27*P27*'1. Standard_Cost'!$C$15</f>
        <v>0</v>
      </c>
      <c r="T27" s="127">
        <f>N27*P27*Q27*'1. Standard_Cost'!$D$15</f>
        <v>0</v>
      </c>
      <c r="U27" s="127">
        <f>N27*O27*'1. Standard_Cost'!$E$15</f>
        <v>0</v>
      </c>
      <c r="V27" s="126"/>
      <c r="W27" s="126"/>
      <c r="X27" s="126"/>
      <c r="Y27" s="127">
        <f>+V27*((X27*'1. Standard_Cost'!$B$19)+(W27*X27*'1. Standard_Cost'!$C$19))</f>
        <v>0</v>
      </c>
      <c r="Z27" s="126"/>
      <c r="AA27" s="126"/>
      <c r="AB27" s="127">
        <f>+Z27*'1. Standard_Cost'!$B$23+AA27*'1. Standard_Cost'!$C$23</f>
        <v>0</v>
      </c>
      <c r="AC27" s="128">
        <v>151924500</v>
      </c>
      <c r="AD27" s="129"/>
      <c r="AE27" s="127">
        <v>0</v>
      </c>
      <c r="AF27" s="127">
        <f>SUM(AE27,AD27,AC27,AB27,Y27,U27,T27,S27,R27)</f>
        <v>151924500</v>
      </c>
      <c r="AG27" s="126"/>
      <c r="AH27" s="126"/>
      <c r="AI27" s="126"/>
      <c r="AJ27" s="130"/>
      <c r="AK27" s="130"/>
      <c r="AL27" s="130"/>
      <c r="AM27" s="127">
        <f>AG27*'1. Standard_Cost'!$B$27+'Incremental_Cost Year 6'!AH27*'1. Standard_Cost'!$C$27+'Incremental_Cost Year 6'!AI27*'1. Standard_Cost'!$D$27+'Incremental_Cost Year 6'!AJ27+'Incremental_Cost Year 6'!AL27+AK27</f>
        <v>0</v>
      </c>
      <c r="AN27" s="127">
        <f>AM27*'1. Standard_Cost'!$C$31</f>
        <v>0</v>
      </c>
      <c r="AO27" s="130"/>
      <c r="AQ27" s="171">
        <f>L27+M27</f>
        <v>0</v>
      </c>
      <c r="AR27" s="171">
        <f>AF27</f>
        <v>151924500</v>
      </c>
      <c r="AS27" s="171">
        <f>AM27+AN27</f>
        <v>0</v>
      </c>
      <c r="AT27" s="171">
        <f>SUM(AQ27,AR27,AS27)</f>
        <v>151924500</v>
      </c>
      <c r="AU27" s="250">
        <f>AT27</f>
        <v>151924500</v>
      </c>
      <c r="AV27" s="250"/>
      <c r="AW27" s="250"/>
      <c r="AX27" s="250"/>
      <c r="AY27" s="250"/>
      <c r="AZ27" s="250"/>
      <c r="BA27" s="250"/>
      <c r="BB27" s="251">
        <f t="shared" si="17"/>
        <v>0</v>
      </c>
      <c r="BC27" s="169"/>
      <c r="BD27" s="169"/>
      <c r="BE27" s="169"/>
      <c r="BF27" s="169"/>
    </row>
    <row r="28" spans="1:58" ht="189" outlineLevel="2" x14ac:dyDescent="0.25">
      <c r="A28" s="115"/>
      <c r="B28" s="200"/>
      <c r="C28" s="201"/>
      <c r="D28" s="223"/>
      <c r="E28" s="219"/>
      <c r="F28" s="219"/>
      <c r="G28" s="313"/>
      <c r="H28" s="103" t="s">
        <v>387</v>
      </c>
      <c r="I28" s="130"/>
      <c r="J28" s="126"/>
      <c r="K28" s="126"/>
      <c r="L28" s="125" t="str">
        <f>IF(I28&lt;&gt;0,((VLOOKUP(I28,'1. Standard_Cost'!$B$4:$D$11,2)+VLOOKUP(I28,'1. Standard_Cost'!$B$4:$D$11,3))*J28*K28),"0")</f>
        <v>0</v>
      </c>
      <c r="M28" s="125">
        <f>L28*'1. Standard_Cost'!$F$4</f>
        <v>0</v>
      </c>
      <c r="N28" s="126"/>
      <c r="O28" s="126"/>
      <c r="P28" s="126"/>
      <c r="Q28" s="126"/>
      <c r="R28" s="127">
        <f>'1. Standard_Cost'!$B$15*N28*P28</f>
        <v>0</v>
      </c>
      <c r="S28" s="127">
        <f>N28*O28*P28*'1. Standard_Cost'!$C$15</f>
        <v>0</v>
      </c>
      <c r="T28" s="127">
        <f>N28*P28*Q28*'1. Standard_Cost'!$D$15</f>
        <v>0</v>
      </c>
      <c r="U28" s="127">
        <f>N28*O28*'1. Standard_Cost'!$E$15</f>
        <v>0</v>
      </c>
      <c r="V28" s="126"/>
      <c r="W28" s="126"/>
      <c r="X28" s="126"/>
      <c r="Y28" s="127">
        <f>+V28*((X28*'1. Standard_Cost'!$B$19)+(W28*X28*'1. Standard_Cost'!$C$19))</f>
        <v>0</v>
      </c>
      <c r="Z28" s="126"/>
      <c r="AA28" s="126"/>
      <c r="AB28" s="127">
        <f>+Z28*'1. Standard_Cost'!$B$23+AA28*'1. Standard_Cost'!$C$23</f>
        <v>0</v>
      </c>
      <c r="AC28" s="128">
        <v>303187500</v>
      </c>
      <c r="AD28" s="129"/>
      <c r="AE28" s="127">
        <v>0</v>
      </c>
      <c r="AF28" s="127">
        <f>SUM(AE28,AD28,AC28,AB28,Y28,U28,T28,S28,R28)</f>
        <v>303187500</v>
      </c>
      <c r="AG28" s="126"/>
      <c r="AH28" s="126"/>
      <c r="AI28" s="126"/>
      <c r="AJ28" s="130"/>
      <c r="AK28" s="130"/>
      <c r="AL28" s="130"/>
      <c r="AM28" s="127">
        <f>AG28*'1. Standard_Cost'!$B$27+'Incremental_Cost Year 6'!AH28*'1. Standard_Cost'!$C$27+'Incremental_Cost Year 6'!AI28*'1. Standard_Cost'!$D$27+'Incremental_Cost Year 6'!AJ28+'Incremental_Cost Year 6'!AL28+AK28</f>
        <v>0</v>
      </c>
      <c r="AN28" s="127">
        <f>AM28*'1. Standard_Cost'!$C$31</f>
        <v>0</v>
      </c>
      <c r="AO28" s="130"/>
      <c r="AQ28" s="171">
        <f>L28+M28</f>
        <v>0</v>
      </c>
      <c r="AR28" s="171">
        <f>AF28</f>
        <v>303187500</v>
      </c>
      <c r="AS28" s="171">
        <f>AM28+AN28</f>
        <v>0</v>
      </c>
      <c r="AT28" s="171">
        <f>SUM(AQ28,AR28,AS28)</f>
        <v>303187500</v>
      </c>
      <c r="AU28" s="250">
        <f>AT28</f>
        <v>303187500</v>
      </c>
      <c r="AV28" s="250"/>
      <c r="AW28" s="250"/>
      <c r="AX28" s="250"/>
      <c r="AY28" s="250"/>
      <c r="AZ28" s="250"/>
      <c r="BA28" s="250"/>
      <c r="BB28" s="251">
        <f t="shared" si="17"/>
        <v>0</v>
      </c>
      <c r="BC28" s="169"/>
      <c r="BD28" s="169"/>
      <c r="BE28" s="169"/>
      <c r="BF28" s="169"/>
    </row>
    <row r="29" spans="1:58" ht="63" outlineLevel="1" x14ac:dyDescent="0.25">
      <c r="A29" s="115"/>
      <c r="B29" s="165"/>
      <c r="C29" s="301"/>
      <c r="D29" s="150" t="s">
        <v>388</v>
      </c>
      <c r="E29" s="139" t="s">
        <v>198</v>
      </c>
      <c r="F29" s="300">
        <v>2021</v>
      </c>
      <c r="G29" s="209">
        <v>2030</v>
      </c>
      <c r="H29" s="134" t="s">
        <v>199</v>
      </c>
      <c r="I29" s="252"/>
      <c r="J29" s="252"/>
      <c r="K29" s="252"/>
      <c r="L29" s="127">
        <f>SUM(L26:L28)</f>
        <v>0</v>
      </c>
      <c r="M29" s="127">
        <f>SUM(M26:M28)</f>
        <v>0</v>
      </c>
      <c r="N29" s="127"/>
      <c r="O29" s="252"/>
      <c r="P29" s="252"/>
      <c r="Q29" s="252"/>
      <c r="R29" s="127">
        <f>SUM(R26:R28)</f>
        <v>0</v>
      </c>
      <c r="S29" s="127">
        <f>SUM(S26:S28)</f>
        <v>0</v>
      </c>
      <c r="T29" s="127">
        <f>SUM(T26:T28)</f>
        <v>0</v>
      </c>
      <c r="U29" s="127">
        <f>SUM(U26:U28)</f>
        <v>0</v>
      </c>
      <c r="V29" s="252"/>
      <c r="W29" s="252"/>
      <c r="X29" s="252"/>
      <c r="Y29" s="127">
        <f>SUM(Y26:Y28)</f>
        <v>0</v>
      </c>
      <c r="Z29" s="252"/>
      <c r="AA29" s="252"/>
      <c r="AB29" s="127">
        <f>SUM(AB26:AB28)</f>
        <v>0</v>
      </c>
      <c r="AC29" s="127">
        <f>SUM(AC26:AC28)</f>
        <v>684118449</v>
      </c>
      <c r="AD29" s="127">
        <f>SUM(AD26:AD28)</f>
        <v>0</v>
      </c>
      <c r="AE29" s="127">
        <f>SUM(AE26:AE28)</f>
        <v>0</v>
      </c>
      <c r="AF29" s="127">
        <f>SUM(AF26:AF28)</f>
        <v>684118449</v>
      </c>
      <c r="AG29" s="252"/>
      <c r="AH29" s="252"/>
      <c r="AI29" s="252"/>
      <c r="AJ29" s="127">
        <f>SUM(AJ26:AJ28)</f>
        <v>0</v>
      </c>
      <c r="AK29" s="127">
        <f>SUM(AK26:AK28)</f>
        <v>0</v>
      </c>
      <c r="AL29" s="127">
        <f>SUM(AL26:AL28)</f>
        <v>0</v>
      </c>
      <c r="AM29" s="127">
        <f>SUM(AM26:AM28)</f>
        <v>0</v>
      </c>
      <c r="AN29" s="127">
        <f>SUM(AN26:AN28)</f>
        <v>0</v>
      </c>
      <c r="AO29" s="253"/>
      <c r="AP29" s="254"/>
      <c r="AQ29" s="175">
        <f>SUM(AQ26:AQ28)</f>
        <v>0</v>
      </c>
      <c r="AR29" s="175">
        <f>SUM(AR26:AR28)</f>
        <v>684118449</v>
      </c>
      <c r="AS29" s="175">
        <f>SUM(AS26:AS28)</f>
        <v>0</v>
      </c>
      <c r="AT29" s="175">
        <f>SUM(AT26:AT28)</f>
        <v>684118449</v>
      </c>
      <c r="AU29" s="175">
        <f t="shared" ref="AU29:BB29" si="18">SUM(AU26:AU28)</f>
        <v>684118449</v>
      </c>
      <c r="AV29" s="175">
        <f t="shared" si="18"/>
        <v>0</v>
      </c>
      <c r="AW29" s="175">
        <f t="shared" si="18"/>
        <v>0</v>
      </c>
      <c r="AX29" s="175">
        <f t="shared" si="18"/>
        <v>0</v>
      </c>
      <c r="AY29" s="175">
        <f t="shared" si="18"/>
        <v>0</v>
      </c>
      <c r="AZ29" s="175">
        <f t="shared" si="18"/>
        <v>0</v>
      </c>
      <c r="BA29" s="175">
        <f t="shared" si="18"/>
        <v>0</v>
      </c>
      <c r="BB29" s="175">
        <f t="shared" si="18"/>
        <v>0</v>
      </c>
      <c r="BC29" s="169"/>
      <c r="BD29" s="169"/>
      <c r="BE29" s="169"/>
      <c r="BF29" s="169"/>
    </row>
    <row r="30" spans="1:58" ht="78.75" outlineLevel="2" x14ac:dyDescent="0.25">
      <c r="A30" s="115"/>
      <c r="B30" s="200"/>
      <c r="C30" s="201"/>
      <c r="D30" s="138"/>
      <c r="E30" s="295"/>
      <c r="F30" s="295"/>
      <c r="G30" s="296"/>
      <c r="H30" s="299" t="s">
        <v>305</v>
      </c>
      <c r="I30" s="130" t="s">
        <v>3</v>
      </c>
      <c r="J30" s="126">
        <v>12</v>
      </c>
      <c r="K30" s="126">
        <v>4</v>
      </c>
      <c r="L30" s="125">
        <f>IF(I30&lt;&gt;0,((VLOOKUP(I30,'1. Standard_Cost'!$B$4:$D$11,2)+VLOOKUP(I30,'1. Standard_Cost'!$B$4:$D$11,3))*J30*K30),"0")</f>
        <v>4838400</v>
      </c>
      <c r="M30" s="125">
        <f>L30*'1. Standard_Cost'!$F$4</f>
        <v>808012.80000000005</v>
      </c>
      <c r="N30" s="126"/>
      <c r="O30" s="126"/>
      <c r="P30" s="126"/>
      <c r="Q30" s="126"/>
      <c r="R30" s="127">
        <f>'1. Standard_Cost'!$B$15*N30*P30</f>
        <v>0</v>
      </c>
      <c r="S30" s="127">
        <f>N30*O30*P30*'1. Standard_Cost'!$C$15</f>
        <v>0</v>
      </c>
      <c r="T30" s="127">
        <f>N30*P30*Q30*'1. Standard_Cost'!$D$15</f>
        <v>0</v>
      </c>
      <c r="U30" s="127">
        <f>N30*O30*'1. Standard_Cost'!$E$15</f>
        <v>0</v>
      </c>
      <c r="V30" s="126"/>
      <c r="W30" s="126"/>
      <c r="X30" s="126"/>
      <c r="Y30" s="127">
        <f>+V30*((X30*'1. Standard_Cost'!$B$19)+(W30*X30*'1. Standard_Cost'!$C$19))</f>
        <v>0</v>
      </c>
      <c r="Z30" s="126"/>
      <c r="AA30" s="126"/>
      <c r="AB30" s="127">
        <f>+Z30*'1. Standard_Cost'!$B$23+AA30*'1. Standard_Cost'!$C$23</f>
        <v>0</v>
      </c>
      <c r="AC30" s="128"/>
      <c r="AD30" s="129"/>
      <c r="AE30" s="127">
        <f>SUM(AD30,AC30,AB30,Y30,U30,T30,S30,R30)*'1. Standard_Cost'!$B$31</f>
        <v>0</v>
      </c>
      <c r="AF30" s="127">
        <f t="shared" ref="AF30:AF36" si="19">SUM(AE30,AD30,AC30,AB30,Y30,U30,T30,S30,R30)</f>
        <v>0</v>
      </c>
      <c r="AG30" s="126"/>
      <c r="AH30" s="126"/>
      <c r="AI30" s="126"/>
      <c r="AJ30" s="130"/>
      <c r="AK30" s="130"/>
      <c r="AL30" s="130"/>
      <c r="AM30" s="127">
        <f>AG30*'1. Standard_Cost'!$B$27+'Incremental_Cost Year 6'!AH30*'1. Standard_Cost'!$C$27+'Incremental_Cost Year 6'!AI30*'1. Standard_Cost'!$D$27+'Incremental_Cost Year 6'!AJ30+'Incremental_Cost Year 6'!AL30+AK30</f>
        <v>0</v>
      </c>
      <c r="AN30" s="127">
        <f>AM30*'1. Standard_Cost'!$C$31</f>
        <v>0</v>
      </c>
      <c r="AO30" s="249"/>
      <c r="AQ30" s="171">
        <f t="shared" ref="AQ30:AQ36" si="20">L30+M30</f>
        <v>5646412.7999999998</v>
      </c>
      <c r="AR30" s="171">
        <f t="shared" ref="AR30:AR36" si="21">AF30</f>
        <v>0</v>
      </c>
      <c r="AS30" s="171">
        <f t="shared" ref="AS30:AS36" si="22">AM30+AN30</f>
        <v>0</v>
      </c>
      <c r="AT30" s="171">
        <f t="shared" ref="AT30:AT36" si="23">SUM(AQ30,AR30,AS30)</f>
        <v>5646412.7999999998</v>
      </c>
      <c r="AU30" s="250">
        <f>AT30</f>
        <v>5646412.7999999998</v>
      </c>
      <c r="AV30" s="250"/>
      <c r="AW30" s="250"/>
      <c r="AX30" s="250"/>
      <c r="AY30" s="250"/>
      <c r="AZ30" s="250"/>
      <c r="BA30" s="250"/>
      <c r="BB30" s="251">
        <f t="shared" ref="BB30" si="24">SUM(AU30:BA30)-AT30</f>
        <v>0</v>
      </c>
      <c r="BC30" s="169"/>
      <c r="BD30" s="169"/>
      <c r="BE30" s="169"/>
      <c r="BF30" s="169"/>
    </row>
    <row r="31" spans="1:58" ht="78.75" outlineLevel="2" x14ac:dyDescent="0.25">
      <c r="A31" s="115"/>
      <c r="B31" s="200"/>
      <c r="C31" s="201"/>
      <c r="D31" s="135"/>
      <c r="E31" s="219"/>
      <c r="F31" s="219"/>
      <c r="G31" s="313"/>
      <c r="H31" s="213" t="s">
        <v>226</v>
      </c>
      <c r="I31" s="130" t="s">
        <v>5</v>
      </c>
      <c r="J31" s="126">
        <v>6</v>
      </c>
      <c r="K31" s="126">
        <v>420</v>
      </c>
      <c r="L31" s="125">
        <f>IF(I31&lt;&gt;0,((VLOOKUP(I31,'1. Standard_Cost'!$B$4:$D$11,2)+VLOOKUP(I31,'1. Standard_Cost'!$B$4:$D$11,3))*J31*K31),"0")</f>
        <v>178164000</v>
      </c>
      <c r="M31" s="125">
        <f>L31*'1. Standard_Cost'!$F$4</f>
        <v>29753388</v>
      </c>
      <c r="N31" s="126"/>
      <c r="O31" s="126"/>
      <c r="P31" s="126"/>
      <c r="Q31" s="126"/>
      <c r="R31" s="127">
        <f>'1. Standard_Cost'!$B$15*N31*P31</f>
        <v>0</v>
      </c>
      <c r="S31" s="127">
        <f>N31*O31*P31*'1. Standard_Cost'!$C$15</f>
        <v>0</v>
      </c>
      <c r="T31" s="127">
        <f>N31*P31*Q31*'1. Standard_Cost'!$D$15</f>
        <v>0</v>
      </c>
      <c r="U31" s="127">
        <f>N31*O31*'1. Standard_Cost'!$E$15</f>
        <v>0</v>
      </c>
      <c r="V31" s="126"/>
      <c r="W31" s="126"/>
      <c r="X31" s="126"/>
      <c r="Y31" s="127">
        <f>+V31*((X31*'1. Standard_Cost'!$B$19)+(W31*X31*'1. Standard_Cost'!$C$19))</f>
        <v>0</v>
      </c>
      <c r="Z31" s="126"/>
      <c r="AA31" s="126"/>
      <c r="AB31" s="127">
        <f>+Z31*'1. Standard_Cost'!$B$23+AA31*'1. Standard_Cost'!$C$23</f>
        <v>0</v>
      </c>
      <c r="AC31" s="128"/>
      <c r="AD31" s="129"/>
      <c r="AE31" s="127">
        <f>SUM(AD31,AC31,AB31,Y31,U31,T31,S31,R31)*'1. Standard_Cost'!$B$31</f>
        <v>0</v>
      </c>
      <c r="AF31" s="127">
        <f t="shared" si="19"/>
        <v>0</v>
      </c>
      <c r="AG31" s="126"/>
      <c r="AH31" s="126"/>
      <c r="AI31" s="126"/>
      <c r="AJ31" s="130"/>
      <c r="AK31" s="130"/>
      <c r="AL31" s="130"/>
      <c r="AM31" s="127">
        <f>AG31*'1. Standard_Cost'!$B$27+'Incremental_Cost Year 6'!AH31*'1. Standard_Cost'!$C$27+'Incremental_Cost Year 6'!AI31*'1. Standard_Cost'!$D$27+'Incremental_Cost Year 6'!AJ31+'Incremental_Cost Year 6'!AL31+AK31</f>
        <v>0</v>
      </c>
      <c r="AN31" s="127">
        <f>AM31*'1. Standard_Cost'!$C$31</f>
        <v>0</v>
      </c>
      <c r="AO31" s="249"/>
      <c r="AQ31" s="171">
        <f t="shared" si="20"/>
        <v>207917388</v>
      </c>
      <c r="AR31" s="171">
        <f t="shared" si="21"/>
        <v>0</v>
      </c>
      <c r="AS31" s="171">
        <f t="shared" si="22"/>
        <v>0</v>
      </c>
      <c r="AT31" s="171">
        <f t="shared" si="23"/>
        <v>207917388</v>
      </c>
      <c r="AU31" s="250">
        <f>AT31</f>
        <v>207917388</v>
      </c>
      <c r="AV31" s="250"/>
      <c r="AW31" s="250"/>
      <c r="AX31" s="250"/>
      <c r="AY31" s="250"/>
      <c r="AZ31" s="250"/>
      <c r="BA31" s="250"/>
      <c r="BB31" s="251">
        <f t="shared" ref="BB31:BB36" si="25">SUM(AU31:BA31)-AT31</f>
        <v>0</v>
      </c>
      <c r="BC31" s="169"/>
      <c r="BD31" s="169"/>
      <c r="BE31" s="169"/>
      <c r="BF31" s="169"/>
    </row>
    <row r="32" spans="1:58" ht="78.75" outlineLevel="2" x14ac:dyDescent="0.25">
      <c r="A32" s="115"/>
      <c r="B32" s="200"/>
      <c r="C32" s="201"/>
      <c r="D32" s="135"/>
      <c r="E32" s="219"/>
      <c r="F32" s="219"/>
      <c r="G32" s="313"/>
      <c r="H32" s="213" t="s">
        <v>306</v>
      </c>
      <c r="I32" s="130" t="s">
        <v>4</v>
      </c>
      <c r="J32" s="126">
        <v>6</v>
      </c>
      <c r="K32" s="126">
        <v>36</v>
      </c>
      <c r="L32" s="125">
        <f>IF(I32&lt;&gt;0,((VLOOKUP(I32,'1. Standard_Cost'!$B$4:$D$11,2)+VLOOKUP(I32,'1. Standard_Cost'!$B$4:$D$11,3))*J32*K32),"0")</f>
        <v>17442000</v>
      </c>
      <c r="M32" s="125">
        <f>L32*'1. Standard_Cost'!$F$4</f>
        <v>2912814</v>
      </c>
      <c r="N32" s="126"/>
      <c r="O32" s="126"/>
      <c r="P32" s="126"/>
      <c r="Q32" s="126"/>
      <c r="R32" s="127">
        <f>'1. Standard_Cost'!$B$15*N32*P32</f>
        <v>0</v>
      </c>
      <c r="S32" s="127">
        <f>N32*O32*P32*'1. Standard_Cost'!$C$15</f>
        <v>0</v>
      </c>
      <c r="T32" s="127">
        <f>N32*P32*Q32*'1. Standard_Cost'!$D$15</f>
        <v>0</v>
      </c>
      <c r="U32" s="127">
        <f>N32*O32*'1. Standard_Cost'!$E$15</f>
        <v>0</v>
      </c>
      <c r="V32" s="126"/>
      <c r="W32" s="126"/>
      <c r="X32" s="126"/>
      <c r="Y32" s="127">
        <f>+V32*((X32*'1. Standard_Cost'!$B$19)+(W32*X32*'1. Standard_Cost'!$C$19))</f>
        <v>0</v>
      </c>
      <c r="Z32" s="126"/>
      <c r="AA32" s="126"/>
      <c r="AB32" s="127">
        <f>+Z32*'1. Standard_Cost'!$B$23+AA32*'1. Standard_Cost'!$C$23</f>
        <v>0</v>
      </c>
      <c r="AC32" s="128"/>
      <c r="AD32" s="129"/>
      <c r="AE32" s="127">
        <f>SUM(AD32,AC32,AB32,Y32,U32,T32,S32,R32)*'1. Standard_Cost'!$B$31</f>
        <v>0</v>
      </c>
      <c r="AF32" s="127">
        <f t="shared" si="19"/>
        <v>0</v>
      </c>
      <c r="AG32" s="126"/>
      <c r="AH32" s="126"/>
      <c r="AI32" s="126"/>
      <c r="AJ32" s="130"/>
      <c r="AK32" s="130"/>
      <c r="AL32" s="130"/>
      <c r="AM32" s="127">
        <f>AG32*'1. Standard_Cost'!$B$27+'Incremental_Cost Year 6'!AH32*'1. Standard_Cost'!$C$27+'Incremental_Cost Year 6'!AI32*'1. Standard_Cost'!$D$27+'Incremental_Cost Year 6'!AJ32+'Incremental_Cost Year 6'!AL32+AK32</f>
        <v>0</v>
      </c>
      <c r="AN32" s="127">
        <f>AM32*'1. Standard_Cost'!$C$31</f>
        <v>0</v>
      </c>
      <c r="AO32" s="249"/>
      <c r="AQ32" s="171">
        <f t="shared" si="20"/>
        <v>20354814</v>
      </c>
      <c r="AR32" s="171">
        <f t="shared" si="21"/>
        <v>0</v>
      </c>
      <c r="AS32" s="171">
        <f t="shared" si="22"/>
        <v>0</v>
      </c>
      <c r="AT32" s="171">
        <f t="shared" si="23"/>
        <v>20354814</v>
      </c>
      <c r="AU32" s="250">
        <f>AT32</f>
        <v>20354814</v>
      </c>
      <c r="AV32" s="250"/>
      <c r="AW32" s="250"/>
      <c r="AX32" s="250"/>
      <c r="AY32" s="250"/>
      <c r="AZ32" s="250"/>
      <c r="BA32" s="250"/>
      <c r="BB32" s="251">
        <f t="shared" si="25"/>
        <v>0</v>
      </c>
      <c r="BC32" s="169"/>
      <c r="BD32" s="169"/>
      <c r="BE32" s="169"/>
      <c r="BF32" s="169"/>
    </row>
    <row r="33" spans="1:58" ht="63" outlineLevel="2" x14ac:dyDescent="0.25">
      <c r="A33" s="115"/>
      <c r="B33" s="200"/>
      <c r="C33" s="201"/>
      <c r="D33" s="135"/>
      <c r="E33" s="219"/>
      <c r="F33" s="219"/>
      <c r="G33" s="313"/>
      <c r="H33" s="213" t="s">
        <v>389</v>
      </c>
      <c r="I33" s="130"/>
      <c r="J33" s="126"/>
      <c r="K33" s="126"/>
      <c r="L33" s="125" t="str">
        <f>IF(I33&lt;&gt;0,((VLOOKUP(I33,'1. Standard_Cost'!$B$4:$D$11,2)+VLOOKUP(I33,'1. Standard_Cost'!$B$4:$D$11,3))*J33*K33),"0")</f>
        <v>0</v>
      </c>
      <c r="M33" s="125">
        <f>L33*'1. Standard_Cost'!$F$4</f>
        <v>0</v>
      </c>
      <c r="N33" s="126"/>
      <c r="O33" s="126"/>
      <c r="P33" s="126"/>
      <c r="Q33" s="126"/>
      <c r="R33" s="127">
        <f>'1. Standard_Cost'!$B$15*N33*P33</f>
        <v>0</v>
      </c>
      <c r="S33" s="127">
        <f>N33*O33*P33*'1. Standard_Cost'!$C$15</f>
        <v>0</v>
      </c>
      <c r="T33" s="127">
        <f>N33*P33*Q33*'1. Standard_Cost'!$D$15</f>
        <v>0</v>
      </c>
      <c r="U33" s="127">
        <f>N33*O33*'1. Standard_Cost'!$E$15</f>
        <v>0</v>
      </c>
      <c r="V33" s="126"/>
      <c r="W33" s="126"/>
      <c r="X33" s="126"/>
      <c r="Y33" s="127">
        <f>+V33*((X33*'1. Standard_Cost'!$B$19)+(W33*X33*'1. Standard_Cost'!$C$19))</f>
        <v>0</v>
      </c>
      <c r="Z33" s="126"/>
      <c r="AA33" s="126"/>
      <c r="AB33" s="127">
        <f>+Z33*'1. Standard_Cost'!$B$23+AA33*'1. Standard_Cost'!$C$23</f>
        <v>0</v>
      </c>
      <c r="AC33" s="128"/>
      <c r="AD33" s="129"/>
      <c r="AE33" s="127">
        <f>SUM(AD33,AC33,AB33,Y33,U33,T33,S33,R33)*'1. Standard_Cost'!$B$31</f>
        <v>0</v>
      </c>
      <c r="AF33" s="127">
        <f t="shared" si="19"/>
        <v>0</v>
      </c>
      <c r="AG33" s="126"/>
      <c r="AH33" s="126"/>
      <c r="AI33" s="126"/>
      <c r="AJ33" s="130"/>
      <c r="AK33" s="130"/>
      <c r="AL33" s="130"/>
      <c r="AM33" s="127">
        <f>AG33*'1. Standard_Cost'!$B$27+'Incremental_Cost Year 6'!AH33*'1. Standard_Cost'!$C$27+'Incremental_Cost Year 6'!AI33*'1. Standard_Cost'!$D$27+'Incremental_Cost Year 6'!AJ33+'Incremental_Cost Year 6'!AL33+AK33</f>
        <v>0</v>
      </c>
      <c r="AN33" s="127">
        <f>AM33*'1. Standard_Cost'!$C$31</f>
        <v>0</v>
      </c>
      <c r="AO33" s="130"/>
      <c r="AQ33" s="171">
        <f t="shared" si="20"/>
        <v>0</v>
      </c>
      <c r="AR33" s="171">
        <f t="shared" si="21"/>
        <v>0</v>
      </c>
      <c r="AS33" s="171">
        <f t="shared" si="22"/>
        <v>0</v>
      </c>
      <c r="AT33" s="171">
        <f t="shared" si="23"/>
        <v>0</v>
      </c>
      <c r="AU33" s="250"/>
      <c r="AV33" s="250"/>
      <c r="AW33" s="250"/>
      <c r="AX33" s="250"/>
      <c r="AY33" s="250"/>
      <c r="AZ33" s="250"/>
      <c r="BA33" s="250"/>
      <c r="BB33" s="251">
        <f t="shared" si="25"/>
        <v>0</v>
      </c>
      <c r="BC33" s="169"/>
      <c r="BD33" s="169"/>
      <c r="BE33" s="169"/>
      <c r="BF33" s="169"/>
    </row>
    <row r="34" spans="1:58" ht="110.25" outlineLevel="2" x14ac:dyDescent="0.25">
      <c r="A34" s="115"/>
      <c r="B34" s="200"/>
      <c r="C34" s="201"/>
      <c r="D34" s="135"/>
      <c r="E34" s="219"/>
      <c r="F34" s="219"/>
      <c r="G34" s="313"/>
      <c r="H34" s="213" t="s">
        <v>390</v>
      </c>
      <c r="I34" s="130" t="s">
        <v>3</v>
      </c>
      <c r="J34" s="126">
        <v>12</v>
      </c>
      <c r="K34" s="126">
        <v>3</v>
      </c>
      <c r="L34" s="125">
        <f>IF(I34&lt;&gt;0,((VLOOKUP(I34,'1. Standard_Cost'!$B$4:$D$11,2)+VLOOKUP(I34,'1. Standard_Cost'!$B$4:$D$11,3))*J34*K34),"0")</f>
        <v>3628800</v>
      </c>
      <c r="M34" s="125">
        <f>L34*'1. Standard_Cost'!$F$4</f>
        <v>606009.59999999998</v>
      </c>
      <c r="N34" s="126"/>
      <c r="O34" s="126"/>
      <c r="P34" s="126"/>
      <c r="Q34" s="126"/>
      <c r="R34" s="127">
        <f>'1. Standard_Cost'!$B$15*N34*P34</f>
        <v>0</v>
      </c>
      <c r="S34" s="127">
        <f>N34*O34*P34*'1. Standard_Cost'!$C$15</f>
        <v>0</v>
      </c>
      <c r="T34" s="127">
        <f>N34*P34*Q34*'1. Standard_Cost'!$D$15</f>
        <v>0</v>
      </c>
      <c r="U34" s="127">
        <f>N34*O34*'1. Standard_Cost'!$E$15</f>
        <v>0</v>
      </c>
      <c r="V34" s="126"/>
      <c r="W34" s="126"/>
      <c r="X34" s="126"/>
      <c r="Y34" s="127">
        <f>+V34*((X34*'1. Standard_Cost'!$B$19)+(W34*X34*'1. Standard_Cost'!$C$19))</f>
        <v>0</v>
      </c>
      <c r="Z34" s="126"/>
      <c r="AA34" s="126"/>
      <c r="AB34" s="127">
        <f>+Z34*'1. Standard_Cost'!$B$23+AA34*'1. Standard_Cost'!$C$23</f>
        <v>0</v>
      </c>
      <c r="AC34" s="128">
        <v>1000000</v>
      </c>
      <c r="AD34" s="129"/>
      <c r="AE34" s="127">
        <f>SUM(AD34,AC34,AB34,Y34,U34,T34,S34,R34)*'1. Standard_Cost'!$B$31</f>
        <v>200000</v>
      </c>
      <c r="AF34" s="127">
        <f t="shared" si="19"/>
        <v>1200000</v>
      </c>
      <c r="AG34" s="126"/>
      <c r="AH34" s="126"/>
      <c r="AI34" s="126"/>
      <c r="AJ34" s="130"/>
      <c r="AK34" s="130"/>
      <c r="AL34" s="130"/>
      <c r="AM34" s="127">
        <f>AG34*'1. Standard_Cost'!$B$27+'Incremental_Cost Year 6'!AH34*'1. Standard_Cost'!$C$27+'Incremental_Cost Year 6'!AI34*'1. Standard_Cost'!$D$27+'Incremental_Cost Year 6'!AJ34+'Incremental_Cost Year 6'!AL34+AK34</f>
        <v>0</v>
      </c>
      <c r="AN34" s="127">
        <f>AM34*'1. Standard_Cost'!$C$31</f>
        <v>0</v>
      </c>
      <c r="AO34" s="130"/>
      <c r="AQ34" s="171">
        <f t="shared" si="20"/>
        <v>4234809.5999999996</v>
      </c>
      <c r="AR34" s="171">
        <f t="shared" si="21"/>
        <v>1200000</v>
      </c>
      <c r="AS34" s="171">
        <f t="shared" si="22"/>
        <v>0</v>
      </c>
      <c r="AT34" s="171">
        <f t="shared" si="23"/>
        <v>5434809.5999999996</v>
      </c>
      <c r="AU34" s="250">
        <f>AT34</f>
        <v>5434809.5999999996</v>
      </c>
      <c r="AV34" s="250"/>
      <c r="AW34" s="250"/>
      <c r="AX34" s="250"/>
      <c r="AY34" s="250"/>
      <c r="AZ34" s="250"/>
      <c r="BA34" s="250"/>
      <c r="BB34" s="251">
        <f t="shared" si="25"/>
        <v>0</v>
      </c>
      <c r="BC34" s="169"/>
      <c r="BD34" s="169"/>
      <c r="BE34" s="169"/>
      <c r="BF34" s="169"/>
    </row>
    <row r="35" spans="1:58" ht="78.75" outlineLevel="2" x14ac:dyDescent="0.25">
      <c r="A35" s="115"/>
      <c r="B35" s="200"/>
      <c r="C35" s="201"/>
      <c r="D35" s="135"/>
      <c r="E35" s="219"/>
      <c r="F35" s="219"/>
      <c r="G35" s="313"/>
      <c r="H35" s="213" t="s">
        <v>391</v>
      </c>
      <c r="I35" s="130" t="s">
        <v>5</v>
      </c>
      <c r="J35" s="126">
        <v>1</v>
      </c>
      <c r="K35" s="126">
        <v>420</v>
      </c>
      <c r="L35" s="125">
        <f>IF(I35&lt;&gt;0,((VLOOKUP(I35,'1. Standard_Cost'!$B$4:$D$11,2)+VLOOKUP(I35,'1. Standard_Cost'!$B$4:$D$11,3))*J35*K35),"0")</f>
        <v>29694000</v>
      </c>
      <c r="M35" s="125">
        <f>L35*'1. Standard_Cost'!$F$4</f>
        <v>4958898</v>
      </c>
      <c r="N35" s="126"/>
      <c r="O35" s="126"/>
      <c r="P35" s="126"/>
      <c r="Q35" s="126"/>
      <c r="R35" s="127">
        <f>'1. Standard_Cost'!$B$15*N35*P35</f>
        <v>0</v>
      </c>
      <c r="S35" s="127">
        <f>N35*O35*P35*'1. Standard_Cost'!$C$15</f>
        <v>0</v>
      </c>
      <c r="T35" s="127">
        <f>N35*P35*Q35*'1. Standard_Cost'!$D$15</f>
        <v>0</v>
      </c>
      <c r="U35" s="127">
        <f>N35*O35*'1. Standard_Cost'!$E$15</f>
        <v>0</v>
      </c>
      <c r="V35" s="126"/>
      <c r="W35" s="126"/>
      <c r="X35" s="126"/>
      <c r="Y35" s="127">
        <f>+V35*((X35*'1. Standard_Cost'!$B$19)+(W35*X35*'1. Standard_Cost'!$C$19))</f>
        <v>0</v>
      </c>
      <c r="Z35" s="126"/>
      <c r="AA35" s="126"/>
      <c r="AB35" s="127">
        <f>+Z35*'1. Standard_Cost'!$B$23+AA35*'1. Standard_Cost'!$C$23</f>
        <v>0</v>
      </c>
      <c r="AC35" s="128"/>
      <c r="AD35" s="129"/>
      <c r="AE35" s="127">
        <f>SUM(AD35,AC35,AB35,Y35,U35,T35,S35,R35)*'1. Standard_Cost'!$B$31</f>
        <v>0</v>
      </c>
      <c r="AF35" s="127">
        <f t="shared" si="19"/>
        <v>0</v>
      </c>
      <c r="AG35" s="126"/>
      <c r="AH35" s="126"/>
      <c r="AI35" s="126"/>
      <c r="AJ35" s="130"/>
      <c r="AK35" s="130"/>
      <c r="AL35" s="130"/>
      <c r="AM35" s="127">
        <f>AG35*'1. Standard_Cost'!$B$27+'Incremental_Cost Year 6'!AH35*'1. Standard_Cost'!$C$27+'Incremental_Cost Year 6'!AI35*'1. Standard_Cost'!$D$27+'Incremental_Cost Year 6'!AJ35+'Incremental_Cost Year 6'!AL35+AK35</f>
        <v>0</v>
      </c>
      <c r="AN35" s="127">
        <f>AM35*'1. Standard_Cost'!$C$31</f>
        <v>0</v>
      </c>
      <c r="AO35" s="130"/>
      <c r="AQ35" s="171">
        <f t="shared" si="20"/>
        <v>34652898</v>
      </c>
      <c r="AR35" s="171">
        <f t="shared" si="21"/>
        <v>0</v>
      </c>
      <c r="AS35" s="171">
        <f t="shared" si="22"/>
        <v>0</v>
      </c>
      <c r="AT35" s="171">
        <f t="shared" si="23"/>
        <v>34652898</v>
      </c>
      <c r="AU35" s="250">
        <f>AT35</f>
        <v>34652898</v>
      </c>
      <c r="AV35" s="250"/>
      <c r="AW35" s="250"/>
      <c r="AX35" s="250"/>
      <c r="AY35" s="250"/>
      <c r="AZ35" s="250"/>
      <c r="BA35" s="250"/>
      <c r="BB35" s="251">
        <f t="shared" si="25"/>
        <v>0</v>
      </c>
      <c r="BC35" s="169"/>
      <c r="BD35" s="169"/>
      <c r="BE35" s="169"/>
      <c r="BF35" s="169"/>
    </row>
    <row r="36" spans="1:58" ht="78.75" outlineLevel="2" x14ac:dyDescent="0.25">
      <c r="A36" s="115"/>
      <c r="B36" s="200"/>
      <c r="C36" s="201"/>
      <c r="D36" s="223"/>
      <c r="E36" s="122"/>
      <c r="F36" s="122"/>
      <c r="G36" s="123"/>
      <c r="H36" s="213" t="s">
        <v>392</v>
      </c>
      <c r="I36" s="130" t="s">
        <v>4</v>
      </c>
      <c r="J36" s="126">
        <v>1</v>
      </c>
      <c r="K36" s="126">
        <v>36</v>
      </c>
      <c r="L36" s="125">
        <f>IF(I36&lt;&gt;0,((VLOOKUP(I36,'1. Standard_Cost'!$B$4:$D$11,2)+VLOOKUP(I36,'1. Standard_Cost'!$B$4:$D$11,3))*J36*K36),"0")</f>
        <v>2907000</v>
      </c>
      <c r="M36" s="125">
        <f>L36*'1. Standard_Cost'!$F$4</f>
        <v>485469</v>
      </c>
      <c r="N36" s="126"/>
      <c r="O36" s="126"/>
      <c r="P36" s="126"/>
      <c r="Q36" s="126"/>
      <c r="R36" s="127">
        <f>'1. Standard_Cost'!$B$15*N36*P36</f>
        <v>0</v>
      </c>
      <c r="S36" s="127">
        <f>N36*O36*P36*'1. Standard_Cost'!$C$15</f>
        <v>0</v>
      </c>
      <c r="T36" s="127">
        <f>N36*P36*Q36*'1. Standard_Cost'!$D$15</f>
        <v>0</v>
      </c>
      <c r="U36" s="127">
        <f>N36*O36*'1. Standard_Cost'!$E$15</f>
        <v>0</v>
      </c>
      <c r="V36" s="126"/>
      <c r="W36" s="126"/>
      <c r="X36" s="126"/>
      <c r="Y36" s="127">
        <f>+V36*((X36*'1. Standard_Cost'!$B$19)+(W36*X36*'1. Standard_Cost'!$C$19))</f>
        <v>0</v>
      </c>
      <c r="Z36" s="126"/>
      <c r="AA36" s="126"/>
      <c r="AB36" s="127">
        <f>+Z36*'1. Standard_Cost'!$B$23+AA36*'1. Standard_Cost'!$C$23</f>
        <v>0</v>
      </c>
      <c r="AC36" s="128"/>
      <c r="AD36" s="129"/>
      <c r="AE36" s="127">
        <f>SUM(AD36,AC36,AB36,Y36,U36,T36,S36,R36)*'1. Standard_Cost'!$B$31</f>
        <v>0</v>
      </c>
      <c r="AF36" s="127">
        <f t="shared" si="19"/>
        <v>0</v>
      </c>
      <c r="AG36" s="126"/>
      <c r="AH36" s="126"/>
      <c r="AI36" s="126"/>
      <c r="AJ36" s="130"/>
      <c r="AK36" s="130"/>
      <c r="AL36" s="130"/>
      <c r="AM36" s="127">
        <f>AG36*'1. Standard_Cost'!$B$27+'Incremental_Cost Year 6'!AH36*'1. Standard_Cost'!$C$27+'Incremental_Cost Year 6'!AI36*'1. Standard_Cost'!$D$27+'Incremental_Cost Year 6'!AJ36+'Incremental_Cost Year 6'!AL36+AK36</f>
        <v>0</v>
      </c>
      <c r="AN36" s="127">
        <f>AM36*'1. Standard_Cost'!$C$31</f>
        <v>0</v>
      </c>
      <c r="AO36" s="130"/>
      <c r="AQ36" s="171">
        <f t="shared" si="20"/>
        <v>3392469</v>
      </c>
      <c r="AR36" s="171">
        <f t="shared" si="21"/>
        <v>0</v>
      </c>
      <c r="AS36" s="171">
        <f t="shared" si="22"/>
        <v>0</v>
      </c>
      <c r="AT36" s="171">
        <f t="shared" si="23"/>
        <v>3392469</v>
      </c>
      <c r="AU36" s="250">
        <f>AT36</f>
        <v>3392469</v>
      </c>
      <c r="AV36" s="250"/>
      <c r="AW36" s="250"/>
      <c r="AX36" s="250"/>
      <c r="AY36" s="250"/>
      <c r="AZ36" s="250"/>
      <c r="BA36" s="250"/>
      <c r="BB36" s="251">
        <f t="shared" si="25"/>
        <v>0</v>
      </c>
      <c r="BC36" s="169"/>
      <c r="BD36" s="169"/>
      <c r="BE36" s="169"/>
      <c r="BF36" s="169"/>
    </row>
    <row r="37" spans="1:58" ht="63" outlineLevel="1" x14ac:dyDescent="0.25">
      <c r="A37" s="115"/>
      <c r="B37" s="165"/>
      <c r="C37" s="166"/>
      <c r="D37" s="150" t="s">
        <v>384</v>
      </c>
      <c r="E37" s="139" t="s">
        <v>200</v>
      </c>
      <c r="F37" s="222">
        <v>2021</v>
      </c>
      <c r="G37" s="117">
        <v>2030</v>
      </c>
      <c r="H37" s="134" t="s">
        <v>201</v>
      </c>
      <c r="I37" s="252"/>
      <c r="J37" s="252"/>
      <c r="K37" s="252"/>
      <c r="L37" s="127">
        <f>SUM(L30:L36)</f>
        <v>236674200</v>
      </c>
      <c r="M37" s="127">
        <f>SUM(M30:M36)</f>
        <v>39524591.399999999</v>
      </c>
      <c r="N37" s="127"/>
      <c r="O37" s="252"/>
      <c r="P37" s="252"/>
      <c r="Q37" s="252"/>
      <c r="R37" s="127">
        <f>SUM(R30:R36)</f>
        <v>0</v>
      </c>
      <c r="S37" s="127">
        <f>SUM(S30:S36)</f>
        <v>0</v>
      </c>
      <c r="T37" s="127">
        <f>SUM(T30:T36)</f>
        <v>0</v>
      </c>
      <c r="U37" s="127">
        <f>SUM(U30:U36)</f>
        <v>0</v>
      </c>
      <c r="V37" s="252"/>
      <c r="W37" s="252"/>
      <c r="X37" s="252"/>
      <c r="Y37" s="127">
        <f>SUM(Y30:Y36)</f>
        <v>0</v>
      </c>
      <c r="Z37" s="252"/>
      <c r="AA37" s="252"/>
      <c r="AB37" s="127">
        <f>SUM(AB30:AB36)</f>
        <v>0</v>
      </c>
      <c r="AC37" s="127">
        <f>SUM(AC30:AC36)</f>
        <v>1000000</v>
      </c>
      <c r="AD37" s="127">
        <f>SUM(AD30:AD36)</f>
        <v>0</v>
      </c>
      <c r="AE37" s="127">
        <f>SUM(AE30:AE36)</f>
        <v>200000</v>
      </c>
      <c r="AF37" s="127">
        <f>SUM(AF30:AF36)</f>
        <v>1200000</v>
      </c>
      <c r="AG37" s="252"/>
      <c r="AH37" s="252"/>
      <c r="AI37" s="252"/>
      <c r="AJ37" s="127">
        <f>SUM(AJ30:AJ36)</f>
        <v>0</v>
      </c>
      <c r="AK37" s="127">
        <f>SUM(AK30:AK36)</f>
        <v>0</v>
      </c>
      <c r="AL37" s="127">
        <f>SUM(AL30:AL36)</f>
        <v>0</v>
      </c>
      <c r="AM37" s="127">
        <f>SUM(AM30:AM36)</f>
        <v>0</v>
      </c>
      <c r="AN37" s="127">
        <f>SUM(AN30:AN36)</f>
        <v>0</v>
      </c>
      <c r="AO37" s="253"/>
      <c r="AP37" s="254"/>
      <c r="AQ37" s="175">
        <f>SUM(AQ30:AQ36)</f>
        <v>276198791.39999998</v>
      </c>
      <c r="AR37" s="175">
        <f>SUM(AR30:AR36)</f>
        <v>1200000</v>
      </c>
      <c r="AS37" s="175">
        <f>SUM(AS30:AS36)</f>
        <v>0</v>
      </c>
      <c r="AT37" s="175">
        <f>SUM(AT30:AT36)</f>
        <v>277398791.39999998</v>
      </c>
      <c r="AU37" s="175">
        <f t="shared" ref="AU37:BB37" si="26">SUM(AU30:AU36)</f>
        <v>277398791.39999998</v>
      </c>
      <c r="AV37" s="175">
        <f t="shared" si="26"/>
        <v>0</v>
      </c>
      <c r="AW37" s="175">
        <f t="shared" si="26"/>
        <v>0</v>
      </c>
      <c r="AX37" s="175">
        <f t="shared" si="26"/>
        <v>0</v>
      </c>
      <c r="AY37" s="175">
        <f t="shared" si="26"/>
        <v>0</v>
      </c>
      <c r="AZ37" s="175">
        <f t="shared" si="26"/>
        <v>0</v>
      </c>
      <c r="BA37" s="175">
        <f t="shared" si="26"/>
        <v>0</v>
      </c>
      <c r="BB37" s="175">
        <f t="shared" si="26"/>
        <v>0</v>
      </c>
      <c r="BC37" s="169"/>
      <c r="BD37" s="169"/>
      <c r="BE37" s="169"/>
      <c r="BF37" s="169"/>
    </row>
    <row r="38" spans="1:58" ht="63" outlineLevel="2" x14ac:dyDescent="0.25">
      <c r="A38" s="115"/>
      <c r="B38" s="200"/>
      <c r="C38" s="201"/>
      <c r="D38" s="224"/>
      <c r="E38" s="135" t="s">
        <v>393</v>
      </c>
      <c r="F38" s="302">
        <v>2021</v>
      </c>
      <c r="G38" s="302">
        <v>2023</v>
      </c>
      <c r="H38" s="199" t="s">
        <v>394</v>
      </c>
      <c r="I38" s="130"/>
      <c r="J38" s="126"/>
      <c r="K38" s="126"/>
      <c r="L38" s="125" t="str">
        <f>IF(I38&lt;&gt;0,((VLOOKUP(I38,'1. Standard_Cost'!$B$4:$D$11,2)+VLOOKUP(I38,'1. Standard_Cost'!$B$4:$D$11,3))*J38*K38),"0")</f>
        <v>0</v>
      </c>
      <c r="M38" s="125">
        <f>L38*'1. Standard_Cost'!$F$4</f>
        <v>0</v>
      </c>
      <c r="N38" s="126"/>
      <c r="O38" s="126"/>
      <c r="P38" s="126"/>
      <c r="Q38" s="126"/>
      <c r="R38" s="127">
        <f>'1. Standard_Cost'!$B$15*N38*P38</f>
        <v>0</v>
      </c>
      <c r="S38" s="127">
        <f>N38*O38*P38*'1. Standard_Cost'!$C$15</f>
        <v>0</v>
      </c>
      <c r="T38" s="127">
        <f>N38*P38*Q38*'1. Standard_Cost'!$D$15</f>
        <v>0</v>
      </c>
      <c r="U38" s="127">
        <f>N38*O38*'1. Standard_Cost'!$E$15</f>
        <v>0</v>
      </c>
      <c r="V38" s="126"/>
      <c r="W38" s="126"/>
      <c r="X38" s="126"/>
      <c r="Y38" s="127">
        <f>+V38*((X38*'1. Standard_Cost'!$B$19)+(W38*X38*'1. Standard_Cost'!$C$19))</f>
        <v>0</v>
      </c>
      <c r="Z38" s="126"/>
      <c r="AA38" s="126"/>
      <c r="AB38" s="127">
        <f>+Z38*'1. Standard_Cost'!$B$23+AA38*'1. Standard_Cost'!$C$23</f>
        <v>0</v>
      </c>
      <c r="AC38" s="128"/>
      <c r="AD38" s="129"/>
      <c r="AE38" s="127"/>
      <c r="AF38" s="127">
        <f>SUM(AE38,AD38,AC38,AB38,Y38,U38,T38,S38,R38)</f>
        <v>0</v>
      </c>
      <c r="AG38" s="126"/>
      <c r="AH38" s="126"/>
      <c r="AI38" s="126"/>
      <c r="AJ38" s="130"/>
      <c r="AK38" s="130"/>
      <c r="AL38" s="130"/>
      <c r="AM38" s="127">
        <f>AG38*'1. Standard_Cost'!$B$27+'Incremental_Cost Year 6'!AH38*'1. Standard_Cost'!$C$27+'Incremental_Cost Year 6'!AI38*'1. Standard_Cost'!$D$27+'Incremental_Cost Year 6'!AJ38+'Incremental_Cost Year 6'!AL38+AK38</f>
        <v>0</v>
      </c>
      <c r="AN38" s="127">
        <f>AM38*'1. Standard_Cost'!$C$31</f>
        <v>0</v>
      </c>
      <c r="AO38" s="249"/>
      <c r="AQ38" s="171">
        <f>L38+M38</f>
        <v>0</v>
      </c>
      <c r="AR38" s="171">
        <f>AF38</f>
        <v>0</v>
      </c>
      <c r="AS38" s="171">
        <f>AM38+AN38</f>
        <v>0</v>
      </c>
      <c r="AT38" s="171">
        <f>SUM(AQ38,AR38,AS38)</f>
        <v>0</v>
      </c>
      <c r="AU38" s="250">
        <f>AT38</f>
        <v>0</v>
      </c>
      <c r="AV38" s="250"/>
      <c r="AW38" s="250"/>
      <c r="AX38" s="250"/>
      <c r="AY38" s="250"/>
      <c r="AZ38" s="250"/>
      <c r="BA38" s="250"/>
      <c r="BB38" s="251">
        <f t="shared" ref="BB38" si="27">SUM(AU38:BA38)-AT38</f>
        <v>0</v>
      </c>
      <c r="BC38" s="169"/>
      <c r="BD38" s="169"/>
      <c r="BE38" s="169"/>
      <c r="BF38" s="169"/>
    </row>
    <row r="39" spans="1:58" ht="31.5" outlineLevel="1" x14ac:dyDescent="0.25">
      <c r="A39" s="115"/>
      <c r="B39" s="303"/>
      <c r="C39" s="304"/>
      <c r="D39" s="107" t="s">
        <v>388</v>
      </c>
      <c r="E39" s="139" t="s">
        <v>202</v>
      </c>
      <c r="F39" s="122">
        <v>2021</v>
      </c>
      <c r="G39" s="223">
        <v>2030</v>
      </c>
      <c r="H39" s="134" t="s">
        <v>203</v>
      </c>
      <c r="I39" s="252"/>
      <c r="J39" s="252"/>
      <c r="K39" s="252"/>
      <c r="L39" s="127">
        <f>SUM(L38:L38)</f>
        <v>0</v>
      </c>
      <c r="M39" s="127">
        <f>SUM(M38:M38)</f>
        <v>0</v>
      </c>
      <c r="N39" s="127"/>
      <c r="O39" s="252"/>
      <c r="P39" s="252"/>
      <c r="Q39" s="252"/>
      <c r="R39" s="127">
        <f>SUM(R38:R38)</f>
        <v>0</v>
      </c>
      <c r="S39" s="127">
        <f>SUM(S38:S38)</f>
        <v>0</v>
      </c>
      <c r="T39" s="127">
        <f>SUM(T38:T38)</f>
        <v>0</v>
      </c>
      <c r="U39" s="127">
        <f>SUM(U38:U38)</f>
        <v>0</v>
      </c>
      <c r="V39" s="252"/>
      <c r="W39" s="252"/>
      <c r="X39" s="252"/>
      <c r="Y39" s="127">
        <f>SUM(Y38:Y38)</f>
        <v>0</v>
      </c>
      <c r="Z39" s="252"/>
      <c r="AA39" s="252"/>
      <c r="AB39" s="127">
        <f>SUM(AB38:AB38)</f>
        <v>0</v>
      </c>
      <c r="AC39" s="127">
        <f>SUM(AC38:AC38)</f>
        <v>0</v>
      </c>
      <c r="AD39" s="127">
        <f>SUM(AD38:AD38)</f>
        <v>0</v>
      </c>
      <c r="AE39" s="127">
        <f>SUM(AE38:AE38)</f>
        <v>0</v>
      </c>
      <c r="AF39" s="127">
        <f>SUM(AF38:AF38)</f>
        <v>0</v>
      </c>
      <c r="AG39" s="252"/>
      <c r="AH39" s="252"/>
      <c r="AI39" s="252"/>
      <c r="AJ39" s="127">
        <f>SUM(AJ38:AJ38)</f>
        <v>0</v>
      </c>
      <c r="AK39" s="127">
        <f>SUM(AK38:AK38)</f>
        <v>0</v>
      </c>
      <c r="AL39" s="127">
        <f>SUM(AL38:AL38)</f>
        <v>0</v>
      </c>
      <c r="AM39" s="127">
        <f>SUM(AM38:AM38)</f>
        <v>0</v>
      </c>
      <c r="AN39" s="127">
        <f>SUM(AN38:AN38)</f>
        <v>0</v>
      </c>
      <c r="AO39" s="253"/>
      <c r="AP39" s="254"/>
      <c r="AQ39" s="175">
        <f>SUM(AQ38:AQ38)</f>
        <v>0</v>
      </c>
      <c r="AR39" s="175">
        <f>SUM(AR38:AR38)</f>
        <v>0</v>
      </c>
      <c r="AS39" s="175">
        <f>SUM(AS38:AS38)</f>
        <v>0</v>
      </c>
      <c r="AT39" s="175">
        <f>SUM(AT38:AT38)</f>
        <v>0</v>
      </c>
      <c r="AU39" s="175">
        <f t="shared" ref="AU39:BB39" si="28">SUM(AU38:AU38)</f>
        <v>0</v>
      </c>
      <c r="AV39" s="175">
        <f t="shared" si="28"/>
        <v>0</v>
      </c>
      <c r="AW39" s="175">
        <f t="shared" si="28"/>
        <v>0</v>
      </c>
      <c r="AX39" s="175">
        <f t="shared" si="28"/>
        <v>0</v>
      </c>
      <c r="AY39" s="175">
        <f t="shared" si="28"/>
        <v>0</v>
      </c>
      <c r="AZ39" s="175">
        <f t="shared" si="28"/>
        <v>0</v>
      </c>
      <c r="BA39" s="175">
        <f t="shared" si="28"/>
        <v>0</v>
      </c>
      <c r="BB39" s="175">
        <f t="shared" si="28"/>
        <v>0</v>
      </c>
      <c r="BC39" s="169"/>
      <c r="BD39" s="169"/>
      <c r="BE39" s="169"/>
      <c r="BF39" s="169"/>
    </row>
    <row r="40" spans="1:58" s="170" customFormat="1" ht="15.75" customHeight="1" x14ac:dyDescent="0.25">
      <c r="A40" s="120"/>
      <c r="B40" s="290"/>
      <c r="C40" s="391" t="s">
        <v>204</v>
      </c>
      <c r="D40" s="391"/>
      <c r="E40" s="392"/>
      <c r="F40" s="289"/>
      <c r="G40" s="288"/>
      <c r="H40" s="114" t="s">
        <v>207</v>
      </c>
      <c r="I40" s="246"/>
      <c r="J40" s="246"/>
      <c r="K40" s="246"/>
      <c r="L40" s="247">
        <f>SUM(L44)</f>
        <v>201875</v>
      </c>
      <c r="M40" s="247">
        <f>SUM(M44)</f>
        <v>33713.125</v>
      </c>
      <c r="N40" s="247"/>
      <c r="O40" s="247"/>
      <c r="P40" s="247"/>
      <c r="Q40" s="247"/>
      <c r="R40" s="247">
        <f>SUM(R44)</f>
        <v>500000</v>
      </c>
      <c r="S40" s="247">
        <f>SUM(S44)</f>
        <v>375000</v>
      </c>
      <c r="T40" s="247">
        <f>SUM(T44)</f>
        <v>0</v>
      </c>
      <c r="U40" s="247">
        <f>SUM(U44)</f>
        <v>400000</v>
      </c>
      <c r="V40" s="247"/>
      <c r="W40" s="247"/>
      <c r="X40" s="247"/>
      <c r="Y40" s="247">
        <f>SUM(Y44)</f>
        <v>0</v>
      </c>
      <c r="Z40" s="247">
        <f t="shared" ref="Z40:AA40" si="29">SUM(Z44)</f>
        <v>0</v>
      </c>
      <c r="AA40" s="247">
        <f t="shared" si="29"/>
        <v>0</v>
      </c>
      <c r="AB40" s="247">
        <f t="shared" ref="AB40:AF40" si="30">SUM(AB44)</f>
        <v>228000</v>
      </c>
      <c r="AC40" s="247">
        <f t="shared" si="30"/>
        <v>825000</v>
      </c>
      <c r="AD40" s="247">
        <f t="shared" si="30"/>
        <v>0</v>
      </c>
      <c r="AE40" s="247">
        <f t="shared" si="30"/>
        <v>465600</v>
      </c>
      <c r="AF40" s="247">
        <f t="shared" si="30"/>
        <v>2793600</v>
      </c>
      <c r="AG40" s="247"/>
      <c r="AH40" s="247"/>
      <c r="AI40" s="247"/>
      <c r="AJ40" s="247">
        <f>SUM(AJ44)</f>
        <v>0</v>
      </c>
      <c r="AK40" s="247">
        <f>SUM(AK44)</f>
        <v>0</v>
      </c>
      <c r="AL40" s="247">
        <f>SUM(AL44)</f>
        <v>0</v>
      </c>
      <c r="AM40" s="247">
        <f>SUM(AM44)</f>
        <v>0</v>
      </c>
      <c r="AN40" s="247">
        <f>SUM(AN44)</f>
        <v>0</v>
      </c>
      <c r="AO40" s="247"/>
      <c r="AP40" s="244"/>
      <c r="AQ40" s="248">
        <f>SUM(AQ44)</f>
        <v>235588.125</v>
      </c>
      <c r="AR40" s="248">
        <f>SUM(AR44)</f>
        <v>2793600</v>
      </c>
      <c r="AS40" s="248">
        <f>SUM(AS44)</f>
        <v>0</v>
      </c>
      <c r="AT40" s="248">
        <f>SUM(AT44)</f>
        <v>3029188.125</v>
      </c>
      <c r="AU40" s="248">
        <f t="shared" ref="AU40:BB40" si="31">SUM(AU44)</f>
        <v>235588.125</v>
      </c>
      <c r="AV40" s="248">
        <f t="shared" si="31"/>
        <v>0</v>
      </c>
      <c r="AW40" s="248">
        <f t="shared" si="31"/>
        <v>0</v>
      </c>
      <c r="AX40" s="248">
        <f t="shared" si="31"/>
        <v>0</v>
      </c>
      <c r="AY40" s="248">
        <f t="shared" si="31"/>
        <v>0</v>
      </c>
      <c r="AZ40" s="248">
        <f t="shared" si="31"/>
        <v>0</v>
      </c>
      <c r="BA40" s="248">
        <f t="shared" si="31"/>
        <v>0</v>
      </c>
      <c r="BB40" s="248">
        <f t="shared" si="31"/>
        <v>-2793600</v>
      </c>
    </row>
    <row r="41" spans="1:58" ht="94.5" outlineLevel="2" x14ac:dyDescent="0.25">
      <c r="A41" s="115"/>
      <c r="B41" s="200"/>
      <c r="C41" s="201"/>
      <c r="D41" s="138"/>
      <c r="E41" s="295"/>
      <c r="F41" s="295"/>
      <c r="G41" s="296"/>
      <c r="H41" s="213" t="s">
        <v>395</v>
      </c>
      <c r="I41" s="130"/>
      <c r="J41" s="126"/>
      <c r="K41" s="126"/>
      <c r="L41" s="125" t="str">
        <f>IF(I41&lt;&gt;0,((VLOOKUP(I41,'1. Standard_Cost'!$B$4:$D$11,2)+VLOOKUP(I41,'1. Standard_Cost'!$B$4:$D$11,3))*J41*K41),"0")</f>
        <v>0</v>
      </c>
      <c r="M41" s="125">
        <f>L41*'1. Standard_Cost'!$F$4</f>
        <v>0</v>
      </c>
      <c r="N41" s="126"/>
      <c r="O41" s="126"/>
      <c r="P41" s="126"/>
      <c r="Q41" s="126"/>
      <c r="R41" s="127">
        <f>'1. Standard_Cost'!$B$15*N41*P41</f>
        <v>0</v>
      </c>
      <c r="S41" s="127">
        <f>N41*O41*P41*'1. Standard_Cost'!$C$15</f>
        <v>0</v>
      </c>
      <c r="T41" s="127">
        <f>N41*P41*Q41*'1. Standard_Cost'!$D$15</f>
        <v>0</v>
      </c>
      <c r="U41" s="127">
        <f>N41*O41*'1. Standard_Cost'!$E$15</f>
        <v>0</v>
      </c>
      <c r="V41" s="126"/>
      <c r="W41" s="126"/>
      <c r="X41" s="126"/>
      <c r="Y41" s="127">
        <f>+V41*((X41*'1. Standard_Cost'!$B$19)+(W41*X41*'1. Standard_Cost'!$C$19))</f>
        <v>0</v>
      </c>
      <c r="Z41" s="126"/>
      <c r="AA41" s="126"/>
      <c r="AB41" s="127">
        <f>+Z41*'1. Standard_Cost'!$B$23+AA41*'1. Standard_Cost'!$C$23</f>
        <v>0</v>
      </c>
      <c r="AC41" s="128">
        <v>0</v>
      </c>
      <c r="AD41" s="129"/>
      <c r="AE41" s="127"/>
      <c r="AF41" s="127">
        <f>SUM(AE41,AD41,AC41,AB41,Y41,U41,T41,S41,R41)</f>
        <v>0</v>
      </c>
      <c r="AG41" s="126"/>
      <c r="AH41" s="126"/>
      <c r="AI41" s="126"/>
      <c r="AJ41" s="130"/>
      <c r="AK41" s="130"/>
      <c r="AL41" s="130"/>
      <c r="AM41" s="127">
        <f>AG41*'1. Standard_Cost'!$B$27+'Incremental_Cost Year 6'!AH41*'1. Standard_Cost'!$C$27+'Incremental_Cost Year 6'!AI41*'1. Standard_Cost'!$D$27+'Incremental_Cost Year 6'!AJ41+'Incremental_Cost Year 6'!AL41+AK41</f>
        <v>0</v>
      </c>
      <c r="AN41" s="127">
        <f>AM41*'1. Standard_Cost'!$C$31</f>
        <v>0</v>
      </c>
      <c r="AO41" s="249"/>
      <c r="AQ41" s="171">
        <f>L41+M41</f>
        <v>0</v>
      </c>
      <c r="AR41" s="171">
        <f>AF41</f>
        <v>0</v>
      </c>
      <c r="AS41" s="171">
        <f>AM41+AN41</f>
        <v>0</v>
      </c>
      <c r="AT41" s="171">
        <f>SUM(AQ41,AR41,AS41)</f>
        <v>0</v>
      </c>
      <c r="AU41" s="250">
        <f>AQ41</f>
        <v>0</v>
      </c>
      <c r="AV41" s="250"/>
      <c r="AW41" s="250"/>
      <c r="AX41" s="250">
        <v>0</v>
      </c>
      <c r="AY41" s="250"/>
      <c r="AZ41" s="250">
        <f>AT41</f>
        <v>0</v>
      </c>
      <c r="BA41" s="250"/>
      <c r="BB41" s="251">
        <f t="shared" ref="BB41:BB43" si="32">SUM(AU41:BA41)-AT41</f>
        <v>0</v>
      </c>
      <c r="BC41" s="169"/>
      <c r="BD41" s="169"/>
      <c r="BE41" s="169"/>
      <c r="BF41" s="169"/>
    </row>
    <row r="42" spans="1:58" ht="157.5" outlineLevel="2" x14ac:dyDescent="0.25">
      <c r="A42" s="115"/>
      <c r="B42" s="200"/>
      <c r="C42" s="201"/>
      <c r="D42" s="135"/>
      <c r="E42" s="219"/>
      <c r="F42" s="219"/>
      <c r="G42" s="313"/>
      <c r="H42" s="213" t="s">
        <v>538</v>
      </c>
      <c r="I42" s="130" t="s">
        <v>4</v>
      </c>
      <c r="J42" s="126">
        <v>0.5</v>
      </c>
      <c r="K42" s="126">
        <v>5</v>
      </c>
      <c r="L42" s="125">
        <f>IF(I42&lt;&gt;0,((VLOOKUP(I42,'1. Standard_Cost'!$B$4:$D$11,2)+VLOOKUP(I42,'1. Standard_Cost'!$B$4:$D$11,3))*J42*K42),"0")</f>
        <v>201875</v>
      </c>
      <c r="M42" s="125">
        <f>L42*'1. Standard_Cost'!$F$4</f>
        <v>33713.125</v>
      </c>
      <c r="N42" s="126">
        <v>10</v>
      </c>
      <c r="O42" s="126">
        <v>1</v>
      </c>
      <c r="P42" s="126">
        <v>25</v>
      </c>
      <c r="Q42" s="126"/>
      <c r="R42" s="127">
        <f>'1. Standard_Cost'!$B$15*N42*P42</f>
        <v>500000</v>
      </c>
      <c r="S42" s="127">
        <f>N42*O42*P42*'1. Standard_Cost'!$C$15</f>
        <v>375000</v>
      </c>
      <c r="T42" s="127">
        <f>N42*P42*Q42*'1. Standard_Cost'!$D$15</f>
        <v>0</v>
      </c>
      <c r="U42" s="127">
        <f>N42*O42*'1. Standard_Cost'!$E$15</f>
        <v>400000</v>
      </c>
      <c r="V42" s="126"/>
      <c r="W42" s="126"/>
      <c r="X42" s="126"/>
      <c r="Y42" s="127">
        <f>+V42*((X42*'1. Standard_Cost'!$B$19)+(W42*X42*'1. Standard_Cost'!$C$19))</f>
        <v>0</v>
      </c>
      <c r="Z42" s="126"/>
      <c r="AA42" s="126">
        <v>12</v>
      </c>
      <c r="AB42" s="127">
        <f>+Z42*'1. Standard_Cost'!$B$23+AA42*'1. Standard_Cost'!$C$23</f>
        <v>228000</v>
      </c>
      <c r="AC42" s="128">
        <f>250*300+250*3000</f>
        <v>825000</v>
      </c>
      <c r="AD42" s="129"/>
      <c r="AE42" s="127">
        <f>SUM(AD42,AC42,AB42,Y42,U42,T42,S42,R42)*'1. Standard_Cost'!$B$31</f>
        <v>465600</v>
      </c>
      <c r="AF42" s="127">
        <f>SUM(AE42,AD42,AC42,AB42,Y42,U42,T42,S42,R42)</f>
        <v>2793600</v>
      </c>
      <c r="AG42" s="126"/>
      <c r="AH42" s="126"/>
      <c r="AI42" s="126"/>
      <c r="AJ42" s="130"/>
      <c r="AK42" s="130"/>
      <c r="AL42" s="130"/>
      <c r="AM42" s="127">
        <f>AG42*'1. Standard_Cost'!$B$27+'Incremental_Cost Year 6'!AH42*'1. Standard_Cost'!$C$27+'Incremental_Cost Year 6'!AI42*'1. Standard_Cost'!$D$27+'Incremental_Cost Year 6'!AJ42+'Incremental_Cost Year 6'!AL42+AK42</f>
        <v>0</v>
      </c>
      <c r="AN42" s="127">
        <f>AM42*'1. Standard_Cost'!$C$31</f>
        <v>0</v>
      </c>
      <c r="AO42" s="130"/>
      <c r="AQ42" s="171">
        <f>L42+M42</f>
        <v>235588.125</v>
      </c>
      <c r="AR42" s="171">
        <f>AF42</f>
        <v>2793600</v>
      </c>
      <c r="AS42" s="171">
        <f>AM42+AN42</f>
        <v>0</v>
      </c>
      <c r="AT42" s="171">
        <f>SUM(AQ42,AR42,AS42)</f>
        <v>3029188.125</v>
      </c>
      <c r="AU42" s="250">
        <f>AQ42</f>
        <v>235588.125</v>
      </c>
      <c r="AV42" s="250"/>
      <c r="AW42" s="250"/>
      <c r="AX42" s="250"/>
      <c r="AY42" s="250"/>
      <c r="AZ42" s="250"/>
      <c r="BA42" s="250"/>
      <c r="BB42" s="251">
        <f t="shared" si="32"/>
        <v>-2793600</v>
      </c>
      <c r="BC42" s="169"/>
      <c r="BD42" s="169"/>
      <c r="BE42" s="169"/>
      <c r="BF42" s="169"/>
    </row>
    <row r="43" spans="1:58" ht="47.25" outlineLevel="2" x14ac:dyDescent="0.25">
      <c r="A43" s="115"/>
      <c r="B43" s="200"/>
      <c r="C43" s="201"/>
      <c r="D43" s="223"/>
      <c r="E43" s="219"/>
      <c r="F43" s="219"/>
      <c r="G43" s="313"/>
      <c r="H43" s="199" t="s">
        <v>223</v>
      </c>
      <c r="I43" s="130"/>
      <c r="J43" s="126"/>
      <c r="K43" s="126"/>
      <c r="L43" s="125" t="str">
        <f>IF(I43&lt;&gt;0,((VLOOKUP(I43,'1. Standard_Cost'!$B$4:$D$11,2)+VLOOKUP(I43,'1. Standard_Cost'!$B$4:$D$11,3))*J43*K43),"0")</f>
        <v>0</v>
      </c>
      <c r="M43" s="125">
        <f>L43*'1. Standard_Cost'!$F$4</f>
        <v>0</v>
      </c>
      <c r="N43" s="126"/>
      <c r="O43" s="126"/>
      <c r="P43" s="126"/>
      <c r="Q43" s="126"/>
      <c r="R43" s="127">
        <f>'1. Standard_Cost'!$B$15*N43*P43</f>
        <v>0</v>
      </c>
      <c r="S43" s="127">
        <f>N43*O43*P43*'1. Standard_Cost'!$C$15</f>
        <v>0</v>
      </c>
      <c r="T43" s="127">
        <f>N43*P43*Q43*'1. Standard_Cost'!$D$15</f>
        <v>0</v>
      </c>
      <c r="U43" s="127">
        <f>N43*O43*'1. Standard_Cost'!$E$15</f>
        <v>0</v>
      </c>
      <c r="V43" s="126"/>
      <c r="W43" s="126"/>
      <c r="X43" s="126"/>
      <c r="Y43" s="127">
        <f>+V43*((X43*'1. Standard_Cost'!$B$19)+(W43*X43*'1. Standard_Cost'!$C$19))</f>
        <v>0</v>
      </c>
      <c r="Z43" s="126"/>
      <c r="AA43" s="126"/>
      <c r="AB43" s="127">
        <f>+Z43*'1. Standard_Cost'!$B$23+AA43*'1. Standard_Cost'!$C$23</f>
        <v>0</v>
      </c>
      <c r="AC43" s="128"/>
      <c r="AD43" s="129"/>
      <c r="AE43" s="127">
        <v>0</v>
      </c>
      <c r="AF43" s="127">
        <f>SUM(AE43,AD43,AC43,AB43,Y43,U43,T43,S43,R43)</f>
        <v>0</v>
      </c>
      <c r="AG43" s="126"/>
      <c r="AH43" s="126"/>
      <c r="AI43" s="126"/>
      <c r="AJ43" s="130"/>
      <c r="AK43" s="130"/>
      <c r="AL43" s="130"/>
      <c r="AM43" s="127">
        <f>AG43*'1. Standard_Cost'!$B$27+'Incremental_Cost Year 6'!AH43*'1. Standard_Cost'!$C$27+'Incremental_Cost Year 6'!AI43*'1. Standard_Cost'!$D$27+'Incremental_Cost Year 6'!AJ43+'Incremental_Cost Year 6'!AL43+AK43</f>
        <v>0</v>
      </c>
      <c r="AN43" s="127">
        <f>AM43*'1. Standard_Cost'!$C$31</f>
        <v>0</v>
      </c>
      <c r="AO43" s="130"/>
      <c r="AQ43" s="171">
        <f>L43+M43</f>
        <v>0</v>
      </c>
      <c r="AR43" s="171">
        <f>AF43</f>
        <v>0</v>
      </c>
      <c r="AS43" s="171">
        <f>AM43+AN43</f>
        <v>0</v>
      </c>
      <c r="AT43" s="171">
        <f>SUM(AQ43,AR43,AS43)</f>
        <v>0</v>
      </c>
      <c r="AU43" s="250"/>
      <c r="AV43" s="250"/>
      <c r="AW43" s="250"/>
      <c r="AX43" s="250"/>
      <c r="AY43" s="250"/>
      <c r="AZ43" s="250"/>
      <c r="BA43" s="250"/>
      <c r="BB43" s="251">
        <f t="shared" si="32"/>
        <v>0</v>
      </c>
      <c r="BC43" s="169"/>
      <c r="BD43" s="169"/>
      <c r="BE43" s="169"/>
      <c r="BF43" s="169"/>
    </row>
    <row r="44" spans="1:58" ht="63" outlineLevel="1" x14ac:dyDescent="0.25">
      <c r="A44" s="115"/>
      <c r="B44" s="165"/>
      <c r="C44" s="166"/>
      <c r="D44" s="150" t="s">
        <v>396</v>
      </c>
      <c r="E44" s="139" t="s">
        <v>205</v>
      </c>
      <c r="F44" s="222">
        <v>2022</v>
      </c>
      <c r="G44" s="117">
        <v>2030</v>
      </c>
      <c r="H44" s="134" t="s">
        <v>206</v>
      </c>
      <c r="I44" s="252"/>
      <c r="J44" s="252"/>
      <c r="K44" s="252"/>
      <c r="L44" s="127">
        <f>SUM(L41:L43)</f>
        <v>201875</v>
      </c>
      <c r="M44" s="127">
        <f>SUM(M41:M43)</f>
        <v>33713.125</v>
      </c>
      <c r="N44" s="127"/>
      <c r="O44" s="252"/>
      <c r="P44" s="252"/>
      <c r="Q44" s="252"/>
      <c r="R44" s="127">
        <f>SUM(R41:R43)</f>
        <v>500000</v>
      </c>
      <c r="S44" s="127">
        <f>SUM(S41:S43)</f>
        <v>375000</v>
      </c>
      <c r="T44" s="127">
        <f>SUM(T41:T43)</f>
        <v>0</v>
      </c>
      <c r="U44" s="127">
        <f>SUM(U41:U43)</f>
        <v>400000</v>
      </c>
      <c r="V44" s="252"/>
      <c r="W44" s="252"/>
      <c r="X44" s="252"/>
      <c r="Y44" s="127">
        <f>SUM(Y41:Y43)</f>
        <v>0</v>
      </c>
      <c r="Z44" s="252"/>
      <c r="AA44" s="252"/>
      <c r="AB44" s="127">
        <f>SUM(AB41:AB43)</f>
        <v>228000</v>
      </c>
      <c r="AC44" s="127">
        <f>SUM(AC41:AC43)</f>
        <v>825000</v>
      </c>
      <c r="AD44" s="127">
        <f>SUM(AD41:AD43)</f>
        <v>0</v>
      </c>
      <c r="AE44" s="127">
        <f>SUM(AE41:AE43)</f>
        <v>465600</v>
      </c>
      <c r="AF44" s="127">
        <f>SUM(AF41:AF43)</f>
        <v>2793600</v>
      </c>
      <c r="AG44" s="252"/>
      <c r="AH44" s="252"/>
      <c r="AI44" s="252"/>
      <c r="AJ44" s="127">
        <f>SUM(AJ41:AJ43)</f>
        <v>0</v>
      </c>
      <c r="AK44" s="127">
        <f>SUM(AK41:AK43)</f>
        <v>0</v>
      </c>
      <c r="AL44" s="127">
        <f>SUM(AL41:AL43)</f>
        <v>0</v>
      </c>
      <c r="AM44" s="127">
        <f>SUM(AM41:AM43)</f>
        <v>0</v>
      </c>
      <c r="AN44" s="127">
        <f>SUM(AN41:AN43)</f>
        <v>0</v>
      </c>
      <c r="AO44" s="253"/>
      <c r="AP44" s="254"/>
      <c r="AQ44" s="175">
        <f>SUM(AQ41:AQ43)</f>
        <v>235588.125</v>
      </c>
      <c r="AR44" s="175">
        <f>SUM(AR41:AR43)</f>
        <v>2793600</v>
      </c>
      <c r="AS44" s="175">
        <f>SUM(AS41:AS43)</f>
        <v>0</v>
      </c>
      <c r="AT44" s="175">
        <f>SUM(AT41:AT43)</f>
        <v>3029188.125</v>
      </c>
      <c r="AU44" s="175">
        <f t="shared" ref="AU44:BB44" si="33">SUM(AU41:AU43)</f>
        <v>235588.125</v>
      </c>
      <c r="AV44" s="175">
        <f t="shared" si="33"/>
        <v>0</v>
      </c>
      <c r="AW44" s="175">
        <f t="shared" si="33"/>
        <v>0</v>
      </c>
      <c r="AX44" s="175">
        <f t="shared" si="33"/>
        <v>0</v>
      </c>
      <c r="AY44" s="175">
        <f t="shared" si="33"/>
        <v>0</v>
      </c>
      <c r="AZ44" s="175">
        <f t="shared" si="33"/>
        <v>0</v>
      </c>
      <c r="BA44" s="175">
        <f t="shared" si="33"/>
        <v>0</v>
      </c>
      <c r="BB44" s="175">
        <f t="shared" si="33"/>
        <v>-2793600</v>
      </c>
      <c r="BC44" s="169"/>
      <c r="BD44" s="169"/>
      <c r="BE44" s="169"/>
      <c r="BF44" s="169"/>
    </row>
    <row r="45" spans="1:58" s="170" customFormat="1" ht="15.75" customHeight="1" x14ac:dyDescent="0.25">
      <c r="A45" s="120"/>
      <c r="B45" s="290"/>
      <c r="C45" s="391" t="s">
        <v>210</v>
      </c>
      <c r="D45" s="391"/>
      <c r="E45" s="392"/>
      <c r="F45" s="289"/>
      <c r="G45" s="288"/>
      <c r="H45" s="114" t="s">
        <v>213</v>
      </c>
      <c r="I45" s="246"/>
      <c r="J45" s="246"/>
      <c r="K45" s="246"/>
      <c r="L45" s="247">
        <f>SUM(L50+L56+L60)</f>
        <v>1075889568.5714285</v>
      </c>
      <c r="M45" s="247">
        <f>SUM(M50+M56+M60)</f>
        <v>179673557.95142856</v>
      </c>
      <c r="N45" s="247"/>
      <c r="O45" s="247"/>
      <c r="P45" s="247"/>
      <c r="Q45" s="247"/>
      <c r="R45" s="247">
        <f>SUM(R50+R56+R60)</f>
        <v>0</v>
      </c>
      <c r="S45" s="247">
        <f>SUM(S50+S56+S60)</f>
        <v>0</v>
      </c>
      <c r="T45" s="247">
        <f>SUM(T50+T56+T60)</f>
        <v>0</v>
      </c>
      <c r="U45" s="247">
        <f>SUM(U50+U56+U60)</f>
        <v>0</v>
      </c>
      <c r="V45" s="247"/>
      <c r="W45" s="247"/>
      <c r="X45" s="247"/>
      <c r="Y45" s="247">
        <f>SUM(Y50+Y56+Y60)</f>
        <v>0</v>
      </c>
      <c r="Z45" s="247">
        <f t="shared" ref="Z45:AA45" si="34">SUM(Z50+Z56+Z60)</f>
        <v>0</v>
      </c>
      <c r="AA45" s="247">
        <f t="shared" si="34"/>
        <v>0</v>
      </c>
      <c r="AB45" s="247">
        <f t="shared" ref="AB45:AF45" si="35">SUM(AB50+AB56+AB60)</f>
        <v>0</v>
      </c>
      <c r="AC45" s="247">
        <f t="shared" si="35"/>
        <v>10050000</v>
      </c>
      <c r="AD45" s="247">
        <f t="shared" si="35"/>
        <v>0</v>
      </c>
      <c r="AE45" s="247">
        <f t="shared" si="35"/>
        <v>2010000</v>
      </c>
      <c r="AF45" s="247">
        <f t="shared" si="35"/>
        <v>12060000</v>
      </c>
      <c r="AG45" s="247"/>
      <c r="AH45" s="247"/>
      <c r="AI45" s="247"/>
      <c r="AJ45" s="247">
        <f>SUM(AJ50+AJ56+AJ60)</f>
        <v>0</v>
      </c>
      <c r="AK45" s="247">
        <f>SUM(AK50+AK56+AK60)</f>
        <v>0</v>
      </c>
      <c r="AL45" s="247">
        <f>SUM(AL50+AL56+AL60)</f>
        <v>0</v>
      </c>
      <c r="AM45" s="247">
        <f>SUM(AM50+AM56+AM60)</f>
        <v>0</v>
      </c>
      <c r="AN45" s="247">
        <f>SUM(AN50+AN56+AN60)</f>
        <v>0</v>
      </c>
      <c r="AO45" s="247"/>
      <c r="AP45" s="244"/>
      <c r="AQ45" s="248">
        <f>SUM(AQ50+AQ56+AQ60)</f>
        <v>1255563126.522857</v>
      </c>
      <c r="AR45" s="248">
        <f>SUM(AR50+AR56+AR60)</f>
        <v>12060000</v>
      </c>
      <c r="AS45" s="248">
        <f>SUM(AS50+AS56+AS60)</f>
        <v>0</v>
      </c>
      <c r="AT45" s="248">
        <f>SUM(AT50+AT56+AT60)</f>
        <v>1267623126.522857</v>
      </c>
      <c r="AU45" s="248">
        <f t="shared" ref="AU45:BB45" si="36">SUM(AU50+AU56+AU60)</f>
        <v>1267623126.522857</v>
      </c>
      <c r="AV45" s="248">
        <f t="shared" si="36"/>
        <v>0</v>
      </c>
      <c r="AW45" s="248">
        <f t="shared" si="36"/>
        <v>0</v>
      </c>
      <c r="AX45" s="248">
        <f t="shared" si="36"/>
        <v>0</v>
      </c>
      <c r="AY45" s="248">
        <f t="shared" si="36"/>
        <v>0</v>
      </c>
      <c r="AZ45" s="248">
        <f t="shared" si="36"/>
        <v>0</v>
      </c>
      <c r="BA45" s="248">
        <f t="shared" si="36"/>
        <v>0</v>
      </c>
      <c r="BB45" s="248">
        <f t="shared" si="36"/>
        <v>0</v>
      </c>
    </row>
    <row r="46" spans="1:58" ht="78.75" outlineLevel="2" x14ac:dyDescent="0.25">
      <c r="A46" s="115"/>
      <c r="B46" s="200"/>
      <c r="C46" s="201"/>
      <c r="D46" s="138"/>
      <c r="E46" s="295"/>
      <c r="F46" s="295"/>
      <c r="G46" s="296"/>
      <c r="H46" s="199" t="s">
        <v>397</v>
      </c>
      <c r="I46" s="130"/>
      <c r="J46" s="126"/>
      <c r="K46" s="126"/>
      <c r="L46" s="125" t="str">
        <f>IF(I46&lt;&gt;0,((VLOOKUP(I46,'1. Standard_Cost'!$B$4:$D$11,2)+VLOOKUP(I46,'1. Standard_Cost'!$B$4:$D$11,3))*J46*K46),"0")</f>
        <v>0</v>
      </c>
      <c r="M46" s="125">
        <f>L46*'1. Standard_Cost'!$F$4</f>
        <v>0</v>
      </c>
      <c r="N46" s="126"/>
      <c r="O46" s="126"/>
      <c r="P46" s="126"/>
      <c r="Q46" s="126"/>
      <c r="R46" s="127">
        <f>'1. Standard_Cost'!$B$15*N46*P46</f>
        <v>0</v>
      </c>
      <c r="S46" s="127">
        <f>N46*O46*P46*'1. Standard_Cost'!$C$15</f>
        <v>0</v>
      </c>
      <c r="T46" s="127">
        <f>N46*P46*Q46*'1. Standard_Cost'!$D$15</f>
        <v>0</v>
      </c>
      <c r="U46" s="127">
        <f>N46*O46*'1. Standard_Cost'!$E$15</f>
        <v>0</v>
      </c>
      <c r="V46" s="126"/>
      <c r="W46" s="126"/>
      <c r="X46" s="126"/>
      <c r="Y46" s="127">
        <f>+V46*((X46*'1. Standard_Cost'!$B$19)+(W46*X46*'1. Standard_Cost'!$C$19))</f>
        <v>0</v>
      </c>
      <c r="Z46" s="126"/>
      <c r="AA46" s="126"/>
      <c r="AB46" s="127">
        <f>+Z46*'1. Standard_Cost'!$B$23+AA46*'1. Standard_Cost'!$C$23</f>
        <v>0</v>
      </c>
      <c r="AC46" s="128"/>
      <c r="AD46" s="129"/>
      <c r="AE46" s="127">
        <f>SUM(AD46,AC46,AB46,Y46,U46,T46,S46,R46)*'1. Standard_Cost'!$B$31</f>
        <v>0</v>
      </c>
      <c r="AF46" s="127">
        <f>SUM(AE46,AD46,AC46,AB46,Y46,U46,T46,S46,R46)</f>
        <v>0</v>
      </c>
      <c r="AG46" s="126"/>
      <c r="AH46" s="126"/>
      <c r="AI46" s="126"/>
      <c r="AJ46" s="130"/>
      <c r="AK46" s="130"/>
      <c r="AL46" s="130"/>
      <c r="AM46" s="127">
        <f>AG46*'1. Standard_Cost'!$B$27+'Incremental_Cost Year 6'!AH46*'1. Standard_Cost'!$C$27+'Incremental_Cost Year 6'!AI46*'1. Standard_Cost'!$D$27+'Incremental_Cost Year 6'!AJ46+'Incremental_Cost Year 6'!AL46+AK46</f>
        <v>0</v>
      </c>
      <c r="AN46" s="127">
        <f>AM46*'1. Standard_Cost'!$C$31</f>
        <v>0</v>
      </c>
      <c r="AO46" s="249"/>
      <c r="AQ46" s="171">
        <f>L46+M46</f>
        <v>0</v>
      </c>
      <c r="AR46" s="171">
        <f>AF46</f>
        <v>0</v>
      </c>
      <c r="AS46" s="171">
        <f>AM46+AN46</f>
        <v>0</v>
      </c>
      <c r="AT46" s="171">
        <f>SUM(AQ46,AR46,AS46)</f>
        <v>0</v>
      </c>
      <c r="AU46" s="250">
        <f>AQ46</f>
        <v>0</v>
      </c>
      <c r="AV46" s="250"/>
      <c r="AW46" s="250"/>
      <c r="AX46" s="250"/>
      <c r="AY46" s="250"/>
      <c r="AZ46" s="250"/>
      <c r="BA46" s="250"/>
      <c r="BB46" s="251">
        <f t="shared" ref="BB46:BB49" si="37">SUM(AU46:BA46)-AT46</f>
        <v>0</v>
      </c>
      <c r="BC46" s="169"/>
      <c r="BD46" s="169"/>
      <c r="BE46" s="169"/>
      <c r="BF46" s="169"/>
    </row>
    <row r="47" spans="1:58" ht="47.25" outlineLevel="2" x14ac:dyDescent="0.25">
      <c r="A47" s="115"/>
      <c r="B47" s="200"/>
      <c r="C47" s="201"/>
      <c r="D47" s="135"/>
      <c r="E47" s="219"/>
      <c r="F47" s="219"/>
      <c r="G47" s="313"/>
      <c r="H47" s="199" t="s">
        <v>307</v>
      </c>
      <c r="I47" s="130"/>
      <c r="J47" s="126"/>
      <c r="K47" s="126"/>
      <c r="L47" s="125" t="str">
        <f>IF(I47&lt;&gt;0,((VLOOKUP(I47,'1. Standard_Cost'!$B$4:$D$11,2)+VLOOKUP(I47,'1. Standard_Cost'!$B$4:$D$11,3))*J47*K47),"0")</f>
        <v>0</v>
      </c>
      <c r="M47" s="125">
        <f>L47*'1. Standard_Cost'!$F$4</f>
        <v>0</v>
      </c>
      <c r="N47" s="126"/>
      <c r="O47" s="126"/>
      <c r="P47" s="126"/>
      <c r="Q47" s="126"/>
      <c r="R47" s="127">
        <f>'1. Standard_Cost'!$B$15*N47*P47</f>
        <v>0</v>
      </c>
      <c r="S47" s="127">
        <f>N47*O47*P47*'1. Standard_Cost'!$C$15</f>
        <v>0</v>
      </c>
      <c r="T47" s="127">
        <f>N47*P47*Q47*'1. Standard_Cost'!$D$15</f>
        <v>0</v>
      </c>
      <c r="U47" s="127">
        <f>N47*O47*'1. Standard_Cost'!$E$15</f>
        <v>0</v>
      </c>
      <c r="V47" s="126"/>
      <c r="W47" s="126"/>
      <c r="X47" s="126"/>
      <c r="Y47" s="127">
        <f>+V47*((X47*'1. Standard_Cost'!$B$19)+(W47*X47*'1. Standard_Cost'!$C$19))</f>
        <v>0</v>
      </c>
      <c r="Z47" s="126"/>
      <c r="AA47" s="126"/>
      <c r="AB47" s="127">
        <f>+Z47*'1. Standard_Cost'!$B$23+AA47*'1. Standard_Cost'!$C$23</f>
        <v>0</v>
      </c>
      <c r="AC47" s="128"/>
      <c r="AD47" s="129"/>
      <c r="AE47" s="127">
        <f>SUM(AD47,AC47,AB47,Y47,U47,T47,S47,R47)*'1. Standard_Cost'!$B$31</f>
        <v>0</v>
      </c>
      <c r="AF47" s="127">
        <f>SUM(AE47,AD47,AC47,AB47,Y47,U47,T47,S47,R47)</f>
        <v>0</v>
      </c>
      <c r="AG47" s="126"/>
      <c r="AH47" s="126"/>
      <c r="AI47" s="126"/>
      <c r="AJ47" s="130"/>
      <c r="AK47" s="130"/>
      <c r="AL47" s="130"/>
      <c r="AM47" s="127">
        <f>AG47*'1. Standard_Cost'!$B$27+'Incremental_Cost Year 6'!AH47*'1. Standard_Cost'!$C$27+'Incremental_Cost Year 6'!AI47*'1. Standard_Cost'!$D$27+'Incremental_Cost Year 6'!AJ47+'Incremental_Cost Year 6'!AL47+AK47</f>
        <v>0</v>
      </c>
      <c r="AN47" s="127">
        <f>AM47*'1. Standard_Cost'!$C$31</f>
        <v>0</v>
      </c>
      <c r="AO47" s="130"/>
      <c r="AQ47" s="171">
        <f>L47+M47</f>
        <v>0</v>
      </c>
      <c r="AR47" s="171">
        <f>AF47</f>
        <v>0</v>
      </c>
      <c r="AS47" s="171">
        <f>AM47+AN47</f>
        <v>0</v>
      </c>
      <c r="AT47" s="171">
        <f>SUM(AQ47,AR47,AS47)</f>
        <v>0</v>
      </c>
      <c r="AU47" s="250"/>
      <c r="AV47" s="250"/>
      <c r="AW47" s="250"/>
      <c r="AX47" s="250"/>
      <c r="AY47" s="250"/>
      <c r="AZ47" s="250"/>
      <c r="BA47" s="250"/>
      <c r="BB47" s="251">
        <f t="shared" si="37"/>
        <v>0</v>
      </c>
      <c r="BC47" s="169"/>
      <c r="BD47" s="169"/>
      <c r="BE47" s="169"/>
      <c r="BF47" s="169"/>
    </row>
    <row r="48" spans="1:58" ht="63" outlineLevel="2" x14ac:dyDescent="0.25">
      <c r="A48" s="115"/>
      <c r="B48" s="200"/>
      <c r="C48" s="201"/>
      <c r="D48" s="135"/>
      <c r="E48" s="219"/>
      <c r="F48" s="219"/>
      <c r="G48" s="313"/>
      <c r="H48" s="199" t="s">
        <v>308</v>
      </c>
      <c r="I48" s="130"/>
      <c r="J48" s="126"/>
      <c r="K48" s="126"/>
      <c r="L48" s="125" t="str">
        <f>IF(I48&lt;&gt;0,((VLOOKUP(I48,'1. Standard_Cost'!$B$4:$D$11,2)+VLOOKUP(I48,'1. Standard_Cost'!$B$4:$D$11,3))*J48*K48),"0")</f>
        <v>0</v>
      </c>
      <c r="M48" s="125">
        <f>L48*'1. Standard_Cost'!$F$4</f>
        <v>0</v>
      </c>
      <c r="N48" s="126"/>
      <c r="O48" s="126"/>
      <c r="P48" s="126"/>
      <c r="Q48" s="126"/>
      <c r="R48" s="127">
        <f>'1. Standard_Cost'!$B$15*N48*P48</f>
        <v>0</v>
      </c>
      <c r="S48" s="127">
        <f>N48*O48*P48*'1. Standard_Cost'!$C$15</f>
        <v>0</v>
      </c>
      <c r="T48" s="127">
        <f>N48*P48*Q48*'1. Standard_Cost'!$D$15</f>
        <v>0</v>
      </c>
      <c r="U48" s="127">
        <f>N48*O48*'1. Standard_Cost'!$E$15</f>
        <v>0</v>
      </c>
      <c r="V48" s="126"/>
      <c r="W48" s="126"/>
      <c r="X48" s="126"/>
      <c r="Y48" s="127">
        <f>+V48*((X48*'1. Standard_Cost'!$B$19)+(W48*X48*'1. Standard_Cost'!$C$19))</f>
        <v>0</v>
      </c>
      <c r="Z48" s="126"/>
      <c r="AA48" s="126"/>
      <c r="AB48" s="127">
        <f>+Z48*'1. Standard_Cost'!$B$23+AA48*'1. Standard_Cost'!$C$23</f>
        <v>0</v>
      </c>
      <c r="AC48" s="128"/>
      <c r="AD48" s="129"/>
      <c r="AE48" s="127">
        <f>SUM(AD48,AC48,AB48,Y48,U48,T48,S48,R48)*'1. Standard_Cost'!$B$31</f>
        <v>0</v>
      </c>
      <c r="AF48" s="127">
        <f>SUM(AE48,AD48,AC48,AB48,Y48,U48,T48,S48,R48)</f>
        <v>0</v>
      </c>
      <c r="AG48" s="126"/>
      <c r="AH48" s="126"/>
      <c r="AI48" s="126"/>
      <c r="AJ48" s="130"/>
      <c r="AK48" s="130"/>
      <c r="AL48" s="130"/>
      <c r="AM48" s="127">
        <f>AG48*'1. Standard_Cost'!$B$27+'Incremental_Cost Year 6'!AH48*'1. Standard_Cost'!$C$27+'Incremental_Cost Year 6'!AI48*'1. Standard_Cost'!$D$27+'Incremental_Cost Year 6'!AJ48+'Incremental_Cost Year 6'!AL48+AK48</f>
        <v>0</v>
      </c>
      <c r="AN48" s="127">
        <f>AM48*'1. Standard_Cost'!$C$31</f>
        <v>0</v>
      </c>
      <c r="AO48" s="249"/>
      <c r="AQ48" s="171">
        <f>L48+M48</f>
        <v>0</v>
      </c>
      <c r="AR48" s="171">
        <f>AF48</f>
        <v>0</v>
      </c>
      <c r="AS48" s="171">
        <f>AM48+AN48</f>
        <v>0</v>
      </c>
      <c r="AT48" s="171">
        <f>SUM(AQ48,AR48,AS48)</f>
        <v>0</v>
      </c>
      <c r="AU48" s="250"/>
      <c r="AV48" s="250"/>
      <c r="AW48" s="250"/>
      <c r="AX48" s="250"/>
      <c r="AY48" s="250"/>
      <c r="AZ48" s="250"/>
      <c r="BA48" s="250"/>
      <c r="BB48" s="251">
        <f t="shared" si="37"/>
        <v>0</v>
      </c>
      <c r="BC48" s="169"/>
      <c r="BD48" s="169"/>
      <c r="BE48" s="169"/>
      <c r="BF48" s="169"/>
    </row>
    <row r="49" spans="1:58" ht="94.5" outlineLevel="2" x14ac:dyDescent="0.25">
      <c r="A49" s="115"/>
      <c r="B49" s="200"/>
      <c r="C49" s="201"/>
      <c r="D49" s="223"/>
      <c r="E49" s="219"/>
      <c r="F49" s="219"/>
      <c r="G49" s="313"/>
      <c r="H49" s="199" t="s">
        <v>398</v>
      </c>
      <c r="I49" s="130"/>
      <c r="J49" s="126"/>
      <c r="K49" s="126"/>
      <c r="L49" s="125" t="str">
        <f>IF(I49&lt;&gt;0,((VLOOKUP(I49,'1. Standard_Cost'!$B$4:$D$11,2)+VLOOKUP(I49,'1. Standard_Cost'!$B$4:$D$11,3))*J49*K49),"0")</f>
        <v>0</v>
      </c>
      <c r="M49" s="125">
        <f>L49*'1. Standard_Cost'!$F$4</f>
        <v>0</v>
      </c>
      <c r="N49" s="126"/>
      <c r="O49" s="126"/>
      <c r="P49" s="126"/>
      <c r="Q49" s="126"/>
      <c r="R49" s="127">
        <f>'1. Standard_Cost'!$B$15*N49*P49</f>
        <v>0</v>
      </c>
      <c r="S49" s="127">
        <f>N49*O49*P49*'1. Standard_Cost'!$C$15</f>
        <v>0</v>
      </c>
      <c r="T49" s="127">
        <f>N49*P49*Q49*'1. Standard_Cost'!$D$15</f>
        <v>0</v>
      </c>
      <c r="U49" s="127">
        <f>N49*O49*'1. Standard_Cost'!$E$15</f>
        <v>0</v>
      </c>
      <c r="V49" s="126"/>
      <c r="W49" s="126"/>
      <c r="X49" s="126"/>
      <c r="Y49" s="127">
        <f>+V49*((X49*'1. Standard_Cost'!$B$19)+(W49*X49*'1. Standard_Cost'!$C$19))</f>
        <v>0</v>
      </c>
      <c r="Z49" s="126"/>
      <c r="AA49" s="126"/>
      <c r="AB49" s="127">
        <f>+Z49*'1. Standard_Cost'!$B$23+AA49*'1. Standard_Cost'!$C$23</f>
        <v>0</v>
      </c>
      <c r="AC49" s="128">
        <v>0</v>
      </c>
      <c r="AD49" s="129"/>
      <c r="AE49" s="127">
        <f>SUM(AD49,AC49,AB49,Y49,U49,T49,S49,R49)*'1. Standard_Cost'!$B$31</f>
        <v>0</v>
      </c>
      <c r="AF49" s="127">
        <f>SUM(AE49,AD49,AC49,AB49,Y49,U49,T49,S49,R49)</f>
        <v>0</v>
      </c>
      <c r="AG49" s="126"/>
      <c r="AH49" s="126"/>
      <c r="AI49" s="126"/>
      <c r="AJ49" s="130"/>
      <c r="AK49" s="130"/>
      <c r="AL49" s="130"/>
      <c r="AM49" s="127">
        <f>AG49*'1. Standard_Cost'!$B$27+'Incremental_Cost Year 6'!AH49*'1. Standard_Cost'!$C$27+'Incremental_Cost Year 6'!AI49*'1. Standard_Cost'!$D$27+'Incremental_Cost Year 6'!AJ49+'Incremental_Cost Year 6'!AL49+AK49</f>
        <v>0</v>
      </c>
      <c r="AN49" s="127">
        <f>AM49*'1. Standard_Cost'!$C$31</f>
        <v>0</v>
      </c>
      <c r="AO49" s="130"/>
      <c r="AQ49" s="171">
        <f>L49+M49</f>
        <v>0</v>
      </c>
      <c r="AR49" s="171">
        <f>AF49</f>
        <v>0</v>
      </c>
      <c r="AS49" s="171">
        <f>AM49+AN49</f>
        <v>0</v>
      </c>
      <c r="AT49" s="171">
        <f>SUM(AQ49,AR49,AS49)</f>
        <v>0</v>
      </c>
      <c r="AU49" s="250"/>
      <c r="AV49" s="250"/>
      <c r="AW49" s="250"/>
      <c r="AX49" s="250"/>
      <c r="AY49" s="250"/>
      <c r="AZ49" s="250"/>
      <c r="BA49" s="250"/>
      <c r="BB49" s="251">
        <f t="shared" si="37"/>
        <v>0</v>
      </c>
      <c r="BC49" s="169"/>
      <c r="BD49" s="169"/>
      <c r="BE49" s="169"/>
      <c r="BF49" s="169"/>
    </row>
    <row r="50" spans="1:58" ht="47.25" outlineLevel="1" x14ac:dyDescent="0.25">
      <c r="A50" s="115"/>
      <c r="B50" s="165"/>
      <c r="C50" s="166"/>
      <c r="D50" s="107" t="s">
        <v>388</v>
      </c>
      <c r="E50" s="139" t="s">
        <v>211</v>
      </c>
      <c r="F50" s="222">
        <v>2021</v>
      </c>
      <c r="G50" s="117">
        <v>2023</v>
      </c>
      <c r="H50" s="134" t="s">
        <v>212</v>
      </c>
      <c r="I50" s="252"/>
      <c r="J50" s="252"/>
      <c r="K50" s="252"/>
      <c r="L50" s="127">
        <f>SUM(L46:L49)</f>
        <v>0</v>
      </c>
      <c r="M50" s="127">
        <f>SUM(M46:M49)</f>
        <v>0</v>
      </c>
      <c r="N50" s="127"/>
      <c r="O50" s="252"/>
      <c r="P50" s="252"/>
      <c r="Q50" s="252"/>
      <c r="R50" s="127">
        <f>SUM(R46:R49)</f>
        <v>0</v>
      </c>
      <c r="S50" s="127">
        <f>SUM(S46:S49)</f>
        <v>0</v>
      </c>
      <c r="T50" s="127">
        <f>SUM(T46:T49)</f>
        <v>0</v>
      </c>
      <c r="U50" s="127">
        <f>SUM(U46:U49)</f>
        <v>0</v>
      </c>
      <c r="V50" s="252"/>
      <c r="W50" s="252"/>
      <c r="X50" s="252"/>
      <c r="Y50" s="127">
        <f>SUM(Y46:Y49)</f>
        <v>0</v>
      </c>
      <c r="Z50" s="252"/>
      <c r="AA50" s="252"/>
      <c r="AB50" s="127">
        <f>SUM(AB46:AB49)</f>
        <v>0</v>
      </c>
      <c r="AC50" s="127">
        <f>SUM(AC46:AC49)</f>
        <v>0</v>
      </c>
      <c r="AD50" s="127">
        <f>SUM(AD46:AD49)</f>
        <v>0</v>
      </c>
      <c r="AE50" s="127">
        <f>SUM(AE46:AE49)</f>
        <v>0</v>
      </c>
      <c r="AF50" s="127">
        <f>SUM(AF46:AF49)</f>
        <v>0</v>
      </c>
      <c r="AG50" s="252"/>
      <c r="AH50" s="252"/>
      <c r="AI50" s="252"/>
      <c r="AJ50" s="127">
        <f>SUM(AJ46:AJ49)</f>
        <v>0</v>
      </c>
      <c r="AK50" s="127">
        <f>SUM(AK46:AK49)</f>
        <v>0</v>
      </c>
      <c r="AL50" s="127">
        <f>SUM(AL46:AL49)</f>
        <v>0</v>
      </c>
      <c r="AM50" s="127">
        <f>SUM(AM46:AM49)</f>
        <v>0</v>
      </c>
      <c r="AN50" s="127">
        <f>SUM(AN46:AN49)</f>
        <v>0</v>
      </c>
      <c r="AO50" s="253"/>
      <c r="AP50" s="254"/>
      <c r="AQ50" s="175">
        <f>SUM(AQ46:AQ49)</f>
        <v>0</v>
      </c>
      <c r="AR50" s="175">
        <f>SUM(AR46:AR49)</f>
        <v>0</v>
      </c>
      <c r="AS50" s="175">
        <f>SUM(AS46:AS49)</f>
        <v>0</v>
      </c>
      <c r="AT50" s="175">
        <f>SUM(AT46:AT49)</f>
        <v>0</v>
      </c>
      <c r="AU50" s="175">
        <f t="shared" ref="AU50:BB50" si="38">SUM(AU46:AU49)</f>
        <v>0</v>
      </c>
      <c r="AV50" s="175">
        <f t="shared" si="38"/>
        <v>0</v>
      </c>
      <c r="AW50" s="175">
        <f t="shared" si="38"/>
        <v>0</v>
      </c>
      <c r="AX50" s="175">
        <f t="shared" si="38"/>
        <v>0</v>
      </c>
      <c r="AY50" s="175">
        <f t="shared" si="38"/>
        <v>0</v>
      </c>
      <c r="AZ50" s="175">
        <f t="shared" si="38"/>
        <v>0</v>
      </c>
      <c r="BA50" s="175">
        <f t="shared" si="38"/>
        <v>0</v>
      </c>
      <c r="BB50" s="175">
        <f t="shared" si="38"/>
        <v>0</v>
      </c>
      <c r="BC50" s="169"/>
      <c r="BD50" s="169"/>
      <c r="BE50" s="169"/>
      <c r="BF50" s="169"/>
    </row>
    <row r="51" spans="1:58" ht="94.5" outlineLevel="2" x14ac:dyDescent="0.25">
      <c r="A51" s="115"/>
      <c r="B51" s="200"/>
      <c r="C51" s="201"/>
      <c r="D51" s="138"/>
      <c r="E51" s="295"/>
      <c r="F51" s="295"/>
      <c r="G51" s="296"/>
      <c r="H51" s="199" t="s">
        <v>399</v>
      </c>
      <c r="I51" s="130"/>
      <c r="J51" s="126"/>
      <c r="K51" s="126"/>
      <c r="L51" s="125" t="str">
        <f>IF(I51&lt;&gt;0,((VLOOKUP(I51,'1. Standard_Cost'!$B$4:$D$11,2)+VLOOKUP(I51,'1. Standard_Cost'!$B$4:$D$11,3))*J51*K51),"0")</f>
        <v>0</v>
      </c>
      <c r="M51" s="125">
        <f>L51*'1. Standard_Cost'!$F$4</f>
        <v>0</v>
      </c>
      <c r="N51" s="126"/>
      <c r="O51" s="126"/>
      <c r="P51" s="126"/>
      <c r="Q51" s="126"/>
      <c r="R51" s="127">
        <f>'1. Standard_Cost'!$B$15*N51*P51</f>
        <v>0</v>
      </c>
      <c r="S51" s="127">
        <f>N51*O51*P51*'1. Standard_Cost'!$C$15</f>
        <v>0</v>
      </c>
      <c r="T51" s="127">
        <f>N51*P51*Q51*'1. Standard_Cost'!$D$15</f>
        <v>0</v>
      </c>
      <c r="U51" s="127">
        <f>N51*O51*'1. Standard_Cost'!$E$15</f>
        <v>0</v>
      </c>
      <c r="V51" s="126"/>
      <c r="W51" s="126"/>
      <c r="X51" s="126"/>
      <c r="Y51" s="127">
        <f>+V51*((X51*'1. Standard_Cost'!$B$19)+(W51*X51*'1. Standard_Cost'!$C$19))</f>
        <v>0</v>
      </c>
      <c r="Z51" s="126"/>
      <c r="AA51" s="126"/>
      <c r="AB51" s="127">
        <f>+Z51*'1. Standard_Cost'!$B$23+AA51*'1. Standard_Cost'!$C$23</f>
        <v>0</v>
      </c>
      <c r="AC51" s="128"/>
      <c r="AD51" s="129"/>
      <c r="AE51" s="127">
        <f>SUM(AD51,AC51,AB51,Y51,U51,T51,S51,R51)*'1. Standard_Cost'!$B$31</f>
        <v>0</v>
      </c>
      <c r="AF51" s="127">
        <f>SUM(AE51,AD51,AC51,AB51,Y51,U51,T51,S51,R51)</f>
        <v>0</v>
      </c>
      <c r="AG51" s="126"/>
      <c r="AH51" s="126"/>
      <c r="AI51" s="126"/>
      <c r="AJ51" s="130"/>
      <c r="AK51" s="130"/>
      <c r="AL51" s="130"/>
      <c r="AM51" s="127">
        <f>AG51*'1. Standard_Cost'!$B$27+'Incremental_Cost Year 6'!AH51*'1. Standard_Cost'!$C$27+'Incremental_Cost Year 6'!AI51*'1. Standard_Cost'!$D$27+'Incremental_Cost Year 6'!AJ51+'Incremental_Cost Year 6'!AL51+AK51</f>
        <v>0</v>
      </c>
      <c r="AN51" s="127">
        <f>AM51*'1. Standard_Cost'!$C$31</f>
        <v>0</v>
      </c>
      <c r="AO51" s="249"/>
      <c r="AQ51" s="171">
        <f>L51+M51</f>
        <v>0</v>
      </c>
      <c r="AR51" s="171">
        <f>AF51</f>
        <v>0</v>
      </c>
      <c r="AS51" s="171">
        <f>AM51+AN51</f>
        <v>0</v>
      </c>
      <c r="AT51" s="171">
        <f>SUM(AQ51,AR51,AS51)</f>
        <v>0</v>
      </c>
      <c r="AU51" s="250">
        <f>AQ51</f>
        <v>0</v>
      </c>
      <c r="AV51" s="250"/>
      <c r="AW51" s="250"/>
      <c r="AX51" s="250"/>
      <c r="AY51" s="250">
        <f>AR51</f>
        <v>0</v>
      </c>
      <c r="AZ51" s="250"/>
      <c r="BA51" s="250"/>
      <c r="BB51" s="251">
        <f t="shared" ref="BB51:BB55" si="39">SUM(AU51:BA51)-AT51</f>
        <v>0</v>
      </c>
      <c r="BC51" s="169"/>
      <c r="BD51" s="169"/>
      <c r="BE51" s="169"/>
      <c r="BF51" s="169"/>
    </row>
    <row r="52" spans="1:58" ht="63" outlineLevel="2" x14ac:dyDescent="0.25">
      <c r="A52" s="115"/>
      <c r="B52" s="200"/>
      <c r="C52" s="201"/>
      <c r="D52" s="135"/>
      <c r="E52" s="219"/>
      <c r="F52" s="219"/>
      <c r="G52" s="313"/>
      <c r="H52" s="213" t="s">
        <v>400</v>
      </c>
      <c r="I52" s="130" t="s">
        <v>1</v>
      </c>
      <c r="J52" s="126">
        <v>12</v>
      </c>
      <c r="K52" s="126">
        <f>416*3</f>
        <v>1248</v>
      </c>
      <c r="L52" s="125">
        <f>IF(I52&lt;&gt;0,((VLOOKUP(I52,'1. Standard_Cost'!$B$4:$D$11,2)+VLOOKUP(I52,'1. Standard_Cost'!$B$4:$D$11,3))*J52*K52),"0")</f>
        <v>1075169828.5714285</v>
      </c>
      <c r="M52" s="125">
        <f>L52*'1. Standard_Cost'!$F$4</f>
        <v>179553361.37142858</v>
      </c>
      <c r="N52" s="126"/>
      <c r="O52" s="126"/>
      <c r="P52" s="126"/>
      <c r="Q52" s="126"/>
      <c r="R52" s="127">
        <f>'1. Standard_Cost'!$B$15*N52*P52</f>
        <v>0</v>
      </c>
      <c r="S52" s="127">
        <f>N52*O52*P52*'1. Standard_Cost'!$C$15</f>
        <v>0</v>
      </c>
      <c r="T52" s="127">
        <f>N52*P52*Q52*'1. Standard_Cost'!$D$15</f>
        <v>0</v>
      </c>
      <c r="U52" s="127">
        <f>N52*O52*'1. Standard_Cost'!$E$15</f>
        <v>0</v>
      </c>
      <c r="V52" s="126"/>
      <c r="W52" s="126"/>
      <c r="X52" s="126"/>
      <c r="Y52" s="127">
        <f>+V52*((X52*'1. Standard_Cost'!$B$19)+(W52*X52*'1. Standard_Cost'!$C$19))</f>
        <v>0</v>
      </c>
      <c r="Z52" s="126"/>
      <c r="AA52" s="126"/>
      <c r="AB52" s="127">
        <f>+Z52*'1. Standard_Cost'!$B$23+AA52*'1. Standard_Cost'!$C$23</f>
        <v>0</v>
      </c>
      <c r="AC52" s="128">
        <f>100000/12*3*402</f>
        <v>10050000</v>
      </c>
      <c r="AD52" s="129"/>
      <c r="AE52" s="127">
        <f>SUM(AD52,AC52,AB52,Y52,U52,T52,S52,R52)*'1. Standard_Cost'!$B$31</f>
        <v>2010000</v>
      </c>
      <c r="AF52" s="127">
        <f>SUM(AE52,AD52,AC52,AB52,Y52,U52,T52,S52,R52)</f>
        <v>12060000</v>
      </c>
      <c r="AG52" s="126"/>
      <c r="AH52" s="126"/>
      <c r="AI52" s="126"/>
      <c r="AJ52" s="130"/>
      <c r="AK52" s="130"/>
      <c r="AL52" s="130"/>
      <c r="AM52" s="127">
        <f>AG52*'1. Standard_Cost'!$B$27+'Incremental_Cost Year 6'!AH52*'1. Standard_Cost'!$C$27+'Incremental_Cost Year 6'!AI52*'1. Standard_Cost'!$D$27+'Incremental_Cost Year 6'!AJ52+'Incremental_Cost Year 6'!AL52+AK52</f>
        <v>0</v>
      </c>
      <c r="AN52" s="127">
        <f>AM52*'1. Standard_Cost'!$C$31</f>
        <v>0</v>
      </c>
      <c r="AO52" s="130"/>
      <c r="AQ52" s="171">
        <f>L52+M52</f>
        <v>1254723189.942857</v>
      </c>
      <c r="AR52" s="171">
        <f>AF52</f>
        <v>12060000</v>
      </c>
      <c r="AS52" s="171">
        <f>AM52+AN52</f>
        <v>0</v>
      </c>
      <c r="AT52" s="171">
        <f>SUM(AQ52,AR52,AS52)</f>
        <v>1266783189.942857</v>
      </c>
      <c r="AU52" s="250">
        <f>AT52</f>
        <v>1266783189.942857</v>
      </c>
      <c r="AV52" s="250"/>
      <c r="AW52" s="250"/>
      <c r="AX52" s="250"/>
      <c r="AY52" s="250"/>
      <c r="AZ52" s="250"/>
      <c r="BA52" s="250"/>
      <c r="BB52" s="251">
        <f t="shared" si="39"/>
        <v>0</v>
      </c>
      <c r="BC52" s="169"/>
      <c r="BD52" s="169"/>
      <c r="BE52" s="169"/>
      <c r="BF52" s="169"/>
    </row>
    <row r="53" spans="1:58" ht="94.5" outlineLevel="2" x14ac:dyDescent="0.25">
      <c r="A53" s="115"/>
      <c r="B53" s="200"/>
      <c r="C53" s="201"/>
      <c r="D53" s="135"/>
      <c r="E53" s="219"/>
      <c r="F53" s="219"/>
      <c r="G53" s="313"/>
      <c r="H53" s="199" t="s">
        <v>227</v>
      </c>
      <c r="I53" s="130" t="s">
        <v>3</v>
      </c>
      <c r="J53" s="126">
        <v>6</v>
      </c>
      <c r="K53" s="126">
        <v>1</v>
      </c>
      <c r="L53" s="125">
        <f>IF(I53&lt;&gt;0,((VLOOKUP(I53,'1. Standard_Cost'!$B$4:$D$11,2)+VLOOKUP(I53,'1. Standard_Cost'!$B$4:$D$11,3))*J53*K53),"0")</f>
        <v>604800</v>
      </c>
      <c r="M53" s="125">
        <f>L53*'1. Standard_Cost'!$F$4</f>
        <v>101001.60000000001</v>
      </c>
      <c r="N53" s="126"/>
      <c r="O53" s="126"/>
      <c r="P53" s="126"/>
      <c r="Q53" s="126"/>
      <c r="R53" s="127">
        <f>'1. Standard_Cost'!$B$15*N53*P53</f>
        <v>0</v>
      </c>
      <c r="S53" s="127">
        <f>N53*O53*P53*'1. Standard_Cost'!$C$15</f>
        <v>0</v>
      </c>
      <c r="T53" s="127">
        <f>N53*P53*Q53*'1. Standard_Cost'!$D$15</f>
        <v>0</v>
      </c>
      <c r="U53" s="127">
        <f>N53*O53*'1. Standard_Cost'!$E$15</f>
        <v>0</v>
      </c>
      <c r="V53" s="126"/>
      <c r="W53" s="126"/>
      <c r="X53" s="126"/>
      <c r="Y53" s="127">
        <f>+V53*((X53*'1. Standard_Cost'!$B$19)+(W53*X53*'1. Standard_Cost'!$C$19))</f>
        <v>0</v>
      </c>
      <c r="Z53" s="126"/>
      <c r="AA53" s="126"/>
      <c r="AB53" s="127">
        <f>+Z53*'1. Standard_Cost'!$B$23+AA53*'1. Standard_Cost'!$C$23</f>
        <v>0</v>
      </c>
      <c r="AC53" s="128"/>
      <c r="AD53" s="129"/>
      <c r="AE53" s="127">
        <f>SUM(AD53,AC53,AB53,Y53,U53,T53,S53,R53)*'1. Standard_Cost'!$B$31</f>
        <v>0</v>
      </c>
      <c r="AF53" s="127">
        <f>SUM(AE53,AD53,AC53,AB53,Y53,U53,T53,S53,R53)</f>
        <v>0</v>
      </c>
      <c r="AG53" s="126"/>
      <c r="AH53" s="126"/>
      <c r="AI53" s="126"/>
      <c r="AJ53" s="130"/>
      <c r="AK53" s="130"/>
      <c r="AL53" s="130"/>
      <c r="AM53" s="127">
        <f>AG53*'1. Standard_Cost'!$B$27+'Incremental_Cost Year 6'!AH53*'1. Standard_Cost'!$C$27+'Incremental_Cost Year 6'!AI53*'1. Standard_Cost'!$D$27+'Incremental_Cost Year 6'!AJ53+'Incremental_Cost Year 6'!AL53+AK53</f>
        <v>0</v>
      </c>
      <c r="AN53" s="127">
        <f>AM53*'1. Standard_Cost'!$C$31</f>
        <v>0</v>
      </c>
      <c r="AO53" s="130"/>
      <c r="AQ53" s="171">
        <f>L53+M53</f>
        <v>705801.6</v>
      </c>
      <c r="AR53" s="171">
        <f>AF53</f>
        <v>0</v>
      </c>
      <c r="AS53" s="171">
        <f>AM53+AN53</f>
        <v>0</v>
      </c>
      <c r="AT53" s="171">
        <f>SUM(AQ53,AR53,AS53)</f>
        <v>705801.6</v>
      </c>
      <c r="AU53" s="250">
        <f>AQ53</f>
        <v>705801.6</v>
      </c>
      <c r="AV53" s="250"/>
      <c r="AW53" s="250"/>
      <c r="AX53" s="250"/>
      <c r="AY53" s="250"/>
      <c r="AZ53" s="250"/>
      <c r="BA53" s="250"/>
      <c r="BB53" s="251">
        <f t="shared" si="39"/>
        <v>0</v>
      </c>
      <c r="BC53" s="169"/>
      <c r="BD53" s="169"/>
      <c r="BE53" s="169"/>
      <c r="BF53" s="169"/>
    </row>
    <row r="54" spans="1:58" ht="78.75" outlineLevel="2" x14ac:dyDescent="0.25">
      <c r="A54" s="115"/>
      <c r="B54" s="200"/>
      <c r="C54" s="201"/>
      <c r="D54" s="135"/>
      <c r="E54" s="219"/>
      <c r="F54" s="219"/>
      <c r="G54" s="313"/>
      <c r="H54" s="199" t="s">
        <v>228</v>
      </c>
      <c r="I54" s="130" t="s">
        <v>5</v>
      </c>
      <c r="J54" s="126">
        <v>0.2</v>
      </c>
      <c r="K54" s="126">
        <v>1</v>
      </c>
      <c r="L54" s="125">
        <f>IF(I54&lt;&gt;0,((VLOOKUP(I54,'1. Standard_Cost'!$B$4:$D$11,2)+VLOOKUP(I54,'1. Standard_Cost'!$B$4:$D$11,3))*J54*K54),"0")</f>
        <v>14140</v>
      </c>
      <c r="M54" s="125">
        <f>L54*'1. Standard_Cost'!$F$4</f>
        <v>2361.38</v>
      </c>
      <c r="N54" s="126"/>
      <c r="O54" s="126"/>
      <c r="P54" s="126"/>
      <c r="Q54" s="126"/>
      <c r="R54" s="127">
        <f>'1. Standard_Cost'!$B$15*N54*P54</f>
        <v>0</v>
      </c>
      <c r="S54" s="127">
        <f>N54*O54*P54*'1. Standard_Cost'!$C$15</f>
        <v>0</v>
      </c>
      <c r="T54" s="127">
        <f>N54*P54*Q54*'1. Standard_Cost'!$D$15</f>
        <v>0</v>
      </c>
      <c r="U54" s="127">
        <f>N54*O54*'1. Standard_Cost'!$E$15</f>
        <v>0</v>
      </c>
      <c r="V54" s="126"/>
      <c r="W54" s="126"/>
      <c r="X54" s="126"/>
      <c r="Y54" s="127">
        <f>+V54*((X54*'1. Standard_Cost'!$B$19)+(W54*X54*'1. Standard_Cost'!$C$19))</f>
        <v>0</v>
      </c>
      <c r="Z54" s="126"/>
      <c r="AA54" s="126"/>
      <c r="AB54" s="127">
        <f>+Z54*'1. Standard_Cost'!$B$23+AA54*'1. Standard_Cost'!$C$23</f>
        <v>0</v>
      </c>
      <c r="AC54" s="128"/>
      <c r="AD54" s="129"/>
      <c r="AE54" s="127">
        <f>SUM(AD54,AC54,AB54,Y54,U54,T54,S54,R54)*'1. Standard_Cost'!$B$31</f>
        <v>0</v>
      </c>
      <c r="AF54" s="127">
        <f>SUM(AE54,AD54,AC54,AB54,Y54,U54,T54,S54,R54)</f>
        <v>0</v>
      </c>
      <c r="AG54" s="126"/>
      <c r="AH54" s="126"/>
      <c r="AI54" s="126"/>
      <c r="AJ54" s="130"/>
      <c r="AK54" s="130"/>
      <c r="AL54" s="130"/>
      <c r="AM54" s="127">
        <f>AG54*'1. Standard_Cost'!$B$27+'Incremental_Cost Year 6'!AH54*'1. Standard_Cost'!$C$27+'Incremental_Cost Year 6'!AI54*'1. Standard_Cost'!$D$27+'Incremental_Cost Year 6'!AJ54+'Incremental_Cost Year 6'!AL54+AK54</f>
        <v>0</v>
      </c>
      <c r="AN54" s="127">
        <f>AM54*'1. Standard_Cost'!$C$31</f>
        <v>0</v>
      </c>
      <c r="AO54" s="130"/>
      <c r="AQ54" s="171">
        <f>L54+M54</f>
        <v>16501.38</v>
      </c>
      <c r="AR54" s="171">
        <f>AF54</f>
        <v>0</v>
      </c>
      <c r="AS54" s="171">
        <f>AM54+AN54</f>
        <v>0</v>
      </c>
      <c r="AT54" s="171">
        <f>SUM(AQ54,AR54,AS54)</f>
        <v>16501.38</v>
      </c>
      <c r="AU54" s="250">
        <f>AQ54</f>
        <v>16501.38</v>
      </c>
      <c r="AV54" s="250"/>
      <c r="AW54" s="250"/>
      <c r="AX54" s="250"/>
      <c r="AY54" s="250"/>
      <c r="AZ54" s="250"/>
      <c r="BA54" s="250"/>
      <c r="BB54" s="251">
        <f t="shared" si="39"/>
        <v>0</v>
      </c>
      <c r="BC54" s="169"/>
      <c r="BD54" s="169"/>
      <c r="BE54" s="169"/>
      <c r="BF54" s="169"/>
    </row>
    <row r="55" spans="1:58" ht="63" outlineLevel="2" x14ac:dyDescent="0.25">
      <c r="A55" s="115"/>
      <c r="B55" s="200"/>
      <c r="C55" s="201"/>
      <c r="D55" s="223"/>
      <c r="E55" s="219"/>
      <c r="F55" s="219"/>
      <c r="G55" s="313"/>
      <c r="H55" s="199" t="s">
        <v>229</v>
      </c>
      <c r="I55" s="130" t="s">
        <v>3</v>
      </c>
      <c r="J55" s="126">
        <v>1</v>
      </c>
      <c r="K55" s="126">
        <v>1</v>
      </c>
      <c r="L55" s="125">
        <f>IF(I55&lt;&gt;0,((VLOOKUP(I55,'1. Standard_Cost'!$B$4:$D$11,2)+VLOOKUP(I55,'1. Standard_Cost'!$B$4:$D$11,3))*J55*K55),"0")</f>
        <v>100800</v>
      </c>
      <c r="M55" s="125">
        <f>L55*'1. Standard_Cost'!$F$4</f>
        <v>16833.600000000002</v>
      </c>
      <c r="N55" s="126"/>
      <c r="O55" s="126"/>
      <c r="P55" s="126"/>
      <c r="Q55" s="126"/>
      <c r="R55" s="127">
        <f>'1. Standard_Cost'!$B$15*N55*P55</f>
        <v>0</v>
      </c>
      <c r="S55" s="127">
        <f>N55*O55*P55*'1. Standard_Cost'!$C$15</f>
        <v>0</v>
      </c>
      <c r="T55" s="127">
        <f>N55*P55*Q55*'1. Standard_Cost'!$D$15</f>
        <v>0</v>
      </c>
      <c r="U55" s="127">
        <f>N55*O55*'1. Standard_Cost'!$E$15</f>
        <v>0</v>
      </c>
      <c r="V55" s="126"/>
      <c r="W55" s="126"/>
      <c r="X55" s="126"/>
      <c r="Y55" s="127">
        <f>+V55*((X55*'1. Standard_Cost'!$B$19)+(W55*X55*'1. Standard_Cost'!$C$19))</f>
        <v>0</v>
      </c>
      <c r="Z55" s="126"/>
      <c r="AA55" s="126"/>
      <c r="AB55" s="127">
        <f>+Z55*'1. Standard_Cost'!$B$23+AA55*'1. Standard_Cost'!$C$23</f>
        <v>0</v>
      </c>
      <c r="AC55" s="128"/>
      <c r="AD55" s="129"/>
      <c r="AE55" s="127">
        <f>SUM(AD55,AC55,AB55,Y55,U55,T55,S55,R55)*'1. Standard_Cost'!$B$31</f>
        <v>0</v>
      </c>
      <c r="AF55" s="127">
        <f>SUM(AE55,AD55,AC55,AB55,Y55,U55,T55,S55,R55)</f>
        <v>0</v>
      </c>
      <c r="AG55" s="126"/>
      <c r="AH55" s="126"/>
      <c r="AI55" s="126"/>
      <c r="AJ55" s="130"/>
      <c r="AK55" s="130"/>
      <c r="AL55" s="130"/>
      <c r="AM55" s="127">
        <f>AG55*'1. Standard_Cost'!$B$27+'Incremental_Cost Year 6'!AH55*'1. Standard_Cost'!$C$27+'Incremental_Cost Year 6'!AI55*'1. Standard_Cost'!$D$27+'Incremental_Cost Year 6'!AJ55+'Incremental_Cost Year 6'!AL55+AK55</f>
        <v>0</v>
      </c>
      <c r="AN55" s="127">
        <f>AM55*'1. Standard_Cost'!$C$31</f>
        <v>0</v>
      </c>
      <c r="AO55" s="130"/>
      <c r="AQ55" s="171">
        <f>L55+M55</f>
        <v>117633.60000000001</v>
      </c>
      <c r="AR55" s="171">
        <f>AF55</f>
        <v>0</v>
      </c>
      <c r="AS55" s="171">
        <f>AM55+AN55</f>
        <v>0</v>
      </c>
      <c r="AT55" s="171">
        <f>SUM(AQ55,AR55,AS55)</f>
        <v>117633.60000000001</v>
      </c>
      <c r="AU55" s="250">
        <f>AQ55</f>
        <v>117633.60000000001</v>
      </c>
      <c r="AV55" s="250"/>
      <c r="AW55" s="250"/>
      <c r="AX55" s="250"/>
      <c r="AY55" s="250"/>
      <c r="AZ55" s="250"/>
      <c r="BA55" s="250"/>
      <c r="BB55" s="251">
        <f t="shared" si="39"/>
        <v>0</v>
      </c>
      <c r="BC55" s="169"/>
      <c r="BD55" s="169"/>
      <c r="BE55" s="169"/>
      <c r="BF55" s="169"/>
    </row>
    <row r="56" spans="1:58" ht="94.5" outlineLevel="1" x14ac:dyDescent="0.25">
      <c r="A56" s="115"/>
      <c r="B56" s="165"/>
      <c r="C56" s="166"/>
      <c r="D56" s="107" t="s">
        <v>401</v>
      </c>
      <c r="E56" s="139" t="s">
        <v>214</v>
      </c>
      <c r="F56" s="222">
        <v>2021</v>
      </c>
      <c r="G56" s="117">
        <v>2030</v>
      </c>
      <c r="H56" s="134" t="s">
        <v>215</v>
      </c>
      <c r="I56" s="252"/>
      <c r="J56" s="252"/>
      <c r="K56" s="252"/>
      <c r="L56" s="127">
        <f>SUM(L51:L55)</f>
        <v>1075889568.5714285</v>
      </c>
      <c r="M56" s="127">
        <f>SUM(M51:M55)</f>
        <v>179673557.95142856</v>
      </c>
      <c r="N56" s="127"/>
      <c r="O56" s="252"/>
      <c r="P56" s="252"/>
      <c r="Q56" s="252"/>
      <c r="R56" s="127">
        <f>SUM(R51:R55)</f>
        <v>0</v>
      </c>
      <c r="S56" s="127">
        <f>SUM(S51:S55)</f>
        <v>0</v>
      </c>
      <c r="T56" s="127">
        <f>SUM(T51:T55)</f>
        <v>0</v>
      </c>
      <c r="U56" s="127">
        <f>SUM(U51:U55)</f>
        <v>0</v>
      </c>
      <c r="V56" s="252"/>
      <c r="W56" s="252"/>
      <c r="X56" s="252"/>
      <c r="Y56" s="127">
        <f>SUM(Y51:Y55)</f>
        <v>0</v>
      </c>
      <c r="Z56" s="252"/>
      <c r="AA56" s="252"/>
      <c r="AB56" s="127">
        <f>SUM(AB51:AB55)</f>
        <v>0</v>
      </c>
      <c r="AC56" s="127">
        <f>SUM(AC51:AC55)</f>
        <v>10050000</v>
      </c>
      <c r="AD56" s="127">
        <f>SUM(AD51:AD55)</f>
        <v>0</v>
      </c>
      <c r="AE56" s="127">
        <f>SUM(AE51:AE55)</f>
        <v>2010000</v>
      </c>
      <c r="AF56" s="127">
        <f>SUM(AF51:AF55)</f>
        <v>12060000</v>
      </c>
      <c r="AG56" s="252"/>
      <c r="AH56" s="252"/>
      <c r="AI56" s="252"/>
      <c r="AJ56" s="127">
        <f>SUM(AJ51:AJ55)</f>
        <v>0</v>
      </c>
      <c r="AK56" s="127">
        <f>SUM(AK51:AK55)</f>
        <v>0</v>
      </c>
      <c r="AL56" s="127">
        <f>SUM(AL51:AL55)</f>
        <v>0</v>
      </c>
      <c r="AM56" s="127">
        <f>SUM(AM51:AM55)</f>
        <v>0</v>
      </c>
      <c r="AN56" s="127">
        <f>SUM(AN51:AN55)</f>
        <v>0</v>
      </c>
      <c r="AO56" s="253"/>
      <c r="AP56" s="254"/>
      <c r="AQ56" s="175">
        <f>SUM(AQ51:AQ55)</f>
        <v>1255563126.522857</v>
      </c>
      <c r="AR56" s="175">
        <f>SUM(AR51:AR55)</f>
        <v>12060000</v>
      </c>
      <c r="AS56" s="175">
        <f>SUM(AS51:AS55)</f>
        <v>0</v>
      </c>
      <c r="AT56" s="175">
        <f>SUM(AT51:AT55)</f>
        <v>1267623126.522857</v>
      </c>
      <c r="AU56" s="175">
        <f t="shared" ref="AU56:BB56" si="40">SUM(AU51:AU55)</f>
        <v>1267623126.522857</v>
      </c>
      <c r="AV56" s="175">
        <f t="shared" si="40"/>
        <v>0</v>
      </c>
      <c r="AW56" s="175">
        <f t="shared" si="40"/>
        <v>0</v>
      </c>
      <c r="AX56" s="175">
        <f t="shared" si="40"/>
        <v>0</v>
      </c>
      <c r="AY56" s="175">
        <f t="shared" si="40"/>
        <v>0</v>
      </c>
      <c r="AZ56" s="175">
        <f t="shared" si="40"/>
        <v>0</v>
      </c>
      <c r="BA56" s="175">
        <f t="shared" si="40"/>
        <v>0</v>
      </c>
      <c r="BB56" s="175">
        <f t="shared" si="40"/>
        <v>0</v>
      </c>
      <c r="BC56" s="169"/>
      <c r="BD56" s="169"/>
      <c r="BE56" s="169"/>
      <c r="BF56" s="169"/>
    </row>
    <row r="57" spans="1:58" ht="110.25" outlineLevel="2" x14ac:dyDescent="0.25">
      <c r="A57" s="115"/>
      <c r="B57" s="200"/>
      <c r="C57" s="201"/>
      <c r="D57" s="138"/>
      <c r="E57" s="219"/>
      <c r="F57" s="219"/>
      <c r="G57" s="313"/>
      <c r="H57" s="199" t="s">
        <v>402</v>
      </c>
      <c r="I57" s="130"/>
      <c r="J57" s="126"/>
      <c r="K57" s="126"/>
      <c r="L57" s="125" t="str">
        <f>IF(I57&lt;&gt;0,((VLOOKUP(I57,'1. Standard_Cost'!$B$4:$D$11,2)+VLOOKUP(I57,'1. Standard_Cost'!$B$4:$D$11,3))*J57*K57),"0")</f>
        <v>0</v>
      </c>
      <c r="M57" s="125">
        <f>L57*'1. Standard_Cost'!$F$4</f>
        <v>0</v>
      </c>
      <c r="N57" s="126"/>
      <c r="O57" s="126"/>
      <c r="P57" s="126"/>
      <c r="Q57" s="126"/>
      <c r="R57" s="127">
        <f>'1. Standard_Cost'!$B$15*N57*P57</f>
        <v>0</v>
      </c>
      <c r="S57" s="127">
        <f>N57*O57*P57*'1. Standard_Cost'!$C$15</f>
        <v>0</v>
      </c>
      <c r="T57" s="127">
        <f>N57*P57*Q57*'1. Standard_Cost'!$D$15</f>
        <v>0</v>
      </c>
      <c r="U57" s="127">
        <f>N57*O57*'1. Standard_Cost'!$E$15</f>
        <v>0</v>
      </c>
      <c r="V57" s="126"/>
      <c r="W57" s="126"/>
      <c r="X57" s="126"/>
      <c r="Y57" s="127">
        <f>+V57*((X57*'1. Standard_Cost'!$B$19)+(W57*X57*'1. Standard_Cost'!$C$19))</f>
        <v>0</v>
      </c>
      <c r="Z57" s="126"/>
      <c r="AA57" s="126"/>
      <c r="AB57" s="127">
        <f>+Z57*'1. Standard_Cost'!$B$23+AA57*'1. Standard_Cost'!$C$23</f>
        <v>0</v>
      </c>
      <c r="AC57" s="128"/>
      <c r="AD57" s="129"/>
      <c r="AE57" s="127">
        <f>SUM(AD57,AC57,AB57,Y57,U57,T57,S57,R57)*'1. Standard_Cost'!$B$31</f>
        <v>0</v>
      </c>
      <c r="AF57" s="127">
        <f>SUM(AE57,AD57,AC57,AB57,Y57,U57,T57,S57,R57)</f>
        <v>0</v>
      </c>
      <c r="AG57" s="126"/>
      <c r="AH57" s="126"/>
      <c r="AI57" s="126"/>
      <c r="AJ57" s="130"/>
      <c r="AK57" s="130"/>
      <c r="AL57" s="130"/>
      <c r="AM57" s="127">
        <f>AG57*'1. Standard_Cost'!$B$27+'Incremental_Cost Year 6'!AH57*'1. Standard_Cost'!$C$27+'Incremental_Cost Year 6'!AI57*'1. Standard_Cost'!$D$27+'Incremental_Cost Year 6'!AJ57+'Incremental_Cost Year 6'!AL57+AK57</f>
        <v>0</v>
      </c>
      <c r="AN57" s="127">
        <f>AM57*'1. Standard_Cost'!$C$31</f>
        <v>0</v>
      </c>
      <c r="AO57" s="249"/>
      <c r="AQ57" s="171">
        <f>L57+M57</f>
        <v>0</v>
      </c>
      <c r="AR57" s="171">
        <f>AF57</f>
        <v>0</v>
      </c>
      <c r="AS57" s="171">
        <f>AM57+AN57</f>
        <v>0</v>
      </c>
      <c r="AT57" s="171">
        <f>SUM(AQ57,AR57,AS57)</f>
        <v>0</v>
      </c>
      <c r="AU57" s="250"/>
      <c r="AV57" s="250"/>
      <c r="AW57" s="250"/>
      <c r="AX57" s="250"/>
      <c r="AY57" s="250"/>
      <c r="AZ57" s="250"/>
      <c r="BA57" s="250"/>
      <c r="BB57" s="251">
        <f t="shared" ref="BB57:BB59" si="41">SUM(AU57:BA57)-AT57</f>
        <v>0</v>
      </c>
      <c r="BC57" s="169"/>
      <c r="BD57" s="169"/>
      <c r="BE57" s="169"/>
      <c r="BF57" s="169"/>
    </row>
    <row r="58" spans="1:58" ht="63" outlineLevel="2" x14ac:dyDescent="0.25">
      <c r="A58" s="115"/>
      <c r="B58" s="200"/>
      <c r="C58" s="201"/>
      <c r="D58" s="135"/>
      <c r="E58" s="219"/>
      <c r="F58" s="219"/>
      <c r="G58" s="313"/>
      <c r="H58" s="199" t="s">
        <v>403</v>
      </c>
      <c r="I58" s="130"/>
      <c r="J58" s="126"/>
      <c r="K58" s="126"/>
      <c r="L58" s="125" t="str">
        <f>IF(I58&lt;&gt;0,((VLOOKUP(I58,'1. Standard_Cost'!$B$4:$D$11,2)+VLOOKUP(I58,'1. Standard_Cost'!$B$4:$D$11,3))*J58*K58),"0")</f>
        <v>0</v>
      </c>
      <c r="M58" s="125">
        <f>L58*'1. Standard_Cost'!$F$4</f>
        <v>0</v>
      </c>
      <c r="N58" s="126"/>
      <c r="O58" s="126"/>
      <c r="P58" s="126"/>
      <c r="Q58" s="126"/>
      <c r="R58" s="127">
        <f>'1. Standard_Cost'!$B$15*N58*P58</f>
        <v>0</v>
      </c>
      <c r="S58" s="127">
        <f>N58*O58*P58*'1. Standard_Cost'!$C$15</f>
        <v>0</v>
      </c>
      <c r="T58" s="127">
        <f>N58*P58*Q58*'1. Standard_Cost'!$D$15</f>
        <v>0</v>
      </c>
      <c r="U58" s="127">
        <f>N58*O58*'1. Standard_Cost'!$E$15</f>
        <v>0</v>
      </c>
      <c r="V58" s="126"/>
      <c r="W58" s="126"/>
      <c r="X58" s="126"/>
      <c r="Y58" s="127">
        <f>+V58*((X58*'1. Standard_Cost'!$B$19)+(W58*X58*'1. Standard_Cost'!$C$19))</f>
        <v>0</v>
      </c>
      <c r="Z58" s="126"/>
      <c r="AA58" s="126"/>
      <c r="AB58" s="127">
        <f>+Z58*'1. Standard_Cost'!$B$23+AA58*'1. Standard_Cost'!$C$23</f>
        <v>0</v>
      </c>
      <c r="AC58" s="128"/>
      <c r="AD58" s="129"/>
      <c r="AE58" s="127">
        <f>SUM(AD58,AC58,AB58,Y58,U58,T58,S58,R58)*'1. Standard_Cost'!$B$31</f>
        <v>0</v>
      </c>
      <c r="AF58" s="127">
        <f>SUM(AE58,AD58,AC58,AB58,Y58,U58,T58,S58,R58)</f>
        <v>0</v>
      </c>
      <c r="AG58" s="126"/>
      <c r="AH58" s="126"/>
      <c r="AI58" s="126"/>
      <c r="AJ58" s="130"/>
      <c r="AK58" s="130"/>
      <c r="AL58" s="130"/>
      <c r="AM58" s="127">
        <f>AG58*'1. Standard_Cost'!$B$27+'Incremental_Cost Year 6'!AH58*'1. Standard_Cost'!$C$27+'Incremental_Cost Year 6'!AI58*'1. Standard_Cost'!$D$27+'Incremental_Cost Year 6'!AJ58+'Incremental_Cost Year 6'!AL58+AK58</f>
        <v>0</v>
      </c>
      <c r="AN58" s="127">
        <f>AM58*'1. Standard_Cost'!$C$31</f>
        <v>0</v>
      </c>
      <c r="AO58" s="130"/>
      <c r="AQ58" s="171">
        <f>L58+M58</f>
        <v>0</v>
      </c>
      <c r="AR58" s="171">
        <f>AF58</f>
        <v>0</v>
      </c>
      <c r="AS58" s="171">
        <f>AM58+AN58</f>
        <v>0</v>
      </c>
      <c r="AT58" s="171">
        <f>SUM(AQ58,AR58,AS58)</f>
        <v>0</v>
      </c>
      <c r="AU58" s="250"/>
      <c r="AV58" s="250"/>
      <c r="AW58" s="250"/>
      <c r="AX58" s="250"/>
      <c r="AY58" s="250"/>
      <c r="AZ58" s="250"/>
      <c r="BA58" s="250"/>
      <c r="BB58" s="251">
        <f t="shared" si="41"/>
        <v>0</v>
      </c>
      <c r="BC58" s="169"/>
      <c r="BD58" s="169"/>
      <c r="BE58" s="169"/>
      <c r="BF58" s="169"/>
    </row>
    <row r="59" spans="1:58" ht="78.75" outlineLevel="2" x14ac:dyDescent="0.25">
      <c r="A59" s="115"/>
      <c r="B59" s="147"/>
      <c r="C59" s="314"/>
      <c r="D59" s="223"/>
      <c r="E59" s="122"/>
      <c r="F59" s="122"/>
      <c r="G59" s="123"/>
      <c r="H59" s="199" t="s">
        <v>309</v>
      </c>
      <c r="I59" s="130"/>
      <c r="J59" s="126"/>
      <c r="K59" s="126"/>
      <c r="L59" s="125" t="str">
        <f>IF(I59&lt;&gt;0,((VLOOKUP(I59,'1. Standard_Cost'!$B$4:$D$11,2)+VLOOKUP(I59,'1. Standard_Cost'!$B$4:$D$11,3))*J59*K59),"0")</f>
        <v>0</v>
      </c>
      <c r="M59" s="125">
        <f>L59*'1. Standard_Cost'!$F$4</f>
        <v>0</v>
      </c>
      <c r="N59" s="126"/>
      <c r="O59" s="126"/>
      <c r="P59" s="126"/>
      <c r="Q59" s="126"/>
      <c r="R59" s="127">
        <f>'1. Standard_Cost'!$B$15*N59*P59</f>
        <v>0</v>
      </c>
      <c r="S59" s="127">
        <f>N59*O59*P59*'1. Standard_Cost'!$C$15</f>
        <v>0</v>
      </c>
      <c r="T59" s="127">
        <f>N59*P59*Q59*'1. Standard_Cost'!$D$15</f>
        <v>0</v>
      </c>
      <c r="U59" s="127">
        <f>N59*O59*'1. Standard_Cost'!$E$15</f>
        <v>0</v>
      </c>
      <c r="V59" s="126"/>
      <c r="W59" s="126"/>
      <c r="X59" s="126"/>
      <c r="Y59" s="127">
        <f>+V59*((X59*'1. Standard_Cost'!$B$19)+(W59*X59*'1. Standard_Cost'!$C$19))</f>
        <v>0</v>
      </c>
      <c r="Z59" s="126"/>
      <c r="AA59" s="126"/>
      <c r="AB59" s="127">
        <f>+Z59*'1. Standard_Cost'!$B$23+AA59*'1. Standard_Cost'!$C$23</f>
        <v>0</v>
      </c>
      <c r="AC59" s="128"/>
      <c r="AD59" s="129"/>
      <c r="AE59" s="127">
        <f>SUM(AD59,AC59,AB59,Y59,U59,T59,S59,R59)*'1. Standard_Cost'!$B$31</f>
        <v>0</v>
      </c>
      <c r="AF59" s="127">
        <f>SUM(AE59,AD59,AC59,AB59,Y59,U59,T59,S59,R59)</f>
        <v>0</v>
      </c>
      <c r="AG59" s="126"/>
      <c r="AH59" s="126"/>
      <c r="AI59" s="126"/>
      <c r="AJ59" s="130"/>
      <c r="AK59" s="130"/>
      <c r="AL59" s="130"/>
      <c r="AM59" s="127">
        <f>AG59*'1. Standard_Cost'!$B$27+'Incremental_Cost Year 6'!AH59*'1. Standard_Cost'!$C$27+'Incremental_Cost Year 6'!AI59*'1. Standard_Cost'!$D$27+'Incremental_Cost Year 6'!AJ59+'Incremental_Cost Year 6'!AL59+AK59</f>
        <v>0</v>
      </c>
      <c r="AN59" s="127">
        <f>AM59*'1. Standard_Cost'!$C$31</f>
        <v>0</v>
      </c>
      <c r="AO59" s="130"/>
      <c r="AQ59" s="171">
        <f>L59+M59</f>
        <v>0</v>
      </c>
      <c r="AR59" s="171">
        <f>AF59</f>
        <v>0</v>
      </c>
      <c r="AS59" s="171">
        <f>AM59+AN59</f>
        <v>0</v>
      </c>
      <c r="AT59" s="171">
        <f>SUM(AQ59,AR59,AS59)</f>
        <v>0</v>
      </c>
      <c r="AU59" s="250"/>
      <c r="AV59" s="250"/>
      <c r="AW59" s="250"/>
      <c r="AX59" s="250"/>
      <c r="AY59" s="250"/>
      <c r="AZ59" s="250"/>
      <c r="BA59" s="250"/>
      <c r="BB59" s="251">
        <f t="shared" si="41"/>
        <v>0</v>
      </c>
      <c r="BC59" s="169"/>
      <c r="BD59" s="169"/>
      <c r="BE59" s="169"/>
      <c r="BF59" s="169"/>
    </row>
    <row r="60" spans="1:58" ht="31.5" outlineLevel="1" x14ac:dyDescent="0.25">
      <c r="A60" s="115"/>
      <c r="B60" s="200"/>
      <c r="C60" s="201"/>
      <c r="D60" s="132" t="s">
        <v>388</v>
      </c>
      <c r="E60" s="133" t="s">
        <v>216</v>
      </c>
      <c r="F60" s="122">
        <v>2021</v>
      </c>
      <c r="G60" s="223">
        <v>2030</v>
      </c>
      <c r="H60" s="134" t="s">
        <v>217</v>
      </c>
      <c r="I60" s="252"/>
      <c r="J60" s="252"/>
      <c r="K60" s="252"/>
      <c r="L60" s="127">
        <f>SUM(L57:L59)</f>
        <v>0</v>
      </c>
      <c r="M60" s="127">
        <f>SUM(M57:M59)</f>
        <v>0</v>
      </c>
      <c r="N60" s="127"/>
      <c r="O60" s="252"/>
      <c r="P60" s="252"/>
      <c r="Q60" s="252"/>
      <c r="R60" s="127">
        <f>SUM(R57:R59)</f>
        <v>0</v>
      </c>
      <c r="S60" s="127">
        <f>SUM(S57:S59)</f>
        <v>0</v>
      </c>
      <c r="T60" s="127">
        <f>SUM(T57:T59)</f>
        <v>0</v>
      </c>
      <c r="U60" s="127">
        <f>SUM(U57:U59)</f>
        <v>0</v>
      </c>
      <c r="V60" s="252"/>
      <c r="W60" s="252"/>
      <c r="X60" s="252"/>
      <c r="Y60" s="127">
        <f>SUM(Y57:Y59)</f>
        <v>0</v>
      </c>
      <c r="Z60" s="252"/>
      <c r="AA60" s="252"/>
      <c r="AB60" s="127">
        <f>SUM(AB57:AB59)</f>
        <v>0</v>
      </c>
      <c r="AC60" s="127">
        <f>SUM(AC57:AC59)</f>
        <v>0</v>
      </c>
      <c r="AD60" s="127">
        <f>SUM(AD57:AD59)</f>
        <v>0</v>
      </c>
      <c r="AE60" s="127">
        <f>SUM(AE57:AE59)</f>
        <v>0</v>
      </c>
      <c r="AF60" s="127">
        <f>SUM(AF57:AF59)</f>
        <v>0</v>
      </c>
      <c r="AG60" s="252"/>
      <c r="AH60" s="252"/>
      <c r="AI60" s="252"/>
      <c r="AJ60" s="127">
        <f>SUM(AJ57:AJ59)</f>
        <v>0</v>
      </c>
      <c r="AK60" s="127">
        <f>SUM(AK57:AK59)</f>
        <v>0</v>
      </c>
      <c r="AL60" s="127">
        <f>SUM(AL57:AL59)</f>
        <v>0</v>
      </c>
      <c r="AM60" s="127">
        <f>SUM(AM57:AM59)</f>
        <v>0</v>
      </c>
      <c r="AN60" s="127">
        <f>SUM(AN57:AN59)</f>
        <v>0</v>
      </c>
      <c r="AO60" s="253"/>
      <c r="AP60" s="254"/>
      <c r="AQ60" s="175">
        <f>SUM(AQ57:AQ59)</f>
        <v>0</v>
      </c>
      <c r="AR60" s="175">
        <f>SUM(AR57:AR59)</f>
        <v>0</v>
      </c>
      <c r="AS60" s="175">
        <f>SUM(AS57:AS59)</f>
        <v>0</v>
      </c>
      <c r="AT60" s="175">
        <f>SUM(AT57:AT59)</f>
        <v>0</v>
      </c>
      <c r="AU60" s="175">
        <f t="shared" ref="AU60:BB60" si="42">SUM(AU57:AU59)</f>
        <v>0</v>
      </c>
      <c r="AV60" s="175">
        <f t="shared" si="42"/>
        <v>0</v>
      </c>
      <c r="AW60" s="175">
        <f t="shared" si="42"/>
        <v>0</v>
      </c>
      <c r="AX60" s="175">
        <f t="shared" si="42"/>
        <v>0</v>
      </c>
      <c r="AY60" s="175">
        <f t="shared" si="42"/>
        <v>0</v>
      </c>
      <c r="AZ60" s="175">
        <f t="shared" si="42"/>
        <v>0</v>
      </c>
      <c r="BA60" s="175">
        <f t="shared" si="42"/>
        <v>0</v>
      </c>
      <c r="BB60" s="175">
        <f t="shared" si="42"/>
        <v>0</v>
      </c>
      <c r="BC60" s="169"/>
      <c r="BD60" s="169"/>
      <c r="BE60" s="169"/>
      <c r="BF60" s="169"/>
    </row>
    <row r="61" spans="1:58" s="170" customFormat="1" ht="15.75" customHeight="1" x14ac:dyDescent="0.25">
      <c r="A61" s="120"/>
      <c r="B61" s="290"/>
      <c r="C61" s="391" t="s">
        <v>218</v>
      </c>
      <c r="D61" s="391"/>
      <c r="E61" s="392"/>
      <c r="F61" s="289"/>
      <c r="G61" s="288"/>
      <c r="H61" s="114" t="s">
        <v>219</v>
      </c>
      <c r="I61" s="246"/>
      <c r="J61" s="246"/>
      <c r="K61" s="246"/>
      <c r="L61" s="247">
        <f>SUM(L77)</f>
        <v>646486825</v>
      </c>
      <c r="M61" s="247">
        <f>SUM(M77)</f>
        <v>107963299.77500001</v>
      </c>
      <c r="N61" s="247"/>
      <c r="O61" s="247"/>
      <c r="P61" s="247"/>
      <c r="Q61" s="247"/>
      <c r="R61" s="247">
        <f>SUM(R77)</f>
        <v>280000</v>
      </c>
      <c r="S61" s="247">
        <f>SUM(S77)</f>
        <v>420000</v>
      </c>
      <c r="T61" s="247">
        <f>SUM(T77)</f>
        <v>0</v>
      </c>
      <c r="U61" s="247">
        <f>SUM(U77)</f>
        <v>560000</v>
      </c>
      <c r="V61" s="247"/>
      <c r="W61" s="247"/>
      <c r="X61" s="247"/>
      <c r="Y61" s="247">
        <f>SUM(Y77)</f>
        <v>0</v>
      </c>
      <c r="Z61" s="247">
        <f t="shared" ref="Z61:AA61" si="43">SUM(Z77)</f>
        <v>0</v>
      </c>
      <c r="AA61" s="247">
        <f t="shared" si="43"/>
        <v>0</v>
      </c>
      <c r="AB61" s="247">
        <f t="shared" ref="AB61:AF61" si="44">SUM(AB77)</f>
        <v>171000</v>
      </c>
      <c r="AC61" s="247">
        <f t="shared" si="44"/>
        <v>549876000</v>
      </c>
      <c r="AD61" s="247">
        <f t="shared" si="44"/>
        <v>0</v>
      </c>
      <c r="AE61" s="247">
        <f t="shared" si="44"/>
        <v>84421400</v>
      </c>
      <c r="AF61" s="247">
        <f t="shared" si="44"/>
        <v>635728400</v>
      </c>
      <c r="AG61" s="247"/>
      <c r="AH61" s="247"/>
      <c r="AI61" s="247"/>
      <c r="AJ61" s="247">
        <f>SUM(AJ77)</f>
        <v>0</v>
      </c>
      <c r="AK61" s="247">
        <f>SUM(AK77)</f>
        <v>0</v>
      </c>
      <c r="AL61" s="247">
        <f>SUM(AL77)</f>
        <v>0</v>
      </c>
      <c r="AM61" s="247">
        <f>SUM(AM77)</f>
        <v>0</v>
      </c>
      <c r="AN61" s="247">
        <f>SUM(AN77)</f>
        <v>0</v>
      </c>
      <c r="AO61" s="247"/>
      <c r="AP61" s="244"/>
      <c r="AQ61" s="248">
        <f>SUM(AQ77)</f>
        <v>754450124.77499998</v>
      </c>
      <c r="AR61" s="248">
        <f>SUM(AR77)</f>
        <v>635728400</v>
      </c>
      <c r="AS61" s="248">
        <f>SUM(AS77)</f>
        <v>0</v>
      </c>
      <c r="AT61" s="248">
        <f>SUM(AT77)</f>
        <v>1390178524.7750001</v>
      </c>
      <c r="AU61" s="248">
        <f t="shared" ref="AU61:BB61" si="45">SUM(AU77)</f>
        <v>1386752524.7750001</v>
      </c>
      <c r="AV61" s="248">
        <f t="shared" si="45"/>
        <v>0</v>
      </c>
      <c r="AW61" s="248">
        <f t="shared" si="45"/>
        <v>0</v>
      </c>
      <c r="AX61" s="248">
        <f t="shared" si="45"/>
        <v>0</v>
      </c>
      <c r="AY61" s="248">
        <f t="shared" si="45"/>
        <v>2346000</v>
      </c>
      <c r="AZ61" s="248">
        <f t="shared" si="45"/>
        <v>0</v>
      </c>
      <c r="BA61" s="248">
        <f t="shared" si="45"/>
        <v>0</v>
      </c>
      <c r="BB61" s="248">
        <f t="shared" si="45"/>
        <v>-1080000</v>
      </c>
    </row>
    <row r="62" spans="1:58" ht="126" outlineLevel="2" x14ac:dyDescent="0.25">
      <c r="A62" s="115"/>
      <c r="B62" s="200"/>
      <c r="C62" s="201"/>
      <c r="D62" s="350"/>
      <c r="E62" s="315"/>
      <c r="F62" s="316"/>
      <c r="G62" s="317"/>
      <c r="H62" s="199" t="s">
        <v>404</v>
      </c>
      <c r="I62" s="130"/>
      <c r="J62" s="126"/>
      <c r="K62" s="126"/>
      <c r="L62" s="125" t="str">
        <f>IF(I62&lt;&gt;0,((VLOOKUP(I62,'1. Standard_Cost'!$B$4:$D$11,2)+VLOOKUP(I62,'1. Standard_Cost'!$B$4:$D$11,3))*J62*K62),"0")</f>
        <v>0</v>
      </c>
      <c r="M62" s="125">
        <f>L62*'1. Standard_Cost'!$F$4</f>
        <v>0</v>
      </c>
      <c r="N62" s="126"/>
      <c r="O62" s="126"/>
      <c r="P62" s="126"/>
      <c r="Q62" s="126"/>
      <c r="R62" s="127">
        <f>'1. Standard_Cost'!$B$15*N62*P62</f>
        <v>0</v>
      </c>
      <c r="S62" s="127">
        <f>N62*O62*P62*'1. Standard_Cost'!$C$15</f>
        <v>0</v>
      </c>
      <c r="T62" s="127">
        <f>N62*P62*Q62*'1. Standard_Cost'!$D$15</f>
        <v>0</v>
      </c>
      <c r="U62" s="127">
        <f>N62*O62*'1. Standard_Cost'!$E$15</f>
        <v>0</v>
      </c>
      <c r="V62" s="126"/>
      <c r="W62" s="126"/>
      <c r="X62" s="126"/>
      <c r="Y62" s="127">
        <f>+V62*((X62*'1. Standard_Cost'!$B$19)+(W62*X62*'1. Standard_Cost'!$C$19))</f>
        <v>0</v>
      </c>
      <c r="Z62" s="126"/>
      <c r="AA62" s="126"/>
      <c r="AB62" s="127">
        <f>+Z62*'1. Standard_Cost'!$B$23+AA62*'1. Standard_Cost'!$C$23</f>
        <v>0</v>
      </c>
      <c r="AC62" s="128"/>
      <c r="AD62" s="129"/>
      <c r="AE62" s="127">
        <f>SUM(AD62,AC62,AB62,Y62,U62,T62,S62,R62)*'1. Standard_Cost'!$B$31</f>
        <v>0</v>
      </c>
      <c r="AF62" s="127">
        <f t="shared" ref="AF62:AF67" si="46">SUM(AE62,AD62,AC62,AB62,Y62,U62,T62,S62,R62)</f>
        <v>0</v>
      </c>
      <c r="AG62" s="126"/>
      <c r="AH62" s="126"/>
      <c r="AI62" s="126"/>
      <c r="AJ62" s="130"/>
      <c r="AK62" s="130"/>
      <c r="AL62" s="130"/>
      <c r="AM62" s="127">
        <f>AG62*'1. Standard_Cost'!$B$27+'Incremental_Cost Year 6'!AH62*'1. Standard_Cost'!$C$27+'Incremental_Cost Year 6'!AI62*'1. Standard_Cost'!$D$27+'Incremental_Cost Year 6'!AJ62+'Incremental_Cost Year 6'!AL62+AK62</f>
        <v>0</v>
      </c>
      <c r="AN62" s="127">
        <f>AM62*'1. Standard_Cost'!$C$31</f>
        <v>0</v>
      </c>
      <c r="AO62" s="249"/>
      <c r="AQ62" s="171">
        <f t="shared" ref="AQ62:AQ76" si="47">L62+M62</f>
        <v>0</v>
      </c>
      <c r="AR62" s="171">
        <f t="shared" ref="AR62:AR76" si="48">AF62</f>
        <v>0</v>
      </c>
      <c r="AS62" s="171">
        <f t="shared" ref="AS62:AS76" si="49">AM62+AN62</f>
        <v>0</v>
      </c>
      <c r="AT62" s="171">
        <f t="shared" ref="AT62:AT76" si="50">SUM(AQ62,AR62,AS62)</f>
        <v>0</v>
      </c>
      <c r="AU62" s="250">
        <f>AQ62</f>
        <v>0</v>
      </c>
      <c r="AV62" s="250"/>
      <c r="AW62" s="250"/>
      <c r="AX62" s="250"/>
      <c r="AY62" s="250">
        <f>AR62</f>
        <v>0</v>
      </c>
      <c r="AZ62" s="250"/>
      <c r="BA62" s="250"/>
      <c r="BB62" s="251">
        <f t="shared" ref="BB62" si="51">SUM(AU62:BA62)-AT62</f>
        <v>0</v>
      </c>
      <c r="BC62" s="169"/>
      <c r="BD62" s="169"/>
      <c r="BE62" s="169"/>
      <c r="BF62" s="169"/>
    </row>
    <row r="63" spans="1:58" ht="141.75" outlineLevel="2" x14ac:dyDescent="0.25">
      <c r="A63" s="115"/>
      <c r="B63" s="200"/>
      <c r="C63" s="201"/>
      <c r="D63" s="141"/>
      <c r="E63" s="318"/>
      <c r="F63" s="219"/>
      <c r="G63" s="313"/>
      <c r="H63" s="199" t="s">
        <v>405</v>
      </c>
      <c r="I63" s="130"/>
      <c r="J63" s="126"/>
      <c r="K63" s="126"/>
      <c r="L63" s="125" t="str">
        <f>IF(I63&lt;&gt;0,((VLOOKUP(I63,'1. Standard_Cost'!$B$4:$D$11,2)+VLOOKUP(I63,'1. Standard_Cost'!$B$4:$D$11,3))*J63*K63),"0")</f>
        <v>0</v>
      </c>
      <c r="M63" s="125">
        <f>L63*'1. Standard_Cost'!$F$4</f>
        <v>0</v>
      </c>
      <c r="N63" s="126"/>
      <c r="O63" s="126"/>
      <c r="P63" s="126"/>
      <c r="Q63" s="126"/>
      <c r="R63" s="127">
        <f>'1. Standard_Cost'!$B$15*N63*P63</f>
        <v>0</v>
      </c>
      <c r="S63" s="127">
        <f>N63*O63*P63*'1. Standard_Cost'!$C$15</f>
        <v>0</v>
      </c>
      <c r="T63" s="127">
        <f>N63*P63*Q63*'1. Standard_Cost'!$D$15</f>
        <v>0</v>
      </c>
      <c r="U63" s="127">
        <f>N63*O63*'1. Standard_Cost'!$E$15</f>
        <v>0</v>
      </c>
      <c r="V63" s="126"/>
      <c r="W63" s="126"/>
      <c r="X63" s="126"/>
      <c r="Y63" s="127">
        <f>+V63*((X63*'1. Standard_Cost'!$B$19)+(W63*X63*'1. Standard_Cost'!$C$19))</f>
        <v>0</v>
      </c>
      <c r="Z63" s="126"/>
      <c r="AA63" s="126"/>
      <c r="AB63" s="127">
        <f>+Z63*'1. Standard_Cost'!$B$23+AA63*'1. Standard_Cost'!$C$23</f>
        <v>0</v>
      </c>
      <c r="AC63" s="128"/>
      <c r="AD63" s="129"/>
      <c r="AE63" s="127">
        <f>SUM(AD63,AC63,AB63,Y63,U63,T63,S63,R63)*'1. Standard_Cost'!$B$31</f>
        <v>0</v>
      </c>
      <c r="AF63" s="127">
        <f t="shared" si="46"/>
        <v>0</v>
      </c>
      <c r="AG63" s="126"/>
      <c r="AH63" s="126"/>
      <c r="AI63" s="126"/>
      <c r="AJ63" s="130"/>
      <c r="AK63" s="130"/>
      <c r="AL63" s="130"/>
      <c r="AM63" s="127">
        <f>AG63*'1. Standard_Cost'!$B$27+'Incremental_Cost Year 6'!AH63*'1. Standard_Cost'!$C$27+'Incremental_Cost Year 6'!AI63*'1. Standard_Cost'!$D$27+'Incremental_Cost Year 6'!AJ63+'Incremental_Cost Year 6'!AL63+AK63</f>
        <v>0</v>
      </c>
      <c r="AN63" s="127">
        <f>AM63*'1. Standard_Cost'!$C$31</f>
        <v>0</v>
      </c>
      <c r="AO63" s="249"/>
      <c r="AQ63" s="171">
        <f t="shared" si="47"/>
        <v>0</v>
      </c>
      <c r="AR63" s="171">
        <f t="shared" si="48"/>
        <v>0</v>
      </c>
      <c r="AS63" s="171">
        <f t="shared" si="49"/>
        <v>0</v>
      </c>
      <c r="AT63" s="171">
        <f t="shared" si="50"/>
        <v>0</v>
      </c>
      <c r="AU63" s="250"/>
      <c r="AV63" s="250"/>
      <c r="AW63" s="250"/>
      <c r="AX63" s="250"/>
      <c r="AY63" s="250"/>
      <c r="AZ63" s="250"/>
      <c r="BA63" s="250"/>
      <c r="BB63" s="251">
        <f t="shared" ref="BB63:BB76" si="52">SUM(AU63:BA63)-AT63</f>
        <v>0</v>
      </c>
      <c r="BC63" s="169"/>
      <c r="BD63" s="169"/>
      <c r="BE63" s="169"/>
      <c r="BF63" s="169"/>
    </row>
    <row r="64" spans="1:58" ht="63" outlineLevel="2" x14ac:dyDescent="0.25">
      <c r="A64" s="115"/>
      <c r="B64" s="200"/>
      <c r="C64" s="201"/>
      <c r="D64" s="131"/>
      <c r="E64" s="319"/>
      <c r="F64" s="219"/>
      <c r="G64" s="313"/>
      <c r="H64" s="199" t="s">
        <v>406</v>
      </c>
      <c r="I64" s="130" t="s">
        <v>1</v>
      </c>
      <c r="J64" s="126">
        <v>12</v>
      </c>
      <c r="K64" s="126">
        <v>130</v>
      </c>
      <c r="L64" s="125">
        <f>IF(I64&lt;&gt;0,((VLOOKUP(I64,'1. Standard_Cost'!$B$4:$D$11,2)+VLOOKUP(I64,'1. Standard_Cost'!$B$4:$D$11,3))*J64*K64),"0")</f>
        <v>111996857.14285713</v>
      </c>
      <c r="M64" s="125">
        <f>L64*'1. Standard_Cost'!$F$4</f>
        <v>18703475.142857142</v>
      </c>
      <c r="N64" s="126"/>
      <c r="O64" s="126"/>
      <c r="P64" s="126"/>
      <c r="Q64" s="126"/>
      <c r="R64" s="127">
        <f>'1. Standard_Cost'!$B$15*N64*P64</f>
        <v>0</v>
      </c>
      <c r="S64" s="127">
        <f>N64*O64*P64*'1. Standard_Cost'!$C$15</f>
        <v>0</v>
      </c>
      <c r="T64" s="127">
        <f>N64*P64*Q64*'1. Standard_Cost'!$D$15</f>
        <v>0</v>
      </c>
      <c r="U64" s="127">
        <f>N64*O64*'1. Standard_Cost'!$E$15</f>
        <v>0</v>
      </c>
      <c r="V64" s="126"/>
      <c r="W64" s="126"/>
      <c r="X64" s="126"/>
      <c r="Y64" s="127">
        <f>+V64*((X64*'1. Standard_Cost'!$B$19)+(W64*X64*'1. Standard_Cost'!$C$19))</f>
        <v>0</v>
      </c>
      <c r="Z64" s="126"/>
      <c r="AA64" s="126"/>
      <c r="AB64" s="127">
        <f>+Z64*'1. Standard_Cost'!$B$23+AA64*'1. Standard_Cost'!$C$23</f>
        <v>0</v>
      </c>
      <c r="AC64" s="128">
        <f>10*500000</f>
        <v>5000000</v>
      </c>
      <c r="AD64" s="129"/>
      <c r="AE64" s="127">
        <v>0</v>
      </c>
      <c r="AF64" s="127">
        <f t="shared" si="46"/>
        <v>5000000</v>
      </c>
      <c r="AG64" s="126"/>
      <c r="AH64" s="126"/>
      <c r="AI64" s="126"/>
      <c r="AJ64" s="130"/>
      <c r="AK64" s="130"/>
      <c r="AL64" s="130"/>
      <c r="AM64" s="127">
        <f>AG64*'1. Standard_Cost'!$B$27+'Incremental_Cost Year 6'!AH64*'1. Standard_Cost'!$C$27+'Incremental_Cost Year 6'!AI64*'1. Standard_Cost'!$D$27+'Incremental_Cost Year 6'!AJ64+'Incremental_Cost Year 6'!AL64+AK64</f>
        <v>0</v>
      </c>
      <c r="AN64" s="127">
        <f>AM64*'1. Standard_Cost'!$C$31</f>
        <v>0</v>
      </c>
      <c r="AO64" s="130"/>
      <c r="AQ64" s="171">
        <f t="shared" si="47"/>
        <v>130700332.28571427</v>
      </c>
      <c r="AR64" s="171">
        <f t="shared" si="48"/>
        <v>5000000</v>
      </c>
      <c r="AS64" s="171">
        <f t="shared" si="49"/>
        <v>0</v>
      </c>
      <c r="AT64" s="171">
        <f t="shared" si="50"/>
        <v>135700332.28571427</v>
      </c>
      <c r="AU64" s="250">
        <f>AT64</f>
        <v>135700332.28571427</v>
      </c>
      <c r="AV64" s="250"/>
      <c r="AW64" s="250"/>
      <c r="AX64" s="250"/>
      <c r="AY64" s="250"/>
      <c r="AZ64" s="250"/>
      <c r="BA64" s="250"/>
      <c r="BB64" s="251">
        <f t="shared" si="52"/>
        <v>0</v>
      </c>
      <c r="BC64" s="169"/>
      <c r="BD64" s="169"/>
      <c r="BE64" s="169"/>
      <c r="BF64" s="169"/>
    </row>
    <row r="65" spans="1:58" ht="31.5" outlineLevel="2" x14ac:dyDescent="0.25">
      <c r="A65" s="115"/>
      <c r="B65" s="200"/>
      <c r="C65" s="201"/>
      <c r="D65" s="131"/>
      <c r="E65" s="318"/>
      <c r="F65" s="219"/>
      <c r="G65" s="313"/>
      <c r="H65" s="199" t="s">
        <v>407</v>
      </c>
      <c r="I65" s="130" t="s">
        <v>1</v>
      </c>
      <c r="J65" s="126">
        <v>12</v>
      </c>
      <c r="K65" s="126">
        <v>93</v>
      </c>
      <c r="L65" s="125">
        <f>IF(I65&lt;&gt;0,((VLOOKUP(I65,'1. Standard_Cost'!$B$4:$D$11,2)+VLOOKUP(I65,'1. Standard_Cost'!$B$4:$D$11,3))*J65*K65),"0")</f>
        <v>80120828.571428567</v>
      </c>
      <c r="M65" s="125">
        <f>L65*'1. Standard_Cost'!$F$4</f>
        <v>13380178.371428572</v>
      </c>
      <c r="N65" s="126"/>
      <c r="O65" s="126"/>
      <c r="P65" s="126"/>
      <c r="Q65" s="126"/>
      <c r="R65" s="127">
        <f>'1. Standard_Cost'!$B$15*N65*P65</f>
        <v>0</v>
      </c>
      <c r="S65" s="127">
        <f>N65*O65*P65*'1. Standard_Cost'!$C$15</f>
        <v>0</v>
      </c>
      <c r="T65" s="127">
        <f>N65*P65*Q65*'1. Standard_Cost'!$D$15</f>
        <v>0</v>
      </c>
      <c r="U65" s="127">
        <f>N65*O65*'1. Standard_Cost'!$E$15</f>
        <v>0</v>
      </c>
      <c r="V65" s="126"/>
      <c r="W65" s="126"/>
      <c r="X65" s="126"/>
      <c r="Y65" s="127">
        <f>+V65*((X65*'1. Standard_Cost'!$B$19)+(W65*X65*'1. Standard_Cost'!$C$19))</f>
        <v>0</v>
      </c>
      <c r="Z65" s="126"/>
      <c r="AA65" s="126"/>
      <c r="AB65" s="127">
        <f>+Z65*'1. Standard_Cost'!$B$23+AA65*'1. Standard_Cost'!$C$23</f>
        <v>0</v>
      </c>
      <c r="AC65" s="128">
        <f>300000*14</f>
        <v>4200000</v>
      </c>
      <c r="AD65" s="129"/>
      <c r="AE65" s="127">
        <v>0</v>
      </c>
      <c r="AF65" s="127">
        <f t="shared" si="46"/>
        <v>4200000</v>
      </c>
      <c r="AG65" s="126"/>
      <c r="AH65" s="126"/>
      <c r="AI65" s="126"/>
      <c r="AJ65" s="130"/>
      <c r="AK65" s="130"/>
      <c r="AL65" s="130"/>
      <c r="AM65" s="127">
        <f>AG65*'1. Standard_Cost'!$B$27+'Incremental_Cost Year 6'!AH65*'1. Standard_Cost'!$C$27+'Incremental_Cost Year 6'!AI65*'1. Standard_Cost'!$D$27+'Incremental_Cost Year 6'!AJ65+'Incremental_Cost Year 6'!AL65+AK65</f>
        <v>0</v>
      </c>
      <c r="AN65" s="127">
        <f>AM65*'1. Standard_Cost'!$C$31</f>
        <v>0</v>
      </c>
      <c r="AO65" s="130"/>
      <c r="AQ65" s="171">
        <f t="shared" si="47"/>
        <v>93501006.942857146</v>
      </c>
      <c r="AR65" s="171">
        <f t="shared" si="48"/>
        <v>4200000</v>
      </c>
      <c r="AS65" s="171">
        <f t="shared" si="49"/>
        <v>0</v>
      </c>
      <c r="AT65" s="171">
        <f t="shared" si="50"/>
        <v>97701006.942857146</v>
      </c>
      <c r="AU65" s="250">
        <f>AT65</f>
        <v>97701006.942857146</v>
      </c>
      <c r="AV65" s="250"/>
      <c r="AW65" s="250"/>
      <c r="AX65" s="250"/>
      <c r="AY65" s="250"/>
      <c r="AZ65" s="250"/>
      <c r="BA65" s="250"/>
      <c r="BB65" s="251">
        <f t="shared" si="52"/>
        <v>0</v>
      </c>
      <c r="BC65" s="169"/>
      <c r="BD65" s="169"/>
      <c r="BE65" s="169"/>
      <c r="BF65" s="169"/>
    </row>
    <row r="66" spans="1:58" ht="94.5" outlineLevel="2" x14ac:dyDescent="0.25">
      <c r="A66" s="115"/>
      <c r="B66" s="200"/>
      <c r="C66" s="201"/>
      <c r="D66" s="131"/>
      <c r="E66" s="318"/>
      <c r="F66" s="219"/>
      <c r="G66" s="313"/>
      <c r="H66" s="199" t="s">
        <v>548</v>
      </c>
      <c r="I66" s="130" t="s">
        <v>1</v>
      </c>
      <c r="J66" s="126">
        <v>12</v>
      </c>
      <c r="K66" s="126">
        <f>14*2+14*2</f>
        <v>56</v>
      </c>
      <c r="L66" s="125">
        <f>IF(I66&lt;&gt;0,((VLOOKUP(I66,'1. Standard_Cost'!$B$4:$D$11,2)+VLOOKUP(I66,'1. Standard_Cost'!$B$4:$D$11,3))*J66*K66),"0")</f>
        <v>48244800</v>
      </c>
      <c r="M66" s="125">
        <f>L66*'1. Standard_Cost'!$F$4</f>
        <v>8056881.6000000006</v>
      </c>
      <c r="N66" s="126"/>
      <c r="O66" s="126"/>
      <c r="P66" s="126"/>
      <c r="Q66" s="126"/>
      <c r="R66" s="127">
        <f>'1. Standard_Cost'!$B$15*N66*P66</f>
        <v>0</v>
      </c>
      <c r="S66" s="127">
        <f>N66*O66*P66*'1. Standard_Cost'!$C$15</f>
        <v>0</v>
      </c>
      <c r="T66" s="127">
        <f>N66*P66*Q66*'1. Standard_Cost'!$D$15</f>
        <v>0</v>
      </c>
      <c r="U66" s="127">
        <f>N66*O66*'1. Standard_Cost'!$E$15</f>
        <v>0</v>
      </c>
      <c r="V66" s="126"/>
      <c r="W66" s="126"/>
      <c r="X66" s="126"/>
      <c r="Y66" s="127">
        <f>+V66*((X66*'1. Standard_Cost'!$B$19)+(W66*X66*'1. Standard_Cost'!$C$19))</f>
        <v>0</v>
      </c>
      <c r="Z66" s="126"/>
      <c r="AA66" s="126"/>
      <c r="AB66" s="127">
        <f>+Z66*'1. Standard_Cost'!$B$23+AA66*'1. Standard_Cost'!$C$23</f>
        <v>0</v>
      </c>
      <c r="AC66" s="128">
        <f>30000000*4</f>
        <v>120000000</v>
      </c>
      <c r="AD66" s="129"/>
      <c r="AE66" s="127"/>
      <c r="AF66" s="127">
        <f t="shared" si="46"/>
        <v>120000000</v>
      </c>
      <c r="AG66" s="126"/>
      <c r="AH66" s="126"/>
      <c r="AI66" s="126"/>
      <c r="AJ66" s="130"/>
      <c r="AK66" s="130"/>
      <c r="AL66" s="130"/>
      <c r="AM66" s="127">
        <f>AG66*'1. Standard_Cost'!$B$27+'Incremental_Cost Year 6'!AH66*'1. Standard_Cost'!$C$27+'Incremental_Cost Year 6'!AI66*'1. Standard_Cost'!$D$27+'Incremental_Cost Year 6'!AJ66+'Incremental_Cost Year 6'!AL66+AK66</f>
        <v>0</v>
      </c>
      <c r="AN66" s="127">
        <f>AM66*'1. Standard_Cost'!$C$31</f>
        <v>0</v>
      </c>
      <c r="AO66" s="130"/>
      <c r="AQ66" s="171">
        <f t="shared" si="47"/>
        <v>56301681.600000001</v>
      </c>
      <c r="AR66" s="171">
        <f t="shared" si="48"/>
        <v>120000000</v>
      </c>
      <c r="AS66" s="171">
        <f t="shared" si="49"/>
        <v>0</v>
      </c>
      <c r="AT66" s="171">
        <f t="shared" si="50"/>
        <v>176301681.59999999</v>
      </c>
      <c r="AU66" s="250">
        <f>AT66</f>
        <v>176301681.59999999</v>
      </c>
      <c r="AV66" s="250"/>
      <c r="AW66" s="250"/>
      <c r="AX66" s="250"/>
      <c r="AY66" s="250"/>
      <c r="AZ66" s="250"/>
      <c r="BA66" s="250"/>
      <c r="BB66" s="251">
        <f t="shared" si="52"/>
        <v>0</v>
      </c>
      <c r="BC66" s="169"/>
      <c r="BD66" s="169"/>
      <c r="BE66" s="169"/>
      <c r="BF66" s="169"/>
    </row>
    <row r="67" spans="1:58" ht="31.5" outlineLevel="2" x14ac:dyDescent="0.25">
      <c r="A67" s="115"/>
      <c r="B67" s="200"/>
      <c r="C67" s="201"/>
      <c r="D67" s="131"/>
      <c r="E67" s="318"/>
      <c r="F67" s="219"/>
      <c r="G67" s="313"/>
      <c r="H67" s="199" t="s">
        <v>408</v>
      </c>
      <c r="I67" s="130" t="s">
        <v>1</v>
      </c>
      <c r="J67" s="126">
        <v>12</v>
      </c>
      <c r="K67" s="126">
        <v>400</v>
      </c>
      <c r="L67" s="125">
        <f>IF(I67&lt;&gt;0,((VLOOKUP(I67,'1. Standard_Cost'!$B$4:$D$11,2)+VLOOKUP(I67,'1. Standard_Cost'!$B$4:$D$11,3))*J67*K67),"0")</f>
        <v>344605714.28571427</v>
      </c>
      <c r="M67" s="125">
        <f>L67*'1. Standard_Cost'!$F$4</f>
        <v>57549154.285714284</v>
      </c>
      <c r="N67" s="126"/>
      <c r="O67" s="126"/>
      <c r="P67" s="126"/>
      <c r="Q67" s="126"/>
      <c r="R67" s="127">
        <f>'1. Standard_Cost'!$B$15*N67*P67</f>
        <v>0</v>
      </c>
      <c r="S67" s="127">
        <f>N67*O67*P67*'1. Standard_Cost'!$C$15</f>
        <v>0</v>
      </c>
      <c r="T67" s="127">
        <f>N67*P67*Q67*'1. Standard_Cost'!$D$15</f>
        <v>0</v>
      </c>
      <c r="U67" s="127">
        <f>N67*O67*'1. Standard_Cost'!$E$15</f>
        <v>0</v>
      </c>
      <c r="V67" s="126"/>
      <c r="W67" s="126"/>
      <c r="X67" s="126"/>
      <c r="Y67" s="127">
        <f>+V67*((X67*'1. Standard_Cost'!$B$19)+(W67*X67*'1. Standard_Cost'!$C$19))</f>
        <v>0</v>
      </c>
      <c r="Z67" s="126"/>
      <c r="AA67" s="126"/>
      <c r="AB67" s="127">
        <f>+Z67*'1. Standard_Cost'!$B$23+AA67*'1. Standard_Cost'!$C$23</f>
        <v>0</v>
      </c>
      <c r="AC67" s="128">
        <v>406252000</v>
      </c>
      <c r="AD67" s="129"/>
      <c r="AE67" s="127">
        <f>SUM(AD67,AC67,AB67,Y67,U67,T67,S67,R67)*'1. Standard_Cost'!$B$31</f>
        <v>81250400</v>
      </c>
      <c r="AF67" s="127">
        <f t="shared" si="46"/>
        <v>487502400</v>
      </c>
      <c r="AG67" s="126"/>
      <c r="AH67" s="126"/>
      <c r="AI67" s="126"/>
      <c r="AJ67" s="130"/>
      <c r="AK67" s="130"/>
      <c r="AL67" s="130"/>
      <c r="AM67" s="127">
        <f>AG67*'1. Standard_Cost'!$B$27+'Incremental_Cost Year 6'!AH67*'1. Standard_Cost'!$C$27+'Incremental_Cost Year 6'!AI67*'1. Standard_Cost'!$D$27+'Incremental_Cost Year 6'!AJ67+'Incremental_Cost Year 6'!AL67+AK67</f>
        <v>0</v>
      </c>
      <c r="AN67" s="127">
        <f>AM67*'1. Standard_Cost'!$C$31</f>
        <v>0</v>
      </c>
      <c r="AO67" s="130"/>
      <c r="AQ67" s="171">
        <f t="shared" si="47"/>
        <v>402154868.57142854</v>
      </c>
      <c r="AR67" s="171">
        <f t="shared" si="48"/>
        <v>487502400</v>
      </c>
      <c r="AS67" s="171">
        <f t="shared" si="49"/>
        <v>0</v>
      </c>
      <c r="AT67" s="171">
        <f t="shared" si="50"/>
        <v>889657268.57142854</v>
      </c>
      <c r="AU67" s="250">
        <f>AT67</f>
        <v>889657268.57142854</v>
      </c>
      <c r="AV67" s="250"/>
      <c r="AW67" s="250"/>
      <c r="AX67" s="250"/>
      <c r="AY67" s="250"/>
      <c r="AZ67" s="250"/>
      <c r="BA67" s="250"/>
      <c r="BB67" s="251">
        <f t="shared" si="52"/>
        <v>0</v>
      </c>
      <c r="BC67" s="169"/>
      <c r="BD67" s="169"/>
      <c r="BE67" s="169"/>
      <c r="BF67" s="169"/>
    </row>
    <row r="68" spans="1:58" ht="94.5" outlineLevel="2" x14ac:dyDescent="0.25">
      <c r="A68" s="115"/>
      <c r="B68" s="200"/>
      <c r="C68" s="201"/>
      <c r="D68" s="131"/>
      <c r="E68" s="318"/>
      <c r="F68" s="219"/>
      <c r="G68" s="313"/>
      <c r="H68" s="199" t="s">
        <v>409</v>
      </c>
      <c r="I68" s="130"/>
      <c r="J68" s="126"/>
      <c r="K68" s="126"/>
      <c r="L68" s="125" t="str">
        <f>IF(I68&lt;&gt;0,((VLOOKUP(I68,'1. Standard_Cost'!$B$4:$D$11,2)+VLOOKUP(I68,'1. Standard_Cost'!$B$4:$D$11,3))*J68*K68),"0")</f>
        <v>0</v>
      </c>
      <c r="M68" s="125">
        <f>L68*'1. Standard_Cost'!$F$4</f>
        <v>0</v>
      </c>
      <c r="N68" s="126"/>
      <c r="O68" s="126"/>
      <c r="P68" s="126"/>
      <c r="Q68" s="126"/>
      <c r="R68" s="127">
        <f>'1. Standard_Cost'!$B$15*N68*P68</f>
        <v>0</v>
      </c>
      <c r="S68" s="127">
        <f>N68*O68*P68*'1. Standard_Cost'!$C$15</f>
        <v>0</v>
      </c>
      <c r="T68" s="127">
        <f>N68*P68*Q68*'1. Standard_Cost'!$D$15</f>
        <v>0</v>
      </c>
      <c r="U68" s="127">
        <f>N68*O68*'1. Standard_Cost'!$E$15</f>
        <v>0</v>
      </c>
      <c r="V68" s="126"/>
      <c r="W68" s="126"/>
      <c r="X68" s="126"/>
      <c r="Y68" s="127">
        <f>+V68*((X68*'1. Standard_Cost'!$B$19)+(W68*X68*'1. Standard_Cost'!$C$19))</f>
        <v>0</v>
      </c>
      <c r="Z68" s="126"/>
      <c r="AA68" s="126"/>
      <c r="AB68" s="127">
        <f>+Z68*'1. Standard_Cost'!$B$23+AA68*'1. Standard_Cost'!$C$23</f>
        <v>0</v>
      </c>
      <c r="AC68" s="128"/>
      <c r="AD68" s="129"/>
      <c r="AE68" s="127">
        <f>SUM(AD68,AC68,AB68,Y68,U68,T68,S68,R68)*'1. Standard_Cost'!$B$31</f>
        <v>0</v>
      </c>
      <c r="AF68" s="127">
        <f>SUM(AE68,AD68,AC68,AB68,Y68,U68,T68,S68,R68)</f>
        <v>0</v>
      </c>
      <c r="AG68" s="126"/>
      <c r="AH68" s="126"/>
      <c r="AI68" s="126"/>
      <c r="AJ68" s="130"/>
      <c r="AK68" s="130"/>
      <c r="AL68" s="130"/>
      <c r="AM68" s="127">
        <f>AG68*'1. Standard_Cost'!$B$27+'Incremental_Cost Year 6'!AH68*'1. Standard_Cost'!$C$27+'Incremental_Cost Year 6'!AI68*'1. Standard_Cost'!$D$27+'Incremental_Cost Year 6'!AJ68+'Incremental_Cost Year 6'!AL68+AK68</f>
        <v>0</v>
      </c>
      <c r="AN68" s="127">
        <f>AM68*'1. Standard_Cost'!$C$31</f>
        <v>0</v>
      </c>
      <c r="AO68" s="130"/>
      <c r="AQ68" s="171">
        <f t="shared" si="47"/>
        <v>0</v>
      </c>
      <c r="AR68" s="171">
        <f t="shared" si="48"/>
        <v>0</v>
      </c>
      <c r="AS68" s="171">
        <f t="shared" si="49"/>
        <v>0</v>
      </c>
      <c r="AT68" s="171">
        <f t="shared" si="50"/>
        <v>0</v>
      </c>
      <c r="AU68" s="250">
        <f>AT68</f>
        <v>0</v>
      </c>
      <c r="AV68" s="250">
        <f>AQ68</f>
        <v>0</v>
      </c>
      <c r="AW68" s="250"/>
      <c r="AX68" s="250"/>
      <c r="AY68" s="250"/>
      <c r="AZ68" s="250"/>
      <c r="BA68" s="250"/>
      <c r="BB68" s="251">
        <f t="shared" si="52"/>
        <v>0</v>
      </c>
      <c r="BC68" s="169"/>
      <c r="BD68" s="169"/>
      <c r="BE68" s="169"/>
      <c r="BF68" s="169"/>
    </row>
    <row r="69" spans="1:58" ht="47.25" outlineLevel="2" x14ac:dyDescent="0.25">
      <c r="A69" s="115"/>
      <c r="B69" s="200"/>
      <c r="C69" s="201"/>
      <c r="D69" s="131"/>
      <c r="E69" s="318"/>
      <c r="F69" s="219"/>
      <c r="G69" s="313"/>
      <c r="H69" s="199" t="s">
        <v>224</v>
      </c>
      <c r="I69" s="130"/>
      <c r="J69" s="126"/>
      <c r="K69" s="126"/>
      <c r="L69" s="125" t="str">
        <f>IF(I69&lt;&gt;0,((VLOOKUP(I69,'1. Standard_Cost'!$B$4:$D$11,2)+VLOOKUP(I69,'1. Standard_Cost'!$B$4:$D$11,3))*J69*K69),"0")</f>
        <v>0</v>
      </c>
      <c r="M69" s="125">
        <f>L69*'1. Standard_Cost'!$F$4</f>
        <v>0</v>
      </c>
      <c r="N69" s="126"/>
      <c r="O69" s="126"/>
      <c r="P69" s="126"/>
      <c r="Q69" s="126"/>
      <c r="R69" s="127">
        <f>'1. Standard_Cost'!$B$15*N69*P69</f>
        <v>0</v>
      </c>
      <c r="S69" s="127">
        <f>N69*O69*P69*'1. Standard_Cost'!$C$15</f>
        <v>0</v>
      </c>
      <c r="T69" s="127">
        <f>N69*P69*Q69*'1. Standard_Cost'!$D$15</f>
        <v>0</v>
      </c>
      <c r="U69" s="127">
        <f>N69*O69*'1. Standard_Cost'!$E$15</f>
        <v>0</v>
      </c>
      <c r="V69" s="126"/>
      <c r="W69" s="126"/>
      <c r="X69" s="126"/>
      <c r="Y69" s="127">
        <f>+V69*((X69*'1. Standard_Cost'!$B$19)+(W69*X69*'1. Standard_Cost'!$C$19))</f>
        <v>0</v>
      </c>
      <c r="Z69" s="126"/>
      <c r="AA69" s="126"/>
      <c r="AB69" s="127">
        <f>+Z69*'1. Standard_Cost'!$B$23+AA69*'1. Standard_Cost'!$C$23</f>
        <v>0</v>
      </c>
      <c r="AC69" s="128"/>
      <c r="AD69" s="129"/>
      <c r="AE69" s="127"/>
      <c r="AF69" s="127"/>
      <c r="AG69" s="126"/>
      <c r="AH69" s="126"/>
      <c r="AI69" s="126"/>
      <c r="AJ69" s="130"/>
      <c r="AK69" s="130"/>
      <c r="AL69" s="130"/>
      <c r="AM69" s="127">
        <f>AG69*'1. Standard_Cost'!$B$27+'Incremental_Cost Year 6'!AH69*'1. Standard_Cost'!$C$27+'Incremental_Cost Year 6'!AI69*'1. Standard_Cost'!$D$27+'Incremental_Cost Year 6'!AJ69+'Incremental_Cost Year 6'!AL69+AK69</f>
        <v>0</v>
      </c>
      <c r="AN69" s="127">
        <f>AM69*'1. Standard_Cost'!$C$31</f>
        <v>0</v>
      </c>
      <c r="AO69" s="130"/>
      <c r="AQ69" s="171">
        <f t="shared" si="47"/>
        <v>0</v>
      </c>
      <c r="AR69" s="171">
        <f t="shared" si="48"/>
        <v>0</v>
      </c>
      <c r="AS69" s="171">
        <f t="shared" si="49"/>
        <v>0</v>
      </c>
      <c r="AT69" s="171">
        <f t="shared" si="50"/>
        <v>0</v>
      </c>
      <c r="AU69" s="250"/>
      <c r="AV69" s="250"/>
      <c r="AW69" s="250"/>
      <c r="AX69" s="250"/>
      <c r="AY69" s="250"/>
      <c r="AZ69" s="250"/>
      <c r="BA69" s="250"/>
      <c r="BB69" s="251">
        <f t="shared" si="52"/>
        <v>0</v>
      </c>
      <c r="BC69" s="169"/>
      <c r="BD69" s="169"/>
      <c r="BE69" s="169"/>
      <c r="BF69" s="169"/>
    </row>
    <row r="70" spans="1:58" ht="189" outlineLevel="2" x14ac:dyDescent="0.25">
      <c r="A70" s="115"/>
      <c r="B70" s="200"/>
      <c r="C70" s="201"/>
      <c r="D70" s="131"/>
      <c r="E70" s="318"/>
      <c r="F70" s="219"/>
      <c r="G70" s="313"/>
      <c r="H70" s="111" t="s">
        <v>410</v>
      </c>
      <c r="I70" s="130"/>
      <c r="J70" s="126"/>
      <c r="K70" s="126"/>
      <c r="L70" s="125" t="str">
        <f>IF(I70&lt;&gt;0,((VLOOKUP(I70,'1. Standard_Cost'!$B$4:$D$11,2)+VLOOKUP(I70,'1. Standard_Cost'!$B$4:$D$11,3))*J70*K70),"0")</f>
        <v>0</v>
      </c>
      <c r="M70" s="125">
        <f>L70*'1. Standard_Cost'!$F$4</f>
        <v>0</v>
      </c>
      <c r="N70" s="126"/>
      <c r="O70" s="126"/>
      <c r="P70" s="126"/>
      <c r="Q70" s="126"/>
      <c r="R70" s="127">
        <f>'1. Standard_Cost'!$B$15*N70*P70</f>
        <v>0</v>
      </c>
      <c r="S70" s="127">
        <f>N70*O70*P70*'1. Standard_Cost'!$C$15</f>
        <v>0</v>
      </c>
      <c r="T70" s="127">
        <f>N70*P70*Q70*'1. Standard_Cost'!$D$15</f>
        <v>0</v>
      </c>
      <c r="U70" s="127">
        <f>N70*O70*'1. Standard_Cost'!$E$15</f>
        <v>0</v>
      </c>
      <c r="V70" s="126"/>
      <c r="W70" s="126"/>
      <c r="X70" s="126"/>
      <c r="Y70" s="127">
        <f>+V70*((X70*'1. Standard_Cost'!$B$19)+(W70*X70*'1. Standard_Cost'!$C$19))</f>
        <v>0</v>
      </c>
      <c r="Z70" s="126"/>
      <c r="AA70" s="126"/>
      <c r="AB70" s="127">
        <f>+Z70*'1. Standard_Cost'!$B$23+AA70*'1. Standard_Cost'!$C$23</f>
        <v>0</v>
      </c>
      <c r="AC70" s="128"/>
      <c r="AD70" s="129"/>
      <c r="AE70" s="127">
        <f>SUM(AD70,AC70,AB70,Y70,U70,T70,S70,R70)*'1. Standard_Cost'!$B$31</f>
        <v>0</v>
      </c>
      <c r="AF70" s="127">
        <f t="shared" ref="AF70:AF76" si="53">SUM(AE70,AD70,AC70,AB70,Y70,U70,T70,S70,R70)</f>
        <v>0</v>
      </c>
      <c r="AG70" s="126"/>
      <c r="AH70" s="126"/>
      <c r="AI70" s="126"/>
      <c r="AJ70" s="130"/>
      <c r="AK70" s="130"/>
      <c r="AL70" s="130"/>
      <c r="AM70" s="127">
        <f>AG70*'1. Standard_Cost'!$B$27+'Incremental_Cost Year 6'!AH70*'1. Standard_Cost'!$C$27+'Incremental_Cost Year 6'!AI70*'1. Standard_Cost'!$D$27+'Incremental_Cost Year 6'!AJ70+'Incremental_Cost Year 6'!AL70+AK70</f>
        <v>0</v>
      </c>
      <c r="AN70" s="127">
        <f>AM70*'1. Standard_Cost'!$C$31</f>
        <v>0</v>
      </c>
      <c r="AO70" s="130"/>
      <c r="AQ70" s="171">
        <f t="shared" si="47"/>
        <v>0</v>
      </c>
      <c r="AR70" s="171">
        <f t="shared" si="48"/>
        <v>0</v>
      </c>
      <c r="AS70" s="171">
        <f t="shared" si="49"/>
        <v>0</v>
      </c>
      <c r="AT70" s="171">
        <f t="shared" si="50"/>
        <v>0</v>
      </c>
      <c r="AU70" s="250">
        <f>AQ70</f>
        <v>0</v>
      </c>
      <c r="AV70" s="250"/>
      <c r="AW70" s="250"/>
      <c r="AX70" s="250"/>
      <c r="AY70" s="250">
        <f>AR70</f>
        <v>0</v>
      </c>
      <c r="AZ70" s="250"/>
      <c r="BA70" s="250"/>
      <c r="BB70" s="251">
        <f t="shared" si="52"/>
        <v>0</v>
      </c>
      <c r="BC70" s="169"/>
      <c r="BD70" s="169"/>
      <c r="BE70" s="169"/>
      <c r="BF70" s="169"/>
    </row>
    <row r="71" spans="1:58" ht="157.5" outlineLevel="2" x14ac:dyDescent="0.25">
      <c r="A71" s="115"/>
      <c r="B71" s="200"/>
      <c r="C71" s="201"/>
      <c r="D71" s="131"/>
      <c r="E71" s="318"/>
      <c r="F71" s="219"/>
      <c r="G71" s="313"/>
      <c r="H71" s="111" t="s">
        <v>411</v>
      </c>
      <c r="I71" s="130"/>
      <c r="J71" s="126"/>
      <c r="K71" s="126"/>
      <c r="L71" s="125" t="str">
        <f>IF(I71&lt;&gt;0,((VLOOKUP(I71,'1. Standard_Cost'!$B$4:$D$11,2)+VLOOKUP(I71,'1. Standard_Cost'!$B$4:$D$11,3))*J71*K71),"0")</f>
        <v>0</v>
      </c>
      <c r="M71" s="125">
        <f>L71*'1. Standard_Cost'!$F$4</f>
        <v>0</v>
      </c>
      <c r="N71" s="126"/>
      <c r="O71" s="126"/>
      <c r="P71" s="126"/>
      <c r="Q71" s="126"/>
      <c r="R71" s="127">
        <f>'1. Standard_Cost'!$B$15*N71*P71</f>
        <v>0</v>
      </c>
      <c r="S71" s="127">
        <f>N71*O71*P71*'1. Standard_Cost'!$C$15</f>
        <v>0</v>
      </c>
      <c r="T71" s="127">
        <f>N71*P71*Q71*'1. Standard_Cost'!$D$15</f>
        <v>0</v>
      </c>
      <c r="U71" s="127">
        <f>N71*O71*'1. Standard_Cost'!$E$15</f>
        <v>0</v>
      </c>
      <c r="V71" s="126"/>
      <c r="W71" s="126"/>
      <c r="X71" s="126"/>
      <c r="Y71" s="127">
        <f>+V71*((X71*'1. Standard_Cost'!$B$19)+(W71*X71*'1. Standard_Cost'!$C$19))</f>
        <v>0</v>
      </c>
      <c r="Z71" s="126"/>
      <c r="AA71" s="126"/>
      <c r="AB71" s="127">
        <f>+Z71*'1. Standard_Cost'!$B$23+AA71*'1. Standard_Cost'!$C$23</f>
        <v>0</v>
      </c>
      <c r="AC71" s="128"/>
      <c r="AD71" s="129"/>
      <c r="AE71" s="127">
        <f>SUM(AD71,AC71,AB71,Y71,U71,T71,S71,R71)*'1. Standard_Cost'!$B$31</f>
        <v>0</v>
      </c>
      <c r="AF71" s="127">
        <f t="shared" si="53"/>
        <v>0</v>
      </c>
      <c r="AG71" s="126"/>
      <c r="AH71" s="126"/>
      <c r="AI71" s="126"/>
      <c r="AJ71" s="130"/>
      <c r="AK71" s="130"/>
      <c r="AL71" s="130"/>
      <c r="AM71" s="127">
        <f>AG71*'1. Standard_Cost'!$B$27+'Incremental_Cost Year 6'!AH71*'1. Standard_Cost'!$C$27+'Incremental_Cost Year 6'!AI71*'1. Standard_Cost'!$D$27+'Incremental_Cost Year 6'!AJ71+'Incremental_Cost Year 6'!AL71+AK71</f>
        <v>0</v>
      </c>
      <c r="AN71" s="127">
        <f>AM71*'1. Standard_Cost'!$C$31</f>
        <v>0</v>
      </c>
      <c r="AO71" s="130"/>
      <c r="AQ71" s="171">
        <f t="shared" si="47"/>
        <v>0</v>
      </c>
      <c r="AR71" s="171">
        <f t="shared" si="48"/>
        <v>0</v>
      </c>
      <c r="AS71" s="171">
        <f t="shared" si="49"/>
        <v>0</v>
      </c>
      <c r="AT71" s="171">
        <f t="shared" si="50"/>
        <v>0</v>
      </c>
      <c r="AU71" s="250">
        <f>AQ71</f>
        <v>0</v>
      </c>
      <c r="AV71" s="250"/>
      <c r="AW71" s="250"/>
      <c r="AX71" s="250"/>
      <c r="AY71" s="250"/>
      <c r="AZ71" s="250"/>
      <c r="BA71" s="250"/>
      <c r="BB71" s="251">
        <f t="shared" si="52"/>
        <v>0</v>
      </c>
      <c r="BC71" s="169"/>
      <c r="BD71" s="169"/>
      <c r="BE71" s="169"/>
      <c r="BF71" s="169"/>
    </row>
    <row r="72" spans="1:58" ht="173.25" outlineLevel="2" x14ac:dyDescent="0.25">
      <c r="A72" s="115"/>
      <c r="B72" s="200"/>
      <c r="C72" s="201"/>
      <c r="D72" s="131"/>
      <c r="E72" s="318"/>
      <c r="F72" s="219"/>
      <c r="G72" s="313"/>
      <c r="H72" s="199" t="s">
        <v>412</v>
      </c>
      <c r="I72" s="130" t="s">
        <v>4</v>
      </c>
      <c r="J72" s="126">
        <v>0.5</v>
      </c>
      <c r="K72" s="126">
        <v>5</v>
      </c>
      <c r="L72" s="125">
        <f>IF(I72&lt;&gt;0,((VLOOKUP(I72,'1. Standard_Cost'!$B$4:$D$11,2)+VLOOKUP(I72,'1. Standard_Cost'!$B$4:$D$11,3))*J72*K72),"0")</f>
        <v>201875</v>
      </c>
      <c r="M72" s="125">
        <f>L72*'1. Standard_Cost'!$F$4</f>
        <v>33713.125</v>
      </c>
      <c r="N72" s="126">
        <v>5</v>
      </c>
      <c r="O72" s="126">
        <v>2</v>
      </c>
      <c r="P72" s="126">
        <v>20</v>
      </c>
      <c r="Q72" s="126"/>
      <c r="R72" s="127">
        <f>'1. Standard_Cost'!$B$15*N72*P72</f>
        <v>200000</v>
      </c>
      <c r="S72" s="127">
        <f>N72*O72*P72*'1. Standard_Cost'!$C$15</f>
        <v>300000</v>
      </c>
      <c r="T72" s="127">
        <f>N72*P72*Q72*'1. Standard_Cost'!$D$15</f>
        <v>0</v>
      </c>
      <c r="U72" s="127">
        <f>N72*O72*'1. Standard_Cost'!$E$15</f>
        <v>400000</v>
      </c>
      <c r="V72" s="126"/>
      <c r="W72" s="126"/>
      <c r="X72" s="126"/>
      <c r="Y72" s="127">
        <f>+V72*((X72*'1. Standard_Cost'!$B$19)+(W72*X72*'1. Standard_Cost'!$C$19))</f>
        <v>0</v>
      </c>
      <c r="Z72" s="126"/>
      <c r="AA72" s="126">
        <v>6</v>
      </c>
      <c r="AB72" s="127">
        <f>+Z72*'1. Standard_Cost'!$B$23+AA72*'1. Standard_Cost'!$C$23</f>
        <v>114000</v>
      </c>
      <c r="AC72" s="128">
        <f>100*300*2+100*3000*2</f>
        <v>660000</v>
      </c>
      <c r="AD72" s="129"/>
      <c r="AE72" s="127">
        <f>SUM(AD72,AC72,AB72,Y72,U72,T72,S72,R72)*'1. Standard_Cost'!$B$31</f>
        <v>334800</v>
      </c>
      <c r="AF72" s="127">
        <f t="shared" si="53"/>
        <v>2008800</v>
      </c>
      <c r="AG72" s="126"/>
      <c r="AH72" s="126"/>
      <c r="AI72" s="126"/>
      <c r="AJ72" s="130"/>
      <c r="AK72" s="130"/>
      <c r="AL72" s="130"/>
      <c r="AM72" s="127">
        <f>AG72*'1. Standard_Cost'!$B$27+'Incremental_Cost Year 6'!AH72*'1. Standard_Cost'!$C$27+'Incremental_Cost Year 6'!AI72*'1. Standard_Cost'!$D$27+'Incremental_Cost Year 6'!AJ72+'Incremental_Cost Year 6'!AL72+AK72</f>
        <v>0</v>
      </c>
      <c r="AN72" s="127">
        <f>AM72*'1. Standard_Cost'!$C$31</f>
        <v>0</v>
      </c>
      <c r="AO72" s="249"/>
      <c r="AQ72" s="171">
        <f t="shared" si="47"/>
        <v>235588.125</v>
      </c>
      <c r="AR72" s="171">
        <f t="shared" si="48"/>
        <v>2008800</v>
      </c>
      <c r="AS72" s="171">
        <f t="shared" si="49"/>
        <v>0</v>
      </c>
      <c r="AT72" s="171">
        <f t="shared" si="50"/>
        <v>2244388.125</v>
      </c>
      <c r="AU72" s="250">
        <f>AQ72</f>
        <v>235588.125</v>
      </c>
      <c r="AV72" s="250"/>
      <c r="AW72" s="250"/>
      <c r="AX72" s="250"/>
      <c r="AY72" s="250">
        <f>928800</f>
        <v>928800</v>
      </c>
      <c r="AZ72" s="250"/>
      <c r="BA72" s="250"/>
      <c r="BB72" s="251">
        <f t="shared" si="52"/>
        <v>-1080000</v>
      </c>
      <c r="BC72" s="169"/>
      <c r="BD72" s="169"/>
      <c r="BE72" s="169"/>
      <c r="BF72" s="169"/>
    </row>
    <row r="73" spans="1:58" ht="157.5" outlineLevel="2" x14ac:dyDescent="0.25">
      <c r="A73" s="115"/>
      <c r="B73" s="200"/>
      <c r="C73" s="201"/>
      <c r="D73" s="131"/>
      <c r="E73" s="318"/>
      <c r="F73" s="219"/>
      <c r="G73" s="313"/>
      <c r="H73" s="199" t="s">
        <v>413</v>
      </c>
      <c r="I73" s="130" t="s">
        <v>4</v>
      </c>
      <c r="J73" s="126">
        <v>0.2</v>
      </c>
      <c r="K73" s="126">
        <v>5</v>
      </c>
      <c r="L73" s="125">
        <f>IF(I73&lt;&gt;0,((VLOOKUP(I73,'1. Standard_Cost'!$B$4:$D$11,2)+VLOOKUP(I73,'1. Standard_Cost'!$B$4:$D$11,3))*J73*K73),"0")</f>
        <v>80750</v>
      </c>
      <c r="M73" s="125">
        <f>L73*'1. Standard_Cost'!$F$4</f>
        <v>13485.25</v>
      </c>
      <c r="N73" s="126">
        <v>2</v>
      </c>
      <c r="O73" s="126">
        <v>2</v>
      </c>
      <c r="P73" s="126">
        <v>20</v>
      </c>
      <c r="Q73" s="126"/>
      <c r="R73" s="127">
        <f>'1. Standard_Cost'!$B$15*N73*P73</f>
        <v>80000</v>
      </c>
      <c r="S73" s="127">
        <f>N73*O73*P73*'1. Standard_Cost'!$C$15</f>
        <v>120000</v>
      </c>
      <c r="T73" s="127">
        <f>N73*P73*Q73*'1. Standard_Cost'!$D$15</f>
        <v>0</v>
      </c>
      <c r="U73" s="127">
        <f>N73*O73*'1. Standard_Cost'!$E$15</f>
        <v>160000</v>
      </c>
      <c r="V73" s="126"/>
      <c r="W73" s="126"/>
      <c r="X73" s="126"/>
      <c r="Y73" s="127">
        <f>+V73*((X73*'1. Standard_Cost'!$B$19)+(W73*X73*'1. Standard_Cost'!$C$19))</f>
        <v>0</v>
      </c>
      <c r="Z73" s="126"/>
      <c r="AA73" s="126">
        <v>3</v>
      </c>
      <c r="AB73" s="127">
        <f>+Z73*'1. Standard_Cost'!$B$23+AA73*'1. Standard_Cost'!$C$23</f>
        <v>57000</v>
      </c>
      <c r="AC73" s="128">
        <f>40*3300*2</f>
        <v>264000</v>
      </c>
      <c r="AD73" s="129"/>
      <c r="AE73" s="127">
        <f>SUM(AD73,AC73,AB73,Y73,U73,T73,S73,R73)*'1. Standard_Cost'!$B$31</f>
        <v>136200</v>
      </c>
      <c r="AF73" s="127">
        <f t="shared" si="53"/>
        <v>817200</v>
      </c>
      <c r="AG73" s="126"/>
      <c r="AH73" s="126"/>
      <c r="AI73" s="126"/>
      <c r="AJ73" s="130"/>
      <c r="AK73" s="130"/>
      <c r="AL73" s="130"/>
      <c r="AM73" s="127">
        <f>AG73*'1. Standard_Cost'!$B$27+'Incremental_Cost Year 6'!AH73*'1. Standard_Cost'!$C$27+'Incremental_Cost Year 6'!AI73*'1. Standard_Cost'!$D$27+'Incremental_Cost Year 6'!AJ73+'Incremental_Cost Year 6'!AL73+AK73</f>
        <v>0</v>
      </c>
      <c r="AN73" s="127">
        <f>AM73*'1. Standard_Cost'!$C$31</f>
        <v>0</v>
      </c>
      <c r="AO73" s="249"/>
      <c r="AQ73" s="171">
        <f t="shared" si="47"/>
        <v>94235.25</v>
      </c>
      <c r="AR73" s="171">
        <f t="shared" si="48"/>
        <v>817200</v>
      </c>
      <c r="AS73" s="171">
        <f t="shared" si="49"/>
        <v>0</v>
      </c>
      <c r="AT73" s="171">
        <f t="shared" si="50"/>
        <v>911435.25</v>
      </c>
      <c r="AU73" s="250">
        <f>AQ73</f>
        <v>94235.25</v>
      </c>
      <c r="AV73" s="250"/>
      <c r="AW73" s="250"/>
      <c r="AX73" s="250"/>
      <c r="AY73" s="250">
        <f>AR73</f>
        <v>817200</v>
      </c>
      <c r="AZ73" s="250"/>
      <c r="BA73" s="250"/>
      <c r="BB73" s="251">
        <f t="shared" si="52"/>
        <v>0</v>
      </c>
      <c r="BC73" s="169"/>
      <c r="BD73" s="169"/>
      <c r="BE73" s="169"/>
      <c r="BF73" s="169"/>
    </row>
    <row r="74" spans="1:58" ht="47.25" outlineLevel="2" x14ac:dyDescent="0.25">
      <c r="A74" s="115"/>
      <c r="B74" s="200"/>
      <c r="C74" s="201"/>
      <c r="D74" s="131"/>
      <c r="E74" s="318"/>
      <c r="F74" s="219"/>
      <c r="G74" s="313"/>
      <c r="H74" s="199" t="s">
        <v>310</v>
      </c>
      <c r="I74" s="130"/>
      <c r="J74" s="126"/>
      <c r="K74" s="126"/>
      <c r="L74" s="125" t="str">
        <f>IF(I74&lt;&gt;0,((VLOOKUP(I74,'1. Standard_Cost'!$B$4:$D$11,2)+VLOOKUP(I74,'1. Standard_Cost'!$B$4:$D$11,3))*J74*K74),"0")</f>
        <v>0</v>
      </c>
      <c r="M74" s="125">
        <f>L74*'1. Standard_Cost'!$F$4</f>
        <v>0</v>
      </c>
      <c r="N74" s="126"/>
      <c r="O74" s="126"/>
      <c r="P74" s="126"/>
      <c r="Q74" s="126"/>
      <c r="R74" s="127">
        <f>'1. Standard_Cost'!$B$15*N74*P74</f>
        <v>0</v>
      </c>
      <c r="S74" s="127">
        <f>N74*O74*P74*'1. Standard_Cost'!$C$15</f>
        <v>0</v>
      </c>
      <c r="T74" s="127">
        <f>N74*P74*Q74*'1. Standard_Cost'!$D$15</f>
        <v>0</v>
      </c>
      <c r="U74" s="127">
        <f>N74*O74*'1. Standard_Cost'!$E$15</f>
        <v>0</v>
      </c>
      <c r="V74" s="126"/>
      <c r="W74" s="126"/>
      <c r="X74" s="126"/>
      <c r="Y74" s="127">
        <f>+V74*((X74*'1. Standard_Cost'!$B$19)+(W74*X74*'1. Standard_Cost'!$C$19))</f>
        <v>0</v>
      </c>
      <c r="Z74" s="126"/>
      <c r="AA74" s="126"/>
      <c r="AB74" s="127">
        <f>+Z74*'1. Standard_Cost'!$B$23+AA74*'1. Standard_Cost'!$C$23</f>
        <v>0</v>
      </c>
      <c r="AC74" s="128"/>
      <c r="AD74" s="129"/>
      <c r="AE74" s="127">
        <f>SUM(AD74,AC74,AB74,Y74,U74,T74,S74,R74)*'1. Standard_Cost'!$B$31</f>
        <v>0</v>
      </c>
      <c r="AF74" s="127">
        <f t="shared" si="53"/>
        <v>0</v>
      </c>
      <c r="AG74" s="126"/>
      <c r="AH74" s="126"/>
      <c r="AI74" s="126"/>
      <c r="AJ74" s="130"/>
      <c r="AK74" s="130"/>
      <c r="AL74" s="130"/>
      <c r="AM74" s="127">
        <f>AG74*'1. Standard_Cost'!$B$27+'Incremental_Cost Year 6'!AH74*'1. Standard_Cost'!$C$27+'Incremental_Cost Year 6'!AI74*'1. Standard_Cost'!$D$27+'Incremental_Cost Year 6'!AJ74+'Incremental_Cost Year 6'!AL74+AK74</f>
        <v>0</v>
      </c>
      <c r="AN74" s="127">
        <f>AM74*'1. Standard_Cost'!$C$31</f>
        <v>0</v>
      </c>
      <c r="AO74" s="130"/>
      <c r="AQ74" s="171">
        <f t="shared" si="47"/>
        <v>0</v>
      </c>
      <c r="AR74" s="171">
        <f t="shared" si="48"/>
        <v>0</v>
      </c>
      <c r="AS74" s="171">
        <f t="shared" si="49"/>
        <v>0</v>
      </c>
      <c r="AT74" s="171">
        <f t="shared" si="50"/>
        <v>0</v>
      </c>
      <c r="AU74" s="250"/>
      <c r="AV74" s="250"/>
      <c r="AW74" s="250"/>
      <c r="AX74" s="250"/>
      <c r="AY74" s="250"/>
      <c r="AZ74" s="250"/>
      <c r="BA74" s="250"/>
      <c r="BB74" s="251">
        <f t="shared" si="52"/>
        <v>0</v>
      </c>
      <c r="BC74" s="169"/>
      <c r="BD74" s="169"/>
      <c r="BE74" s="169"/>
      <c r="BF74" s="169"/>
    </row>
    <row r="75" spans="1:58" ht="126" outlineLevel="2" x14ac:dyDescent="0.25">
      <c r="A75" s="115"/>
      <c r="B75" s="200"/>
      <c r="C75" s="201"/>
      <c r="D75" s="131"/>
      <c r="E75" s="219"/>
      <c r="F75" s="219"/>
      <c r="G75" s="313"/>
      <c r="H75" s="112" t="s">
        <v>414</v>
      </c>
      <c r="I75" s="130" t="s">
        <v>5</v>
      </c>
      <c r="J75" s="126">
        <v>12</v>
      </c>
      <c r="K75" s="126">
        <v>72</v>
      </c>
      <c r="L75" s="125">
        <f>IF(I75&lt;&gt;0,((VLOOKUP(I75,'1. Standard_Cost'!$B$4:$D$11,2)+VLOOKUP(I75,'1. Standard_Cost'!$B$4:$D$11,3))*J75*K75),"0")</f>
        <v>61084800</v>
      </c>
      <c r="M75" s="125">
        <f>L75*'1. Standard_Cost'!$F$4</f>
        <v>10201161.600000001</v>
      </c>
      <c r="N75" s="126"/>
      <c r="O75" s="126"/>
      <c r="P75" s="126"/>
      <c r="Q75" s="126"/>
      <c r="R75" s="127">
        <f>'1. Standard_Cost'!$B$15*N75*P75</f>
        <v>0</v>
      </c>
      <c r="S75" s="127">
        <f>N75*O75*P75*'1. Standard_Cost'!$C$15</f>
        <v>0</v>
      </c>
      <c r="T75" s="127">
        <f>N75*P75*Q75*'1. Standard_Cost'!$D$15</f>
        <v>0</v>
      </c>
      <c r="U75" s="127">
        <f>N75*O75*'1. Standard_Cost'!$E$15</f>
        <v>0</v>
      </c>
      <c r="V75" s="126"/>
      <c r="W75" s="126"/>
      <c r="X75" s="126"/>
      <c r="Y75" s="127">
        <f>+V75*((X75*'1. Standard_Cost'!$B$19)+(W75*X75*'1. Standard_Cost'!$C$19))</f>
        <v>0</v>
      </c>
      <c r="Z75" s="126"/>
      <c r="AA75" s="126"/>
      <c r="AB75" s="127">
        <f>+Z75*'1. Standard_Cost'!$B$23+AA75*'1. Standard_Cost'!$C$23</f>
        <v>0</v>
      </c>
      <c r="AC75" s="128">
        <v>13000000</v>
      </c>
      <c r="AD75" s="129"/>
      <c r="AE75" s="127">
        <f>SUM(AD75,AC75,AB75,Y75,U75,T75,S75,R75)*'1. Standard_Cost'!$B$31</f>
        <v>2600000</v>
      </c>
      <c r="AF75" s="127">
        <f t="shared" si="53"/>
        <v>15600000</v>
      </c>
      <c r="AG75" s="126"/>
      <c r="AH75" s="126"/>
      <c r="AI75" s="126"/>
      <c r="AJ75" s="130"/>
      <c r="AK75" s="130"/>
      <c r="AL75" s="130"/>
      <c r="AM75" s="127">
        <f>AG75*'1. Standard_Cost'!$B$27+'Incremental_Cost Year 6'!AH75*'1. Standard_Cost'!$C$27+'Incremental_Cost Year 6'!AI75*'1. Standard_Cost'!$D$27+'Incremental_Cost Year 6'!AJ75+'Incremental_Cost Year 6'!AL75+AK75</f>
        <v>0</v>
      </c>
      <c r="AN75" s="127">
        <f>AM75*'1. Standard_Cost'!$C$31</f>
        <v>0</v>
      </c>
      <c r="AO75" s="130"/>
      <c r="AQ75" s="171">
        <f t="shared" si="47"/>
        <v>71285961.599999994</v>
      </c>
      <c r="AR75" s="171">
        <f t="shared" si="48"/>
        <v>15600000</v>
      </c>
      <c r="AS75" s="171">
        <f t="shared" si="49"/>
        <v>0</v>
      </c>
      <c r="AT75" s="171">
        <f t="shared" si="50"/>
        <v>86885961.599999994</v>
      </c>
      <c r="AU75" s="250">
        <f>AT75</f>
        <v>86885961.599999994</v>
      </c>
      <c r="AV75" s="250"/>
      <c r="AW75" s="250"/>
      <c r="AX75" s="250"/>
      <c r="AY75" s="250"/>
      <c r="AZ75" s="250"/>
      <c r="BA75" s="250"/>
      <c r="BB75" s="251">
        <f t="shared" si="52"/>
        <v>0</v>
      </c>
      <c r="BC75" s="169"/>
      <c r="BD75" s="169"/>
      <c r="BE75" s="169"/>
      <c r="BF75" s="169"/>
    </row>
    <row r="76" spans="1:58" ht="78.75" outlineLevel="2" x14ac:dyDescent="0.25">
      <c r="A76" s="115"/>
      <c r="B76" s="200"/>
      <c r="C76" s="201"/>
      <c r="D76" s="305"/>
      <c r="E76" s="320"/>
      <c r="F76" s="122"/>
      <c r="G76" s="123"/>
      <c r="H76" s="199" t="s">
        <v>415</v>
      </c>
      <c r="I76" s="130" t="s">
        <v>3</v>
      </c>
      <c r="J76" s="126">
        <v>0.5</v>
      </c>
      <c r="K76" s="126">
        <v>3</v>
      </c>
      <c r="L76" s="125">
        <f>IF(I76&lt;&gt;0,((VLOOKUP(I76,'1. Standard_Cost'!$B$4:$D$11,2)+VLOOKUP(I76,'1. Standard_Cost'!$B$4:$D$11,3))*J76*K76),"0")</f>
        <v>151200</v>
      </c>
      <c r="M76" s="125">
        <f>L76*'1. Standard_Cost'!$F$4</f>
        <v>25250.400000000001</v>
      </c>
      <c r="N76" s="126"/>
      <c r="O76" s="126"/>
      <c r="P76" s="126"/>
      <c r="Q76" s="126"/>
      <c r="R76" s="127">
        <f>'1. Standard_Cost'!$B$15*N76*P76</f>
        <v>0</v>
      </c>
      <c r="S76" s="127">
        <f>N76*O76*P76*'1. Standard_Cost'!$C$15</f>
        <v>0</v>
      </c>
      <c r="T76" s="127">
        <f>N76*P76*Q76*'1. Standard_Cost'!$D$15</f>
        <v>0</v>
      </c>
      <c r="U76" s="127">
        <f>N76*O76*'1. Standard_Cost'!$E$15</f>
        <v>0</v>
      </c>
      <c r="V76" s="126"/>
      <c r="W76" s="126"/>
      <c r="X76" s="126"/>
      <c r="Y76" s="127">
        <f>+V76*((X76*'1. Standard_Cost'!$B$19)+(W76*X76*'1. Standard_Cost'!$C$19))</f>
        <v>0</v>
      </c>
      <c r="Z76" s="126"/>
      <c r="AA76" s="126"/>
      <c r="AB76" s="127">
        <f>+Z76*'1. Standard_Cost'!$B$23+AA76*'1. Standard_Cost'!$C$23</f>
        <v>0</v>
      </c>
      <c r="AC76" s="128">
        <v>500000</v>
      </c>
      <c r="AD76" s="129"/>
      <c r="AE76" s="127">
        <f>SUM(AD76,AC76,AB76,Y76,U76,T76,S76,R76)*'1. Standard_Cost'!$B$31</f>
        <v>100000</v>
      </c>
      <c r="AF76" s="127">
        <f t="shared" si="53"/>
        <v>600000</v>
      </c>
      <c r="AG76" s="126"/>
      <c r="AH76" s="126"/>
      <c r="AI76" s="126"/>
      <c r="AJ76" s="130"/>
      <c r="AK76" s="130"/>
      <c r="AL76" s="130"/>
      <c r="AM76" s="127">
        <f>AG76*'1. Standard_Cost'!$B$27+'Incremental_Cost Year 6'!AH76*'1. Standard_Cost'!$C$27+'Incremental_Cost Year 6'!AI76*'1. Standard_Cost'!$D$27+'Incremental_Cost Year 6'!AJ76+'Incremental_Cost Year 6'!AL76+AK76</f>
        <v>0</v>
      </c>
      <c r="AN76" s="127">
        <f>AM76*'1. Standard_Cost'!$C$31</f>
        <v>0</v>
      </c>
      <c r="AO76" s="130"/>
      <c r="AQ76" s="171">
        <f t="shared" si="47"/>
        <v>176450.4</v>
      </c>
      <c r="AR76" s="171">
        <f t="shared" si="48"/>
        <v>600000</v>
      </c>
      <c r="AS76" s="171">
        <f t="shared" si="49"/>
        <v>0</v>
      </c>
      <c r="AT76" s="171">
        <f t="shared" si="50"/>
        <v>776450.4</v>
      </c>
      <c r="AU76" s="250">
        <f>AQ76</f>
        <v>176450.4</v>
      </c>
      <c r="AV76" s="250"/>
      <c r="AW76" s="250"/>
      <c r="AX76" s="250"/>
      <c r="AY76" s="250">
        <v>600000</v>
      </c>
      <c r="AZ76" s="250"/>
      <c r="BA76" s="250"/>
      <c r="BB76" s="251">
        <f t="shared" si="52"/>
        <v>0</v>
      </c>
      <c r="BC76" s="169"/>
      <c r="BD76" s="169"/>
      <c r="BE76" s="169"/>
      <c r="BF76" s="169"/>
    </row>
    <row r="77" spans="1:58" ht="141.75" outlineLevel="1" x14ac:dyDescent="0.25">
      <c r="A77" s="115"/>
      <c r="B77" s="165"/>
      <c r="C77" s="166"/>
      <c r="D77" s="107" t="s">
        <v>416</v>
      </c>
      <c r="E77" s="139" t="s">
        <v>221</v>
      </c>
      <c r="F77" s="222">
        <v>2021</v>
      </c>
      <c r="G77" s="117">
        <v>2030</v>
      </c>
      <c r="H77" s="134" t="s">
        <v>220</v>
      </c>
      <c r="I77" s="252"/>
      <c r="J77" s="252"/>
      <c r="K77" s="252"/>
      <c r="L77" s="127">
        <f>SUM(L62:L76)</f>
        <v>646486825</v>
      </c>
      <c r="M77" s="127">
        <f>SUM(M62:M76)</f>
        <v>107963299.77500001</v>
      </c>
      <c r="N77" s="127"/>
      <c r="O77" s="252"/>
      <c r="P77" s="252"/>
      <c r="Q77" s="252"/>
      <c r="R77" s="127">
        <f>SUM(R62:R76)</f>
        <v>280000</v>
      </c>
      <c r="S77" s="127">
        <f>SUM(S62:S76)</f>
        <v>420000</v>
      </c>
      <c r="T77" s="127">
        <f>SUM(T62:T76)</f>
        <v>0</v>
      </c>
      <c r="U77" s="127">
        <f>SUM(U62:U76)</f>
        <v>560000</v>
      </c>
      <c r="V77" s="252"/>
      <c r="W77" s="252"/>
      <c r="X77" s="252"/>
      <c r="Y77" s="127">
        <f>SUM(Y62:Y76)</f>
        <v>0</v>
      </c>
      <c r="Z77" s="252"/>
      <c r="AA77" s="252"/>
      <c r="AB77" s="127">
        <f>SUM(AB62:AB76)</f>
        <v>171000</v>
      </c>
      <c r="AC77" s="127">
        <f>SUM(AC62:AC76)</f>
        <v>549876000</v>
      </c>
      <c r="AD77" s="127">
        <f>SUM(AD62:AD76)</f>
        <v>0</v>
      </c>
      <c r="AE77" s="127">
        <f>SUM(AE62:AE76)</f>
        <v>84421400</v>
      </c>
      <c r="AF77" s="127">
        <f>SUM(AF62:AF76)</f>
        <v>635728400</v>
      </c>
      <c r="AG77" s="252"/>
      <c r="AH77" s="252"/>
      <c r="AI77" s="252"/>
      <c r="AJ77" s="127">
        <f>SUM(AJ62:AJ76)</f>
        <v>0</v>
      </c>
      <c r="AK77" s="127">
        <f>SUM(AK62:AK76)</f>
        <v>0</v>
      </c>
      <c r="AL77" s="127">
        <f>SUM(AL62:AL76)</f>
        <v>0</v>
      </c>
      <c r="AM77" s="127">
        <f>SUM(AM62:AM76)</f>
        <v>0</v>
      </c>
      <c r="AN77" s="127">
        <f>SUM(AN62:AN76)</f>
        <v>0</v>
      </c>
      <c r="AO77" s="253"/>
      <c r="AP77" s="254"/>
      <c r="AQ77" s="175">
        <f>SUM(AQ62:AQ76)</f>
        <v>754450124.77499998</v>
      </c>
      <c r="AR77" s="175">
        <f>SUM(AR62:AR76)</f>
        <v>635728400</v>
      </c>
      <c r="AS77" s="175">
        <f>SUM(AS62:AS76)</f>
        <v>0</v>
      </c>
      <c r="AT77" s="175">
        <f>SUM(AT62:AT76)</f>
        <v>1390178524.7750001</v>
      </c>
      <c r="AU77" s="175">
        <f t="shared" ref="AU77:BB77" si="54">SUM(AU62:AU76)</f>
        <v>1386752524.7750001</v>
      </c>
      <c r="AV77" s="175">
        <f t="shared" si="54"/>
        <v>0</v>
      </c>
      <c r="AW77" s="175">
        <f t="shared" si="54"/>
        <v>0</v>
      </c>
      <c r="AX77" s="175">
        <f t="shared" si="54"/>
        <v>0</v>
      </c>
      <c r="AY77" s="175">
        <f t="shared" si="54"/>
        <v>2346000</v>
      </c>
      <c r="AZ77" s="175">
        <f t="shared" si="54"/>
        <v>0</v>
      </c>
      <c r="BA77" s="175">
        <f t="shared" si="54"/>
        <v>0</v>
      </c>
      <c r="BB77" s="175">
        <f t="shared" si="54"/>
        <v>-1080000</v>
      </c>
      <c r="BC77" s="169"/>
      <c r="BD77" s="169"/>
      <c r="BE77" s="169"/>
      <c r="BF77" s="169"/>
    </row>
    <row r="78" spans="1:58" s="170" customFormat="1" ht="15.75" customHeight="1" x14ac:dyDescent="0.25">
      <c r="A78" s="120"/>
      <c r="B78" s="396" t="s">
        <v>298</v>
      </c>
      <c r="C78" s="389"/>
      <c r="D78" s="389"/>
      <c r="E78" s="390"/>
      <c r="F78" s="339"/>
      <c r="G78" s="339"/>
      <c r="H78" s="113" t="s">
        <v>60</v>
      </c>
      <c r="I78" s="243"/>
      <c r="J78" s="243"/>
      <c r="K78" s="243"/>
      <c r="L78" s="243">
        <f>SUM(L79,L93,L100,L106,L111,L118,L123,L134,L140)</f>
        <v>96416432.857142866</v>
      </c>
      <c r="M78" s="243">
        <f>SUM(M79,M93,M100,M106,M111,M118,M123,M134,M140)</f>
        <v>16101544.287142858</v>
      </c>
      <c r="N78" s="243"/>
      <c r="O78" s="243"/>
      <c r="P78" s="243"/>
      <c r="Q78" s="243"/>
      <c r="R78" s="243">
        <f>SUM(R79,R93,R100,R106,R111,R118,R123,R134,R140)</f>
        <v>400000</v>
      </c>
      <c r="S78" s="243">
        <f>SUM(S79,S93,S100,S106,S111,S118,S123,S134,S140)</f>
        <v>300000</v>
      </c>
      <c r="T78" s="243">
        <f>SUM(T79,T93,T100,T106,T111,T118,T123,T134,T140)</f>
        <v>0</v>
      </c>
      <c r="U78" s="243">
        <f>SUM(U79,U93,U100,U106,U111,U118,U123,U134,U140)</f>
        <v>400000</v>
      </c>
      <c r="V78" s="243"/>
      <c r="W78" s="243"/>
      <c r="X78" s="243"/>
      <c r="Y78" s="243">
        <f>SUM(Y79,Y93,Y100,Y106,Y111,Y118,Y123,Y134,Y140)</f>
        <v>510000</v>
      </c>
      <c r="Z78" s="243"/>
      <c r="AA78" s="243"/>
      <c r="AB78" s="243">
        <f>SUM(AB79,AB93,AB100,AB106,AB111,AB118,AB123,AB134,AB140)</f>
        <v>4769000</v>
      </c>
      <c r="AC78" s="243">
        <f>SUM(AC79,AC93,AC100,AC106,AC111,AC118,AC123,AC134,AC140)</f>
        <v>14680216424</v>
      </c>
      <c r="AD78" s="243">
        <f>SUM(AD79,AD93,AD100,AD106,AD111,AD118,AD123,AD134,AD140)</f>
        <v>0</v>
      </c>
      <c r="AE78" s="243">
        <f>SUM(AE79,AE93,AE100,AE106,AE111,AE118,AE123,AE134,AE140)</f>
        <v>320272084.80000001</v>
      </c>
      <c r="AF78" s="243">
        <f>SUM(AF79,AF93,AF100,AF106,AF111,AF118,AF123,AF134,AF140)</f>
        <v>15006867508.799999</v>
      </c>
      <c r="AG78" s="243"/>
      <c r="AH78" s="243"/>
      <c r="AI78" s="243"/>
      <c r="AJ78" s="243">
        <f>SUM(AJ79,AJ93,AJ100,AJ106,AJ111,AJ118,AJ123,AJ134,AJ140)</f>
        <v>0</v>
      </c>
      <c r="AK78" s="243">
        <f>SUM(AK79,AK93,AK100,AK106,AK111,AK118,AK123,AK134,AK140)</f>
        <v>0</v>
      </c>
      <c r="AL78" s="243">
        <f>SUM(AL79,AL93,AL100,AL106,AL111,AL118,AL123,AL134,AL140)</f>
        <v>20000000</v>
      </c>
      <c r="AM78" s="243">
        <f>SUM(AM79,AM93,AM100,AM106,AM111,AM118,AM123,AM134,AM140)</f>
        <v>20000000</v>
      </c>
      <c r="AN78" s="243">
        <f>SUM(AN79,AN93,AN100,AN106,AN111,AN118,AN123,AN134,AN140)</f>
        <v>3000000</v>
      </c>
      <c r="AO78" s="243"/>
      <c r="AP78" s="244"/>
      <c r="AQ78" s="245">
        <f>SUM(AQ79,AQ93,AQ100,AQ106,AQ111,AQ118,AQ123,AQ134,AQ140)</f>
        <v>112517977.14428572</v>
      </c>
      <c r="AR78" s="245">
        <f>SUM(AR79,AR93,AR100,AR106,AR111,AR118,AR123,AR134,AR140)</f>
        <v>15006867508.799999</v>
      </c>
      <c r="AS78" s="245">
        <f>SUM(AS79,AS93,AS100,AS106,AS111,AS118,AS123,AS134,AS140)</f>
        <v>23000000</v>
      </c>
      <c r="AT78" s="245">
        <f>SUM(AT79,AT93,AT100,AT106,AT111,AT118,AT123,AT134,AT140)</f>
        <v>15142385485.944286</v>
      </c>
      <c r="AU78" s="245">
        <f t="shared" ref="AU78:BB78" si="55">SUM(AU79,AU93,AU100,AU106,AU111,AU118,AU123,AU134,AU140)</f>
        <v>14797610686.5</v>
      </c>
      <c r="AV78" s="245">
        <f t="shared" si="55"/>
        <v>0</v>
      </c>
      <c r="AW78" s="245">
        <f t="shared" si="55"/>
        <v>0</v>
      </c>
      <c r="AX78" s="245">
        <f t="shared" si="55"/>
        <v>0</v>
      </c>
      <c r="AY78" s="245">
        <f t="shared" si="55"/>
        <v>0</v>
      </c>
      <c r="AZ78" s="245">
        <f t="shared" si="55"/>
        <v>0</v>
      </c>
      <c r="BA78" s="245">
        <f t="shared" si="55"/>
        <v>0</v>
      </c>
      <c r="BB78" s="245">
        <f t="shared" si="55"/>
        <v>-344774799.44428575</v>
      </c>
    </row>
    <row r="79" spans="1:58" s="170" customFormat="1" ht="15.75" customHeight="1" x14ac:dyDescent="0.25">
      <c r="A79" s="120"/>
      <c r="B79" s="290"/>
      <c r="C79" s="391" t="s">
        <v>313</v>
      </c>
      <c r="D79" s="391"/>
      <c r="E79" s="392"/>
      <c r="F79" s="293"/>
      <c r="G79" s="293"/>
      <c r="H79" s="114" t="s">
        <v>163</v>
      </c>
      <c r="I79" s="246"/>
      <c r="J79" s="246"/>
      <c r="K79" s="246"/>
      <c r="L79" s="247">
        <f>SUM(L85,L88,L92)</f>
        <v>6705740</v>
      </c>
      <c r="M79" s="247">
        <f>SUM(M85,M88,M92)</f>
        <v>1119858.58</v>
      </c>
      <c r="N79" s="247"/>
      <c r="O79" s="247"/>
      <c r="P79" s="247"/>
      <c r="Q79" s="247"/>
      <c r="R79" s="247">
        <f>SUM(R85,R88,R92)</f>
        <v>0</v>
      </c>
      <c r="S79" s="247">
        <f>SUM(S85,S88,S92)</f>
        <v>0</v>
      </c>
      <c r="T79" s="247">
        <f>SUM(T85,T88,T92)</f>
        <v>0</v>
      </c>
      <c r="U79" s="247">
        <f>SUM(U85,U88,U92)</f>
        <v>0</v>
      </c>
      <c r="V79" s="247"/>
      <c r="W79" s="247"/>
      <c r="X79" s="247"/>
      <c r="Y79" s="247">
        <f>SUM(Y85,Y88,Y92)</f>
        <v>255000</v>
      </c>
      <c r="Z79" s="247"/>
      <c r="AA79" s="247"/>
      <c r="AB79" s="247">
        <f>SUM(AB85,AB88,AB92)</f>
        <v>2375000</v>
      </c>
      <c r="AC79" s="247">
        <f>SUM(AC85,AC88,AC92)</f>
        <v>2514246744</v>
      </c>
      <c r="AD79" s="247">
        <f>SUM(AD85,AD88,AD92)</f>
        <v>0</v>
      </c>
      <c r="AE79" s="247">
        <f>SUM(AE85,AE88,AE92)</f>
        <v>314328348.80000001</v>
      </c>
      <c r="AF79" s="247">
        <f>SUM(AF85,AF88,AF92)</f>
        <v>2831205092.7999997</v>
      </c>
      <c r="AG79" s="247"/>
      <c r="AH79" s="247"/>
      <c r="AI79" s="247"/>
      <c r="AJ79" s="247">
        <f>SUM(AJ85,AJ88,AJ92)</f>
        <v>0</v>
      </c>
      <c r="AK79" s="247">
        <f>SUM(AK85,AK88,AK92)</f>
        <v>0</v>
      </c>
      <c r="AL79" s="247">
        <f>SUM(AL85,AL88,AL92)</f>
        <v>0</v>
      </c>
      <c r="AM79" s="247">
        <f>SUM(AM85,AM88,AM92)</f>
        <v>0</v>
      </c>
      <c r="AN79" s="247">
        <f>SUM(AN85,AN88,AN92)</f>
        <v>0</v>
      </c>
      <c r="AO79" s="247"/>
      <c r="AP79" s="255"/>
      <c r="AQ79" s="248">
        <f>SUM(AQ85,AQ88,AQ92)</f>
        <v>7825598.5800000001</v>
      </c>
      <c r="AR79" s="248">
        <f>SUM(AR85,AR88,AR92)</f>
        <v>2831205092.7999997</v>
      </c>
      <c r="AS79" s="248">
        <f>SUM(AS85,AS88,AS92)</f>
        <v>0</v>
      </c>
      <c r="AT79" s="248">
        <f>SUM(AT85,AT88,AT92)</f>
        <v>2839030691.3800001</v>
      </c>
      <c r="AU79" s="248">
        <f t="shared" ref="AU79:BB79" si="56">SUM(AU85,AU88,AU92)</f>
        <v>2522354691</v>
      </c>
      <c r="AV79" s="248">
        <f t="shared" si="56"/>
        <v>0</v>
      </c>
      <c r="AW79" s="248">
        <f t="shared" si="56"/>
        <v>0</v>
      </c>
      <c r="AX79" s="248">
        <f t="shared" si="56"/>
        <v>0</v>
      </c>
      <c r="AY79" s="248">
        <f t="shared" si="56"/>
        <v>0</v>
      </c>
      <c r="AZ79" s="248">
        <f t="shared" si="56"/>
        <v>0</v>
      </c>
      <c r="BA79" s="248">
        <f t="shared" si="56"/>
        <v>0</v>
      </c>
      <c r="BB79" s="248">
        <f t="shared" si="56"/>
        <v>-316676000.38</v>
      </c>
    </row>
    <row r="80" spans="1:58" ht="31.5" outlineLevel="2" x14ac:dyDescent="0.25">
      <c r="A80" s="115"/>
      <c r="B80" s="200"/>
      <c r="C80" s="201"/>
      <c r="D80" s="202"/>
      <c r="E80" s="226"/>
      <c r="F80" s="306"/>
      <c r="G80" s="307"/>
      <c r="H80" s="164" t="s">
        <v>417</v>
      </c>
      <c r="I80" s="130"/>
      <c r="J80" s="126"/>
      <c r="K80" s="126"/>
      <c r="L80" s="125" t="str">
        <f>IF(I80&lt;&gt;0,((VLOOKUP(I80,'1. Standard_Cost'!$B$4:$D$11,2)+VLOOKUP(I80,'1. Standard_Cost'!$B$4:$D$11,3))*J80*K80),"0")</f>
        <v>0</v>
      </c>
      <c r="M80" s="125">
        <f>L80*'1. Standard_Cost'!$F$4</f>
        <v>0</v>
      </c>
      <c r="N80" s="126"/>
      <c r="O80" s="126"/>
      <c r="P80" s="126"/>
      <c r="Q80" s="126"/>
      <c r="R80" s="127">
        <f>'1. Standard_Cost'!$B$15*N80*P80</f>
        <v>0</v>
      </c>
      <c r="S80" s="127">
        <f>N80*O80*P80*'1. Standard_Cost'!$C$15</f>
        <v>0</v>
      </c>
      <c r="T80" s="127">
        <f>N80*P80*Q80*'1. Standard_Cost'!$D$15</f>
        <v>0</v>
      </c>
      <c r="U80" s="127">
        <f>N80*O80*'1. Standard_Cost'!$E$15</f>
        <v>0</v>
      </c>
      <c r="V80" s="126"/>
      <c r="W80" s="126"/>
      <c r="X80" s="126"/>
      <c r="Y80" s="127">
        <f>+V80*((X80*'1. Standard_Cost'!$B$19)+(W80*X80*'1. Standard_Cost'!$C$19))</f>
        <v>0</v>
      </c>
      <c r="Z80" s="126"/>
      <c r="AA80" s="126"/>
      <c r="AB80" s="127">
        <f>+Z80*'1. Standard_Cost'!$B$23+AA80*'1. Standard_Cost'!$C$23</f>
        <v>0</v>
      </c>
      <c r="AC80" s="128">
        <v>876090000</v>
      </c>
      <c r="AD80" s="129"/>
      <c r="AE80" s="127"/>
      <c r="AF80" s="127">
        <f>SUM(AE80,AD80,AC80,AB80,Y80,U80,T80,S80,R80)</f>
        <v>876090000</v>
      </c>
      <c r="AG80" s="126"/>
      <c r="AH80" s="126"/>
      <c r="AI80" s="126"/>
      <c r="AJ80" s="130"/>
      <c r="AK80" s="130"/>
      <c r="AL80" s="130"/>
      <c r="AM80" s="127">
        <f>AG80*'1. Standard_Cost'!$B$27+'Incremental_Cost Year 6'!AH80*'1. Standard_Cost'!$C$27+'Incremental_Cost Year 6'!AI80*'1. Standard_Cost'!$D$27+'Incremental_Cost Year 6'!AJ80+'Incremental_Cost Year 6'!AL80+AK80</f>
        <v>0</v>
      </c>
      <c r="AN80" s="127">
        <f>AM80*'1. Standard_Cost'!$C$31</f>
        <v>0</v>
      </c>
      <c r="AO80" s="130"/>
      <c r="AP80" s="256"/>
      <c r="AQ80" s="171">
        <f>L80+M80</f>
        <v>0</v>
      </c>
      <c r="AR80" s="171">
        <f>AF80</f>
        <v>876090000</v>
      </c>
      <c r="AS80" s="171">
        <f>AM80+AN80</f>
        <v>0</v>
      </c>
      <c r="AT80" s="171">
        <f>SUM(AQ80,AR80,AS80)</f>
        <v>876090000</v>
      </c>
      <c r="AU80" s="250">
        <v>876090000</v>
      </c>
      <c r="AV80" s="250"/>
      <c r="AW80" s="250"/>
      <c r="AX80" s="250"/>
      <c r="AY80" s="250"/>
      <c r="AZ80" s="250"/>
      <c r="BA80" s="250"/>
      <c r="BB80" s="251">
        <f t="shared" ref="BB80:BB84" si="57">SUM(AU80:BA80)-AT80</f>
        <v>0</v>
      </c>
      <c r="BC80" s="169"/>
      <c r="BD80" s="169"/>
      <c r="BE80" s="169"/>
      <c r="BF80" s="169"/>
    </row>
    <row r="81" spans="1:58" ht="31.5" outlineLevel="2" x14ac:dyDescent="0.25">
      <c r="A81" s="115"/>
      <c r="B81" s="200"/>
      <c r="C81" s="201"/>
      <c r="D81" s="202"/>
      <c r="E81" s="202"/>
      <c r="F81" s="308"/>
      <c r="G81" s="309"/>
      <c r="H81" s="164" t="s">
        <v>418</v>
      </c>
      <c r="I81" s="130"/>
      <c r="J81" s="126"/>
      <c r="K81" s="126"/>
      <c r="L81" s="125" t="str">
        <f>IF(I81&lt;&gt;0,((VLOOKUP(I81,'1. Standard_Cost'!$B$4:$D$11,2)+VLOOKUP(I81,'1. Standard_Cost'!$B$4:$D$11,3))*J81*K81),"0")</f>
        <v>0</v>
      </c>
      <c r="M81" s="125">
        <f>L81*'1. Standard_Cost'!$F$4</f>
        <v>0</v>
      </c>
      <c r="N81" s="126"/>
      <c r="O81" s="126"/>
      <c r="P81" s="126"/>
      <c r="Q81" s="126"/>
      <c r="R81" s="127">
        <f>'1. Standard_Cost'!$B$15*N81*P81</f>
        <v>0</v>
      </c>
      <c r="S81" s="127">
        <f>N81*O81*P81*'1. Standard_Cost'!$C$15</f>
        <v>0</v>
      </c>
      <c r="T81" s="127">
        <f>N81*P81*Q81*'1. Standard_Cost'!$D$15</f>
        <v>0</v>
      </c>
      <c r="U81" s="127">
        <f>N81*O81*'1. Standard_Cost'!$E$15</f>
        <v>0</v>
      </c>
      <c r="V81" s="126"/>
      <c r="W81" s="126"/>
      <c r="X81" s="126"/>
      <c r="Y81" s="127">
        <f>+V81*((X81*'1. Standard_Cost'!$B$19)+(W81*X81*'1. Standard_Cost'!$C$19))</f>
        <v>0</v>
      </c>
      <c r="Z81" s="126"/>
      <c r="AA81" s="126"/>
      <c r="AB81" s="127">
        <f>+Z81*'1. Standard_Cost'!$B$23+AA81*'1. Standard_Cost'!$C$23</f>
        <v>0</v>
      </c>
      <c r="AC81" s="128">
        <v>56520000</v>
      </c>
      <c r="AD81" s="129"/>
      <c r="AE81" s="127"/>
      <c r="AF81" s="127">
        <f>SUM(AE81,AD81,AC81,AB81,Y81,U81,T81,S81,R81)</f>
        <v>56520000</v>
      </c>
      <c r="AG81" s="126"/>
      <c r="AH81" s="126"/>
      <c r="AI81" s="126"/>
      <c r="AJ81" s="130"/>
      <c r="AK81" s="130"/>
      <c r="AL81" s="130"/>
      <c r="AM81" s="127">
        <f>AG81*'1. Standard_Cost'!$B$27+'Incremental_Cost Year 6'!AH81*'1. Standard_Cost'!$C$27+'Incremental_Cost Year 6'!AI81*'1. Standard_Cost'!$D$27+'Incremental_Cost Year 6'!AJ81+'Incremental_Cost Year 6'!AL81+AK81</f>
        <v>0</v>
      </c>
      <c r="AN81" s="127">
        <f>AM81*'1. Standard_Cost'!$C$31</f>
        <v>0</v>
      </c>
      <c r="AO81" s="130"/>
      <c r="AP81" s="256"/>
      <c r="AQ81" s="171">
        <f>L81+M81</f>
        <v>0</v>
      </c>
      <c r="AR81" s="171">
        <f>AF81</f>
        <v>56520000</v>
      </c>
      <c r="AS81" s="171">
        <f>AM81+AN81</f>
        <v>0</v>
      </c>
      <c r="AT81" s="171">
        <f>SUM(AQ81,AR81,AS81)</f>
        <v>56520000</v>
      </c>
      <c r="AU81" s="250">
        <v>56520000</v>
      </c>
      <c r="AV81" s="250"/>
      <c r="AW81" s="250"/>
      <c r="AX81" s="250"/>
      <c r="AY81" s="250"/>
      <c r="AZ81" s="250"/>
      <c r="BA81" s="250"/>
      <c r="BB81" s="251">
        <f t="shared" si="57"/>
        <v>0</v>
      </c>
      <c r="BC81" s="169"/>
      <c r="BD81" s="169"/>
      <c r="BE81" s="169"/>
      <c r="BF81" s="169"/>
    </row>
    <row r="82" spans="1:58" ht="31.5" outlineLevel="2" x14ac:dyDescent="0.25">
      <c r="A82" s="115"/>
      <c r="B82" s="200"/>
      <c r="C82" s="201"/>
      <c r="D82" s="202"/>
      <c r="E82" s="202"/>
      <c r="F82" s="308"/>
      <c r="G82" s="309"/>
      <c r="H82" s="164" t="s">
        <v>419</v>
      </c>
      <c r="I82" s="130"/>
      <c r="J82" s="126"/>
      <c r="K82" s="126"/>
      <c r="L82" s="125" t="str">
        <f>IF(I82&lt;&gt;0,((VLOOKUP(I82,'1. Standard_Cost'!$B$4:$D$11,2)+VLOOKUP(I82,'1. Standard_Cost'!$B$4:$D$11,3))*J82*K82),"0")</f>
        <v>0</v>
      </c>
      <c r="M82" s="125">
        <f>L82*'1. Standard_Cost'!$F$4</f>
        <v>0</v>
      </c>
      <c r="N82" s="126"/>
      <c r="O82" s="126"/>
      <c r="P82" s="126"/>
      <c r="Q82" s="126"/>
      <c r="R82" s="127">
        <f>'1. Standard_Cost'!$B$15*N82*P82</f>
        <v>0</v>
      </c>
      <c r="S82" s="127">
        <f>N82*O82*P82*'1. Standard_Cost'!$C$15</f>
        <v>0</v>
      </c>
      <c r="T82" s="127">
        <f>N82*P82*Q82*'1. Standard_Cost'!$D$15</f>
        <v>0</v>
      </c>
      <c r="U82" s="127">
        <f>N82*O82*'1. Standard_Cost'!$E$15</f>
        <v>0</v>
      </c>
      <c r="V82" s="126"/>
      <c r="W82" s="126"/>
      <c r="X82" s="126"/>
      <c r="Y82" s="127">
        <f>+V82*((X82*'1. Standard_Cost'!$B$19)+(W82*X82*'1. Standard_Cost'!$C$19))</f>
        <v>0</v>
      </c>
      <c r="Z82" s="126"/>
      <c r="AA82" s="126"/>
      <c r="AB82" s="127">
        <f>+Z82*'1. Standard_Cost'!$B$23+AA82*'1. Standard_Cost'!$C$23</f>
        <v>0</v>
      </c>
      <c r="AC82" s="128">
        <v>12625000</v>
      </c>
      <c r="AD82" s="129"/>
      <c r="AE82" s="127"/>
      <c r="AF82" s="127">
        <f>SUM(AE82,AD82,AC82,AB82,Y82,U82,T82,S82,R82)</f>
        <v>12625000</v>
      </c>
      <c r="AG82" s="126"/>
      <c r="AH82" s="126"/>
      <c r="AI82" s="126"/>
      <c r="AJ82" s="130"/>
      <c r="AK82" s="130"/>
      <c r="AL82" s="130"/>
      <c r="AM82" s="127">
        <f>AG82*'1. Standard_Cost'!$B$27+'Incremental_Cost Year 6'!AH82*'1. Standard_Cost'!$C$27+'Incremental_Cost Year 6'!AI82*'1. Standard_Cost'!$D$27+'Incremental_Cost Year 6'!AJ82+'Incremental_Cost Year 6'!AL82+AK82</f>
        <v>0</v>
      </c>
      <c r="AN82" s="127">
        <f>AM82*'1. Standard_Cost'!$C$31</f>
        <v>0</v>
      </c>
      <c r="AO82" s="130"/>
      <c r="AP82" s="256"/>
      <c r="AQ82" s="171">
        <f>L82+M82</f>
        <v>0</v>
      </c>
      <c r="AR82" s="171">
        <f>AF82</f>
        <v>12625000</v>
      </c>
      <c r="AS82" s="171">
        <f>AM82+AN82</f>
        <v>0</v>
      </c>
      <c r="AT82" s="171">
        <f>SUM(AQ82,AR82,AS82)</f>
        <v>12625000</v>
      </c>
      <c r="AU82" s="250">
        <v>12625000</v>
      </c>
      <c r="AV82" s="250"/>
      <c r="AW82" s="250"/>
      <c r="AX82" s="250"/>
      <c r="AY82" s="250"/>
      <c r="AZ82" s="250"/>
      <c r="BA82" s="250"/>
      <c r="BB82" s="251">
        <f t="shared" si="57"/>
        <v>0</v>
      </c>
      <c r="BC82" s="169"/>
      <c r="BD82" s="169"/>
      <c r="BE82" s="169"/>
      <c r="BF82" s="169"/>
    </row>
    <row r="83" spans="1:58" ht="78.75" outlineLevel="2" x14ac:dyDescent="0.25">
      <c r="A83" s="115"/>
      <c r="B83" s="200"/>
      <c r="C83" s="201"/>
      <c r="D83" s="137"/>
      <c r="E83" s="105"/>
      <c r="F83" s="308"/>
      <c r="G83" s="309"/>
      <c r="H83" s="199" t="s">
        <v>539</v>
      </c>
      <c r="I83" s="130"/>
      <c r="J83" s="126"/>
      <c r="K83" s="126"/>
      <c r="L83" s="125" t="str">
        <f>IF(I83&lt;&gt;0,((VLOOKUP(I83,'1. Standard_Cost'!$B$4:$D$11,2)+VLOOKUP(I83,'1. Standard_Cost'!$B$4:$D$11,3))*J83*K83),"0")</f>
        <v>0</v>
      </c>
      <c r="M83" s="125">
        <f>L83*'1. Standard_Cost'!$F$4</f>
        <v>0</v>
      </c>
      <c r="N83" s="126"/>
      <c r="O83" s="126"/>
      <c r="P83" s="126"/>
      <c r="Q83" s="126"/>
      <c r="R83" s="127">
        <f>'1. Standard_Cost'!$B$15*N83*P83</f>
        <v>0</v>
      </c>
      <c r="S83" s="127">
        <f>N83*O83*P83*'1. Standard_Cost'!$C$15</f>
        <v>0</v>
      </c>
      <c r="T83" s="127">
        <f>N83*P83*Q83*'1. Standard_Cost'!$D$15</f>
        <v>0</v>
      </c>
      <c r="U83" s="127">
        <f>N83*O83*'1. Standard_Cost'!$E$15</f>
        <v>0</v>
      </c>
      <c r="V83" s="126"/>
      <c r="W83" s="126"/>
      <c r="X83" s="126"/>
      <c r="Y83" s="127">
        <f>+V83*((X83*'1. Standard_Cost'!$B$19)+(W83*X83*'1. Standard_Cost'!$C$19))</f>
        <v>0</v>
      </c>
      <c r="Z83" s="126"/>
      <c r="AA83" s="126"/>
      <c r="AB83" s="127">
        <f>+Z83*'1. Standard_Cost'!$B$23+AA83*'1. Standard_Cost'!$C$23</f>
        <v>0</v>
      </c>
      <c r="AC83" s="128">
        <v>1567230000</v>
      </c>
      <c r="AD83" s="129"/>
      <c r="AE83" s="127">
        <f>SUM(AD83,AC83,AB83,Y83,U83,T83,S83,R83)*'1. Standard_Cost'!$B$31</f>
        <v>313446000</v>
      </c>
      <c r="AF83" s="127">
        <f>SUM(AE83,AD83,AC83,AB83,Y83,U83,T83,S83,R83)</f>
        <v>1880676000</v>
      </c>
      <c r="AG83" s="126"/>
      <c r="AH83" s="126"/>
      <c r="AI83" s="126"/>
      <c r="AJ83" s="130"/>
      <c r="AK83" s="130"/>
      <c r="AL83" s="130"/>
      <c r="AM83" s="127">
        <f>AG83*'1. Standard_Cost'!$B$27+'Incremental_Cost Year 6'!AH83*'1. Standard_Cost'!$C$27+'Incremental_Cost Year 6'!AI83*'1. Standard_Cost'!$D$27+'Incremental_Cost Year 6'!AJ83+'Incremental_Cost Year 6'!AL83+AK83</f>
        <v>0</v>
      </c>
      <c r="AN83" s="127">
        <f>AM83*'1. Standard_Cost'!$C$31</f>
        <v>0</v>
      </c>
      <c r="AO83" s="130"/>
      <c r="AP83" s="256"/>
      <c r="AQ83" s="171">
        <f>L83+M83</f>
        <v>0</v>
      </c>
      <c r="AR83" s="171">
        <f>AF83</f>
        <v>1880676000</v>
      </c>
      <c r="AS83" s="171">
        <f>AM83+AN83</f>
        <v>0</v>
      </c>
      <c r="AT83" s="171">
        <f>SUM(AQ83,AR83,AS83)</f>
        <v>1880676000</v>
      </c>
      <c r="AU83" s="250">
        <v>1567230000</v>
      </c>
      <c r="AV83" s="250"/>
      <c r="AW83" s="250"/>
      <c r="AX83" s="250"/>
      <c r="AY83" s="250"/>
      <c r="AZ83" s="250"/>
      <c r="BA83" s="250"/>
      <c r="BB83" s="251">
        <f t="shared" si="57"/>
        <v>-313446000</v>
      </c>
      <c r="BC83" s="169"/>
      <c r="BD83" s="169"/>
      <c r="BE83" s="169"/>
      <c r="BF83" s="169"/>
    </row>
    <row r="84" spans="1:58" ht="31.5" outlineLevel="2" x14ac:dyDescent="0.25">
      <c r="A84" s="115"/>
      <c r="B84" s="200"/>
      <c r="C84" s="201"/>
      <c r="D84" s="137"/>
      <c r="E84" s="202"/>
      <c r="F84" s="308"/>
      <c r="G84" s="309"/>
      <c r="H84" s="164" t="s">
        <v>420</v>
      </c>
      <c r="I84" s="130"/>
      <c r="J84" s="126"/>
      <c r="K84" s="126"/>
      <c r="L84" s="125" t="str">
        <f>IF(I84&lt;&gt;0,((VLOOKUP(I84,'1. Standard_Cost'!$B$4:$D$11,2)+VLOOKUP(I84,'1. Standard_Cost'!$B$4:$D$11,3))*J84*K84),"0")</f>
        <v>0</v>
      </c>
      <c r="M84" s="125">
        <f>L84*'1. Standard_Cost'!$F$4</f>
        <v>0</v>
      </c>
      <c r="N84" s="126"/>
      <c r="O84" s="126"/>
      <c r="P84" s="126"/>
      <c r="Q84" s="126"/>
      <c r="R84" s="127">
        <f>'1. Standard_Cost'!$B$15*N84*P84</f>
        <v>0</v>
      </c>
      <c r="S84" s="127">
        <f>N84*O84*P84*'1. Standard_Cost'!$C$15</f>
        <v>0</v>
      </c>
      <c r="T84" s="127">
        <f>N84*P84*Q84*'1. Standard_Cost'!$D$15</f>
        <v>0</v>
      </c>
      <c r="U84" s="127">
        <f>N84*O84*'1. Standard_Cost'!$E$15</f>
        <v>0</v>
      </c>
      <c r="V84" s="126"/>
      <c r="W84" s="126"/>
      <c r="X84" s="126"/>
      <c r="Y84" s="127">
        <f>+V84*((X84*'1. Standard_Cost'!$B$19)+(W84*X84*'1. Standard_Cost'!$C$19))</f>
        <v>0</v>
      </c>
      <c r="Z84" s="126"/>
      <c r="AA84" s="126"/>
      <c r="AB84" s="127">
        <f>+Z84*'1. Standard_Cost'!$B$23+AA84*'1. Standard_Cost'!$C$23</f>
        <v>0</v>
      </c>
      <c r="AC84" s="128"/>
      <c r="AD84" s="129"/>
      <c r="AE84" s="127">
        <f>SUM(AD84,AC84,AB84,Y84,U84,T84,S84,R84)*'1. Standard_Cost'!$B$31</f>
        <v>0</v>
      </c>
      <c r="AF84" s="127">
        <f>SUM(AE84,AD84,AC84,AB84,Y84,U84,T84,S84,R84)</f>
        <v>0</v>
      </c>
      <c r="AG84" s="126"/>
      <c r="AH84" s="126"/>
      <c r="AI84" s="126"/>
      <c r="AJ84" s="130"/>
      <c r="AK84" s="130"/>
      <c r="AL84" s="130"/>
      <c r="AM84" s="127">
        <f>AG84*'1. Standard_Cost'!$B$27+'Incremental_Cost Year 6'!AH84*'1. Standard_Cost'!$C$27+'Incremental_Cost Year 6'!AI84*'1. Standard_Cost'!$D$27+'Incremental_Cost Year 6'!AJ84+'Incremental_Cost Year 6'!AL84+AK84</f>
        <v>0</v>
      </c>
      <c r="AN84" s="127">
        <f>AM84*'1. Standard_Cost'!$C$31</f>
        <v>0</v>
      </c>
      <c r="AO84" s="130"/>
      <c r="AP84" s="256"/>
      <c r="AQ84" s="171">
        <f>L84+M84</f>
        <v>0</v>
      </c>
      <c r="AR84" s="171">
        <f>AF84</f>
        <v>0</v>
      </c>
      <c r="AS84" s="171">
        <f>AM84+AN84</f>
        <v>0</v>
      </c>
      <c r="AT84" s="171">
        <f>SUM(AQ84,AR84,AS84)</f>
        <v>0</v>
      </c>
      <c r="AU84" s="250"/>
      <c r="AV84" s="250"/>
      <c r="AW84" s="250"/>
      <c r="AX84" s="250"/>
      <c r="AY84" s="250"/>
      <c r="AZ84" s="250"/>
      <c r="BA84" s="250"/>
      <c r="BB84" s="251">
        <f t="shared" si="57"/>
        <v>0</v>
      </c>
      <c r="BC84" s="169"/>
      <c r="BD84" s="169"/>
      <c r="BE84" s="169"/>
      <c r="BF84" s="169"/>
    </row>
    <row r="85" spans="1:58" ht="110.25" outlineLevel="1" x14ac:dyDescent="0.25">
      <c r="A85" s="115"/>
      <c r="B85" s="165"/>
      <c r="C85" s="166"/>
      <c r="D85" s="139" t="s">
        <v>421</v>
      </c>
      <c r="E85" s="212" t="s">
        <v>273</v>
      </c>
      <c r="F85" s="136">
        <v>2021</v>
      </c>
      <c r="G85" s="117">
        <v>2030</v>
      </c>
      <c r="H85" s="110" t="s">
        <v>175</v>
      </c>
      <c r="I85" s="252"/>
      <c r="J85" s="252"/>
      <c r="K85" s="252"/>
      <c r="L85" s="127">
        <f>SUM(L80:L84)</f>
        <v>0</v>
      </c>
      <c r="M85" s="127">
        <f>SUM(M80:M84)</f>
        <v>0</v>
      </c>
      <c r="N85" s="252"/>
      <c r="O85" s="252"/>
      <c r="P85" s="252"/>
      <c r="Q85" s="252"/>
      <c r="R85" s="127">
        <f>SUM(R80:R84)</f>
        <v>0</v>
      </c>
      <c r="S85" s="127">
        <f>SUM(S80:S84)</f>
        <v>0</v>
      </c>
      <c r="T85" s="127">
        <f>SUM(T80:T84)</f>
        <v>0</v>
      </c>
      <c r="U85" s="127">
        <f>SUM(U80:U84)</f>
        <v>0</v>
      </c>
      <c r="V85" s="252"/>
      <c r="W85" s="252"/>
      <c r="X85" s="252"/>
      <c r="Y85" s="127">
        <f>SUM(Y80:Y84)</f>
        <v>0</v>
      </c>
      <c r="Z85" s="252"/>
      <c r="AA85" s="252"/>
      <c r="AB85" s="127">
        <f>SUM(AB80:AB84)</f>
        <v>0</v>
      </c>
      <c r="AC85" s="127">
        <f>SUM(AC80:AC84)</f>
        <v>2512465000</v>
      </c>
      <c r="AD85" s="127">
        <f>SUM(AD80:AD84)</f>
        <v>0</v>
      </c>
      <c r="AE85" s="127">
        <f>SUM(AE80:AE84)</f>
        <v>313446000</v>
      </c>
      <c r="AF85" s="127">
        <f>SUM(AF80:AF84)</f>
        <v>2825911000</v>
      </c>
      <c r="AG85" s="252"/>
      <c r="AH85" s="252"/>
      <c r="AI85" s="252"/>
      <c r="AJ85" s="127">
        <f>SUM(AJ80:AJ84)</f>
        <v>0</v>
      </c>
      <c r="AK85" s="127">
        <f>SUM(AK80:AK84)</f>
        <v>0</v>
      </c>
      <c r="AL85" s="127">
        <f>SUM(AL80:AL84)</f>
        <v>0</v>
      </c>
      <c r="AM85" s="127">
        <f>SUM(AM80:AM84)</f>
        <v>0</v>
      </c>
      <c r="AN85" s="127">
        <f>SUM(AN80:AN84)</f>
        <v>0</v>
      </c>
      <c r="AO85" s="253"/>
      <c r="AP85" s="254"/>
      <c r="AQ85" s="175">
        <f>SUM(AQ80:AQ84)</f>
        <v>0</v>
      </c>
      <c r="AR85" s="175">
        <f>SUM(AR80:AR84)</f>
        <v>2825911000</v>
      </c>
      <c r="AS85" s="175">
        <f>SUM(AS80:AS84)</f>
        <v>0</v>
      </c>
      <c r="AT85" s="175">
        <f>SUM(AT80:AT84)</f>
        <v>2825911000</v>
      </c>
      <c r="AU85" s="175">
        <f t="shared" ref="AU85:BB85" si="58">SUM(AU80:AU84)</f>
        <v>2512465000</v>
      </c>
      <c r="AV85" s="175">
        <f t="shared" si="58"/>
        <v>0</v>
      </c>
      <c r="AW85" s="175">
        <f t="shared" si="58"/>
        <v>0</v>
      </c>
      <c r="AX85" s="175">
        <f t="shared" si="58"/>
        <v>0</v>
      </c>
      <c r="AY85" s="175">
        <f t="shared" si="58"/>
        <v>0</v>
      </c>
      <c r="AZ85" s="175">
        <f t="shared" si="58"/>
        <v>0</v>
      </c>
      <c r="BA85" s="175">
        <f t="shared" si="58"/>
        <v>0</v>
      </c>
      <c r="BB85" s="175">
        <f t="shared" si="58"/>
        <v>-313446000</v>
      </c>
      <c r="BC85" s="169"/>
      <c r="BD85" s="169"/>
      <c r="BE85" s="169"/>
      <c r="BF85" s="169"/>
    </row>
    <row r="86" spans="1:58" ht="94.5" outlineLevel="2" x14ac:dyDescent="0.25">
      <c r="A86" s="115"/>
      <c r="B86" s="200"/>
      <c r="C86" s="201"/>
      <c r="D86" s="346"/>
      <c r="E86" s="321"/>
      <c r="F86" s="295"/>
      <c r="G86" s="296"/>
      <c r="H86" s="164" t="s">
        <v>422</v>
      </c>
      <c r="I86" s="130" t="s">
        <v>3</v>
      </c>
      <c r="J86" s="126">
        <v>0.7</v>
      </c>
      <c r="K86" s="126">
        <v>9</v>
      </c>
      <c r="L86" s="125">
        <f>IF(I86&lt;&gt;0,((VLOOKUP(I86,'1. Standard_Cost'!$B$4:$D$11,2)+VLOOKUP(I86,'1. Standard_Cost'!$B$4:$D$11,3))*J86*K86),"0")</f>
        <v>635040</v>
      </c>
      <c r="M86" s="125">
        <f>L86*'1. Standard_Cost'!$F$4</f>
        <v>106051.68000000001</v>
      </c>
      <c r="N86" s="126"/>
      <c r="O86" s="126"/>
      <c r="P86" s="126"/>
      <c r="Q86" s="126"/>
      <c r="R86" s="127">
        <f>'1. Standard_Cost'!$B$15*N86*P86</f>
        <v>0</v>
      </c>
      <c r="S86" s="127">
        <f>N86*O86*P86*'1. Standard_Cost'!$C$15</f>
        <v>0</v>
      </c>
      <c r="T86" s="127">
        <f>N86*P86*Q86*'1. Standard_Cost'!$D$15</f>
        <v>0</v>
      </c>
      <c r="U86" s="127">
        <f>N86*O86*'1. Standard_Cost'!$E$15</f>
        <v>0</v>
      </c>
      <c r="V86" s="126"/>
      <c r="W86" s="126"/>
      <c r="X86" s="126"/>
      <c r="Y86" s="127">
        <f>+V86*((X86*'1. Standard_Cost'!$B$19)+(W86*X86*'1. Standard_Cost'!$C$19))</f>
        <v>0</v>
      </c>
      <c r="Z86" s="126"/>
      <c r="AA86" s="126"/>
      <c r="AB86" s="127">
        <f>+Z86*'1. Standard_Cost'!$B$23+AA86*'1. Standard_Cost'!$C$23</f>
        <v>0</v>
      </c>
      <c r="AC86" s="128">
        <v>102430</v>
      </c>
      <c r="AD86" s="129"/>
      <c r="AE86" s="127">
        <f>SUM(AD86,AC86,AB86,Y86,U86,T86,S86,R86)*'1. Standard_Cost'!$B$31</f>
        <v>20486</v>
      </c>
      <c r="AF86" s="127">
        <f>SUM(AE86,AD86,AC86,AB86,Y86,U86,T86,S86,R86)</f>
        <v>122916</v>
      </c>
      <c r="AG86" s="126"/>
      <c r="AH86" s="126"/>
      <c r="AI86" s="126"/>
      <c r="AJ86" s="130"/>
      <c r="AK86" s="130"/>
      <c r="AL86" s="130"/>
      <c r="AM86" s="127">
        <f>AG86*'1. Standard_Cost'!$B$27+'Incremental_Cost Year 6'!AH86*'1. Standard_Cost'!$C$27+'Incremental_Cost Year 6'!AI86*'1. Standard_Cost'!$D$27+'Incremental_Cost Year 6'!AJ86+'Incremental_Cost Year 6'!AL86+AK86</f>
        <v>0</v>
      </c>
      <c r="AN86" s="127">
        <f>AM86*'1. Standard_Cost'!$C$31</f>
        <v>0</v>
      </c>
      <c r="AO86" s="130"/>
      <c r="AQ86" s="171">
        <f>L86+M86</f>
        <v>741091.68</v>
      </c>
      <c r="AR86" s="171">
        <f>AF86</f>
        <v>122916</v>
      </c>
      <c r="AS86" s="171">
        <f>AM86+AN86</f>
        <v>0</v>
      </c>
      <c r="AT86" s="171">
        <f>SUM(AQ86,AR86,AS86)</f>
        <v>864007.68000000005</v>
      </c>
      <c r="AU86" s="250">
        <v>864008</v>
      </c>
      <c r="AV86" s="250"/>
      <c r="AW86" s="250"/>
      <c r="AX86" s="250"/>
      <c r="AY86" s="250"/>
      <c r="AZ86" s="250"/>
      <c r="BA86" s="250"/>
      <c r="BB86" s="251">
        <f t="shared" ref="BB86:BB87" si="59">SUM(AU86:BA86)-AT86</f>
        <v>0.31999999994877726</v>
      </c>
      <c r="BC86" s="169"/>
      <c r="BD86" s="169"/>
      <c r="BE86" s="169"/>
      <c r="BF86" s="169"/>
    </row>
    <row r="87" spans="1:58" ht="189" outlineLevel="2" x14ac:dyDescent="0.25">
      <c r="A87" s="115"/>
      <c r="B87" s="200"/>
      <c r="C87" s="201"/>
      <c r="D87" s="133"/>
      <c r="E87" s="322"/>
      <c r="F87" s="122"/>
      <c r="G87" s="123"/>
      <c r="H87" s="199" t="s">
        <v>423</v>
      </c>
      <c r="I87" s="130" t="s">
        <v>4</v>
      </c>
      <c r="J87" s="126">
        <v>2</v>
      </c>
      <c r="K87" s="126">
        <v>5</v>
      </c>
      <c r="L87" s="125">
        <f>IF(I87&lt;&gt;0,((VLOOKUP(I87,'1. Standard_Cost'!$B$4:$D$11,2)+VLOOKUP(I87,'1. Standard_Cost'!$B$4:$D$11,3))*J87*K87),"0")</f>
        <v>807500</v>
      </c>
      <c r="M87" s="125">
        <f>L87*'1. Standard_Cost'!$F$4</f>
        <v>134852.5</v>
      </c>
      <c r="N87" s="126"/>
      <c r="O87" s="126"/>
      <c r="P87" s="126"/>
      <c r="Q87" s="126"/>
      <c r="R87" s="127">
        <f>'1. Standard_Cost'!$B$15*N87*P87</f>
        <v>0</v>
      </c>
      <c r="S87" s="127">
        <f>N87*O87*P87*'1. Standard_Cost'!$C$15</f>
        <v>0</v>
      </c>
      <c r="T87" s="127">
        <f>N87*P87*Q87*'1. Standard_Cost'!$D$15</f>
        <v>0</v>
      </c>
      <c r="U87" s="127">
        <f>N87*O87*'1. Standard_Cost'!$E$15</f>
        <v>0</v>
      </c>
      <c r="V87" s="126"/>
      <c r="W87" s="126"/>
      <c r="X87" s="126"/>
      <c r="Y87" s="127">
        <f>+V87*((X87*'1. Standard_Cost'!$B$19)+(W87*X87*'1. Standard_Cost'!$C$19))</f>
        <v>0</v>
      </c>
      <c r="Z87" s="126"/>
      <c r="AA87" s="126">
        <v>100</v>
      </c>
      <c r="AB87" s="127">
        <f>+Z87*'1. Standard_Cost'!$B$23+AA87*'1. Standard_Cost'!$C$23</f>
        <v>1900000</v>
      </c>
      <c r="AC87" s="128">
        <v>942353</v>
      </c>
      <c r="AD87" s="129"/>
      <c r="AE87" s="127">
        <f>SUM(AD87,AC87,AB87,Y87,U87,T87,S87,R87)*'1. Standard_Cost'!$B$31</f>
        <v>568470.6</v>
      </c>
      <c r="AF87" s="127">
        <f>SUM(AE87,AD87,AC87,AB87,Y87,U87,T87,S87,R87)</f>
        <v>3410823.6</v>
      </c>
      <c r="AG87" s="126"/>
      <c r="AH87" s="126"/>
      <c r="AI87" s="126"/>
      <c r="AJ87" s="130"/>
      <c r="AK87" s="130"/>
      <c r="AL87" s="130"/>
      <c r="AM87" s="127">
        <f>AG87*'1. Standard_Cost'!$B$27+'Incremental_Cost Year 6'!AH87*'1. Standard_Cost'!$C$27+'Incremental_Cost Year 6'!AI87*'1. Standard_Cost'!$D$27+'Incremental_Cost Year 6'!AJ87+'Incremental_Cost Year 6'!AL87+AK87</f>
        <v>0</v>
      </c>
      <c r="AN87" s="127">
        <f>AM87*'1. Standard_Cost'!$C$31</f>
        <v>0</v>
      </c>
      <c r="AO87" s="130"/>
      <c r="AQ87" s="171">
        <f>L87+M87</f>
        <v>942352.5</v>
      </c>
      <c r="AR87" s="171">
        <f>AF87</f>
        <v>3410823.6</v>
      </c>
      <c r="AS87" s="171">
        <f>AM87+AN87</f>
        <v>0</v>
      </c>
      <c r="AT87" s="171">
        <f>SUM(AQ87,AR87,AS87)</f>
        <v>4353176.0999999996</v>
      </c>
      <c r="AU87" s="250">
        <v>1693176</v>
      </c>
      <c r="AV87" s="250"/>
      <c r="AW87" s="250"/>
      <c r="AX87" s="250"/>
      <c r="AY87" s="250"/>
      <c r="AZ87" s="250"/>
      <c r="BA87" s="250"/>
      <c r="BB87" s="251">
        <f t="shared" si="59"/>
        <v>-2660000.0999999996</v>
      </c>
      <c r="BC87" s="169"/>
      <c r="BD87" s="169"/>
      <c r="BE87" s="169"/>
      <c r="BF87" s="169"/>
    </row>
    <row r="88" spans="1:58" ht="63" outlineLevel="1" x14ac:dyDescent="0.25">
      <c r="A88" s="115"/>
      <c r="B88" s="165"/>
      <c r="C88" s="166"/>
      <c r="D88" s="212" t="s">
        <v>240</v>
      </c>
      <c r="E88" s="212" t="s">
        <v>269</v>
      </c>
      <c r="F88" s="117">
        <v>2024</v>
      </c>
      <c r="G88" s="117">
        <v>2030</v>
      </c>
      <c r="H88" s="110" t="s">
        <v>270</v>
      </c>
      <c r="I88" s="252"/>
      <c r="J88" s="252"/>
      <c r="K88" s="252"/>
      <c r="L88" s="127">
        <f>SUM(L86:L87)</f>
        <v>1442540</v>
      </c>
      <c r="M88" s="127">
        <f>SUM(M86:M87)</f>
        <v>240904.18</v>
      </c>
      <c r="N88" s="252"/>
      <c r="O88" s="252"/>
      <c r="P88" s="252"/>
      <c r="Q88" s="252"/>
      <c r="R88" s="127">
        <f>SUM(R86:R87)</f>
        <v>0</v>
      </c>
      <c r="S88" s="127">
        <f>SUM(S86:S87)</f>
        <v>0</v>
      </c>
      <c r="T88" s="127">
        <f>SUM(T86:T87)</f>
        <v>0</v>
      </c>
      <c r="U88" s="127">
        <f>SUM(U86:U87)</f>
        <v>0</v>
      </c>
      <c r="V88" s="252"/>
      <c r="W88" s="252"/>
      <c r="X88" s="252"/>
      <c r="Y88" s="127">
        <f>SUM(Y86:Y87)</f>
        <v>0</v>
      </c>
      <c r="Z88" s="252"/>
      <c r="AA88" s="252"/>
      <c r="AB88" s="127">
        <f>SUM(AB86:AB87)</f>
        <v>1900000</v>
      </c>
      <c r="AC88" s="127">
        <f>SUM(AC86:AC87)</f>
        <v>1044783</v>
      </c>
      <c r="AD88" s="127">
        <f>SUM(AD86:AD87)</f>
        <v>0</v>
      </c>
      <c r="AE88" s="127">
        <f>SUM(AE86:AE87)</f>
        <v>588956.6</v>
      </c>
      <c r="AF88" s="127">
        <f>SUM(AF86:AF87)</f>
        <v>3533739.6</v>
      </c>
      <c r="AG88" s="252"/>
      <c r="AH88" s="252"/>
      <c r="AI88" s="252"/>
      <c r="AJ88" s="127">
        <f>SUM(AJ86:AJ87)</f>
        <v>0</v>
      </c>
      <c r="AK88" s="127">
        <f>SUM(AK86:AK87)</f>
        <v>0</v>
      </c>
      <c r="AL88" s="127">
        <f>SUM(AL86:AL87)</f>
        <v>0</v>
      </c>
      <c r="AM88" s="127">
        <f>SUM(AM86:AM87)</f>
        <v>0</v>
      </c>
      <c r="AN88" s="127">
        <f>SUM(AN86:AN87)</f>
        <v>0</v>
      </c>
      <c r="AO88" s="253"/>
      <c r="AP88" s="254"/>
      <c r="AQ88" s="175">
        <f>SUM(AQ86:AQ87)</f>
        <v>1683444.1800000002</v>
      </c>
      <c r="AR88" s="175">
        <f>SUM(AR86:AR87)</f>
        <v>3533739.6</v>
      </c>
      <c r="AS88" s="175">
        <f>SUM(AS86:AS87)</f>
        <v>0</v>
      </c>
      <c r="AT88" s="175">
        <f>SUM(AT86:AT87)</f>
        <v>5217183.7799999993</v>
      </c>
      <c r="AU88" s="175">
        <f t="shared" ref="AU88:BB88" si="60">SUM(AU86:AU87)</f>
        <v>2557184</v>
      </c>
      <c r="AV88" s="175">
        <f t="shared" si="60"/>
        <v>0</v>
      </c>
      <c r="AW88" s="175">
        <f t="shared" si="60"/>
        <v>0</v>
      </c>
      <c r="AX88" s="175">
        <f t="shared" si="60"/>
        <v>0</v>
      </c>
      <c r="AY88" s="175">
        <f t="shared" si="60"/>
        <v>0</v>
      </c>
      <c r="AZ88" s="175">
        <f t="shared" si="60"/>
        <v>0</v>
      </c>
      <c r="BA88" s="175">
        <f t="shared" si="60"/>
        <v>0</v>
      </c>
      <c r="BB88" s="175">
        <f t="shared" si="60"/>
        <v>-2659999.7799999998</v>
      </c>
      <c r="BC88" s="169"/>
      <c r="BD88" s="169"/>
      <c r="BE88" s="169"/>
      <c r="BF88" s="169"/>
    </row>
    <row r="89" spans="1:58" ht="63" outlineLevel="2" x14ac:dyDescent="0.25">
      <c r="A89" s="115"/>
      <c r="B89" s="200"/>
      <c r="C89" s="201"/>
      <c r="D89" s="346"/>
      <c r="E89" s="321"/>
      <c r="F89" s="306"/>
      <c r="G89" s="307"/>
      <c r="H89" s="199" t="s">
        <v>424</v>
      </c>
      <c r="I89" s="130" t="s">
        <v>2</v>
      </c>
      <c r="J89" s="126">
        <v>12</v>
      </c>
      <c r="K89" s="126">
        <v>2</v>
      </c>
      <c r="L89" s="125">
        <f>IF(I89&lt;&gt;0,((VLOOKUP(I89,'1. Standard_Cost'!$B$4:$D$11,2)+VLOOKUP(I89,'1. Standard_Cost'!$B$4:$D$11,3))*J89*K89),"0")</f>
        <v>2904000</v>
      </c>
      <c r="M89" s="125">
        <f>L89*'1. Standard_Cost'!$F$4</f>
        <v>484968</v>
      </c>
      <c r="N89" s="126"/>
      <c r="O89" s="126"/>
      <c r="P89" s="126"/>
      <c r="Q89" s="126"/>
      <c r="R89" s="127">
        <f>'1. Standard_Cost'!$B$15*N89*P89</f>
        <v>0</v>
      </c>
      <c r="S89" s="127">
        <f>N89*O89*P89*'1. Standard_Cost'!$C$15</f>
        <v>0</v>
      </c>
      <c r="T89" s="127">
        <f>N89*P89*Q89*'1. Standard_Cost'!$D$15</f>
        <v>0</v>
      </c>
      <c r="U89" s="127">
        <f>N89*O89*'1. Standard_Cost'!$E$15</f>
        <v>0</v>
      </c>
      <c r="V89" s="126"/>
      <c r="W89" s="126"/>
      <c r="X89" s="126"/>
      <c r="Y89" s="127">
        <f>+V89*((X89*'1. Standard_Cost'!$B$19)+(W89*X89*'1. Standard_Cost'!$C$19))</f>
        <v>0</v>
      </c>
      <c r="Z89" s="126"/>
      <c r="AA89" s="126"/>
      <c r="AB89" s="127">
        <f>+Z89*'1. Standard_Cost'!$B$23+AA89*'1. Standard_Cost'!$C$23</f>
        <v>0</v>
      </c>
      <c r="AC89" s="128">
        <v>406676</v>
      </c>
      <c r="AD89" s="129"/>
      <c r="AE89" s="127">
        <f>SUM(AD89,AC89,AB89,Y89,U89,T89,S89,R89)*'1. Standard_Cost'!$B$31</f>
        <v>81335.200000000012</v>
      </c>
      <c r="AF89" s="127">
        <f>SUM(AE89,AD89,AC89,AB89,Y89,U89,T89,S89,R89)</f>
        <v>488011.2</v>
      </c>
      <c r="AG89" s="126"/>
      <c r="AH89" s="126"/>
      <c r="AI89" s="126"/>
      <c r="AJ89" s="130"/>
      <c r="AK89" s="130"/>
      <c r="AL89" s="130"/>
      <c r="AM89" s="127">
        <f>AG89*'1. Standard_Cost'!$B$27+'Incremental_Cost Year 6'!AH89*'1. Standard_Cost'!$C$27+'Incremental_Cost Year 6'!AI89*'1. Standard_Cost'!$D$27+'Incremental_Cost Year 6'!AJ89+'Incremental_Cost Year 6'!AL89+AK89</f>
        <v>0</v>
      </c>
      <c r="AN89" s="127">
        <f>AM89*'1. Standard_Cost'!$C$31</f>
        <v>0</v>
      </c>
      <c r="AO89" s="130"/>
      <c r="AQ89" s="171">
        <f>L89+M89</f>
        <v>3388968</v>
      </c>
      <c r="AR89" s="171">
        <f>AF89</f>
        <v>488011.2</v>
      </c>
      <c r="AS89" s="171">
        <f>AM89+AN89</f>
        <v>0</v>
      </c>
      <c r="AT89" s="171">
        <f>SUM(AQ89,AR89,AS89)</f>
        <v>3876979.2</v>
      </c>
      <c r="AU89" s="250">
        <v>3876979</v>
      </c>
      <c r="AV89" s="250"/>
      <c r="AW89" s="250"/>
      <c r="AX89" s="250"/>
      <c r="AY89" s="250"/>
      <c r="AZ89" s="250"/>
      <c r="BA89" s="250"/>
      <c r="BB89" s="251">
        <f t="shared" ref="BB89:BB91" si="61">SUM(AU89:BA89)-AT89</f>
        <v>-0.20000000018626451</v>
      </c>
      <c r="BC89" s="169"/>
      <c r="BD89" s="169"/>
      <c r="BE89" s="169"/>
      <c r="BF89" s="169"/>
    </row>
    <row r="90" spans="1:58" ht="94.5" outlineLevel="2" x14ac:dyDescent="0.25">
      <c r="A90" s="115"/>
      <c r="B90" s="200"/>
      <c r="C90" s="201"/>
      <c r="D90" s="203"/>
      <c r="E90" s="323"/>
      <c r="F90" s="308"/>
      <c r="G90" s="309"/>
      <c r="H90" s="199" t="s">
        <v>425</v>
      </c>
      <c r="I90" s="130" t="s">
        <v>2</v>
      </c>
      <c r="J90" s="126">
        <v>12</v>
      </c>
      <c r="K90" s="126">
        <v>1</v>
      </c>
      <c r="L90" s="125">
        <f>IF(I90&lt;&gt;0,((VLOOKUP(I90,'1. Standard_Cost'!$B$4:$D$11,2)+VLOOKUP(I90,'1. Standard_Cost'!$B$4:$D$11,3))*J90*K90),"0")</f>
        <v>1452000</v>
      </c>
      <c r="M90" s="125">
        <f>L90*'1. Standard_Cost'!$F$4</f>
        <v>242484</v>
      </c>
      <c r="N90" s="126"/>
      <c r="O90" s="126"/>
      <c r="P90" s="126"/>
      <c r="Q90" s="126"/>
      <c r="R90" s="127">
        <f>'1. Standard_Cost'!$B$15*N90*P90</f>
        <v>0</v>
      </c>
      <c r="S90" s="127">
        <f>N90*O90*P90*'1. Standard_Cost'!$C$15</f>
        <v>0</v>
      </c>
      <c r="T90" s="127">
        <f>N90*P90*Q90*'1. Standard_Cost'!$D$15</f>
        <v>0</v>
      </c>
      <c r="U90" s="127">
        <f>N90*O90*'1. Standard_Cost'!$E$15</f>
        <v>0</v>
      </c>
      <c r="V90" s="126"/>
      <c r="W90" s="126"/>
      <c r="X90" s="126"/>
      <c r="Y90" s="127">
        <f>+V90*((X90*'1. Standard_Cost'!$B$19)+(W90*X90*'1. Standard_Cost'!$C$19))</f>
        <v>0</v>
      </c>
      <c r="Z90" s="126"/>
      <c r="AA90" s="126">
        <v>25</v>
      </c>
      <c r="AB90" s="127">
        <f>+Z90*'1. Standard_Cost'!$B$23+AA90*'1. Standard_Cost'!$C$23</f>
        <v>475000</v>
      </c>
      <c r="AC90" s="128">
        <v>203240</v>
      </c>
      <c r="AD90" s="129"/>
      <c r="AE90" s="127">
        <f>SUM(AD90,AC90,AB90,Y90,U90,T90,S90,R90)*'1. Standard_Cost'!$B$31</f>
        <v>135648</v>
      </c>
      <c r="AF90" s="127">
        <f>SUM(AE90,AD90,AC90,AB90,Y90,U90,T90,S90,R90)</f>
        <v>813888</v>
      </c>
      <c r="AG90" s="126"/>
      <c r="AH90" s="126"/>
      <c r="AI90" s="126"/>
      <c r="AJ90" s="130"/>
      <c r="AK90" s="130"/>
      <c r="AL90" s="130"/>
      <c r="AM90" s="127">
        <f>AG90*'1. Standard_Cost'!$B$27+'Incremental_Cost Year 6'!AH90*'1. Standard_Cost'!$C$27+'Incremental_Cost Year 6'!AI90*'1. Standard_Cost'!$D$27+'Incremental_Cost Year 6'!AJ90+'Incremental_Cost Year 6'!AL90+AK90</f>
        <v>0</v>
      </c>
      <c r="AN90" s="127">
        <f>AM90*'1. Standard_Cost'!$C$31</f>
        <v>0</v>
      </c>
      <c r="AO90" s="130"/>
      <c r="AQ90" s="171">
        <f>L90+M90</f>
        <v>1694484</v>
      </c>
      <c r="AR90" s="171">
        <f>AF90</f>
        <v>813888</v>
      </c>
      <c r="AS90" s="171">
        <f>AM90+AN90</f>
        <v>0</v>
      </c>
      <c r="AT90" s="171">
        <f>SUM(AQ90,AR90,AS90)</f>
        <v>2508372</v>
      </c>
      <c r="AU90" s="250">
        <v>1938372</v>
      </c>
      <c r="AV90" s="250"/>
      <c r="AW90" s="250"/>
      <c r="AX90" s="250"/>
      <c r="AY90" s="250"/>
      <c r="AZ90" s="250"/>
      <c r="BA90" s="250"/>
      <c r="BB90" s="251">
        <f t="shared" si="61"/>
        <v>-570000</v>
      </c>
      <c r="BC90" s="169"/>
      <c r="BD90" s="169"/>
      <c r="BE90" s="169"/>
      <c r="BF90" s="169"/>
    </row>
    <row r="91" spans="1:58" ht="78.75" outlineLevel="2" x14ac:dyDescent="0.25">
      <c r="A91" s="115"/>
      <c r="B91" s="200"/>
      <c r="C91" s="201"/>
      <c r="D91" s="133"/>
      <c r="E91" s="322"/>
      <c r="F91" s="324"/>
      <c r="G91" s="325"/>
      <c r="H91" s="109" t="s">
        <v>426</v>
      </c>
      <c r="I91" s="130" t="s">
        <v>3</v>
      </c>
      <c r="J91" s="126">
        <v>3</v>
      </c>
      <c r="K91" s="126">
        <v>3</v>
      </c>
      <c r="L91" s="125">
        <f>IF(I91&lt;&gt;0,((VLOOKUP(I91,'1. Standard_Cost'!$B$4:$D$11,2)+VLOOKUP(I91,'1. Standard_Cost'!$B$4:$D$11,3))*J91*K91),"0")</f>
        <v>907200</v>
      </c>
      <c r="M91" s="125">
        <f>L91*'1. Standard_Cost'!$F$4</f>
        <v>151502.39999999999</v>
      </c>
      <c r="N91" s="126"/>
      <c r="O91" s="126"/>
      <c r="P91" s="126"/>
      <c r="Q91" s="126"/>
      <c r="R91" s="127">
        <f>'1. Standard_Cost'!$B$15*N91*P91</f>
        <v>0</v>
      </c>
      <c r="S91" s="127">
        <f>N91*O91*P91*'1. Standard_Cost'!$C$15</f>
        <v>0</v>
      </c>
      <c r="T91" s="127">
        <f>N91*P91*Q91*'1. Standard_Cost'!$D$15</f>
        <v>0</v>
      </c>
      <c r="U91" s="127">
        <f>N91*O91*'1. Standard_Cost'!$E$15</f>
        <v>0</v>
      </c>
      <c r="V91" s="126">
        <v>1</v>
      </c>
      <c r="W91" s="126">
        <v>5</v>
      </c>
      <c r="X91" s="126">
        <v>3</v>
      </c>
      <c r="Y91" s="127">
        <f>+V91*((X91*'1. Standard_Cost'!$B$19)+(W91*X91*'1. Standard_Cost'!$C$19))</f>
        <v>255000</v>
      </c>
      <c r="Z91" s="126"/>
      <c r="AA91" s="126"/>
      <c r="AB91" s="127">
        <f>+Z91*'1. Standard_Cost'!$B$23+AA91*'1. Standard_Cost'!$C$23</f>
        <v>0</v>
      </c>
      <c r="AC91" s="128">
        <v>127045</v>
      </c>
      <c r="AD91" s="129"/>
      <c r="AE91" s="127">
        <f>SUM(AD91,AC91,AB91,Y91,U91,T91,S91,R91)*'1. Standard_Cost'!$B$31</f>
        <v>76409</v>
      </c>
      <c r="AF91" s="127">
        <f>SUM(AE91,AD91,AC91,AB91,Y91,U91,T91,S91,R91)</f>
        <v>458454</v>
      </c>
      <c r="AG91" s="126"/>
      <c r="AH91" s="126"/>
      <c r="AI91" s="126"/>
      <c r="AJ91" s="130"/>
      <c r="AK91" s="130"/>
      <c r="AL91" s="130"/>
      <c r="AM91" s="127">
        <f>AG91*'1. Standard_Cost'!$B$27+'Incremental_Cost Year 6'!AH91*'1. Standard_Cost'!$C$27+'Incremental_Cost Year 6'!AI91*'1. Standard_Cost'!$D$27+'Incremental_Cost Year 6'!AJ91+'Incremental_Cost Year 6'!AL91+AK91</f>
        <v>0</v>
      </c>
      <c r="AN91" s="127">
        <f>AM91*'1. Standard_Cost'!$C$31</f>
        <v>0</v>
      </c>
      <c r="AO91" s="130"/>
      <c r="AQ91" s="171">
        <f>L91+M91</f>
        <v>1058702.3999999999</v>
      </c>
      <c r="AR91" s="171">
        <f>AF91</f>
        <v>458454</v>
      </c>
      <c r="AS91" s="171">
        <f>AM91+AN91</f>
        <v>0</v>
      </c>
      <c r="AT91" s="171">
        <f>SUM(AQ91,AR91,AS91)</f>
        <v>1517156.4</v>
      </c>
      <c r="AU91" s="250">
        <v>1517156</v>
      </c>
      <c r="AV91" s="250"/>
      <c r="AW91" s="250"/>
      <c r="AX91" s="250"/>
      <c r="AY91" s="250"/>
      <c r="AZ91" s="250"/>
      <c r="BA91" s="250"/>
      <c r="BB91" s="251">
        <f t="shared" si="61"/>
        <v>-0.39999999990686774</v>
      </c>
      <c r="BC91" s="169"/>
      <c r="BD91" s="169"/>
      <c r="BE91" s="169"/>
      <c r="BF91" s="169"/>
    </row>
    <row r="92" spans="1:58" ht="63" customHeight="1" outlineLevel="1" x14ac:dyDescent="0.25">
      <c r="A92" s="115"/>
      <c r="B92" s="165"/>
      <c r="C92" s="166"/>
      <c r="D92" s="150" t="s">
        <v>240</v>
      </c>
      <c r="E92" s="212" t="s">
        <v>271</v>
      </c>
      <c r="F92" s="104">
        <v>2021</v>
      </c>
      <c r="G92" s="104">
        <v>2030</v>
      </c>
      <c r="H92" s="110" t="s">
        <v>272</v>
      </c>
      <c r="I92" s="252"/>
      <c r="J92" s="252"/>
      <c r="K92" s="252"/>
      <c r="L92" s="127">
        <f>SUM(L89:L91)</f>
        <v>5263200</v>
      </c>
      <c r="M92" s="127">
        <f>SUM(M89:M91)</f>
        <v>878954.4</v>
      </c>
      <c r="N92" s="252"/>
      <c r="O92" s="252"/>
      <c r="P92" s="252"/>
      <c r="Q92" s="252"/>
      <c r="R92" s="127">
        <f>SUM(R89:R91)</f>
        <v>0</v>
      </c>
      <c r="S92" s="127">
        <f>SUM(S89:S91)</f>
        <v>0</v>
      </c>
      <c r="T92" s="127">
        <f>SUM(T89:T91)</f>
        <v>0</v>
      </c>
      <c r="U92" s="127">
        <f>SUM(U89:U91)</f>
        <v>0</v>
      </c>
      <c r="V92" s="252"/>
      <c r="W92" s="252"/>
      <c r="X92" s="252"/>
      <c r="Y92" s="127">
        <f>SUM(Y89:Y91)</f>
        <v>255000</v>
      </c>
      <c r="Z92" s="252"/>
      <c r="AA92" s="252"/>
      <c r="AB92" s="127">
        <f>SUM(AB89:AB91)</f>
        <v>475000</v>
      </c>
      <c r="AC92" s="127">
        <f>SUM(AC89:AC91)</f>
        <v>736961</v>
      </c>
      <c r="AD92" s="127">
        <f>SUM(AD89:AD91)</f>
        <v>0</v>
      </c>
      <c r="AE92" s="127">
        <f>SUM(AE89:AE91)</f>
        <v>293392.2</v>
      </c>
      <c r="AF92" s="127">
        <f>SUM(AF89:AF91)</f>
        <v>1760353.2</v>
      </c>
      <c r="AG92" s="252"/>
      <c r="AH92" s="252"/>
      <c r="AI92" s="252"/>
      <c r="AJ92" s="127">
        <f>SUM(AJ89:AJ91)</f>
        <v>0</v>
      </c>
      <c r="AK92" s="127">
        <f>SUM(AK89:AK91)</f>
        <v>0</v>
      </c>
      <c r="AL92" s="127">
        <f>SUM(AL89:AL91)</f>
        <v>0</v>
      </c>
      <c r="AM92" s="127">
        <f>SUM(AM89:AM91)</f>
        <v>0</v>
      </c>
      <c r="AN92" s="127">
        <f>SUM(AN89:AN91)</f>
        <v>0</v>
      </c>
      <c r="AO92" s="253"/>
      <c r="AP92" s="254"/>
      <c r="AQ92" s="175">
        <f>SUM(AQ89:AQ91)</f>
        <v>6142154.4000000004</v>
      </c>
      <c r="AR92" s="175">
        <f>SUM(AR89:AR91)</f>
        <v>1760353.2</v>
      </c>
      <c r="AS92" s="175">
        <f>SUM(AS89:AS91)</f>
        <v>0</v>
      </c>
      <c r="AT92" s="175">
        <f>SUM(AT89:AT91)</f>
        <v>7902507.5999999996</v>
      </c>
      <c r="AU92" s="175">
        <f t="shared" ref="AU92:BB92" si="62">SUM(AU89:AU91)</f>
        <v>7332507</v>
      </c>
      <c r="AV92" s="175">
        <f t="shared" si="62"/>
        <v>0</v>
      </c>
      <c r="AW92" s="175">
        <f t="shared" si="62"/>
        <v>0</v>
      </c>
      <c r="AX92" s="175">
        <f t="shared" si="62"/>
        <v>0</v>
      </c>
      <c r="AY92" s="175">
        <f t="shared" si="62"/>
        <v>0</v>
      </c>
      <c r="AZ92" s="175">
        <f t="shared" si="62"/>
        <v>0</v>
      </c>
      <c r="BA92" s="175">
        <f t="shared" si="62"/>
        <v>0</v>
      </c>
      <c r="BB92" s="175">
        <f t="shared" si="62"/>
        <v>-570000.60000000009</v>
      </c>
      <c r="BC92" s="169"/>
      <c r="BD92" s="169"/>
      <c r="BE92" s="169"/>
      <c r="BF92" s="169"/>
    </row>
    <row r="93" spans="1:58" s="184" customFormat="1" ht="15.75" customHeight="1" x14ac:dyDescent="0.25">
      <c r="A93" s="143"/>
      <c r="B93" s="290"/>
      <c r="C93" s="391" t="s">
        <v>537</v>
      </c>
      <c r="D93" s="391"/>
      <c r="E93" s="392"/>
      <c r="F93" s="291"/>
      <c r="G93" s="291"/>
      <c r="H93" s="144" t="s">
        <v>165</v>
      </c>
      <c r="I93" s="257"/>
      <c r="J93" s="257"/>
      <c r="K93" s="257"/>
      <c r="L93" s="258">
        <f>SUM(L99)</f>
        <v>1850850</v>
      </c>
      <c r="M93" s="258">
        <f>SUM(M99)</f>
        <v>309091.95</v>
      </c>
      <c r="N93" s="257"/>
      <c r="O93" s="257"/>
      <c r="P93" s="257"/>
      <c r="Q93" s="257"/>
      <c r="R93" s="258">
        <f>SUM(R99)</f>
        <v>0</v>
      </c>
      <c r="S93" s="258">
        <f>SUM(S99)</f>
        <v>0</v>
      </c>
      <c r="T93" s="258">
        <f>SUM(T99)</f>
        <v>0</v>
      </c>
      <c r="U93" s="258">
        <f>SUM(U99)</f>
        <v>0</v>
      </c>
      <c r="V93" s="257"/>
      <c r="W93" s="257"/>
      <c r="X93" s="257"/>
      <c r="Y93" s="258">
        <f>SUM(Y99)</f>
        <v>0</v>
      </c>
      <c r="Z93" s="257"/>
      <c r="AA93" s="257"/>
      <c r="AB93" s="258">
        <f>SUM(AB99)</f>
        <v>0</v>
      </c>
      <c r="AC93" s="258">
        <f>SUM(AC99)</f>
        <v>302282</v>
      </c>
      <c r="AD93" s="258">
        <f>SUM(AD99)</f>
        <v>0</v>
      </c>
      <c r="AE93" s="258">
        <f>SUM(AE99)</f>
        <v>60456.4</v>
      </c>
      <c r="AF93" s="258">
        <f>SUM(AF99)</f>
        <v>362738.4</v>
      </c>
      <c r="AG93" s="257"/>
      <c r="AH93" s="257"/>
      <c r="AI93" s="257"/>
      <c r="AJ93" s="258">
        <f>SUM(AJ99)</f>
        <v>0</v>
      </c>
      <c r="AK93" s="258">
        <f>SUM(AK99)</f>
        <v>0</v>
      </c>
      <c r="AL93" s="258">
        <f>SUM(AL99)</f>
        <v>0</v>
      </c>
      <c r="AM93" s="258">
        <f>SUM(AM99)</f>
        <v>0</v>
      </c>
      <c r="AN93" s="258">
        <f>SUM(AN99)</f>
        <v>0</v>
      </c>
      <c r="AO93" s="259"/>
      <c r="AP93" s="260"/>
      <c r="AQ93" s="261">
        <f>SUM(AQ99)</f>
        <v>2159941.9500000002</v>
      </c>
      <c r="AR93" s="261">
        <f>SUM(AR99)</f>
        <v>362738.4</v>
      </c>
      <c r="AS93" s="261">
        <f>SUM(AS99)</f>
        <v>0</v>
      </c>
      <c r="AT93" s="261">
        <f>SUM(AT99)</f>
        <v>2522680.35</v>
      </c>
      <c r="AU93" s="261">
        <f t="shared" ref="AU93:BA93" si="63">SUM(AU99)</f>
        <v>2522680</v>
      </c>
      <c r="AV93" s="261">
        <f t="shared" si="63"/>
        <v>0</v>
      </c>
      <c r="AW93" s="261">
        <f t="shared" si="63"/>
        <v>0</v>
      </c>
      <c r="AX93" s="261">
        <f t="shared" si="63"/>
        <v>0</v>
      </c>
      <c r="AY93" s="261">
        <f t="shared" si="63"/>
        <v>0</v>
      </c>
      <c r="AZ93" s="261">
        <f t="shared" si="63"/>
        <v>0</v>
      </c>
      <c r="BA93" s="261">
        <f t="shared" si="63"/>
        <v>0</v>
      </c>
      <c r="BB93" s="261">
        <f>SUM(BB99)</f>
        <v>-0.35000000009313226</v>
      </c>
    </row>
    <row r="94" spans="1:58" ht="94.5" outlineLevel="2" x14ac:dyDescent="0.25">
      <c r="A94" s="115"/>
      <c r="B94" s="200"/>
      <c r="C94" s="201"/>
      <c r="D94" s="346"/>
      <c r="E94" s="321"/>
      <c r="F94" s="306"/>
      <c r="G94" s="307"/>
      <c r="H94" s="109" t="s">
        <v>427</v>
      </c>
      <c r="I94" s="130"/>
      <c r="J94" s="126"/>
      <c r="K94" s="126"/>
      <c r="L94" s="125" t="str">
        <f>IF(I94&lt;&gt;0,((VLOOKUP(I94,'1. Standard_Cost'!$B$4:$D$11,2)+VLOOKUP(I94,'1. Standard_Cost'!$B$4:$D$11,3))*J94*K94),"0")</f>
        <v>0</v>
      </c>
      <c r="M94" s="125">
        <f>L94*'1. Standard_Cost'!$F$4</f>
        <v>0</v>
      </c>
      <c r="N94" s="126"/>
      <c r="O94" s="126"/>
      <c r="P94" s="126"/>
      <c r="Q94" s="126"/>
      <c r="R94" s="127">
        <f>'1. Standard_Cost'!$B$15*N94*P94</f>
        <v>0</v>
      </c>
      <c r="S94" s="127">
        <f>N94*O94*P94*'1. Standard_Cost'!$C$15</f>
        <v>0</v>
      </c>
      <c r="T94" s="127">
        <f>N94*P94*Q94*'1. Standard_Cost'!$D$15</f>
        <v>0</v>
      </c>
      <c r="U94" s="127">
        <f>N94*O94*'1. Standard_Cost'!$E$15</f>
        <v>0</v>
      </c>
      <c r="V94" s="126"/>
      <c r="W94" s="126"/>
      <c r="X94" s="126"/>
      <c r="Y94" s="127">
        <f>+V94*((X94*'1. Standard_Cost'!$B$19)+(W94*X94*'1. Standard_Cost'!$C$19))</f>
        <v>0</v>
      </c>
      <c r="Z94" s="126"/>
      <c r="AA94" s="126"/>
      <c r="AB94" s="127">
        <f>+Z94*'1. Standard_Cost'!$B$23+AA94*'1. Standard_Cost'!$C$23</f>
        <v>0</v>
      </c>
      <c r="AC94" s="128"/>
      <c r="AD94" s="129"/>
      <c r="AE94" s="127">
        <f>SUM(AD94,AC94,AB94,Y94,U94,T94,S94,R94)*'1. Standard_Cost'!$B$31</f>
        <v>0</v>
      </c>
      <c r="AF94" s="127">
        <f>SUM(AE94,AD94,AC94,AB94,Y94,U94,T94,S94,R94)</f>
        <v>0</v>
      </c>
      <c r="AG94" s="126"/>
      <c r="AH94" s="126"/>
      <c r="AI94" s="126"/>
      <c r="AJ94" s="130"/>
      <c r="AK94" s="130"/>
      <c r="AL94" s="130"/>
      <c r="AM94" s="127">
        <f>AG94*'1. Standard_Cost'!$B$27+'Incremental_Cost Year 6'!AH94*'1. Standard_Cost'!$C$27+'Incremental_Cost Year 6'!AI94*'1. Standard_Cost'!$D$27+'Incremental_Cost Year 6'!AJ94+'Incremental_Cost Year 6'!AL94+AK94</f>
        <v>0</v>
      </c>
      <c r="AN94" s="127">
        <f>AM94*'1. Standard_Cost'!$C$31</f>
        <v>0</v>
      </c>
      <c r="AO94" s="130"/>
      <c r="AQ94" s="171">
        <f>L94+M94</f>
        <v>0</v>
      </c>
      <c r="AR94" s="171">
        <f>AF94</f>
        <v>0</v>
      </c>
      <c r="AS94" s="171">
        <f>AM94+AN94</f>
        <v>0</v>
      </c>
      <c r="AT94" s="171">
        <f>SUM(AQ94,AR94,AS94)</f>
        <v>0</v>
      </c>
      <c r="AU94" s="250"/>
      <c r="AV94" s="250"/>
      <c r="AW94" s="250"/>
      <c r="AX94" s="250"/>
      <c r="AY94" s="250"/>
      <c r="AZ94" s="250"/>
      <c r="BA94" s="250"/>
      <c r="BB94" s="251">
        <f t="shared" ref="BB94:BB98" si="64">SUM(AU94:BA94)-AT94</f>
        <v>0</v>
      </c>
      <c r="BC94" s="169"/>
      <c r="BD94" s="169"/>
      <c r="BE94" s="169"/>
      <c r="BF94" s="169"/>
    </row>
    <row r="95" spans="1:58" ht="63" outlineLevel="2" x14ac:dyDescent="0.25">
      <c r="A95" s="115"/>
      <c r="B95" s="200"/>
      <c r="C95" s="201"/>
      <c r="D95" s="203"/>
      <c r="E95" s="323"/>
      <c r="F95" s="308"/>
      <c r="G95" s="309"/>
      <c r="H95" s="109" t="s">
        <v>428</v>
      </c>
      <c r="I95" s="130" t="s">
        <v>3</v>
      </c>
      <c r="J95" s="126">
        <v>2</v>
      </c>
      <c r="K95" s="126">
        <v>5</v>
      </c>
      <c r="L95" s="125">
        <f>IF(I95&lt;&gt;0,((VLOOKUP(I95,'1. Standard_Cost'!$B$4:$D$11,2)+VLOOKUP(I95,'1. Standard_Cost'!$B$4:$D$11,3))*J95*K95),"0")</f>
        <v>1008000</v>
      </c>
      <c r="M95" s="125">
        <f>L95*'1. Standard_Cost'!$F$4</f>
        <v>168336</v>
      </c>
      <c r="N95" s="126"/>
      <c r="O95" s="126"/>
      <c r="P95" s="126"/>
      <c r="Q95" s="126"/>
      <c r="R95" s="127">
        <f>'1. Standard_Cost'!$B$15*N95*P95</f>
        <v>0</v>
      </c>
      <c r="S95" s="127">
        <f>N95*O95*P95*'1. Standard_Cost'!$C$15</f>
        <v>0</v>
      </c>
      <c r="T95" s="127">
        <f>N95*P95*Q95*'1. Standard_Cost'!$D$15</f>
        <v>0</v>
      </c>
      <c r="U95" s="127">
        <f>N95*O95*'1. Standard_Cost'!$E$15</f>
        <v>0</v>
      </c>
      <c r="V95" s="126"/>
      <c r="W95" s="126"/>
      <c r="X95" s="126"/>
      <c r="Y95" s="127">
        <f>+V95*((X95*'1. Standard_Cost'!$B$19)+(W95*X95*'1. Standard_Cost'!$C$19))</f>
        <v>0</v>
      </c>
      <c r="Z95" s="126"/>
      <c r="AA95" s="126"/>
      <c r="AB95" s="127">
        <f>+Z95*'1. Standard_Cost'!$B$23+AA95*'1. Standard_Cost'!$C$23</f>
        <v>0</v>
      </c>
      <c r="AC95" s="128">
        <v>141200</v>
      </c>
      <c r="AD95" s="129"/>
      <c r="AE95" s="127">
        <f>SUM(AD95,AC95,AB95,Y95,U95,T95,S95,R95)*'1. Standard_Cost'!$B$31</f>
        <v>28240</v>
      </c>
      <c r="AF95" s="127">
        <f>SUM(AE95,AD95,AC95,AB95,Y95,U95,T95,S95,R95)</f>
        <v>169440</v>
      </c>
      <c r="AG95" s="126"/>
      <c r="AH95" s="126"/>
      <c r="AI95" s="126"/>
      <c r="AJ95" s="130"/>
      <c r="AK95" s="130"/>
      <c r="AL95" s="130"/>
      <c r="AM95" s="127">
        <f>AG95*'1. Standard_Cost'!$B$27+'Incremental_Cost Year 6'!AH95*'1. Standard_Cost'!$C$27+'Incremental_Cost Year 6'!AI95*'1. Standard_Cost'!$D$27+'Incremental_Cost Year 6'!AJ95+'Incremental_Cost Year 6'!AL95+AK95</f>
        <v>0</v>
      </c>
      <c r="AN95" s="127">
        <f>AM95*'1. Standard_Cost'!$C$31</f>
        <v>0</v>
      </c>
      <c r="AO95" s="130"/>
      <c r="AQ95" s="171">
        <f>L95+M95</f>
        <v>1176336</v>
      </c>
      <c r="AR95" s="171">
        <f>AF95</f>
        <v>169440</v>
      </c>
      <c r="AS95" s="171">
        <f>AM95+AN95</f>
        <v>0</v>
      </c>
      <c r="AT95" s="171">
        <f>SUM(AQ95,AR95,AS95)</f>
        <v>1345776</v>
      </c>
      <c r="AU95" s="250">
        <v>1345776</v>
      </c>
      <c r="AV95" s="250"/>
      <c r="AW95" s="250"/>
      <c r="AX95" s="250"/>
      <c r="AY95" s="250"/>
      <c r="AZ95" s="250"/>
      <c r="BA95" s="250"/>
      <c r="BB95" s="251">
        <f t="shared" si="64"/>
        <v>0</v>
      </c>
      <c r="BC95" s="169"/>
      <c r="BD95" s="169"/>
      <c r="BE95" s="169"/>
      <c r="BF95" s="169"/>
    </row>
    <row r="96" spans="1:58" ht="78.75" outlineLevel="2" x14ac:dyDescent="0.25">
      <c r="A96" s="115"/>
      <c r="B96" s="200"/>
      <c r="C96" s="201"/>
      <c r="D96" s="203"/>
      <c r="E96" s="323"/>
      <c r="F96" s="326"/>
      <c r="G96" s="327"/>
      <c r="H96" s="109" t="s">
        <v>429</v>
      </c>
      <c r="I96" s="130"/>
      <c r="J96" s="126"/>
      <c r="K96" s="126"/>
      <c r="L96" s="125" t="str">
        <f>IF(I96&lt;&gt;0,((VLOOKUP(I96,'1. Standard_Cost'!$B$4:$D$11,2)+VLOOKUP(I96,'1. Standard_Cost'!$B$4:$D$11,3))*J96*K96),"0")</f>
        <v>0</v>
      </c>
      <c r="M96" s="125">
        <f>L96*'1. Standard_Cost'!$F$4</f>
        <v>0</v>
      </c>
      <c r="N96" s="126"/>
      <c r="O96" s="126"/>
      <c r="P96" s="126"/>
      <c r="Q96" s="126"/>
      <c r="R96" s="127">
        <f>'1. Standard_Cost'!$B$15*N96*P96</f>
        <v>0</v>
      </c>
      <c r="S96" s="127">
        <f>N96*O96*P96*'1. Standard_Cost'!$C$15</f>
        <v>0</v>
      </c>
      <c r="T96" s="127">
        <f>N96*P96*Q96*'1. Standard_Cost'!$D$15</f>
        <v>0</v>
      </c>
      <c r="U96" s="127">
        <f>N96*O96*'1. Standard_Cost'!$E$15</f>
        <v>0</v>
      </c>
      <c r="V96" s="126"/>
      <c r="W96" s="126"/>
      <c r="X96" s="126"/>
      <c r="Y96" s="127">
        <f>+V96*((X96*'1. Standard_Cost'!$B$19)+(W96*X96*'1. Standard_Cost'!$C$19))</f>
        <v>0</v>
      </c>
      <c r="Z96" s="126"/>
      <c r="AA96" s="126"/>
      <c r="AB96" s="127">
        <f>+Z96*'1. Standard_Cost'!$B$23+AA96*'1. Standard_Cost'!$C$23</f>
        <v>0</v>
      </c>
      <c r="AC96" s="128"/>
      <c r="AD96" s="129"/>
      <c r="AE96" s="127">
        <f>SUM(AD96,AC96,AB96,Y96,U96,T96,S96,R96)*'1. Standard_Cost'!$B$31</f>
        <v>0</v>
      </c>
      <c r="AF96" s="127">
        <f>SUM(AE96,AD96,AC96,AB96,Y96,U96,T96,S96,R96)</f>
        <v>0</v>
      </c>
      <c r="AG96" s="126"/>
      <c r="AH96" s="126"/>
      <c r="AI96" s="126"/>
      <c r="AJ96" s="130"/>
      <c r="AK96" s="130"/>
      <c r="AL96" s="130"/>
      <c r="AM96" s="127">
        <f>AG96*'1. Standard_Cost'!$B$27+'Incremental_Cost Year 6'!AH96*'1. Standard_Cost'!$C$27+'Incremental_Cost Year 6'!AI96*'1. Standard_Cost'!$D$27+'Incremental_Cost Year 6'!AJ96+'Incremental_Cost Year 6'!AL96+AK96</f>
        <v>0</v>
      </c>
      <c r="AN96" s="127">
        <f>AM96*'1. Standard_Cost'!$C$31</f>
        <v>0</v>
      </c>
      <c r="AO96" s="130"/>
      <c r="AQ96" s="171">
        <f>L96+M96</f>
        <v>0</v>
      </c>
      <c r="AR96" s="171">
        <f>AF96</f>
        <v>0</v>
      </c>
      <c r="AS96" s="171">
        <f>AM96+AN96</f>
        <v>0</v>
      </c>
      <c r="AT96" s="171">
        <f>SUM(AQ96,AR96,AS96)</f>
        <v>0</v>
      </c>
      <c r="AU96" s="250"/>
      <c r="AV96" s="250"/>
      <c r="AW96" s="250"/>
      <c r="AX96" s="250"/>
      <c r="AY96" s="250"/>
      <c r="AZ96" s="250"/>
      <c r="BA96" s="250"/>
      <c r="BB96" s="251">
        <f t="shared" si="64"/>
        <v>0</v>
      </c>
      <c r="BC96" s="169"/>
      <c r="BD96" s="169"/>
      <c r="BE96" s="169"/>
      <c r="BF96" s="169"/>
    </row>
    <row r="97" spans="1:58" ht="126" outlineLevel="2" x14ac:dyDescent="0.25">
      <c r="A97" s="115"/>
      <c r="B97" s="200"/>
      <c r="C97" s="201"/>
      <c r="D97" s="203"/>
      <c r="E97" s="323"/>
      <c r="F97" s="308"/>
      <c r="G97" s="309"/>
      <c r="H97" s="225" t="s">
        <v>430</v>
      </c>
      <c r="I97" s="130" t="s">
        <v>4</v>
      </c>
      <c r="J97" s="126">
        <v>2</v>
      </c>
      <c r="K97" s="126">
        <v>5</v>
      </c>
      <c r="L97" s="125">
        <f>IF(I97&lt;&gt;0,((VLOOKUP(I97,'1. Standard_Cost'!$B$4:$D$11,2)+VLOOKUP(I97,'1. Standard_Cost'!$B$4:$D$11,3))*J97*K97),"0")</f>
        <v>807500</v>
      </c>
      <c r="M97" s="125">
        <f>L97*'1. Standard_Cost'!$F$4</f>
        <v>134852.5</v>
      </c>
      <c r="N97" s="126"/>
      <c r="O97" s="126"/>
      <c r="P97" s="126"/>
      <c r="Q97" s="126"/>
      <c r="R97" s="127">
        <f>'1. Standard_Cost'!$B$15*N97*P97</f>
        <v>0</v>
      </c>
      <c r="S97" s="127">
        <f>N97*O97*P97*'1. Standard_Cost'!$C$15</f>
        <v>0</v>
      </c>
      <c r="T97" s="127">
        <f>N97*P97*Q97*'1. Standard_Cost'!$D$15</f>
        <v>0</v>
      </c>
      <c r="U97" s="127">
        <f>N97*O97*'1. Standard_Cost'!$E$15</f>
        <v>0</v>
      </c>
      <c r="V97" s="126"/>
      <c r="W97" s="126"/>
      <c r="X97" s="126"/>
      <c r="Y97" s="127">
        <f>+V97*((X97*'1. Standard_Cost'!$B$19)+(W97*X97*'1. Standard_Cost'!$C$19))</f>
        <v>0</v>
      </c>
      <c r="Z97" s="126"/>
      <c r="AA97" s="126"/>
      <c r="AB97" s="127">
        <f>+Z97*'1. Standard_Cost'!$B$23+AA97*'1. Standard_Cost'!$C$23</f>
        <v>0</v>
      </c>
      <c r="AC97" s="128">
        <v>131082</v>
      </c>
      <c r="AD97" s="129"/>
      <c r="AE97" s="127">
        <f>SUM(AD97,AC97,AB97,Y97,U97,T97,S97,R97)*'1. Standard_Cost'!$B$31</f>
        <v>26216.400000000001</v>
      </c>
      <c r="AF97" s="127">
        <f>SUM(AE97,AD97,AC97,AB97,Y97,U97,T97,S97,R97)</f>
        <v>157298.4</v>
      </c>
      <c r="AG97" s="126"/>
      <c r="AH97" s="126"/>
      <c r="AI97" s="126"/>
      <c r="AJ97" s="130"/>
      <c r="AK97" s="130"/>
      <c r="AL97" s="130"/>
      <c r="AM97" s="127">
        <f>AG97*'1. Standard_Cost'!$B$27+'Incremental_Cost Year 6'!AH97*'1. Standard_Cost'!$C$27+'Incremental_Cost Year 6'!AI97*'1. Standard_Cost'!$D$27+'Incremental_Cost Year 6'!AJ97+'Incremental_Cost Year 6'!AL97+AK97</f>
        <v>0</v>
      </c>
      <c r="AN97" s="127">
        <f>AM97*'1. Standard_Cost'!$C$31</f>
        <v>0</v>
      </c>
      <c r="AO97" s="130"/>
      <c r="AQ97" s="171">
        <f>L97+M97</f>
        <v>942352.5</v>
      </c>
      <c r="AR97" s="171">
        <f>AF97</f>
        <v>157298.4</v>
      </c>
      <c r="AS97" s="171">
        <f>AM97+AN97</f>
        <v>0</v>
      </c>
      <c r="AT97" s="171">
        <f>SUM(AQ97,AR97,AS97)</f>
        <v>1099650.8999999999</v>
      </c>
      <c r="AU97" s="250">
        <v>1099651</v>
      </c>
      <c r="AV97" s="250"/>
      <c r="AW97" s="250"/>
      <c r="AX97" s="250"/>
      <c r="AY97" s="250"/>
      <c r="AZ97" s="250"/>
      <c r="BA97" s="250"/>
      <c r="BB97" s="251">
        <f t="shared" si="64"/>
        <v>0.10000000009313226</v>
      </c>
      <c r="BC97" s="169"/>
      <c r="BD97" s="169"/>
      <c r="BE97" s="169"/>
      <c r="BF97" s="169"/>
    </row>
    <row r="98" spans="1:58" ht="78.75" outlineLevel="2" x14ac:dyDescent="0.25">
      <c r="A98" s="115"/>
      <c r="B98" s="200"/>
      <c r="C98" s="201"/>
      <c r="D98" s="133"/>
      <c r="E98" s="323"/>
      <c r="F98" s="308"/>
      <c r="G98" s="309"/>
      <c r="H98" s="109" t="s">
        <v>431</v>
      </c>
      <c r="I98" s="130" t="s">
        <v>5</v>
      </c>
      <c r="J98" s="126">
        <v>0.5</v>
      </c>
      <c r="K98" s="126">
        <v>1</v>
      </c>
      <c r="L98" s="125">
        <f>IF(I98&lt;&gt;0,((VLOOKUP(I98,'1. Standard_Cost'!$B$4:$D$11,2)+VLOOKUP(I98,'1. Standard_Cost'!$B$4:$D$11,3))*J98*K98),"0")</f>
        <v>35350</v>
      </c>
      <c r="M98" s="125">
        <f>L98*'1. Standard_Cost'!$F$4</f>
        <v>5903.4500000000007</v>
      </c>
      <c r="N98" s="126"/>
      <c r="O98" s="126"/>
      <c r="P98" s="126"/>
      <c r="Q98" s="126"/>
      <c r="R98" s="127">
        <f>'1. Standard_Cost'!$B$15*N98*P98</f>
        <v>0</v>
      </c>
      <c r="S98" s="127">
        <f>N98*O98*P98*'1. Standard_Cost'!$C$15</f>
        <v>0</v>
      </c>
      <c r="T98" s="127">
        <f>N98*P98*Q98*'1. Standard_Cost'!$D$15</f>
        <v>0</v>
      </c>
      <c r="U98" s="127">
        <f>N98*O98*'1. Standard_Cost'!$E$15</f>
        <v>0</v>
      </c>
      <c r="V98" s="126"/>
      <c r="W98" s="126"/>
      <c r="X98" s="126"/>
      <c r="Y98" s="127">
        <f>+V98*((X98*'1. Standard_Cost'!$B$19)+(W98*X98*'1. Standard_Cost'!$C$19))</f>
        <v>0</v>
      </c>
      <c r="Z98" s="126"/>
      <c r="AA98" s="145"/>
      <c r="AB98" s="127">
        <f>+Z98*'1. Standard_Cost'!$B$23+AA98*'1. Standard_Cost'!$C$23</f>
        <v>0</v>
      </c>
      <c r="AC98" s="128">
        <v>30000</v>
      </c>
      <c r="AD98" s="129"/>
      <c r="AE98" s="127">
        <f>SUM(AD98,AC98,AB98,Y98,U98,T98,S98,R98)*'1. Standard_Cost'!$B$31</f>
        <v>6000</v>
      </c>
      <c r="AF98" s="127">
        <f>SUM(AE98,AD98,AC98,AB98,Y98,U98,T98,S98,R98)</f>
        <v>36000</v>
      </c>
      <c r="AG98" s="126"/>
      <c r="AH98" s="126"/>
      <c r="AI98" s="126"/>
      <c r="AJ98" s="130"/>
      <c r="AK98" s="130"/>
      <c r="AL98" s="130"/>
      <c r="AM98" s="127">
        <f>AG98*'1. Standard_Cost'!$B$27+'Incremental_Cost Year 6'!AH98*'1. Standard_Cost'!$C$27+'Incremental_Cost Year 6'!AI98*'1. Standard_Cost'!$D$27+'Incremental_Cost Year 6'!AJ98+'Incremental_Cost Year 6'!AL98+AK98</f>
        <v>0</v>
      </c>
      <c r="AN98" s="127">
        <f>AM98*'1. Standard_Cost'!$C$31</f>
        <v>0</v>
      </c>
      <c r="AO98" s="262"/>
      <c r="AQ98" s="171">
        <f>L98+M98</f>
        <v>41253.449999999997</v>
      </c>
      <c r="AR98" s="171">
        <f>AF98</f>
        <v>36000</v>
      </c>
      <c r="AS98" s="171">
        <f>AM98+AN98</f>
        <v>0</v>
      </c>
      <c r="AT98" s="171">
        <f>SUM(AQ98,AR98,AS98)</f>
        <v>77253.45</v>
      </c>
      <c r="AU98" s="250">
        <v>77253</v>
      </c>
      <c r="AV98" s="250"/>
      <c r="AW98" s="250"/>
      <c r="AX98" s="250"/>
      <c r="AY98" s="250"/>
      <c r="AZ98" s="250"/>
      <c r="BA98" s="250"/>
      <c r="BB98" s="251">
        <f t="shared" si="64"/>
        <v>-0.44999999999708962</v>
      </c>
      <c r="BC98" s="169"/>
      <c r="BD98" s="169"/>
      <c r="BE98" s="169"/>
      <c r="BF98" s="169"/>
    </row>
    <row r="99" spans="1:58" ht="94.5" outlineLevel="1" x14ac:dyDescent="0.25">
      <c r="A99" s="115"/>
      <c r="B99" s="165"/>
      <c r="C99" s="166"/>
      <c r="D99" s="212" t="s">
        <v>432</v>
      </c>
      <c r="E99" s="212" t="s">
        <v>274</v>
      </c>
      <c r="F99" s="136">
        <v>2022</v>
      </c>
      <c r="G99" s="117">
        <v>2030</v>
      </c>
      <c r="H99" s="110" t="s">
        <v>164</v>
      </c>
      <c r="I99" s="252"/>
      <c r="J99" s="252"/>
      <c r="K99" s="252"/>
      <c r="L99" s="127">
        <f>SUM(L94:L98)</f>
        <v>1850850</v>
      </c>
      <c r="M99" s="127">
        <f>SUM(M94:M98)</f>
        <v>309091.95</v>
      </c>
      <c r="N99" s="252"/>
      <c r="O99" s="252"/>
      <c r="P99" s="252"/>
      <c r="Q99" s="252"/>
      <c r="R99" s="127">
        <f>SUM(R94:R98)</f>
        <v>0</v>
      </c>
      <c r="S99" s="127">
        <f>SUM(S94:S98)</f>
        <v>0</v>
      </c>
      <c r="T99" s="127">
        <f>SUM(T94:T98)</f>
        <v>0</v>
      </c>
      <c r="U99" s="127">
        <f>SUM(U94:U98)</f>
        <v>0</v>
      </c>
      <c r="V99" s="252"/>
      <c r="W99" s="252"/>
      <c r="X99" s="252"/>
      <c r="Y99" s="127">
        <f>SUM(Y94:Y98)</f>
        <v>0</v>
      </c>
      <c r="Z99" s="127"/>
      <c r="AA99" s="252"/>
      <c r="AB99" s="127">
        <f>SUM(AB94:AB98)</f>
        <v>0</v>
      </c>
      <c r="AC99" s="127">
        <f>SUM(AC94:AC98)</f>
        <v>302282</v>
      </c>
      <c r="AD99" s="127">
        <f>SUM(AD94:AD98)</f>
        <v>0</v>
      </c>
      <c r="AE99" s="127">
        <f>SUM(AE94:AE98)</f>
        <v>60456.4</v>
      </c>
      <c r="AF99" s="127">
        <f>SUM(AF94:AF98)</f>
        <v>362738.4</v>
      </c>
      <c r="AG99" s="252"/>
      <c r="AH99" s="252"/>
      <c r="AI99" s="252"/>
      <c r="AJ99" s="127">
        <f>SUM(AJ94:AJ98)</f>
        <v>0</v>
      </c>
      <c r="AK99" s="127">
        <f>SUM(AK94:AK98)</f>
        <v>0</v>
      </c>
      <c r="AL99" s="127">
        <f>SUM(AL94:AL98)</f>
        <v>0</v>
      </c>
      <c r="AM99" s="127">
        <f>SUM(AM94:AM98)</f>
        <v>0</v>
      </c>
      <c r="AN99" s="127">
        <f>SUM(AN94:AN98)</f>
        <v>0</v>
      </c>
      <c r="AO99" s="253"/>
      <c r="AP99" s="254"/>
      <c r="AQ99" s="175">
        <f>SUM(AQ94:AQ98)</f>
        <v>2159941.9500000002</v>
      </c>
      <c r="AR99" s="175">
        <f>SUM(AR94:AR98)</f>
        <v>362738.4</v>
      </c>
      <c r="AS99" s="175">
        <f>SUM(AS94:AS98)</f>
        <v>0</v>
      </c>
      <c r="AT99" s="175">
        <f>SUM(AT94:AT98)</f>
        <v>2522680.35</v>
      </c>
      <c r="AU99" s="175">
        <f t="shared" ref="AU99:BA99" si="65">SUM(AU94:AU98)</f>
        <v>2522680</v>
      </c>
      <c r="AV99" s="175">
        <f t="shared" si="65"/>
        <v>0</v>
      </c>
      <c r="AW99" s="175">
        <f t="shared" si="65"/>
        <v>0</v>
      </c>
      <c r="AX99" s="175">
        <f t="shared" si="65"/>
        <v>0</v>
      </c>
      <c r="AY99" s="175">
        <f t="shared" si="65"/>
        <v>0</v>
      </c>
      <c r="AZ99" s="175">
        <f t="shared" si="65"/>
        <v>0</v>
      </c>
      <c r="BA99" s="175">
        <f t="shared" si="65"/>
        <v>0</v>
      </c>
      <c r="BB99" s="251">
        <f t="shared" ref="BB99" si="66">SUM(AU99:BA99)-AT99</f>
        <v>-0.35000000009313226</v>
      </c>
      <c r="BC99" s="169"/>
      <c r="BD99" s="169"/>
      <c r="BE99" s="169"/>
      <c r="BF99" s="169"/>
    </row>
    <row r="100" spans="1:58" s="184" customFormat="1" ht="15.75" customHeight="1" x14ac:dyDescent="0.25">
      <c r="A100" s="143"/>
      <c r="B100" s="290"/>
      <c r="C100" s="391" t="s">
        <v>176</v>
      </c>
      <c r="D100" s="391"/>
      <c r="E100" s="392"/>
      <c r="F100" s="291"/>
      <c r="G100" s="291"/>
      <c r="H100" s="144" t="s">
        <v>178</v>
      </c>
      <c r="I100" s="257"/>
      <c r="J100" s="257"/>
      <c r="K100" s="257"/>
      <c r="L100" s="258">
        <f>SUM(L105)</f>
        <v>2520000</v>
      </c>
      <c r="M100" s="258">
        <f>SUM(M105)</f>
        <v>420840</v>
      </c>
      <c r="N100" s="257"/>
      <c r="O100" s="257"/>
      <c r="P100" s="257"/>
      <c r="Q100" s="257"/>
      <c r="R100" s="258">
        <f>SUM(R105)</f>
        <v>0</v>
      </c>
      <c r="S100" s="258">
        <f>SUM(S105)</f>
        <v>0</v>
      </c>
      <c r="T100" s="258">
        <f>SUM(T105)</f>
        <v>0</v>
      </c>
      <c r="U100" s="258">
        <f>SUM(U105)</f>
        <v>0</v>
      </c>
      <c r="V100" s="257"/>
      <c r="W100" s="257"/>
      <c r="X100" s="257"/>
      <c r="Y100" s="258">
        <f>SUM(Y105)</f>
        <v>0</v>
      </c>
      <c r="Z100" s="257"/>
      <c r="AA100" s="257"/>
      <c r="AB100" s="258">
        <f>SUM(AB105)</f>
        <v>0</v>
      </c>
      <c r="AC100" s="258">
        <f>SUM(AC105)</f>
        <v>359425</v>
      </c>
      <c r="AD100" s="258">
        <f>SUM(AD105)</f>
        <v>0</v>
      </c>
      <c r="AE100" s="258">
        <f>SUM(AE105)</f>
        <v>71885</v>
      </c>
      <c r="AF100" s="258">
        <f>SUM(AF105)</f>
        <v>431310</v>
      </c>
      <c r="AG100" s="257"/>
      <c r="AH100" s="257"/>
      <c r="AI100" s="257"/>
      <c r="AJ100" s="258">
        <f>SUM(AJ105)</f>
        <v>0</v>
      </c>
      <c r="AK100" s="258">
        <f>SUM(AK105)</f>
        <v>0</v>
      </c>
      <c r="AL100" s="258">
        <f>SUM(AL105)</f>
        <v>0</v>
      </c>
      <c r="AM100" s="258">
        <f>SUM(AM105)</f>
        <v>0</v>
      </c>
      <c r="AN100" s="258">
        <f>SUM(AN105)</f>
        <v>0</v>
      </c>
      <c r="AO100" s="259"/>
      <c r="AP100" s="260"/>
      <c r="AQ100" s="261">
        <f>SUM(AQ105)</f>
        <v>2940840</v>
      </c>
      <c r="AR100" s="261">
        <f>SUM(AR105)</f>
        <v>431310</v>
      </c>
      <c r="AS100" s="261">
        <f>SUM(AS105)</f>
        <v>0</v>
      </c>
      <c r="AT100" s="261">
        <f>SUM(AT105)</f>
        <v>3372150</v>
      </c>
      <c r="AU100" s="261">
        <f t="shared" ref="AU100:BA100" si="67">SUM(AU105)</f>
        <v>3372149</v>
      </c>
      <c r="AV100" s="261">
        <f t="shared" si="67"/>
        <v>0</v>
      </c>
      <c r="AW100" s="261">
        <f t="shared" si="67"/>
        <v>0</v>
      </c>
      <c r="AX100" s="261">
        <f t="shared" si="67"/>
        <v>0</v>
      </c>
      <c r="AY100" s="261">
        <f t="shared" si="67"/>
        <v>0</v>
      </c>
      <c r="AZ100" s="261">
        <f t="shared" si="67"/>
        <v>0</v>
      </c>
      <c r="BA100" s="261">
        <f t="shared" si="67"/>
        <v>0</v>
      </c>
      <c r="BB100" s="261">
        <f>SUM(BB105)</f>
        <v>-0.99999999982537702</v>
      </c>
    </row>
    <row r="101" spans="1:58" ht="47.25" outlineLevel="2" x14ac:dyDescent="0.25">
      <c r="A101" s="115"/>
      <c r="B101" s="303"/>
      <c r="C101" s="329"/>
      <c r="D101" s="342"/>
      <c r="E101" s="328"/>
      <c r="F101" s="328"/>
      <c r="G101" s="328"/>
      <c r="H101" s="199" t="s">
        <v>433</v>
      </c>
      <c r="I101" s="130" t="s">
        <v>3</v>
      </c>
      <c r="J101" s="126">
        <v>2</v>
      </c>
      <c r="K101" s="126">
        <v>7</v>
      </c>
      <c r="L101" s="125">
        <f>IF(I101&lt;&gt;0,((VLOOKUP(I101,'1. Standard_Cost'!$B$4:$D$11,2)+VLOOKUP(I101,'1. Standard_Cost'!$B$4:$D$11,3))*J101*K101),"0")</f>
        <v>1411200</v>
      </c>
      <c r="M101" s="125">
        <f>L101*'1. Standard_Cost'!$F$4</f>
        <v>235670.40000000002</v>
      </c>
      <c r="N101" s="126"/>
      <c r="O101" s="126"/>
      <c r="P101" s="126"/>
      <c r="Q101" s="126"/>
      <c r="R101" s="127">
        <f>'1. Standard_Cost'!$B$15*N101*P101</f>
        <v>0</v>
      </c>
      <c r="S101" s="127">
        <f>N101*O101*P101*'1. Standard_Cost'!$C$15</f>
        <v>0</v>
      </c>
      <c r="T101" s="127">
        <f>N101*P101*Q101*'1. Standard_Cost'!$D$15</f>
        <v>0</v>
      </c>
      <c r="U101" s="127">
        <f>N101*O101*'1. Standard_Cost'!$E$15</f>
        <v>0</v>
      </c>
      <c r="V101" s="126"/>
      <c r="W101" s="126"/>
      <c r="X101" s="126"/>
      <c r="Y101" s="127">
        <f>+V101*((X101*'1. Standard_Cost'!$B$19)+(W101*X101*'1. Standard_Cost'!$C$19))</f>
        <v>0</v>
      </c>
      <c r="Z101" s="126"/>
      <c r="AA101" s="126"/>
      <c r="AB101" s="127">
        <f>+Z101*'1. Standard_Cost'!$B$23+AA101*'1. Standard_Cost'!$C$23</f>
        <v>0</v>
      </c>
      <c r="AC101" s="128">
        <v>211125</v>
      </c>
      <c r="AD101" s="129"/>
      <c r="AE101" s="127">
        <f>SUM(AD101,AC101,AB101,Y101,U101,T101,S101,R101)*'1. Standard_Cost'!$B$31</f>
        <v>42225</v>
      </c>
      <c r="AF101" s="127">
        <f>SUM(AE101,AD101,AC101,AB101,Y101,U101,T101,S101,R101)</f>
        <v>253350</v>
      </c>
      <c r="AG101" s="126"/>
      <c r="AH101" s="126"/>
      <c r="AI101" s="126"/>
      <c r="AJ101" s="130"/>
      <c r="AK101" s="130"/>
      <c r="AL101" s="130"/>
      <c r="AM101" s="127">
        <f>AG101*'1. Standard_Cost'!$B$27+'Incremental_Cost Year 6'!AH101*'1. Standard_Cost'!$C$27+'Incremental_Cost Year 6'!AI101*'1. Standard_Cost'!$D$27+'Incremental_Cost Year 6'!AJ101+'Incremental_Cost Year 6'!AL101+AK101</f>
        <v>0</v>
      </c>
      <c r="AN101" s="127">
        <f>AM101*'1. Standard_Cost'!$C$31</f>
        <v>0</v>
      </c>
      <c r="AO101" s="130"/>
      <c r="AQ101" s="171">
        <f>L101+M101</f>
        <v>1646870.4</v>
      </c>
      <c r="AR101" s="171">
        <f>AF101</f>
        <v>253350</v>
      </c>
      <c r="AS101" s="171">
        <f>AM101+AN101</f>
        <v>0</v>
      </c>
      <c r="AT101" s="171">
        <f>SUM(AQ101,AR101,AS101)</f>
        <v>1900220.4</v>
      </c>
      <c r="AU101" s="250">
        <v>1900220</v>
      </c>
      <c r="AV101" s="250"/>
      <c r="AW101" s="250"/>
      <c r="AX101" s="250"/>
      <c r="AY101" s="250"/>
      <c r="AZ101" s="250"/>
      <c r="BA101" s="250"/>
      <c r="BB101" s="251">
        <f t="shared" ref="BB101:BB104" si="68">SUM(AU101:BA101)-AT101</f>
        <v>-0.39999999990686774</v>
      </c>
      <c r="BC101" s="169"/>
      <c r="BD101" s="169"/>
      <c r="BE101" s="169"/>
      <c r="BF101" s="169"/>
    </row>
    <row r="102" spans="1:58" ht="47.25" outlineLevel="2" x14ac:dyDescent="0.25">
      <c r="A102" s="115"/>
      <c r="B102" s="200"/>
      <c r="C102" s="330"/>
      <c r="D102" s="343"/>
      <c r="E102" s="328"/>
      <c r="F102" s="328"/>
      <c r="G102" s="328"/>
      <c r="H102" s="199" t="s">
        <v>434</v>
      </c>
      <c r="I102" s="130" t="s">
        <v>3</v>
      </c>
      <c r="J102" s="126">
        <v>1</v>
      </c>
      <c r="K102" s="126">
        <v>2</v>
      </c>
      <c r="L102" s="125">
        <f>IF(I102&lt;&gt;0,((VLOOKUP(I102,'1. Standard_Cost'!$B$4:$D$11,2)+VLOOKUP(I102,'1. Standard_Cost'!$B$4:$D$11,3))*J102*K102),"0")</f>
        <v>201600</v>
      </c>
      <c r="M102" s="125">
        <f>L102*'1. Standard_Cost'!$F$4</f>
        <v>33667.200000000004</v>
      </c>
      <c r="N102" s="126"/>
      <c r="O102" s="126"/>
      <c r="P102" s="126"/>
      <c r="Q102" s="126"/>
      <c r="R102" s="127">
        <f>'1. Standard_Cost'!$B$15*N102*P102</f>
        <v>0</v>
      </c>
      <c r="S102" s="127">
        <f>N102*O102*P102*'1. Standard_Cost'!$C$15</f>
        <v>0</v>
      </c>
      <c r="T102" s="127">
        <f>N102*P102*Q102*'1. Standard_Cost'!$D$15</f>
        <v>0</v>
      </c>
      <c r="U102" s="127">
        <f>N102*O102*'1. Standard_Cost'!$E$15</f>
        <v>0</v>
      </c>
      <c r="V102" s="126"/>
      <c r="W102" s="126"/>
      <c r="X102" s="126"/>
      <c r="Y102" s="127">
        <f>+V102*((X102*'1. Standard_Cost'!$B$19)+(W102*X102*'1. Standard_Cost'!$C$19))</f>
        <v>0</v>
      </c>
      <c r="Z102" s="126"/>
      <c r="AA102" s="126"/>
      <c r="AB102" s="127">
        <f>+Z102*'1. Standard_Cost'!$B$23+AA102*'1. Standard_Cost'!$C$23</f>
        <v>0</v>
      </c>
      <c r="AC102" s="128">
        <v>28300</v>
      </c>
      <c r="AD102" s="129"/>
      <c r="AE102" s="127">
        <f>SUM(AD102,AC102,AB102,Y102,U102,T102,S102,R102)*'1. Standard_Cost'!$B$31</f>
        <v>5660</v>
      </c>
      <c r="AF102" s="127">
        <f>SUM(AE102,AD102,AC102,AB102,Y102,U102,T102,S102,R102)</f>
        <v>33960</v>
      </c>
      <c r="AG102" s="126"/>
      <c r="AH102" s="126"/>
      <c r="AI102" s="126"/>
      <c r="AJ102" s="130"/>
      <c r="AK102" s="130"/>
      <c r="AL102" s="130"/>
      <c r="AM102" s="127">
        <f>AG102*'1. Standard_Cost'!$B$27+'Incremental_Cost Year 6'!AH102*'1. Standard_Cost'!$C$27+'Incremental_Cost Year 6'!AI102*'1. Standard_Cost'!$D$27+'Incremental_Cost Year 6'!AJ102+'Incremental_Cost Year 6'!AL102+AK102</f>
        <v>0</v>
      </c>
      <c r="AN102" s="127">
        <f>AM102*'1. Standard_Cost'!$C$31</f>
        <v>0</v>
      </c>
      <c r="AO102" s="130"/>
      <c r="AQ102" s="171">
        <f>L102+M102</f>
        <v>235267.20000000001</v>
      </c>
      <c r="AR102" s="171">
        <f>AF102</f>
        <v>33960</v>
      </c>
      <c r="AS102" s="171">
        <f>AM102+AN102</f>
        <v>0</v>
      </c>
      <c r="AT102" s="171">
        <f>SUM(AQ102,AR102,AS102)</f>
        <v>269227.2</v>
      </c>
      <c r="AU102" s="250">
        <v>269227</v>
      </c>
      <c r="AV102" s="250"/>
      <c r="AW102" s="250"/>
      <c r="AX102" s="250"/>
      <c r="AY102" s="250"/>
      <c r="AZ102" s="250"/>
      <c r="BA102" s="250"/>
      <c r="BB102" s="251">
        <f t="shared" si="68"/>
        <v>-0.20000000001164153</v>
      </c>
      <c r="BC102" s="169"/>
      <c r="BD102" s="169"/>
      <c r="BE102" s="169"/>
      <c r="BF102" s="169"/>
    </row>
    <row r="103" spans="1:58" ht="31.5" outlineLevel="2" x14ac:dyDescent="0.25">
      <c r="A103" s="115"/>
      <c r="B103" s="200"/>
      <c r="C103" s="330"/>
      <c r="D103" s="343"/>
      <c r="E103" s="328"/>
      <c r="F103" s="328"/>
      <c r="G103" s="328"/>
      <c r="H103" s="103" t="s">
        <v>435</v>
      </c>
      <c r="I103" s="130"/>
      <c r="J103" s="126"/>
      <c r="K103" s="126"/>
      <c r="L103" s="125" t="str">
        <f>IF(I103&lt;&gt;0,((VLOOKUP(I103,'1. Standard_Cost'!$B$4:$D$11,2)+VLOOKUP(I103,'1. Standard_Cost'!$B$4:$D$11,3))*J103*K103),"0")</f>
        <v>0</v>
      </c>
      <c r="M103" s="125">
        <f>L103*'1. Standard_Cost'!$F$4</f>
        <v>0</v>
      </c>
      <c r="N103" s="126"/>
      <c r="O103" s="126"/>
      <c r="P103" s="126"/>
      <c r="Q103" s="126"/>
      <c r="R103" s="127">
        <f>'1. Standard_Cost'!$B$15*N103*P103</f>
        <v>0</v>
      </c>
      <c r="S103" s="127">
        <f>N103*O103*P103*'1. Standard_Cost'!$C$15</f>
        <v>0</v>
      </c>
      <c r="T103" s="127">
        <f>N103*P103*Q103*'1. Standard_Cost'!$D$15</f>
        <v>0</v>
      </c>
      <c r="U103" s="127">
        <f>N103*O103*'1. Standard_Cost'!$E$15</f>
        <v>0</v>
      </c>
      <c r="V103" s="126"/>
      <c r="W103" s="126"/>
      <c r="X103" s="126"/>
      <c r="Y103" s="127">
        <f>+V103*((X103*'1. Standard_Cost'!$B$19)+(W103*X103*'1. Standard_Cost'!$C$19))</f>
        <v>0</v>
      </c>
      <c r="Z103" s="126"/>
      <c r="AA103" s="126"/>
      <c r="AB103" s="127">
        <f>+Z103*'1. Standard_Cost'!$B$23+AA103*'1. Standard_Cost'!$C$23</f>
        <v>0</v>
      </c>
      <c r="AC103" s="128"/>
      <c r="AD103" s="129"/>
      <c r="AE103" s="127">
        <f>SUM(AD103,AC103,AB103,Y103,U103,T103,S103,R103)*'1. Standard_Cost'!$B$31</f>
        <v>0</v>
      </c>
      <c r="AF103" s="127">
        <f>SUM(AE103,AD103,AC103,AB103,Y103,U103,T103,S103,R103)</f>
        <v>0</v>
      </c>
      <c r="AG103" s="126"/>
      <c r="AH103" s="126"/>
      <c r="AI103" s="126"/>
      <c r="AJ103" s="130"/>
      <c r="AK103" s="130"/>
      <c r="AL103" s="130"/>
      <c r="AM103" s="127">
        <f>AG103*'1. Standard_Cost'!$B$27+'Incremental_Cost Year 6'!AH103*'1. Standard_Cost'!$C$27+'Incremental_Cost Year 6'!AI103*'1. Standard_Cost'!$D$27+'Incremental_Cost Year 6'!AJ103+'Incremental_Cost Year 6'!AL103+AK103</f>
        <v>0</v>
      </c>
      <c r="AN103" s="127">
        <f>AM103*'1. Standard_Cost'!$C$31</f>
        <v>0</v>
      </c>
      <c r="AO103" s="130"/>
      <c r="AQ103" s="171">
        <f>L103+M103</f>
        <v>0</v>
      </c>
      <c r="AR103" s="171">
        <f>AF103</f>
        <v>0</v>
      </c>
      <c r="AS103" s="171">
        <f>AM103+AN103</f>
        <v>0</v>
      </c>
      <c r="AT103" s="171">
        <f>SUM(AQ103,AR103,AS103)</f>
        <v>0</v>
      </c>
      <c r="AU103" s="250"/>
      <c r="AV103" s="250"/>
      <c r="AW103" s="250"/>
      <c r="AX103" s="250"/>
      <c r="AY103" s="250"/>
      <c r="AZ103" s="250"/>
      <c r="BA103" s="250"/>
      <c r="BB103" s="251">
        <f t="shared" si="68"/>
        <v>0</v>
      </c>
      <c r="BC103" s="169"/>
      <c r="BD103" s="169"/>
      <c r="BE103" s="169"/>
      <c r="BF103" s="169"/>
    </row>
    <row r="104" spans="1:58" ht="63" outlineLevel="2" x14ac:dyDescent="0.25">
      <c r="A104" s="115"/>
      <c r="B104" s="310"/>
      <c r="C104" s="331"/>
      <c r="D104" s="344"/>
      <c r="E104" s="328"/>
      <c r="F104" s="328"/>
      <c r="G104" s="328"/>
      <c r="H104" s="103" t="s">
        <v>436</v>
      </c>
      <c r="I104" s="130" t="s">
        <v>3</v>
      </c>
      <c r="J104" s="126">
        <v>3</v>
      </c>
      <c r="K104" s="126">
        <v>3</v>
      </c>
      <c r="L104" s="125">
        <f>IF(I104&lt;&gt;0,((VLOOKUP(I104,'1. Standard_Cost'!$B$4:$D$11,2)+VLOOKUP(I104,'1. Standard_Cost'!$B$4:$D$11,3))*J104*K104),"0")</f>
        <v>907200</v>
      </c>
      <c r="M104" s="125">
        <f>L104*'1. Standard_Cost'!$F$4</f>
        <v>151502.39999999999</v>
      </c>
      <c r="N104" s="126"/>
      <c r="O104" s="126"/>
      <c r="P104" s="126"/>
      <c r="Q104" s="126"/>
      <c r="R104" s="127">
        <f>'1. Standard_Cost'!$B$15*N104*P104</f>
        <v>0</v>
      </c>
      <c r="S104" s="127">
        <f>N104*O104*P104*'1. Standard_Cost'!$C$15</f>
        <v>0</v>
      </c>
      <c r="T104" s="127">
        <f>N104*P104*Q104*'1. Standard_Cost'!$D$15</f>
        <v>0</v>
      </c>
      <c r="U104" s="127">
        <f>N104*O104*'1. Standard_Cost'!$E$15</f>
        <v>0</v>
      </c>
      <c r="V104" s="126"/>
      <c r="W104" s="126"/>
      <c r="X104" s="126"/>
      <c r="Y104" s="127">
        <f>+V104*((X104*'1. Standard_Cost'!$B$19)+(W104*X104*'1. Standard_Cost'!$C$19))</f>
        <v>0</v>
      </c>
      <c r="Z104" s="126"/>
      <c r="AA104" s="145"/>
      <c r="AB104" s="127">
        <f>+Z104*'1. Standard_Cost'!$B$23+AA104*'1. Standard_Cost'!$C$23</f>
        <v>0</v>
      </c>
      <c r="AC104" s="128">
        <v>120000</v>
      </c>
      <c r="AD104" s="129"/>
      <c r="AE104" s="127">
        <f>SUM(AD104,AC104,AB104,Y104,U104,T104,S104,R104)*'1. Standard_Cost'!$B$31</f>
        <v>24000</v>
      </c>
      <c r="AF104" s="127">
        <f>SUM(AE104,AD104,AC104,AB104,Y104,U104,T104,S104,R104)</f>
        <v>144000</v>
      </c>
      <c r="AG104" s="126"/>
      <c r="AH104" s="126"/>
      <c r="AI104" s="126"/>
      <c r="AJ104" s="130"/>
      <c r="AK104" s="130"/>
      <c r="AL104" s="130"/>
      <c r="AM104" s="127">
        <f>AG104*'1. Standard_Cost'!$B$27+'Incremental_Cost Year 6'!AH104*'1. Standard_Cost'!$C$27+'Incremental_Cost Year 6'!AI104*'1. Standard_Cost'!$D$27+'Incremental_Cost Year 6'!AJ104+'Incremental_Cost Year 6'!AL104+AK104</f>
        <v>0</v>
      </c>
      <c r="AN104" s="127">
        <f>AM104*'1. Standard_Cost'!$C$31</f>
        <v>0</v>
      </c>
      <c r="AO104" s="262"/>
      <c r="AQ104" s="171">
        <f>L104+M104</f>
        <v>1058702.3999999999</v>
      </c>
      <c r="AR104" s="171">
        <f>AF104</f>
        <v>144000</v>
      </c>
      <c r="AS104" s="171">
        <f>AM104+AN104</f>
        <v>0</v>
      </c>
      <c r="AT104" s="171">
        <f>SUM(AQ104,AR104,AS104)</f>
        <v>1202702.3999999999</v>
      </c>
      <c r="AU104" s="250">
        <v>1202702</v>
      </c>
      <c r="AV104" s="250"/>
      <c r="AW104" s="250"/>
      <c r="AX104" s="250"/>
      <c r="AY104" s="250"/>
      <c r="AZ104" s="250"/>
      <c r="BA104" s="250"/>
      <c r="BB104" s="251">
        <f t="shared" si="68"/>
        <v>-0.39999999990686774</v>
      </c>
      <c r="BC104" s="169"/>
      <c r="BD104" s="169"/>
      <c r="BE104" s="169"/>
      <c r="BF104" s="169"/>
    </row>
    <row r="105" spans="1:58" ht="47.25" outlineLevel="1" x14ac:dyDescent="0.25">
      <c r="A105" s="115"/>
      <c r="B105" s="165"/>
      <c r="C105" s="166"/>
      <c r="D105" s="229" t="s">
        <v>432</v>
      </c>
      <c r="E105" s="212" t="s">
        <v>275</v>
      </c>
      <c r="F105" s="136">
        <v>2023</v>
      </c>
      <c r="G105" s="117">
        <v>2030</v>
      </c>
      <c r="H105" s="110" t="s">
        <v>177</v>
      </c>
      <c r="I105" s="252"/>
      <c r="J105" s="252"/>
      <c r="K105" s="252"/>
      <c r="L105" s="127">
        <f>SUM(L101:L104)</f>
        <v>2520000</v>
      </c>
      <c r="M105" s="127">
        <f>SUM(M101:M104)</f>
        <v>420840</v>
      </c>
      <c r="N105" s="127"/>
      <c r="O105" s="252"/>
      <c r="P105" s="252"/>
      <c r="Q105" s="252"/>
      <c r="R105" s="127">
        <f>SUM(R101:R104)</f>
        <v>0</v>
      </c>
      <c r="S105" s="127">
        <f>SUM(S101:S104)</f>
        <v>0</v>
      </c>
      <c r="T105" s="127">
        <f>SUM(T101:T104)</f>
        <v>0</v>
      </c>
      <c r="U105" s="127">
        <f>SUM(U101:U104)</f>
        <v>0</v>
      </c>
      <c r="V105" s="252"/>
      <c r="W105" s="252"/>
      <c r="X105" s="252"/>
      <c r="Y105" s="127">
        <f>SUM(Y101:Y104)</f>
        <v>0</v>
      </c>
      <c r="Z105" s="252"/>
      <c r="AA105" s="252"/>
      <c r="AB105" s="127">
        <f>SUM(AB101:AB104)</f>
        <v>0</v>
      </c>
      <c r="AC105" s="127">
        <f>SUM(AC101:AC104)</f>
        <v>359425</v>
      </c>
      <c r="AD105" s="127">
        <f>SUM(AD101:AD104)</f>
        <v>0</v>
      </c>
      <c r="AE105" s="127">
        <f>SUM(AE101:AE104)</f>
        <v>71885</v>
      </c>
      <c r="AF105" s="127">
        <f>SUM(AF101:AF104)</f>
        <v>431310</v>
      </c>
      <c r="AG105" s="252"/>
      <c r="AH105" s="252"/>
      <c r="AI105" s="252"/>
      <c r="AJ105" s="127">
        <f>SUM(AJ101:AJ104)</f>
        <v>0</v>
      </c>
      <c r="AK105" s="127">
        <f>SUM(AK101:AK104)</f>
        <v>0</v>
      </c>
      <c r="AL105" s="127">
        <f>SUM(AL101:AL104)</f>
        <v>0</v>
      </c>
      <c r="AM105" s="127">
        <f>SUM(AM101:AM104)</f>
        <v>0</v>
      </c>
      <c r="AN105" s="127">
        <f>SUM(AN101:AN104)</f>
        <v>0</v>
      </c>
      <c r="AO105" s="253"/>
      <c r="AP105" s="254"/>
      <c r="AQ105" s="175">
        <f>SUM(AQ101:AQ104)</f>
        <v>2940840</v>
      </c>
      <c r="AR105" s="175">
        <f>SUM(AR101:AR104)</f>
        <v>431310</v>
      </c>
      <c r="AS105" s="175">
        <f>SUM(AS101:AS104)</f>
        <v>0</v>
      </c>
      <c r="AT105" s="175">
        <f>SUM(AT101:AT104)</f>
        <v>3372150</v>
      </c>
      <c r="AU105" s="175">
        <f t="shared" ref="AU105:BB105" si="69">SUM(AU101:AU104)</f>
        <v>3372149</v>
      </c>
      <c r="AV105" s="175">
        <f t="shared" si="69"/>
        <v>0</v>
      </c>
      <c r="AW105" s="175">
        <f t="shared" si="69"/>
        <v>0</v>
      </c>
      <c r="AX105" s="175">
        <f t="shared" si="69"/>
        <v>0</v>
      </c>
      <c r="AY105" s="175">
        <f t="shared" si="69"/>
        <v>0</v>
      </c>
      <c r="AZ105" s="175">
        <f t="shared" si="69"/>
        <v>0</v>
      </c>
      <c r="BA105" s="175">
        <f t="shared" si="69"/>
        <v>0</v>
      </c>
      <c r="BB105" s="175">
        <f t="shared" si="69"/>
        <v>-0.99999999982537702</v>
      </c>
      <c r="BC105" s="169"/>
      <c r="BD105" s="169"/>
      <c r="BE105" s="169"/>
      <c r="BF105" s="169"/>
    </row>
    <row r="106" spans="1:58" s="184" customFormat="1" ht="15.75" customHeight="1" x14ac:dyDescent="0.25">
      <c r="A106" s="143"/>
      <c r="B106" s="290"/>
      <c r="C106" s="391" t="s">
        <v>276</v>
      </c>
      <c r="D106" s="391"/>
      <c r="E106" s="392"/>
      <c r="F106" s="291"/>
      <c r="G106" s="291"/>
      <c r="H106" s="144" t="s">
        <v>258</v>
      </c>
      <c r="I106" s="257"/>
      <c r="J106" s="257"/>
      <c r="K106" s="257"/>
      <c r="L106" s="258">
        <f>SUM(L110)</f>
        <v>1655900</v>
      </c>
      <c r="M106" s="258">
        <f>SUM(M110)</f>
        <v>276535.3</v>
      </c>
      <c r="N106" s="257"/>
      <c r="O106" s="257"/>
      <c r="P106" s="257"/>
      <c r="Q106" s="257"/>
      <c r="R106" s="258">
        <f>SUM(R110)</f>
        <v>0</v>
      </c>
      <c r="S106" s="258">
        <f>SUM(S110)</f>
        <v>0</v>
      </c>
      <c r="T106" s="258">
        <f>SUM(T110)</f>
        <v>0</v>
      </c>
      <c r="U106" s="258">
        <f>SUM(U110)</f>
        <v>0</v>
      </c>
      <c r="V106" s="257"/>
      <c r="W106" s="257"/>
      <c r="X106" s="257"/>
      <c r="Y106" s="258">
        <f>SUM(Y110)</f>
        <v>0</v>
      </c>
      <c r="Z106" s="258"/>
      <c r="AA106" s="258"/>
      <c r="AB106" s="258">
        <f>SUM(AB110)</f>
        <v>1140000</v>
      </c>
      <c r="AC106" s="258">
        <f>SUM(AC110)</f>
        <v>253100</v>
      </c>
      <c r="AD106" s="258">
        <f>SUM(AD110)</f>
        <v>0</v>
      </c>
      <c r="AE106" s="258">
        <f>SUM(AE110)</f>
        <v>278620</v>
      </c>
      <c r="AF106" s="258">
        <f>SUM(AF110)</f>
        <v>1671720</v>
      </c>
      <c r="AG106" s="257"/>
      <c r="AH106" s="257"/>
      <c r="AI106" s="257"/>
      <c r="AJ106" s="258">
        <f>SUM(AJ110)</f>
        <v>0</v>
      </c>
      <c r="AK106" s="258">
        <f>SUM(AK110)</f>
        <v>0</v>
      </c>
      <c r="AL106" s="258">
        <f>SUM(AL110)</f>
        <v>0</v>
      </c>
      <c r="AM106" s="258">
        <f>SUM(AM110)</f>
        <v>0</v>
      </c>
      <c r="AN106" s="258">
        <f>SUM(AN110)</f>
        <v>0</v>
      </c>
      <c r="AO106" s="259"/>
      <c r="AP106" s="260"/>
      <c r="AQ106" s="261">
        <f>SUM(AQ110)</f>
        <v>1932435.3</v>
      </c>
      <c r="AR106" s="261">
        <f>SUM(AR110)</f>
        <v>1671720</v>
      </c>
      <c r="AS106" s="261">
        <f>SUM(AS110)</f>
        <v>0</v>
      </c>
      <c r="AT106" s="261">
        <f>SUM(AT110)</f>
        <v>3604155.3</v>
      </c>
      <c r="AU106" s="261">
        <f t="shared" ref="AU106:BA106" si="70">SUM(AU110)</f>
        <v>2236156</v>
      </c>
      <c r="AV106" s="261">
        <f t="shared" si="70"/>
        <v>0</v>
      </c>
      <c r="AW106" s="261">
        <f t="shared" si="70"/>
        <v>0</v>
      </c>
      <c r="AX106" s="261">
        <f t="shared" si="70"/>
        <v>0</v>
      </c>
      <c r="AY106" s="261">
        <f t="shared" si="70"/>
        <v>0</v>
      </c>
      <c r="AZ106" s="261">
        <f t="shared" si="70"/>
        <v>0</v>
      </c>
      <c r="BA106" s="261">
        <f t="shared" si="70"/>
        <v>0</v>
      </c>
      <c r="BB106" s="261">
        <f>SUM(BB110)</f>
        <v>-1367999.3</v>
      </c>
    </row>
    <row r="107" spans="1:58" ht="63" outlineLevel="2" x14ac:dyDescent="0.25">
      <c r="A107" s="115"/>
      <c r="B107" s="200"/>
      <c r="C107" s="201"/>
      <c r="D107" s="202"/>
      <c r="E107" s="226"/>
      <c r="F107" s="306"/>
      <c r="G107" s="307"/>
      <c r="H107" s="199" t="s">
        <v>437</v>
      </c>
      <c r="I107" s="130" t="s">
        <v>5</v>
      </c>
      <c r="J107" s="126">
        <v>2</v>
      </c>
      <c r="K107" s="126">
        <v>1</v>
      </c>
      <c r="L107" s="125">
        <f>IF(I107&lt;&gt;0,((VLOOKUP(I107,'1. Standard_Cost'!$B$4:$D$11,2)+VLOOKUP(I107,'1. Standard_Cost'!$B$4:$D$11,3))*J107*K107),"0")</f>
        <v>141400</v>
      </c>
      <c r="M107" s="125">
        <f>L107*'1. Standard_Cost'!$F$4</f>
        <v>23613.800000000003</v>
      </c>
      <c r="N107" s="126"/>
      <c r="O107" s="126"/>
      <c r="P107" s="126"/>
      <c r="Q107" s="126"/>
      <c r="R107" s="127">
        <f>'1. Standard_Cost'!$B$15*N107*P107</f>
        <v>0</v>
      </c>
      <c r="S107" s="127">
        <f>N107*O107*P107*'1. Standard_Cost'!$C$15</f>
        <v>0</v>
      </c>
      <c r="T107" s="127">
        <f>N107*P107*Q107*'1. Standard_Cost'!$D$15</f>
        <v>0</v>
      </c>
      <c r="U107" s="127">
        <f>N107*O107*'1. Standard_Cost'!$E$15</f>
        <v>0</v>
      </c>
      <c r="V107" s="126"/>
      <c r="W107" s="126"/>
      <c r="X107" s="126"/>
      <c r="Y107" s="127">
        <f>+V107*((X107*'1. Standard_Cost'!$B$19)+(W107*X107*'1. Standard_Cost'!$C$19))</f>
        <v>0</v>
      </c>
      <c r="Z107" s="126"/>
      <c r="AA107" s="126">
        <v>40</v>
      </c>
      <c r="AB107" s="127">
        <f>+Z107*'1. Standard_Cost'!$B$23+AA107*'1. Standard_Cost'!$C$23</f>
        <v>760000</v>
      </c>
      <c r="AC107" s="128">
        <v>20000</v>
      </c>
      <c r="AD107" s="129"/>
      <c r="AE107" s="127">
        <f>SUM(AD107,AC107,AB107,Y107,U107,T107,S107,R107)*'1. Standard_Cost'!$B$31</f>
        <v>156000</v>
      </c>
      <c r="AF107" s="127">
        <f>SUM(AE107,AD107,AC107,AB107,Y107,U107,T107,S107,R107)</f>
        <v>936000</v>
      </c>
      <c r="AG107" s="126"/>
      <c r="AH107" s="126"/>
      <c r="AI107" s="126"/>
      <c r="AJ107" s="130"/>
      <c r="AK107" s="130"/>
      <c r="AL107" s="130"/>
      <c r="AM107" s="127">
        <f>AG107*'1. Standard_Cost'!$B$27+'Incremental_Cost Year 6'!AH107*'1. Standard_Cost'!$C$27+'Incremental_Cost Year 6'!AI107*'1. Standard_Cost'!$D$27+'Incremental_Cost Year 6'!AJ107+'Incremental_Cost Year 6'!AL107+AK107</f>
        <v>0</v>
      </c>
      <c r="AN107" s="127">
        <f>AM107*'1. Standard_Cost'!$C$31</f>
        <v>0</v>
      </c>
      <c r="AO107" s="130"/>
      <c r="AQ107" s="171">
        <f>L107+M107</f>
        <v>165013.79999999999</v>
      </c>
      <c r="AR107" s="171">
        <f>AF107</f>
        <v>936000</v>
      </c>
      <c r="AS107" s="171">
        <f>AM107+AN107</f>
        <v>0</v>
      </c>
      <c r="AT107" s="171">
        <f>SUM(AQ107,AR107,AS107)</f>
        <v>1101013.8</v>
      </c>
      <c r="AU107" s="250">
        <v>189014</v>
      </c>
      <c r="AV107" s="250"/>
      <c r="AW107" s="250"/>
      <c r="AX107" s="250"/>
      <c r="AY107" s="250"/>
      <c r="AZ107" s="250"/>
      <c r="BA107" s="250"/>
      <c r="BB107" s="251">
        <f t="shared" ref="BB107:BB109" si="71">SUM(AU107:BA107)-AT107</f>
        <v>-911999.8</v>
      </c>
      <c r="BC107" s="169"/>
      <c r="BD107" s="169"/>
      <c r="BE107" s="169"/>
      <c r="BF107" s="169"/>
    </row>
    <row r="108" spans="1:58" ht="78.75" outlineLevel="2" x14ac:dyDescent="0.25">
      <c r="A108" s="115"/>
      <c r="B108" s="200"/>
      <c r="C108" s="201"/>
      <c r="D108" s="202"/>
      <c r="E108" s="202"/>
      <c r="F108" s="308"/>
      <c r="G108" s="309"/>
      <c r="H108" s="199" t="s">
        <v>438</v>
      </c>
      <c r="I108" s="130" t="s">
        <v>4</v>
      </c>
      <c r="J108" s="126">
        <v>2</v>
      </c>
      <c r="K108" s="126">
        <v>5</v>
      </c>
      <c r="L108" s="125">
        <f>IF(I108&lt;&gt;0,((VLOOKUP(I108,'1. Standard_Cost'!$B$4:$D$11,2)+VLOOKUP(I108,'1. Standard_Cost'!$B$4:$D$11,3))*J108*K108),"0")</f>
        <v>807500</v>
      </c>
      <c r="M108" s="125">
        <f>L108*'1. Standard_Cost'!$F$4</f>
        <v>134852.5</v>
      </c>
      <c r="N108" s="126"/>
      <c r="O108" s="126"/>
      <c r="P108" s="126"/>
      <c r="Q108" s="126"/>
      <c r="R108" s="127">
        <f>'1. Standard_Cost'!$B$15*N108*P108</f>
        <v>0</v>
      </c>
      <c r="S108" s="127">
        <f>N108*O108*P108*'1. Standard_Cost'!$C$15</f>
        <v>0</v>
      </c>
      <c r="T108" s="127">
        <f>N108*P108*Q108*'1. Standard_Cost'!$D$15</f>
        <v>0</v>
      </c>
      <c r="U108" s="127">
        <f>N108*O108*'1. Standard_Cost'!$E$15</f>
        <v>0</v>
      </c>
      <c r="V108" s="126"/>
      <c r="W108" s="126"/>
      <c r="X108" s="126"/>
      <c r="Y108" s="127">
        <f>+V108*((X108*'1. Standard_Cost'!$B$19)+(W108*X108*'1. Standard_Cost'!$C$19))</f>
        <v>0</v>
      </c>
      <c r="Z108" s="126"/>
      <c r="AA108" s="126">
        <v>20</v>
      </c>
      <c r="AB108" s="127">
        <f>+Z108*'1. Standard_Cost'!$B$23+AA108*'1. Standard_Cost'!$C$23</f>
        <v>380000</v>
      </c>
      <c r="AC108" s="128">
        <v>113100</v>
      </c>
      <c r="AD108" s="129"/>
      <c r="AE108" s="127">
        <f>SUM(AD108,AC108,AB108,Y108,U108,T108,S108,R108)*'1. Standard_Cost'!$B$31</f>
        <v>98620</v>
      </c>
      <c r="AF108" s="127">
        <f>SUM(AE108,AD108,AC108,AB108,Y108,U108,T108,S108,R108)</f>
        <v>591720</v>
      </c>
      <c r="AG108" s="126"/>
      <c r="AH108" s="126"/>
      <c r="AI108" s="126"/>
      <c r="AJ108" s="130"/>
      <c r="AK108" s="130"/>
      <c r="AL108" s="130"/>
      <c r="AM108" s="127">
        <f>AG108*'1. Standard_Cost'!$B$27+'Incremental_Cost Year 6'!AH108*'1. Standard_Cost'!$C$27+'Incremental_Cost Year 6'!AI108*'1. Standard_Cost'!$D$27+'Incremental_Cost Year 6'!AJ108+'Incremental_Cost Year 6'!AL108+AK108</f>
        <v>0</v>
      </c>
      <c r="AN108" s="127">
        <f>AM108*'1. Standard_Cost'!$C$31</f>
        <v>0</v>
      </c>
      <c r="AO108" s="130"/>
      <c r="AQ108" s="171">
        <f>L108+M108</f>
        <v>942352.5</v>
      </c>
      <c r="AR108" s="171">
        <f>AF108</f>
        <v>591720</v>
      </c>
      <c r="AS108" s="171">
        <f>AM108+AN108</f>
        <v>0</v>
      </c>
      <c r="AT108" s="171">
        <f>SUM(AQ108,AR108,AS108)</f>
        <v>1534072.5</v>
      </c>
      <c r="AU108" s="250">
        <v>1078073</v>
      </c>
      <c r="AV108" s="250"/>
      <c r="AW108" s="250"/>
      <c r="AX108" s="250"/>
      <c r="AY108" s="250"/>
      <c r="AZ108" s="250"/>
      <c r="BA108" s="250"/>
      <c r="BB108" s="251">
        <f t="shared" si="71"/>
        <v>-455999.5</v>
      </c>
      <c r="BC108" s="169"/>
      <c r="BD108" s="169"/>
      <c r="BE108" s="169"/>
      <c r="BF108" s="169"/>
    </row>
    <row r="109" spans="1:58" ht="78.75" outlineLevel="2" x14ac:dyDescent="0.25">
      <c r="A109" s="115"/>
      <c r="B109" s="200"/>
      <c r="C109" s="201"/>
      <c r="D109" s="202"/>
      <c r="E109" s="310"/>
      <c r="F109" s="311"/>
      <c r="G109" s="312"/>
      <c r="H109" s="199" t="s">
        <v>439</v>
      </c>
      <c r="I109" s="130" t="s">
        <v>5</v>
      </c>
      <c r="J109" s="126">
        <v>2</v>
      </c>
      <c r="K109" s="126">
        <v>5</v>
      </c>
      <c r="L109" s="125">
        <f>IF(I109&lt;&gt;0,((VLOOKUP(I109,'1. Standard_Cost'!$B$4:$D$11,2)+VLOOKUP(I109,'1. Standard_Cost'!$B$4:$D$11,3))*J109*K109),"0")</f>
        <v>707000</v>
      </c>
      <c r="M109" s="125">
        <f>L109*'1. Standard_Cost'!$F$4</f>
        <v>118069</v>
      </c>
      <c r="N109" s="126"/>
      <c r="O109" s="126"/>
      <c r="P109" s="126"/>
      <c r="Q109" s="126"/>
      <c r="R109" s="127">
        <f>'1. Standard_Cost'!$B$15*N109*P109</f>
        <v>0</v>
      </c>
      <c r="S109" s="127">
        <f>N109*O109*P109*'1. Standard_Cost'!$C$15</f>
        <v>0</v>
      </c>
      <c r="T109" s="127">
        <f>N109*P109*Q109*'1. Standard_Cost'!$D$15</f>
        <v>0</v>
      </c>
      <c r="U109" s="127">
        <f>N109*O109*'1. Standard_Cost'!$E$15</f>
        <v>0</v>
      </c>
      <c r="V109" s="126"/>
      <c r="W109" s="126"/>
      <c r="X109" s="126"/>
      <c r="Y109" s="127">
        <f>+V109*((X109*'1. Standard_Cost'!$B$19)+(W109*X109*'1. Standard_Cost'!$C$19))</f>
        <v>0</v>
      </c>
      <c r="Z109" s="126"/>
      <c r="AA109" s="126"/>
      <c r="AB109" s="127">
        <f>+Z109*'1. Standard_Cost'!$B$23+AA109*'1. Standard_Cost'!$C$23</f>
        <v>0</v>
      </c>
      <c r="AC109" s="128">
        <v>120000</v>
      </c>
      <c r="AD109" s="129"/>
      <c r="AE109" s="127">
        <f>SUM(AD109,AC109,AB109,Y109,U109,T109,S109,R109)*'1. Standard_Cost'!$B$31</f>
        <v>24000</v>
      </c>
      <c r="AF109" s="127">
        <f>SUM(AE109,AD109,AC109,AB109,Y109,U109,T109,S109,R109)</f>
        <v>144000</v>
      </c>
      <c r="AG109" s="126"/>
      <c r="AH109" s="126"/>
      <c r="AI109" s="126"/>
      <c r="AJ109" s="130"/>
      <c r="AK109" s="130"/>
      <c r="AL109" s="130"/>
      <c r="AM109" s="127">
        <f>AG109*'1. Standard_Cost'!$B$27+'Incremental_Cost Year 6'!AH109*'1. Standard_Cost'!$C$27+'Incremental_Cost Year 6'!AI109*'1. Standard_Cost'!$D$27+'Incremental_Cost Year 6'!AJ109+'Incremental_Cost Year 6'!AL109+AK109</f>
        <v>0</v>
      </c>
      <c r="AN109" s="127">
        <f>AM109*'1. Standard_Cost'!$C$31</f>
        <v>0</v>
      </c>
      <c r="AO109" s="130"/>
      <c r="AQ109" s="171">
        <f>L109+M109</f>
        <v>825069</v>
      </c>
      <c r="AR109" s="171">
        <f>AF109</f>
        <v>144000</v>
      </c>
      <c r="AS109" s="171">
        <f>AM109+AN109</f>
        <v>0</v>
      </c>
      <c r="AT109" s="171">
        <f>SUM(AQ109,AR109,AS109)</f>
        <v>969069</v>
      </c>
      <c r="AU109" s="250">
        <v>969069</v>
      </c>
      <c r="AV109" s="250"/>
      <c r="AW109" s="250"/>
      <c r="AX109" s="250"/>
      <c r="AY109" s="250"/>
      <c r="AZ109" s="250"/>
      <c r="BA109" s="250"/>
      <c r="BB109" s="251">
        <f t="shared" si="71"/>
        <v>0</v>
      </c>
      <c r="BC109" s="169"/>
      <c r="BD109" s="169"/>
      <c r="BE109" s="169"/>
      <c r="BF109" s="169"/>
    </row>
    <row r="110" spans="1:58" ht="47.25" outlineLevel="1" x14ac:dyDescent="0.25">
      <c r="A110" s="115"/>
      <c r="B110" s="200"/>
      <c r="C110" s="201"/>
      <c r="D110" s="227" t="s">
        <v>432</v>
      </c>
      <c r="E110" s="226" t="s">
        <v>275</v>
      </c>
      <c r="F110" s="136">
        <v>2025</v>
      </c>
      <c r="G110" s="117">
        <v>2030</v>
      </c>
      <c r="H110" s="110" t="s">
        <v>277</v>
      </c>
      <c r="I110" s="252"/>
      <c r="J110" s="252"/>
      <c r="K110" s="252"/>
      <c r="L110" s="127">
        <f>SUM(L107:L109)</f>
        <v>1655900</v>
      </c>
      <c r="M110" s="127">
        <f>SUM(M107:M109)</f>
        <v>276535.3</v>
      </c>
      <c r="N110" s="127"/>
      <c r="O110" s="252"/>
      <c r="P110" s="252"/>
      <c r="Q110" s="252"/>
      <c r="R110" s="127">
        <f>SUM(R107:R109)</f>
        <v>0</v>
      </c>
      <c r="S110" s="127">
        <f>SUM(S107:S109)</f>
        <v>0</v>
      </c>
      <c r="T110" s="127">
        <f>SUM(T107:T109)</f>
        <v>0</v>
      </c>
      <c r="U110" s="127">
        <f>SUM(U107:U109)</f>
        <v>0</v>
      </c>
      <c r="V110" s="252"/>
      <c r="W110" s="252"/>
      <c r="X110" s="252"/>
      <c r="Y110" s="127">
        <f>SUM(Y107:Y109)</f>
        <v>0</v>
      </c>
      <c r="Z110" s="252"/>
      <c r="AA110" s="252"/>
      <c r="AB110" s="127">
        <f>SUM(AB107:AB109)</f>
        <v>1140000</v>
      </c>
      <c r="AC110" s="127">
        <f>SUM(AC107:AC109)</f>
        <v>253100</v>
      </c>
      <c r="AD110" s="127">
        <f>SUM(AD107:AD109)</f>
        <v>0</v>
      </c>
      <c r="AE110" s="127">
        <f>SUM(AE107:AE109)</f>
        <v>278620</v>
      </c>
      <c r="AF110" s="127">
        <f>SUM(AF107:AF109)</f>
        <v>1671720</v>
      </c>
      <c r="AG110" s="252"/>
      <c r="AH110" s="252"/>
      <c r="AI110" s="252"/>
      <c r="AJ110" s="127">
        <f>SUM(AJ107:AJ109)</f>
        <v>0</v>
      </c>
      <c r="AK110" s="127">
        <f>SUM(AK107:AK109)</f>
        <v>0</v>
      </c>
      <c r="AL110" s="127">
        <f>SUM(AL107:AL109)</f>
        <v>0</v>
      </c>
      <c r="AM110" s="127">
        <f>SUM(AM107:AM109)</f>
        <v>0</v>
      </c>
      <c r="AN110" s="127">
        <f>SUM(AN107:AN109)</f>
        <v>0</v>
      </c>
      <c r="AO110" s="253"/>
      <c r="AP110" s="254"/>
      <c r="AQ110" s="175">
        <f>SUM(AQ107:AQ109)</f>
        <v>1932435.3</v>
      </c>
      <c r="AR110" s="175">
        <f>SUM(AR107:AR109)</f>
        <v>1671720</v>
      </c>
      <c r="AS110" s="175">
        <f>SUM(AS107:AS109)</f>
        <v>0</v>
      </c>
      <c r="AT110" s="175">
        <f>SUM(AT107:AT109)</f>
        <v>3604155.3</v>
      </c>
      <c r="AU110" s="175">
        <f t="shared" ref="AU110:BB110" si="72">SUM(AU107:AU109)</f>
        <v>2236156</v>
      </c>
      <c r="AV110" s="175">
        <f t="shared" si="72"/>
        <v>0</v>
      </c>
      <c r="AW110" s="175">
        <f t="shared" si="72"/>
        <v>0</v>
      </c>
      <c r="AX110" s="175">
        <f t="shared" si="72"/>
        <v>0</v>
      </c>
      <c r="AY110" s="175">
        <f t="shared" si="72"/>
        <v>0</v>
      </c>
      <c r="AZ110" s="175">
        <f t="shared" si="72"/>
        <v>0</v>
      </c>
      <c r="BA110" s="175">
        <f t="shared" si="72"/>
        <v>0</v>
      </c>
      <c r="BB110" s="175">
        <f t="shared" si="72"/>
        <v>-1367999.3</v>
      </c>
      <c r="BC110" s="169"/>
      <c r="BD110" s="169"/>
      <c r="BE110" s="169"/>
      <c r="BF110" s="169"/>
    </row>
    <row r="111" spans="1:58" s="184" customFormat="1" ht="15.75" customHeight="1" x14ac:dyDescent="0.25">
      <c r="A111" s="143"/>
      <c r="B111" s="290"/>
      <c r="C111" s="391" t="s">
        <v>278</v>
      </c>
      <c r="D111" s="391"/>
      <c r="E111" s="392"/>
      <c r="F111" s="291"/>
      <c r="G111" s="291"/>
      <c r="H111" s="144" t="s">
        <v>262</v>
      </c>
      <c r="I111" s="257"/>
      <c r="J111" s="257"/>
      <c r="K111" s="257"/>
      <c r="L111" s="258">
        <f>SUM(L117)</f>
        <v>2562100</v>
      </c>
      <c r="M111" s="258">
        <f>SUM(M117)</f>
        <v>427870.7</v>
      </c>
      <c r="N111" s="257"/>
      <c r="O111" s="257"/>
      <c r="P111" s="257"/>
      <c r="Q111" s="257"/>
      <c r="R111" s="258">
        <f>SUM(R117)</f>
        <v>0</v>
      </c>
      <c r="S111" s="258">
        <f>SUM(S117)</f>
        <v>0</v>
      </c>
      <c r="T111" s="258">
        <f>SUM(T117)</f>
        <v>0</v>
      </c>
      <c r="U111" s="258">
        <f>SUM(U117)</f>
        <v>0</v>
      </c>
      <c r="V111" s="257"/>
      <c r="W111" s="257"/>
      <c r="X111" s="257"/>
      <c r="Y111" s="258">
        <f>SUM(Y117)</f>
        <v>0</v>
      </c>
      <c r="Z111" s="258"/>
      <c r="AA111" s="258"/>
      <c r="AB111" s="258">
        <f>SUM(AB117)</f>
        <v>475000</v>
      </c>
      <c r="AC111" s="258">
        <f>SUM(AC117)</f>
        <v>358920</v>
      </c>
      <c r="AD111" s="258">
        <f>SUM(AD117)</f>
        <v>0</v>
      </c>
      <c r="AE111" s="258">
        <f>SUM(AE117)</f>
        <v>166784</v>
      </c>
      <c r="AF111" s="258">
        <f>SUM(AF117)</f>
        <v>1000704</v>
      </c>
      <c r="AG111" s="257"/>
      <c r="AH111" s="257"/>
      <c r="AI111" s="257"/>
      <c r="AJ111" s="258">
        <f>SUM(AJ117)</f>
        <v>0</v>
      </c>
      <c r="AK111" s="258">
        <f>SUM(AK117)</f>
        <v>0</v>
      </c>
      <c r="AL111" s="258">
        <f>SUM(AL117)</f>
        <v>0</v>
      </c>
      <c r="AM111" s="258">
        <f>SUM(AM117)</f>
        <v>0</v>
      </c>
      <c r="AN111" s="258">
        <f>SUM(AN117)</f>
        <v>0</v>
      </c>
      <c r="AO111" s="259"/>
      <c r="AP111" s="260"/>
      <c r="AQ111" s="261">
        <f>SUM(AQ117)</f>
        <v>2989970.7</v>
      </c>
      <c r="AR111" s="261">
        <f>SUM(AR117)</f>
        <v>1000704</v>
      </c>
      <c r="AS111" s="261">
        <f>SUM(AS117)</f>
        <v>0</v>
      </c>
      <c r="AT111" s="261">
        <f>SUM(AT117)</f>
        <v>3990674.7</v>
      </c>
      <c r="AU111" s="261">
        <f t="shared" ref="AU111:BA111" si="73">SUM(AU117)</f>
        <v>3420675</v>
      </c>
      <c r="AV111" s="261">
        <f t="shared" si="73"/>
        <v>0</v>
      </c>
      <c r="AW111" s="261">
        <f t="shared" si="73"/>
        <v>0</v>
      </c>
      <c r="AX111" s="261">
        <f t="shared" si="73"/>
        <v>0</v>
      </c>
      <c r="AY111" s="261">
        <f t="shared" si="73"/>
        <v>0</v>
      </c>
      <c r="AZ111" s="261">
        <f t="shared" si="73"/>
        <v>0</v>
      </c>
      <c r="BA111" s="261">
        <f t="shared" si="73"/>
        <v>0</v>
      </c>
      <c r="BB111" s="261">
        <f>SUM(BB117)</f>
        <v>-569999.69999999995</v>
      </c>
    </row>
    <row r="112" spans="1:58" ht="78.75" outlineLevel="2" x14ac:dyDescent="0.25">
      <c r="A112" s="115"/>
      <c r="B112" s="200"/>
      <c r="C112" s="201"/>
      <c r="D112" s="210"/>
      <c r="E112" s="321"/>
      <c r="F112" s="306"/>
      <c r="G112" s="307"/>
      <c r="H112" s="199" t="s">
        <v>440</v>
      </c>
      <c r="I112" s="130" t="s">
        <v>2</v>
      </c>
      <c r="J112" s="126">
        <v>1</v>
      </c>
      <c r="K112" s="126">
        <v>6</v>
      </c>
      <c r="L112" s="125">
        <f>IF(I112&lt;&gt;0,((VLOOKUP(I112,'1. Standard_Cost'!$B$4:$D$11,2)+VLOOKUP(I112,'1. Standard_Cost'!$B$4:$D$11,3))*J112*K112),"0")</f>
        <v>726000</v>
      </c>
      <c r="M112" s="125">
        <f>L112*'1. Standard_Cost'!$F$4</f>
        <v>121242</v>
      </c>
      <c r="N112" s="126"/>
      <c r="O112" s="126"/>
      <c r="P112" s="126"/>
      <c r="Q112" s="126"/>
      <c r="R112" s="127">
        <f>'1. Standard_Cost'!$B$15*N112*P112</f>
        <v>0</v>
      </c>
      <c r="S112" s="127">
        <f>N112*O112*P112*'1. Standard_Cost'!$C$15</f>
        <v>0</v>
      </c>
      <c r="T112" s="127">
        <f>N112*P112*Q112*'1. Standard_Cost'!$D$15</f>
        <v>0</v>
      </c>
      <c r="U112" s="127">
        <f>N112*O112*'1. Standard_Cost'!$E$15</f>
        <v>0</v>
      </c>
      <c r="V112" s="126"/>
      <c r="W112" s="126"/>
      <c r="X112" s="126"/>
      <c r="Y112" s="127">
        <f>+V112*((X112*'1. Standard_Cost'!$B$19)+(W112*X112*'1. Standard_Cost'!$C$19))</f>
        <v>0</v>
      </c>
      <c r="Z112" s="126"/>
      <c r="AA112" s="126"/>
      <c r="AB112" s="127">
        <f>+Z112*'1. Standard_Cost'!$B$23+AA112*'1. Standard_Cost'!$C$23</f>
        <v>0</v>
      </c>
      <c r="AC112" s="128">
        <v>101700</v>
      </c>
      <c r="AD112" s="129"/>
      <c r="AE112" s="127">
        <f>SUM(AD112,AC112,AB112,Y112,U112,T112,S112,R112)*'1. Standard_Cost'!$B$31</f>
        <v>20340</v>
      </c>
      <c r="AF112" s="127">
        <f>SUM(AE112,AD112,AC112,AB112,Y112,U112,T112,S112,R112)</f>
        <v>122040</v>
      </c>
      <c r="AG112" s="126"/>
      <c r="AH112" s="126"/>
      <c r="AI112" s="126"/>
      <c r="AJ112" s="130"/>
      <c r="AK112" s="130"/>
      <c r="AL112" s="130"/>
      <c r="AM112" s="127">
        <f>AG112*'1. Standard_Cost'!$B$27+'Incremental_Cost Year 6'!AH112*'1. Standard_Cost'!$C$27+'Incremental_Cost Year 6'!AI112*'1. Standard_Cost'!$D$27+'Incremental_Cost Year 6'!AJ112+'Incremental_Cost Year 6'!AL112+AK112</f>
        <v>0</v>
      </c>
      <c r="AN112" s="127">
        <f>AM112*'1. Standard_Cost'!$C$31</f>
        <v>0</v>
      </c>
      <c r="AO112" s="130"/>
      <c r="AQ112" s="171">
        <f>L112+M112</f>
        <v>847242</v>
      </c>
      <c r="AR112" s="171">
        <f>AF112</f>
        <v>122040</v>
      </c>
      <c r="AS112" s="171">
        <f>AM112+AN112</f>
        <v>0</v>
      </c>
      <c r="AT112" s="171">
        <f>SUM(AQ112,AR112,AS112)</f>
        <v>969282</v>
      </c>
      <c r="AU112" s="250">
        <v>969282</v>
      </c>
      <c r="AV112" s="250"/>
      <c r="AW112" s="250"/>
      <c r="AX112" s="250"/>
      <c r="AY112" s="250"/>
      <c r="AZ112" s="250"/>
      <c r="BA112" s="250"/>
      <c r="BB112" s="251">
        <f t="shared" ref="BB112:BB116" si="74">SUM(AU112:BA112)-AT112</f>
        <v>0</v>
      </c>
      <c r="BC112" s="169"/>
      <c r="BD112" s="169"/>
      <c r="BE112" s="169"/>
      <c r="BF112" s="169"/>
    </row>
    <row r="113" spans="1:58" ht="63" outlineLevel="2" x14ac:dyDescent="0.25">
      <c r="A113" s="115"/>
      <c r="B113" s="200"/>
      <c r="C113" s="201"/>
      <c r="D113" s="208"/>
      <c r="E113" s="323"/>
      <c r="F113" s="308"/>
      <c r="G113" s="309"/>
      <c r="H113" s="199" t="s">
        <v>441</v>
      </c>
      <c r="I113" s="130" t="s">
        <v>3</v>
      </c>
      <c r="J113" s="126">
        <v>1</v>
      </c>
      <c r="K113" s="126">
        <v>7</v>
      </c>
      <c r="L113" s="125">
        <f>IF(I113&lt;&gt;0,((VLOOKUP(I113,'1. Standard_Cost'!$B$4:$D$11,2)+VLOOKUP(I113,'1. Standard_Cost'!$B$4:$D$11,3))*J113*K113),"0")</f>
        <v>705600</v>
      </c>
      <c r="M113" s="125">
        <f>L113*'1. Standard_Cost'!$F$4</f>
        <v>117835.20000000001</v>
      </c>
      <c r="N113" s="126"/>
      <c r="O113" s="126"/>
      <c r="P113" s="126"/>
      <c r="Q113" s="126"/>
      <c r="R113" s="127">
        <f>'1. Standard_Cost'!$B$15*N113*P113</f>
        <v>0</v>
      </c>
      <c r="S113" s="127">
        <f>N113*O113*P113*'1. Standard_Cost'!$C$15</f>
        <v>0</v>
      </c>
      <c r="T113" s="127">
        <f>N113*P113*Q113*'1. Standard_Cost'!$D$15</f>
        <v>0</v>
      </c>
      <c r="U113" s="127">
        <f>N113*O113*'1. Standard_Cost'!$E$15</f>
        <v>0</v>
      </c>
      <c r="V113" s="126"/>
      <c r="W113" s="126"/>
      <c r="X113" s="126"/>
      <c r="Y113" s="127">
        <f>+V113*((X113*'1. Standard_Cost'!$B$19)+(W113*X113*'1. Standard_Cost'!$C$19))</f>
        <v>0</v>
      </c>
      <c r="Z113" s="126"/>
      <c r="AA113" s="126"/>
      <c r="AB113" s="127">
        <f>+Z113*'1. Standard_Cost'!$B$23+AA113*'1. Standard_Cost'!$C$23</f>
        <v>0</v>
      </c>
      <c r="AC113" s="128">
        <v>98900</v>
      </c>
      <c r="AD113" s="129"/>
      <c r="AE113" s="127">
        <f>SUM(AD113,AC113,AB113,Y113,U113,T113,S113,R113)*'1. Standard_Cost'!$B$31</f>
        <v>19780</v>
      </c>
      <c r="AF113" s="127">
        <f>SUM(AE113,AD113,AC113,AB113,Y113,U113,T113,S113,R113)</f>
        <v>118680</v>
      </c>
      <c r="AG113" s="126"/>
      <c r="AH113" s="126"/>
      <c r="AI113" s="126"/>
      <c r="AJ113" s="130"/>
      <c r="AK113" s="130"/>
      <c r="AL113" s="130"/>
      <c r="AM113" s="127">
        <f>AG113*'1. Standard_Cost'!$B$27+'Incremental_Cost Year 6'!AH113*'1. Standard_Cost'!$C$27+'Incremental_Cost Year 6'!AI113*'1. Standard_Cost'!$D$27+'Incremental_Cost Year 6'!AJ113+'Incremental_Cost Year 6'!AL113+AK113</f>
        <v>0</v>
      </c>
      <c r="AN113" s="127">
        <f>AM113*'1. Standard_Cost'!$C$31</f>
        <v>0</v>
      </c>
      <c r="AO113" s="130"/>
      <c r="AQ113" s="171">
        <f>L113+M113</f>
        <v>823435.2</v>
      </c>
      <c r="AR113" s="171">
        <f>AF113</f>
        <v>118680</v>
      </c>
      <c r="AS113" s="171">
        <f>AM113+AN113</f>
        <v>0</v>
      </c>
      <c r="AT113" s="171">
        <f>SUM(AQ113,AR113,AS113)</f>
        <v>942115.2</v>
      </c>
      <c r="AU113" s="250">
        <v>942115</v>
      </c>
      <c r="AV113" s="250"/>
      <c r="AW113" s="250"/>
      <c r="AX113" s="250"/>
      <c r="AY113" s="250"/>
      <c r="AZ113" s="250"/>
      <c r="BA113" s="250"/>
      <c r="BB113" s="251">
        <f t="shared" si="74"/>
        <v>-0.19999999995343387</v>
      </c>
      <c r="BC113" s="169"/>
      <c r="BD113" s="169"/>
      <c r="BE113" s="169"/>
      <c r="BF113" s="169"/>
    </row>
    <row r="114" spans="1:58" ht="78.75" outlineLevel="2" x14ac:dyDescent="0.25">
      <c r="A114" s="115"/>
      <c r="B114" s="200"/>
      <c r="C114" s="201"/>
      <c r="D114" s="203"/>
      <c r="E114" s="323"/>
      <c r="F114" s="308"/>
      <c r="G114" s="309"/>
      <c r="H114" s="199" t="s">
        <v>547</v>
      </c>
      <c r="I114" s="130" t="s">
        <v>4</v>
      </c>
      <c r="J114" s="126">
        <v>2</v>
      </c>
      <c r="K114" s="126">
        <v>7</v>
      </c>
      <c r="L114" s="125">
        <f>IF(I114&lt;&gt;0,((VLOOKUP(I114,'1. Standard_Cost'!$B$4:$D$11,2)+VLOOKUP(I114,'1. Standard_Cost'!$B$4:$D$11,3))*J114*K114),"0")</f>
        <v>1130500</v>
      </c>
      <c r="M114" s="125">
        <f>L114*'1. Standard_Cost'!$F$4</f>
        <v>188793.5</v>
      </c>
      <c r="N114" s="126"/>
      <c r="O114" s="126"/>
      <c r="P114" s="126"/>
      <c r="Q114" s="126"/>
      <c r="R114" s="127">
        <f>'1. Standard_Cost'!$B$15*N114*P114</f>
        <v>0</v>
      </c>
      <c r="S114" s="127">
        <f>N114*O114*P114*'1. Standard_Cost'!$C$15</f>
        <v>0</v>
      </c>
      <c r="T114" s="127">
        <f>N114*P114*Q114*'1. Standard_Cost'!$D$15</f>
        <v>0</v>
      </c>
      <c r="U114" s="127">
        <f>N114*O114*'1. Standard_Cost'!$E$15</f>
        <v>0</v>
      </c>
      <c r="V114" s="126"/>
      <c r="W114" s="126"/>
      <c r="X114" s="126"/>
      <c r="Y114" s="127">
        <f>+V114*((X114*'1. Standard_Cost'!$B$19)+(W114*X114*'1. Standard_Cost'!$C$19))</f>
        <v>0</v>
      </c>
      <c r="Z114" s="126"/>
      <c r="AA114" s="126">
        <v>25</v>
      </c>
      <c r="AB114" s="127">
        <f>+Z114*'1. Standard_Cost'!$B$23+AA114*'1. Standard_Cost'!$C$23</f>
        <v>475000</v>
      </c>
      <c r="AC114" s="128">
        <v>158320</v>
      </c>
      <c r="AD114" s="129"/>
      <c r="AE114" s="127">
        <f>SUM(AD114,AC114,AB114,Y114,U114,T114,S114,R114)*'1. Standard_Cost'!$B$31</f>
        <v>126664</v>
      </c>
      <c r="AF114" s="127">
        <f>SUM(AE114,AD114,AC114,AB114,Y114,U114,T114,S114,R114)</f>
        <v>759984</v>
      </c>
      <c r="AG114" s="126"/>
      <c r="AH114" s="126"/>
      <c r="AI114" s="126"/>
      <c r="AJ114" s="130"/>
      <c r="AK114" s="130"/>
      <c r="AL114" s="130"/>
      <c r="AM114" s="127">
        <f>AG114*'1. Standard_Cost'!$B$27+'Incremental_Cost Year 6'!AH114*'1. Standard_Cost'!$C$27+'Incremental_Cost Year 6'!AI114*'1. Standard_Cost'!$D$27+'Incremental_Cost Year 6'!AJ114+'Incremental_Cost Year 6'!AL114+AK114</f>
        <v>0</v>
      </c>
      <c r="AN114" s="127">
        <f>AM114*'1. Standard_Cost'!$C$31</f>
        <v>0</v>
      </c>
      <c r="AO114" s="130"/>
      <c r="AQ114" s="171">
        <f>L114+M114</f>
        <v>1319293.5</v>
      </c>
      <c r="AR114" s="171">
        <f>AF114</f>
        <v>759984</v>
      </c>
      <c r="AS114" s="171">
        <f>AM114+AN114</f>
        <v>0</v>
      </c>
      <c r="AT114" s="171">
        <f>SUM(AQ114,AR114,AS114)</f>
        <v>2079277.5</v>
      </c>
      <c r="AU114" s="250">
        <v>1509278</v>
      </c>
      <c r="AV114" s="250"/>
      <c r="AW114" s="250"/>
      <c r="AX114" s="250"/>
      <c r="AY114" s="250"/>
      <c r="AZ114" s="250"/>
      <c r="BA114" s="250"/>
      <c r="BB114" s="251">
        <f t="shared" si="74"/>
        <v>-569999.5</v>
      </c>
      <c r="BC114" s="169"/>
      <c r="BD114" s="169"/>
      <c r="BE114" s="169"/>
      <c r="BF114" s="169"/>
    </row>
    <row r="115" spans="1:58" ht="31.5" outlineLevel="2" x14ac:dyDescent="0.25">
      <c r="A115" s="115"/>
      <c r="B115" s="200"/>
      <c r="C115" s="201"/>
      <c r="D115" s="203"/>
      <c r="E115" s="323"/>
      <c r="F115" s="308"/>
      <c r="G115" s="309"/>
      <c r="H115" s="199" t="s">
        <v>279</v>
      </c>
      <c r="I115" s="130"/>
      <c r="J115" s="126"/>
      <c r="K115" s="126"/>
      <c r="L115" s="125" t="str">
        <f>IF(I115&lt;&gt;0,((VLOOKUP(I115,'1. Standard_Cost'!$B$4:$D$11,2)+VLOOKUP(I115,'1. Standard_Cost'!$B$4:$D$11,3))*J115*K115),"0")</f>
        <v>0</v>
      </c>
      <c r="M115" s="125">
        <f>L115*'1. Standard_Cost'!$F$4</f>
        <v>0</v>
      </c>
      <c r="N115" s="126"/>
      <c r="O115" s="126"/>
      <c r="P115" s="126"/>
      <c r="Q115" s="126"/>
      <c r="R115" s="127">
        <f>'1. Standard_Cost'!$B$15*N115*P115</f>
        <v>0</v>
      </c>
      <c r="S115" s="127">
        <f>N115*O115*P115*'1. Standard_Cost'!$C$15</f>
        <v>0</v>
      </c>
      <c r="T115" s="127">
        <f>N115*P115*Q115*'1. Standard_Cost'!$D$15</f>
        <v>0</v>
      </c>
      <c r="U115" s="127">
        <f>N115*O115*'1. Standard_Cost'!$E$15</f>
        <v>0</v>
      </c>
      <c r="V115" s="126"/>
      <c r="W115" s="126"/>
      <c r="X115" s="126"/>
      <c r="Y115" s="127">
        <f>+V115*((X115*'1. Standard_Cost'!$B$19)+(W115*X115*'1. Standard_Cost'!$C$19))</f>
        <v>0</v>
      </c>
      <c r="Z115" s="126"/>
      <c r="AA115" s="126"/>
      <c r="AB115" s="127">
        <f>+Z115*'1. Standard_Cost'!$B$23+AA115*'1. Standard_Cost'!$C$23</f>
        <v>0</v>
      </c>
      <c r="AC115" s="128"/>
      <c r="AD115" s="129"/>
      <c r="AE115" s="127">
        <f>SUM(AD115,AC115,AB115,Y115,U115,T115,S115,R115)*'1. Standard_Cost'!$B$31</f>
        <v>0</v>
      </c>
      <c r="AF115" s="127">
        <f>SUM(AE115,AD115,AC115,AB115,Y115,U115,T115,S115,R115)</f>
        <v>0</v>
      </c>
      <c r="AG115" s="126"/>
      <c r="AH115" s="126"/>
      <c r="AI115" s="126"/>
      <c r="AJ115" s="130"/>
      <c r="AK115" s="130"/>
      <c r="AL115" s="130"/>
      <c r="AM115" s="127">
        <f>AG115*'1. Standard_Cost'!$B$27+'Incremental_Cost Year 6'!AH115*'1. Standard_Cost'!$C$27+'Incremental_Cost Year 6'!AI115*'1. Standard_Cost'!$D$27+'Incremental_Cost Year 6'!AJ115+'Incremental_Cost Year 6'!AL115+AK115</f>
        <v>0</v>
      </c>
      <c r="AN115" s="127">
        <f>AM115*'1. Standard_Cost'!$C$31</f>
        <v>0</v>
      </c>
      <c r="AO115" s="130"/>
      <c r="AQ115" s="171">
        <f>L115+M115</f>
        <v>0</v>
      </c>
      <c r="AR115" s="171">
        <f>AF115</f>
        <v>0</v>
      </c>
      <c r="AS115" s="171">
        <f>AM115+AN115</f>
        <v>0</v>
      </c>
      <c r="AT115" s="171">
        <f>SUM(AQ115,AR115,AS115)</f>
        <v>0</v>
      </c>
      <c r="AU115" s="250"/>
      <c r="AV115" s="250"/>
      <c r="AW115" s="250"/>
      <c r="AX115" s="250"/>
      <c r="AY115" s="250"/>
      <c r="AZ115" s="250"/>
      <c r="BA115" s="250"/>
      <c r="BB115" s="251">
        <f t="shared" si="74"/>
        <v>0</v>
      </c>
      <c r="BC115" s="169"/>
      <c r="BD115" s="169"/>
      <c r="BE115" s="169"/>
      <c r="BF115" s="169"/>
    </row>
    <row r="116" spans="1:58" ht="47.25" outlineLevel="2" x14ac:dyDescent="0.25">
      <c r="A116" s="115"/>
      <c r="B116" s="200"/>
      <c r="C116" s="201"/>
      <c r="D116" s="211"/>
      <c r="E116" s="322"/>
      <c r="F116" s="311"/>
      <c r="G116" s="312"/>
      <c r="H116" s="199" t="s">
        <v>442</v>
      </c>
      <c r="I116" s="130"/>
      <c r="J116" s="126"/>
      <c r="K116" s="126"/>
      <c r="L116" s="125" t="str">
        <f>IF(I116&lt;&gt;0,((VLOOKUP(I116,'1. Standard_Cost'!$B$4:$D$11,2)+VLOOKUP(I116,'1. Standard_Cost'!$B$4:$D$11,3))*J116*K116),"0")</f>
        <v>0</v>
      </c>
      <c r="M116" s="125">
        <f>L116*'1. Standard_Cost'!$F$4</f>
        <v>0</v>
      </c>
      <c r="N116" s="126"/>
      <c r="O116" s="126"/>
      <c r="P116" s="126"/>
      <c r="Q116" s="126"/>
      <c r="R116" s="127">
        <f>'1. Standard_Cost'!$B$15*N116*P116</f>
        <v>0</v>
      </c>
      <c r="S116" s="127">
        <f>N116*O116*P116*'1. Standard_Cost'!$C$15</f>
        <v>0</v>
      </c>
      <c r="T116" s="127">
        <f>N116*P116*Q116*'1. Standard_Cost'!$D$15</f>
        <v>0</v>
      </c>
      <c r="U116" s="127">
        <f>N116*O116*'1. Standard_Cost'!$E$15</f>
        <v>0</v>
      </c>
      <c r="V116" s="126"/>
      <c r="W116" s="126"/>
      <c r="X116" s="126"/>
      <c r="Y116" s="127">
        <f>+V116*((X116*'1. Standard_Cost'!$B$19)+(W116*X116*'1. Standard_Cost'!$C$19))</f>
        <v>0</v>
      </c>
      <c r="Z116" s="126"/>
      <c r="AA116" s="126"/>
      <c r="AB116" s="127">
        <f>+Z116*'1. Standard_Cost'!$B$23+AA116*'1. Standard_Cost'!$C$23</f>
        <v>0</v>
      </c>
      <c r="AC116" s="128"/>
      <c r="AD116" s="129"/>
      <c r="AE116" s="127">
        <f>SUM(AD116,AC116,AB116,Y116,U116,T116,S116,R116)*'1. Standard_Cost'!$B$31</f>
        <v>0</v>
      </c>
      <c r="AF116" s="127">
        <f>SUM(AE116,AD116,AC116,AB116,Y116,U116,T116,S116,R116)</f>
        <v>0</v>
      </c>
      <c r="AG116" s="126"/>
      <c r="AH116" s="126"/>
      <c r="AI116" s="126"/>
      <c r="AJ116" s="130"/>
      <c r="AK116" s="130"/>
      <c r="AL116" s="130"/>
      <c r="AM116" s="127">
        <f>AG116*'1. Standard_Cost'!$B$27+'Incremental_Cost Year 6'!AH116*'1. Standard_Cost'!$C$27+'Incremental_Cost Year 6'!AI116*'1. Standard_Cost'!$D$27+'Incremental_Cost Year 6'!AJ116+'Incremental_Cost Year 6'!AL116+AK116</f>
        <v>0</v>
      </c>
      <c r="AN116" s="127">
        <f>AM116*'1. Standard_Cost'!$C$31</f>
        <v>0</v>
      </c>
      <c r="AO116" s="130"/>
      <c r="AQ116" s="171">
        <f>L116+M116</f>
        <v>0</v>
      </c>
      <c r="AR116" s="171">
        <f>AF116</f>
        <v>0</v>
      </c>
      <c r="AS116" s="171">
        <f>AM116+AN116</f>
        <v>0</v>
      </c>
      <c r="AT116" s="171">
        <f>SUM(AQ116,AR116,AS116)</f>
        <v>0</v>
      </c>
      <c r="AU116" s="250"/>
      <c r="AV116" s="250"/>
      <c r="AW116" s="250"/>
      <c r="AX116" s="250"/>
      <c r="AY116" s="250"/>
      <c r="AZ116" s="250"/>
      <c r="BA116" s="250"/>
      <c r="BB116" s="251">
        <f t="shared" si="74"/>
        <v>0</v>
      </c>
      <c r="BC116" s="169"/>
      <c r="BD116" s="169"/>
      <c r="BE116" s="169"/>
      <c r="BF116" s="169"/>
    </row>
    <row r="117" spans="1:58" ht="47.25" outlineLevel="1" x14ac:dyDescent="0.25">
      <c r="A117" s="115"/>
      <c r="B117" s="165"/>
      <c r="C117" s="166"/>
      <c r="D117" s="229" t="s">
        <v>432</v>
      </c>
      <c r="E117" s="212" t="s">
        <v>280</v>
      </c>
      <c r="F117" s="136">
        <v>2021</v>
      </c>
      <c r="G117" s="117">
        <v>2030</v>
      </c>
      <c r="H117" s="110" t="s">
        <v>281</v>
      </c>
      <c r="I117" s="252"/>
      <c r="J117" s="252"/>
      <c r="K117" s="252"/>
      <c r="L117" s="127">
        <f>SUM(L112:L116)</f>
        <v>2562100</v>
      </c>
      <c r="M117" s="127">
        <f>SUM(M112:M116)</f>
        <v>427870.7</v>
      </c>
      <c r="N117" s="127"/>
      <c r="O117" s="252"/>
      <c r="P117" s="252"/>
      <c r="Q117" s="252"/>
      <c r="R117" s="127">
        <f>SUM(R112:R116)</f>
        <v>0</v>
      </c>
      <c r="S117" s="127">
        <f>SUM(S112:S116)</f>
        <v>0</v>
      </c>
      <c r="T117" s="127">
        <f>SUM(T112:T116)</f>
        <v>0</v>
      </c>
      <c r="U117" s="127">
        <f>SUM(U112:U116)</f>
        <v>0</v>
      </c>
      <c r="V117" s="252"/>
      <c r="W117" s="252"/>
      <c r="X117" s="252"/>
      <c r="Y117" s="127">
        <f>SUM(Y112:Y116)</f>
        <v>0</v>
      </c>
      <c r="Z117" s="252"/>
      <c r="AA117" s="252"/>
      <c r="AB117" s="127">
        <f>SUM(AB112:AB116)</f>
        <v>475000</v>
      </c>
      <c r="AC117" s="127">
        <f>SUM(AC112:AC116)</f>
        <v>358920</v>
      </c>
      <c r="AD117" s="127">
        <f>SUM(AD112:AD116)</f>
        <v>0</v>
      </c>
      <c r="AE117" s="127">
        <f>SUM(AE112:AE116)</f>
        <v>166784</v>
      </c>
      <c r="AF117" s="127">
        <f>SUM(AF112:AF116)</f>
        <v>1000704</v>
      </c>
      <c r="AG117" s="252"/>
      <c r="AH117" s="252"/>
      <c r="AI117" s="252"/>
      <c r="AJ117" s="127">
        <f>SUM(AJ112:AJ116)</f>
        <v>0</v>
      </c>
      <c r="AK117" s="127">
        <f>SUM(AK112:AK116)</f>
        <v>0</v>
      </c>
      <c r="AL117" s="127">
        <f>SUM(AL112:AL116)</f>
        <v>0</v>
      </c>
      <c r="AM117" s="127">
        <f>SUM(AM112:AM116)</f>
        <v>0</v>
      </c>
      <c r="AN117" s="127">
        <f>SUM(AN112:AN116)</f>
        <v>0</v>
      </c>
      <c r="AO117" s="253"/>
      <c r="AP117" s="254"/>
      <c r="AQ117" s="175">
        <f>SUM(AQ112:AQ116)</f>
        <v>2989970.7</v>
      </c>
      <c r="AR117" s="175">
        <f>SUM(AR112:AR116)</f>
        <v>1000704</v>
      </c>
      <c r="AS117" s="175">
        <f>SUM(AS112:AS116)</f>
        <v>0</v>
      </c>
      <c r="AT117" s="175">
        <f>SUM(AT112:AT116)</f>
        <v>3990674.7</v>
      </c>
      <c r="AU117" s="175">
        <f t="shared" ref="AU117:BB117" si="75">SUM(AU112:AU116)</f>
        <v>3420675</v>
      </c>
      <c r="AV117" s="175">
        <f t="shared" si="75"/>
        <v>0</v>
      </c>
      <c r="AW117" s="175">
        <f t="shared" si="75"/>
        <v>0</v>
      </c>
      <c r="AX117" s="175">
        <f t="shared" si="75"/>
        <v>0</v>
      </c>
      <c r="AY117" s="175">
        <f t="shared" si="75"/>
        <v>0</v>
      </c>
      <c r="AZ117" s="175">
        <f t="shared" si="75"/>
        <v>0</v>
      </c>
      <c r="BA117" s="175">
        <f t="shared" si="75"/>
        <v>0</v>
      </c>
      <c r="BB117" s="175">
        <f t="shared" si="75"/>
        <v>-569999.69999999995</v>
      </c>
      <c r="BC117" s="169"/>
      <c r="BD117" s="169"/>
      <c r="BE117" s="169"/>
      <c r="BF117" s="169"/>
    </row>
    <row r="118" spans="1:58" s="184" customFormat="1" ht="15.75" customHeight="1" x14ac:dyDescent="0.25">
      <c r="A118" s="143"/>
      <c r="B118" s="290"/>
      <c r="C118" s="391" t="s">
        <v>282</v>
      </c>
      <c r="D118" s="391"/>
      <c r="E118" s="392"/>
      <c r="F118" s="291"/>
      <c r="G118" s="291"/>
      <c r="H118" s="144" t="s">
        <v>266</v>
      </c>
      <c r="I118" s="257"/>
      <c r="J118" s="257"/>
      <c r="K118" s="257"/>
      <c r="L118" s="258">
        <f>SUM(L122)</f>
        <v>0</v>
      </c>
      <c r="M118" s="258">
        <f>SUM(M122)</f>
        <v>0</v>
      </c>
      <c r="N118" s="257"/>
      <c r="O118" s="257"/>
      <c r="P118" s="257"/>
      <c r="Q118" s="257"/>
      <c r="R118" s="258">
        <f>SUM(R122)</f>
        <v>0</v>
      </c>
      <c r="S118" s="258">
        <f>SUM(S122)</f>
        <v>0</v>
      </c>
      <c r="T118" s="258">
        <f>SUM(T122)</f>
        <v>0</v>
      </c>
      <c r="U118" s="258">
        <f>SUM(U122)</f>
        <v>0</v>
      </c>
      <c r="V118" s="257"/>
      <c r="W118" s="257"/>
      <c r="X118" s="257"/>
      <c r="Y118" s="258">
        <f>SUM(Y122)</f>
        <v>0</v>
      </c>
      <c r="Z118" s="258"/>
      <c r="AA118" s="258"/>
      <c r="AB118" s="258">
        <f>SUM(AB122)</f>
        <v>0</v>
      </c>
      <c r="AC118" s="258">
        <f>SUM(AC122)</f>
        <v>0</v>
      </c>
      <c r="AD118" s="258">
        <f>SUM(AD122)</f>
        <v>0</v>
      </c>
      <c r="AE118" s="258">
        <f>SUM(AE122)</f>
        <v>0</v>
      </c>
      <c r="AF118" s="258">
        <f>SUM(AF122)</f>
        <v>0</v>
      </c>
      <c r="AG118" s="257"/>
      <c r="AH118" s="257"/>
      <c r="AI118" s="257"/>
      <c r="AJ118" s="258">
        <f>SUM(AJ122)</f>
        <v>0</v>
      </c>
      <c r="AK118" s="258">
        <f>SUM(AK122)</f>
        <v>0</v>
      </c>
      <c r="AL118" s="258">
        <f>SUM(AL122)</f>
        <v>0</v>
      </c>
      <c r="AM118" s="258">
        <f>SUM(AM122)</f>
        <v>0</v>
      </c>
      <c r="AN118" s="258">
        <f>SUM(AN122)</f>
        <v>0</v>
      </c>
      <c r="AO118" s="259"/>
      <c r="AP118" s="260"/>
      <c r="AQ118" s="261">
        <f>SUM(AQ122)</f>
        <v>0</v>
      </c>
      <c r="AR118" s="261">
        <f>SUM(AR122)</f>
        <v>0</v>
      </c>
      <c r="AS118" s="261">
        <f>SUM(AS122)</f>
        <v>0</v>
      </c>
      <c r="AT118" s="261">
        <f>SUM(AT122)</f>
        <v>0</v>
      </c>
      <c r="AU118" s="261">
        <f t="shared" ref="AU118:BA118" si="76">SUM(AU122)</f>
        <v>0</v>
      </c>
      <c r="AV118" s="261">
        <f t="shared" si="76"/>
        <v>0</v>
      </c>
      <c r="AW118" s="261">
        <f t="shared" si="76"/>
        <v>0</v>
      </c>
      <c r="AX118" s="261">
        <f t="shared" si="76"/>
        <v>0</v>
      </c>
      <c r="AY118" s="261">
        <f t="shared" si="76"/>
        <v>0</v>
      </c>
      <c r="AZ118" s="261">
        <f t="shared" si="76"/>
        <v>0</v>
      </c>
      <c r="BA118" s="261">
        <f t="shared" si="76"/>
        <v>0</v>
      </c>
      <c r="BB118" s="261">
        <f>SUM(BB122)</f>
        <v>0</v>
      </c>
    </row>
    <row r="119" spans="1:58" ht="94.5" outlineLevel="2" x14ac:dyDescent="0.25">
      <c r="A119" s="115"/>
      <c r="B119" s="200"/>
      <c r="C119" s="201"/>
      <c r="D119" s="348"/>
      <c r="E119" s="321"/>
      <c r="F119" s="306"/>
      <c r="G119" s="307"/>
      <c r="H119" s="199" t="s">
        <v>443</v>
      </c>
      <c r="I119" s="130"/>
      <c r="J119" s="126"/>
      <c r="K119" s="126"/>
      <c r="L119" s="125" t="str">
        <f>IF(I119&lt;&gt;0,((VLOOKUP(I119,'1. Standard_Cost'!$B$4:$D$11,2)+VLOOKUP(I119,'1. Standard_Cost'!$B$4:$D$11,3))*J119*K119),"0")</f>
        <v>0</v>
      </c>
      <c r="M119" s="125">
        <f>L119*'1. Standard_Cost'!$F$4</f>
        <v>0</v>
      </c>
      <c r="N119" s="126"/>
      <c r="O119" s="126"/>
      <c r="P119" s="126"/>
      <c r="Q119" s="126"/>
      <c r="R119" s="127">
        <f>'1. Standard_Cost'!$B$15*N119*P119</f>
        <v>0</v>
      </c>
      <c r="S119" s="127">
        <f>N119*O119*P119*'1. Standard_Cost'!$C$15</f>
        <v>0</v>
      </c>
      <c r="T119" s="127">
        <f>N119*P119*Q119*'1. Standard_Cost'!$D$15</f>
        <v>0</v>
      </c>
      <c r="U119" s="127">
        <f>N119*O119*'1. Standard_Cost'!$E$15</f>
        <v>0</v>
      </c>
      <c r="V119" s="126"/>
      <c r="W119" s="126"/>
      <c r="X119" s="126"/>
      <c r="Y119" s="127">
        <f>+V119*((X119*'1. Standard_Cost'!$B$19)+(W119*X119*'1. Standard_Cost'!$C$19))</f>
        <v>0</v>
      </c>
      <c r="Z119" s="126"/>
      <c r="AA119" s="126"/>
      <c r="AB119" s="127">
        <f>+Z119*'1. Standard_Cost'!$B$23+AA119*'1. Standard_Cost'!$C$23</f>
        <v>0</v>
      </c>
      <c r="AC119" s="128"/>
      <c r="AD119" s="129"/>
      <c r="AE119" s="127">
        <f>SUM(AD119,AC119,AB119,Y119,U119,T119,S119,R119)*'1. Standard_Cost'!$B$31</f>
        <v>0</v>
      </c>
      <c r="AF119" s="127">
        <f>SUM(AE119,AD119,AC119,AB119,Y119,U119,T119,S119,R119)</f>
        <v>0</v>
      </c>
      <c r="AG119" s="126"/>
      <c r="AH119" s="126"/>
      <c r="AI119" s="126"/>
      <c r="AJ119" s="130"/>
      <c r="AK119" s="130"/>
      <c r="AL119" s="130"/>
      <c r="AM119" s="127">
        <f>AG119*'1. Standard_Cost'!$B$27+'Incremental_Cost Year 6'!AH119*'1. Standard_Cost'!$C$27+'Incremental_Cost Year 6'!AI119*'1. Standard_Cost'!$D$27+'Incremental_Cost Year 6'!AJ119+'Incremental_Cost Year 6'!AL119+AK119</f>
        <v>0</v>
      </c>
      <c r="AN119" s="127">
        <f>AM119*'1. Standard_Cost'!$C$31</f>
        <v>0</v>
      </c>
      <c r="AO119" s="130"/>
      <c r="AQ119" s="171">
        <f>L119+M119</f>
        <v>0</v>
      </c>
      <c r="AR119" s="171">
        <f>AF119</f>
        <v>0</v>
      </c>
      <c r="AS119" s="171">
        <f>AM119+AN119</f>
        <v>0</v>
      </c>
      <c r="AT119" s="171">
        <f>SUM(AQ119,AR119,AS119)</f>
        <v>0</v>
      </c>
      <c r="AU119" s="250"/>
      <c r="AV119" s="250"/>
      <c r="AW119" s="250"/>
      <c r="AX119" s="250"/>
      <c r="AY119" s="250"/>
      <c r="AZ119" s="250"/>
      <c r="BA119" s="250"/>
      <c r="BB119" s="251">
        <f t="shared" ref="BB119:BB121" si="77">SUM(AU119:BA119)-AT119</f>
        <v>0</v>
      </c>
      <c r="BC119" s="169"/>
      <c r="BD119" s="169"/>
      <c r="BE119" s="169"/>
      <c r="BF119" s="169"/>
    </row>
    <row r="120" spans="1:58" ht="110.25" outlineLevel="2" x14ac:dyDescent="0.25">
      <c r="A120" s="115"/>
      <c r="B120" s="200"/>
      <c r="C120" s="201"/>
      <c r="D120" s="132"/>
      <c r="E120" s="323"/>
      <c r="F120" s="308"/>
      <c r="G120" s="309"/>
      <c r="H120" s="199" t="s">
        <v>444</v>
      </c>
      <c r="I120" s="130"/>
      <c r="J120" s="126"/>
      <c r="K120" s="126"/>
      <c r="L120" s="125" t="str">
        <f>IF(I120&lt;&gt;0,((VLOOKUP(I120,'1. Standard_Cost'!$B$4:$D$11,2)+VLOOKUP(I120,'1. Standard_Cost'!$B$4:$D$11,3))*J120*K120),"0")</f>
        <v>0</v>
      </c>
      <c r="M120" s="125">
        <f>L120*'1. Standard_Cost'!$F$4</f>
        <v>0</v>
      </c>
      <c r="N120" s="126"/>
      <c r="O120" s="126"/>
      <c r="P120" s="126"/>
      <c r="Q120" s="126"/>
      <c r="R120" s="127">
        <f>'1. Standard_Cost'!$B$15*N120*P120</f>
        <v>0</v>
      </c>
      <c r="S120" s="127">
        <f>N120*O120*P120*'1. Standard_Cost'!$C$15</f>
        <v>0</v>
      </c>
      <c r="T120" s="127">
        <f>N120*P120*Q120*'1. Standard_Cost'!$D$15</f>
        <v>0</v>
      </c>
      <c r="U120" s="127">
        <f>N120*O120*'1. Standard_Cost'!$E$15</f>
        <v>0</v>
      </c>
      <c r="V120" s="126"/>
      <c r="W120" s="126"/>
      <c r="X120" s="126"/>
      <c r="Y120" s="127">
        <f>+V120*((X120*'1. Standard_Cost'!$B$19)+(W120*X120*'1. Standard_Cost'!$C$19))</f>
        <v>0</v>
      </c>
      <c r="Z120" s="126"/>
      <c r="AA120" s="126"/>
      <c r="AB120" s="127">
        <f>+Z120*'1. Standard_Cost'!$B$23+AA120*'1. Standard_Cost'!$C$23</f>
        <v>0</v>
      </c>
      <c r="AC120" s="128"/>
      <c r="AD120" s="129"/>
      <c r="AE120" s="127">
        <f>SUM(AD120,AC120,AB120,Y120,U120,T120,S120,R120)*'1. Standard_Cost'!$B$31</f>
        <v>0</v>
      </c>
      <c r="AF120" s="127">
        <f>SUM(AE120,AD120,AC120,AB120,Y120,U120,T120,S120,R120)</f>
        <v>0</v>
      </c>
      <c r="AG120" s="126"/>
      <c r="AH120" s="126"/>
      <c r="AI120" s="126"/>
      <c r="AJ120" s="130"/>
      <c r="AK120" s="130"/>
      <c r="AL120" s="130"/>
      <c r="AM120" s="127">
        <f>AG120*'1. Standard_Cost'!$B$27+'Incremental_Cost Year 6'!AH120*'1. Standard_Cost'!$C$27+'Incremental_Cost Year 6'!AI120*'1. Standard_Cost'!$D$27+'Incremental_Cost Year 6'!AJ120+'Incremental_Cost Year 6'!AL120+AK120</f>
        <v>0</v>
      </c>
      <c r="AN120" s="127">
        <f>AM120*'1. Standard_Cost'!$C$31</f>
        <v>0</v>
      </c>
      <c r="AO120" s="130"/>
      <c r="AQ120" s="171">
        <f>L120+M120</f>
        <v>0</v>
      </c>
      <c r="AR120" s="171">
        <f>AF120</f>
        <v>0</v>
      </c>
      <c r="AS120" s="171">
        <f>AM120+AN120</f>
        <v>0</v>
      </c>
      <c r="AT120" s="171">
        <f>SUM(AQ120,AR120,AS120)</f>
        <v>0</v>
      </c>
      <c r="AU120" s="250"/>
      <c r="AV120" s="250"/>
      <c r="AW120" s="250"/>
      <c r="AX120" s="250"/>
      <c r="AY120" s="250"/>
      <c r="AZ120" s="250"/>
      <c r="BA120" s="250"/>
      <c r="BB120" s="251">
        <f t="shared" si="77"/>
        <v>0</v>
      </c>
      <c r="BC120" s="169"/>
      <c r="BD120" s="169"/>
      <c r="BE120" s="169"/>
      <c r="BF120" s="169"/>
    </row>
    <row r="121" spans="1:58" ht="110.25" outlineLevel="2" x14ac:dyDescent="0.25">
      <c r="A121" s="115"/>
      <c r="B121" s="200"/>
      <c r="C121" s="201"/>
      <c r="D121" s="349"/>
      <c r="E121" s="322"/>
      <c r="F121" s="311"/>
      <c r="G121" s="312"/>
      <c r="H121" s="199" t="s">
        <v>445</v>
      </c>
      <c r="I121" s="130"/>
      <c r="J121" s="126"/>
      <c r="K121" s="126"/>
      <c r="L121" s="125" t="str">
        <f>IF(I121&lt;&gt;0,((VLOOKUP(I121,'1. Standard_Cost'!$B$4:$D$11,2)+VLOOKUP(I121,'1. Standard_Cost'!$B$4:$D$11,3))*J121*K121),"0")</f>
        <v>0</v>
      </c>
      <c r="M121" s="125">
        <f>L121*'1. Standard_Cost'!$F$4</f>
        <v>0</v>
      </c>
      <c r="N121" s="126"/>
      <c r="O121" s="126"/>
      <c r="P121" s="126"/>
      <c r="Q121" s="126"/>
      <c r="R121" s="127">
        <f>'1. Standard_Cost'!$B$15*N121*P121</f>
        <v>0</v>
      </c>
      <c r="S121" s="127">
        <f>N121*O121*P121*'1. Standard_Cost'!$C$15</f>
        <v>0</v>
      </c>
      <c r="T121" s="127">
        <f>N121*P121*Q121*'1. Standard_Cost'!$D$15</f>
        <v>0</v>
      </c>
      <c r="U121" s="127">
        <f>N121*O121*'1. Standard_Cost'!$E$15</f>
        <v>0</v>
      </c>
      <c r="V121" s="126"/>
      <c r="W121" s="126"/>
      <c r="X121" s="126"/>
      <c r="Y121" s="127">
        <f>+V121*((X121*'1. Standard_Cost'!$B$19)+(W121*X121*'1. Standard_Cost'!$C$19))</f>
        <v>0</v>
      </c>
      <c r="Z121" s="126"/>
      <c r="AA121" s="126"/>
      <c r="AB121" s="127">
        <f>+Z121*'1. Standard_Cost'!$B$23+AA121*'1. Standard_Cost'!$C$23</f>
        <v>0</v>
      </c>
      <c r="AC121" s="128"/>
      <c r="AD121" s="129"/>
      <c r="AE121" s="127">
        <f>SUM(AD121,AC121,AB121,Y121,U121,T121,S121,R121)*'1. Standard_Cost'!$B$31</f>
        <v>0</v>
      </c>
      <c r="AF121" s="127">
        <f>SUM(AE121,AD121,AC121,AB121,Y121,U121,T121,S121,R121)</f>
        <v>0</v>
      </c>
      <c r="AG121" s="126"/>
      <c r="AH121" s="126"/>
      <c r="AI121" s="126"/>
      <c r="AJ121" s="130"/>
      <c r="AK121" s="130"/>
      <c r="AL121" s="130"/>
      <c r="AM121" s="127">
        <f>AG121*'1. Standard_Cost'!$B$27+'Incremental_Cost Year 6'!AH121*'1. Standard_Cost'!$C$27+'Incremental_Cost Year 6'!AI121*'1. Standard_Cost'!$D$27+'Incremental_Cost Year 6'!AJ121+'Incremental_Cost Year 6'!AL121+AK121</f>
        <v>0</v>
      </c>
      <c r="AN121" s="127">
        <f>AM121*'1. Standard_Cost'!$C$31</f>
        <v>0</v>
      </c>
      <c r="AO121" s="130"/>
      <c r="AQ121" s="171">
        <f>L121+M121</f>
        <v>0</v>
      </c>
      <c r="AR121" s="171">
        <f>AF121</f>
        <v>0</v>
      </c>
      <c r="AS121" s="171">
        <f>AM121+AN121</f>
        <v>0</v>
      </c>
      <c r="AT121" s="171">
        <f>SUM(AQ121,AR121,AS121)</f>
        <v>0</v>
      </c>
      <c r="AU121" s="250"/>
      <c r="AV121" s="250"/>
      <c r="AW121" s="250"/>
      <c r="AX121" s="250"/>
      <c r="AY121" s="250"/>
      <c r="AZ121" s="250"/>
      <c r="BA121" s="250"/>
      <c r="BB121" s="251">
        <f t="shared" si="77"/>
        <v>0</v>
      </c>
      <c r="BC121" s="169"/>
      <c r="BD121" s="169"/>
      <c r="BE121" s="169"/>
      <c r="BF121" s="169"/>
    </row>
    <row r="122" spans="1:58" ht="63" outlineLevel="1" x14ac:dyDescent="0.25">
      <c r="A122" s="115"/>
      <c r="B122" s="200"/>
      <c r="C122" s="201"/>
      <c r="D122" s="146" t="s">
        <v>432</v>
      </c>
      <c r="E122" s="212" t="s">
        <v>283</v>
      </c>
      <c r="F122" s="136">
        <v>2022</v>
      </c>
      <c r="G122" s="117">
        <v>2025</v>
      </c>
      <c r="H122" s="110" t="s">
        <v>268</v>
      </c>
      <c r="I122" s="252"/>
      <c r="J122" s="252"/>
      <c r="K122" s="252"/>
      <c r="L122" s="127">
        <f>SUM(L119:L121)</f>
        <v>0</v>
      </c>
      <c r="M122" s="127">
        <f>SUM(M119:M121)</f>
        <v>0</v>
      </c>
      <c r="N122" s="127"/>
      <c r="O122" s="252"/>
      <c r="P122" s="252"/>
      <c r="Q122" s="252"/>
      <c r="R122" s="127">
        <f>SUM(R119:R121)</f>
        <v>0</v>
      </c>
      <c r="S122" s="127">
        <f>SUM(S119:S121)</f>
        <v>0</v>
      </c>
      <c r="T122" s="127">
        <f>SUM(T119:T121)</f>
        <v>0</v>
      </c>
      <c r="U122" s="127">
        <f>SUM(U119:U121)</f>
        <v>0</v>
      </c>
      <c r="V122" s="252"/>
      <c r="W122" s="252"/>
      <c r="X122" s="252"/>
      <c r="Y122" s="127">
        <f>SUM(Y119:Y121)</f>
        <v>0</v>
      </c>
      <c r="Z122" s="252"/>
      <c r="AA122" s="252"/>
      <c r="AB122" s="127">
        <f>SUM(AB119:AB121)</f>
        <v>0</v>
      </c>
      <c r="AC122" s="127">
        <f>SUM(AC119:AC121)</f>
        <v>0</v>
      </c>
      <c r="AD122" s="127">
        <f>SUM(AD119:AD121)</f>
        <v>0</v>
      </c>
      <c r="AE122" s="127">
        <f>SUM(AE119:AE121)</f>
        <v>0</v>
      </c>
      <c r="AF122" s="127">
        <f>SUM(AF119:AF121)</f>
        <v>0</v>
      </c>
      <c r="AG122" s="252"/>
      <c r="AH122" s="252"/>
      <c r="AI122" s="252"/>
      <c r="AJ122" s="127">
        <f>SUM(AJ119:AJ121)</f>
        <v>0</v>
      </c>
      <c r="AK122" s="127">
        <f>SUM(AK119:AK121)</f>
        <v>0</v>
      </c>
      <c r="AL122" s="127">
        <f>SUM(AL119:AL121)</f>
        <v>0</v>
      </c>
      <c r="AM122" s="127">
        <f>SUM(AM119:AM121)</f>
        <v>0</v>
      </c>
      <c r="AN122" s="127">
        <f>SUM(AN119:AN121)</f>
        <v>0</v>
      </c>
      <c r="AO122" s="253"/>
      <c r="AP122" s="254"/>
      <c r="AQ122" s="175">
        <f>SUM(AQ119:AQ121)</f>
        <v>0</v>
      </c>
      <c r="AR122" s="175">
        <f>SUM(AR119:AR121)</f>
        <v>0</v>
      </c>
      <c r="AS122" s="175">
        <f>SUM(AS119:AS121)</f>
        <v>0</v>
      </c>
      <c r="AT122" s="175">
        <f>SUM(AT119:AT121)</f>
        <v>0</v>
      </c>
      <c r="AU122" s="175">
        <f t="shared" ref="AU122:BB122" si="78">SUM(AU119:AU121)</f>
        <v>0</v>
      </c>
      <c r="AV122" s="175">
        <f t="shared" si="78"/>
        <v>0</v>
      </c>
      <c r="AW122" s="175">
        <f t="shared" si="78"/>
        <v>0</v>
      </c>
      <c r="AX122" s="175">
        <f t="shared" si="78"/>
        <v>0</v>
      </c>
      <c r="AY122" s="175">
        <f t="shared" si="78"/>
        <v>0</v>
      </c>
      <c r="AZ122" s="175">
        <f t="shared" si="78"/>
        <v>0</v>
      </c>
      <c r="BA122" s="175">
        <f t="shared" si="78"/>
        <v>0</v>
      </c>
      <c r="BB122" s="175">
        <f t="shared" si="78"/>
        <v>0</v>
      </c>
      <c r="BC122" s="169"/>
      <c r="BD122" s="169"/>
      <c r="BE122" s="169"/>
      <c r="BF122" s="169"/>
    </row>
    <row r="123" spans="1:58" s="184" customFormat="1" ht="15.75" customHeight="1" x14ac:dyDescent="0.25">
      <c r="A123" s="143"/>
      <c r="B123" s="290"/>
      <c r="C123" s="391" t="s">
        <v>287</v>
      </c>
      <c r="D123" s="391"/>
      <c r="E123" s="392"/>
      <c r="F123" s="291"/>
      <c r="G123" s="289"/>
      <c r="H123" s="144" t="s">
        <v>288</v>
      </c>
      <c r="I123" s="257"/>
      <c r="J123" s="257"/>
      <c r="K123" s="257"/>
      <c r="L123" s="258">
        <f>SUM(L133)</f>
        <v>64119942.857142858</v>
      </c>
      <c r="M123" s="258">
        <f>SUM(M133)</f>
        <v>10708030.457142858</v>
      </c>
      <c r="N123" s="257"/>
      <c r="O123" s="257"/>
      <c r="P123" s="257"/>
      <c r="Q123" s="257"/>
      <c r="R123" s="258">
        <f>SUM(R133)</f>
        <v>0</v>
      </c>
      <c r="S123" s="258">
        <f>SUM(S133)</f>
        <v>0</v>
      </c>
      <c r="T123" s="258">
        <f>SUM(T133)</f>
        <v>0</v>
      </c>
      <c r="U123" s="258">
        <f>SUM(U133)</f>
        <v>0</v>
      </c>
      <c r="V123" s="257"/>
      <c r="W123" s="257"/>
      <c r="X123" s="257"/>
      <c r="Y123" s="258">
        <f>SUM(Y133)</f>
        <v>0</v>
      </c>
      <c r="Z123" s="258"/>
      <c r="AA123" s="258"/>
      <c r="AB123" s="258">
        <f>SUM(AB133)</f>
        <v>0</v>
      </c>
      <c r="AC123" s="258">
        <f>SUM(AC133)</f>
        <v>10872553</v>
      </c>
      <c r="AD123" s="258">
        <f>SUM(AD133)</f>
        <v>0</v>
      </c>
      <c r="AE123" s="258">
        <f>SUM(AE133)</f>
        <v>2174510.6</v>
      </c>
      <c r="AF123" s="258">
        <f>SUM(AF133)</f>
        <v>13047063.6</v>
      </c>
      <c r="AG123" s="257"/>
      <c r="AH123" s="257"/>
      <c r="AI123" s="257"/>
      <c r="AJ123" s="258">
        <f>SUM(AJ133)</f>
        <v>0</v>
      </c>
      <c r="AK123" s="258">
        <f>SUM(AK133)</f>
        <v>0</v>
      </c>
      <c r="AL123" s="258">
        <f>SUM(AL133)</f>
        <v>0</v>
      </c>
      <c r="AM123" s="258">
        <f>SUM(AM133)</f>
        <v>0</v>
      </c>
      <c r="AN123" s="258">
        <f>SUM(AN133)</f>
        <v>0</v>
      </c>
      <c r="AO123" s="259"/>
      <c r="AP123" s="260"/>
      <c r="AQ123" s="261">
        <f>SUM(AQ133)</f>
        <v>74827973.314285725</v>
      </c>
      <c r="AR123" s="261">
        <f>SUM(AR133)</f>
        <v>13047063.6</v>
      </c>
      <c r="AS123" s="261">
        <f>SUM(AS133)</f>
        <v>0</v>
      </c>
      <c r="AT123" s="261">
        <f>SUM(AT133)</f>
        <v>87875036.914285704</v>
      </c>
      <c r="AU123" s="261">
        <f t="shared" ref="AU123:BB123" si="79">SUM(AU133)</f>
        <v>87875038</v>
      </c>
      <c r="AV123" s="261">
        <f t="shared" si="79"/>
        <v>0</v>
      </c>
      <c r="AW123" s="261">
        <f t="shared" si="79"/>
        <v>0</v>
      </c>
      <c r="AX123" s="261">
        <f t="shared" si="79"/>
        <v>0</v>
      </c>
      <c r="AY123" s="261">
        <f t="shared" si="79"/>
        <v>0</v>
      </c>
      <c r="AZ123" s="261">
        <f t="shared" si="79"/>
        <v>0</v>
      </c>
      <c r="BA123" s="261">
        <f t="shared" si="79"/>
        <v>0</v>
      </c>
      <c r="BB123" s="261">
        <f t="shared" si="79"/>
        <v>1.0857142880558968</v>
      </c>
    </row>
    <row r="124" spans="1:58" ht="78.75" outlineLevel="2" x14ac:dyDescent="0.25">
      <c r="A124" s="115"/>
      <c r="B124" s="200"/>
      <c r="C124" s="201"/>
      <c r="D124" s="346"/>
      <c r="E124" s="321"/>
      <c r="F124" s="306"/>
      <c r="G124" s="307"/>
      <c r="H124" s="199" t="s">
        <v>549</v>
      </c>
      <c r="I124" s="130"/>
      <c r="J124" s="126"/>
      <c r="K124" s="126"/>
      <c r="L124" s="125" t="str">
        <f>IF(I124&lt;&gt;0,((VLOOKUP(I124,'1. Standard_Cost'!$B$4:$D$11,2)+VLOOKUP(I124,'1. Standard_Cost'!$B$4:$D$11,3))*J124*K124),"0")</f>
        <v>0</v>
      </c>
      <c r="M124" s="125">
        <f>L124*'1. Standard_Cost'!$F$4</f>
        <v>0</v>
      </c>
      <c r="N124" s="126"/>
      <c r="O124" s="126"/>
      <c r="P124" s="126"/>
      <c r="Q124" s="126"/>
      <c r="R124" s="127">
        <f>'1. Standard_Cost'!$B$15*N124*P124</f>
        <v>0</v>
      </c>
      <c r="S124" s="127">
        <f>N124*O124*P124*'1. Standard_Cost'!$C$15</f>
        <v>0</v>
      </c>
      <c r="T124" s="127">
        <f>N124*P124*Q124*'1. Standard_Cost'!$D$15</f>
        <v>0</v>
      </c>
      <c r="U124" s="127">
        <f>N124*O124*'1. Standard_Cost'!$E$15</f>
        <v>0</v>
      </c>
      <c r="V124" s="126"/>
      <c r="W124" s="126"/>
      <c r="X124" s="126"/>
      <c r="Y124" s="127">
        <f>+V124*((X124*'1. Standard_Cost'!$B$19)+(W124*X124*'1. Standard_Cost'!$C$19))</f>
        <v>0</v>
      </c>
      <c r="Z124" s="126"/>
      <c r="AA124" s="126"/>
      <c r="AB124" s="127">
        <f>+Z124*'1. Standard_Cost'!$B$23+AA124*'1. Standard_Cost'!$C$23</f>
        <v>0</v>
      </c>
      <c r="AC124" s="128"/>
      <c r="AD124" s="129"/>
      <c r="AE124" s="127">
        <f>SUM(AD124,AC124,AB124,Y124,U124,T124,S124,R124)*'1. Standard_Cost'!$B$31</f>
        <v>0</v>
      </c>
      <c r="AF124" s="127">
        <f t="shared" ref="AF124:AF132" si="80">SUM(AE124,AD124,AC124,AB124,Y124,U124,T124,S124,R124)</f>
        <v>0</v>
      </c>
      <c r="AG124" s="126"/>
      <c r="AH124" s="126"/>
      <c r="AI124" s="126"/>
      <c r="AJ124" s="130"/>
      <c r="AK124" s="130"/>
      <c r="AL124" s="130"/>
      <c r="AM124" s="127">
        <f>AG124*'1. Standard_Cost'!$B$27+'Incremental_Cost Year 6'!AH124*'1. Standard_Cost'!$C$27+'Incremental_Cost Year 6'!AI124*'1. Standard_Cost'!$D$27+'Incremental_Cost Year 6'!AJ124+'Incremental_Cost Year 6'!AL124+AK124</f>
        <v>0</v>
      </c>
      <c r="AN124" s="127">
        <f>AM124*'1. Standard_Cost'!$C$31</f>
        <v>0</v>
      </c>
      <c r="AO124" s="130"/>
      <c r="AQ124" s="171">
        <f t="shared" ref="AQ124:AQ132" si="81">L124+M124</f>
        <v>0</v>
      </c>
      <c r="AR124" s="171">
        <f t="shared" ref="AR124:AR132" si="82">AF124</f>
        <v>0</v>
      </c>
      <c r="AS124" s="171">
        <f t="shared" ref="AS124:AS132" si="83">AM124+AN124</f>
        <v>0</v>
      </c>
      <c r="AT124" s="171">
        <f t="shared" ref="AT124:AT132" si="84">SUM(AQ124,AR124,AS124)</f>
        <v>0</v>
      </c>
      <c r="AU124" s="250"/>
      <c r="AV124" s="250"/>
      <c r="AW124" s="250"/>
      <c r="AX124" s="250"/>
      <c r="AY124" s="250"/>
      <c r="AZ124" s="250"/>
      <c r="BA124" s="250"/>
      <c r="BB124" s="251">
        <f t="shared" ref="BB124:BB132" si="85">SUM(AU124:BA124)-AT124</f>
        <v>0</v>
      </c>
      <c r="BC124" s="169"/>
      <c r="BD124" s="169"/>
      <c r="BE124" s="169"/>
      <c r="BF124" s="169"/>
    </row>
    <row r="125" spans="1:58" ht="47.25" outlineLevel="2" x14ac:dyDescent="0.25">
      <c r="A125" s="115"/>
      <c r="B125" s="200"/>
      <c r="C125" s="201"/>
      <c r="D125" s="131"/>
      <c r="E125" s="323"/>
      <c r="F125" s="308"/>
      <c r="G125" s="309"/>
      <c r="H125" s="199" t="s">
        <v>446</v>
      </c>
      <c r="I125" s="130" t="s">
        <v>1</v>
      </c>
      <c r="J125" s="126">
        <v>12</v>
      </c>
      <c r="K125" s="126">
        <v>12</v>
      </c>
      <c r="L125" s="125">
        <f>IF(I125&lt;&gt;0,((VLOOKUP(I125,'1. Standard_Cost'!$B$4:$D$11,2)+VLOOKUP(I125,'1. Standard_Cost'!$B$4:$D$11,3))*J125*K125),"0")</f>
        <v>10338171.428571429</v>
      </c>
      <c r="M125" s="125">
        <f>L125*'1. Standard_Cost'!$F$4</f>
        <v>1726474.6285714288</v>
      </c>
      <c r="N125" s="126"/>
      <c r="O125" s="126"/>
      <c r="P125" s="126"/>
      <c r="Q125" s="126"/>
      <c r="R125" s="127">
        <f>'1. Standard_Cost'!$B$15*N125*P125</f>
        <v>0</v>
      </c>
      <c r="S125" s="127">
        <f>N125*O125*P125*'1. Standard_Cost'!$C$15</f>
        <v>0</v>
      </c>
      <c r="T125" s="127">
        <f>N125*P125*Q125*'1. Standard_Cost'!$D$15</f>
        <v>0</v>
      </c>
      <c r="U125" s="127">
        <f>N125*O125*'1. Standard_Cost'!$E$15</f>
        <v>0</v>
      </c>
      <c r="V125" s="126"/>
      <c r="W125" s="126"/>
      <c r="X125" s="126"/>
      <c r="Y125" s="127">
        <f>+V125*((X125*'1. Standard_Cost'!$B$19)+(W125*X125*'1. Standard_Cost'!$C$19))</f>
        <v>0</v>
      </c>
      <c r="Z125" s="126"/>
      <c r="AA125" s="126"/>
      <c r="AB125" s="127">
        <f>+Z125*'1. Standard_Cost'!$B$23+AA125*'1. Standard_Cost'!$C$23</f>
        <v>0</v>
      </c>
      <c r="AC125" s="128">
        <v>1448000</v>
      </c>
      <c r="AD125" s="129"/>
      <c r="AE125" s="127">
        <f>SUM(AD125,AC125,AB125,Y125,U125,T125,S125,R125)*'1. Standard_Cost'!$B$31</f>
        <v>289600</v>
      </c>
      <c r="AF125" s="127">
        <f t="shared" si="80"/>
        <v>1737600</v>
      </c>
      <c r="AG125" s="126"/>
      <c r="AH125" s="126"/>
      <c r="AI125" s="126"/>
      <c r="AJ125" s="130"/>
      <c r="AK125" s="130"/>
      <c r="AL125" s="130"/>
      <c r="AM125" s="127">
        <f>AG125*'1. Standard_Cost'!$B$27+'Incremental_Cost Year 6'!AH125*'1. Standard_Cost'!$C$27+'Incremental_Cost Year 6'!AI125*'1. Standard_Cost'!$D$27+'Incremental_Cost Year 6'!AJ125+'Incremental_Cost Year 6'!AL125+AK125</f>
        <v>0</v>
      </c>
      <c r="AN125" s="127">
        <f>AM125*'1. Standard_Cost'!$C$31</f>
        <v>0</v>
      </c>
      <c r="AO125" s="130"/>
      <c r="AQ125" s="171">
        <f t="shared" si="81"/>
        <v>12064646.057142857</v>
      </c>
      <c r="AR125" s="171">
        <f t="shared" si="82"/>
        <v>1737600</v>
      </c>
      <c r="AS125" s="171">
        <f t="shared" si="83"/>
        <v>0</v>
      </c>
      <c r="AT125" s="171">
        <f t="shared" si="84"/>
        <v>13802246.057142857</v>
      </c>
      <c r="AU125" s="250">
        <v>13802246</v>
      </c>
      <c r="AV125" s="250"/>
      <c r="AW125" s="250"/>
      <c r="AX125" s="250"/>
      <c r="AY125" s="250"/>
      <c r="AZ125" s="250"/>
      <c r="BA125" s="250"/>
      <c r="BB125" s="251">
        <f t="shared" si="85"/>
        <v>-5.714285746216774E-2</v>
      </c>
      <c r="BC125" s="169"/>
      <c r="BD125" s="169"/>
      <c r="BE125" s="169"/>
      <c r="BF125" s="169"/>
    </row>
    <row r="126" spans="1:58" ht="63" outlineLevel="2" x14ac:dyDescent="0.25">
      <c r="A126" s="115"/>
      <c r="B126" s="200"/>
      <c r="C126" s="201"/>
      <c r="D126" s="131"/>
      <c r="E126" s="323"/>
      <c r="F126" s="308"/>
      <c r="G126" s="309"/>
      <c r="H126" s="199" t="s">
        <v>447</v>
      </c>
      <c r="I126" s="130" t="s">
        <v>1</v>
      </c>
      <c r="J126" s="126">
        <v>12</v>
      </c>
      <c r="K126" s="126">
        <v>8</v>
      </c>
      <c r="L126" s="125">
        <f>IF(I126&lt;&gt;0,((VLOOKUP(I126,'1. Standard_Cost'!$B$4:$D$11,2)+VLOOKUP(I126,'1. Standard_Cost'!$B$4:$D$11,3))*J126*K126),"0")</f>
        <v>6892114.2857142854</v>
      </c>
      <c r="M126" s="125">
        <f>L126*'1. Standard_Cost'!$F$4</f>
        <v>1150983.0857142857</v>
      </c>
      <c r="N126" s="126"/>
      <c r="O126" s="126"/>
      <c r="P126" s="126"/>
      <c r="Q126" s="126"/>
      <c r="R126" s="127">
        <f>'1. Standard_Cost'!$B$15*N126*P126</f>
        <v>0</v>
      </c>
      <c r="S126" s="127">
        <f>N126*O126*P126*'1. Standard_Cost'!$C$15</f>
        <v>0</v>
      </c>
      <c r="T126" s="127">
        <f>N126*P126*Q126*'1. Standard_Cost'!$D$15</f>
        <v>0</v>
      </c>
      <c r="U126" s="127">
        <f>N126*O126*'1. Standard_Cost'!$E$15</f>
        <v>0</v>
      </c>
      <c r="V126" s="126"/>
      <c r="W126" s="126"/>
      <c r="X126" s="126"/>
      <c r="Y126" s="127">
        <f>+V126*((X126*'1. Standard_Cost'!$B$19)+(W126*X126*'1. Standard_Cost'!$C$19))</f>
        <v>0</v>
      </c>
      <c r="Z126" s="126"/>
      <c r="AA126" s="126"/>
      <c r="AB126" s="127">
        <f>+Z126*'1. Standard_Cost'!$B$23+AA126*'1. Standard_Cost'!$C$23</f>
        <v>0</v>
      </c>
      <c r="AC126" s="128">
        <v>965172</v>
      </c>
      <c r="AD126" s="129"/>
      <c r="AE126" s="127">
        <f>SUM(AD126,AC126,AB126,Y126,U126,T126,S126,R126)*'1. Standard_Cost'!$B$31</f>
        <v>193034.40000000002</v>
      </c>
      <c r="AF126" s="127">
        <f t="shared" si="80"/>
        <v>1158206.3999999999</v>
      </c>
      <c r="AG126" s="126"/>
      <c r="AH126" s="126"/>
      <c r="AI126" s="126"/>
      <c r="AJ126" s="130"/>
      <c r="AK126" s="130"/>
      <c r="AL126" s="130"/>
      <c r="AM126" s="127">
        <f>AG126*'1. Standard_Cost'!$B$27+'Incremental_Cost Year 6'!AH126*'1. Standard_Cost'!$C$27+'Incremental_Cost Year 6'!AI126*'1. Standard_Cost'!$D$27+'Incremental_Cost Year 6'!AJ126+'Incremental_Cost Year 6'!AL126+AK126</f>
        <v>0</v>
      </c>
      <c r="AN126" s="127">
        <f>AM126*'1. Standard_Cost'!$C$31</f>
        <v>0</v>
      </c>
      <c r="AO126" s="130"/>
      <c r="AQ126" s="171">
        <f t="shared" si="81"/>
        <v>8043097.3714285716</v>
      </c>
      <c r="AR126" s="171">
        <f t="shared" si="82"/>
        <v>1158206.3999999999</v>
      </c>
      <c r="AS126" s="171">
        <f t="shared" si="83"/>
        <v>0</v>
      </c>
      <c r="AT126" s="171">
        <f t="shared" si="84"/>
        <v>9201303.771428572</v>
      </c>
      <c r="AU126" s="250">
        <v>9201304</v>
      </c>
      <c r="AV126" s="250"/>
      <c r="AW126" s="250"/>
      <c r="AX126" s="250"/>
      <c r="AY126" s="250"/>
      <c r="AZ126" s="250"/>
      <c r="BA126" s="250"/>
      <c r="BB126" s="251">
        <f t="shared" si="85"/>
        <v>0.22857142798602581</v>
      </c>
      <c r="BC126" s="169"/>
      <c r="BD126" s="169"/>
      <c r="BE126" s="169"/>
      <c r="BF126" s="169"/>
    </row>
    <row r="127" spans="1:58" ht="47.25" outlineLevel="2" x14ac:dyDescent="0.25">
      <c r="A127" s="115"/>
      <c r="B127" s="200"/>
      <c r="C127" s="201"/>
      <c r="D127" s="131"/>
      <c r="E127" s="323"/>
      <c r="F127" s="308"/>
      <c r="G127" s="309"/>
      <c r="H127" s="199" t="s">
        <v>448</v>
      </c>
      <c r="I127" s="130" t="s">
        <v>1</v>
      </c>
      <c r="J127" s="126">
        <v>12</v>
      </c>
      <c r="K127" s="126">
        <v>5</v>
      </c>
      <c r="L127" s="125">
        <f>IF(I127&lt;&gt;0,((VLOOKUP(I127,'1. Standard_Cost'!$B$4:$D$11,2)+VLOOKUP(I127,'1. Standard_Cost'!$B$4:$D$11,3))*J127*K127),"0")</f>
        <v>4307571.4285714282</v>
      </c>
      <c r="M127" s="125">
        <f>L127*'1. Standard_Cost'!$F$4</f>
        <v>719364.42857142852</v>
      </c>
      <c r="N127" s="126"/>
      <c r="O127" s="126"/>
      <c r="P127" s="126"/>
      <c r="Q127" s="126"/>
      <c r="R127" s="127">
        <f>'1. Standard_Cost'!$B$15*N127*P127</f>
        <v>0</v>
      </c>
      <c r="S127" s="127">
        <f>N127*O127*P127*'1. Standard_Cost'!$C$15</f>
        <v>0</v>
      </c>
      <c r="T127" s="127">
        <f>N127*P127*Q127*'1. Standard_Cost'!$D$15</f>
        <v>0</v>
      </c>
      <c r="U127" s="127">
        <f>N127*O127*'1. Standard_Cost'!$E$15</f>
        <v>0</v>
      </c>
      <c r="V127" s="126"/>
      <c r="W127" s="126"/>
      <c r="X127" s="126"/>
      <c r="Y127" s="127">
        <f>+V127*((X127*'1. Standard_Cost'!$B$19)+(W127*X127*'1. Standard_Cost'!$C$19))</f>
        <v>0</v>
      </c>
      <c r="Z127" s="126"/>
      <c r="AA127" s="126"/>
      <c r="AB127" s="127">
        <f>+Z127*'1. Standard_Cost'!$B$23+AA127*'1. Standard_Cost'!$C$23</f>
        <v>0</v>
      </c>
      <c r="AC127" s="128">
        <v>754040</v>
      </c>
      <c r="AD127" s="129"/>
      <c r="AE127" s="127">
        <f>SUM(AD127,AC127,AB127,Y127,U127,T127,S127,R127)*'1. Standard_Cost'!$B$31</f>
        <v>150808</v>
      </c>
      <c r="AF127" s="127">
        <f t="shared" si="80"/>
        <v>904848</v>
      </c>
      <c r="AG127" s="126"/>
      <c r="AH127" s="126"/>
      <c r="AI127" s="126"/>
      <c r="AJ127" s="130"/>
      <c r="AK127" s="130"/>
      <c r="AL127" s="130"/>
      <c r="AM127" s="127">
        <f>AG127*'1. Standard_Cost'!$B$27+'Incremental_Cost Year 6'!AH127*'1. Standard_Cost'!$C$27+'Incremental_Cost Year 6'!AI127*'1. Standard_Cost'!$D$27+'Incremental_Cost Year 6'!AJ127+'Incremental_Cost Year 6'!AL127+AK127</f>
        <v>0</v>
      </c>
      <c r="AN127" s="127">
        <f>AM127*'1. Standard_Cost'!$C$31</f>
        <v>0</v>
      </c>
      <c r="AO127" s="130"/>
      <c r="AQ127" s="171">
        <f t="shared" si="81"/>
        <v>5026935.8571428563</v>
      </c>
      <c r="AR127" s="171">
        <f t="shared" si="82"/>
        <v>904848</v>
      </c>
      <c r="AS127" s="171">
        <f t="shared" si="83"/>
        <v>0</v>
      </c>
      <c r="AT127" s="171">
        <f t="shared" si="84"/>
        <v>5931783.8571428563</v>
      </c>
      <c r="AU127" s="250">
        <v>5931784</v>
      </c>
      <c r="AV127" s="250"/>
      <c r="AW127" s="250"/>
      <c r="AX127" s="250"/>
      <c r="AY127" s="250"/>
      <c r="AZ127" s="250"/>
      <c r="BA127" s="250"/>
      <c r="BB127" s="251">
        <f t="shared" si="85"/>
        <v>0.14285714365541935</v>
      </c>
      <c r="BC127" s="169"/>
      <c r="BD127" s="169"/>
      <c r="BE127" s="169"/>
      <c r="BF127" s="169"/>
    </row>
    <row r="128" spans="1:58" ht="63" outlineLevel="2" x14ac:dyDescent="0.25">
      <c r="A128" s="115"/>
      <c r="B128" s="200"/>
      <c r="C128" s="201"/>
      <c r="D128" s="131"/>
      <c r="E128" s="323"/>
      <c r="F128" s="326"/>
      <c r="G128" s="309"/>
      <c r="H128" s="199" t="s">
        <v>449</v>
      </c>
      <c r="I128" s="130" t="s">
        <v>1</v>
      </c>
      <c r="J128" s="126">
        <v>12</v>
      </c>
      <c r="K128" s="126">
        <v>21</v>
      </c>
      <c r="L128" s="125">
        <f>IF(I128&lt;&gt;0,((VLOOKUP(I128,'1. Standard_Cost'!$B$4:$D$11,2)+VLOOKUP(I128,'1. Standard_Cost'!$B$4:$D$11,3))*J128*K128),"0")</f>
        <v>18091800</v>
      </c>
      <c r="M128" s="125">
        <f>L128*'1. Standard_Cost'!$F$4</f>
        <v>3021330.6</v>
      </c>
      <c r="N128" s="126"/>
      <c r="O128" s="126"/>
      <c r="P128" s="126"/>
      <c r="Q128" s="126"/>
      <c r="R128" s="127">
        <f>'1. Standard_Cost'!$B$15*N128*P128</f>
        <v>0</v>
      </c>
      <c r="S128" s="127">
        <f>N128*O128*P128*'1. Standard_Cost'!$C$15</f>
        <v>0</v>
      </c>
      <c r="T128" s="127">
        <f>N128*P128*Q128*'1. Standard_Cost'!$D$15</f>
        <v>0</v>
      </c>
      <c r="U128" s="127">
        <f>N128*O128*'1. Standard_Cost'!$E$15</f>
        <v>0</v>
      </c>
      <c r="V128" s="126"/>
      <c r="W128" s="126"/>
      <c r="X128" s="126"/>
      <c r="Y128" s="127">
        <f>+V128*((X128*'1. Standard_Cost'!$B$19)+(W128*X128*'1. Standard_Cost'!$C$19))</f>
        <v>0</v>
      </c>
      <c r="Z128" s="126"/>
      <c r="AA128" s="126"/>
      <c r="AB128" s="127">
        <f>+Z128*'1. Standard_Cost'!$B$23+AA128*'1. Standard_Cost'!$C$23</f>
        <v>0</v>
      </c>
      <c r="AC128" s="128">
        <v>3166970</v>
      </c>
      <c r="AD128" s="129"/>
      <c r="AE128" s="127">
        <f>SUM(AD128,AC128,AB128,Y128,U128,T128,S128,R128)*'1. Standard_Cost'!$B$31</f>
        <v>633394</v>
      </c>
      <c r="AF128" s="127">
        <f t="shared" si="80"/>
        <v>3800364</v>
      </c>
      <c r="AG128" s="126"/>
      <c r="AH128" s="126"/>
      <c r="AI128" s="126"/>
      <c r="AJ128" s="130"/>
      <c r="AK128" s="130"/>
      <c r="AL128" s="130"/>
      <c r="AM128" s="127">
        <f>AG128*'1. Standard_Cost'!$B$27+'Incremental_Cost Year 6'!AH128*'1. Standard_Cost'!$C$27+'Incremental_Cost Year 6'!AI128*'1. Standard_Cost'!$D$27+'Incremental_Cost Year 6'!AJ128+'Incremental_Cost Year 6'!AL128+AK128</f>
        <v>0</v>
      </c>
      <c r="AN128" s="127">
        <f>AM128*'1. Standard_Cost'!$C$31</f>
        <v>0</v>
      </c>
      <c r="AO128" s="130"/>
      <c r="AQ128" s="171">
        <f t="shared" si="81"/>
        <v>21113130.600000001</v>
      </c>
      <c r="AR128" s="171">
        <f t="shared" si="82"/>
        <v>3800364</v>
      </c>
      <c r="AS128" s="171">
        <f t="shared" si="83"/>
        <v>0</v>
      </c>
      <c r="AT128" s="171">
        <f t="shared" si="84"/>
        <v>24913494.600000001</v>
      </c>
      <c r="AU128" s="250">
        <v>24913495</v>
      </c>
      <c r="AV128" s="250"/>
      <c r="AW128" s="250"/>
      <c r="AX128" s="250"/>
      <c r="AY128" s="250"/>
      <c r="AZ128" s="250"/>
      <c r="BA128" s="250"/>
      <c r="BB128" s="251">
        <f t="shared" si="85"/>
        <v>0.39999999850988388</v>
      </c>
      <c r="BC128" s="169"/>
      <c r="BD128" s="169"/>
      <c r="BE128" s="169"/>
      <c r="BF128" s="169"/>
    </row>
    <row r="129" spans="1:58" ht="31.5" outlineLevel="2" x14ac:dyDescent="0.25">
      <c r="A129" s="115"/>
      <c r="B129" s="200"/>
      <c r="C129" s="201"/>
      <c r="D129" s="131"/>
      <c r="E129" s="323"/>
      <c r="F129" s="326"/>
      <c r="G129" s="309"/>
      <c r="H129" s="199" t="s">
        <v>284</v>
      </c>
      <c r="I129" s="130" t="s">
        <v>1</v>
      </c>
      <c r="J129" s="126">
        <v>12</v>
      </c>
      <c r="K129" s="126">
        <v>5</v>
      </c>
      <c r="L129" s="125">
        <f>IF(I129&lt;&gt;0,((VLOOKUP(I129,'1. Standard_Cost'!$B$4:$D$11,2)+VLOOKUP(I129,'1. Standard_Cost'!$B$4:$D$11,3))*J129*K129),"0")</f>
        <v>4307571.4285714282</v>
      </c>
      <c r="M129" s="125">
        <f>L129*'1. Standard_Cost'!$F$4</f>
        <v>719364.42857142852</v>
      </c>
      <c r="N129" s="126"/>
      <c r="O129" s="126"/>
      <c r="P129" s="126"/>
      <c r="Q129" s="126"/>
      <c r="R129" s="127">
        <f>'1. Standard_Cost'!$B$15*N129*P129</f>
        <v>0</v>
      </c>
      <c r="S129" s="127">
        <f>N129*O129*P129*'1. Standard_Cost'!$C$15</f>
        <v>0</v>
      </c>
      <c r="T129" s="127">
        <f>N129*P129*Q129*'1. Standard_Cost'!$D$15</f>
        <v>0</v>
      </c>
      <c r="U129" s="127">
        <f>N129*O129*'1. Standard_Cost'!$E$15</f>
        <v>0</v>
      </c>
      <c r="V129" s="126"/>
      <c r="W129" s="126"/>
      <c r="X129" s="126"/>
      <c r="Y129" s="127">
        <f>+V129*((X129*'1. Standard_Cost'!$B$19)+(W129*X129*'1. Standard_Cost'!$C$19))</f>
        <v>0</v>
      </c>
      <c r="Z129" s="126"/>
      <c r="AA129" s="126"/>
      <c r="AB129" s="127">
        <f>+Z129*'1. Standard_Cost'!$B$23+AA129*'1. Standard_Cost'!$C$23</f>
        <v>0</v>
      </c>
      <c r="AC129" s="128">
        <v>1005388</v>
      </c>
      <c r="AD129" s="129"/>
      <c r="AE129" s="127">
        <f>SUM(AD129,AC129,AB129,Y129,U129,T129,S129,R129)*'1. Standard_Cost'!$B$31</f>
        <v>201077.6</v>
      </c>
      <c r="AF129" s="127">
        <f t="shared" si="80"/>
        <v>1206465.6000000001</v>
      </c>
      <c r="AG129" s="126"/>
      <c r="AH129" s="126"/>
      <c r="AI129" s="126"/>
      <c r="AJ129" s="130"/>
      <c r="AK129" s="130"/>
      <c r="AL129" s="130"/>
      <c r="AM129" s="127">
        <f>AG129*'1. Standard_Cost'!$B$27+'Incremental_Cost Year 6'!AH129*'1. Standard_Cost'!$C$27+'Incremental_Cost Year 6'!AI129*'1. Standard_Cost'!$D$27+'Incremental_Cost Year 6'!AJ129+'Incremental_Cost Year 6'!AL129+AK129</f>
        <v>0</v>
      </c>
      <c r="AN129" s="127">
        <f>AM129*'1. Standard_Cost'!$C$31</f>
        <v>0</v>
      </c>
      <c r="AO129" s="130"/>
      <c r="AQ129" s="171">
        <f t="shared" si="81"/>
        <v>5026935.8571428563</v>
      </c>
      <c r="AR129" s="171">
        <f t="shared" si="82"/>
        <v>1206465.6000000001</v>
      </c>
      <c r="AS129" s="171">
        <f t="shared" si="83"/>
        <v>0</v>
      </c>
      <c r="AT129" s="171">
        <f t="shared" si="84"/>
        <v>6233401.457142856</v>
      </c>
      <c r="AU129" s="250">
        <v>6233401</v>
      </c>
      <c r="AV129" s="250"/>
      <c r="AW129" s="250"/>
      <c r="AX129" s="250"/>
      <c r="AY129" s="250"/>
      <c r="AZ129" s="250"/>
      <c r="BA129" s="250"/>
      <c r="BB129" s="251">
        <f t="shared" si="85"/>
        <v>-0.45714285597205162</v>
      </c>
      <c r="BC129" s="169"/>
      <c r="BD129" s="169"/>
      <c r="BE129" s="169"/>
      <c r="BF129" s="169"/>
    </row>
    <row r="130" spans="1:58" ht="63" outlineLevel="2" x14ac:dyDescent="0.25">
      <c r="A130" s="115"/>
      <c r="B130" s="200"/>
      <c r="C130" s="201"/>
      <c r="D130" s="131"/>
      <c r="E130" s="323"/>
      <c r="F130" s="326"/>
      <c r="G130" s="309"/>
      <c r="H130" s="199" t="s">
        <v>450</v>
      </c>
      <c r="I130" s="130" t="s">
        <v>1</v>
      </c>
      <c r="J130" s="126">
        <v>12</v>
      </c>
      <c r="K130" s="126">
        <v>10</v>
      </c>
      <c r="L130" s="125">
        <f>IF(I130&lt;&gt;0,((VLOOKUP(I130,'1. Standard_Cost'!$B$4:$D$11,2)+VLOOKUP(I130,'1. Standard_Cost'!$B$4:$D$11,3))*J130*K130),"0")</f>
        <v>8615142.8571428563</v>
      </c>
      <c r="M130" s="125">
        <f>L130*'1. Standard_Cost'!$F$4</f>
        <v>1438728.857142857</v>
      </c>
      <c r="N130" s="126"/>
      <c r="O130" s="126"/>
      <c r="P130" s="126"/>
      <c r="Q130" s="126"/>
      <c r="R130" s="127">
        <f>'1. Standard_Cost'!$B$15*N130*P130</f>
        <v>0</v>
      </c>
      <c r="S130" s="127">
        <f>N130*O130*P130*'1. Standard_Cost'!$C$15</f>
        <v>0</v>
      </c>
      <c r="T130" s="127">
        <f>N130*P130*Q130*'1. Standard_Cost'!$D$15</f>
        <v>0</v>
      </c>
      <c r="U130" s="127">
        <f>N130*O130*'1. Standard_Cost'!$E$15</f>
        <v>0</v>
      </c>
      <c r="V130" s="126"/>
      <c r="W130" s="126"/>
      <c r="X130" s="126"/>
      <c r="Y130" s="127">
        <f>+V130*((X130*'1. Standard_Cost'!$B$19)+(W130*X130*'1. Standard_Cost'!$C$19))</f>
        <v>0</v>
      </c>
      <c r="Z130" s="126"/>
      <c r="AA130" s="126"/>
      <c r="AB130" s="127">
        <f>+Z130*'1. Standard_Cost'!$B$23+AA130*'1. Standard_Cost'!$C$23</f>
        <v>0</v>
      </c>
      <c r="AC130" s="128">
        <v>1508080</v>
      </c>
      <c r="AD130" s="129"/>
      <c r="AE130" s="127">
        <f>SUM(AD130,AC130,AB130,Y130,U130,T130,S130,R130)*'1. Standard_Cost'!$B$31</f>
        <v>301616</v>
      </c>
      <c r="AF130" s="127">
        <f t="shared" si="80"/>
        <v>1809696</v>
      </c>
      <c r="AG130" s="126"/>
      <c r="AH130" s="126"/>
      <c r="AI130" s="126"/>
      <c r="AJ130" s="130"/>
      <c r="AK130" s="130"/>
      <c r="AL130" s="130"/>
      <c r="AM130" s="127">
        <f>AG130*'1. Standard_Cost'!$B$27+'Incremental_Cost Year 6'!AH130*'1. Standard_Cost'!$C$27+'Incremental_Cost Year 6'!AI130*'1. Standard_Cost'!$D$27+'Incremental_Cost Year 6'!AJ130+'Incremental_Cost Year 6'!AL130+AK130</f>
        <v>0</v>
      </c>
      <c r="AN130" s="127">
        <f>AM130*'1. Standard_Cost'!$C$31</f>
        <v>0</v>
      </c>
      <c r="AO130" s="130"/>
      <c r="AQ130" s="171">
        <f t="shared" si="81"/>
        <v>10053871.714285713</v>
      </c>
      <c r="AR130" s="171">
        <f t="shared" si="82"/>
        <v>1809696</v>
      </c>
      <c r="AS130" s="171">
        <f t="shared" si="83"/>
        <v>0</v>
      </c>
      <c r="AT130" s="171">
        <f t="shared" si="84"/>
        <v>11863567.714285713</v>
      </c>
      <c r="AU130" s="250">
        <v>11863568</v>
      </c>
      <c r="AV130" s="250"/>
      <c r="AW130" s="250"/>
      <c r="AX130" s="250"/>
      <c r="AY130" s="250"/>
      <c r="AZ130" s="250"/>
      <c r="BA130" s="250"/>
      <c r="BB130" s="251">
        <f t="shared" si="85"/>
        <v>0.2857142873108387</v>
      </c>
      <c r="BC130" s="169"/>
      <c r="BD130" s="169"/>
      <c r="BE130" s="169"/>
      <c r="BF130" s="169"/>
    </row>
    <row r="131" spans="1:58" ht="31.5" outlineLevel="2" x14ac:dyDescent="0.25">
      <c r="A131" s="115"/>
      <c r="B131" s="200"/>
      <c r="C131" s="201"/>
      <c r="D131" s="131"/>
      <c r="E131" s="323"/>
      <c r="F131" s="326"/>
      <c r="G131" s="309"/>
      <c r="H131" s="225" t="s">
        <v>285</v>
      </c>
      <c r="I131" s="130" t="s">
        <v>1</v>
      </c>
      <c r="J131" s="126">
        <v>12</v>
      </c>
      <c r="K131" s="126">
        <v>5</v>
      </c>
      <c r="L131" s="125">
        <f>IF(I131&lt;&gt;0,((VLOOKUP(I131,'1. Standard_Cost'!$B$4:$D$11,2)+VLOOKUP(I131,'1. Standard_Cost'!$B$4:$D$11,3))*J131*K131),"0")</f>
        <v>4307571.4285714282</v>
      </c>
      <c r="M131" s="125">
        <f>L131*'1. Standard_Cost'!$F$4</f>
        <v>719364.42857142852</v>
      </c>
      <c r="N131" s="126"/>
      <c r="O131" s="126"/>
      <c r="P131" s="126"/>
      <c r="Q131" s="126"/>
      <c r="R131" s="127">
        <f>'1. Standard_Cost'!$B$15*N131*P131</f>
        <v>0</v>
      </c>
      <c r="S131" s="127">
        <f>N131*O131*P131*'1. Standard_Cost'!$C$15</f>
        <v>0</v>
      </c>
      <c r="T131" s="127">
        <f>N131*P131*Q131*'1. Standard_Cost'!$D$15</f>
        <v>0</v>
      </c>
      <c r="U131" s="127">
        <f>N131*O131*'1. Standard_Cost'!$E$15</f>
        <v>0</v>
      </c>
      <c r="V131" s="126"/>
      <c r="W131" s="126"/>
      <c r="X131" s="126"/>
      <c r="Y131" s="127">
        <f>+V131*((X131*'1. Standard_Cost'!$B$19)+(W131*X131*'1. Standard_Cost'!$C$19))</f>
        <v>0</v>
      </c>
      <c r="Z131" s="126"/>
      <c r="AA131" s="126"/>
      <c r="AB131" s="127">
        <f>+Z131*'1. Standard_Cost'!$B$23+AA131*'1. Standard_Cost'!$C$23</f>
        <v>0</v>
      </c>
      <c r="AC131" s="128">
        <v>754040</v>
      </c>
      <c r="AD131" s="129"/>
      <c r="AE131" s="127">
        <f>SUM(AD131,AC131,AB131,Y131,U131,T131,S131,R131)*'1. Standard_Cost'!$B$31</f>
        <v>150808</v>
      </c>
      <c r="AF131" s="127">
        <f t="shared" si="80"/>
        <v>904848</v>
      </c>
      <c r="AG131" s="126"/>
      <c r="AH131" s="126"/>
      <c r="AI131" s="126"/>
      <c r="AJ131" s="130"/>
      <c r="AK131" s="130"/>
      <c r="AL131" s="130"/>
      <c r="AM131" s="127">
        <f>AG131*'1. Standard_Cost'!$B$27+'Incremental_Cost Year 6'!AH131*'1. Standard_Cost'!$C$27+'Incremental_Cost Year 6'!AI131*'1. Standard_Cost'!$D$27+'Incremental_Cost Year 6'!AJ131+'Incremental_Cost Year 6'!AL131+AK131</f>
        <v>0</v>
      </c>
      <c r="AN131" s="127">
        <f>AM131*'1. Standard_Cost'!$C$31</f>
        <v>0</v>
      </c>
      <c r="AO131" s="130"/>
      <c r="AQ131" s="171">
        <f t="shared" si="81"/>
        <v>5026935.8571428563</v>
      </c>
      <c r="AR131" s="171">
        <f t="shared" si="82"/>
        <v>904848</v>
      </c>
      <c r="AS131" s="171">
        <f t="shared" si="83"/>
        <v>0</v>
      </c>
      <c r="AT131" s="171">
        <f t="shared" si="84"/>
        <v>5931783.8571428563</v>
      </c>
      <c r="AU131" s="250">
        <v>5931784</v>
      </c>
      <c r="AV131" s="250"/>
      <c r="AW131" s="250"/>
      <c r="AX131" s="250"/>
      <c r="AY131" s="250"/>
      <c r="AZ131" s="250"/>
      <c r="BA131" s="250"/>
      <c r="BB131" s="251">
        <f t="shared" si="85"/>
        <v>0.14285714365541935</v>
      </c>
      <c r="BC131" s="169"/>
      <c r="BD131" s="169"/>
      <c r="BE131" s="169"/>
      <c r="BF131" s="169"/>
    </row>
    <row r="132" spans="1:58" ht="126" outlineLevel="2" x14ac:dyDescent="0.25">
      <c r="A132" s="115"/>
      <c r="B132" s="147"/>
      <c r="C132" s="314"/>
      <c r="D132" s="305"/>
      <c r="E132" s="322"/>
      <c r="F132" s="324"/>
      <c r="G132" s="312"/>
      <c r="H132" s="225" t="s">
        <v>451</v>
      </c>
      <c r="I132" s="130" t="s">
        <v>2</v>
      </c>
      <c r="J132" s="126">
        <v>12</v>
      </c>
      <c r="K132" s="126">
        <v>5</v>
      </c>
      <c r="L132" s="125">
        <f>IF(I132&lt;&gt;0,((VLOOKUP(I132,'1. Standard_Cost'!$B$4:$D$11,2)+VLOOKUP(I132,'1. Standard_Cost'!$B$4:$D$11,3))*J132*K132),"0")</f>
        <v>7260000</v>
      </c>
      <c r="M132" s="125">
        <f>L132*'1. Standard_Cost'!$F$4</f>
        <v>1212420</v>
      </c>
      <c r="N132" s="126"/>
      <c r="O132" s="126"/>
      <c r="P132" s="126"/>
      <c r="Q132" s="126"/>
      <c r="R132" s="127">
        <f>'1. Standard_Cost'!$B$15*N132*P132</f>
        <v>0</v>
      </c>
      <c r="S132" s="127">
        <f>N132*O132*P132*'1. Standard_Cost'!$C$15</f>
        <v>0</v>
      </c>
      <c r="T132" s="127">
        <f>N132*P132*Q132*'1. Standard_Cost'!$D$15</f>
        <v>0</v>
      </c>
      <c r="U132" s="127">
        <f>N132*O132*'1. Standard_Cost'!$E$15</f>
        <v>0</v>
      </c>
      <c r="V132" s="126"/>
      <c r="W132" s="126"/>
      <c r="X132" s="126"/>
      <c r="Y132" s="127">
        <f>+V132*((X132*'1. Standard_Cost'!$B$19)+(W132*X132*'1. Standard_Cost'!$C$19))</f>
        <v>0</v>
      </c>
      <c r="Z132" s="126"/>
      <c r="AA132" s="126"/>
      <c r="AB132" s="127">
        <f>+Z132*'1. Standard_Cost'!$B$23+AA132*'1. Standard_Cost'!$C$23</f>
        <v>0</v>
      </c>
      <c r="AC132" s="128">
        <v>1270863</v>
      </c>
      <c r="AD132" s="129"/>
      <c r="AE132" s="127">
        <f>SUM(AD132,AC132,AB132,Y132,U132,T132,S132,R132)*'1. Standard_Cost'!$B$31</f>
        <v>254172.6</v>
      </c>
      <c r="AF132" s="127">
        <f t="shared" si="80"/>
        <v>1525035.6</v>
      </c>
      <c r="AG132" s="126"/>
      <c r="AH132" s="126"/>
      <c r="AI132" s="126"/>
      <c r="AJ132" s="130"/>
      <c r="AK132" s="130"/>
      <c r="AL132" s="130"/>
      <c r="AM132" s="127">
        <f>AG132*'1. Standard_Cost'!$B$27+'Incremental_Cost Year 6'!AH132*'1. Standard_Cost'!$C$27+'Incremental_Cost Year 6'!AI132*'1. Standard_Cost'!$D$27+'Incremental_Cost Year 6'!AJ132+'Incremental_Cost Year 6'!AL132+AK132</f>
        <v>0</v>
      </c>
      <c r="AN132" s="127">
        <f>AM132*'1. Standard_Cost'!$C$31</f>
        <v>0</v>
      </c>
      <c r="AO132" s="130"/>
      <c r="AQ132" s="171">
        <f t="shared" si="81"/>
        <v>8472420</v>
      </c>
      <c r="AR132" s="171">
        <f t="shared" si="82"/>
        <v>1525035.6</v>
      </c>
      <c r="AS132" s="171">
        <f t="shared" si="83"/>
        <v>0</v>
      </c>
      <c r="AT132" s="171">
        <f t="shared" si="84"/>
        <v>9997455.5999999996</v>
      </c>
      <c r="AU132" s="250">
        <v>9997456</v>
      </c>
      <c r="AV132" s="250"/>
      <c r="AW132" s="250"/>
      <c r="AX132" s="250"/>
      <c r="AY132" s="250"/>
      <c r="AZ132" s="250"/>
      <c r="BA132" s="250"/>
      <c r="BB132" s="251">
        <f t="shared" si="85"/>
        <v>0.40000000037252903</v>
      </c>
      <c r="BC132" s="169"/>
      <c r="BD132" s="169"/>
      <c r="BE132" s="169"/>
      <c r="BF132" s="169"/>
    </row>
    <row r="133" spans="1:58" ht="110.25" outlineLevel="1" x14ac:dyDescent="0.25">
      <c r="A133" s="115"/>
      <c r="B133" s="200"/>
      <c r="C133" s="201"/>
      <c r="D133" s="146" t="s">
        <v>561</v>
      </c>
      <c r="E133" s="310" t="s">
        <v>452</v>
      </c>
      <c r="F133" s="121">
        <v>2021</v>
      </c>
      <c r="G133" s="223">
        <v>2030</v>
      </c>
      <c r="H133" s="110" t="s">
        <v>286</v>
      </c>
      <c r="I133" s="252"/>
      <c r="J133" s="252"/>
      <c r="K133" s="252"/>
      <c r="L133" s="127">
        <f>SUM(L124:L132)</f>
        <v>64119942.857142858</v>
      </c>
      <c r="M133" s="127">
        <f>SUM(M124:M132)</f>
        <v>10708030.457142858</v>
      </c>
      <c r="N133" s="127"/>
      <c r="O133" s="252"/>
      <c r="P133" s="252"/>
      <c r="Q133" s="252"/>
      <c r="R133" s="127">
        <f>SUM(R124:R132)</f>
        <v>0</v>
      </c>
      <c r="S133" s="127">
        <f>SUM(S124:S132)</f>
        <v>0</v>
      </c>
      <c r="T133" s="127">
        <f>SUM(T124:T132)</f>
        <v>0</v>
      </c>
      <c r="U133" s="127">
        <f>SUM(U124:U132)</f>
        <v>0</v>
      </c>
      <c r="V133" s="252"/>
      <c r="W133" s="252"/>
      <c r="X133" s="252"/>
      <c r="Y133" s="127">
        <f>SUM(Y124:Y132)</f>
        <v>0</v>
      </c>
      <c r="Z133" s="252"/>
      <c r="AA133" s="252"/>
      <c r="AB133" s="127">
        <f>SUM(AB124:AB132)</f>
        <v>0</v>
      </c>
      <c r="AC133" s="127">
        <f>SUM(AC124:AC132)</f>
        <v>10872553</v>
      </c>
      <c r="AD133" s="127">
        <f>SUM(AD124:AD132)</f>
        <v>0</v>
      </c>
      <c r="AE133" s="127">
        <f>SUM(AE124:AE132)</f>
        <v>2174510.6</v>
      </c>
      <c r="AF133" s="127">
        <f>SUM(AF124:AF132)</f>
        <v>13047063.6</v>
      </c>
      <c r="AG133" s="252"/>
      <c r="AH133" s="252"/>
      <c r="AI133" s="252"/>
      <c r="AJ133" s="127">
        <f>SUM(AJ124:AJ132)</f>
        <v>0</v>
      </c>
      <c r="AK133" s="127">
        <f>SUM(AK124:AK132)</f>
        <v>0</v>
      </c>
      <c r="AL133" s="127">
        <f>SUM(AL124:AL132)</f>
        <v>0</v>
      </c>
      <c r="AM133" s="127">
        <f>SUM(AM124:AM132)</f>
        <v>0</v>
      </c>
      <c r="AN133" s="127">
        <f>SUM(AN124:AN132)</f>
        <v>0</v>
      </c>
      <c r="AO133" s="253"/>
      <c r="AP133" s="254"/>
      <c r="AQ133" s="175">
        <f>SUM(AQ124:AQ132)</f>
        <v>74827973.314285725</v>
      </c>
      <c r="AR133" s="175">
        <f>SUM(AR124:AR132)</f>
        <v>13047063.6</v>
      </c>
      <c r="AS133" s="175">
        <f>SUM(AS124:AS132)</f>
        <v>0</v>
      </c>
      <c r="AT133" s="175">
        <f>SUM(AT124:AT132)</f>
        <v>87875036.914285704</v>
      </c>
      <c r="AU133" s="175">
        <f t="shared" ref="AU133:BB133" si="86">SUM(AU124:AU132)</f>
        <v>87875038</v>
      </c>
      <c r="AV133" s="175">
        <f t="shared" si="86"/>
        <v>0</v>
      </c>
      <c r="AW133" s="175">
        <f t="shared" si="86"/>
        <v>0</v>
      </c>
      <c r="AX133" s="175">
        <f t="shared" si="86"/>
        <v>0</v>
      </c>
      <c r="AY133" s="175">
        <f t="shared" si="86"/>
        <v>0</v>
      </c>
      <c r="AZ133" s="175">
        <f t="shared" si="86"/>
        <v>0</v>
      </c>
      <c r="BA133" s="175">
        <f t="shared" si="86"/>
        <v>0</v>
      </c>
      <c r="BB133" s="175">
        <f t="shared" si="86"/>
        <v>1.0857142880558968</v>
      </c>
      <c r="BC133" s="169"/>
      <c r="BD133" s="169"/>
      <c r="BE133" s="169"/>
      <c r="BF133" s="169"/>
    </row>
    <row r="134" spans="1:58" s="184" customFormat="1" ht="15.75" customHeight="1" x14ac:dyDescent="0.25">
      <c r="A134" s="143"/>
      <c r="B134" s="290"/>
      <c r="C134" s="391" t="s">
        <v>289</v>
      </c>
      <c r="D134" s="391"/>
      <c r="E134" s="392"/>
      <c r="F134" s="291"/>
      <c r="G134" s="289"/>
      <c r="H134" s="144" t="s">
        <v>290</v>
      </c>
      <c r="I134" s="257"/>
      <c r="J134" s="257"/>
      <c r="K134" s="257"/>
      <c r="L134" s="258">
        <f>SUM(L139)</f>
        <v>5413400</v>
      </c>
      <c r="M134" s="258">
        <f>SUM(M139)</f>
        <v>904037.8</v>
      </c>
      <c r="N134" s="257"/>
      <c r="O134" s="257"/>
      <c r="P134" s="257"/>
      <c r="Q134" s="257"/>
      <c r="R134" s="258">
        <f>SUM(R139)</f>
        <v>0</v>
      </c>
      <c r="S134" s="258">
        <f>SUM(S139)</f>
        <v>0</v>
      </c>
      <c r="T134" s="258">
        <f>SUM(T139)</f>
        <v>0</v>
      </c>
      <c r="U134" s="258">
        <f>SUM(U139)</f>
        <v>0</v>
      </c>
      <c r="V134" s="257"/>
      <c r="W134" s="257"/>
      <c r="X134" s="257"/>
      <c r="Y134" s="258">
        <f>SUM(Y139)</f>
        <v>0</v>
      </c>
      <c r="Z134" s="258"/>
      <c r="AA134" s="258"/>
      <c r="AB134" s="258">
        <f>SUM(AB139)</f>
        <v>0</v>
      </c>
      <c r="AC134" s="258">
        <f>SUM(AC139)</f>
        <v>12150720480</v>
      </c>
      <c r="AD134" s="258">
        <f>SUM(AD139)</f>
        <v>0</v>
      </c>
      <c r="AE134" s="258">
        <f>SUM(AE139)</f>
        <v>2144096</v>
      </c>
      <c r="AF134" s="258">
        <f>SUM(AF139)</f>
        <v>12152864576</v>
      </c>
      <c r="AG134" s="257"/>
      <c r="AH134" s="257"/>
      <c r="AI134" s="257"/>
      <c r="AJ134" s="258">
        <f>SUM(AJ139)</f>
        <v>0</v>
      </c>
      <c r="AK134" s="258">
        <f>SUM(AK139)</f>
        <v>0</v>
      </c>
      <c r="AL134" s="258">
        <f>SUM(AL139)</f>
        <v>0</v>
      </c>
      <c r="AM134" s="258">
        <f>SUM(AM139)</f>
        <v>0</v>
      </c>
      <c r="AN134" s="258">
        <f>SUM(AN139)</f>
        <v>0</v>
      </c>
      <c r="AO134" s="259"/>
      <c r="AP134" s="260"/>
      <c r="AQ134" s="261">
        <f>SUM(AQ139)</f>
        <v>6317437.8000000007</v>
      </c>
      <c r="AR134" s="261">
        <f>SUM(AR139)</f>
        <v>12152864576</v>
      </c>
      <c r="AS134" s="261">
        <f>SUM(AS139)</f>
        <v>0</v>
      </c>
      <c r="AT134" s="261">
        <f>SUM(AT139)</f>
        <v>12159182013.800001</v>
      </c>
      <c r="AU134" s="261">
        <f t="shared" ref="AU134:BB134" si="87">SUM(AU139)</f>
        <v>12159182014</v>
      </c>
      <c r="AV134" s="261">
        <f t="shared" si="87"/>
        <v>0</v>
      </c>
      <c r="AW134" s="261">
        <f t="shared" si="87"/>
        <v>0</v>
      </c>
      <c r="AX134" s="261">
        <f t="shared" si="87"/>
        <v>0</v>
      </c>
      <c r="AY134" s="261">
        <f t="shared" si="87"/>
        <v>0</v>
      </c>
      <c r="AZ134" s="261">
        <f t="shared" si="87"/>
        <v>0</v>
      </c>
      <c r="BA134" s="261">
        <f t="shared" si="87"/>
        <v>0</v>
      </c>
      <c r="BB134" s="261">
        <f t="shared" si="87"/>
        <v>0.20000000018626451</v>
      </c>
    </row>
    <row r="135" spans="1:58" ht="126" outlineLevel="2" x14ac:dyDescent="0.25">
      <c r="A135" s="115"/>
      <c r="B135" s="200"/>
      <c r="C135" s="201"/>
      <c r="D135" s="346"/>
      <c r="E135" s="321"/>
      <c r="F135" s="337"/>
      <c r="G135" s="338"/>
      <c r="H135" s="199" t="s">
        <v>453</v>
      </c>
      <c r="I135" s="130"/>
      <c r="J135" s="126"/>
      <c r="K135" s="126"/>
      <c r="L135" s="125" t="str">
        <f>IF(I135&lt;&gt;0,((VLOOKUP(I135,'1. Standard_Cost'!$B$4:$D$11,2)+VLOOKUP(I135,'1. Standard_Cost'!$B$4:$D$11,3))*J135*K135),"0")</f>
        <v>0</v>
      </c>
      <c r="M135" s="125">
        <f>L135*'1. Standard_Cost'!$F$4</f>
        <v>0</v>
      </c>
      <c r="N135" s="126"/>
      <c r="O135" s="126"/>
      <c r="P135" s="126"/>
      <c r="Q135" s="126"/>
      <c r="R135" s="127">
        <f>'1. Standard_Cost'!$B$15*N135*P135</f>
        <v>0</v>
      </c>
      <c r="S135" s="127">
        <f>N135*O135*P135*'1. Standard_Cost'!$C$15</f>
        <v>0</v>
      </c>
      <c r="T135" s="127">
        <f>N135*P135*Q135*'1. Standard_Cost'!$D$15</f>
        <v>0</v>
      </c>
      <c r="U135" s="127">
        <f>N135*O135*'1. Standard_Cost'!$E$15</f>
        <v>0</v>
      </c>
      <c r="V135" s="126"/>
      <c r="W135" s="126"/>
      <c r="X135" s="126"/>
      <c r="Y135" s="127">
        <f>+V135*((X135*'1. Standard_Cost'!$B$19)+(W135*X135*'1. Standard_Cost'!$C$19))</f>
        <v>0</v>
      </c>
      <c r="Z135" s="126"/>
      <c r="AA135" s="126"/>
      <c r="AB135" s="127">
        <f>+Z135*'1. Standard_Cost'!$B$23+AA135*'1. Standard_Cost'!$C$23</f>
        <v>0</v>
      </c>
      <c r="AC135" s="128">
        <v>12140000000</v>
      </c>
      <c r="AD135" s="129"/>
      <c r="AE135" s="127"/>
      <c r="AF135" s="127">
        <f>SUM(AE135,AD135,AC135,AB135,Y135,U135,T135,S135,R135)</f>
        <v>12140000000</v>
      </c>
      <c r="AG135" s="126"/>
      <c r="AH135" s="126"/>
      <c r="AI135" s="126"/>
      <c r="AJ135" s="130"/>
      <c r="AK135" s="130"/>
      <c r="AL135" s="130"/>
      <c r="AM135" s="127">
        <f>AG135*'1. Standard_Cost'!$B$27+'Incremental_Cost Year 6'!AH135*'1. Standard_Cost'!$C$27+'Incremental_Cost Year 6'!AI135*'1. Standard_Cost'!$D$27+'Incremental_Cost Year 6'!AJ135+'Incremental_Cost Year 6'!AL135+AK135</f>
        <v>0</v>
      </c>
      <c r="AN135" s="127">
        <f>AM135*'1. Standard_Cost'!$C$31</f>
        <v>0</v>
      </c>
      <c r="AO135" s="130"/>
      <c r="AQ135" s="171">
        <f>L135+M135</f>
        <v>0</v>
      </c>
      <c r="AR135" s="171">
        <f>AF135</f>
        <v>12140000000</v>
      </c>
      <c r="AS135" s="171">
        <f>AM135+AN135</f>
        <v>0</v>
      </c>
      <c r="AT135" s="171">
        <f>SUM(AQ135,AR135,AS135)</f>
        <v>12140000000</v>
      </c>
      <c r="AU135" s="250">
        <v>12140000000</v>
      </c>
      <c r="AV135" s="250"/>
      <c r="AW135" s="250"/>
      <c r="AX135" s="250"/>
      <c r="AY135" s="250"/>
      <c r="AZ135" s="250"/>
      <c r="BA135" s="250"/>
      <c r="BB135" s="251">
        <f t="shared" ref="BB135:BB138" si="88">SUM(AU135:BA135)-AT135</f>
        <v>0</v>
      </c>
      <c r="BC135" s="169"/>
      <c r="BD135" s="169"/>
      <c r="BE135" s="169"/>
      <c r="BF135" s="169"/>
    </row>
    <row r="136" spans="1:58" ht="78.75" outlineLevel="2" x14ac:dyDescent="0.25">
      <c r="A136" s="115"/>
      <c r="B136" s="200"/>
      <c r="C136" s="201"/>
      <c r="D136" s="203"/>
      <c r="E136" s="323"/>
      <c r="F136" s="335"/>
      <c r="G136" s="336"/>
      <c r="H136" s="199" t="s">
        <v>454</v>
      </c>
      <c r="I136" s="130" t="s">
        <v>5</v>
      </c>
      <c r="J136" s="126">
        <v>12</v>
      </c>
      <c r="K136" s="126">
        <v>4</v>
      </c>
      <c r="L136" s="125">
        <f>IF(I136&lt;&gt;0,((VLOOKUP(I136,'1. Standard_Cost'!$B$4:$D$11,2)+VLOOKUP(I136,'1. Standard_Cost'!$B$4:$D$11,3))*J136*K136),"0")</f>
        <v>3393600</v>
      </c>
      <c r="M136" s="125">
        <f>L136*'1. Standard_Cost'!$F$4</f>
        <v>566731.20000000007</v>
      </c>
      <c r="N136" s="126"/>
      <c r="O136" s="126"/>
      <c r="P136" s="126"/>
      <c r="Q136" s="126"/>
      <c r="R136" s="127">
        <f>'1. Standard_Cost'!$B$15*N136*P136</f>
        <v>0</v>
      </c>
      <c r="S136" s="127">
        <f>N136*O136*P136*'1. Standard_Cost'!$C$15</f>
        <v>0</v>
      </c>
      <c r="T136" s="127">
        <f>N136*P136*Q136*'1. Standard_Cost'!$D$15</f>
        <v>0</v>
      </c>
      <c r="U136" s="127">
        <f>N136*O136*'1. Standard_Cost'!$E$15</f>
        <v>0</v>
      </c>
      <c r="V136" s="126"/>
      <c r="W136" s="126"/>
      <c r="X136" s="126"/>
      <c r="Y136" s="127">
        <f>+V136*((X136*'1. Standard_Cost'!$B$19)+(W136*X136*'1. Standard_Cost'!$C$19))</f>
        <v>0</v>
      </c>
      <c r="Z136" s="126"/>
      <c r="AA136" s="126"/>
      <c r="AB136" s="127">
        <f>+Z136*'1. Standard_Cost'!$B$23+AA136*'1. Standard_Cost'!$C$23</f>
        <v>0</v>
      </c>
      <c r="AC136" s="128">
        <v>475240</v>
      </c>
      <c r="AD136" s="129"/>
      <c r="AE136" s="127">
        <f>SUM(AD136,AC136,AB136,Y136,U136,T136,S136,R136)*'1. Standard_Cost'!$B$31</f>
        <v>95048</v>
      </c>
      <c r="AF136" s="127">
        <f>SUM(AE136,AD136,AC136,AB136,Y136,U136,T136,S136,R136)</f>
        <v>570288</v>
      </c>
      <c r="AG136" s="126"/>
      <c r="AH136" s="126"/>
      <c r="AI136" s="126"/>
      <c r="AJ136" s="130"/>
      <c r="AK136" s="130"/>
      <c r="AL136" s="130"/>
      <c r="AM136" s="127">
        <f>AG136*'1. Standard_Cost'!$B$27+'Incremental_Cost Year 6'!AH136*'1. Standard_Cost'!$C$27+'Incremental_Cost Year 6'!AI136*'1. Standard_Cost'!$D$27+'Incremental_Cost Year 6'!AJ136+'Incremental_Cost Year 6'!AL136+AK136</f>
        <v>0</v>
      </c>
      <c r="AN136" s="127">
        <f>AM136*'1. Standard_Cost'!$C$31</f>
        <v>0</v>
      </c>
      <c r="AO136" s="130"/>
      <c r="AQ136" s="171">
        <f>L136+M136</f>
        <v>3960331.2</v>
      </c>
      <c r="AR136" s="171">
        <f>AF136</f>
        <v>570288</v>
      </c>
      <c r="AS136" s="171">
        <f>AM136+AN136</f>
        <v>0</v>
      </c>
      <c r="AT136" s="171">
        <f>SUM(AQ136,AR136,AS136)</f>
        <v>4530619.2</v>
      </c>
      <c r="AU136" s="250">
        <v>4530619</v>
      </c>
      <c r="AV136" s="250"/>
      <c r="AW136" s="250"/>
      <c r="AX136" s="250"/>
      <c r="AY136" s="250"/>
      <c r="AZ136" s="250"/>
      <c r="BA136" s="250"/>
      <c r="BB136" s="251">
        <f t="shared" si="88"/>
        <v>-0.20000000018626451</v>
      </c>
      <c r="BC136" s="169"/>
      <c r="BD136" s="169"/>
      <c r="BE136" s="169"/>
      <c r="BF136" s="169"/>
    </row>
    <row r="137" spans="1:58" ht="110.25" outlineLevel="2" x14ac:dyDescent="0.25">
      <c r="A137" s="115"/>
      <c r="B137" s="200"/>
      <c r="C137" s="201"/>
      <c r="D137" s="203"/>
      <c r="E137" s="323"/>
      <c r="F137" s="335"/>
      <c r="G137" s="336"/>
      <c r="H137" s="199" t="s">
        <v>455</v>
      </c>
      <c r="I137" s="130" t="s">
        <v>4</v>
      </c>
      <c r="J137" s="126">
        <v>1</v>
      </c>
      <c r="K137" s="126">
        <v>4</v>
      </c>
      <c r="L137" s="125">
        <f>IF(I137&lt;&gt;0,((VLOOKUP(I137,'1. Standard_Cost'!$B$4:$D$11,2)+VLOOKUP(I137,'1. Standard_Cost'!$B$4:$D$11,3))*J137*K137),"0")</f>
        <v>323000</v>
      </c>
      <c r="M137" s="125">
        <f>L137*'1. Standard_Cost'!$F$4</f>
        <v>53941</v>
      </c>
      <c r="N137" s="126"/>
      <c r="O137" s="126"/>
      <c r="P137" s="126"/>
      <c r="Q137" s="126"/>
      <c r="R137" s="127">
        <f>'1. Standard_Cost'!$B$15*N137*P137</f>
        <v>0</v>
      </c>
      <c r="S137" s="127">
        <f>N137*O137*P137*'1. Standard_Cost'!$C$15</f>
        <v>0</v>
      </c>
      <c r="T137" s="127">
        <f>N137*P137*Q137*'1. Standard_Cost'!$D$15</f>
        <v>0</v>
      </c>
      <c r="U137" s="127">
        <f>N137*O137*'1. Standard_Cost'!$E$15</f>
        <v>0</v>
      </c>
      <c r="V137" s="126"/>
      <c r="W137" s="126"/>
      <c r="X137" s="126"/>
      <c r="Y137" s="127">
        <f>+V137*((X137*'1. Standard_Cost'!$B$19)+(W137*X137*'1. Standard_Cost'!$C$19))</f>
        <v>0</v>
      </c>
      <c r="Z137" s="126"/>
      <c r="AA137" s="126"/>
      <c r="AB137" s="127">
        <f>+Z137*'1. Standard_Cost'!$B$23+AA137*'1. Standard_Cost'!$C$23</f>
        <v>0</v>
      </c>
      <c r="AC137" s="128">
        <v>45240</v>
      </c>
      <c r="AD137" s="129"/>
      <c r="AE137" s="127">
        <f>SUM(AD137,AC137,AB137,Y137,U137,T137,S137,R137)*'1. Standard_Cost'!$B$31</f>
        <v>9048</v>
      </c>
      <c r="AF137" s="127">
        <f>SUM(AE137,AD137,AC137,AB137,Y137,U137,T137,S137,R137)</f>
        <v>54288</v>
      </c>
      <c r="AG137" s="126"/>
      <c r="AH137" s="126"/>
      <c r="AI137" s="126"/>
      <c r="AJ137" s="130"/>
      <c r="AK137" s="130"/>
      <c r="AL137" s="130"/>
      <c r="AM137" s="127">
        <f>AG137*'1. Standard_Cost'!$B$27+'Incremental_Cost Year 6'!AH137*'1. Standard_Cost'!$C$27+'Incremental_Cost Year 6'!AI137*'1. Standard_Cost'!$D$27+'Incremental_Cost Year 6'!AJ137+'Incremental_Cost Year 6'!AL137+AK137</f>
        <v>0</v>
      </c>
      <c r="AN137" s="127">
        <f>AM137*'1. Standard_Cost'!$C$31</f>
        <v>0</v>
      </c>
      <c r="AO137" s="130"/>
      <c r="AQ137" s="171">
        <f>L137+M137</f>
        <v>376941</v>
      </c>
      <c r="AR137" s="171">
        <f>AF137</f>
        <v>54288</v>
      </c>
      <c r="AS137" s="171">
        <f>AM137+AN137</f>
        <v>0</v>
      </c>
      <c r="AT137" s="171">
        <f>SUM(AQ137,AR137,AS137)</f>
        <v>431229</v>
      </c>
      <c r="AU137" s="250">
        <v>431229</v>
      </c>
      <c r="AV137" s="250"/>
      <c r="AW137" s="250"/>
      <c r="AX137" s="250"/>
      <c r="AY137" s="250"/>
      <c r="AZ137" s="250"/>
      <c r="BA137" s="250"/>
      <c r="BB137" s="251">
        <f t="shared" si="88"/>
        <v>0</v>
      </c>
      <c r="BC137" s="169"/>
      <c r="BD137" s="169"/>
      <c r="BE137" s="169"/>
      <c r="BF137" s="169"/>
    </row>
    <row r="138" spans="1:58" ht="78.75" outlineLevel="2" x14ac:dyDescent="0.25">
      <c r="A138" s="115"/>
      <c r="B138" s="200"/>
      <c r="C138" s="334"/>
      <c r="D138" s="347"/>
      <c r="E138" s="323"/>
      <c r="F138" s="335"/>
      <c r="G138" s="336"/>
      <c r="H138" s="199" t="s">
        <v>456</v>
      </c>
      <c r="I138" s="130" t="s">
        <v>5</v>
      </c>
      <c r="J138" s="126">
        <v>12</v>
      </c>
      <c r="K138" s="126">
        <v>2</v>
      </c>
      <c r="L138" s="125">
        <f>IF(I138&lt;&gt;0,((VLOOKUP(I138,'1. Standard_Cost'!$B$4:$D$11,2)+VLOOKUP(I138,'1. Standard_Cost'!$B$4:$D$11,3))*J138*K138),"0")</f>
        <v>1696800</v>
      </c>
      <c r="M138" s="125">
        <f>L138*'1. Standard_Cost'!$F$4</f>
        <v>283365.60000000003</v>
      </c>
      <c r="N138" s="126"/>
      <c r="O138" s="126"/>
      <c r="P138" s="126"/>
      <c r="Q138" s="126"/>
      <c r="R138" s="127">
        <f>'1. Standard_Cost'!$B$15*N138*P138</f>
        <v>0</v>
      </c>
      <c r="S138" s="127">
        <f>N138*O138*P138*'1. Standard_Cost'!$C$15</f>
        <v>0</v>
      </c>
      <c r="T138" s="127">
        <f>N138*P138*Q138*'1. Standard_Cost'!$D$15</f>
        <v>0</v>
      </c>
      <c r="U138" s="127">
        <f>N138*O138*'1. Standard_Cost'!$E$15</f>
        <v>0</v>
      </c>
      <c r="V138" s="126"/>
      <c r="W138" s="126"/>
      <c r="X138" s="126"/>
      <c r="Y138" s="127">
        <f>+V138*((X138*'1. Standard_Cost'!$B$19)+(W138*X138*'1. Standard_Cost'!$C$19))</f>
        <v>0</v>
      </c>
      <c r="Z138" s="126"/>
      <c r="AA138" s="145"/>
      <c r="AB138" s="127">
        <f>+Z138*'1. Standard_Cost'!$B$23+AA138*'1. Standard_Cost'!$C$23</f>
        <v>0</v>
      </c>
      <c r="AC138" s="128">
        <v>10200000</v>
      </c>
      <c r="AD138" s="129"/>
      <c r="AE138" s="127">
        <f>SUM(AD138,AC138,AB138,Y138,U138,T138,S138,R138)*'1. Standard_Cost'!$B$31</f>
        <v>2040000</v>
      </c>
      <c r="AF138" s="127">
        <f>SUM(AE138,AD138,AC138,AB138,Y138,U138,T138,S138,R138)</f>
        <v>12240000</v>
      </c>
      <c r="AG138" s="126"/>
      <c r="AH138" s="126"/>
      <c r="AI138" s="126"/>
      <c r="AJ138" s="130"/>
      <c r="AK138" s="130"/>
      <c r="AL138" s="130"/>
      <c r="AM138" s="127">
        <f>AG138*'1. Standard_Cost'!$B$27+'Incremental_Cost Year 6'!AH138*'1. Standard_Cost'!$C$27+'Incremental_Cost Year 6'!AI138*'1. Standard_Cost'!$D$27+'Incremental_Cost Year 6'!AJ138+'Incremental_Cost Year 6'!AL138+AK138</f>
        <v>0</v>
      </c>
      <c r="AN138" s="127">
        <f>AM138*'1. Standard_Cost'!$C$31</f>
        <v>0</v>
      </c>
      <c r="AO138" s="262"/>
      <c r="AQ138" s="171">
        <f>L138+M138</f>
        <v>1980165.6</v>
      </c>
      <c r="AR138" s="171">
        <f>AF138</f>
        <v>12240000</v>
      </c>
      <c r="AS138" s="171">
        <f>AM138+AN138</f>
        <v>0</v>
      </c>
      <c r="AT138" s="171">
        <f>SUM(AQ138,AR138,AS138)</f>
        <v>14220165.6</v>
      </c>
      <c r="AU138" s="250">
        <v>14220166</v>
      </c>
      <c r="AV138" s="250"/>
      <c r="AW138" s="250"/>
      <c r="AX138" s="250"/>
      <c r="AY138" s="250"/>
      <c r="AZ138" s="250"/>
      <c r="BA138" s="250"/>
      <c r="BB138" s="251">
        <f t="shared" si="88"/>
        <v>0.40000000037252903</v>
      </c>
      <c r="BC138" s="169"/>
      <c r="BD138" s="169"/>
      <c r="BE138" s="169"/>
      <c r="BF138" s="169"/>
    </row>
    <row r="139" spans="1:58" ht="47.25" outlineLevel="1" x14ac:dyDescent="0.25">
      <c r="A139" s="115"/>
      <c r="B139" s="165"/>
      <c r="C139" s="166"/>
      <c r="D139" s="228" t="s">
        <v>233</v>
      </c>
      <c r="E139" s="212" t="s">
        <v>291</v>
      </c>
      <c r="F139" s="136">
        <v>2022</v>
      </c>
      <c r="G139" s="117">
        <v>2030</v>
      </c>
      <c r="H139" s="110" t="s">
        <v>292</v>
      </c>
      <c r="I139" s="252"/>
      <c r="J139" s="252"/>
      <c r="K139" s="252"/>
      <c r="L139" s="127">
        <f>SUM(L135:L138)</f>
        <v>5413400</v>
      </c>
      <c r="M139" s="127">
        <f>SUM(M135:M138)</f>
        <v>904037.8</v>
      </c>
      <c r="N139" s="127"/>
      <c r="O139" s="252"/>
      <c r="P139" s="252"/>
      <c r="Q139" s="252"/>
      <c r="R139" s="127">
        <f>SUM(R135:R138)</f>
        <v>0</v>
      </c>
      <c r="S139" s="127">
        <f>SUM(S135:S138)</f>
        <v>0</v>
      </c>
      <c r="T139" s="127">
        <f>SUM(T135:T138)</f>
        <v>0</v>
      </c>
      <c r="U139" s="127">
        <f>SUM(U135:U138)</f>
        <v>0</v>
      </c>
      <c r="V139" s="252"/>
      <c r="W139" s="252"/>
      <c r="X139" s="252"/>
      <c r="Y139" s="127">
        <f>SUM(Y135:Y138)</f>
        <v>0</v>
      </c>
      <c r="Z139" s="252"/>
      <c r="AA139" s="252"/>
      <c r="AB139" s="127">
        <f>SUM(AB135:AB138)</f>
        <v>0</v>
      </c>
      <c r="AC139" s="127">
        <f>SUM(AC135:AC138)</f>
        <v>12150720480</v>
      </c>
      <c r="AD139" s="127">
        <f>SUM(AD135:AD138)</f>
        <v>0</v>
      </c>
      <c r="AE139" s="127">
        <f>SUM(AE135:AE138)</f>
        <v>2144096</v>
      </c>
      <c r="AF139" s="127">
        <f>SUM(AF135:AF138)</f>
        <v>12152864576</v>
      </c>
      <c r="AG139" s="252"/>
      <c r="AH139" s="252"/>
      <c r="AI139" s="252"/>
      <c r="AJ139" s="127">
        <f>SUM(AJ135:AJ138)</f>
        <v>0</v>
      </c>
      <c r="AK139" s="127">
        <f>SUM(AK135:AK138)</f>
        <v>0</v>
      </c>
      <c r="AL139" s="127">
        <f>SUM(AL135:AL138)</f>
        <v>0</v>
      </c>
      <c r="AM139" s="127">
        <f>SUM(AM135:AM138)</f>
        <v>0</v>
      </c>
      <c r="AN139" s="127">
        <f>SUM(AN135:AN138)</f>
        <v>0</v>
      </c>
      <c r="AO139" s="253"/>
      <c r="AP139" s="254"/>
      <c r="AQ139" s="175">
        <f>SUM(AQ135:AQ138)</f>
        <v>6317437.8000000007</v>
      </c>
      <c r="AR139" s="175">
        <f>SUM(AR135:AR138)</f>
        <v>12152864576</v>
      </c>
      <c r="AS139" s="175">
        <f>SUM(AS135:AS138)</f>
        <v>0</v>
      </c>
      <c r="AT139" s="175">
        <f>SUM(AT135:AT138)</f>
        <v>12159182013.800001</v>
      </c>
      <c r="AU139" s="175">
        <f t="shared" ref="AU139:BB139" si="89">SUM(AU135:AU138)</f>
        <v>12159182014</v>
      </c>
      <c r="AV139" s="175">
        <f t="shared" si="89"/>
        <v>0</v>
      </c>
      <c r="AW139" s="175">
        <f t="shared" si="89"/>
        <v>0</v>
      </c>
      <c r="AX139" s="175">
        <f t="shared" si="89"/>
        <v>0</v>
      </c>
      <c r="AY139" s="175">
        <f t="shared" si="89"/>
        <v>0</v>
      </c>
      <c r="AZ139" s="175">
        <f t="shared" si="89"/>
        <v>0</v>
      </c>
      <c r="BA139" s="175">
        <f t="shared" si="89"/>
        <v>0</v>
      </c>
      <c r="BB139" s="175">
        <f t="shared" si="89"/>
        <v>0.20000000018626451</v>
      </c>
      <c r="BC139" s="169"/>
      <c r="BD139" s="169"/>
      <c r="BE139" s="169"/>
      <c r="BF139" s="169"/>
    </row>
    <row r="140" spans="1:58" s="184" customFormat="1" ht="15.75" customHeight="1" x14ac:dyDescent="0.25">
      <c r="A140" s="143"/>
      <c r="B140" s="290"/>
      <c r="C140" s="391" t="s">
        <v>293</v>
      </c>
      <c r="D140" s="391"/>
      <c r="E140" s="392"/>
      <c r="F140" s="291"/>
      <c r="G140" s="289"/>
      <c r="H140" s="144" t="s">
        <v>294</v>
      </c>
      <c r="I140" s="257"/>
      <c r="J140" s="257"/>
      <c r="K140" s="257"/>
      <c r="L140" s="258">
        <f>SUM(L149)</f>
        <v>11588500</v>
      </c>
      <c r="M140" s="258">
        <f>SUM(M149)</f>
        <v>1935279.5</v>
      </c>
      <c r="N140" s="257"/>
      <c r="O140" s="257"/>
      <c r="P140" s="257"/>
      <c r="Q140" s="257"/>
      <c r="R140" s="258">
        <f>SUM(R149)</f>
        <v>400000</v>
      </c>
      <c r="S140" s="258">
        <f>SUM(S149)</f>
        <v>300000</v>
      </c>
      <c r="T140" s="258">
        <f>SUM(T149)</f>
        <v>0</v>
      </c>
      <c r="U140" s="258">
        <f>SUM(U149)</f>
        <v>400000</v>
      </c>
      <c r="V140" s="257"/>
      <c r="W140" s="257"/>
      <c r="X140" s="257"/>
      <c r="Y140" s="258">
        <f>SUM(Y149)</f>
        <v>255000</v>
      </c>
      <c r="Z140" s="258"/>
      <c r="AA140" s="258"/>
      <c r="AB140" s="258">
        <f>SUM(AB149)</f>
        <v>779000</v>
      </c>
      <c r="AC140" s="258">
        <f>SUM(AC149)</f>
        <v>3102920</v>
      </c>
      <c r="AD140" s="258">
        <f>SUM(AD149)</f>
        <v>0</v>
      </c>
      <c r="AE140" s="258">
        <f>SUM(AE149)</f>
        <v>1047384</v>
      </c>
      <c r="AF140" s="258">
        <f>SUM(AF149)</f>
        <v>6284304</v>
      </c>
      <c r="AG140" s="257"/>
      <c r="AH140" s="257"/>
      <c r="AI140" s="257"/>
      <c r="AJ140" s="258">
        <f>SUM(AJ149)</f>
        <v>0</v>
      </c>
      <c r="AK140" s="258">
        <f>SUM(AK149)</f>
        <v>0</v>
      </c>
      <c r="AL140" s="258">
        <f>SUM(AL149)</f>
        <v>20000000</v>
      </c>
      <c r="AM140" s="258">
        <f>SUM(AM149)</f>
        <v>20000000</v>
      </c>
      <c r="AN140" s="258">
        <f>SUM(AN149)</f>
        <v>3000000</v>
      </c>
      <c r="AO140" s="259"/>
      <c r="AP140" s="260"/>
      <c r="AQ140" s="261">
        <f>SUM(AQ149)</f>
        <v>13523779.5</v>
      </c>
      <c r="AR140" s="261">
        <f>SUM(AR149)</f>
        <v>6284304</v>
      </c>
      <c r="AS140" s="261">
        <f>SUM(AS149)</f>
        <v>23000000</v>
      </c>
      <c r="AT140" s="261">
        <f>SUM(AT149)</f>
        <v>42808083.5</v>
      </c>
      <c r="AU140" s="261">
        <f t="shared" ref="AU140:BB140" si="90">SUM(AU149)</f>
        <v>16647283.5</v>
      </c>
      <c r="AV140" s="261">
        <f t="shared" si="90"/>
        <v>0</v>
      </c>
      <c r="AW140" s="261">
        <f t="shared" si="90"/>
        <v>0</v>
      </c>
      <c r="AX140" s="261">
        <f t="shared" si="90"/>
        <v>0</v>
      </c>
      <c r="AY140" s="261">
        <f t="shared" si="90"/>
        <v>0</v>
      </c>
      <c r="AZ140" s="261">
        <f t="shared" si="90"/>
        <v>0</v>
      </c>
      <c r="BA140" s="261">
        <f t="shared" si="90"/>
        <v>0</v>
      </c>
      <c r="BB140" s="261">
        <f t="shared" si="90"/>
        <v>-26160800</v>
      </c>
    </row>
    <row r="141" spans="1:58" ht="78.75" outlineLevel="2" x14ac:dyDescent="0.25">
      <c r="A141" s="115"/>
      <c r="B141" s="303"/>
      <c r="C141" s="329"/>
      <c r="D141" s="342"/>
      <c r="E141" s="328"/>
      <c r="F141" s="328"/>
      <c r="G141" s="328"/>
      <c r="H141" s="199" t="s">
        <v>457</v>
      </c>
      <c r="I141" s="130"/>
      <c r="J141" s="126"/>
      <c r="K141" s="126"/>
      <c r="L141" s="125" t="str">
        <f>IF(I141&lt;&gt;0,((VLOOKUP(I141,'1. Standard_Cost'!$B$4:$D$11,2)+VLOOKUP(I141,'1. Standard_Cost'!$B$4:$D$11,3))*J141*K141),"0")</f>
        <v>0</v>
      </c>
      <c r="M141" s="125">
        <f>L141*'1. Standard_Cost'!$F$4</f>
        <v>0</v>
      </c>
      <c r="N141" s="126"/>
      <c r="O141" s="126"/>
      <c r="P141" s="126"/>
      <c r="Q141" s="126"/>
      <c r="R141" s="127">
        <f>'1. Standard_Cost'!$B$15*N141*P141</f>
        <v>0</v>
      </c>
      <c r="S141" s="127">
        <f>N141*O141*P141*'1. Standard_Cost'!$C$15</f>
        <v>0</v>
      </c>
      <c r="T141" s="127">
        <f>N141*P141*Q141*'1. Standard_Cost'!$D$15</f>
        <v>0</v>
      </c>
      <c r="U141" s="127">
        <f>N141*O141*'1. Standard_Cost'!$E$15</f>
        <v>0</v>
      </c>
      <c r="V141" s="126"/>
      <c r="W141" s="126"/>
      <c r="X141" s="126"/>
      <c r="Y141" s="127">
        <f>+V141*((X141*'1. Standard_Cost'!$B$19)+(W141*X141*'1. Standard_Cost'!$C$19))</f>
        <v>0</v>
      </c>
      <c r="Z141" s="126"/>
      <c r="AA141" s="126"/>
      <c r="AB141" s="127">
        <f>+Z141*'1. Standard_Cost'!$B$23+AA141*'1. Standard_Cost'!$C$23</f>
        <v>0</v>
      </c>
      <c r="AC141" s="128"/>
      <c r="AD141" s="129"/>
      <c r="AE141" s="127">
        <f>SUM(AD141,AC141,AB141,Y141,U141,T141,S141,R141)*'1. Standard_Cost'!$B$31</f>
        <v>0</v>
      </c>
      <c r="AF141" s="127">
        <f t="shared" ref="AF141:AF148" si="91">SUM(AE141,AD141,AC141,AB141,Y141,U141,T141,S141,R141)</f>
        <v>0</v>
      </c>
      <c r="AG141" s="126"/>
      <c r="AH141" s="126"/>
      <c r="AI141" s="126"/>
      <c r="AJ141" s="130"/>
      <c r="AK141" s="130"/>
      <c r="AL141" s="130"/>
      <c r="AM141" s="127">
        <f>AG141*'1. Standard_Cost'!$B$27+'Incremental_Cost Year 6'!AH141*'1. Standard_Cost'!$C$27+'Incremental_Cost Year 6'!AI141*'1. Standard_Cost'!$D$27+'Incremental_Cost Year 6'!AJ141+'Incremental_Cost Year 6'!AL141+AK141</f>
        <v>0</v>
      </c>
      <c r="AN141" s="127">
        <f>AM141*'1. Standard_Cost'!$C$31</f>
        <v>0</v>
      </c>
      <c r="AO141" s="130"/>
      <c r="AQ141" s="171">
        <f t="shared" ref="AQ141:AQ148" si="92">L141+M141</f>
        <v>0</v>
      </c>
      <c r="AR141" s="171">
        <f t="shared" ref="AR141:AR148" si="93">AF141</f>
        <v>0</v>
      </c>
      <c r="AS141" s="171">
        <f t="shared" ref="AS141:AS148" si="94">AM141+AN141</f>
        <v>0</v>
      </c>
      <c r="AT141" s="171">
        <f t="shared" ref="AT141:AT148" si="95">SUM(AQ141,AR141,AS141)</f>
        <v>0</v>
      </c>
      <c r="AU141" s="250"/>
      <c r="AV141" s="250"/>
      <c r="AW141" s="250"/>
      <c r="AX141" s="250"/>
      <c r="AY141" s="250"/>
      <c r="AZ141" s="250"/>
      <c r="BA141" s="250"/>
      <c r="BB141" s="251">
        <f t="shared" ref="BB141:BB148" si="96">SUM(AU141:BA141)-AT141</f>
        <v>0</v>
      </c>
      <c r="BC141" s="169"/>
      <c r="BD141" s="169"/>
      <c r="BE141" s="169"/>
      <c r="BF141" s="169"/>
    </row>
    <row r="142" spans="1:58" ht="47.25" outlineLevel="2" x14ac:dyDescent="0.25">
      <c r="A142" s="115"/>
      <c r="B142" s="200"/>
      <c r="C142" s="330"/>
      <c r="D142" s="343"/>
      <c r="E142" s="328"/>
      <c r="F142" s="328"/>
      <c r="G142" s="328"/>
      <c r="H142" s="199" t="s">
        <v>458</v>
      </c>
      <c r="I142" s="130"/>
      <c r="J142" s="126"/>
      <c r="K142" s="126"/>
      <c r="L142" s="125" t="str">
        <f>IF(I142&lt;&gt;0,((VLOOKUP(I142,'1. Standard_Cost'!$B$4:$D$11,2)+VLOOKUP(I142,'1. Standard_Cost'!$B$4:$D$11,3))*J142*K142),"0")</f>
        <v>0</v>
      </c>
      <c r="M142" s="125">
        <f>L142*'1. Standard_Cost'!$F$4</f>
        <v>0</v>
      </c>
      <c r="N142" s="126"/>
      <c r="O142" s="126"/>
      <c r="P142" s="126"/>
      <c r="Q142" s="126"/>
      <c r="R142" s="127">
        <f>'1. Standard_Cost'!$B$15*N142*P142</f>
        <v>0</v>
      </c>
      <c r="S142" s="127">
        <f>N142*O142*P142*'1. Standard_Cost'!$C$15</f>
        <v>0</v>
      </c>
      <c r="T142" s="127">
        <f>N142*P142*Q142*'1. Standard_Cost'!$D$15</f>
        <v>0</v>
      </c>
      <c r="U142" s="127">
        <f>N142*O142*'1. Standard_Cost'!$E$15</f>
        <v>0</v>
      </c>
      <c r="V142" s="126"/>
      <c r="W142" s="126"/>
      <c r="X142" s="126"/>
      <c r="Y142" s="127">
        <f>+V142*((X142*'1. Standard_Cost'!$B$19)+(W142*X142*'1. Standard_Cost'!$C$19))</f>
        <v>0</v>
      </c>
      <c r="Z142" s="126"/>
      <c r="AA142" s="126"/>
      <c r="AB142" s="127">
        <f>+Z142*'1. Standard_Cost'!$B$23+AA142*'1. Standard_Cost'!$C$23</f>
        <v>0</v>
      </c>
      <c r="AC142" s="128"/>
      <c r="AD142" s="129"/>
      <c r="AE142" s="127">
        <f>SUM(AD142,AC142,AB142,Y142,U142,T142,S142,R142)*'1. Standard_Cost'!$B$31</f>
        <v>0</v>
      </c>
      <c r="AF142" s="127">
        <f t="shared" si="91"/>
        <v>0</v>
      </c>
      <c r="AG142" s="126"/>
      <c r="AH142" s="126"/>
      <c r="AI142" s="126"/>
      <c r="AJ142" s="130"/>
      <c r="AK142" s="130"/>
      <c r="AL142" s="130"/>
      <c r="AM142" s="127">
        <f>AG142*'1. Standard_Cost'!$B$27+'Incremental_Cost Year 6'!AH142*'1. Standard_Cost'!$C$27+'Incremental_Cost Year 6'!AI142*'1. Standard_Cost'!$D$27+'Incremental_Cost Year 6'!AJ142+'Incremental_Cost Year 6'!AL142+AK142</f>
        <v>0</v>
      </c>
      <c r="AN142" s="127">
        <f>AM142*'1. Standard_Cost'!$C$31</f>
        <v>0</v>
      </c>
      <c r="AO142" s="130"/>
      <c r="AQ142" s="171">
        <f t="shared" si="92"/>
        <v>0</v>
      </c>
      <c r="AR142" s="171">
        <f t="shared" si="93"/>
        <v>0</v>
      </c>
      <c r="AS142" s="171">
        <f t="shared" si="94"/>
        <v>0</v>
      </c>
      <c r="AT142" s="171">
        <f t="shared" si="95"/>
        <v>0</v>
      </c>
      <c r="AU142" s="250"/>
      <c r="AV142" s="250"/>
      <c r="AW142" s="250"/>
      <c r="AX142" s="250"/>
      <c r="AY142" s="250"/>
      <c r="AZ142" s="250"/>
      <c r="BA142" s="250"/>
      <c r="BB142" s="251">
        <f t="shared" si="96"/>
        <v>0</v>
      </c>
      <c r="BC142" s="169"/>
      <c r="BD142" s="169"/>
      <c r="BE142" s="169"/>
      <c r="BF142" s="169"/>
    </row>
    <row r="143" spans="1:58" ht="94.5" outlineLevel="2" x14ac:dyDescent="0.25">
      <c r="A143" s="115"/>
      <c r="B143" s="200"/>
      <c r="C143" s="330"/>
      <c r="D143" s="343"/>
      <c r="E143" s="328"/>
      <c r="F143" s="328"/>
      <c r="G143" s="328"/>
      <c r="H143" s="199" t="s">
        <v>459</v>
      </c>
      <c r="I143" s="130" t="s">
        <v>3</v>
      </c>
      <c r="J143" s="126">
        <v>12</v>
      </c>
      <c r="K143" s="126">
        <v>5</v>
      </c>
      <c r="L143" s="125">
        <f>IF(I143&lt;&gt;0,((VLOOKUP(I143,'1. Standard_Cost'!$B$4:$D$11,2)+VLOOKUP(I143,'1. Standard_Cost'!$B$4:$D$11,3))*J143*K143),"0")</f>
        <v>6048000</v>
      </c>
      <c r="M143" s="125">
        <f>L143*'1. Standard_Cost'!$F$4</f>
        <v>1010016</v>
      </c>
      <c r="N143" s="126"/>
      <c r="O143" s="126"/>
      <c r="P143" s="126"/>
      <c r="Q143" s="126"/>
      <c r="R143" s="127">
        <f>'1. Standard_Cost'!$B$15*N143*P143</f>
        <v>0</v>
      </c>
      <c r="S143" s="127">
        <f>N143*O143*P143*'1. Standard_Cost'!$C$15</f>
        <v>0</v>
      </c>
      <c r="T143" s="127">
        <f>N143*P143*Q143*'1. Standard_Cost'!$D$15</f>
        <v>0</v>
      </c>
      <c r="U143" s="127">
        <f>N143*O143*'1. Standard_Cost'!$E$15</f>
        <v>0</v>
      </c>
      <c r="V143" s="126"/>
      <c r="W143" s="126"/>
      <c r="X143" s="126"/>
      <c r="Y143" s="127">
        <f>+V143*((X143*'1. Standard_Cost'!$B$19)+(W143*X143*'1. Standard_Cost'!$C$19))</f>
        <v>0</v>
      </c>
      <c r="Z143" s="126"/>
      <c r="AA143" s="126"/>
      <c r="AB143" s="127">
        <f>+Z143*'1. Standard_Cost'!$B$23+AA143*'1. Standard_Cost'!$C$23</f>
        <v>0</v>
      </c>
      <c r="AC143" s="128">
        <v>1200000</v>
      </c>
      <c r="AD143" s="129"/>
      <c r="AE143" s="127">
        <f>SUM(AD143,AC143,AB143,Y143,U143,T143,S143,R143)*'1. Standard_Cost'!$B$31</f>
        <v>240000</v>
      </c>
      <c r="AF143" s="127">
        <f t="shared" si="91"/>
        <v>1440000</v>
      </c>
      <c r="AG143" s="126"/>
      <c r="AH143" s="126"/>
      <c r="AI143" s="126"/>
      <c r="AJ143" s="130"/>
      <c r="AK143" s="130"/>
      <c r="AL143" s="130">
        <v>10000000</v>
      </c>
      <c r="AM143" s="127">
        <f>AG143*'1. Standard_Cost'!$B$27+'Incremental_Cost Year 6'!AH143*'1. Standard_Cost'!$C$27+'Incremental_Cost Year 6'!AI143*'1. Standard_Cost'!$D$27+'Incremental_Cost Year 6'!AJ143+'Incremental_Cost Year 6'!AL143+AK143</f>
        <v>10000000</v>
      </c>
      <c r="AN143" s="127">
        <f>AM143*'1. Standard_Cost'!$C$31</f>
        <v>1500000</v>
      </c>
      <c r="AO143" s="130"/>
      <c r="AQ143" s="171">
        <f t="shared" si="92"/>
        <v>7058016</v>
      </c>
      <c r="AR143" s="171">
        <f t="shared" si="93"/>
        <v>1440000</v>
      </c>
      <c r="AS143" s="171">
        <f t="shared" si="94"/>
        <v>11500000</v>
      </c>
      <c r="AT143" s="171">
        <f t="shared" si="95"/>
        <v>19998016</v>
      </c>
      <c r="AU143" s="250">
        <v>8498016</v>
      </c>
      <c r="AV143" s="250"/>
      <c r="AW143" s="250"/>
      <c r="AX143" s="250"/>
      <c r="AY143" s="250"/>
      <c r="AZ143" s="250"/>
      <c r="BA143" s="250"/>
      <c r="BB143" s="251">
        <f t="shared" si="96"/>
        <v>-11500000</v>
      </c>
      <c r="BC143" s="169"/>
      <c r="BD143" s="169"/>
      <c r="BE143" s="169"/>
      <c r="BF143" s="169"/>
    </row>
    <row r="144" spans="1:58" ht="47.25" outlineLevel="2" x14ac:dyDescent="0.25">
      <c r="A144" s="115"/>
      <c r="B144" s="200"/>
      <c r="C144" s="330"/>
      <c r="D144" s="343"/>
      <c r="E144" s="328"/>
      <c r="F144" s="328"/>
      <c r="G144" s="328"/>
      <c r="H144" s="199" t="s">
        <v>460</v>
      </c>
      <c r="I144" s="130"/>
      <c r="J144" s="126"/>
      <c r="K144" s="126"/>
      <c r="L144" s="125" t="str">
        <f>IF(I144&lt;&gt;0,((VLOOKUP(I144,'1. Standard_Cost'!$B$4:$D$11,2)+VLOOKUP(I144,'1. Standard_Cost'!$B$4:$D$11,3))*J144*K144),"0")</f>
        <v>0</v>
      </c>
      <c r="M144" s="125">
        <f>L144*'1. Standard_Cost'!$F$4</f>
        <v>0</v>
      </c>
      <c r="N144" s="126"/>
      <c r="O144" s="126"/>
      <c r="P144" s="126"/>
      <c r="Q144" s="126"/>
      <c r="R144" s="127">
        <f>'1. Standard_Cost'!$B$15*N144*P144</f>
        <v>0</v>
      </c>
      <c r="S144" s="127">
        <f>N144*O144*P144*'1. Standard_Cost'!$C$15</f>
        <v>0</v>
      </c>
      <c r="T144" s="127">
        <f>N144*P144*Q144*'1. Standard_Cost'!$D$15</f>
        <v>0</v>
      </c>
      <c r="U144" s="127">
        <f>N144*O144*'1. Standard_Cost'!$E$15</f>
        <v>0</v>
      </c>
      <c r="V144" s="126">
        <v>1</v>
      </c>
      <c r="W144" s="126">
        <v>5</v>
      </c>
      <c r="X144" s="126">
        <v>3</v>
      </c>
      <c r="Y144" s="127">
        <f>+V144*((X144*'1. Standard_Cost'!$B$19)+(W144*X144*'1. Standard_Cost'!$C$19))</f>
        <v>255000</v>
      </c>
      <c r="Z144" s="126"/>
      <c r="AA144" s="126"/>
      <c r="AB144" s="127">
        <f>+Z144*'1. Standard_Cost'!$B$23+AA144*'1. Standard_Cost'!$C$23</f>
        <v>0</v>
      </c>
      <c r="AC144" s="128">
        <v>500000</v>
      </c>
      <c r="AD144" s="129"/>
      <c r="AE144" s="127">
        <f>SUM(AD144,AC144,AB144,Y144,U144,T144,S144,R144)*'1. Standard_Cost'!$B$31</f>
        <v>151000</v>
      </c>
      <c r="AF144" s="127">
        <f t="shared" si="91"/>
        <v>906000</v>
      </c>
      <c r="AG144" s="126"/>
      <c r="AH144" s="126"/>
      <c r="AI144" s="126"/>
      <c r="AJ144" s="130"/>
      <c r="AK144" s="130"/>
      <c r="AL144" s="130"/>
      <c r="AM144" s="127">
        <f>AG144*'1. Standard_Cost'!$B$27+'Incremental_Cost Year 6'!AH144*'1. Standard_Cost'!$C$27+'Incremental_Cost Year 6'!AI144*'1. Standard_Cost'!$D$27+'Incremental_Cost Year 6'!AJ144+'Incremental_Cost Year 6'!AL144+AK144</f>
        <v>0</v>
      </c>
      <c r="AN144" s="127">
        <f>AM144*'1. Standard_Cost'!$C$31</f>
        <v>0</v>
      </c>
      <c r="AO144" s="130"/>
      <c r="AQ144" s="171">
        <f t="shared" si="92"/>
        <v>0</v>
      </c>
      <c r="AR144" s="171">
        <f t="shared" si="93"/>
        <v>906000</v>
      </c>
      <c r="AS144" s="171">
        <f t="shared" si="94"/>
        <v>0</v>
      </c>
      <c r="AT144" s="171">
        <f t="shared" si="95"/>
        <v>906000</v>
      </c>
      <c r="AU144" s="250">
        <v>906000</v>
      </c>
      <c r="AV144" s="250"/>
      <c r="AW144" s="250"/>
      <c r="AX144" s="250"/>
      <c r="AY144" s="250"/>
      <c r="AZ144" s="250"/>
      <c r="BA144" s="250"/>
      <c r="BB144" s="251">
        <f t="shared" si="96"/>
        <v>0</v>
      </c>
      <c r="BC144" s="169"/>
      <c r="BD144" s="169"/>
      <c r="BE144" s="169"/>
      <c r="BF144" s="169"/>
    </row>
    <row r="145" spans="1:58" ht="93.6" customHeight="1" outlineLevel="2" x14ac:dyDescent="0.25">
      <c r="A145" s="115"/>
      <c r="B145" s="200"/>
      <c r="C145" s="330"/>
      <c r="D145" s="343"/>
      <c r="E145" s="328"/>
      <c r="F145" s="328"/>
      <c r="G145" s="328"/>
      <c r="H145" s="199" t="s">
        <v>461</v>
      </c>
      <c r="I145" s="130" t="s">
        <v>4</v>
      </c>
      <c r="J145" s="126">
        <v>3</v>
      </c>
      <c r="K145" s="126">
        <v>8</v>
      </c>
      <c r="L145" s="125">
        <f>IF(I145&lt;&gt;0,((VLOOKUP(I145,'1. Standard_Cost'!$B$4:$D$11,2)+VLOOKUP(I145,'1. Standard_Cost'!$B$4:$D$11,3))*J145*K145),"0")</f>
        <v>1938000</v>
      </c>
      <c r="M145" s="125">
        <f>L145*'1. Standard_Cost'!$F$4</f>
        <v>323646</v>
      </c>
      <c r="N145" s="126"/>
      <c r="O145" s="126"/>
      <c r="P145" s="126"/>
      <c r="Q145" s="126"/>
      <c r="R145" s="127">
        <f>'1. Standard_Cost'!$B$15*N145*P145</f>
        <v>0</v>
      </c>
      <c r="S145" s="127">
        <f>N145*O145*P145*'1. Standard_Cost'!$C$15</f>
        <v>0</v>
      </c>
      <c r="T145" s="127">
        <f>N145*P145*Q145*'1. Standard_Cost'!$D$15</f>
        <v>0</v>
      </c>
      <c r="U145" s="127">
        <f>N145*O145*'1. Standard_Cost'!$E$15</f>
        <v>0</v>
      </c>
      <c r="V145" s="126"/>
      <c r="W145" s="126"/>
      <c r="X145" s="126"/>
      <c r="Y145" s="127">
        <f>+V145*((X145*'1. Standard_Cost'!$B$19)+(W145*X145*'1. Standard_Cost'!$C$19))</f>
        <v>0</v>
      </c>
      <c r="Z145" s="126"/>
      <c r="AA145" s="126"/>
      <c r="AB145" s="127">
        <f>+Z145*'1. Standard_Cost'!$B$23+AA145*'1. Standard_Cost'!$C$23</f>
        <v>0</v>
      </c>
      <c r="AC145" s="128">
        <v>271400</v>
      </c>
      <c r="AD145" s="129"/>
      <c r="AE145" s="127">
        <f>SUM(AD145,AC145,AB145,Y145,U145,T145,S145,R145)*'1. Standard_Cost'!$B$31</f>
        <v>54280</v>
      </c>
      <c r="AF145" s="127">
        <f t="shared" si="91"/>
        <v>325680</v>
      </c>
      <c r="AG145" s="126"/>
      <c r="AH145" s="126"/>
      <c r="AI145" s="126"/>
      <c r="AJ145" s="130"/>
      <c r="AK145" s="130"/>
      <c r="AL145" s="130">
        <v>10000000</v>
      </c>
      <c r="AM145" s="127">
        <f>AG145*'1. Standard_Cost'!$B$27+'Incremental_Cost Year 6'!AH145*'1. Standard_Cost'!$C$27+'Incremental_Cost Year 6'!AI145*'1. Standard_Cost'!$D$27+'Incremental_Cost Year 6'!AJ145+'Incremental_Cost Year 6'!AL145+AK145</f>
        <v>10000000</v>
      </c>
      <c r="AN145" s="127">
        <f>AM145*'1. Standard_Cost'!$C$31</f>
        <v>1500000</v>
      </c>
      <c r="AO145" s="130"/>
      <c r="AQ145" s="171">
        <f t="shared" si="92"/>
        <v>2261646</v>
      </c>
      <c r="AR145" s="171">
        <f t="shared" si="93"/>
        <v>325680</v>
      </c>
      <c r="AS145" s="171">
        <f t="shared" si="94"/>
        <v>11500000</v>
      </c>
      <c r="AT145" s="171">
        <f t="shared" si="95"/>
        <v>14087326</v>
      </c>
      <c r="AU145" s="250">
        <v>2587326</v>
      </c>
      <c r="AV145" s="250"/>
      <c r="AW145" s="250"/>
      <c r="AX145" s="250"/>
      <c r="AY145" s="250"/>
      <c r="AZ145" s="250"/>
      <c r="BA145" s="250"/>
      <c r="BB145" s="251">
        <f t="shared" si="96"/>
        <v>-11500000</v>
      </c>
      <c r="BC145" s="169"/>
      <c r="BD145" s="169"/>
      <c r="BE145" s="169"/>
      <c r="BF145" s="169"/>
    </row>
    <row r="146" spans="1:58" ht="173.25" outlineLevel="2" x14ac:dyDescent="0.25">
      <c r="A146" s="115"/>
      <c r="B146" s="200"/>
      <c r="C146" s="330"/>
      <c r="D146" s="343"/>
      <c r="E146" s="328"/>
      <c r="F146" s="328"/>
      <c r="G146" s="328"/>
      <c r="H146" s="199" t="s">
        <v>462</v>
      </c>
      <c r="I146" s="130" t="s">
        <v>3</v>
      </c>
      <c r="J146" s="126">
        <v>3</v>
      </c>
      <c r="K146" s="126">
        <v>5</v>
      </c>
      <c r="L146" s="125">
        <f>IF(I146&lt;&gt;0,((VLOOKUP(I146,'1. Standard_Cost'!$B$4:$D$11,2)+VLOOKUP(I146,'1. Standard_Cost'!$B$4:$D$11,3))*J146*K146),"0")</f>
        <v>1512000</v>
      </c>
      <c r="M146" s="125">
        <f>L146*'1. Standard_Cost'!$F$4</f>
        <v>252504</v>
      </c>
      <c r="N146" s="126"/>
      <c r="O146" s="126"/>
      <c r="P146" s="126"/>
      <c r="Q146" s="126"/>
      <c r="R146" s="127">
        <f>'1. Standard_Cost'!$B$15*N146*P146</f>
        <v>0</v>
      </c>
      <c r="S146" s="127">
        <f>N146*O146*P146*'1. Standard_Cost'!$C$15</f>
        <v>0</v>
      </c>
      <c r="T146" s="127">
        <f>N146*P146*Q146*'1. Standard_Cost'!$D$15</f>
        <v>0</v>
      </c>
      <c r="U146" s="127">
        <f>N146*O146*'1. Standard_Cost'!$E$15</f>
        <v>0</v>
      </c>
      <c r="V146" s="126"/>
      <c r="W146" s="126"/>
      <c r="X146" s="126"/>
      <c r="Y146" s="127">
        <f>+V146*((X146*'1. Standard_Cost'!$B$19)+(W146*X146*'1. Standard_Cost'!$C$19))</f>
        <v>0</v>
      </c>
      <c r="Z146" s="126"/>
      <c r="AA146" s="126">
        <v>30</v>
      </c>
      <c r="AB146" s="127">
        <f>+Z146*'1. Standard_Cost'!$B$23+AA146*'1. Standard_Cost'!$C$23</f>
        <v>570000</v>
      </c>
      <c r="AC146" s="128">
        <v>224000</v>
      </c>
      <c r="AD146" s="129"/>
      <c r="AE146" s="127">
        <f>SUM(AD146,AC146,AB146,Y146,U146,T146,S146,R146)*'1. Standard_Cost'!$B$31</f>
        <v>158800</v>
      </c>
      <c r="AF146" s="127">
        <f t="shared" si="91"/>
        <v>952800</v>
      </c>
      <c r="AG146" s="126"/>
      <c r="AH146" s="126"/>
      <c r="AI146" s="126"/>
      <c r="AJ146" s="130"/>
      <c r="AK146" s="130"/>
      <c r="AL146" s="130"/>
      <c r="AM146" s="127">
        <f>AG146*'1. Standard_Cost'!$B$27+'Incremental_Cost Year 6'!AH146*'1. Standard_Cost'!$C$27+'Incremental_Cost Year 6'!AI146*'1. Standard_Cost'!$D$27+'Incremental_Cost Year 6'!AJ146+'Incremental_Cost Year 6'!AL146+AK146</f>
        <v>0</v>
      </c>
      <c r="AN146" s="127">
        <f>AM146*'1. Standard_Cost'!$C$31</f>
        <v>0</v>
      </c>
      <c r="AO146" s="130"/>
      <c r="AQ146" s="171">
        <f t="shared" si="92"/>
        <v>1764504</v>
      </c>
      <c r="AR146" s="171">
        <f t="shared" si="93"/>
        <v>952800</v>
      </c>
      <c r="AS146" s="171">
        <f t="shared" si="94"/>
        <v>0</v>
      </c>
      <c r="AT146" s="171">
        <f t="shared" si="95"/>
        <v>2717304</v>
      </c>
      <c r="AU146" s="250">
        <v>1919304</v>
      </c>
      <c r="AV146" s="250"/>
      <c r="AW146" s="250"/>
      <c r="AX146" s="250"/>
      <c r="AY146" s="250"/>
      <c r="AZ146" s="250"/>
      <c r="BA146" s="250"/>
      <c r="BB146" s="251">
        <f t="shared" si="96"/>
        <v>-798000</v>
      </c>
      <c r="BC146" s="169"/>
      <c r="BD146" s="169"/>
      <c r="BE146" s="169"/>
      <c r="BF146" s="169"/>
    </row>
    <row r="147" spans="1:58" ht="94.5" outlineLevel="2" x14ac:dyDescent="0.25">
      <c r="A147" s="115"/>
      <c r="B147" s="200"/>
      <c r="C147" s="330"/>
      <c r="D147" s="343"/>
      <c r="E147" s="328"/>
      <c r="F147" s="328"/>
      <c r="G147" s="328"/>
      <c r="H147" s="199" t="s">
        <v>295</v>
      </c>
      <c r="I147" s="130" t="s">
        <v>5</v>
      </c>
      <c r="J147" s="126">
        <v>0.5</v>
      </c>
      <c r="K147" s="126">
        <v>50</v>
      </c>
      <c r="L147" s="125">
        <f>IF(I147&lt;&gt;0,((VLOOKUP(I147,'1. Standard_Cost'!$B$4:$D$11,2)+VLOOKUP(I147,'1. Standard_Cost'!$B$4:$D$11,3))*J147*K147),"0")</f>
        <v>1767500</v>
      </c>
      <c r="M147" s="125">
        <f>L147*'1. Standard_Cost'!$F$4</f>
        <v>295172.5</v>
      </c>
      <c r="N147" s="126"/>
      <c r="O147" s="126"/>
      <c r="P147" s="126"/>
      <c r="Q147" s="126"/>
      <c r="R147" s="127">
        <f>'1. Standard_Cost'!$B$15*N147*P147</f>
        <v>0</v>
      </c>
      <c r="S147" s="127">
        <f>N147*O147*P147*'1. Standard_Cost'!$C$15</f>
        <v>0</v>
      </c>
      <c r="T147" s="127">
        <f>N147*P147*Q147*'1. Standard_Cost'!$D$15</f>
        <v>0</v>
      </c>
      <c r="U147" s="127">
        <f>N147*O147*'1. Standard_Cost'!$E$15</f>
        <v>0</v>
      </c>
      <c r="V147" s="126"/>
      <c r="W147" s="126"/>
      <c r="X147" s="126"/>
      <c r="Y147" s="127">
        <f>+V147*((X147*'1. Standard_Cost'!$B$19)+(W147*X147*'1. Standard_Cost'!$C$19))</f>
        <v>0</v>
      </c>
      <c r="Z147" s="126"/>
      <c r="AA147" s="126"/>
      <c r="AB147" s="127">
        <f>+Z147*'1. Standard_Cost'!$B$23+AA147*'1. Standard_Cost'!$C$23</f>
        <v>0</v>
      </c>
      <c r="AC147" s="128">
        <v>247520</v>
      </c>
      <c r="AD147" s="129"/>
      <c r="AE147" s="127">
        <f>SUM(AD147,AC147,AB147,Y147,U147,T147,S147,R147)*'1. Standard_Cost'!$B$31</f>
        <v>49504</v>
      </c>
      <c r="AF147" s="127">
        <f t="shared" si="91"/>
        <v>297024</v>
      </c>
      <c r="AG147" s="126"/>
      <c r="AH147" s="126"/>
      <c r="AI147" s="126"/>
      <c r="AJ147" s="130"/>
      <c r="AK147" s="130"/>
      <c r="AL147" s="130"/>
      <c r="AM147" s="127">
        <f>AG147*'1. Standard_Cost'!$B$27+'Incremental_Cost Year 6'!AH147*'1. Standard_Cost'!$C$27+'Incremental_Cost Year 6'!AI147*'1. Standard_Cost'!$D$27+'Incremental_Cost Year 6'!AJ147+'Incremental_Cost Year 6'!AL147+AK147</f>
        <v>0</v>
      </c>
      <c r="AN147" s="127">
        <f>AM147*'1. Standard_Cost'!$C$31</f>
        <v>0</v>
      </c>
      <c r="AO147" s="130"/>
      <c r="AQ147" s="171">
        <f t="shared" si="92"/>
        <v>2062672.5</v>
      </c>
      <c r="AR147" s="171">
        <f t="shared" si="93"/>
        <v>297024</v>
      </c>
      <c r="AS147" s="171">
        <f t="shared" si="94"/>
        <v>0</v>
      </c>
      <c r="AT147" s="171">
        <f t="shared" si="95"/>
        <v>2359696.5</v>
      </c>
      <c r="AU147" s="250">
        <f>AT147</f>
        <v>2359696.5</v>
      </c>
      <c r="AV147" s="250"/>
      <c r="AW147" s="250"/>
      <c r="AX147" s="250"/>
      <c r="AY147" s="250"/>
      <c r="AZ147" s="250"/>
      <c r="BA147" s="250"/>
      <c r="BB147" s="251">
        <f t="shared" si="96"/>
        <v>0</v>
      </c>
      <c r="BC147" s="169"/>
      <c r="BD147" s="169"/>
      <c r="BE147" s="169"/>
      <c r="BF147" s="169"/>
    </row>
    <row r="148" spans="1:58" ht="126" outlineLevel="2" x14ac:dyDescent="0.25">
      <c r="A148" s="115"/>
      <c r="B148" s="147"/>
      <c r="C148" s="341"/>
      <c r="D148" s="343"/>
      <c r="E148" s="328"/>
      <c r="F148" s="328"/>
      <c r="G148" s="328"/>
      <c r="H148" s="199" t="s">
        <v>463</v>
      </c>
      <c r="I148" s="130" t="s">
        <v>4</v>
      </c>
      <c r="J148" s="126">
        <v>2</v>
      </c>
      <c r="K148" s="126">
        <v>2</v>
      </c>
      <c r="L148" s="125">
        <f>IF(I148&lt;&gt;0,((VLOOKUP(I148,'1. Standard_Cost'!$B$4:$D$11,2)+VLOOKUP(I148,'1. Standard_Cost'!$B$4:$D$11,3))*J148*K148),"0")</f>
        <v>323000</v>
      </c>
      <c r="M148" s="125">
        <f>L148*'1. Standard_Cost'!$F$4</f>
        <v>53941</v>
      </c>
      <c r="N148" s="126">
        <v>10</v>
      </c>
      <c r="O148" s="126">
        <v>1</v>
      </c>
      <c r="P148" s="126">
        <v>20</v>
      </c>
      <c r="Q148" s="126"/>
      <c r="R148" s="127">
        <f>'1. Standard_Cost'!$B$15*N148*P148</f>
        <v>400000</v>
      </c>
      <c r="S148" s="127">
        <f>N148*O148*P148*'1. Standard_Cost'!$C$15</f>
        <v>300000</v>
      </c>
      <c r="T148" s="127">
        <f>N148*P148*Q148*'1. Standard_Cost'!$D$15</f>
        <v>0</v>
      </c>
      <c r="U148" s="127">
        <f>N148*O148*'1. Standard_Cost'!$E$15</f>
        <v>400000</v>
      </c>
      <c r="V148" s="126"/>
      <c r="W148" s="126"/>
      <c r="X148" s="126"/>
      <c r="Y148" s="127">
        <f>+V148*((X148*'1. Standard_Cost'!$B$19)+(W148*X148*'1. Standard_Cost'!$C$19))</f>
        <v>0</v>
      </c>
      <c r="Z148" s="126"/>
      <c r="AA148" s="126">
        <v>11</v>
      </c>
      <c r="AB148" s="127">
        <f>+Z148*'1. Standard_Cost'!$B$23+AA148*'1. Standard_Cost'!$C$23</f>
        <v>209000</v>
      </c>
      <c r="AC148" s="128">
        <f>200*3300</f>
        <v>660000</v>
      </c>
      <c r="AD148" s="129"/>
      <c r="AE148" s="127">
        <f>SUM(AD148,AC148,AB148,Y148,U148,T148,S148,R148)*'1. Standard_Cost'!$B$31</f>
        <v>393800</v>
      </c>
      <c r="AF148" s="127">
        <f t="shared" si="91"/>
        <v>2362800</v>
      </c>
      <c r="AG148" s="126"/>
      <c r="AH148" s="126"/>
      <c r="AI148" s="126"/>
      <c r="AJ148" s="130"/>
      <c r="AK148" s="130"/>
      <c r="AL148" s="130"/>
      <c r="AM148" s="127">
        <f>AG148*'1. Standard_Cost'!$B$27+'Incremental_Cost Year 6'!AH148*'1. Standard_Cost'!$C$27+'Incremental_Cost Year 6'!AI148*'1. Standard_Cost'!$D$27+'Incremental_Cost Year 6'!AJ148+'Incremental_Cost Year 6'!AL148+AK148</f>
        <v>0</v>
      </c>
      <c r="AN148" s="127">
        <f>AM148*'1. Standard_Cost'!$C$31</f>
        <v>0</v>
      </c>
      <c r="AO148" s="130"/>
      <c r="AQ148" s="171">
        <f t="shared" si="92"/>
        <v>376941</v>
      </c>
      <c r="AR148" s="171">
        <f t="shared" si="93"/>
        <v>2362800</v>
      </c>
      <c r="AS148" s="171">
        <f t="shared" si="94"/>
        <v>0</v>
      </c>
      <c r="AT148" s="171">
        <f t="shared" si="95"/>
        <v>2739741</v>
      </c>
      <c r="AU148" s="250">
        <v>376941</v>
      </c>
      <c r="AV148" s="250"/>
      <c r="AW148" s="250"/>
      <c r="AX148" s="250"/>
      <c r="AY148" s="250"/>
      <c r="AZ148" s="250"/>
      <c r="BA148" s="250"/>
      <c r="BB148" s="251">
        <f t="shared" si="96"/>
        <v>-2362800</v>
      </c>
      <c r="BC148" s="169"/>
      <c r="BD148" s="169"/>
      <c r="BE148" s="169"/>
      <c r="BF148" s="169"/>
    </row>
    <row r="149" spans="1:58" ht="141.75" outlineLevel="1" x14ac:dyDescent="0.25">
      <c r="A149" s="115"/>
      <c r="B149" s="165"/>
      <c r="C149" s="166"/>
      <c r="D149" s="228" t="s">
        <v>464</v>
      </c>
      <c r="E149" s="345" t="s">
        <v>296</v>
      </c>
      <c r="F149" s="136">
        <v>2024</v>
      </c>
      <c r="G149" s="117">
        <v>2030</v>
      </c>
      <c r="H149" s="110" t="s">
        <v>297</v>
      </c>
      <c r="I149" s="252"/>
      <c r="J149" s="252"/>
      <c r="K149" s="252"/>
      <c r="L149" s="127">
        <f>SUM(L141:L148)</f>
        <v>11588500</v>
      </c>
      <c r="M149" s="127">
        <f>SUM(M141:M148)</f>
        <v>1935279.5</v>
      </c>
      <c r="N149" s="127"/>
      <c r="O149" s="252"/>
      <c r="P149" s="252"/>
      <c r="Q149" s="252"/>
      <c r="R149" s="127">
        <f>SUM(R141:R148)</f>
        <v>400000</v>
      </c>
      <c r="S149" s="127">
        <f>SUM(S141:S148)</f>
        <v>300000</v>
      </c>
      <c r="T149" s="127">
        <f>SUM(T141:T148)</f>
        <v>0</v>
      </c>
      <c r="U149" s="127">
        <f>SUM(U141:U148)</f>
        <v>400000</v>
      </c>
      <c r="V149" s="252"/>
      <c r="W149" s="252"/>
      <c r="X149" s="252"/>
      <c r="Y149" s="127">
        <f>SUM(Y141:Y148)</f>
        <v>255000</v>
      </c>
      <c r="Z149" s="252"/>
      <c r="AA149" s="252"/>
      <c r="AB149" s="127">
        <f>SUM(AB141:AB148)</f>
        <v>779000</v>
      </c>
      <c r="AC149" s="127">
        <f>SUM(AC141:AC148)</f>
        <v>3102920</v>
      </c>
      <c r="AD149" s="127">
        <f>SUM(AD141:AD148)</f>
        <v>0</v>
      </c>
      <c r="AE149" s="127">
        <f>SUM(AE141:AE148)</f>
        <v>1047384</v>
      </c>
      <c r="AF149" s="127">
        <f>SUM(AF141:AF148)</f>
        <v>6284304</v>
      </c>
      <c r="AG149" s="252"/>
      <c r="AH149" s="252"/>
      <c r="AI149" s="252"/>
      <c r="AJ149" s="127">
        <f>SUM(AJ141:AJ148)</f>
        <v>0</v>
      </c>
      <c r="AK149" s="127">
        <f>SUM(AK141:AK148)</f>
        <v>0</v>
      </c>
      <c r="AL149" s="127">
        <f>SUM(AL141:AL148)</f>
        <v>20000000</v>
      </c>
      <c r="AM149" s="127">
        <f>SUM(AM141:AM148)</f>
        <v>20000000</v>
      </c>
      <c r="AN149" s="127">
        <f>SUM(AN141:AN148)</f>
        <v>3000000</v>
      </c>
      <c r="AO149" s="253"/>
      <c r="AP149" s="254"/>
      <c r="AQ149" s="175">
        <f>SUM(AQ141:AQ148)</f>
        <v>13523779.5</v>
      </c>
      <c r="AR149" s="175">
        <f>SUM(AR141:AR148)</f>
        <v>6284304</v>
      </c>
      <c r="AS149" s="175">
        <f>SUM(AS141:AS148)</f>
        <v>23000000</v>
      </c>
      <c r="AT149" s="175">
        <f>SUM(AT141:AT148)</f>
        <v>42808083.5</v>
      </c>
      <c r="AU149" s="175">
        <f t="shared" ref="AU149:BB149" si="97">SUM(AU141:AU148)</f>
        <v>16647283.5</v>
      </c>
      <c r="AV149" s="175">
        <f t="shared" si="97"/>
        <v>0</v>
      </c>
      <c r="AW149" s="175">
        <f t="shared" si="97"/>
        <v>0</v>
      </c>
      <c r="AX149" s="175">
        <f t="shared" si="97"/>
        <v>0</v>
      </c>
      <c r="AY149" s="175">
        <f t="shared" si="97"/>
        <v>0</v>
      </c>
      <c r="AZ149" s="175">
        <f t="shared" si="97"/>
        <v>0</v>
      </c>
      <c r="BA149" s="175">
        <f t="shared" si="97"/>
        <v>0</v>
      </c>
      <c r="BB149" s="175">
        <f t="shared" si="97"/>
        <v>-26160800</v>
      </c>
      <c r="BC149" s="169"/>
      <c r="BD149" s="169"/>
      <c r="BE149" s="169"/>
      <c r="BF149" s="169"/>
    </row>
    <row r="150" spans="1:58" s="170" customFormat="1" ht="15.75" customHeight="1" x14ac:dyDescent="0.25">
      <c r="A150" s="120"/>
      <c r="B150" s="388" t="s">
        <v>231</v>
      </c>
      <c r="C150" s="393"/>
      <c r="D150" s="393"/>
      <c r="E150" s="394"/>
      <c r="F150" s="339"/>
      <c r="G150" s="339"/>
      <c r="H150" s="148" t="s">
        <v>166</v>
      </c>
      <c r="I150" s="265"/>
      <c r="J150" s="243"/>
      <c r="K150" s="243"/>
      <c r="L150" s="243">
        <f>L151+L163+L182</f>
        <v>11012216000</v>
      </c>
      <c r="M150" s="243">
        <f>M151+M163+M182</f>
        <v>1839040071.9999998</v>
      </c>
      <c r="N150" s="243"/>
      <c r="O150" s="243"/>
      <c r="P150" s="243"/>
      <c r="Q150" s="243"/>
      <c r="R150" s="243">
        <f>R151+R163+R182</f>
        <v>0</v>
      </c>
      <c r="S150" s="243">
        <f>S151+S163+S182</f>
        <v>0</v>
      </c>
      <c r="T150" s="243">
        <f>T151+T163+T182</f>
        <v>0</v>
      </c>
      <c r="U150" s="243">
        <f>U151+U163+U182</f>
        <v>0</v>
      </c>
      <c r="V150" s="243"/>
      <c r="W150" s="243"/>
      <c r="X150" s="243"/>
      <c r="Y150" s="243"/>
      <c r="Z150" s="243">
        <v>0</v>
      </c>
      <c r="AA150" s="243"/>
      <c r="AB150" s="243">
        <f>AB151+AB163+AB182</f>
        <v>0</v>
      </c>
      <c r="AC150" s="243">
        <f>AC151+AC163+AC182</f>
        <v>14734188274</v>
      </c>
      <c r="AD150" s="243">
        <f>AD151+AD163+AD182</f>
        <v>0</v>
      </c>
      <c r="AE150" s="243">
        <f>AE151+AE163+AE182</f>
        <v>1880077151</v>
      </c>
      <c r="AF150" s="243">
        <f>AF151+AF163+AF182</f>
        <v>16614265425</v>
      </c>
      <c r="AG150" s="243"/>
      <c r="AH150" s="243"/>
      <c r="AI150" s="243"/>
      <c r="AJ150" s="243">
        <f>AJ151+AJ163+AJ182</f>
        <v>0</v>
      </c>
      <c r="AK150" s="243">
        <f>AK151+AK163+AK182</f>
        <v>0</v>
      </c>
      <c r="AL150" s="243">
        <f>AL151+AL163+AL182</f>
        <v>0</v>
      </c>
      <c r="AM150" s="243">
        <f>AM151+AM163+AM182</f>
        <v>0</v>
      </c>
      <c r="AN150" s="243">
        <f>AN151+AN163+AN182</f>
        <v>0</v>
      </c>
      <c r="AO150" s="243"/>
      <c r="AP150" s="244"/>
      <c r="AQ150" s="243">
        <f>AQ151+AQ163+AQ182</f>
        <v>12851256072</v>
      </c>
      <c r="AR150" s="243">
        <f>AR151+AR163+AR182</f>
        <v>16614265425</v>
      </c>
      <c r="AS150" s="243">
        <f>AS151+AS163+AS182</f>
        <v>0</v>
      </c>
      <c r="AT150" s="243">
        <f>AT151+AT163+AT182</f>
        <v>29465521496.999996</v>
      </c>
      <c r="AU150" s="243">
        <f t="shared" ref="AU150:BB150" si="98">AU151+AU163+AU182</f>
        <v>27665521497.200001</v>
      </c>
      <c r="AV150" s="243">
        <f t="shared" si="98"/>
        <v>0</v>
      </c>
      <c r="AW150" s="243">
        <f t="shared" si="98"/>
        <v>0</v>
      </c>
      <c r="AX150" s="243">
        <f t="shared" si="98"/>
        <v>0</v>
      </c>
      <c r="AY150" s="243">
        <f t="shared" si="98"/>
        <v>0</v>
      </c>
      <c r="AZ150" s="243">
        <f t="shared" si="98"/>
        <v>0</v>
      </c>
      <c r="BA150" s="243">
        <f t="shared" si="98"/>
        <v>0</v>
      </c>
      <c r="BB150" s="243">
        <f t="shared" si="98"/>
        <v>-1799999999.7999997</v>
      </c>
    </row>
    <row r="151" spans="1:58" s="184" customFormat="1" ht="15.75" customHeight="1" x14ac:dyDescent="0.25">
      <c r="A151" s="143"/>
      <c r="B151" s="290"/>
      <c r="C151" s="391" t="s">
        <v>232</v>
      </c>
      <c r="D151" s="391"/>
      <c r="E151" s="392"/>
      <c r="F151" s="287"/>
      <c r="G151" s="289"/>
      <c r="H151" s="149" t="s">
        <v>167</v>
      </c>
      <c r="I151" s="257"/>
      <c r="J151" s="257"/>
      <c r="K151" s="257"/>
      <c r="L151" s="258">
        <f>L156+L159+L162</f>
        <v>11029200</v>
      </c>
      <c r="M151" s="258">
        <f>M156+M159+M162</f>
        <v>1841876.4000000001</v>
      </c>
      <c r="N151" s="257"/>
      <c r="O151" s="257"/>
      <c r="P151" s="257"/>
      <c r="Q151" s="257"/>
      <c r="R151" s="258">
        <f>R156+R159+R162</f>
        <v>0</v>
      </c>
      <c r="S151" s="258">
        <f>S156+S159+S162</f>
        <v>0</v>
      </c>
      <c r="T151" s="258">
        <f>T156+T159+T162</f>
        <v>0</v>
      </c>
      <c r="U151" s="258">
        <f>U156+U159+U162</f>
        <v>0</v>
      </c>
      <c r="V151" s="257"/>
      <c r="W151" s="257"/>
      <c r="X151" s="257"/>
      <c r="Y151" s="258"/>
      <c r="Z151" s="258">
        <v>0</v>
      </c>
      <c r="AA151" s="257"/>
      <c r="AB151" s="258">
        <f>AB156+AB159+AB162</f>
        <v>0</v>
      </c>
      <c r="AC151" s="258">
        <f>AC156+AC159+AC162</f>
        <v>3646519</v>
      </c>
      <c r="AD151" s="258">
        <f>AD156+AD159+AD162</f>
        <v>0</v>
      </c>
      <c r="AE151" s="258">
        <f>AE156+AE159+AE162</f>
        <v>0</v>
      </c>
      <c r="AF151" s="258">
        <f>AF156+AF159+AF162</f>
        <v>3646519</v>
      </c>
      <c r="AG151" s="257"/>
      <c r="AH151" s="257"/>
      <c r="AI151" s="257"/>
      <c r="AJ151" s="258">
        <f>AJ156+AJ159+AJ162</f>
        <v>0</v>
      </c>
      <c r="AK151" s="258">
        <f>AK156+AK159+AK162</f>
        <v>0</v>
      </c>
      <c r="AL151" s="258">
        <f>AL156+AL159+AL162</f>
        <v>0</v>
      </c>
      <c r="AM151" s="258">
        <f>AM156+AM159+AM162</f>
        <v>0</v>
      </c>
      <c r="AN151" s="258">
        <f>AN156+AN159+AN162</f>
        <v>0</v>
      </c>
      <c r="AO151" s="259"/>
      <c r="AP151" s="260"/>
      <c r="AQ151" s="258">
        <f>AQ156+AQ159+AQ162</f>
        <v>12871076.4</v>
      </c>
      <c r="AR151" s="258">
        <f>AR156+AR159+AR162</f>
        <v>3646519</v>
      </c>
      <c r="AS151" s="258">
        <f>AS156+AS159+AS162</f>
        <v>0</v>
      </c>
      <c r="AT151" s="258">
        <f>AT156+AT159+AT162</f>
        <v>16517595.4</v>
      </c>
      <c r="AU151" s="258">
        <f t="shared" ref="AU151:BB151" si="99">AU156+AU159+AU162</f>
        <v>16517595</v>
      </c>
      <c r="AV151" s="258">
        <f t="shared" si="99"/>
        <v>0</v>
      </c>
      <c r="AW151" s="258">
        <f t="shared" si="99"/>
        <v>0</v>
      </c>
      <c r="AX151" s="258">
        <f t="shared" si="99"/>
        <v>0</v>
      </c>
      <c r="AY151" s="258">
        <f t="shared" si="99"/>
        <v>0</v>
      </c>
      <c r="AZ151" s="258">
        <f t="shared" si="99"/>
        <v>0</v>
      </c>
      <c r="BA151" s="258">
        <f t="shared" si="99"/>
        <v>0</v>
      </c>
      <c r="BB151" s="258">
        <f t="shared" si="99"/>
        <v>-0.40000000037252903</v>
      </c>
    </row>
    <row r="152" spans="1:58" ht="47.25" outlineLevel="2" x14ac:dyDescent="0.25">
      <c r="A152" s="115"/>
      <c r="B152" s="200"/>
      <c r="C152" s="201"/>
      <c r="D152" s="202"/>
      <c r="E152" s="294"/>
      <c r="F152" s="306"/>
      <c r="G152" s="307"/>
      <c r="H152" s="199" t="s">
        <v>465</v>
      </c>
      <c r="I152" s="130"/>
      <c r="J152" s="126"/>
      <c r="K152" s="126"/>
      <c r="L152" s="125" t="str">
        <f>IF(I152&lt;&gt;0,((VLOOKUP(I152,'1. Standard_Cost'!$B$4:$D$11,2)+VLOOKUP(I152,'1. Standard_Cost'!$B$4:$D$11,3))*J152*K152),"0")</f>
        <v>0</v>
      </c>
      <c r="M152" s="125">
        <f>L152*'1. Standard_Cost'!$F$4</f>
        <v>0</v>
      </c>
      <c r="N152" s="126"/>
      <c r="O152" s="126"/>
      <c r="P152" s="126"/>
      <c r="Q152" s="126"/>
      <c r="R152" s="127">
        <f>'1. Standard_Cost'!$B$15*N152*P152</f>
        <v>0</v>
      </c>
      <c r="S152" s="127">
        <f>N152*O152*P152*'1. Standard_Cost'!$C$15</f>
        <v>0</v>
      </c>
      <c r="T152" s="127">
        <f>N152*P152*Q152*'1. Standard_Cost'!$D$15</f>
        <v>0</v>
      </c>
      <c r="U152" s="127">
        <f>N152*O152*'1. Standard_Cost'!$E$15</f>
        <v>0</v>
      </c>
      <c r="V152" s="126"/>
      <c r="W152" s="126"/>
      <c r="X152" s="126"/>
      <c r="Y152" s="127">
        <f>+V152*((X152*'1. Standard_Cost'!$B$19)+(W152*X152*'1. Standard_Cost'!$C$19))</f>
        <v>0</v>
      </c>
      <c r="Z152" s="126"/>
      <c r="AA152" s="126"/>
      <c r="AB152" s="127">
        <f>+Z152*'1. Standard_Cost'!$B$23+AA152*'1. Standard_Cost'!$C$23</f>
        <v>0</v>
      </c>
      <c r="AC152" s="128"/>
      <c r="AD152" s="129"/>
      <c r="AE152" s="127">
        <f>SUM(AD152,AC152,AB152,Y152,U152,T152,S152,R152)*'1. Standard_Cost'!$B$31</f>
        <v>0</v>
      </c>
      <c r="AF152" s="127">
        <f>SUM(AE152,AD152,AC152,AB152,Y152,U152,T152,S152,R152)</f>
        <v>0</v>
      </c>
      <c r="AG152" s="126"/>
      <c r="AH152" s="126"/>
      <c r="AI152" s="126"/>
      <c r="AJ152" s="130"/>
      <c r="AK152" s="130"/>
      <c r="AL152" s="130"/>
      <c r="AM152" s="127">
        <f>AG152*'1. Standard_Cost'!$B$27+'Incremental_Cost Year 6'!AH152*'1. Standard_Cost'!$C$27+'Incremental_Cost Year 6'!AI152*'1. Standard_Cost'!$D$27+'Incremental_Cost Year 6'!AJ152+'Incremental_Cost Year 6'!AL152+AK152</f>
        <v>0</v>
      </c>
      <c r="AN152" s="127">
        <f>AM152*'1. Standard_Cost'!$C$31</f>
        <v>0</v>
      </c>
      <c r="AO152" s="130"/>
      <c r="AP152" s="256"/>
      <c r="AQ152" s="171">
        <f>L152+M152</f>
        <v>0</v>
      </c>
      <c r="AR152" s="171">
        <f>AF152</f>
        <v>0</v>
      </c>
      <c r="AS152" s="171">
        <f>AM152+AN152</f>
        <v>0</v>
      </c>
      <c r="AT152" s="171">
        <f>SUM(AQ152,AR152,AS152)</f>
        <v>0</v>
      </c>
      <c r="AU152" s="250"/>
      <c r="AV152" s="250"/>
      <c r="AW152" s="250"/>
      <c r="AX152" s="250"/>
      <c r="AY152" s="250"/>
      <c r="AZ152" s="250"/>
      <c r="BA152" s="250"/>
      <c r="BB152" s="251">
        <f t="shared" ref="BB152:BB155" si="100">SUM(AU152:BA152)-AT152</f>
        <v>0</v>
      </c>
      <c r="BC152" s="169"/>
      <c r="BD152" s="169"/>
      <c r="BE152" s="169"/>
      <c r="BF152" s="169"/>
    </row>
    <row r="153" spans="1:58" ht="110.25" outlineLevel="2" x14ac:dyDescent="0.25">
      <c r="A153" s="115"/>
      <c r="B153" s="200"/>
      <c r="C153" s="201"/>
      <c r="D153" s="116"/>
      <c r="E153" s="230"/>
      <c r="F153" s="308"/>
      <c r="G153" s="309"/>
      <c r="H153" s="199" t="s">
        <v>466</v>
      </c>
      <c r="I153" s="130"/>
      <c r="J153" s="126"/>
      <c r="K153" s="126"/>
      <c r="L153" s="125" t="str">
        <f>IF(I153&lt;&gt;0,((VLOOKUP(I153,'1. Standard_Cost'!$B$4:$D$11,2)+VLOOKUP(I153,'1. Standard_Cost'!$B$4:$D$11,3))*J153*K153),"0")</f>
        <v>0</v>
      </c>
      <c r="M153" s="125">
        <f>L153*'1. Standard_Cost'!$F$4</f>
        <v>0</v>
      </c>
      <c r="N153" s="126"/>
      <c r="O153" s="126"/>
      <c r="P153" s="126"/>
      <c r="Q153" s="126"/>
      <c r="R153" s="127">
        <f>'1. Standard_Cost'!$B$15*N153*P153</f>
        <v>0</v>
      </c>
      <c r="S153" s="127">
        <f>N153*O153*P153*'1. Standard_Cost'!$C$15</f>
        <v>0</v>
      </c>
      <c r="T153" s="127">
        <f>N153*P153*Q153*'1. Standard_Cost'!$D$15</f>
        <v>0</v>
      </c>
      <c r="U153" s="127">
        <f>N153*O153*'1. Standard_Cost'!$E$15</f>
        <v>0</v>
      </c>
      <c r="V153" s="126"/>
      <c r="W153" s="126"/>
      <c r="X153" s="126"/>
      <c r="Y153" s="127">
        <f>+V153*((X153*'1. Standard_Cost'!$B$19)+(W153*X153*'1. Standard_Cost'!$C$19))</f>
        <v>0</v>
      </c>
      <c r="Z153" s="126"/>
      <c r="AA153" s="126"/>
      <c r="AB153" s="127">
        <f>+Z153*'1. Standard_Cost'!$B$23+AA153*'1. Standard_Cost'!$C$23</f>
        <v>0</v>
      </c>
      <c r="AC153" s="128"/>
      <c r="AD153" s="129"/>
      <c r="AE153" s="127">
        <f>SUM(AD153,AC153,AB153,Y153,U153,T153,S153,R153)*'1. Standard_Cost'!$B$31</f>
        <v>0</v>
      </c>
      <c r="AF153" s="127">
        <f>SUM(AE153,AD153,AC153,AB153,Y153,U153,T153,S153,R153)</f>
        <v>0</v>
      </c>
      <c r="AG153" s="126"/>
      <c r="AH153" s="126"/>
      <c r="AI153" s="126"/>
      <c r="AJ153" s="130"/>
      <c r="AK153" s="130"/>
      <c r="AL153" s="130"/>
      <c r="AM153" s="127">
        <f>AG153*'1. Standard_Cost'!$B$27+'Incremental_Cost Year 6'!AH153*'1. Standard_Cost'!$C$27+'Incremental_Cost Year 6'!AI153*'1. Standard_Cost'!$D$27+'Incremental_Cost Year 6'!AJ153+'Incremental_Cost Year 6'!AL153+AK153</f>
        <v>0</v>
      </c>
      <c r="AN153" s="127">
        <f>AM153*'1. Standard_Cost'!$C$31</f>
        <v>0</v>
      </c>
      <c r="AO153" s="130"/>
      <c r="AP153" s="256"/>
      <c r="AQ153" s="171">
        <f>L153+M153</f>
        <v>0</v>
      </c>
      <c r="AR153" s="171">
        <f>AF153</f>
        <v>0</v>
      </c>
      <c r="AS153" s="171">
        <f>AM153+AN153</f>
        <v>0</v>
      </c>
      <c r="AT153" s="171">
        <f>SUM(AQ153,AR153,AS153)</f>
        <v>0</v>
      </c>
      <c r="AU153" s="250"/>
      <c r="AV153" s="250"/>
      <c r="AW153" s="250"/>
      <c r="AX153" s="250"/>
      <c r="AY153" s="250"/>
      <c r="AZ153" s="250"/>
      <c r="BA153" s="250"/>
      <c r="BB153" s="251">
        <f t="shared" si="100"/>
        <v>0</v>
      </c>
      <c r="BC153" s="169"/>
      <c r="BD153" s="169"/>
      <c r="BE153" s="169"/>
      <c r="BF153" s="169"/>
    </row>
    <row r="154" spans="1:58" ht="63" outlineLevel="2" x14ac:dyDescent="0.25">
      <c r="A154" s="115"/>
      <c r="B154" s="200"/>
      <c r="C154" s="201"/>
      <c r="D154" s="139"/>
      <c r="E154" s="230"/>
      <c r="F154" s="308"/>
      <c r="G154" s="309"/>
      <c r="H154" s="199" t="s">
        <v>467</v>
      </c>
      <c r="I154" s="130"/>
      <c r="J154" s="126"/>
      <c r="K154" s="126"/>
      <c r="L154" s="125" t="str">
        <f>IF(I154&lt;&gt;0,((VLOOKUP(I154,'1. Standard_Cost'!$B$4:$D$11,2)+VLOOKUP(I154,'1. Standard_Cost'!$B$4:$D$11,3))*J154*K154),"0")</f>
        <v>0</v>
      </c>
      <c r="M154" s="125">
        <f>L154*'1. Standard_Cost'!$F$4</f>
        <v>0</v>
      </c>
      <c r="N154" s="126"/>
      <c r="O154" s="126"/>
      <c r="P154" s="126"/>
      <c r="Q154" s="126"/>
      <c r="R154" s="127">
        <f>'1. Standard_Cost'!$B$15*N154*P154</f>
        <v>0</v>
      </c>
      <c r="S154" s="127">
        <f>N154*O154*P154*'1. Standard_Cost'!$C$15</f>
        <v>0</v>
      </c>
      <c r="T154" s="127">
        <f>N154*P154*Q154*'1. Standard_Cost'!$D$15</f>
        <v>0</v>
      </c>
      <c r="U154" s="127">
        <f>N154*O154*'1. Standard_Cost'!$E$15</f>
        <v>0</v>
      </c>
      <c r="V154" s="126"/>
      <c r="W154" s="126"/>
      <c r="X154" s="126"/>
      <c r="Y154" s="127">
        <f>+V154*((X154*'1. Standard_Cost'!$B$19)+(W154*X154*'1. Standard_Cost'!$C$19))</f>
        <v>0</v>
      </c>
      <c r="Z154" s="126"/>
      <c r="AA154" s="126"/>
      <c r="AB154" s="127">
        <f>+Z154*'1. Standard_Cost'!$B$23+AA154*'1. Standard_Cost'!$C$23</f>
        <v>0</v>
      </c>
      <c r="AC154" s="128"/>
      <c r="AD154" s="129"/>
      <c r="AE154" s="127">
        <f>SUM(AD154,AC154,AB154,Y154,U154,T154,S154,R154)*'1. Standard_Cost'!$B$31</f>
        <v>0</v>
      </c>
      <c r="AF154" s="127">
        <f>SUM(AE154,AD154,AC154,AB154,Y154,U154,T154,S154,R154)</f>
        <v>0</v>
      </c>
      <c r="AG154" s="126"/>
      <c r="AH154" s="126"/>
      <c r="AI154" s="126"/>
      <c r="AJ154" s="130"/>
      <c r="AK154" s="130"/>
      <c r="AL154" s="130"/>
      <c r="AM154" s="127">
        <f>AG154*'1. Standard_Cost'!$B$27+'Incremental_Cost Year 6'!AH154*'1. Standard_Cost'!$C$27+'Incremental_Cost Year 6'!AI154*'1. Standard_Cost'!$D$27+'Incremental_Cost Year 6'!AJ154+'Incremental_Cost Year 6'!AL154+AK154</f>
        <v>0</v>
      </c>
      <c r="AN154" s="127">
        <f>AM154*'1. Standard_Cost'!$C$31</f>
        <v>0</v>
      </c>
      <c r="AO154" s="130"/>
      <c r="AP154" s="256"/>
      <c r="AQ154" s="171">
        <f>L154+M154</f>
        <v>0</v>
      </c>
      <c r="AR154" s="171">
        <f>AF154</f>
        <v>0</v>
      </c>
      <c r="AS154" s="171">
        <f>AM154+AN154</f>
        <v>0</v>
      </c>
      <c r="AT154" s="171">
        <f>SUM(AQ154,AR154,AS154)</f>
        <v>0</v>
      </c>
      <c r="AU154" s="250"/>
      <c r="AV154" s="250"/>
      <c r="AW154" s="250"/>
      <c r="AX154" s="250"/>
      <c r="AY154" s="250"/>
      <c r="AZ154" s="250"/>
      <c r="BA154" s="250"/>
      <c r="BB154" s="251">
        <f t="shared" si="100"/>
        <v>0</v>
      </c>
      <c r="BC154" s="169"/>
      <c r="BD154" s="169"/>
      <c r="BE154" s="169"/>
      <c r="BF154" s="169"/>
    </row>
    <row r="155" spans="1:58" ht="126" outlineLevel="2" x14ac:dyDescent="0.25">
      <c r="A155" s="115"/>
      <c r="B155" s="200"/>
      <c r="C155" s="201"/>
      <c r="D155" s="151"/>
      <c r="E155" s="121"/>
      <c r="F155" s="311"/>
      <c r="G155" s="312"/>
      <c r="H155" s="199" t="s">
        <v>540</v>
      </c>
      <c r="I155" s="130"/>
      <c r="J155" s="126"/>
      <c r="K155" s="126"/>
      <c r="L155" s="125" t="str">
        <f>IF(I155&lt;&gt;0,((VLOOKUP(I155,'1. Standard_Cost'!$B$4:$D$11,2)+VLOOKUP(I155,'1. Standard_Cost'!$B$4:$D$11,3))*J155*K155),"0")</f>
        <v>0</v>
      </c>
      <c r="M155" s="125">
        <f>L155*'1. Standard_Cost'!$F$4</f>
        <v>0</v>
      </c>
      <c r="N155" s="126"/>
      <c r="O155" s="126"/>
      <c r="P155" s="126"/>
      <c r="Q155" s="126"/>
      <c r="R155" s="127">
        <f>'1. Standard_Cost'!$B$15*N155*P155</f>
        <v>0</v>
      </c>
      <c r="S155" s="127">
        <f>N155*O155*P155*'1. Standard_Cost'!$C$15</f>
        <v>0</v>
      </c>
      <c r="T155" s="127">
        <f>N155*P155*Q155*'1. Standard_Cost'!$D$15</f>
        <v>0</v>
      </c>
      <c r="U155" s="127">
        <f>N155*O155*'1. Standard_Cost'!$E$15</f>
        <v>0</v>
      </c>
      <c r="V155" s="126"/>
      <c r="W155" s="126"/>
      <c r="X155" s="126"/>
      <c r="Y155" s="127">
        <f>+V155*((X155*'1. Standard_Cost'!$B$19)+(W155*X155*'1. Standard_Cost'!$C$19))</f>
        <v>0</v>
      </c>
      <c r="Z155" s="126"/>
      <c r="AA155" s="126"/>
      <c r="AB155" s="127">
        <f>+Z155*'1. Standard_Cost'!$B$23+AA155*'1. Standard_Cost'!$C$23</f>
        <v>0</v>
      </c>
      <c r="AC155" s="128"/>
      <c r="AD155" s="129"/>
      <c r="AE155" s="127">
        <f>SUM(AD155,AC155,AB155,Y155,U155,T155,S155,R155)*'1. Standard_Cost'!$B$31</f>
        <v>0</v>
      </c>
      <c r="AF155" s="127">
        <f>SUM(AE155,AD155,AC155,AB155,Y155,U155,T155,S155,R155)</f>
        <v>0</v>
      </c>
      <c r="AG155" s="126"/>
      <c r="AH155" s="126"/>
      <c r="AI155" s="126"/>
      <c r="AJ155" s="130"/>
      <c r="AK155" s="130"/>
      <c r="AL155" s="130"/>
      <c r="AM155" s="127">
        <f>AG155*'1. Standard_Cost'!$B$27+'Incremental_Cost Year 6'!AH155*'1. Standard_Cost'!$C$27+'Incremental_Cost Year 6'!AI155*'1. Standard_Cost'!$D$27+'Incremental_Cost Year 6'!AJ155+'Incremental_Cost Year 6'!AL155+AK155</f>
        <v>0</v>
      </c>
      <c r="AN155" s="127">
        <f>AM155*'1. Standard_Cost'!$C$31</f>
        <v>0</v>
      </c>
      <c r="AO155" s="130"/>
      <c r="AP155" s="256"/>
      <c r="AQ155" s="171">
        <f>L155+M155</f>
        <v>0</v>
      </c>
      <c r="AR155" s="171">
        <f>AF155</f>
        <v>0</v>
      </c>
      <c r="AS155" s="171">
        <f>AM155+AN155</f>
        <v>0</v>
      </c>
      <c r="AT155" s="171">
        <f>SUM(AQ155,AR155,AS155)</f>
        <v>0</v>
      </c>
      <c r="AU155" s="250"/>
      <c r="AV155" s="250"/>
      <c r="AW155" s="250"/>
      <c r="AX155" s="250"/>
      <c r="AY155" s="250"/>
      <c r="AZ155" s="250"/>
      <c r="BA155" s="250"/>
      <c r="BB155" s="251">
        <f t="shared" si="100"/>
        <v>0</v>
      </c>
      <c r="BC155" s="169"/>
      <c r="BD155" s="169"/>
      <c r="BE155" s="169"/>
      <c r="BF155" s="169"/>
    </row>
    <row r="156" spans="1:58" ht="47.25" outlineLevel="2" x14ac:dyDescent="0.25">
      <c r="A156" s="115"/>
      <c r="B156" s="165"/>
      <c r="C156" s="166"/>
      <c r="D156" s="212" t="s">
        <v>233</v>
      </c>
      <c r="E156" s="212" t="s">
        <v>468</v>
      </c>
      <c r="F156" s="136">
        <v>2021</v>
      </c>
      <c r="G156" s="117">
        <v>2025</v>
      </c>
      <c r="H156" s="110" t="s">
        <v>168</v>
      </c>
      <c r="I156" s="252"/>
      <c r="J156" s="252"/>
      <c r="K156" s="252"/>
      <c r="L156" s="127">
        <f>SUM(L152:L155)</f>
        <v>0</v>
      </c>
      <c r="M156" s="127">
        <f>SUM(M152:M155)</f>
        <v>0</v>
      </c>
      <c r="N156" s="252"/>
      <c r="O156" s="252"/>
      <c r="P156" s="252"/>
      <c r="Q156" s="252"/>
      <c r="R156" s="127">
        <f>SUM(R152:R155)</f>
        <v>0</v>
      </c>
      <c r="S156" s="127">
        <f>SUM(S152:S155)</f>
        <v>0</v>
      </c>
      <c r="T156" s="127">
        <f>SUM(T152:T155)</f>
        <v>0</v>
      </c>
      <c r="U156" s="127">
        <f>SUM(U152:U155)</f>
        <v>0</v>
      </c>
      <c r="V156" s="252"/>
      <c r="W156" s="252"/>
      <c r="X156" s="252"/>
      <c r="Y156" s="127">
        <f>SUM(Y152:Y155)</f>
        <v>0</v>
      </c>
      <c r="Z156" s="252"/>
      <c r="AA156" s="252"/>
      <c r="AB156" s="127">
        <f>SUM(AB152:AB155)</f>
        <v>0</v>
      </c>
      <c r="AC156" s="127">
        <f>SUM(AC152:AC155)</f>
        <v>0</v>
      </c>
      <c r="AD156" s="127">
        <f>SUM(AD152:AD155)</f>
        <v>0</v>
      </c>
      <c r="AE156" s="127">
        <f>SUM(AE152:AE155)</f>
        <v>0</v>
      </c>
      <c r="AF156" s="127">
        <f>SUM(AF152:AF155)</f>
        <v>0</v>
      </c>
      <c r="AG156" s="252"/>
      <c r="AH156" s="252"/>
      <c r="AI156" s="252"/>
      <c r="AJ156" s="127">
        <f>SUM(AJ152:AJ155)</f>
        <v>0</v>
      </c>
      <c r="AK156" s="127">
        <f>SUM(AK152:AK155)</f>
        <v>0</v>
      </c>
      <c r="AL156" s="127">
        <f>SUM(AL152:AL155)</f>
        <v>0</v>
      </c>
      <c r="AM156" s="127">
        <f>SUM(AM152:AM155)</f>
        <v>0</v>
      </c>
      <c r="AN156" s="127">
        <f>SUM(AN152:AN155)</f>
        <v>0</v>
      </c>
      <c r="AO156" s="253"/>
      <c r="AP156" s="254"/>
      <c r="AQ156" s="175">
        <f>SUM(AQ152:AQ155)</f>
        <v>0</v>
      </c>
      <c r="AR156" s="175">
        <f>SUM(AR152:AR155)</f>
        <v>0</v>
      </c>
      <c r="AS156" s="175">
        <f>SUM(AS152:AS155)</f>
        <v>0</v>
      </c>
      <c r="AT156" s="175">
        <f>SUM(AT152:AT155)</f>
        <v>0</v>
      </c>
      <c r="AU156" s="175">
        <f t="shared" ref="AU156:BA156" si="101">SUM(AU152:AU155)</f>
        <v>0</v>
      </c>
      <c r="AV156" s="175">
        <f t="shared" si="101"/>
        <v>0</v>
      </c>
      <c r="AW156" s="175">
        <f t="shared" si="101"/>
        <v>0</v>
      </c>
      <c r="AX156" s="175">
        <f t="shared" si="101"/>
        <v>0</v>
      </c>
      <c r="AY156" s="175">
        <f t="shared" si="101"/>
        <v>0</v>
      </c>
      <c r="AZ156" s="175">
        <f t="shared" si="101"/>
        <v>0</v>
      </c>
      <c r="BA156" s="175">
        <f t="shared" si="101"/>
        <v>0</v>
      </c>
      <c r="BB156" s="175">
        <f>SUM(BB152:BB155)</f>
        <v>0</v>
      </c>
      <c r="BC156" s="169"/>
      <c r="BD156" s="169"/>
      <c r="BE156" s="169"/>
      <c r="BF156" s="169"/>
    </row>
    <row r="157" spans="1:58" ht="126" outlineLevel="1" x14ac:dyDescent="0.25">
      <c r="A157" s="115"/>
      <c r="B157" s="200"/>
      <c r="C157" s="201"/>
      <c r="D157" s="342"/>
      <c r="E157" s="328"/>
      <c r="F157" s="328"/>
      <c r="G157" s="328"/>
      <c r="H157" s="213" t="s">
        <v>469</v>
      </c>
      <c r="I157" s="130"/>
      <c r="J157" s="126"/>
      <c r="K157" s="126"/>
      <c r="L157" s="125" t="str">
        <f>IF(I157&lt;&gt;0,((VLOOKUP(I157,'1. Standard_Cost'!$B$4:$D$11,2)+VLOOKUP(I157,'1. Standard_Cost'!$B$4:$D$11,3))*J157*K157),"0")</f>
        <v>0</v>
      </c>
      <c r="M157" s="125">
        <f>L157*'1. Standard_Cost'!$F$4</f>
        <v>0</v>
      </c>
      <c r="N157" s="126"/>
      <c r="O157" s="126"/>
      <c r="P157" s="126"/>
      <c r="Q157" s="126"/>
      <c r="R157" s="127">
        <f>'1. Standard_Cost'!$B$15*N157*P157</f>
        <v>0</v>
      </c>
      <c r="S157" s="127">
        <f>N157*O157*P157*'1. Standard_Cost'!$C$15</f>
        <v>0</v>
      </c>
      <c r="T157" s="127">
        <f>N157*P157*Q157*'1. Standard_Cost'!$D$15</f>
        <v>0</v>
      </c>
      <c r="U157" s="127">
        <f>N157*O157*'1. Standard_Cost'!$E$15</f>
        <v>0</v>
      </c>
      <c r="V157" s="126"/>
      <c r="W157" s="126"/>
      <c r="X157" s="126"/>
      <c r="Y157" s="127">
        <f>+V157*((X157*'1. Standard_Cost'!$B$19)+(W157*X157*'1. Standard_Cost'!$C$19))</f>
        <v>0</v>
      </c>
      <c r="Z157" s="126"/>
      <c r="AA157" s="126"/>
      <c r="AB157" s="127">
        <f>+Z157*'1. Standard_Cost'!$B$23+AA157*'1. Standard_Cost'!$C$23</f>
        <v>0</v>
      </c>
      <c r="AC157" s="128"/>
      <c r="AD157" s="129"/>
      <c r="AE157" s="127">
        <f>SUM(AD157,AC157,AB157,Y157,U157,T157,S157,R157)*'1. Standard_Cost'!$B$31</f>
        <v>0</v>
      </c>
      <c r="AF157" s="127">
        <f>SUM(AE157,AD157,AC157,AB157,Y157,U157,T157,S157,R157)</f>
        <v>0</v>
      </c>
      <c r="AG157" s="126"/>
      <c r="AH157" s="126"/>
      <c r="AI157" s="126"/>
      <c r="AJ157" s="130"/>
      <c r="AK157" s="130"/>
      <c r="AL157" s="130"/>
      <c r="AM157" s="127">
        <f>AG157*'1. Standard_Cost'!$B$27+'Incremental_Cost Year 6'!AH157*'1. Standard_Cost'!$C$27+'Incremental_Cost Year 6'!AI157*'1. Standard_Cost'!$D$27+'Incremental_Cost Year 6'!AJ157+'Incremental_Cost Year 6'!AL157+AK157</f>
        <v>0</v>
      </c>
      <c r="AN157" s="127">
        <f>AM157*'1. Standard_Cost'!$C$31</f>
        <v>0</v>
      </c>
      <c r="AO157" s="130"/>
      <c r="AP157" s="256"/>
      <c r="AQ157" s="171">
        <f>L157+M157</f>
        <v>0</v>
      </c>
      <c r="AR157" s="171">
        <f>AF157</f>
        <v>0</v>
      </c>
      <c r="AS157" s="171">
        <f>AM157+AN157</f>
        <v>0</v>
      </c>
      <c r="AT157" s="171">
        <f>SUM(AQ157,AR157,AS157)</f>
        <v>0</v>
      </c>
      <c r="AU157" s="250"/>
      <c r="AV157" s="250"/>
      <c r="AW157" s="250"/>
      <c r="AX157" s="250"/>
      <c r="AY157" s="250"/>
      <c r="AZ157" s="250"/>
      <c r="BA157" s="250"/>
      <c r="BB157" s="251">
        <f t="shared" ref="BB157:BB158" si="102">SUM(AU157:BA157)-AT157</f>
        <v>0</v>
      </c>
      <c r="BC157" s="169"/>
      <c r="BD157" s="169"/>
      <c r="BE157" s="169"/>
      <c r="BF157" s="169"/>
    </row>
    <row r="158" spans="1:58" ht="47.25" outlineLevel="2" x14ac:dyDescent="0.25">
      <c r="A158" s="115"/>
      <c r="B158" s="200"/>
      <c r="C158" s="201"/>
      <c r="D158" s="344"/>
      <c r="E158" s="328"/>
      <c r="F158" s="328"/>
      <c r="G158" s="328"/>
      <c r="H158" s="199" t="s">
        <v>470</v>
      </c>
      <c r="I158" s="130"/>
      <c r="J158" s="126"/>
      <c r="K158" s="126"/>
      <c r="L158" s="125" t="str">
        <f>IF(I158&lt;&gt;0,((VLOOKUP(I158,'1. Standard_Cost'!$B$4:$D$11,2)+VLOOKUP(I158,'1. Standard_Cost'!$B$4:$D$11,3))*J158*K158),"0")</f>
        <v>0</v>
      </c>
      <c r="M158" s="125">
        <f>L158*'1. Standard_Cost'!$F$4</f>
        <v>0</v>
      </c>
      <c r="N158" s="126"/>
      <c r="O158" s="126"/>
      <c r="P158" s="126"/>
      <c r="Q158" s="126"/>
      <c r="R158" s="127">
        <f>'1. Standard_Cost'!$B$15*N158*P158</f>
        <v>0</v>
      </c>
      <c r="S158" s="127">
        <f>N158*O158*P158*'1. Standard_Cost'!$C$15</f>
        <v>0</v>
      </c>
      <c r="T158" s="127">
        <f>N158*P158*Q158*'1. Standard_Cost'!$D$15</f>
        <v>0</v>
      </c>
      <c r="U158" s="127">
        <f>N158*O158*'1. Standard_Cost'!$E$15</f>
        <v>0</v>
      </c>
      <c r="V158" s="126"/>
      <c r="W158" s="126"/>
      <c r="X158" s="126"/>
      <c r="Y158" s="127">
        <f>+V158*((X158*'1. Standard_Cost'!$B$19)+(W158*X158*'1. Standard_Cost'!$C$19))</f>
        <v>0</v>
      </c>
      <c r="Z158" s="126"/>
      <c r="AA158" s="126"/>
      <c r="AB158" s="127">
        <f>+Z158*'1. Standard_Cost'!$B$23+AA158*'1. Standard_Cost'!$C$23</f>
        <v>0</v>
      </c>
      <c r="AC158" s="128"/>
      <c r="AD158" s="129"/>
      <c r="AE158" s="127">
        <f>SUM(AD158,AC158,AB158,Y158,U158,T158,S158,R158)*'1. Standard_Cost'!$B$31</f>
        <v>0</v>
      </c>
      <c r="AF158" s="127">
        <f>SUM(AE158,AD158,AC158,AB158,Y158,U158,T158,S158,R158)</f>
        <v>0</v>
      </c>
      <c r="AG158" s="126"/>
      <c r="AH158" s="126"/>
      <c r="AI158" s="126"/>
      <c r="AJ158" s="130"/>
      <c r="AK158" s="130"/>
      <c r="AL158" s="130"/>
      <c r="AM158" s="127">
        <f>AG158*'1. Standard_Cost'!$B$27+'Incremental_Cost Year 6'!AH158*'1. Standard_Cost'!$C$27+'Incremental_Cost Year 6'!AI158*'1. Standard_Cost'!$D$27+'Incremental_Cost Year 6'!AJ158+'Incremental_Cost Year 6'!AL158+AK158</f>
        <v>0</v>
      </c>
      <c r="AN158" s="127">
        <f>AM158*'1. Standard_Cost'!$C$31</f>
        <v>0</v>
      </c>
      <c r="AO158" s="130"/>
      <c r="AP158" s="256"/>
      <c r="AQ158" s="171">
        <f>L158+M158</f>
        <v>0</v>
      </c>
      <c r="AR158" s="171">
        <f>AF158</f>
        <v>0</v>
      </c>
      <c r="AS158" s="171">
        <f>AM158+AN158</f>
        <v>0</v>
      </c>
      <c r="AT158" s="171">
        <f>SUM(AQ158,AR158,AS158)</f>
        <v>0</v>
      </c>
      <c r="AU158" s="250"/>
      <c r="AV158" s="250"/>
      <c r="AW158" s="250"/>
      <c r="AX158" s="250"/>
      <c r="AY158" s="250"/>
      <c r="AZ158" s="250"/>
      <c r="BA158" s="250"/>
      <c r="BB158" s="251">
        <f t="shared" si="102"/>
        <v>0</v>
      </c>
      <c r="BC158" s="169"/>
      <c r="BD158" s="169"/>
      <c r="BE158" s="169"/>
      <c r="BF158" s="169"/>
    </row>
    <row r="159" spans="1:58" ht="63" outlineLevel="2" x14ac:dyDescent="0.25">
      <c r="A159" s="115"/>
      <c r="B159" s="165"/>
      <c r="C159" s="166"/>
      <c r="D159" s="150" t="s">
        <v>471</v>
      </c>
      <c r="E159" s="212" t="s">
        <v>472</v>
      </c>
      <c r="F159" s="106">
        <v>2021</v>
      </c>
      <c r="G159" s="104">
        <v>2030</v>
      </c>
      <c r="H159" s="110" t="s">
        <v>179</v>
      </c>
      <c r="I159" s="252"/>
      <c r="J159" s="252"/>
      <c r="K159" s="252"/>
      <c r="L159" s="127">
        <f>SUM(L157:L158)</f>
        <v>0</v>
      </c>
      <c r="M159" s="127">
        <f>SUM(M157:M158)</f>
        <v>0</v>
      </c>
      <c r="N159" s="252"/>
      <c r="O159" s="252"/>
      <c r="P159" s="252"/>
      <c r="Q159" s="252"/>
      <c r="R159" s="127">
        <f>SUM(R157:R158)</f>
        <v>0</v>
      </c>
      <c r="S159" s="127">
        <f>SUM(S157:S158)</f>
        <v>0</v>
      </c>
      <c r="T159" s="127">
        <f>SUM(T157:T158)</f>
        <v>0</v>
      </c>
      <c r="U159" s="127">
        <f>SUM(U157:U158)</f>
        <v>0</v>
      </c>
      <c r="V159" s="252"/>
      <c r="W159" s="252"/>
      <c r="X159" s="252"/>
      <c r="Y159" s="127">
        <f>SUM(Y157:Y158)</f>
        <v>0</v>
      </c>
      <c r="Z159" s="252"/>
      <c r="AA159" s="252"/>
      <c r="AB159" s="127">
        <f>SUM(AB157:AB158)</f>
        <v>0</v>
      </c>
      <c r="AC159" s="127">
        <f>SUM(AC157:AC158)</f>
        <v>0</v>
      </c>
      <c r="AD159" s="127">
        <f>SUM(AD157:AD158)</f>
        <v>0</v>
      </c>
      <c r="AE159" s="127">
        <f>SUM(AE157:AE158)</f>
        <v>0</v>
      </c>
      <c r="AF159" s="127">
        <f>SUM(AF157:AF158)</f>
        <v>0</v>
      </c>
      <c r="AG159" s="252"/>
      <c r="AH159" s="252"/>
      <c r="AI159" s="252"/>
      <c r="AJ159" s="127">
        <f>SUM(AJ157:AJ158)</f>
        <v>0</v>
      </c>
      <c r="AK159" s="127">
        <f>SUM(AK157:AK158)</f>
        <v>0</v>
      </c>
      <c r="AL159" s="127">
        <f>SUM(AL157:AL158)</f>
        <v>0</v>
      </c>
      <c r="AM159" s="127">
        <f>SUM(AM157:AM158)</f>
        <v>0</v>
      </c>
      <c r="AN159" s="127">
        <f>SUM(AN157:AN158)</f>
        <v>0</v>
      </c>
      <c r="AO159" s="253"/>
      <c r="AP159" s="254"/>
      <c r="AQ159" s="175">
        <f>SUM(AQ157:AQ158)</f>
        <v>0</v>
      </c>
      <c r="AR159" s="175">
        <f>SUM(AR157:AR158)</f>
        <v>0</v>
      </c>
      <c r="AS159" s="175">
        <f>SUM(AS157:AS158)</f>
        <v>0</v>
      </c>
      <c r="AT159" s="175">
        <f>SUM(AT157:AT158)</f>
        <v>0</v>
      </c>
      <c r="AU159" s="175">
        <f t="shared" ref="AU159:BB159" si="103">SUM(AU157:AU158)</f>
        <v>0</v>
      </c>
      <c r="AV159" s="175">
        <f t="shared" si="103"/>
        <v>0</v>
      </c>
      <c r="AW159" s="175">
        <f t="shared" si="103"/>
        <v>0</v>
      </c>
      <c r="AX159" s="175">
        <f t="shared" si="103"/>
        <v>0</v>
      </c>
      <c r="AY159" s="175">
        <f t="shared" si="103"/>
        <v>0</v>
      </c>
      <c r="AZ159" s="175">
        <f t="shared" si="103"/>
        <v>0</v>
      </c>
      <c r="BA159" s="175">
        <f t="shared" si="103"/>
        <v>0</v>
      </c>
      <c r="BB159" s="175">
        <f t="shared" si="103"/>
        <v>0</v>
      </c>
      <c r="BC159" s="169"/>
      <c r="BD159" s="169"/>
      <c r="BE159" s="169"/>
      <c r="BF159" s="169"/>
    </row>
    <row r="160" spans="1:58" ht="94.5" outlineLevel="2" x14ac:dyDescent="0.25">
      <c r="A160" s="115"/>
      <c r="B160" s="200"/>
      <c r="C160" s="201"/>
      <c r="D160" s="328"/>
      <c r="E160" s="328"/>
      <c r="F160" s="328"/>
      <c r="G160" s="328"/>
      <c r="H160" s="199" t="s">
        <v>473</v>
      </c>
      <c r="I160" s="130"/>
      <c r="J160" s="126"/>
      <c r="K160" s="126"/>
      <c r="L160" s="125" t="str">
        <f>IF(I160&lt;&gt;0,((VLOOKUP(I160,'1. Standard_Cost'!$B$4:$D$11,2)+VLOOKUP(I160,'1. Standard_Cost'!$B$4:$D$11,3))*J160*K160),"0")</f>
        <v>0</v>
      </c>
      <c r="M160" s="125">
        <f>L160*'1. Standard_Cost'!$F$4</f>
        <v>0</v>
      </c>
      <c r="N160" s="126"/>
      <c r="O160" s="126"/>
      <c r="P160" s="126"/>
      <c r="Q160" s="126"/>
      <c r="R160" s="127">
        <f>'1. Standard_Cost'!$B$15*N160*P160</f>
        <v>0</v>
      </c>
      <c r="S160" s="127">
        <f>N160*O160*P160*'1. Standard_Cost'!$C$15</f>
        <v>0</v>
      </c>
      <c r="T160" s="127">
        <f>N160*P160*Q160*'1. Standard_Cost'!$D$15</f>
        <v>0</v>
      </c>
      <c r="U160" s="127">
        <f>N160*O160*'1. Standard_Cost'!$E$15</f>
        <v>0</v>
      </c>
      <c r="V160" s="126"/>
      <c r="W160" s="126"/>
      <c r="X160" s="126"/>
      <c r="Y160" s="127">
        <f>+V160*((X160*'1. Standard_Cost'!$B$19)+(W160*X160*'1. Standard_Cost'!$C$19))</f>
        <v>0</v>
      </c>
      <c r="Z160" s="126"/>
      <c r="AA160" s="126"/>
      <c r="AB160" s="127">
        <f>+Z160*'1. Standard_Cost'!$B$23+AA160*'1. Standard_Cost'!$C$23</f>
        <v>0</v>
      </c>
      <c r="AC160" s="128"/>
      <c r="AD160" s="129"/>
      <c r="AE160" s="127">
        <f>SUM(AD160,AC160,AB160,Y160,U160,T160,S160,R160)*'1. Standard_Cost'!$B$31</f>
        <v>0</v>
      </c>
      <c r="AF160" s="127">
        <f>SUM(AE160,AD160,AC160,AB160,Y160,U160,T160,S160,R160)</f>
        <v>0</v>
      </c>
      <c r="AG160" s="126"/>
      <c r="AH160" s="126"/>
      <c r="AI160" s="126"/>
      <c r="AJ160" s="130"/>
      <c r="AK160" s="130"/>
      <c r="AL160" s="130"/>
      <c r="AM160" s="127">
        <f>AG160*'1. Standard_Cost'!$B$27+'Incremental_Cost Year 6'!AH160*'1. Standard_Cost'!$C$27+'Incremental_Cost Year 6'!AI160*'1. Standard_Cost'!$D$27+'Incremental_Cost Year 6'!AJ160+'Incremental_Cost Year 6'!AL160+AK160</f>
        <v>0</v>
      </c>
      <c r="AN160" s="127">
        <f>AM160*'1. Standard_Cost'!$C$31</f>
        <v>0</v>
      </c>
      <c r="AO160" s="130"/>
      <c r="AP160" s="256"/>
      <c r="AQ160" s="171">
        <f>L160+M160</f>
        <v>0</v>
      </c>
      <c r="AR160" s="171">
        <f>AF160</f>
        <v>0</v>
      </c>
      <c r="AS160" s="171">
        <f>AM160+AN160</f>
        <v>0</v>
      </c>
      <c r="AT160" s="171">
        <f>SUM(AQ160,AR160,AS160)</f>
        <v>0</v>
      </c>
      <c r="AU160" s="250"/>
      <c r="AV160" s="250"/>
      <c r="AW160" s="250"/>
      <c r="AX160" s="250"/>
      <c r="AY160" s="250"/>
      <c r="AZ160" s="250"/>
      <c r="BA160" s="250"/>
      <c r="BB160" s="251">
        <f t="shared" ref="BB160:BB161" si="104">SUM(AU160:BA160)-AT160</f>
        <v>0</v>
      </c>
      <c r="BC160" s="169"/>
      <c r="BD160" s="169"/>
      <c r="BE160" s="169"/>
      <c r="BF160" s="169"/>
    </row>
    <row r="161" spans="1:58" ht="47.25" outlineLevel="2" x14ac:dyDescent="0.25">
      <c r="A161" s="115"/>
      <c r="B161" s="200"/>
      <c r="C161" s="201"/>
      <c r="D161" s="328"/>
      <c r="E161" s="328"/>
      <c r="F161" s="328"/>
      <c r="G161" s="328"/>
      <c r="H161" s="213" t="s">
        <v>311</v>
      </c>
      <c r="I161" s="130" t="s">
        <v>5</v>
      </c>
      <c r="J161" s="126">
        <v>12</v>
      </c>
      <c r="K161" s="126">
        <v>13</v>
      </c>
      <c r="L161" s="125">
        <f>IF(I161&lt;&gt;0,((VLOOKUP(I161,'1. Standard_Cost'!$B$4:$D$11,2)+VLOOKUP(I161,'1. Standard_Cost'!$B$4:$D$11,3))*J161*K161),"0")</f>
        <v>11029200</v>
      </c>
      <c r="M161" s="125">
        <f>L161*'1. Standard_Cost'!$F$4</f>
        <v>1841876.4000000001</v>
      </c>
      <c r="N161" s="126"/>
      <c r="O161" s="126"/>
      <c r="P161" s="126"/>
      <c r="Q161" s="126"/>
      <c r="R161" s="127">
        <f>'1. Standard_Cost'!$B$15*N161*P161</f>
        <v>0</v>
      </c>
      <c r="S161" s="127">
        <f>N161*O161*P161*'1. Standard_Cost'!$C$15</f>
        <v>0</v>
      </c>
      <c r="T161" s="127">
        <f>N161*P161*Q161*'1. Standard_Cost'!$D$15</f>
        <v>0</v>
      </c>
      <c r="U161" s="127">
        <f>N161*O161*'1. Standard_Cost'!$E$15</f>
        <v>0</v>
      </c>
      <c r="V161" s="126"/>
      <c r="W161" s="126"/>
      <c r="X161" s="126"/>
      <c r="Y161" s="127">
        <f>+V161*((X161*'1. Standard_Cost'!$B$19)+(W161*X161*'1. Standard_Cost'!$C$19))</f>
        <v>0</v>
      </c>
      <c r="Z161" s="126"/>
      <c r="AA161" s="126"/>
      <c r="AB161" s="127">
        <f>+Z161*'1. Standard_Cost'!$B$23+AA161*'1. Standard_Cost'!$C$23</f>
        <v>0</v>
      </c>
      <c r="AC161" s="128">
        <v>3646519</v>
      </c>
      <c r="AD161" s="129"/>
      <c r="AE161" s="127"/>
      <c r="AF161" s="127">
        <f>SUM(AE161,AD161,AC161,AB161,Y161,U161,T161,S161,R161)</f>
        <v>3646519</v>
      </c>
      <c r="AG161" s="126"/>
      <c r="AH161" s="126"/>
      <c r="AI161" s="126"/>
      <c r="AJ161" s="130"/>
      <c r="AK161" s="130"/>
      <c r="AL161" s="130"/>
      <c r="AM161" s="127">
        <f>AG161*'1. Standard_Cost'!$B$27+'Incremental_Cost Year 6'!AH161*'1. Standard_Cost'!$C$27+'Incremental_Cost Year 6'!AI161*'1. Standard_Cost'!$D$27+'Incremental_Cost Year 6'!AJ161+'Incremental_Cost Year 6'!AL161+AK161</f>
        <v>0</v>
      </c>
      <c r="AN161" s="127">
        <f>AM161*'1. Standard_Cost'!$C$31</f>
        <v>0</v>
      </c>
      <c r="AO161" s="130"/>
      <c r="AP161" s="256"/>
      <c r="AQ161" s="171">
        <f>L161+M161</f>
        <v>12871076.4</v>
      </c>
      <c r="AR161" s="171">
        <f>AF161</f>
        <v>3646519</v>
      </c>
      <c r="AS161" s="171">
        <f>AM161+AN161</f>
        <v>0</v>
      </c>
      <c r="AT161" s="171">
        <f>SUM(AQ161,AR161,AS161)</f>
        <v>16517595.4</v>
      </c>
      <c r="AU161" s="250">
        <v>16517595</v>
      </c>
      <c r="AV161" s="250"/>
      <c r="AW161" s="250"/>
      <c r="AX161" s="250"/>
      <c r="AY161" s="250"/>
      <c r="AZ161" s="250"/>
      <c r="BA161" s="250"/>
      <c r="BB161" s="251">
        <f t="shared" si="104"/>
        <v>-0.40000000037252903</v>
      </c>
      <c r="BC161" s="169"/>
      <c r="BD161" s="169"/>
      <c r="BE161" s="169"/>
      <c r="BF161" s="169"/>
    </row>
    <row r="162" spans="1:58" ht="47.25" outlineLevel="2" x14ac:dyDescent="0.25">
      <c r="A162" s="115"/>
      <c r="B162" s="165"/>
      <c r="C162" s="166"/>
      <c r="D162" s="107" t="s">
        <v>233</v>
      </c>
      <c r="E162" s="212" t="s">
        <v>474</v>
      </c>
      <c r="F162" s="136">
        <v>2021</v>
      </c>
      <c r="G162" s="117">
        <v>2030</v>
      </c>
      <c r="H162" s="110" t="s">
        <v>180</v>
      </c>
      <c r="I162" s="252"/>
      <c r="J162" s="252"/>
      <c r="K162" s="252"/>
      <c r="L162" s="127">
        <f>SUM(L160:L161)</f>
        <v>11029200</v>
      </c>
      <c r="M162" s="127">
        <f>SUM(M160:M161)</f>
        <v>1841876.4000000001</v>
      </c>
      <c r="N162" s="252"/>
      <c r="O162" s="252"/>
      <c r="P162" s="252"/>
      <c r="Q162" s="252"/>
      <c r="R162" s="127">
        <f>SUM(R160:R161)</f>
        <v>0</v>
      </c>
      <c r="S162" s="127">
        <f>SUM(S160:S161)</f>
        <v>0</v>
      </c>
      <c r="T162" s="127">
        <f>SUM(T160:T161)</f>
        <v>0</v>
      </c>
      <c r="U162" s="127">
        <f>SUM(U160:U161)</f>
        <v>0</v>
      </c>
      <c r="V162" s="252"/>
      <c r="W162" s="252"/>
      <c r="X162" s="252"/>
      <c r="Y162" s="127">
        <f>SUM(Y160:Y161)</f>
        <v>0</v>
      </c>
      <c r="Z162" s="252"/>
      <c r="AA162" s="252"/>
      <c r="AB162" s="127">
        <f>SUM(AB160:AB161)</f>
        <v>0</v>
      </c>
      <c r="AC162" s="127">
        <f>SUM(AC160:AC161)</f>
        <v>3646519</v>
      </c>
      <c r="AD162" s="127">
        <f>SUM(AD160:AD161)</f>
        <v>0</v>
      </c>
      <c r="AE162" s="127">
        <f>SUM(AE160:AE161)</f>
        <v>0</v>
      </c>
      <c r="AF162" s="127">
        <f>SUM(AF160:AF161)</f>
        <v>3646519</v>
      </c>
      <c r="AG162" s="252"/>
      <c r="AH162" s="252"/>
      <c r="AI162" s="252"/>
      <c r="AJ162" s="127">
        <f>SUM(AJ160:AJ161)</f>
        <v>0</v>
      </c>
      <c r="AK162" s="127">
        <f>SUM(AK160:AK161)</f>
        <v>0</v>
      </c>
      <c r="AL162" s="127">
        <f>SUM(AL160:AL161)</f>
        <v>0</v>
      </c>
      <c r="AM162" s="127">
        <f>SUM(AM160:AM161)</f>
        <v>0</v>
      </c>
      <c r="AN162" s="127">
        <f>SUM(AN160:AN161)</f>
        <v>0</v>
      </c>
      <c r="AO162" s="253"/>
      <c r="AP162" s="254"/>
      <c r="AQ162" s="175">
        <f>SUM(AQ160:AQ161)</f>
        <v>12871076.4</v>
      </c>
      <c r="AR162" s="175">
        <f>SUM(AR160:AR161)</f>
        <v>3646519</v>
      </c>
      <c r="AS162" s="175">
        <f>SUM(AS160:AS161)</f>
        <v>0</v>
      </c>
      <c r="AT162" s="175">
        <f>SUM(AT160:AT161)</f>
        <v>16517595.4</v>
      </c>
      <c r="AU162" s="175">
        <f t="shared" ref="AU162:BA162" si="105">SUM(AU160:AU161)</f>
        <v>16517595</v>
      </c>
      <c r="AV162" s="175">
        <f t="shared" si="105"/>
        <v>0</v>
      </c>
      <c r="AW162" s="175">
        <f t="shared" si="105"/>
        <v>0</v>
      </c>
      <c r="AX162" s="175">
        <f t="shared" si="105"/>
        <v>0</v>
      </c>
      <c r="AY162" s="175">
        <f t="shared" si="105"/>
        <v>0</v>
      </c>
      <c r="AZ162" s="175">
        <f t="shared" si="105"/>
        <v>0</v>
      </c>
      <c r="BA162" s="175">
        <f t="shared" si="105"/>
        <v>0</v>
      </c>
      <c r="BB162" s="175">
        <f>SUM(BB160:BB161)</f>
        <v>-0.40000000037252903</v>
      </c>
      <c r="BC162" s="169"/>
      <c r="BD162" s="169"/>
      <c r="BE162" s="169"/>
      <c r="BF162" s="169"/>
    </row>
    <row r="163" spans="1:58" ht="15.75" customHeight="1" outlineLevel="2" x14ac:dyDescent="0.25">
      <c r="A163" s="143"/>
      <c r="B163" s="290"/>
      <c r="C163" s="391" t="s">
        <v>234</v>
      </c>
      <c r="D163" s="391"/>
      <c r="E163" s="392"/>
      <c r="F163" s="287"/>
      <c r="G163" s="289"/>
      <c r="H163" s="144" t="s">
        <v>169</v>
      </c>
      <c r="I163" s="257"/>
      <c r="J163" s="257"/>
      <c r="K163" s="257"/>
      <c r="L163" s="258">
        <f>L168+L178+L181</f>
        <v>436722700</v>
      </c>
      <c r="M163" s="258">
        <f>M168+M178+M181</f>
        <v>72932690.900000006</v>
      </c>
      <c r="N163" s="257"/>
      <c r="O163" s="257"/>
      <c r="P163" s="257"/>
      <c r="Q163" s="257"/>
      <c r="R163" s="258">
        <f>R168+R178+R181</f>
        <v>0</v>
      </c>
      <c r="S163" s="258">
        <f>S168+S178+S181</f>
        <v>0</v>
      </c>
      <c r="T163" s="258">
        <f>T168+T178+T181</f>
        <v>0</v>
      </c>
      <c r="U163" s="258">
        <f>U168+U178+U181</f>
        <v>0</v>
      </c>
      <c r="V163" s="257"/>
      <c r="W163" s="257"/>
      <c r="X163" s="257"/>
      <c r="Y163" s="258">
        <f>Y168+Y178+Y181</f>
        <v>0</v>
      </c>
      <c r="Z163" s="258"/>
      <c r="AA163" s="258"/>
      <c r="AB163" s="258">
        <f>AB168+AB178+AB181</f>
        <v>0</v>
      </c>
      <c r="AC163" s="258">
        <f>AC168+AC178+AC181</f>
        <v>5323003755</v>
      </c>
      <c r="AD163" s="258">
        <f>AD168+AD178+AD181</f>
        <v>0</v>
      </c>
      <c r="AE163" s="258">
        <f>AE168+AE178+AE181</f>
        <v>28151</v>
      </c>
      <c r="AF163" s="258">
        <f>AF168+AF178+AF181</f>
        <v>5323031906</v>
      </c>
      <c r="AG163" s="257"/>
      <c r="AH163" s="257"/>
      <c r="AI163" s="257"/>
      <c r="AJ163" s="258">
        <f>AJ168+AJ178+AJ181</f>
        <v>0</v>
      </c>
      <c r="AK163" s="258">
        <f>AK168+AK178+AK181</f>
        <v>0</v>
      </c>
      <c r="AL163" s="258">
        <f>AL168+AL178+AL181</f>
        <v>0</v>
      </c>
      <c r="AM163" s="258">
        <f>AM168+AM178+AM181</f>
        <v>0</v>
      </c>
      <c r="AN163" s="258">
        <f>AN168+AN178+AN181</f>
        <v>0</v>
      </c>
      <c r="AO163" s="259"/>
      <c r="AP163" s="260"/>
      <c r="AQ163" s="261">
        <f>AQ168+AQ178+AQ181</f>
        <v>509655390.89999998</v>
      </c>
      <c r="AR163" s="261">
        <f>AR168+AR178+AR181</f>
        <v>5323031906</v>
      </c>
      <c r="AS163" s="261">
        <f>AS168+AS178+AS181</f>
        <v>0</v>
      </c>
      <c r="AT163" s="261">
        <f>AT168+AT178+AT181</f>
        <v>5832687296.8999996</v>
      </c>
      <c r="AU163" s="261">
        <f t="shared" ref="AU163:BB163" si="106">AU168+AU178+AU181</f>
        <v>5832687297.1999998</v>
      </c>
      <c r="AV163" s="261">
        <f t="shared" si="106"/>
        <v>0</v>
      </c>
      <c r="AW163" s="261">
        <f t="shared" si="106"/>
        <v>0</v>
      </c>
      <c r="AX163" s="261">
        <f t="shared" si="106"/>
        <v>0</v>
      </c>
      <c r="AY163" s="261">
        <f t="shared" si="106"/>
        <v>0</v>
      </c>
      <c r="AZ163" s="261">
        <f t="shared" si="106"/>
        <v>0</v>
      </c>
      <c r="BA163" s="261">
        <f t="shared" si="106"/>
        <v>0</v>
      </c>
      <c r="BB163" s="261">
        <f t="shared" si="106"/>
        <v>0.30000000004656613</v>
      </c>
      <c r="BC163" s="184"/>
      <c r="BD163" s="184"/>
      <c r="BE163" s="184"/>
      <c r="BF163" s="184"/>
    </row>
    <row r="164" spans="1:58" ht="78.75" outlineLevel="2" x14ac:dyDescent="0.25">
      <c r="A164" s="115"/>
      <c r="B164" s="200"/>
      <c r="C164" s="201"/>
      <c r="D164" s="333"/>
      <c r="E164" s="295"/>
      <c r="F164" s="306"/>
      <c r="G164" s="307"/>
      <c r="H164" s="199" t="s">
        <v>475</v>
      </c>
      <c r="I164" s="130"/>
      <c r="J164" s="126"/>
      <c r="K164" s="126"/>
      <c r="L164" s="125" t="str">
        <f>IF(I164&lt;&gt;0,((VLOOKUP(I164,'1. Standard_Cost'!$B$4:$D$11,2)+VLOOKUP(I164,'1. Standard_Cost'!$B$4:$D$11,3))*J164*K164),"0")</f>
        <v>0</v>
      </c>
      <c r="M164" s="125">
        <f>L164*'1. Standard_Cost'!$F$4</f>
        <v>0</v>
      </c>
      <c r="N164" s="126"/>
      <c r="O164" s="126"/>
      <c r="P164" s="126"/>
      <c r="Q164" s="126"/>
      <c r="R164" s="127">
        <f>'1. Standard_Cost'!$B$15*N164*P164</f>
        <v>0</v>
      </c>
      <c r="S164" s="127">
        <f>N164*O164*P164*'1. Standard_Cost'!$C$15</f>
        <v>0</v>
      </c>
      <c r="T164" s="127">
        <f>N164*P164*Q164*'1. Standard_Cost'!$D$15</f>
        <v>0</v>
      </c>
      <c r="U164" s="127">
        <f>N164*O164*'1. Standard_Cost'!$E$15</f>
        <v>0</v>
      </c>
      <c r="V164" s="126"/>
      <c r="W164" s="126"/>
      <c r="X164" s="126"/>
      <c r="Y164" s="127">
        <f>+V164*((X164*'1. Standard_Cost'!$B$19)+(W164*X164*'1. Standard_Cost'!$C$19))</f>
        <v>0</v>
      </c>
      <c r="Z164" s="126"/>
      <c r="AA164" s="126"/>
      <c r="AB164" s="127">
        <f>+Z164*'1. Standard_Cost'!$B$23+AA164*'1. Standard_Cost'!$C$23</f>
        <v>0</v>
      </c>
      <c r="AC164" s="128"/>
      <c r="AD164" s="129"/>
      <c r="AE164" s="127">
        <f>SUM(AD164,AC164,AB164,Y164,U164,T164,S164,R164)*'1. Standard_Cost'!$B$31</f>
        <v>0</v>
      </c>
      <c r="AF164" s="127">
        <f>SUM(AE164,AD164,AC164,AB164,Y164,U164,T164,S164,R164)</f>
        <v>0</v>
      </c>
      <c r="AG164" s="126"/>
      <c r="AH164" s="126"/>
      <c r="AI164" s="126"/>
      <c r="AJ164" s="130"/>
      <c r="AK164" s="130"/>
      <c r="AL164" s="130"/>
      <c r="AM164" s="127">
        <f>AG164*'1. Standard_Cost'!$B$27+'Incremental_Cost Year 6'!AH164*'1. Standard_Cost'!$C$27+'Incremental_Cost Year 6'!AI164*'1. Standard_Cost'!$D$27+'Incremental_Cost Year 6'!AJ164+'Incremental_Cost Year 6'!AL164+AK164</f>
        <v>0</v>
      </c>
      <c r="AN164" s="127">
        <f>AM164*'1. Standard_Cost'!$C$31</f>
        <v>0</v>
      </c>
      <c r="AO164" s="130"/>
      <c r="AP164" s="256"/>
      <c r="AQ164" s="171">
        <f>L164+M164</f>
        <v>0</v>
      </c>
      <c r="AR164" s="171">
        <f>AF164</f>
        <v>0</v>
      </c>
      <c r="AS164" s="171">
        <f>AM164+AN164</f>
        <v>0</v>
      </c>
      <c r="AT164" s="171">
        <f>SUM(AQ164,AR164,AS164)</f>
        <v>0</v>
      </c>
      <c r="AU164" s="250"/>
      <c r="AV164" s="250"/>
      <c r="AW164" s="250"/>
      <c r="AX164" s="250"/>
      <c r="AY164" s="250"/>
      <c r="AZ164" s="250"/>
      <c r="BA164" s="250"/>
      <c r="BB164" s="251">
        <f t="shared" ref="BB164:BB167" si="107">SUM(AU164:BA164)-AT164</f>
        <v>0</v>
      </c>
      <c r="BC164" s="169"/>
      <c r="BD164" s="169"/>
      <c r="BE164" s="169"/>
      <c r="BF164" s="169"/>
    </row>
    <row r="165" spans="1:58" ht="78.75" outlineLevel="2" x14ac:dyDescent="0.25">
      <c r="A165" s="115"/>
      <c r="B165" s="200"/>
      <c r="C165" s="201"/>
      <c r="D165" s="151"/>
      <c r="E165" s="219"/>
      <c r="F165" s="308"/>
      <c r="G165" s="309"/>
      <c r="H165" s="199" t="s">
        <v>476</v>
      </c>
      <c r="I165" s="130"/>
      <c r="J165" s="126"/>
      <c r="K165" s="126"/>
      <c r="L165" s="125" t="str">
        <f>IF(I165&lt;&gt;0,((VLOOKUP(I165,'1. Standard_Cost'!$B$4:$D$11,2)+VLOOKUP(I165,'1. Standard_Cost'!$B$4:$D$11,3))*J165*K165),"0")</f>
        <v>0</v>
      </c>
      <c r="M165" s="125">
        <f>L165*'1. Standard_Cost'!$F$4</f>
        <v>0</v>
      </c>
      <c r="N165" s="126"/>
      <c r="O165" s="126"/>
      <c r="P165" s="126"/>
      <c r="Q165" s="126"/>
      <c r="R165" s="127">
        <f>'1. Standard_Cost'!$B$15*N165*P165</f>
        <v>0</v>
      </c>
      <c r="S165" s="127">
        <f>N165*O165*P165*'1. Standard_Cost'!$C$15</f>
        <v>0</v>
      </c>
      <c r="T165" s="127">
        <f>N165*P165*Q165*'1. Standard_Cost'!$D$15</f>
        <v>0</v>
      </c>
      <c r="U165" s="127">
        <f>N165*O165*'1. Standard_Cost'!$E$15</f>
        <v>0</v>
      </c>
      <c r="V165" s="126"/>
      <c r="W165" s="126"/>
      <c r="X165" s="126"/>
      <c r="Y165" s="127">
        <f>+V165*((X165*'1. Standard_Cost'!$B$19)+(W165*X165*'1. Standard_Cost'!$C$19))</f>
        <v>0</v>
      </c>
      <c r="Z165" s="126"/>
      <c r="AA165" s="126"/>
      <c r="AB165" s="127">
        <f>+Z165*'1. Standard_Cost'!$B$23+AA165*'1. Standard_Cost'!$C$23</f>
        <v>0</v>
      </c>
      <c r="AC165" s="128"/>
      <c r="AD165" s="129"/>
      <c r="AE165" s="127">
        <f>SUM(AD165,AC165,AB165,Y165,U165,T165,S165,R165)*'1. Standard_Cost'!$B$31</f>
        <v>0</v>
      </c>
      <c r="AF165" s="127">
        <f>SUM(AE165,AD165,AC165,AB165,Y165,U165,T165,S165,R165)</f>
        <v>0</v>
      </c>
      <c r="AG165" s="126"/>
      <c r="AH165" s="126"/>
      <c r="AI165" s="126"/>
      <c r="AJ165" s="130"/>
      <c r="AK165" s="130"/>
      <c r="AL165" s="130"/>
      <c r="AM165" s="127">
        <f>AG165*'1. Standard_Cost'!$B$27+'Incremental_Cost Year 6'!AH165*'1. Standard_Cost'!$C$27+'Incremental_Cost Year 6'!AI165*'1. Standard_Cost'!$D$27+'Incremental_Cost Year 6'!AJ165+'Incremental_Cost Year 6'!AL165+AK165</f>
        <v>0</v>
      </c>
      <c r="AN165" s="127">
        <f>AM165*'1. Standard_Cost'!$C$31</f>
        <v>0</v>
      </c>
      <c r="AO165" s="130"/>
      <c r="AP165" s="256"/>
      <c r="AQ165" s="171">
        <f>L165+M165</f>
        <v>0</v>
      </c>
      <c r="AR165" s="171">
        <f>AF165</f>
        <v>0</v>
      </c>
      <c r="AS165" s="171">
        <f>AM165+AN165</f>
        <v>0</v>
      </c>
      <c r="AT165" s="171">
        <f>SUM(AQ165,AR165,AS165)</f>
        <v>0</v>
      </c>
      <c r="AU165" s="250"/>
      <c r="AV165" s="250"/>
      <c r="AW165" s="250"/>
      <c r="AX165" s="250"/>
      <c r="AY165" s="250"/>
      <c r="AZ165" s="250"/>
      <c r="BA165" s="250"/>
      <c r="BB165" s="251">
        <f t="shared" si="107"/>
        <v>0</v>
      </c>
      <c r="BC165" s="169"/>
      <c r="BD165" s="169"/>
      <c r="BE165" s="169"/>
      <c r="BF165" s="169"/>
    </row>
    <row r="166" spans="1:58" ht="110.25" outlineLevel="2" x14ac:dyDescent="0.25">
      <c r="A166" s="115"/>
      <c r="B166" s="200"/>
      <c r="C166" s="201"/>
      <c r="D166" s="151"/>
      <c r="E166" s="219"/>
      <c r="F166" s="308"/>
      <c r="G166" s="309"/>
      <c r="H166" s="199" t="s">
        <v>541</v>
      </c>
      <c r="I166" s="130"/>
      <c r="J166" s="126"/>
      <c r="K166" s="126"/>
      <c r="L166" s="125" t="str">
        <f>IF(I166&lt;&gt;0,((VLOOKUP(I166,'1. Standard_Cost'!$B$4:$D$11,2)+VLOOKUP(I166,'1. Standard_Cost'!$B$4:$D$11,3))*J166*K166),"0")</f>
        <v>0</v>
      </c>
      <c r="M166" s="125">
        <f>L166*'1. Standard_Cost'!$F$4</f>
        <v>0</v>
      </c>
      <c r="N166" s="126"/>
      <c r="O166" s="126"/>
      <c r="P166" s="126"/>
      <c r="Q166" s="126"/>
      <c r="R166" s="127">
        <f>'1. Standard_Cost'!$B$15*N166*P166</f>
        <v>0</v>
      </c>
      <c r="S166" s="127">
        <f>N166*O166*P166*'1. Standard_Cost'!$C$15</f>
        <v>0</v>
      </c>
      <c r="T166" s="127">
        <f>N166*P166*Q166*'1. Standard_Cost'!$D$15</f>
        <v>0</v>
      </c>
      <c r="U166" s="127">
        <f>N166*O166*'1. Standard_Cost'!$E$15</f>
        <v>0</v>
      </c>
      <c r="V166" s="126"/>
      <c r="W166" s="126"/>
      <c r="X166" s="126"/>
      <c r="Y166" s="127">
        <f>+V166*((X166*'1. Standard_Cost'!$B$19)+(W166*X166*'1. Standard_Cost'!$C$19))</f>
        <v>0</v>
      </c>
      <c r="Z166" s="126"/>
      <c r="AA166" s="126"/>
      <c r="AB166" s="127">
        <f>+Z166*'1. Standard_Cost'!$B$23+AA166*'1. Standard_Cost'!$C$23</f>
        <v>0</v>
      </c>
      <c r="AC166" s="128"/>
      <c r="AD166" s="129"/>
      <c r="AE166" s="127">
        <f>SUM(AD166,AC166,AB166,Y166,U166,T166,S166,R166)*'1. Standard_Cost'!$B$31</f>
        <v>0</v>
      </c>
      <c r="AF166" s="127">
        <f>SUM(AE166,AD166,AC166,AB166,Y166,U166,T166,S166,R166)</f>
        <v>0</v>
      </c>
      <c r="AG166" s="126"/>
      <c r="AH166" s="126"/>
      <c r="AI166" s="126"/>
      <c r="AJ166" s="130"/>
      <c r="AK166" s="130"/>
      <c r="AL166" s="130"/>
      <c r="AM166" s="127">
        <f>AG166*'1. Standard_Cost'!$B$27+'Incremental_Cost Year 6'!AH166*'1. Standard_Cost'!$C$27+'Incremental_Cost Year 6'!AI166*'1. Standard_Cost'!$D$27+'Incremental_Cost Year 6'!AJ166+'Incremental_Cost Year 6'!AL166+AK166</f>
        <v>0</v>
      </c>
      <c r="AN166" s="127">
        <f>AM166*'1. Standard_Cost'!$C$31</f>
        <v>0</v>
      </c>
      <c r="AO166" s="130"/>
      <c r="AP166" s="256"/>
      <c r="AQ166" s="171">
        <f>L166+M166</f>
        <v>0</v>
      </c>
      <c r="AR166" s="171">
        <f>AF166</f>
        <v>0</v>
      </c>
      <c r="AS166" s="171">
        <f>AM166+AN166</f>
        <v>0</v>
      </c>
      <c r="AT166" s="171">
        <f>SUM(AQ166,AR166,AS166)</f>
        <v>0</v>
      </c>
      <c r="AU166" s="250"/>
      <c r="AV166" s="250"/>
      <c r="AW166" s="250"/>
      <c r="AX166" s="250"/>
      <c r="AY166" s="250"/>
      <c r="AZ166" s="250"/>
      <c r="BA166" s="250"/>
      <c r="BB166" s="251">
        <f t="shared" si="107"/>
        <v>0</v>
      </c>
      <c r="BC166" s="169"/>
      <c r="BD166" s="169"/>
      <c r="BE166" s="169"/>
      <c r="BF166" s="169"/>
    </row>
    <row r="167" spans="1:58" ht="31.5" outlineLevel="2" x14ac:dyDescent="0.25">
      <c r="A167" s="115"/>
      <c r="B167" s="200"/>
      <c r="C167" s="201"/>
      <c r="D167" s="310"/>
      <c r="E167" s="122"/>
      <c r="F167" s="311"/>
      <c r="G167" s="312"/>
      <c r="H167" s="199" t="s">
        <v>315</v>
      </c>
      <c r="I167" s="130" t="s">
        <v>4</v>
      </c>
      <c r="J167" s="126">
        <v>12</v>
      </c>
      <c r="K167" s="126">
        <v>398</v>
      </c>
      <c r="L167" s="125">
        <f>IF(I167&lt;&gt;0,((VLOOKUP(I167,'1. Standard_Cost'!$B$4:$D$11,2)+VLOOKUP(I167,'1. Standard_Cost'!$B$4:$D$11,3))*J167*K167),"0")</f>
        <v>385662000</v>
      </c>
      <c r="M167" s="125">
        <f>L167*'1. Standard_Cost'!$F$4</f>
        <v>64405554</v>
      </c>
      <c r="N167" s="126"/>
      <c r="O167" s="126"/>
      <c r="P167" s="126"/>
      <c r="Q167" s="126"/>
      <c r="R167" s="127">
        <f>'1. Standard_Cost'!$B$15*N167*P167</f>
        <v>0</v>
      </c>
      <c r="S167" s="127">
        <f>N167*O167*P167*'1. Standard_Cost'!$C$15</f>
        <v>0</v>
      </c>
      <c r="T167" s="127">
        <f>N167*P167*Q167*'1. Standard_Cost'!$D$15</f>
        <v>0</v>
      </c>
      <c r="U167" s="127">
        <f>N167*O167*'1. Standard_Cost'!$E$15</f>
        <v>0</v>
      </c>
      <c r="V167" s="126"/>
      <c r="W167" s="126"/>
      <c r="X167" s="126"/>
      <c r="Y167" s="127">
        <f>+V167*((X167*'1. Standard_Cost'!$B$19)+(W167*X167*'1. Standard_Cost'!$C$19))</f>
        <v>0</v>
      </c>
      <c r="Z167" s="126"/>
      <c r="AA167" s="126"/>
      <c r="AB167" s="127">
        <f>+Z167*'1. Standard_Cost'!$B$23+AA167*'1. Standard_Cost'!$C$23</f>
        <v>0</v>
      </c>
      <c r="AC167" s="128">
        <v>788000000</v>
      </c>
      <c r="AD167" s="129"/>
      <c r="AE167" s="127"/>
      <c r="AF167" s="127">
        <f>SUM(AE167,AD167,AC167,AB167,Y167,U167,T167,S167,R167)</f>
        <v>788000000</v>
      </c>
      <c r="AG167" s="126"/>
      <c r="AH167" s="126"/>
      <c r="AI167" s="126"/>
      <c r="AJ167" s="130"/>
      <c r="AK167" s="130"/>
      <c r="AL167" s="130"/>
      <c r="AM167" s="127">
        <f>AG167*'1. Standard_Cost'!$B$27+'Incremental_Cost Year 6'!AH167*'1. Standard_Cost'!$C$27+'Incremental_Cost Year 6'!AI167*'1. Standard_Cost'!$D$27+'Incremental_Cost Year 6'!AJ167+'Incremental_Cost Year 6'!AL167+AK167</f>
        <v>0</v>
      </c>
      <c r="AN167" s="127">
        <f>AM167*'1. Standard_Cost'!$C$31</f>
        <v>0</v>
      </c>
      <c r="AO167" s="130"/>
      <c r="AP167" s="256"/>
      <c r="AQ167" s="171">
        <f>L167+M167</f>
        <v>450067554</v>
      </c>
      <c r="AR167" s="171">
        <f>AF167</f>
        <v>788000000</v>
      </c>
      <c r="AS167" s="171">
        <f>AM167+AN167</f>
        <v>0</v>
      </c>
      <c r="AT167" s="171">
        <f>SUM(AQ167,AR167,AS167)</f>
        <v>1238067554</v>
      </c>
      <c r="AU167" s="250">
        <v>1238067554</v>
      </c>
      <c r="AV167" s="250"/>
      <c r="AW167" s="250"/>
      <c r="AX167" s="250"/>
      <c r="AY167" s="250"/>
      <c r="AZ167" s="250"/>
      <c r="BA167" s="250"/>
      <c r="BB167" s="251">
        <f t="shared" si="107"/>
        <v>0</v>
      </c>
      <c r="BC167" s="169"/>
      <c r="BD167" s="169"/>
      <c r="BE167" s="169"/>
      <c r="BF167" s="169"/>
    </row>
    <row r="168" spans="1:58" ht="78.75" outlineLevel="2" x14ac:dyDescent="0.25">
      <c r="A168" s="115"/>
      <c r="B168" s="165"/>
      <c r="C168" s="166"/>
      <c r="D168" s="139" t="s">
        <v>477</v>
      </c>
      <c r="E168" s="212" t="s">
        <v>478</v>
      </c>
      <c r="F168" s="136">
        <v>2021</v>
      </c>
      <c r="G168" s="117">
        <v>2030</v>
      </c>
      <c r="H168" s="110" t="s">
        <v>170</v>
      </c>
      <c r="I168" s="252"/>
      <c r="J168" s="252"/>
      <c r="K168" s="252"/>
      <c r="L168" s="127">
        <f>SUM(L164:L167)</f>
        <v>385662000</v>
      </c>
      <c r="M168" s="127">
        <f>SUM(M164:M167)</f>
        <v>64405554</v>
      </c>
      <c r="N168" s="252"/>
      <c r="O168" s="252"/>
      <c r="P168" s="252"/>
      <c r="Q168" s="252"/>
      <c r="R168" s="127">
        <f>SUM(R164:R167)</f>
        <v>0</v>
      </c>
      <c r="S168" s="127">
        <f>SUM(S164:S167)</f>
        <v>0</v>
      </c>
      <c r="T168" s="127">
        <f>SUM(T164:T167)</f>
        <v>0</v>
      </c>
      <c r="U168" s="127">
        <f>SUM(U164:U167)</f>
        <v>0</v>
      </c>
      <c r="V168" s="252"/>
      <c r="W168" s="252"/>
      <c r="X168" s="252"/>
      <c r="Y168" s="127">
        <f>SUM(Y164:Y167)</f>
        <v>0</v>
      </c>
      <c r="Z168" s="127"/>
      <c r="AA168" s="252"/>
      <c r="AB168" s="127">
        <f>SUM(AB164:AB167)</f>
        <v>0</v>
      </c>
      <c r="AC168" s="127">
        <f>SUM(AC164:AC167)</f>
        <v>788000000</v>
      </c>
      <c r="AD168" s="127">
        <f>SUM(AD164:AD167)</f>
        <v>0</v>
      </c>
      <c r="AE168" s="127">
        <f>SUM(AE164:AE167)</f>
        <v>0</v>
      </c>
      <c r="AF168" s="127">
        <f>SUM(AF164:AF167)</f>
        <v>788000000</v>
      </c>
      <c r="AG168" s="252"/>
      <c r="AH168" s="252"/>
      <c r="AI168" s="252"/>
      <c r="AJ168" s="127">
        <f>SUM(AJ164:AJ167)</f>
        <v>0</v>
      </c>
      <c r="AK168" s="127">
        <f>SUM(AK164:AK167)</f>
        <v>0</v>
      </c>
      <c r="AL168" s="127">
        <f>SUM(AL164:AL167)</f>
        <v>0</v>
      </c>
      <c r="AM168" s="127">
        <f>SUM(AM164:AM167)</f>
        <v>0</v>
      </c>
      <c r="AN168" s="127">
        <f>SUM(AN164:AN167)</f>
        <v>0</v>
      </c>
      <c r="AO168" s="253"/>
      <c r="AP168" s="254"/>
      <c r="AQ168" s="175">
        <f>SUM(AQ164:AQ167)</f>
        <v>450067554</v>
      </c>
      <c r="AR168" s="175">
        <f>SUM(AR164:AR167)</f>
        <v>788000000</v>
      </c>
      <c r="AS168" s="175">
        <f>SUM(AS164:AS167)</f>
        <v>0</v>
      </c>
      <c r="AT168" s="175">
        <f>SUM(AT164:AT167)</f>
        <v>1238067554</v>
      </c>
      <c r="AU168" s="175">
        <f t="shared" ref="AU168:BA168" si="108">SUM(AU164:AU167)</f>
        <v>1238067554</v>
      </c>
      <c r="AV168" s="175">
        <f t="shared" si="108"/>
        <v>0</v>
      </c>
      <c r="AW168" s="175">
        <f t="shared" si="108"/>
        <v>0</v>
      </c>
      <c r="AX168" s="175">
        <f t="shared" si="108"/>
        <v>0</v>
      </c>
      <c r="AY168" s="175">
        <f t="shared" si="108"/>
        <v>0</v>
      </c>
      <c r="AZ168" s="175">
        <f t="shared" si="108"/>
        <v>0</v>
      </c>
      <c r="BA168" s="175">
        <f t="shared" si="108"/>
        <v>0</v>
      </c>
      <c r="BB168" s="175">
        <f>SUM(BB164:BB167)</f>
        <v>0</v>
      </c>
      <c r="BC168" s="169"/>
      <c r="BD168" s="169"/>
      <c r="BE168" s="169"/>
      <c r="BF168" s="169"/>
    </row>
    <row r="169" spans="1:58" ht="31.5" outlineLevel="1" x14ac:dyDescent="0.25">
      <c r="A169" s="115"/>
      <c r="B169" s="200"/>
      <c r="C169" s="201"/>
      <c r="D169" s="342"/>
      <c r="E169" s="328"/>
      <c r="F169" s="328"/>
      <c r="G169" s="328"/>
      <c r="H169" s="199" t="s">
        <v>479</v>
      </c>
      <c r="I169" s="130"/>
      <c r="J169" s="126"/>
      <c r="K169" s="126"/>
      <c r="L169" s="125" t="str">
        <f>IF(I169&lt;&gt;0,((VLOOKUP(I169,'1. Standard_Cost'!$B$4:$D$11,2)+VLOOKUP(I169,'1. Standard_Cost'!$B$4:$D$11,3))*J169*K169),"0")</f>
        <v>0</v>
      </c>
      <c r="M169" s="125">
        <f>L169*'1. Standard_Cost'!$F$4</f>
        <v>0</v>
      </c>
      <c r="N169" s="126"/>
      <c r="O169" s="126"/>
      <c r="P169" s="126"/>
      <c r="Q169" s="126"/>
      <c r="R169" s="127">
        <f>'1. Standard_Cost'!$B$15*N169*P169</f>
        <v>0</v>
      </c>
      <c r="S169" s="127">
        <f>N169*O169*P169*'1. Standard_Cost'!$C$15</f>
        <v>0</v>
      </c>
      <c r="T169" s="127">
        <f>N169*P169*Q169*'1. Standard_Cost'!$D$15</f>
        <v>0</v>
      </c>
      <c r="U169" s="127">
        <f>N169*O169*'1. Standard_Cost'!$E$15</f>
        <v>0</v>
      </c>
      <c r="V169" s="126"/>
      <c r="W169" s="126"/>
      <c r="X169" s="126"/>
      <c r="Y169" s="127">
        <f>+V169*((X169*'1. Standard_Cost'!$B$19)+(W169*X169*'1. Standard_Cost'!$C$19))</f>
        <v>0</v>
      </c>
      <c r="Z169" s="126"/>
      <c r="AA169" s="126"/>
      <c r="AB169" s="127">
        <f>+Z169*'1. Standard_Cost'!$B$23+AA169*'1. Standard_Cost'!$C$23</f>
        <v>0</v>
      </c>
      <c r="AC169" s="128">
        <v>1320223000</v>
      </c>
      <c r="AD169" s="129"/>
      <c r="AE169" s="127"/>
      <c r="AF169" s="127">
        <f t="shared" ref="AF169:AF177" si="109">SUM(AE169,AD169,AC169,AB169,Y169,U169,T169,S169,R169)</f>
        <v>1320223000</v>
      </c>
      <c r="AG169" s="126"/>
      <c r="AH169" s="126"/>
      <c r="AI169" s="126"/>
      <c r="AJ169" s="130"/>
      <c r="AK169" s="130"/>
      <c r="AL169" s="130"/>
      <c r="AM169" s="127">
        <f>AG169*'1. Standard_Cost'!$B$27+'Incremental_Cost Year 6'!AH169*'1. Standard_Cost'!$C$27+'Incremental_Cost Year 6'!AI169*'1. Standard_Cost'!$D$27+'Incremental_Cost Year 6'!AJ169+'Incremental_Cost Year 6'!AL169+AK169</f>
        <v>0</v>
      </c>
      <c r="AN169" s="127">
        <f>AM169*'1. Standard_Cost'!$C$31</f>
        <v>0</v>
      </c>
      <c r="AO169" s="130"/>
      <c r="AP169" s="256"/>
      <c r="AQ169" s="171">
        <f t="shared" ref="AQ169:AQ177" si="110">L169+M169</f>
        <v>0</v>
      </c>
      <c r="AR169" s="171">
        <f t="shared" ref="AR169:AR177" si="111">AF169</f>
        <v>1320223000</v>
      </c>
      <c r="AS169" s="171">
        <f t="shared" ref="AS169:AS177" si="112">AM169+AN169</f>
        <v>0</v>
      </c>
      <c r="AT169" s="171">
        <f t="shared" ref="AT169:AT177" si="113">SUM(AQ169,AR169,AS169)</f>
        <v>1320223000</v>
      </c>
      <c r="AU169" s="250">
        <v>1320223000</v>
      </c>
      <c r="AV169" s="250"/>
      <c r="AW169" s="250"/>
      <c r="AX169" s="250"/>
      <c r="AY169" s="250"/>
      <c r="AZ169" s="250"/>
      <c r="BA169" s="250"/>
      <c r="BB169" s="251">
        <f t="shared" ref="BB169:BB177" si="114">SUM(AU169:BA169)-AT169</f>
        <v>0</v>
      </c>
      <c r="BC169" s="169"/>
      <c r="BD169" s="169"/>
      <c r="BE169" s="169"/>
      <c r="BF169" s="169"/>
    </row>
    <row r="170" spans="1:58" ht="47.25" outlineLevel="2" x14ac:dyDescent="0.25">
      <c r="A170" s="115"/>
      <c r="B170" s="200"/>
      <c r="C170" s="201"/>
      <c r="D170" s="343"/>
      <c r="E170" s="328"/>
      <c r="F170" s="328"/>
      <c r="G170" s="328"/>
      <c r="H170" s="213" t="s">
        <v>480</v>
      </c>
      <c r="I170" s="130"/>
      <c r="J170" s="126"/>
      <c r="K170" s="126"/>
      <c r="L170" s="125" t="str">
        <f>IF(I170&lt;&gt;0,((VLOOKUP(I170,'1. Standard_Cost'!$B$4:$D$11,2)+VLOOKUP(I170,'1. Standard_Cost'!$B$4:$D$11,3))*J170*K170),"0")</f>
        <v>0</v>
      </c>
      <c r="M170" s="125">
        <f>L170*'1. Standard_Cost'!$F$4</f>
        <v>0</v>
      </c>
      <c r="N170" s="126"/>
      <c r="O170" s="126"/>
      <c r="P170" s="126"/>
      <c r="Q170" s="126"/>
      <c r="R170" s="127">
        <f>'1. Standard_Cost'!$B$15*N170*P170</f>
        <v>0</v>
      </c>
      <c r="S170" s="127">
        <f>N170*O170*P170*'1. Standard_Cost'!$C$15</f>
        <v>0</v>
      </c>
      <c r="T170" s="127">
        <f>N170*P170*Q170*'1. Standard_Cost'!$D$15</f>
        <v>0</v>
      </c>
      <c r="U170" s="127">
        <f>N170*O170*'1. Standard_Cost'!$E$15</f>
        <v>0</v>
      </c>
      <c r="V170" s="126"/>
      <c r="W170" s="126"/>
      <c r="X170" s="126"/>
      <c r="Y170" s="127">
        <f>+V170*((X170*'1. Standard_Cost'!$B$19)+(W170*X170*'1. Standard_Cost'!$C$19))</f>
        <v>0</v>
      </c>
      <c r="Z170" s="126"/>
      <c r="AA170" s="126"/>
      <c r="AB170" s="127">
        <f>+Z170*'1. Standard_Cost'!$B$23+AA170*'1. Standard_Cost'!$C$23</f>
        <v>0</v>
      </c>
      <c r="AC170" s="266">
        <v>946000000</v>
      </c>
      <c r="AD170" s="129"/>
      <c r="AE170" s="127"/>
      <c r="AF170" s="127">
        <f t="shared" si="109"/>
        <v>946000000</v>
      </c>
      <c r="AG170" s="126"/>
      <c r="AH170" s="126"/>
      <c r="AI170" s="126"/>
      <c r="AJ170" s="130"/>
      <c r="AK170" s="130"/>
      <c r="AL170" s="130"/>
      <c r="AM170" s="127">
        <f>AG170*'1. Standard_Cost'!$B$27+'Incremental_Cost Year 6'!AH170*'1. Standard_Cost'!$C$27+'Incremental_Cost Year 6'!AI170*'1. Standard_Cost'!$D$27+'Incremental_Cost Year 6'!AJ170+'Incremental_Cost Year 6'!AL170+AK170</f>
        <v>0</v>
      </c>
      <c r="AN170" s="127">
        <f>AM170*'1. Standard_Cost'!$C$31</f>
        <v>0</v>
      </c>
      <c r="AO170" s="130"/>
      <c r="AP170" s="256"/>
      <c r="AQ170" s="171">
        <f t="shared" si="110"/>
        <v>0</v>
      </c>
      <c r="AR170" s="171">
        <f t="shared" si="111"/>
        <v>946000000</v>
      </c>
      <c r="AS170" s="171">
        <f t="shared" si="112"/>
        <v>0</v>
      </c>
      <c r="AT170" s="171">
        <f t="shared" si="113"/>
        <v>946000000</v>
      </c>
      <c r="AU170" s="250">
        <v>946000000</v>
      </c>
      <c r="AV170" s="250"/>
      <c r="AW170" s="250"/>
      <c r="AX170" s="250"/>
      <c r="AY170" s="250"/>
      <c r="AZ170" s="250"/>
      <c r="BA170" s="250"/>
      <c r="BB170" s="251">
        <f t="shared" si="114"/>
        <v>0</v>
      </c>
      <c r="BC170" s="169"/>
      <c r="BD170" s="169"/>
      <c r="BE170" s="169"/>
      <c r="BF170" s="169"/>
    </row>
    <row r="171" spans="1:58" ht="31.5" outlineLevel="2" x14ac:dyDescent="0.25">
      <c r="A171" s="115"/>
      <c r="B171" s="200"/>
      <c r="C171" s="201"/>
      <c r="D171" s="343"/>
      <c r="E171" s="328"/>
      <c r="F171" s="328"/>
      <c r="G171" s="328"/>
      <c r="H171" s="213" t="s">
        <v>481</v>
      </c>
      <c r="I171" s="130"/>
      <c r="J171" s="126"/>
      <c r="K171" s="126"/>
      <c r="L171" s="125" t="str">
        <f>IF(I171&lt;&gt;0,((VLOOKUP(I171,'1. Standard_Cost'!$B$4:$D$11,2)+VLOOKUP(I171,'1. Standard_Cost'!$B$4:$D$11,3))*J171*K171),"0")</f>
        <v>0</v>
      </c>
      <c r="M171" s="125">
        <f>L171*'1. Standard_Cost'!$F$4</f>
        <v>0</v>
      </c>
      <c r="N171" s="126"/>
      <c r="O171" s="126"/>
      <c r="P171" s="126"/>
      <c r="Q171" s="126"/>
      <c r="R171" s="127">
        <f>'1. Standard_Cost'!$B$15*N171*P171</f>
        <v>0</v>
      </c>
      <c r="S171" s="127">
        <f>N171*O171*P171*'1. Standard_Cost'!$C$15</f>
        <v>0</v>
      </c>
      <c r="T171" s="127">
        <f>N171*P171*Q171*'1. Standard_Cost'!$D$15</f>
        <v>0</v>
      </c>
      <c r="U171" s="127">
        <f>N171*O171*'1. Standard_Cost'!$E$15</f>
        <v>0</v>
      </c>
      <c r="V171" s="126"/>
      <c r="W171" s="126"/>
      <c r="X171" s="126"/>
      <c r="Y171" s="127">
        <f>+V171*((X171*'1. Standard_Cost'!$B$19)+(W171*X171*'1. Standard_Cost'!$C$19))</f>
        <v>0</v>
      </c>
      <c r="Z171" s="126"/>
      <c r="AA171" s="126"/>
      <c r="AB171" s="127">
        <f>+Z171*'1. Standard_Cost'!$B$23+AA171*'1. Standard_Cost'!$C$23</f>
        <v>0</v>
      </c>
      <c r="AC171" s="128">
        <v>1790000000</v>
      </c>
      <c r="AD171" s="129"/>
      <c r="AE171" s="127"/>
      <c r="AF171" s="127">
        <f t="shared" si="109"/>
        <v>1790000000</v>
      </c>
      <c r="AG171" s="126"/>
      <c r="AH171" s="126"/>
      <c r="AI171" s="126"/>
      <c r="AJ171" s="130"/>
      <c r="AK171" s="130"/>
      <c r="AL171" s="130"/>
      <c r="AM171" s="127">
        <f>AG171*'1. Standard_Cost'!$B$27+'Incremental_Cost Year 6'!AH171*'1. Standard_Cost'!$C$27+'Incremental_Cost Year 6'!AI171*'1. Standard_Cost'!$D$27+'Incremental_Cost Year 6'!AJ171+'Incremental_Cost Year 6'!AL171+AK171</f>
        <v>0</v>
      </c>
      <c r="AN171" s="127">
        <f>AM171*'1. Standard_Cost'!$C$31</f>
        <v>0</v>
      </c>
      <c r="AO171" s="130"/>
      <c r="AP171" s="256"/>
      <c r="AQ171" s="171">
        <f t="shared" si="110"/>
        <v>0</v>
      </c>
      <c r="AR171" s="171">
        <f t="shared" si="111"/>
        <v>1790000000</v>
      </c>
      <c r="AS171" s="171">
        <f t="shared" si="112"/>
        <v>0</v>
      </c>
      <c r="AT171" s="171">
        <f t="shared" si="113"/>
        <v>1790000000</v>
      </c>
      <c r="AU171" s="250">
        <v>1790000000</v>
      </c>
      <c r="AV171" s="250"/>
      <c r="AW171" s="250"/>
      <c r="AX171" s="250"/>
      <c r="AY171" s="250"/>
      <c r="AZ171" s="250"/>
      <c r="BA171" s="250"/>
      <c r="BB171" s="251">
        <f t="shared" si="114"/>
        <v>0</v>
      </c>
      <c r="BC171" s="169"/>
      <c r="BD171" s="169"/>
      <c r="BE171" s="169"/>
      <c r="BF171" s="169"/>
    </row>
    <row r="172" spans="1:58" ht="47.25" outlineLevel="2" x14ac:dyDescent="0.25">
      <c r="A172" s="115"/>
      <c r="B172" s="200"/>
      <c r="C172" s="201"/>
      <c r="D172" s="343"/>
      <c r="E172" s="328"/>
      <c r="F172" s="328"/>
      <c r="G172" s="328"/>
      <c r="H172" s="213" t="s">
        <v>542</v>
      </c>
      <c r="I172" s="130"/>
      <c r="J172" s="126"/>
      <c r="K172" s="126"/>
      <c r="L172" s="125" t="str">
        <f>IF(I172&lt;&gt;0,((VLOOKUP(I172,'1. Standard_Cost'!$B$4:$D$11,2)+VLOOKUP(I172,'1. Standard_Cost'!$B$4:$D$11,3))*J172*K172),"0")</f>
        <v>0</v>
      </c>
      <c r="M172" s="125">
        <f>L172*'1. Standard_Cost'!$F$4</f>
        <v>0</v>
      </c>
      <c r="N172" s="126"/>
      <c r="O172" s="126"/>
      <c r="P172" s="126"/>
      <c r="Q172" s="126"/>
      <c r="R172" s="127">
        <f>'1. Standard_Cost'!$B$15*N172*P172</f>
        <v>0</v>
      </c>
      <c r="S172" s="127">
        <f>N172*O172*P172*'1. Standard_Cost'!$C$15</f>
        <v>0</v>
      </c>
      <c r="T172" s="127">
        <f>N172*P172*Q172*'1. Standard_Cost'!$D$15</f>
        <v>0</v>
      </c>
      <c r="U172" s="127">
        <f>N172*O172*'1. Standard_Cost'!$E$15</f>
        <v>0</v>
      </c>
      <c r="V172" s="126"/>
      <c r="W172" s="126"/>
      <c r="X172" s="126"/>
      <c r="Y172" s="127">
        <f>+V172*((X172*'1. Standard_Cost'!$B$19)+(W172*X172*'1. Standard_Cost'!$C$19))</f>
        <v>0</v>
      </c>
      <c r="Z172" s="126"/>
      <c r="AA172" s="126"/>
      <c r="AB172" s="127">
        <f>+Z172*'1. Standard_Cost'!$B$23+AA172*'1. Standard_Cost'!$C$23</f>
        <v>0</v>
      </c>
      <c r="AC172" s="128"/>
      <c r="AD172" s="129"/>
      <c r="AE172" s="127">
        <f>SUM(AD172,AC172,AB172,Y172,U172,T172,S172,R172)*'1. Standard_Cost'!$B$31</f>
        <v>0</v>
      </c>
      <c r="AF172" s="127">
        <f t="shared" si="109"/>
        <v>0</v>
      </c>
      <c r="AG172" s="126"/>
      <c r="AH172" s="126"/>
      <c r="AI172" s="126"/>
      <c r="AJ172" s="130"/>
      <c r="AK172" s="130"/>
      <c r="AL172" s="130"/>
      <c r="AM172" s="127">
        <f>AG172*'1. Standard_Cost'!$B$27+'Incremental_Cost Year 6'!AH172*'1. Standard_Cost'!$C$27+'Incremental_Cost Year 6'!AI172*'1. Standard_Cost'!$D$27+'Incremental_Cost Year 6'!AJ172+'Incremental_Cost Year 6'!AL172+AK172</f>
        <v>0</v>
      </c>
      <c r="AN172" s="127">
        <f>AM172*'1. Standard_Cost'!$C$31</f>
        <v>0</v>
      </c>
      <c r="AO172" s="130"/>
      <c r="AP172" s="256"/>
      <c r="AQ172" s="171">
        <f t="shared" si="110"/>
        <v>0</v>
      </c>
      <c r="AR172" s="171">
        <f t="shared" si="111"/>
        <v>0</v>
      </c>
      <c r="AS172" s="171">
        <f t="shared" si="112"/>
        <v>0</v>
      </c>
      <c r="AT172" s="171">
        <f t="shared" si="113"/>
        <v>0</v>
      </c>
      <c r="AU172" s="250"/>
      <c r="AV172" s="250"/>
      <c r="AW172" s="250"/>
      <c r="AX172" s="250"/>
      <c r="AY172" s="250"/>
      <c r="AZ172" s="250"/>
      <c r="BA172" s="250"/>
      <c r="BB172" s="251">
        <f t="shared" si="114"/>
        <v>0</v>
      </c>
      <c r="BC172" s="169"/>
      <c r="BD172" s="169"/>
      <c r="BE172" s="169"/>
      <c r="BF172" s="169"/>
    </row>
    <row r="173" spans="1:58" ht="31.5" outlineLevel="2" x14ac:dyDescent="0.25">
      <c r="A173" s="115"/>
      <c r="B173" s="200"/>
      <c r="C173" s="201"/>
      <c r="D173" s="343"/>
      <c r="E173" s="328"/>
      <c r="F173" s="328"/>
      <c r="G173" s="328"/>
      <c r="H173" s="213" t="s">
        <v>482</v>
      </c>
      <c r="I173" s="130" t="s">
        <v>5</v>
      </c>
      <c r="J173" s="126">
        <v>12</v>
      </c>
      <c r="K173" s="126">
        <v>59</v>
      </c>
      <c r="L173" s="125">
        <f>IF(I173&lt;&gt;0,((VLOOKUP(I173,'1. Standard_Cost'!$B$4:$D$11,2)+VLOOKUP(I173,'1. Standard_Cost'!$B$4:$D$11,3))*J173*K173),"0")</f>
        <v>50055600</v>
      </c>
      <c r="M173" s="125">
        <f>L173*'1. Standard_Cost'!$F$4</f>
        <v>8359285.2000000002</v>
      </c>
      <c r="N173" s="126"/>
      <c r="O173" s="126"/>
      <c r="P173" s="126"/>
      <c r="Q173" s="126"/>
      <c r="R173" s="127">
        <f>'1. Standard_Cost'!$B$15*N173*P173</f>
        <v>0</v>
      </c>
      <c r="S173" s="127">
        <f>N173*O173*P173*'1. Standard_Cost'!$C$15</f>
        <v>0</v>
      </c>
      <c r="T173" s="127">
        <f>N173*P173*Q173*'1. Standard_Cost'!$D$15</f>
        <v>0</v>
      </c>
      <c r="U173" s="127">
        <f>N173*O173*'1. Standard_Cost'!$E$15</f>
        <v>0</v>
      </c>
      <c r="V173" s="126"/>
      <c r="W173" s="126"/>
      <c r="X173" s="126"/>
      <c r="Y173" s="127">
        <f>+V173*((X173*'1. Standard_Cost'!$B$19)+(W173*X173*'1. Standard_Cost'!$C$19))</f>
        <v>0</v>
      </c>
      <c r="Z173" s="126"/>
      <c r="AA173" s="126"/>
      <c r="AB173" s="127">
        <f>+Z173*'1. Standard_Cost'!$B$23+AA173*'1. Standard_Cost'!$C$23</f>
        <v>0</v>
      </c>
      <c r="AC173" s="128">
        <v>458640000</v>
      </c>
      <c r="AD173" s="129"/>
      <c r="AE173" s="127"/>
      <c r="AF173" s="127">
        <f t="shared" si="109"/>
        <v>458640000</v>
      </c>
      <c r="AG173" s="126"/>
      <c r="AH173" s="126"/>
      <c r="AI173" s="126"/>
      <c r="AJ173" s="130"/>
      <c r="AK173" s="130"/>
      <c r="AL173" s="130"/>
      <c r="AM173" s="127">
        <f>AG173*'1. Standard_Cost'!$B$27+'Incremental_Cost Year 6'!AH173*'1. Standard_Cost'!$C$27+'Incremental_Cost Year 6'!AI173*'1. Standard_Cost'!$D$27+'Incremental_Cost Year 6'!AJ173+'Incremental_Cost Year 6'!AL173+AK173</f>
        <v>0</v>
      </c>
      <c r="AN173" s="127">
        <f>AM173*'1. Standard_Cost'!$C$31</f>
        <v>0</v>
      </c>
      <c r="AO173" s="130"/>
      <c r="AP173" s="256"/>
      <c r="AQ173" s="171">
        <f t="shared" si="110"/>
        <v>58414885.200000003</v>
      </c>
      <c r="AR173" s="171">
        <f t="shared" si="111"/>
        <v>458640000</v>
      </c>
      <c r="AS173" s="171">
        <f t="shared" si="112"/>
        <v>0</v>
      </c>
      <c r="AT173" s="171">
        <f t="shared" si="113"/>
        <v>517054885.19999999</v>
      </c>
      <c r="AU173" s="250">
        <v>517054885.19999999</v>
      </c>
      <c r="AV173" s="250"/>
      <c r="AW173" s="250"/>
      <c r="AX173" s="250"/>
      <c r="AY173" s="250"/>
      <c r="AZ173" s="250"/>
      <c r="BA173" s="250"/>
      <c r="BB173" s="251">
        <f t="shared" si="114"/>
        <v>0</v>
      </c>
      <c r="BC173" s="169"/>
      <c r="BD173" s="169"/>
      <c r="BE173" s="169"/>
      <c r="BF173" s="169"/>
    </row>
    <row r="174" spans="1:58" ht="15.75" outlineLevel="2" x14ac:dyDescent="0.25">
      <c r="A174" s="115"/>
      <c r="B174" s="200"/>
      <c r="C174" s="201"/>
      <c r="D174" s="343"/>
      <c r="E174" s="328"/>
      <c r="F174" s="328"/>
      <c r="G174" s="328"/>
      <c r="H174" s="199"/>
      <c r="I174" s="130"/>
      <c r="J174" s="126"/>
      <c r="K174" s="126"/>
      <c r="L174" s="125" t="str">
        <f>IF(I174&lt;&gt;0,((VLOOKUP(I174,'1. Standard_Cost'!$B$4:$D$11,2)+VLOOKUP(I174,'1. Standard_Cost'!$B$4:$D$11,3))*J174*K174),"0")</f>
        <v>0</v>
      </c>
      <c r="M174" s="125">
        <f>L174*'1. Standard_Cost'!$F$4</f>
        <v>0</v>
      </c>
      <c r="N174" s="126"/>
      <c r="O174" s="126"/>
      <c r="P174" s="126"/>
      <c r="Q174" s="126"/>
      <c r="R174" s="127">
        <f>'1. Standard_Cost'!$B$15*N174*P174</f>
        <v>0</v>
      </c>
      <c r="S174" s="127">
        <f>N174*O174*P174*'1. Standard_Cost'!$C$15</f>
        <v>0</v>
      </c>
      <c r="T174" s="127">
        <f>N174*P174*Q174*'1. Standard_Cost'!$D$15</f>
        <v>0</v>
      </c>
      <c r="U174" s="127">
        <f>N174*O174*'1. Standard_Cost'!$E$15</f>
        <v>0</v>
      </c>
      <c r="V174" s="126"/>
      <c r="W174" s="126"/>
      <c r="X174" s="126"/>
      <c r="Y174" s="127">
        <f>+V174*((X174*'1. Standard_Cost'!$B$19)+(W174*X174*'1. Standard_Cost'!$C$19))</f>
        <v>0</v>
      </c>
      <c r="Z174" s="126"/>
      <c r="AA174" s="126"/>
      <c r="AB174" s="127">
        <f>+Z174*'1. Standard_Cost'!$B$23+AA174*'1. Standard_Cost'!$C$23</f>
        <v>0</v>
      </c>
      <c r="AC174" s="128"/>
      <c r="AD174" s="129"/>
      <c r="AE174" s="127">
        <f>SUM(AD174,AC174,AB174,Y174,U174,T174,S174,R174)*'1. Standard_Cost'!$B$31</f>
        <v>0</v>
      </c>
      <c r="AF174" s="127">
        <f t="shared" si="109"/>
        <v>0</v>
      </c>
      <c r="AG174" s="126"/>
      <c r="AH174" s="126"/>
      <c r="AI174" s="126"/>
      <c r="AJ174" s="130"/>
      <c r="AK174" s="130"/>
      <c r="AL174" s="130"/>
      <c r="AM174" s="127">
        <f>AG174*'1. Standard_Cost'!$B$27+'Incremental_Cost Year 6'!AH174*'1. Standard_Cost'!$C$27+'Incremental_Cost Year 6'!AI174*'1. Standard_Cost'!$D$27+'Incremental_Cost Year 6'!AJ174+'Incremental_Cost Year 6'!AL174+AK174</f>
        <v>0</v>
      </c>
      <c r="AN174" s="127">
        <f>AM174*'1. Standard_Cost'!$C$31</f>
        <v>0</v>
      </c>
      <c r="AO174" s="130"/>
      <c r="AP174" s="256"/>
      <c r="AQ174" s="171">
        <f t="shared" si="110"/>
        <v>0</v>
      </c>
      <c r="AR174" s="171">
        <f t="shared" si="111"/>
        <v>0</v>
      </c>
      <c r="AS174" s="171">
        <f t="shared" si="112"/>
        <v>0</v>
      </c>
      <c r="AT174" s="171">
        <f t="shared" si="113"/>
        <v>0</v>
      </c>
      <c r="AU174" s="250"/>
      <c r="AV174" s="250"/>
      <c r="AW174" s="250"/>
      <c r="AX174" s="250"/>
      <c r="AY174" s="250"/>
      <c r="AZ174" s="250"/>
      <c r="BA174" s="250"/>
      <c r="BB174" s="251">
        <f t="shared" si="114"/>
        <v>0</v>
      </c>
      <c r="BC174" s="169"/>
      <c r="BD174" s="169"/>
      <c r="BE174" s="169"/>
      <c r="BF174" s="169"/>
    </row>
    <row r="175" spans="1:58" ht="47.25" outlineLevel="2" x14ac:dyDescent="0.25">
      <c r="A175" s="115"/>
      <c r="B175" s="200"/>
      <c r="C175" s="201"/>
      <c r="D175" s="343"/>
      <c r="E175" s="328"/>
      <c r="F175" s="328"/>
      <c r="G175" s="328"/>
      <c r="H175" s="213" t="s">
        <v>483</v>
      </c>
      <c r="I175" s="130"/>
      <c r="J175" s="126"/>
      <c r="K175" s="126"/>
      <c r="L175" s="125" t="str">
        <f>IF(I175&lt;&gt;0,((VLOOKUP(I175,'1. Standard_Cost'!$B$4:$D$11,2)+VLOOKUP(I175,'1. Standard_Cost'!$B$4:$D$11,3))*J175*K175),"0")</f>
        <v>0</v>
      </c>
      <c r="M175" s="125">
        <f>L175*'1. Standard_Cost'!$F$4</f>
        <v>0</v>
      </c>
      <c r="N175" s="126"/>
      <c r="O175" s="126"/>
      <c r="P175" s="126"/>
      <c r="Q175" s="126"/>
      <c r="R175" s="127">
        <f>'1. Standard_Cost'!$B$15*N175*P175</f>
        <v>0</v>
      </c>
      <c r="S175" s="127">
        <f>N175*O175*P175*'1. Standard_Cost'!$C$15</f>
        <v>0</v>
      </c>
      <c r="T175" s="127">
        <f>N175*P175*Q175*'1. Standard_Cost'!$D$15</f>
        <v>0</v>
      </c>
      <c r="U175" s="127">
        <f>N175*O175*'1. Standard_Cost'!$E$15</f>
        <v>0</v>
      </c>
      <c r="V175" s="126"/>
      <c r="W175" s="126"/>
      <c r="X175" s="126"/>
      <c r="Y175" s="127">
        <f>+V175*((X175*'1. Standard_Cost'!$B$19)+(W175*X175*'1. Standard_Cost'!$C$19))</f>
        <v>0</v>
      </c>
      <c r="Z175" s="126"/>
      <c r="AA175" s="126"/>
      <c r="AB175" s="127">
        <f>+Z175*'1. Standard_Cost'!$B$23+AA175*'1. Standard_Cost'!$C$23</f>
        <v>0</v>
      </c>
      <c r="AC175" s="128"/>
      <c r="AD175" s="129"/>
      <c r="AE175" s="127">
        <f>SUM(AD175,AC175,AB175,Y175,U175,T175,S175,R175)*'1. Standard_Cost'!$B$31</f>
        <v>0</v>
      </c>
      <c r="AF175" s="127">
        <f t="shared" si="109"/>
        <v>0</v>
      </c>
      <c r="AG175" s="126"/>
      <c r="AH175" s="126"/>
      <c r="AI175" s="126"/>
      <c r="AJ175" s="130"/>
      <c r="AK175" s="130"/>
      <c r="AL175" s="130"/>
      <c r="AM175" s="127">
        <f>AG175*'1. Standard_Cost'!$B$27+'Incremental_Cost Year 6'!AH175*'1. Standard_Cost'!$C$27+'Incremental_Cost Year 6'!AI175*'1. Standard_Cost'!$D$27+'Incremental_Cost Year 6'!AJ175+'Incremental_Cost Year 6'!AL175+AK175</f>
        <v>0</v>
      </c>
      <c r="AN175" s="127">
        <f>AM175*'1. Standard_Cost'!$C$31</f>
        <v>0</v>
      </c>
      <c r="AO175" s="130"/>
      <c r="AP175" s="256"/>
      <c r="AQ175" s="171">
        <f t="shared" si="110"/>
        <v>0</v>
      </c>
      <c r="AR175" s="171">
        <f t="shared" si="111"/>
        <v>0</v>
      </c>
      <c r="AS175" s="171">
        <f t="shared" si="112"/>
        <v>0</v>
      </c>
      <c r="AT175" s="171">
        <f t="shared" si="113"/>
        <v>0</v>
      </c>
      <c r="AU175" s="250"/>
      <c r="AV175" s="250"/>
      <c r="AW175" s="250"/>
      <c r="AX175" s="250"/>
      <c r="AY175" s="250"/>
      <c r="AZ175" s="250"/>
      <c r="BA175" s="250"/>
      <c r="BB175" s="251">
        <f t="shared" si="114"/>
        <v>0</v>
      </c>
      <c r="BC175" s="169"/>
      <c r="BD175" s="169"/>
      <c r="BE175" s="169"/>
      <c r="BF175" s="169"/>
    </row>
    <row r="176" spans="1:58" ht="63" outlineLevel="2" x14ac:dyDescent="0.25">
      <c r="A176" s="115"/>
      <c r="B176" s="200"/>
      <c r="C176" s="201"/>
      <c r="D176" s="343"/>
      <c r="E176" s="328"/>
      <c r="F176" s="328"/>
      <c r="G176" s="328"/>
      <c r="H176" s="199" t="s">
        <v>484</v>
      </c>
      <c r="I176" s="130" t="s">
        <v>1</v>
      </c>
      <c r="J176" s="126">
        <v>2</v>
      </c>
      <c r="K176" s="126">
        <v>7</v>
      </c>
      <c r="L176" s="125">
        <f>IF(I176&lt;&gt;0,((VLOOKUP(I176,'1. Standard_Cost'!$B$4:$D$11,2)+VLOOKUP(I176,'1. Standard_Cost'!$B$4:$D$11,3))*J176*K176),"0")</f>
        <v>1005100</v>
      </c>
      <c r="M176" s="125">
        <f>L176*'1. Standard_Cost'!$F$4</f>
        <v>167851.7</v>
      </c>
      <c r="N176" s="126"/>
      <c r="O176" s="126"/>
      <c r="P176" s="126"/>
      <c r="Q176" s="126"/>
      <c r="R176" s="127">
        <f>'1. Standard_Cost'!$B$15*N176*P176</f>
        <v>0</v>
      </c>
      <c r="S176" s="127">
        <f>N176*O176*P176*'1. Standard_Cost'!$C$15</f>
        <v>0</v>
      </c>
      <c r="T176" s="127">
        <f>N176*P176*Q176*'1. Standard_Cost'!$D$15</f>
        <v>0</v>
      </c>
      <c r="U176" s="127">
        <f>N176*O176*'1. Standard_Cost'!$E$15</f>
        <v>0</v>
      </c>
      <c r="V176" s="126"/>
      <c r="W176" s="126"/>
      <c r="X176" s="126"/>
      <c r="Y176" s="127">
        <f>+V176*((X176*'1. Standard_Cost'!$B$19)+(W176*X176*'1. Standard_Cost'!$C$19))</f>
        <v>0</v>
      </c>
      <c r="Z176" s="126"/>
      <c r="AA176" s="126"/>
      <c r="AB176" s="127">
        <f>+Z176*'1. Standard_Cost'!$B$23+AA176*'1. Standard_Cost'!$C$23</f>
        <v>0</v>
      </c>
      <c r="AC176" s="128">
        <v>140755</v>
      </c>
      <c r="AD176" s="129"/>
      <c r="AE176" s="127">
        <f>SUM(AD176,AC176,AB176,Y176,U176,T176,S176,R176)*'1. Standard_Cost'!$B$31</f>
        <v>28151</v>
      </c>
      <c r="AF176" s="127">
        <f t="shared" si="109"/>
        <v>168906</v>
      </c>
      <c r="AG176" s="126"/>
      <c r="AH176" s="126"/>
      <c r="AI176" s="126"/>
      <c r="AJ176" s="130"/>
      <c r="AK176" s="130"/>
      <c r="AL176" s="130"/>
      <c r="AM176" s="127">
        <f>AG176*'1. Standard_Cost'!$B$27+'Incremental_Cost Year 6'!AH176*'1. Standard_Cost'!$C$27+'Incremental_Cost Year 6'!AI176*'1. Standard_Cost'!$D$27+'Incremental_Cost Year 6'!AJ176+'Incremental_Cost Year 6'!AL176+AK176</f>
        <v>0</v>
      </c>
      <c r="AN176" s="127">
        <f>AM176*'1. Standard_Cost'!$C$31</f>
        <v>0</v>
      </c>
      <c r="AO176" s="130"/>
      <c r="AP176" s="256"/>
      <c r="AQ176" s="171">
        <f t="shared" si="110"/>
        <v>1172951.7</v>
      </c>
      <c r="AR176" s="171">
        <f t="shared" si="111"/>
        <v>168906</v>
      </c>
      <c r="AS176" s="171">
        <f t="shared" si="112"/>
        <v>0</v>
      </c>
      <c r="AT176" s="171">
        <f t="shared" si="113"/>
        <v>1341857.7</v>
      </c>
      <c r="AU176" s="250">
        <v>1341858</v>
      </c>
      <c r="AV176" s="250"/>
      <c r="AW176" s="250"/>
      <c r="AX176" s="250"/>
      <c r="AY176" s="250"/>
      <c r="AZ176" s="250"/>
      <c r="BA176" s="250"/>
      <c r="BB176" s="251">
        <f t="shared" si="114"/>
        <v>0.30000000004656613</v>
      </c>
      <c r="BC176" s="169"/>
      <c r="BD176" s="169"/>
      <c r="BE176" s="169"/>
      <c r="BF176" s="169"/>
    </row>
    <row r="177" spans="1:58" ht="15.75" outlineLevel="2" x14ac:dyDescent="0.25">
      <c r="A177" s="115"/>
      <c r="B177" s="200"/>
      <c r="C177" s="201"/>
      <c r="D177" s="344"/>
      <c r="E177" s="328"/>
      <c r="F177" s="328"/>
      <c r="G177" s="328"/>
      <c r="H177" s="231" t="s">
        <v>235</v>
      </c>
      <c r="I177" s="130"/>
      <c r="J177" s="126"/>
      <c r="K177" s="126"/>
      <c r="L177" s="125" t="str">
        <f>IF(I177&lt;&gt;0,((VLOOKUP(I177,'1. Standard_Cost'!$B$4:$D$11,2)+VLOOKUP(I177,'1. Standard_Cost'!$B$4:$D$11,3))*J177*K177),"0")</f>
        <v>0</v>
      </c>
      <c r="M177" s="125">
        <f>L177*'1. Standard_Cost'!$F$4</f>
        <v>0</v>
      </c>
      <c r="N177" s="126"/>
      <c r="O177" s="126"/>
      <c r="P177" s="126"/>
      <c r="Q177" s="126"/>
      <c r="R177" s="127">
        <f>'1. Standard_Cost'!$B$15*N177*P177</f>
        <v>0</v>
      </c>
      <c r="S177" s="127">
        <f>N177*O177*P177*'1. Standard_Cost'!$C$15</f>
        <v>0</v>
      </c>
      <c r="T177" s="127">
        <f>N177*P177*Q177*'1. Standard_Cost'!$D$15</f>
        <v>0</v>
      </c>
      <c r="U177" s="127">
        <f>N177*O177*'1. Standard_Cost'!$E$15</f>
        <v>0</v>
      </c>
      <c r="V177" s="126"/>
      <c r="W177" s="126"/>
      <c r="X177" s="126"/>
      <c r="Y177" s="127">
        <f>+V177*((X177*'1. Standard_Cost'!$B$19)+(W177*X177*'1. Standard_Cost'!$C$19))</f>
        <v>0</v>
      </c>
      <c r="Z177" s="126"/>
      <c r="AA177" s="126"/>
      <c r="AB177" s="127">
        <f>+Z177*'1. Standard_Cost'!$B$23+AA177*'1. Standard_Cost'!$C$23</f>
        <v>0</v>
      </c>
      <c r="AC177" s="128">
        <v>20000000</v>
      </c>
      <c r="AD177" s="129"/>
      <c r="AE177" s="127"/>
      <c r="AF177" s="127">
        <f t="shared" si="109"/>
        <v>20000000</v>
      </c>
      <c r="AG177" s="126"/>
      <c r="AH177" s="126"/>
      <c r="AI177" s="126"/>
      <c r="AJ177" s="130"/>
      <c r="AK177" s="130"/>
      <c r="AL177" s="130"/>
      <c r="AM177" s="127">
        <f>AG177*'1. Standard_Cost'!$B$27+'Incremental_Cost Year 6'!AH177*'1. Standard_Cost'!$C$27+'Incremental_Cost Year 6'!AI177*'1. Standard_Cost'!$D$27+'Incremental_Cost Year 6'!AJ177+'Incremental_Cost Year 6'!AL177+AK177</f>
        <v>0</v>
      </c>
      <c r="AN177" s="127">
        <f>AM177*'1. Standard_Cost'!$C$31</f>
        <v>0</v>
      </c>
      <c r="AO177" s="130"/>
      <c r="AP177" s="256"/>
      <c r="AQ177" s="171">
        <f t="shared" si="110"/>
        <v>0</v>
      </c>
      <c r="AR177" s="171">
        <f t="shared" si="111"/>
        <v>20000000</v>
      </c>
      <c r="AS177" s="171">
        <f t="shared" si="112"/>
        <v>0</v>
      </c>
      <c r="AT177" s="171">
        <f t="shared" si="113"/>
        <v>20000000</v>
      </c>
      <c r="AU177" s="250">
        <v>20000000</v>
      </c>
      <c r="AV177" s="250"/>
      <c r="AW177" s="250"/>
      <c r="AX177" s="250"/>
      <c r="AY177" s="250"/>
      <c r="AZ177" s="250"/>
      <c r="BA177" s="250"/>
      <c r="BB177" s="251">
        <f t="shared" si="114"/>
        <v>0</v>
      </c>
      <c r="BC177" s="169"/>
      <c r="BD177" s="169"/>
      <c r="BE177" s="169"/>
      <c r="BF177" s="169"/>
    </row>
    <row r="178" spans="1:58" ht="78.75" outlineLevel="2" x14ac:dyDescent="0.25">
      <c r="A178" s="115"/>
      <c r="B178" s="165"/>
      <c r="C178" s="166"/>
      <c r="D178" s="150" t="s">
        <v>485</v>
      </c>
      <c r="E178" s="212" t="s">
        <v>486</v>
      </c>
      <c r="F178" s="106">
        <v>2021</v>
      </c>
      <c r="G178" s="104">
        <v>2030</v>
      </c>
      <c r="H178" s="110" t="s">
        <v>181</v>
      </c>
      <c r="I178" s="252"/>
      <c r="J178" s="252"/>
      <c r="K178" s="252"/>
      <c r="L178" s="127">
        <f>SUM(L169:L177)</f>
        <v>51060700</v>
      </c>
      <c r="M178" s="127">
        <f>SUM(M169:M177)</f>
        <v>8527136.9000000004</v>
      </c>
      <c r="N178" s="252"/>
      <c r="O178" s="252"/>
      <c r="P178" s="252"/>
      <c r="Q178" s="252"/>
      <c r="R178" s="127">
        <f>SUM(R169:R177)</f>
        <v>0</v>
      </c>
      <c r="S178" s="127">
        <f>SUM(S169:S177)</f>
        <v>0</v>
      </c>
      <c r="T178" s="127">
        <f>SUM(T169:T177)</f>
        <v>0</v>
      </c>
      <c r="U178" s="127">
        <f>SUM(U169:U177)</f>
        <v>0</v>
      </c>
      <c r="V178" s="252"/>
      <c r="W178" s="252"/>
      <c r="X178" s="252"/>
      <c r="Y178" s="127">
        <f>SUM(Y169:Y177)</f>
        <v>0</v>
      </c>
      <c r="Z178" s="127"/>
      <c r="AA178" s="252"/>
      <c r="AB178" s="127">
        <f>SUM(AB169:AB177)</f>
        <v>0</v>
      </c>
      <c r="AC178" s="127">
        <f>SUM(AC169:AC177)</f>
        <v>4535003755</v>
      </c>
      <c r="AD178" s="127">
        <f>SUM(AD169:AD177)</f>
        <v>0</v>
      </c>
      <c r="AE178" s="127">
        <f>SUM(AE169:AE177)</f>
        <v>28151</v>
      </c>
      <c r="AF178" s="127">
        <f>SUM(AF169:AF177)</f>
        <v>4535031906</v>
      </c>
      <c r="AG178" s="252"/>
      <c r="AH178" s="252"/>
      <c r="AI178" s="252"/>
      <c r="AJ178" s="127">
        <f>SUM(AJ169:AJ177)</f>
        <v>0</v>
      </c>
      <c r="AK178" s="127">
        <f>SUM(AK169:AK177)</f>
        <v>0</v>
      </c>
      <c r="AL178" s="127">
        <f>SUM(AL169:AL177)</f>
        <v>0</v>
      </c>
      <c r="AM178" s="127">
        <f>SUM(AM169:AM177)</f>
        <v>0</v>
      </c>
      <c r="AN178" s="127">
        <f>SUM(AN169:AN177)</f>
        <v>0</v>
      </c>
      <c r="AO178" s="253"/>
      <c r="AP178" s="254"/>
      <c r="AQ178" s="175">
        <f>SUM(AQ169:AQ177)</f>
        <v>59587836.900000006</v>
      </c>
      <c r="AR178" s="175">
        <f>SUM(AR169:AR177)</f>
        <v>4535031906</v>
      </c>
      <c r="AS178" s="175">
        <f>SUM(AS169:AS177)</f>
        <v>0</v>
      </c>
      <c r="AT178" s="175">
        <f>SUM(AT169:AT177)</f>
        <v>4594619742.8999996</v>
      </c>
      <c r="AU178" s="175">
        <f t="shared" ref="AU178:BA178" si="115">SUM(AU169:AU177)</f>
        <v>4594619743.1999998</v>
      </c>
      <c r="AV178" s="175">
        <f t="shared" si="115"/>
        <v>0</v>
      </c>
      <c r="AW178" s="175">
        <f t="shared" si="115"/>
        <v>0</v>
      </c>
      <c r="AX178" s="175">
        <f t="shared" si="115"/>
        <v>0</v>
      </c>
      <c r="AY178" s="175">
        <f t="shared" si="115"/>
        <v>0</v>
      </c>
      <c r="AZ178" s="175">
        <f t="shared" si="115"/>
        <v>0</v>
      </c>
      <c r="BA178" s="175">
        <f t="shared" si="115"/>
        <v>0</v>
      </c>
      <c r="BB178" s="175">
        <f>SUM(BB169:BB177)</f>
        <v>0.30000000004656613</v>
      </c>
      <c r="BC178" s="169"/>
      <c r="BD178" s="169"/>
      <c r="BE178" s="169"/>
      <c r="BF178" s="169"/>
    </row>
    <row r="179" spans="1:58" ht="31.5" outlineLevel="2" x14ac:dyDescent="0.25">
      <c r="A179" s="115"/>
      <c r="B179" s="200"/>
      <c r="C179" s="201"/>
      <c r="D179" s="210"/>
      <c r="E179" s="328"/>
      <c r="F179" s="328"/>
      <c r="G179" s="328"/>
      <c r="H179" s="199" t="s">
        <v>487</v>
      </c>
      <c r="I179" s="130"/>
      <c r="J179" s="126"/>
      <c r="K179" s="126"/>
      <c r="L179" s="125" t="str">
        <f>IF(I179&lt;&gt;0,((VLOOKUP(I179,'1. Standard_Cost'!$B$4:$D$11,2)+VLOOKUP(I179,'1. Standard_Cost'!$B$4:$D$11,3))*J179*K179),"0")</f>
        <v>0</v>
      </c>
      <c r="M179" s="125">
        <f>L179*'1. Standard_Cost'!$F$4</f>
        <v>0</v>
      </c>
      <c r="N179" s="126"/>
      <c r="O179" s="126"/>
      <c r="P179" s="126"/>
      <c r="Q179" s="126"/>
      <c r="R179" s="127">
        <f>'1. Standard_Cost'!$B$15*N179*P179</f>
        <v>0</v>
      </c>
      <c r="S179" s="127">
        <f>N179*O179*P179*'1. Standard_Cost'!$C$15</f>
        <v>0</v>
      </c>
      <c r="T179" s="127">
        <f>N179*P179*Q179*'1. Standard_Cost'!$D$15</f>
        <v>0</v>
      </c>
      <c r="U179" s="127">
        <f>N179*O179*'1. Standard_Cost'!$E$15</f>
        <v>0</v>
      </c>
      <c r="V179" s="126"/>
      <c r="W179" s="126"/>
      <c r="X179" s="126"/>
      <c r="Y179" s="127">
        <f>+V179*((X179*'1. Standard_Cost'!$B$19)+(W179*X179*'1. Standard_Cost'!$C$19))</f>
        <v>0</v>
      </c>
      <c r="Z179" s="126"/>
      <c r="AA179" s="126"/>
      <c r="AB179" s="127">
        <f>+Z179*'1. Standard_Cost'!$B$23+AA179*'1. Standard_Cost'!$C$23</f>
        <v>0</v>
      </c>
      <c r="AC179" s="128"/>
      <c r="AD179" s="129"/>
      <c r="AE179" s="127">
        <f>SUM(AD179,AC179,AB179,Y179,U179,T179,S179,R179)*'1. Standard_Cost'!$B$31</f>
        <v>0</v>
      </c>
      <c r="AF179" s="127">
        <f>SUM(AE179,AD179,AC179,AB179,Y179,U179,T179,S179,R179)</f>
        <v>0</v>
      </c>
      <c r="AG179" s="126"/>
      <c r="AH179" s="126"/>
      <c r="AI179" s="126"/>
      <c r="AJ179" s="130"/>
      <c r="AK179" s="130"/>
      <c r="AL179" s="130"/>
      <c r="AM179" s="127">
        <f>AG179*'1. Standard_Cost'!$B$27+'Incremental_Cost Year 6'!AH179*'1. Standard_Cost'!$C$27+'Incremental_Cost Year 6'!AI179*'1. Standard_Cost'!$D$27+'Incremental_Cost Year 6'!AJ179+'Incremental_Cost Year 6'!AL179+AK179</f>
        <v>0</v>
      </c>
      <c r="AN179" s="127">
        <f>AM179*'1. Standard_Cost'!$C$31</f>
        <v>0</v>
      </c>
      <c r="AO179" s="130"/>
      <c r="AP179" s="256"/>
      <c r="AQ179" s="171">
        <f>L179+M179</f>
        <v>0</v>
      </c>
      <c r="AR179" s="171">
        <f>AF179</f>
        <v>0</v>
      </c>
      <c r="AS179" s="171">
        <f>AM179+AN179</f>
        <v>0</v>
      </c>
      <c r="AT179" s="171">
        <f>SUM(AQ179,AR179,AS179)</f>
        <v>0</v>
      </c>
      <c r="AU179" s="250"/>
      <c r="AV179" s="250"/>
      <c r="AW179" s="250"/>
      <c r="AX179" s="250"/>
      <c r="AY179" s="250"/>
      <c r="AZ179" s="250"/>
      <c r="BA179" s="250"/>
      <c r="BB179" s="251">
        <f t="shared" ref="BB179:BB180" si="116">SUM(AU179:BA179)-AT179</f>
        <v>0</v>
      </c>
      <c r="BC179" s="169"/>
      <c r="BD179" s="169"/>
      <c r="BE179" s="169"/>
      <c r="BF179" s="169"/>
    </row>
    <row r="180" spans="1:58" ht="94.5" outlineLevel="2" x14ac:dyDescent="0.25">
      <c r="A180" s="115"/>
      <c r="B180" s="200"/>
      <c r="C180" s="201"/>
      <c r="D180" s="211"/>
      <c r="E180" s="328"/>
      <c r="F180" s="328"/>
      <c r="G180" s="328"/>
      <c r="H180" s="213" t="s">
        <v>488</v>
      </c>
      <c r="I180" s="130"/>
      <c r="J180" s="126"/>
      <c r="K180" s="126"/>
      <c r="L180" s="125" t="str">
        <f>IF(I180&lt;&gt;0,((VLOOKUP(I180,'1. Standard_Cost'!$B$4:$D$11,2)+VLOOKUP(I180,'1. Standard_Cost'!$B$4:$D$11,3))*J180*K180),"0")</f>
        <v>0</v>
      </c>
      <c r="M180" s="125">
        <f>L180*'1. Standard_Cost'!$F$4</f>
        <v>0</v>
      </c>
      <c r="N180" s="126"/>
      <c r="O180" s="126"/>
      <c r="P180" s="126"/>
      <c r="Q180" s="126"/>
      <c r="R180" s="127">
        <f>'1. Standard_Cost'!$B$15*N180*P180</f>
        <v>0</v>
      </c>
      <c r="S180" s="127">
        <f>N180*O180*P180*'1. Standard_Cost'!$C$15</f>
        <v>0</v>
      </c>
      <c r="T180" s="127">
        <f>N180*P180*Q180*'1. Standard_Cost'!$D$15</f>
        <v>0</v>
      </c>
      <c r="U180" s="127">
        <f>N180*O180*'1. Standard_Cost'!$E$15</f>
        <v>0</v>
      </c>
      <c r="V180" s="126"/>
      <c r="W180" s="126"/>
      <c r="X180" s="126"/>
      <c r="Y180" s="127">
        <f>+V180*((X180*'1. Standard_Cost'!$B$19)+(W180*X180*'1. Standard_Cost'!$C$19))</f>
        <v>0</v>
      </c>
      <c r="Z180" s="126"/>
      <c r="AA180" s="126"/>
      <c r="AB180" s="127">
        <f>+Z180*'1. Standard_Cost'!$B$23+AA180*'1. Standard_Cost'!$C$23</f>
        <v>0</v>
      </c>
      <c r="AC180" s="128"/>
      <c r="AD180" s="129"/>
      <c r="AE180" s="127">
        <f>SUM(AD180,AC180,AB180,Y180,U180,T180,S180,R180)*'1. Standard_Cost'!$B$31</f>
        <v>0</v>
      </c>
      <c r="AF180" s="127">
        <f>SUM(AE180,AD180,AC180,AB180,Y180,U180,T180,S180,R180)</f>
        <v>0</v>
      </c>
      <c r="AG180" s="126"/>
      <c r="AH180" s="126"/>
      <c r="AI180" s="126"/>
      <c r="AJ180" s="130"/>
      <c r="AK180" s="130"/>
      <c r="AL180" s="130"/>
      <c r="AM180" s="127">
        <f>AG180*'1. Standard_Cost'!$B$27+'Incremental_Cost Year 6'!AH180*'1. Standard_Cost'!$C$27+'Incremental_Cost Year 6'!AI180*'1. Standard_Cost'!$D$27+'Incremental_Cost Year 6'!AJ180+'Incremental_Cost Year 6'!AL180+AK180</f>
        <v>0</v>
      </c>
      <c r="AN180" s="127">
        <f>AM180*'1. Standard_Cost'!$C$31</f>
        <v>0</v>
      </c>
      <c r="AO180" s="130"/>
      <c r="AP180" s="256"/>
      <c r="AQ180" s="171">
        <f>L180+M180</f>
        <v>0</v>
      </c>
      <c r="AR180" s="171">
        <f>AF180</f>
        <v>0</v>
      </c>
      <c r="AS180" s="171">
        <f>AM180+AN180</f>
        <v>0</v>
      </c>
      <c r="AT180" s="171">
        <f>SUM(AQ180,AR180,AS180)</f>
        <v>0</v>
      </c>
      <c r="AU180" s="250"/>
      <c r="AV180" s="250"/>
      <c r="AW180" s="250"/>
      <c r="AX180" s="250"/>
      <c r="AY180" s="250"/>
      <c r="AZ180" s="250"/>
      <c r="BA180" s="250"/>
      <c r="BB180" s="251">
        <f t="shared" si="116"/>
        <v>0</v>
      </c>
      <c r="BC180" s="169"/>
      <c r="BD180" s="169"/>
      <c r="BE180" s="169"/>
      <c r="BF180" s="169"/>
    </row>
    <row r="181" spans="1:58" ht="63" outlineLevel="2" x14ac:dyDescent="0.25">
      <c r="A181" s="115"/>
      <c r="B181" s="165"/>
      <c r="C181" s="166"/>
      <c r="D181" s="110" t="s">
        <v>489</v>
      </c>
      <c r="E181" s="139" t="s">
        <v>490</v>
      </c>
      <c r="F181" s="104">
        <v>2022</v>
      </c>
      <c r="G181" s="104">
        <v>2025</v>
      </c>
      <c r="H181" s="150" t="s">
        <v>236</v>
      </c>
      <c r="I181" s="252"/>
      <c r="J181" s="252"/>
      <c r="K181" s="252"/>
      <c r="L181" s="127">
        <f>SUM(L179:L180)</f>
        <v>0</v>
      </c>
      <c r="M181" s="127">
        <f>SUM(M179:M180)</f>
        <v>0</v>
      </c>
      <c r="N181" s="252"/>
      <c r="O181" s="252"/>
      <c r="P181" s="252"/>
      <c r="Q181" s="252"/>
      <c r="R181" s="127">
        <f>SUM(R179:R180)</f>
        <v>0</v>
      </c>
      <c r="S181" s="127">
        <f>SUM(S179:S180)</f>
        <v>0</v>
      </c>
      <c r="T181" s="127">
        <f>SUM(T179:T180)</f>
        <v>0</v>
      </c>
      <c r="U181" s="127">
        <f>SUM(U179:U180)</f>
        <v>0</v>
      </c>
      <c r="V181" s="252"/>
      <c r="W181" s="252"/>
      <c r="X181" s="252"/>
      <c r="Y181" s="127">
        <f>SUM(Y179:Y180)</f>
        <v>0</v>
      </c>
      <c r="Z181" s="127"/>
      <c r="AA181" s="252"/>
      <c r="AB181" s="127">
        <f>SUM(AB179:AB180)</f>
        <v>0</v>
      </c>
      <c r="AC181" s="127">
        <f>SUM(AC179:AC180)</f>
        <v>0</v>
      </c>
      <c r="AD181" s="127">
        <f>SUM(AD179:AD180)</f>
        <v>0</v>
      </c>
      <c r="AE181" s="127">
        <f>SUM(AE179:AE180)</f>
        <v>0</v>
      </c>
      <c r="AF181" s="127">
        <f>SUM(AF179:AF180)</f>
        <v>0</v>
      </c>
      <c r="AG181" s="252"/>
      <c r="AH181" s="252"/>
      <c r="AI181" s="252"/>
      <c r="AJ181" s="127">
        <f>SUM(AJ179:AJ180)</f>
        <v>0</v>
      </c>
      <c r="AK181" s="127">
        <f>SUM(AK179:AK180)</f>
        <v>0</v>
      </c>
      <c r="AL181" s="127">
        <f>SUM(AL179:AL180)</f>
        <v>0</v>
      </c>
      <c r="AM181" s="127">
        <f>SUM(AM179:AM180)</f>
        <v>0</v>
      </c>
      <c r="AN181" s="127">
        <f>SUM(AN179:AN180)</f>
        <v>0</v>
      </c>
      <c r="AO181" s="253"/>
      <c r="AP181" s="254"/>
      <c r="AQ181" s="175">
        <f>SUM(AQ179:AQ180)</f>
        <v>0</v>
      </c>
      <c r="AR181" s="175">
        <f>SUM(AR179:AR180)</f>
        <v>0</v>
      </c>
      <c r="AS181" s="175">
        <f>SUM(AS179:AS180)</f>
        <v>0</v>
      </c>
      <c r="AT181" s="175">
        <f>SUM(AT179:AT180)</f>
        <v>0</v>
      </c>
      <c r="AU181" s="175">
        <f t="shared" ref="AU181:BB181" si="117">SUM(AU179:AU180)</f>
        <v>0</v>
      </c>
      <c r="AV181" s="175">
        <f t="shared" si="117"/>
        <v>0</v>
      </c>
      <c r="AW181" s="175">
        <f t="shared" si="117"/>
        <v>0</v>
      </c>
      <c r="AX181" s="175">
        <f t="shared" si="117"/>
        <v>0</v>
      </c>
      <c r="AY181" s="175">
        <f t="shared" si="117"/>
        <v>0</v>
      </c>
      <c r="AZ181" s="175">
        <f t="shared" si="117"/>
        <v>0</v>
      </c>
      <c r="BA181" s="175">
        <f t="shared" si="117"/>
        <v>0</v>
      </c>
      <c r="BB181" s="175">
        <f t="shared" si="117"/>
        <v>0</v>
      </c>
      <c r="BC181" s="169"/>
      <c r="BD181" s="169"/>
      <c r="BE181" s="169"/>
      <c r="BF181" s="169"/>
    </row>
    <row r="182" spans="1:58" ht="15.75" customHeight="1" outlineLevel="2" x14ac:dyDescent="0.25">
      <c r="A182" s="143"/>
      <c r="B182" s="290"/>
      <c r="C182" s="391" t="s">
        <v>237</v>
      </c>
      <c r="D182" s="391"/>
      <c r="E182" s="392"/>
      <c r="F182" s="287"/>
      <c r="G182" s="289"/>
      <c r="H182" s="144" t="s">
        <v>182</v>
      </c>
      <c r="I182" s="257"/>
      <c r="J182" s="257"/>
      <c r="K182" s="257"/>
      <c r="L182" s="258">
        <f>L190+L193+L196</f>
        <v>10564464100</v>
      </c>
      <c r="M182" s="258">
        <f>M190+M193+M196</f>
        <v>1764265504.6999998</v>
      </c>
      <c r="N182" s="257"/>
      <c r="O182" s="257"/>
      <c r="P182" s="257"/>
      <c r="Q182" s="257"/>
      <c r="R182" s="258">
        <f>R190+R193+R196</f>
        <v>0</v>
      </c>
      <c r="S182" s="258">
        <f>S190+S193+S196</f>
        <v>0</v>
      </c>
      <c r="T182" s="258">
        <f>T190+T193+T196</f>
        <v>0</v>
      </c>
      <c r="U182" s="258">
        <f>U190+U193+U196</f>
        <v>0</v>
      </c>
      <c r="V182" s="257"/>
      <c r="W182" s="257"/>
      <c r="X182" s="257"/>
      <c r="Y182" s="258">
        <f>Y190+Y193+Y196</f>
        <v>0</v>
      </c>
      <c r="Z182" s="258"/>
      <c r="AA182" s="258"/>
      <c r="AB182" s="258">
        <f>AB190+AB193+AB196</f>
        <v>0</v>
      </c>
      <c r="AC182" s="258">
        <f>AC190+AC193+AC196</f>
        <v>9407538000</v>
      </c>
      <c r="AD182" s="258">
        <f>AD190+AD193+AD196</f>
        <v>0</v>
      </c>
      <c r="AE182" s="258">
        <f>AE190+AE193+AE196</f>
        <v>1880049000</v>
      </c>
      <c r="AF182" s="258">
        <f>AF190+AF193+AF196</f>
        <v>11287587000</v>
      </c>
      <c r="AG182" s="257"/>
      <c r="AH182" s="257"/>
      <c r="AI182" s="257"/>
      <c r="AJ182" s="258">
        <f>AJ190+AJ193+AJ196</f>
        <v>0</v>
      </c>
      <c r="AK182" s="258">
        <f>AK190+AK193+AK196</f>
        <v>0</v>
      </c>
      <c r="AL182" s="258">
        <f>AL190+AL193+AL196</f>
        <v>0</v>
      </c>
      <c r="AM182" s="258">
        <f>AM190+AM193+AM196</f>
        <v>0</v>
      </c>
      <c r="AN182" s="258">
        <f>AN190+AN193+AN196</f>
        <v>0</v>
      </c>
      <c r="AO182" s="259"/>
      <c r="AP182" s="260"/>
      <c r="AQ182" s="261">
        <f>AQ190+AQ193+AQ196</f>
        <v>12328729604.700001</v>
      </c>
      <c r="AR182" s="261">
        <f>AR190+AR193+AR196</f>
        <v>11287587000</v>
      </c>
      <c r="AS182" s="261">
        <f>AS190+AS193+AS196</f>
        <v>0</v>
      </c>
      <c r="AT182" s="261">
        <f>AT190+AT193+AT196</f>
        <v>23616316604.699997</v>
      </c>
      <c r="AU182" s="261">
        <f t="shared" ref="AU182:BA182" si="118">AU190+AU193+AU196</f>
        <v>21816316605</v>
      </c>
      <c r="AV182" s="261">
        <f t="shared" si="118"/>
        <v>0</v>
      </c>
      <c r="AW182" s="261">
        <f t="shared" si="118"/>
        <v>0</v>
      </c>
      <c r="AX182" s="261">
        <f t="shared" si="118"/>
        <v>0</v>
      </c>
      <c r="AY182" s="261">
        <f t="shared" si="118"/>
        <v>0</v>
      </c>
      <c r="AZ182" s="261">
        <f t="shared" si="118"/>
        <v>0</v>
      </c>
      <c r="BA182" s="261">
        <f t="shared" si="118"/>
        <v>0</v>
      </c>
      <c r="BB182" s="261">
        <f>BB190+BB193+BB196</f>
        <v>-1799999999.6999998</v>
      </c>
      <c r="BC182" s="184"/>
      <c r="BD182" s="184"/>
      <c r="BE182" s="184"/>
      <c r="BF182" s="184"/>
    </row>
    <row r="183" spans="1:58" ht="94.5" outlineLevel="2" x14ac:dyDescent="0.25">
      <c r="A183" s="115"/>
      <c r="B183" s="303"/>
      <c r="C183" s="329"/>
      <c r="D183" s="342"/>
      <c r="E183" s="328"/>
      <c r="F183" s="328"/>
      <c r="G183" s="328"/>
      <c r="H183" s="199" t="s">
        <v>544</v>
      </c>
      <c r="I183" s="130" t="s">
        <v>4</v>
      </c>
      <c r="J183" s="126">
        <v>12</v>
      </c>
      <c r="K183" s="126">
        <v>10882</v>
      </c>
      <c r="L183" s="125">
        <f>IF(I183&lt;&gt;0,((VLOOKUP(I183,'1. Standard_Cost'!$B$4:$D$11,2)+VLOOKUP(I183,'1. Standard_Cost'!$B$4:$D$11,3))*J183*K183),"0")</f>
        <v>10544658000</v>
      </c>
      <c r="M183" s="125">
        <f>L183*'1. Standard_Cost'!$F$4</f>
        <v>1760957886</v>
      </c>
      <c r="N183" s="126"/>
      <c r="O183" s="126"/>
      <c r="P183" s="126"/>
      <c r="Q183" s="126"/>
      <c r="R183" s="127">
        <f>'1. Standard_Cost'!$B$15*N183*P183</f>
        <v>0</v>
      </c>
      <c r="S183" s="127">
        <f>N183*O183*P183*'1. Standard_Cost'!$C$15</f>
        <v>0</v>
      </c>
      <c r="T183" s="127">
        <f>N183*P183*Q183*'1. Standard_Cost'!$D$15</f>
        <v>0</v>
      </c>
      <c r="U183" s="127">
        <f>N183*O183*'1. Standard_Cost'!$E$15</f>
        <v>0</v>
      </c>
      <c r="V183" s="126"/>
      <c r="W183" s="126"/>
      <c r="X183" s="126"/>
      <c r="Y183" s="127">
        <f>+V183*((X183*'1. Standard_Cost'!$B$19)+(W183*X183*'1. Standard_Cost'!$C$19))</f>
        <v>0</v>
      </c>
      <c r="Z183" s="126"/>
      <c r="AA183" s="126"/>
      <c r="AB183" s="127">
        <f>+Z183*'1. Standard_Cost'!$B$23+AA183*'1. Standard_Cost'!$C$23</f>
        <v>0</v>
      </c>
      <c r="AC183" s="128">
        <v>9400000000</v>
      </c>
      <c r="AD183" s="129"/>
      <c r="AE183" s="127">
        <f>SUM(AD183,AC183,AB183,Y183,U183,T183,S183,R183)*'1. Standard_Cost'!$B$31</f>
        <v>1880000000</v>
      </c>
      <c r="AF183" s="127">
        <f t="shared" ref="AF183:AF189" si="119">SUM(AE183,AD183,AC183,AB183,Y183,U183,T183,S183,R183)</f>
        <v>11280000000</v>
      </c>
      <c r="AG183" s="126"/>
      <c r="AH183" s="126"/>
      <c r="AI183" s="126"/>
      <c r="AJ183" s="130"/>
      <c r="AK183" s="130"/>
      <c r="AL183" s="130"/>
      <c r="AM183" s="127">
        <f>AG183*'1. Standard_Cost'!$B$27+'Incremental_Cost Year 6'!AH183*'1. Standard_Cost'!$C$27+'Incremental_Cost Year 6'!AI183*'1. Standard_Cost'!$D$27+'Incremental_Cost Year 6'!AJ183+'Incremental_Cost Year 6'!AL183+AK183</f>
        <v>0</v>
      </c>
      <c r="AN183" s="127">
        <f>AM183*'1. Standard_Cost'!$C$31</f>
        <v>0</v>
      </c>
      <c r="AO183" s="130"/>
      <c r="AP183" s="256"/>
      <c r="AQ183" s="171">
        <f t="shared" ref="AQ183:AQ189" si="120">L183+M183</f>
        <v>12305615886</v>
      </c>
      <c r="AR183" s="171">
        <f t="shared" ref="AR183:AR189" si="121">AF183</f>
        <v>11280000000</v>
      </c>
      <c r="AS183" s="171">
        <f t="shared" ref="AS183:AS189" si="122">AM183+AN183</f>
        <v>0</v>
      </c>
      <c r="AT183" s="171">
        <f t="shared" ref="AT183:AT189" si="123">SUM(AQ183,AR183,AS183)</f>
        <v>23585615886</v>
      </c>
      <c r="AU183" s="250">
        <v>21785615886</v>
      </c>
      <c r="AV183" s="250"/>
      <c r="AW183" s="250"/>
      <c r="AX183" s="250"/>
      <c r="AY183" s="250"/>
      <c r="AZ183" s="250"/>
      <c r="BA183" s="250"/>
      <c r="BB183" s="251">
        <f t="shared" ref="BB183:BB189" si="124">SUM(AU183:BA183)-AT183</f>
        <v>-1800000000</v>
      </c>
      <c r="BC183" s="169"/>
      <c r="BD183" s="169"/>
      <c r="BE183" s="169"/>
      <c r="BF183" s="169"/>
    </row>
    <row r="184" spans="1:58" ht="78.75" outlineLevel="2" x14ac:dyDescent="0.25">
      <c r="A184" s="115"/>
      <c r="B184" s="200"/>
      <c r="C184" s="330"/>
      <c r="D184" s="343"/>
      <c r="E184" s="328"/>
      <c r="F184" s="328"/>
      <c r="G184" s="328"/>
      <c r="H184" s="213" t="s">
        <v>543</v>
      </c>
      <c r="I184" s="130"/>
      <c r="J184" s="126"/>
      <c r="K184" s="126"/>
      <c r="L184" s="125" t="str">
        <f>IF(I184&lt;&gt;0,((VLOOKUP(I184,'1. Standard_Cost'!$B$4:$D$11,2)+VLOOKUP(I184,'1. Standard_Cost'!$B$4:$D$11,3))*J184*K184),"0")</f>
        <v>0</v>
      </c>
      <c r="M184" s="125">
        <f>L184*'1. Standard_Cost'!$F$4</f>
        <v>0</v>
      </c>
      <c r="N184" s="126"/>
      <c r="O184" s="126"/>
      <c r="P184" s="126"/>
      <c r="Q184" s="126"/>
      <c r="R184" s="127">
        <f>'1. Standard_Cost'!$B$15*N184*P184</f>
        <v>0</v>
      </c>
      <c r="S184" s="127">
        <f>N184*O184*P184*'1. Standard_Cost'!$C$15</f>
        <v>0</v>
      </c>
      <c r="T184" s="127">
        <f>N184*P184*Q184*'1. Standard_Cost'!$D$15</f>
        <v>0</v>
      </c>
      <c r="U184" s="127">
        <f>N184*O184*'1. Standard_Cost'!$E$15</f>
        <v>0</v>
      </c>
      <c r="V184" s="126"/>
      <c r="W184" s="126"/>
      <c r="X184" s="126"/>
      <c r="Y184" s="127">
        <f>+V184*((X184*'1. Standard_Cost'!$B$19)+(W184*X184*'1. Standard_Cost'!$C$19))</f>
        <v>0</v>
      </c>
      <c r="Z184" s="126"/>
      <c r="AA184" s="126"/>
      <c r="AB184" s="127">
        <f>+Z184*'1. Standard_Cost'!$B$23+AA184*'1. Standard_Cost'!$C$23</f>
        <v>0</v>
      </c>
      <c r="AC184" s="128"/>
      <c r="AD184" s="129"/>
      <c r="AE184" s="127"/>
      <c r="AF184" s="127">
        <f t="shared" si="119"/>
        <v>0</v>
      </c>
      <c r="AG184" s="126"/>
      <c r="AH184" s="126"/>
      <c r="AI184" s="126"/>
      <c r="AJ184" s="130"/>
      <c r="AK184" s="130"/>
      <c r="AL184" s="130"/>
      <c r="AM184" s="127">
        <f>AG184*'1. Standard_Cost'!$B$27+'Incremental_Cost Year 6'!AH184*'1. Standard_Cost'!$C$27+'Incremental_Cost Year 6'!AI184*'1. Standard_Cost'!$D$27+'Incremental_Cost Year 6'!AJ184+'Incremental_Cost Year 6'!AL184+AK184</f>
        <v>0</v>
      </c>
      <c r="AN184" s="127">
        <f>AM184*'1. Standard_Cost'!$C$31</f>
        <v>0</v>
      </c>
      <c r="AO184" s="130"/>
      <c r="AP184" s="256"/>
      <c r="AQ184" s="171">
        <f t="shared" si="120"/>
        <v>0</v>
      </c>
      <c r="AR184" s="171">
        <f t="shared" si="121"/>
        <v>0</v>
      </c>
      <c r="AS184" s="171">
        <f t="shared" si="122"/>
        <v>0</v>
      </c>
      <c r="AT184" s="171">
        <f t="shared" si="123"/>
        <v>0</v>
      </c>
      <c r="AU184" s="250"/>
      <c r="AV184" s="250"/>
      <c r="AW184" s="250"/>
      <c r="AX184" s="250"/>
      <c r="AY184" s="250"/>
      <c r="AZ184" s="250"/>
      <c r="BA184" s="250"/>
      <c r="BB184" s="251">
        <f t="shared" si="124"/>
        <v>0</v>
      </c>
      <c r="BC184" s="169"/>
      <c r="BD184" s="169"/>
      <c r="BE184" s="169"/>
      <c r="BF184" s="169"/>
    </row>
    <row r="185" spans="1:58" ht="63" outlineLevel="2" x14ac:dyDescent="0.25">
      <c r="A185" s="115"/>
      <c r="B185" s="200"/>
      <c r="C185" s="330"/>
      <c r="D185" s="343"/>
      <c r="E185" s="328"/>
      <c r="F185" s="328"/>
      <c r="G185" s="328"/>
      <c r="H185" s="199" t="s">
        <v>491</v>
      </c>
      <c r="I185" s="130"/>
      <c r="J185" s="126"/>
      <c r="K185" s="126"/>
      <c r="L185" s="125" t="str">
        <f>IF(I185&lt;&gt;0,((VLOOKUP(I185,'1. Standard_Cost'!$B$4:$D$11,2)+VLOOKUP(I185,'1. Standard_Cost'!$B$4:$D$11,3))*J185*K185),"0")</f>
        <v>0</v>
      </c>
      <c r="M185" s="125">
        <f>L185*'1. Standard_Cost'!$F$4</f>
        <v>0</v>
      </c>
      <c r="N185" s="126"/>
      <c r="O185" s="126"/>
      <c r="P185" s="126"/>
      <c r="Q185" s="126"/>
      <c r="R185" s="127">
        <f>'1. Standard_Cost'!$B$15*N185*P185</f>
        <v>0</v>
      </c>
      <c r="S185" s="127">
        <f>N185*O185*P185*'1. Standard_Cost'!$C$15</f>
        <v>0</v>
      </c>
      <c r="T185" s="127">
        <f>N185*P185*Q185*'1. Standard_Cost'!$D$15</f>
        <v>0</v>
      </c>
      <c r="U185" s="127">
        <f>N185*O185*'1. Standard_Cost'!$E$15</f>
        <v>0</v>
      </c>
      <c r="V185" s="126"/>
      <c r="W185" s="126"/>
      <c r="X185" s="126"/>
      <c r="Y185" s="127">
        <f>+V185*((X185*'1. Standard_Cost'!$B$19)+(W185*X185*'1. Standard_Cost'!$C$19))</f>
        <v>0</v>
      </c>
      <c r="Z185" s="126"/>
      <c r="AA185" s="126"/>
      <c r="AB185" s="127">
        <f>+Z185*'1. Standard_Cost'!$B$23+AA185*'1. Standard_Cost'!$C$23</f>
        <v>0</v>
      </c>
      <c r="AC185" s="128"/>
      <c r="AD185" s="129"/>
      <c r="AE185" s="127">
        <f>SUM(AD185,AC185,AB185,Y185,U185,T185,S185,R185)*'1. Standard_Cost'!$B$31</f>
        <v>0</v>
      </c>
      <c r="AF185" s="127">
        <f t="shared" si="119"/>
        <v>0</v>
      </c>
      <c r="AG185" s="126"/>
      <c r="AH185" s="126"/>
      <c r="AI185" s="126"/>
      <c r="AJ185" s="130"/>
      <c r="AK185" s="130"/>
      <c r="AL185" s="130"/>
      <c r="AM185" s="127">
        <f>AG185*'1. Standard_Cost'!$B$27+'Incremental_Cost Year 6'!AH185*'1. Standard_Cost'!$C$27+'Incremental_Cost Year 6'!AI185*'1. Standard_Cost'!$D$27+'Incremental_Cost Year 6'!AJ185+'Incremental_Cost Year 6'!AL185+AK185</f>
        <v>0</v>
      </c>
      <c r="AN185" s="127">
        <f>AM185*'1. Standard_Cost'!$C$31</f>
        <v>0</v>
      </c>
      <c r="AO185" s="130"/>
      <c r="AP185" s="256"/>
      <c r="AQ185" s="171">
        <f t="shared" si="120"/>
        <v>0</v>
      </c>
      <c r="AR185" s="171">
        <f t="shared" si="121"/>
        <v>0</v>
      </c>
      <c r="AS185" s="171">
        <f t="shared" si="122"/>
        <v>0</v>
      </c>
      <c r="AT185" s="171">
        <f t="shared" si="123"/>
        <v>0</v>
      </c>
      <c r="AU185" s="250"/>
      <c r="AV185" s="250"/>
      <c r="AW185" s="250"/>
      <c r="AX185" s="250"/>
      <c r="AY185" s="250"/>
      <c r="AZ185" s="250"/>
      <c r="BA185" s="250"/>
      <c r="BB185" s="251">
        <f t="shared" si="124"/>
        <v>0</v>
      </c>
      <c r="BC185" s="169"/>
      <c r="BD185" s="169"/>
      <c r="BE185" s="169"/>
      <c r="BF185" s="169"/>
    </row>
    <row r="186" spans="1:58" ht="78.75" outlineLevel="2" x14ac:dyDescent="0.25">
      <c r="A186" s="115"/>
      <c r="B186" s="200"/>
      <c r="C186" s="330"/>
      <c r="D186" s="343"/>
      <c r="E186" s="328"/>
      <c r="F186" s="328"/>
      <c r="G186" s="328"/>
      <c r="H186" s="199" t="s">
        <v>492</v>
      </c>
      <c r="I186" s="130"/>
      <c r="J186" s="126"/>
      <c r="K186" s="126"/>
      <c r="L186" s="125" t="str">
        <f>IF(I186&lt;&gt;0,((VLOOKUP(I186,'1. Standard_Cost'!$B$4:$D$11,2)+VLOOKUP(I186,'1. Standard_Cost'!$B$4:$D$11,3))*J186*K186),"0")</f>
        <v>0</v>
      </c>
      <c r="M186" s="125">
        <f>L186*'1. Standard_Cost'!$F$4</f>
        <v>0</v>
      </c>
      <c r="N186" s="126"/>
      <c r="O186" s="126"/>
      <c r="P186" s="126"/>
      <c r="Q186" s="126"/>
      <c r="R186" s="127">
        <f>'1. Standard_Cost'!$B$15*N186*P186</f>
        <v>0</v>
      </c>
      <c r="S186" s="127">
        <f>N186*O186*P186*'1. Standard_Cost'!$C$15</f>
        <v>0</v>
      </c>
      <c r="T186" s="127">
        <f>N186*P186*Q186*'1. Standard_Cost'!$D$15</f>
        <v>0</v>
      </c>
      <c r="U186" s="127">
        <f>N186*O186*'1. Standard_Cost'!$E$15</f>
        <v>0</v>
      </c>
      <c r="V186" s="126"/>
      <c r="W186" s="126"/>
      <c r="X186" s="126"/>
      <c r="Y186" s="127">
        <f>+V186*((X186*'1. Standard_Cost'!$B$19)+(W186*X186*'1. Standard_Cost'!$C$19))</f>
        <v>0</v>
      </c>
      <c r="Z186" s="126"/>
      <c r="AA186" s="126"/>
      <c r="AB186" s="127">
        <f>+Z186*'1. Standard_Cost'!$B$23+AA186*'1. Standard_Cost'!$C$23</f>
        <v>0</v>
      </c>
      <c r="AC186" s="128"/>
      <c r="AD186" s="129"/>
      <c r="AE186" s="127">
        <f>SUM(AD186,AC186,AB186,Y186,U186,T186,S186,R186)*'1. Standard_Cost'!$B$31</f>
        <v>0</v>
      </c>
      <c r="AF186" s="127">
        <f t="shared" si="119"/>
        <v>0</v>
      </c>
      <c r="AG186" s="126"/>
      <c r="AH186" s="126"/>
      <c r="AI186" s="126"/>
      <c r="AJ186" s="130"/>
      <c r="AK186" s="130"/>
      <c r="AL186" s="130"/>
      <c r="AM186" s="127">
        <f>AG186*'1. Standard_Cost'!$B$27+'Incremental_Cost Year 6'!AH186*'1. Standard_Cost'!$C$27+'Incremental_Cost Year 6'!AI186*'1. Standard_Cost'!$D$27+'Incremental_Cost Year 6'!AJ186+'Incremental_Cost Year 6'!AL186+AK186</f>
        <v>0</v>
      </c>
      <c r="AN186" s="127">
        <f>AM186*'1. Standard_Cost'!$C$31</f>
        <v>0</v>
      </c>
      <c r="AO186" s="130"/>
      <c r="AP186" s="256"/>
      <c r="AQ186" s="171">
        <f t="shared" si="120"/>
        <v>0</v>
      </c>
      <c r="AR186" s="171">
        <f t="shared" si="121"/>
        <v>0</v>
      </c>
      <c r="AS186" s="171">
        <f t="shared" si="122"/>
        <v>0</v>
      </c>
      <c r="AT186" s="171">
        <f t="shared" si="123"/>
        <v>0</v>
      </c>
      <c r="AU186" s="250"/>
      <c r="AV186" s="250"/>
      <c r="AW186" s="250"/>
      <c r="AX186" s="250"/>
      <c r="AY186" s="250"/>
      <c r="AZ186" s="250"/>
      <c r="BA186" s="250"/>
      <c r="BB186" s="251">
        <f t="shared" si="124"/>
        <v>0</v>
      </c>
      <c r="BC186" s="169"/>
      <c r="BD186" s="169"/>
      <c r="BE186" s="169"/>
      <c r="BF186" s="169"/>
    </row>
    <row r="187" spans="1:58" ht="78.75" outlineLevel="2" x14ac:dyDescent="0.25">
      <c r="A187" s="115"/>
      <c r="B187" s="200"/>
      <c r="C187" s="330"/>
      <c r="D187" s="343"/>
      <c r="E187" s="328"/>
      <c r="F187" s="328"/>
      <c r="G187" s="328"/>
      <c r="H187" s="199" t="s">
        <v>493</v>
      </c>
      <c r="I187" s="130" t="s">
        <v>5</v>
      </c>
      <c r="J187" s="126">
        <v>2</v>
      </c>
      <c r="K187" s="126">
        <v>7</v>
      </c>
      <c r="L187" s="125">
        <f>IF(I187&lt;&gt;0,((VLOOKUP(I187,'1. Standard_Cost'!$B$4:$D$11,2)+VLOOKUP(I187,'1. Standard_Cost'!$B$4:$D$11,3))*J187*K187),"0")</f>
        <v>989800</v>
      </c>
      <c r="M187" s="125">
        <f>L187*'1. Standard_Cost'!$F$4</f>
        <v>165296.6</v>
      </c>
      <c r="N187" s="126"/>
      <c r="O187" s="126"/>
      <c r="P187" s="126"/>
      <c r="Q187" s="126"/>
      <c r="R187" s="127">
        <f>'1. Standard_Cost'!$B$15*N187*P187</f>
        <v>0</v>
      </c>
      <c r="S187" s="127">
        <f>N187*O187*P187*'1. Standard_Cost'!$C$15</f>
        <v>0</v>
      </c>
      <c r="T187" s="127">
        <f>N187*P187*Q187*'1. Standard_Cost'!$D$15</f>
        <v>0</v>
      </c>
      <c r="U187" s="127">
        <f>N187*O187*'1. Standard_Cost'!$E$15</f>
        <v>0</v>
      </c>
      <c r="V187" s="126"/>
      <c r="W187" s="126"/>
      <c r="X187" s="126"/>
      <c r="Y187" s="127">
        <f>+V187*((X187*'1. Standard_Cost'!$B$19)+(W187*X187*'1. Standard_Cost'!$C$19))</f>
        <v>0</v>
      </c>
      <c r="Z187" s="126"/>
      <c r="AA187" s="126"/>
      <c r="AB187" s="127">
        <f>+Z187*'1. Standard_Cost'!$B$23+AA187*'1. Standard_Cost'!$C$23</f>
        <v>0</v>
      </c>
      <c r="AC187" s="128">
        <v>120000</v>
      </c>
      <c r="AD187" s="129"/>
      <c r="AE187" s="127">
        <f>SUM(AD187,AC187,AB187,Y187,U187,T187,S187,R187)*'1. Standard_Cost'!$B$31</f>
        <v>24000</v>
      </c>
      <c r="AF187" s="127">
        <f t="shared" si="119"/>
        <v>144000</v>
      </c>
      <c r="AG187" s="126"/>
      <c r="AH187" s="126"/>
      <c r="AI187" s="126"/>
      <c r="AJ187" s="130"/>
      <c r="AK187" s="130"/>
      <c r="AL187" s="130"/>
      <c r="AM187" s="127">
        <f>AG187*'1. Standard_Cost'!$B$27+'Incremental_Cost Year 6'!AH187*'1. Standard_Cost'!$C$27+'Incremental_Cost Year 6'!AI187*'1. Standard_Cost'!$D$27+'Incremental_Cost Year 6'!AJ187+'Incremental_Cost Year 6'!AL187+AK187</f>
        <v>0</v>
      </c>
      <c r="AN187" s="127">
        <f>AM187*'1. Standard_Cost'!$C$31</f>
        <v>0</v>
      </c>
      <c r="AO187" s="130"/>
      <c r="AP187" s="256"/>
      <c r="AQ187" s="171">
        <f t="shared" si="120"/>
        <v>1155096.6000000001</v>
      </c>
      <c r="AR187" s="171">
        <f t="shared" si="121"/>
        <v>144000</v>
      </c>
      <c r="AS187" s="171">
        <f t="shared" si="122"/>
        <v>0</v>
      </c>
      <c r="AT187" s="171">
        <f t="shared" si="123"/>
        <v>1299096.6000000001</v>
      </c>
      <c r="AU187" s="250">
        <v>1299097</v>
      </c>
      <c r="AV187" s="250"/>
      <c r="AW187" s="250"/>
      <c r="AX187" s="250"/>
      <c r="AY187" s="250"/>
      <c r="AZ187" s="250"/>
      <c r="BA187" s="250"/>
      <c r="BB187" s="251">
        <f t="shared" si="124"/>
        <v>0.39999999990686774</v>
      </c>
      <c r="BC187" s="169"/>
      <c r="BD187" s="169"/>
      <c r="BE187" s="169"/>
      <c r="BF187" s="169"/>
    </row>
    <row r="188" spans="1:58" ht="78.75" outlineLevel="2" x14ac:dyDescent="0.25">
      <c r="A188" s="115"/>
      <c r="B188" s="200"/>
      <c r="C188" s="330"/>
      <c r="D188" s="343"/>
      <c r="E188" s="328"/>
      <c r="F188" s="328"/>
      <c r="G188" s="328"/>
      <c r="H188" s="199" t="s">
        <v>494</v>
      </c>
      <c r="I188" s="130"/>
      <c r="J188" s="126"/>
      <c r="K188" s="126"/>
      <c r="L188" s="125" t="str">
        <f>IF(I188&lt;&gt;0,((VLOOKUP(I188,'1. Standard_Cost'!$B$4:$D$11,2)+VLOOKUP(I188,'1. Standard_Cost'!$B$4:$D$11,3))*J188*K188),"0")</f>
        <v>0</v>
      </c>
      <c r="M188" s="125">
        <f>L188*'1. Standard_Cost'!$F$4</f>
        <v>0</v>
      </c>
      <c r="N188" s="126"/>
      <c r="O188" s="126"/>
      <c r="P188" s="126"/>
      <c r="Q188" s="126"/>
      <c r="R188" s="127">
        <f>'1. Standard_Cost'!$B$15*N188*P188</f>
        <v>0</v>
      </c>
      <c r="S188" s="127">
        <f>N188*O188*P188*'1. Standard_Cost'!$C$15</f>
        <v>0</v>
      </c>
      <c r="T188" s="127">
        <f>N188*P188*Q188*'1. Standard_Cost'!$D$15</f>
        <v>0</v>
      </c>
      <c r="U188" s="127">
        <f>N188*O188*'1. Standard_Cost'!$E$15</f>
        <v>0</v>
      </c>
      <c r="V188" s="126"/>
      <c r="W188" s="126"/>
      <c r="X188" s="126"/>
      <c r="Y188" s="127">
        <f>+V188*((X188*'1. Standard_Cost'!$B$19)+(W188*X188*'1. Standard_Cost'!$C$19))</f>
        <v>0</v>
      </c>
      <c r="Z188" s="126"/>
      <c r="AA188" s="126"/>
      <c r="AB188" s="127">
        <f>+Z188*'1. Standard_Cost'!$B$23+AA188*'1. Standard_Cost'!$C$23</f>
        <v>0</v>
      </c>
      <c r="AC188" s="128"/>
      <c r="AD188" s="129"/>
      <c r="AE188" s="127">
        <f>SUM(AD188,AC188,AB188,Y188,U188,T188,S188,R188)*'1. Standard_Cost'!$B$31</f>
        <v>0</v>
      </c>
      <c r="AF188" s="127">
        <f t="shared" si="119"/>
        <v>0</v>
      </c>
      <c r="AG188" s="126"/>
      <c r="AH188" s="126"/>
      <c r="AI188" s="126"/>
      <c r="AJ188" s="130"/>
      <c r="AK188" s="130"/>
      <c r="AL188" s="130"/>
      <c r="AM188" s="127">
        <f>AG188*'1. Standard_Cost'!$B$27+'Incremental_Cost Year 6'!AH188*'1. Standard_Cost'!$C$27+'Incremental_Cost Year 6'!AI188*'1. Standard_Cost'!$D$27+'Incremental_Cost Year 6'!AJ188+'Incremental_Cost Year 6'!AL188+AK188</f>
        <v>0</v>
      </c>
      <c r="AN188" s="127">
        <f>AM188*'1. Standard_Cost'!$C$31</f>
        <v>0</v>
      </c>
      <c r="AO188" s="130"/>
      <c r="AP188" s="256"/>
      <c r="AQ188" s="171">
        <f t="shared" si="120"/>
        <v>0</v>
      </c>
      <c r="AR188" s="171">
        <f t="shared" si="121"/>
        <v>0</v>
      </c>
      <c r="AS188" s="171">
        <f t="shared" si="122"/>
        <v>0</v>
      </c>
      <c r="AT188" s="171">
        <f t="shared" si="123"/>
        <v>0</v>
      </c>
      <c r="AU188" s="250"/>
      <c r="AV188" s="250"/>
      <c r="AW188" s="250"/>
      <c r="AX188" s="250"/>
      <c r="AY188" s="250"/>
      <c r="AZ188" s="250"/>
      <c r="BA188" s="250"/>
      <c r="BB188" s="251">
        <f t="shared" si="124"/>
        <v>0</v>
      </c>
      <c r="BC188" s="169"/>
      <c r="BD188" s="169"/>
      <c r="BE188" s="169"/>
      <c r="BF188" s="169"/>
    </row>
    <row r="189" spans="1:58" ht="47.25" outlineLevel="2" x14ac:dyDescent="0.25">
      <c r="A189" s="115"/>
      <c r="B189" s="200"/>
      <c r="C189" s="330"/>
      <c r="D189" s="343"/>
      <c r="E189" s="328"/>
      <c r="F189" s="328"/>
      <c r="G189" s="328"/>
      <c r="H189" s="199" t="s">
        <v>495</v>
      </c>
      <c r="I189" s="130"/>
      <c r="J189" s="126"/>
      <c r="K189" s="126"/>
      <c r="L189" s="125" t="str">
        <f>IF(I189&lt;&gt;0,((VLOOKUP(I189,'1. Standard_Cost'!$B$4:$D$11,2)+VLOOKUP(I189,'1. Standard_Cost'!$B$4:$D$11,3))*J189*K189),"0")</f>
        <v>0</v>
      </c>
      <c r="M189" s="125">
        <f>L189*'1. Standard_Cost'!$F$4</f>
        <v>0</v>
      </c>
      <c r="N189" s="126"/>
      <c r="O189" s="126"/>
      <c r="P189" s="126"/>
      <c r="Q189" s="126"/>
      <c r="R189" s="127">
        <f>'1. Standard_Cost'!$B$15*N189*P189</f>
        <v>0</v>
      </c>
      <c r="S189" s="127">
        <f>N189*O189*P189*'1. Standard_Cost'!$C$15</f>
        <v>0</v>
      </c>
      <c r="T189" s="127">
        <f>N189*P189*Q189*'1. Standard_Cost'!$D$15</f>
        <v>0</v>
      </c>
      <c r="U189" s="127">
        <f>N189*O189*'1. Standard_Cost'!$E$15</f>
        <v>0</v>
      </c>
      <c r="V189" s="126"/>
      <c r="W189" s="126"/>
      <c r="X189" s="126"/>
      <c r="Y189" s="127">
        <f>+V189*((X189*'1. Standard_Cost'!$B$19)+(W189*X189*'1. Standard_Cost'!$C$19))</f>
        <v>0</v>
      </c>
      <c r="Z189" s="126"/>
      <c r="AA189" s="126"/>
      <c r="AB189" s="127">
        <f>+Z189*'1. Standard_Cost'!$B$23+AA189*'1. Standard_Cost'!$C$23</f>
        <v>0</v>
      </c>
      <c r="AC189" s="128"/>
      <c r="AD189" s="129"/>
      <c r="AE189" s="127">
        <f>SUM(AD189,AC189,AB189,Y189,U189,T189,S189,R189)*'1. Standard_Cost'!$B$31</f>
        <v>0</v>
      </c>
      <c r="AF189" s="127">
        <f t="shared" si="119"/>
        <v>0</v>
      </c>
      <c r="AG189" s="126"/>
      <c r="AH189" s="126"/>
      <c r="AI189" s="126"/>
      <c r="AJ189" s="130"/>
      <c r="AK189" s="130"/>
      <c r="AL189" s="130"/>
      <c r="AM189" s="127">
        <f>AG189*'1. Standard_Cost'!$B$27+'Incremental_Cost Year 6'!AH189*'1. Standard_Cost'!$C$27+'Incremental_Cost Year 6'!AI189*'1. Standard_Cost'!$D$27+'Incremental_Cost Year 6'!AJ189+'Incremental_Cost Year 6'!AL189+AK189</f>
        <v>0</v>
      </c>
      <c r="AN189" s="127">
        <f>AM189*'1. Standard_Cost'!$C$31</f>
        <v>0</v>
      </c>
      <c r="AO189" s="130"/>
      <c r="AP189" s="256"/>
      <c r="AQ189" s="171">
        <f t="shared" si="120"/>
        <v>0</v>
      </c>
      <c r="AR189" s="171">
        <f t="shared" si="121"/>
        <v>0</v>
      </c>
      <c r="AS189" s="171">
        <f t="shared" si="122"/>
        <v>0</v>
      </c>
      <c r="AT189" s="171">
        <f t="shared" si="123"/>
        <v>0</v>
      </c>
      <c r="AU189" s="250"/>
      <c r="AV189" s="250"/>
      <c r="AW189" s="250"/>
      <c r="AX189" s="250"/>
      <c r="AY189" s="250"/>
      <c r="AZ189" s="250"/>
      <c r="BA189" s="250"/>
      <c r="BB189" s="251">
        <f t="shared" si="124"/>
        <v>0</v>
      </c>
      <c r="BC189" s="169"/>
      <c r="BD189" s="169"/>
      <c r="BE189" s="169"/>
      <c r="BF189" s="169"/>
    </row>
    <row r="190" spans="1:58" ht="15.75" outlineLevel="2" x14ac:dyDescent="0.25">
      <c r="A190" s="115"/>
      <c r="B190" s="200"/>
      <c r="C190" s="330"/>
      <c r="D190" s="343"/>
      <c r="E190" s="328"/>
      <c r="F190" s="328"/>
      <c r="G190" s="328"/>
      <c r="H190" s="110" t="s">
        <v>183</v>
      </c>
      <c r="I190" s="252"/>
      <c r="J190" s="252"/>
      <c r="K190" s="252"/>
      <c r="L190" s="127">
        <f>SUM(L183:L189)</f>
        <v>10545647800</v>
      </c>
      <c r="M190" s="127">
        <f>SUM(M183:M189)</f>
        <v>1761123182.5999999</v>
      </c>
      <c r="N190" s="252"/>
      <c r="O190" s="252"/>
      <c r="P190" s="252"/>
      <c r="Q190" s="252"/>
      <c r="R190" s="127">
        <f>SUM(R183:R189)</f>
        <v>0</v>
      </c>
      <c r="S190" s="127">
        <f>SUM(S183:S189)</f>
        <v>0</v>
      </c>
      <c r="T190" s="127">
        <f>SUM(T183:T189)</f>
        <v>0</v>
      </c>
      <c r="U190" s="127">
        <f>SUM(U183:U189)</f>
        <v>0</v>
      </c>
      <c r="V190" s="252"/>
      <c r="W190" s="252"/>
      <c r="X190" s="252"/>
      <c r="Y190" s="127">
        <f>SUM(Y183:Y189)</f>
        <v>0</v>
      </c>
      <c r="Z190" s="127"/>
      <c r="AA190" s="252"/>
      <c r="AB190" s="127">
        <f>SUM(AB183:AB189)</f>
        <v>0</v>
      </c>
      <c r="AC190" s="127">
        <f>SUM(AC183:AC188)</f>
        <v>9400120000</v>
      </c>
      <c r="AD190" s="127">
        <f>SUM(AD183:AD188)</f>
        <v>0</v>
      </c>
      <c r="AE190" s="127">
        <f>SUM(AE183:AE189)</f>
        <v>1880024000</v>
      </c>
      <c r="AF190" s="127">
        <f>SUM(AF183:AF189)</f>
        <v>11280144000</v>
      </c>
      <c r="AG190" s="252"/>
      <c r="AH190" s="252"/>
      <c r="AI190" s="252"/>
      <c r="AJ190" s="127">
        <f>SUM(AJ183:AJ188)</f>
        <v>0</v>
      </c>
      <c r="AK190" s="127">
        <f>SUM(AK183:AK188)</f>
        <v>0</v>
      </c>
      <c r="AL190" s="127">
        <f>SUM(AL183:AL188)</f>
        <v>0</v>
      </c>
      <c r="AM190" s="127">
        <f>SUM(AM183:AM189)</f>
        <v>0</v>
      </c>
      <c r="AN190" s="127">
        <f>SUM(AN183:AN189)</f>
        <v>0</v>
      </c>
      <c r="AO190" s="253"/>
      <c r="AP190" s="254"/>
      <c r="AQ190" s="175">
        <f>SUM(AQ183:AQ189)</f>
        <v>12306770982.6</v>
      </c>
      <c r="AR190" s="175">
        <f>SUM(AR183:AR189)</f>
        <v>11280144000</v>
      </c>
      <c r="AS190" s="175">
        <f>SUM(AS183:AS189)</f>
        <v>0</v>
      </c>
      <c r="AT190" s="175">
        <f>SUM(AT183:AT189)</f>
        <v>23586914982.599998</v>
      </c>
      <c r="AU190" s="175">
        <f t="shared" ref="AU190:BA190" si="125">SUM(AU183:AU188)</f>
        <v>21786914983</v>
      </c>
      <c r="AV190" s="175">
        <f t="shared" si="125"/>
        <v>0</v>
      </c>
      <c r="AW190" s="175">
        <f t="shared" si="125"/>
        <v>0</v>
      </c>
      <c r="AX190" s="175">
        <f t="shared" si="125"/>
        <v>0</v>
      </c>
      <c r="AY190" s="175">
        <f t="shared" si="125"/>
        <v>0</v>
      </c>
      <c r="AZ190" s="175">
        <f t="shared" si="125"/>
        <v>0</v>
      </c>
      <c r="BA190" s="175">
        <f t="shared" si="125"/>
        <v>0</v>
      </c>
      <c r="BB190" s="175">
        <f>SUM(BB183:BB189)</f>
        <v>-1799999999.5999999</v>
      </c>
      <c r="BC190" s="169"/>
      <c r="BD190" s="169"/>
      <c r="BE190" s="169"/>
      <c r="BF190" s="169"/>
    </row>
    <row r="191" spans="1:58" ht="47.25" outlineLevel="2" x14ac:dyDescent="0.25">
      <c r="A191" s="115"/>
      <c r="B191" s="200"/>
      <c r="C191" s="330"/>
      <c r="D191" s="343"/>
      <c r="E191" s="328"/>
      <c r="F191" s="328"/>
      <c r="G191" s="328"/>
      <c r="H191" s="213" t="s">
        <v>496</v>
      </c>
      <c r="I191" s="130" t="s">
        <v>314</v>
      </c>
      <c r="J191" s="126">
        <v>12</v>
      </c>
      <c r="K191" s="126">
        <v>20</v>
      </c>
      <c r="L191" s="125">
        <f>IF(I191&lt;&gt;0,((VLOOKUP(I191,'1. Standard_Cost'!$B$4:$D$11,2)+VLOOKUP(I191,'1. Standard_Cost'!$B$4:$D$11,3))*J191*K191),"0")</f>
        <v>16968000</v>
      </c>
      <c r="M191" s="125">
        <f>L191*'1. Standard_Cost'!$F$4</f>
        <v>2833656</v>
      </c>
      <c r="N191" s="126"/>
      <c r="O191" s="126"/>
      <c r="P191" s="126"/>
      <c r="Q191" s="126"/>
      <c r="R191" s="127">
        <f>'1. Standard_Cost'!$B$15*N191*P191</f>
        <v>0</v>
      </c>
      <c r="S191" s="127">
        <f>N191*O191*P191*'1. Standard_Cost'!$C$15</f>
        <v>0</v>
      </c>
      <c r="T191" s="127">
        <f>N191*P191*Q191*'1. Standard_Cost'!$D$15</f>
        <v>0</v>
      </c>
      <c r="U191" s="127">
        <f>N191*O191*'1. Standard_Cost'!$E$15</f>
        <v>0</v>
      </c>
      <c r="V191" s="126"/>
      <c r="W191" s="126"/>
      <c r="X191" s="126"/>
      <c r="Y191" s="127">
        <f>+V191*((X191*'1. Standard_Cost'!$B$19)+(W191*X191*'1. Standard_Cost'!$C$19))</f>
        <v>0</v>
      </c>
      <c r="Z191" s="126"/>
      <c r="AA191" s="126"/>
      <c r="AB191" s="127">
        <f>+Z191*'1. Standard_Cost'!$B$23+AA191*'1. Standard_Cost'!$C$23</f>
        <v>0</v>
      </c>
      <c r="AC191" s="128">
        <v>7293000</v>
      </c>
      <c r="AD191" s="129"/>
      <c r="AE191" s="127"/>
      <c r="AF191" s="127">
        <f>SUM(AE191,AD191,AC191,AB191,Y191,U191,T191,S191,R191)</f>
        <v>7293000</v>
      </c>
      <c r="AG191" s="126"/>
      <c r="AH191" s="126"/>
      <c r="AI191" s="126"/>
      <c r="AJ191" s="130"/>
      <c r="AK191" s="130"/>
      <c r="AL191" s="130"/>
      <c r="AM191" s="127">
        <f>AG191*'1. Standard_Cost'!$B$27+'Incremental_Cost Year 6'!AH191*'1. Standard_Cost'!$C$27+'Incremental_Cost Year 6'!AI191*'1. Standard_Cost'!$D$27+'Incremental_Cost Year 6'!AJ191+'Incremental_Cost Year 6'!AL191+AK191</f>
        <v>0</v>
      </c>
      <c r="AN191" s="127">
        <f>AM191*'1. Standard_Cost'!$C$31</f>
        <v>0</v>
      </c>
      <c r="AO191" s="130"/>
      <c r="AP191" s="256"/>
      <c r="AQ191" s="171">
        <f>L191+M191</f>
        <v>19801656</v>
      </c>
      <c r="AR191" s="171">
        <f>AF191</f>
        <v>7293000</v>
      </c>
      <c r="AS191" s="171">
        <f>AM191+AN191</f>
        <v>0</v>
      </c>
      <c r="AT191" s="171">
        <f>SUM(AQ191,AR191,AS191)</f>
        <v>27094656</v>
      </c>
      <c r="AU191" s="250">
        <v>27094656</v>
      </c>
      <c r="AV191" s="250"/>
      <c r="AW191" s="250"/>
      <c r="AX191" s="250"/>
      <c r="AY191" s="250"/>
      <c r="AZ191" s="250"/>
      <c r="BA191" s="250"/>
      <c r="BB191" s="251">
        <f t="shared" ref="BB191:BB192" si="126">SUM(AU191:BA191)-AT191</f>
        <v>0</v>
      </c>
      <c r="BC191" s="169"/>
      <c r="BD191" s="169"/>
      <c r="BE191" s="169"/>
      <c r="BF191" s="169"/>
    </row>
    <row r="192" spans="1:58" ht="47.25" outlineLevel="2" x14ac:dyDescent="0.25">
      <c r="A192" s="115"/>
      <c r="B192" s="200"/>
      <c r="C192" s="330"/>
      <c r="D192" s="343"/>
      <c r="E192" s="328"/>
      <c r="F192" s="328"/>
      <c r="G192" s="328"/>
      <c r="H192" s="199" t="s">
        <v>238</v>
      </c>
      <c r="I192" s="130" t="s">
        <v>172</v>
      </c>
      <c r="J192" s="126">
        <v>12</v>
      </c>
      <c r="K192" s="126">
        <v>2</v>
      </c>
      <c r="L192" s="125">
        <f>IF(I192&lt;&gt;0,((VLOOKUP(I192,'1. Standard_Cost'!$B$4:$D$11,2)+VLOOKUP(I192,'1. Standard_Cost'!$B$4:$D$11,3))*J192*K192),"0")</f>
        <v>1212000</v>
      </c>
      <c r="M192" s="125">
        <f>L192*'1. Standard_Cost'!$F$4</f>
        <v>202404</v>
      </c>
      <c r="N192" s="126"/>
      <c r="O192" s="126"/>
      <c r="P192" s="126"/>
      <c r="Q192" s="126"/>
      <c r="R192" s="127">
        <f>'1. Standard_Cost'!$B$15*N192*P192</f>
        <v>0</v>
      </c>
      <c r="S192" s="127">
        <f>N192*O192*P192*'1. Standard_Cost'!$C$15</f>
        <v>0</v>
      </c>
      <c r="T192" s="127">
        <f>N192*P192*Q192*'1. Standard_Cost'!$D$15</f>
        <v>0</v>
      </c>
      <c r="U192" s="127">
        <f>N192*O192*'1. Standard_Cost'!$E$15</f>
        <v>0</v>
      </c>
      <c r="V192" s="126"/>
      <c r="W192" s="126"/>
      <c r="X192" s="126"/>
      <c r="Y192" s="127">
        <f>+V192*((X192*'1. Standard_Cost'!$B$19)+(W192*X192*'1. Standard_Cost'!$C$19))</f>
        <v>0</v>
      </c>
      <c r="Z192" s="126"/>
      <c r="AA192" s="126"/>
      <c r="AB192" s="127">
        <f>+Z192*'1. Standard_Cost'!$B$23+AA192*'1. Standard_Cost'!$C$23</f>
        <v>0</v>
      </c>
      <c r="AC192" s="128">
        <v>50000</v>
      </c>
      <c r="AD192" s="129"/>
      <c r="AE192" s="127">
        <f>SUM(AD192,AC192,AB192,Y192,U192,T192,S192,R192)*'1. Standard_Cost'!$B$31</f>
        <v>10000</v>
      </c>
      <c r="AF192" s="127">
        <f>SUM(AE192,AD192,AC192,AB192,Y192,U192,T192,S192,R192)</f>
        <v>60000</v>
      </c>
      <c r="AG192" s="126"/>
      <c r="AH192" s="126"/>
      <c r="AI192" s="126"/>
      <c r="AJ192" s="130"/>
      <c r="AK192" s="130"/>
      <c r="AL192" s="130"/>
      <c r="AM192" s="127">
        <f>AG192*'1. Standard_Cost'!$B$27+'Incremental_Cost Year 6'!AH192*'1. Standard_Cost'!$C$27+'Incremental_Cost Year 6'!AI192*'1. Standard_Cost'!$D$27+'Incremental_Cost Year 6'!AJ192+'Incremental_Cost Year 6'!AL192+AK192</f>
        <v>0</v>
      </c>
      <c r="AN192" s="127">
        <f>AM192*'1. Standard_Cost'!$C$31</f>
        <v>0</v>
      </c>
      <c r="AO192" s="130"/>
      <c r="AP192" s="256"/>
      <c r="AQ192" s="171">
        <f>L192+M192</f>
        <v>1414404</v>
      </c>
      <c r="AR192" s="171">
        <f>AF192</f>
        <v>60000</v>
      </c>
      <c r="AS192" s="171">
        <f>AM192+AN192</f>
        <v>0</v>
      </c>
      <c r="AT192" s="171">
        <f>SUM(AQ192,AR192,AS192)</f>
        <v>1474404</v>
      </c>
      <c r="AU192" s="250">
        <f>AT192</f>
        <v>1474404</v>
      </c>
      <c r="AV192" s="250"/>
      <c r="AW192" s="250"/>
      <c r="AX192" s="250"/>
      <c r="AY192" s="250"/>
      <c r="AZ192" s="250"/>
      <c r="BA192" s="250"/>
      <c r="BB192" s="251">
        <f t="shared" si="126"/>
        <v>0</v>
      </c>
      <c r="BC192" s="169"/>
      <c r="BD192" s="169"/>
      <c r="BE192" s="169"/>
      <c r="BF192" s="169"/>
    </row>
    <row r="193" spans="1:58" ht="15.75" outlineLevel="1" x14ac:dyDescent="0.25">
      <c r="A193" s="115"/>
      <c r="B193" s="200"/>
      <c r="C193" s="330"/>
      <c r="D193" s="343"/>
      <c r="E193" s="328"/>
      <c r="F193" s="328"/>
      <c r="G193" s="328"/>
      <c r="H193" s="150" t="s">
        <v>239</v>
      </c>
      <c r="I193" s="252"/>
      <c r="J193" s="252"/>
      <c r="K193" s="252"/>
      <c r="L193" s="127">
        <f>SUM(L191:L192)</f>
        <v>18180000</v>
      </c>
      <c r="M193" s="127">
        <f>SUM(M191:M192)</f>
        <v>3036060</v>
      </c>
      <c r="N193" s="252"/>
      <c r="O193" s="252"/>
      <c r="P193" s="252"/>
      <c r="Q193" s="252"/>
      <c r="R193" s="127">
        <f>SUM(R191:R192)</f>
        <v>0</v>
      </c>
      <c r="S193" s="127">
        <f>SUM(S191:S192)</f>
        <v>0</v>
      </c>
      <c r="T193" s="127">
        <f>SUM(T191:T192)</f>
        <v>0</v>
      </c>
      <c r="U193" s="127">
        <f>SUM(U191:U192)</f>
        <v>0</v>
      </c>
      <c r="V193" s="252"/>
      <c r="W193" s="252"/>
      <c r="X193" s="252"/>
      <c r="Y193" s="127">
        <f>SUM(Y191:Y192)</f>
        <v>0</v>
      </c>
      <c r="Z193" s="127"/>
      <c r="AA193" s="252"/>
      <c r="AB193" s="127">
        <f>SUM(AB191:AB192)</f>
        <v>0</v>
      </c>
      <c r="AC193" s="127">
        <f>SUM(AC191:AC192)</f>
        <v>7343000</v>
      </c>
      <c r="AD193" s="127">
        <f>SUM(AD191:AD192)</f>
        <v>0</v>
      </c>
      <c r="AE193" s="127">
        <f>SUM(AE191:AE192)</f>
        <v>10000</v>
      </c>
      <c r="AF193" s="127">
        <f>SUM(AF191:AF192)</f>
        <v>7353000</v>
      </c>
      <c r="AG193" s="252"/>
      <c r="AH193" s="252"/>
      <c r="AI193" s="252"/>
      <c r="AJ193" s="127">
        <f>SUM(AJ191:AJ192)</f>
        <v>0</v>
      </c>
      <c r="AK193" s="127">
        <f>SUM(AK191:AK192)</f>
        <v>0</v>
      </c>
      <c r="AL193" s="127">
        <f>SUM(AL191:AL192)</f>
        <v>0</v>
      </c>
      <c r="AM193" s="127">
        <f>SUM(AM191:AM192)</f>
        <v>0</v>
      </c>
      <c r="AN193" s="127">
        <f>SUM(AN191:AN192)</f>
        <v>0</v>
      </c>
      <c r="AO193" s="253"/>
      <c r="AP193" s="254"/>
      <c r="AQ193" s="175">
        <f>SUM(AQ191:AQ192)</f>
        <v>21216060</v>
      </c>
      <c r="AR193" s="175">
        <f>SUM(AR191:AR192)</f>
        <v>7353000</v>
      </c>
      <c r="AS193" s="175">
        <f>SUM(AS191:AS192)</f>
        <v>0</v>
      </c>
      <c r="AT193" s="175">
        <f>SUM(AT191:AT192)</f>
        <v>28569060</v>
      </c>
      <c r="AU193" s="175">
        <f t="shared" ref="AU193:BA193" si="127">SUM(AU191:AU192)</f>
        <v>28569060</v>
      </c>
      <c r="AV193" s="175">
        <f t="shared" si="127"/>
        <v>0</v>
      </c>
      <c r="AW193" s="175">
        <f t="shared" si="127"/>
        <v>0</v>
      </c>
      <c r="AX193" s="175">
        <f t="shared" si="127"/>
        <v>0</v>
      </c>
      <c r="AY193" s="175">
        <f t="shared" si="127"/>
        <v>0</v>
      </c>
      <c r="AZ193" s="175">
        <f t="shared" si="127"/>
        <v>0</v>
      </c>
      <c r="BA193" s="175">
        <f t="shared" si="127"/>
        <v>0</v>
      </c>
      <c r="BB193" s="175">
        <f>SUM(BB191:BB192)</f>
        <v>0</v>
      </c>
      <c r="BC193" s="169"/>
      <c r="BD193" s="169"/>
      <c r="BE193" s="169"/>
      <c r="BF193" s="169"/>
    </row>
    <row r="194" spans="1:58" ht="47.25" outlineLevel="2" x14ac:dyDescent="0.25">
      <c r="A194" s="115"/>
      <c r="B194" s="200"/>
      <c r="C194" s="330"/>
      <c r="D194" s="343"/>
      <c r="E194" s="328"/>
      <c r="F194" s="328"/>
      <c r="G194" s="328"/>
      <c r="H194" s="199" t="s">
        <v>497</v>
      </c>
      <c r="I194" s="130" t="s">
        <v>5</v>
      </c>
      <c r="J194" s="126">
        <v>3</v>
      </c>
      <c r="K194" s="126">
        <v>3</v>
      </c>
      <c r="L194" s="125">
        <f>IF(I194&lt;&gt;0,((VLOOKUP(I194,'1. Standard_Cost'!$B$4:$D$11,2)+VLOOKUP(I194,'1. Standard_Cost'!$B$4:$D$11,3))*J194*K194),"0")</f>
        <v>636300</v>
      </c>
      <c r="M194" s="125">
        <f>L194*'1. Standard_Cost'!$F$4</f>
        <v>106262.1</v>
      </c>
      <c r="N194" s="126"/>
      <c r="O194" s="126"/>
      <c r="P194" s="126"/>
      <c r="Q194" s="126"/>
      <c r="R194" s="127">
        <f>'1. Standard_Cost'!$B$15*N194*P194</f>
        <v>0</v>
      </c>
      <c r="S194" s="127">
        <f>N194*O194*P194*'1. Standard_Cost'!$C$15</f>
        <v>0</v>
      </c>
      <c r="T194" s="127">
        <f>N194*P194*Q194*'1. Standard_Cost'!$D$15</f>
        <v>0</v>
      </c>
      <c r="U194" s="127">
        <f>N194*O194*'1. Standard_Cost'!$E$15</f>
        <v>0</v>
      </c>
      <c r="V194" s="126"/>
      <c r="W194" s="126"/>
      <c r="X194" s="126"/>
      <c r="Y194" s="127">
        <f>+V194*((X194*'1. Standard_Cost'!$B$19)+(W194*X194*'1. Standard_Cost'!$C$19))</f>
        <v>0</v>
      </c>
      <c r="Z194" s="126"/>
      <c r="AA194" s="126"/>
      <c r="AB194" s="127">
        <f>+Z194*'1. Standard_Cost'!$B$23+AA194*'1. Standard_Cost'!$C$23</f>
        <v>0</v>
      </c>
      <c r="AC194" s="128">
        <v>75000</v>
      </c>
      <c r="AD194" s="129"/>
      <c r="AE194" s="127">
        <f>SUM(AD194,AC194,AB194,Y194,U194,T194,S194,R194)*'1. Standard_Cost'!$B$31</f>
        <v>15000</v>
      </c>
      <c r="AF194" s="127">
        <f>SUM(AE194,AD194,AC194,AB194,Y194,U194,T194,S194,R194)</f>
        <v>90000</v>
      </c>
      <c r="AG194" s="126"/>
      <c r="AH194" s="126"/>
      <c r="AI194" s="126"/>
      <c r="AJ194" s="130"/>
      <c r="AK194" s="130"/>
      <c r="AL194" s="130"/>
      <c r="AM194" s="127">
        <f>AG194*'1. Standard_Cost'!$B$27+'Incremental_Cost Year 6'!AH194*'1. Standard_Cost'!$C$27+'Incremental_Cost Year 6'!AI194*'1. Standard_Cost'!$D$27+'Incremental_Cost Year 6'!AJ194+'Incremental_Cost Year 6'!AL194+AK194</f>
        <v>0</v>
      </c>
      <c r="AN194" s="127">
        <f>AM194*'1. Standard_Cost'!$C$31</f>
        <v>0</v>
      </c>
      <c r="AO194" s="130"/>
      <c r="AP194" s="256"/>
      <c r="AQ194" s="171">
        <f>L194+M194</f>
        <v>742562.1</v>
      </c>
      <c r="AR194" s="171">
        <f>AF194</f>
        <v>90000</v>
      </c>
      <c r="AS194" s="171">
        <f>AM194+AN194</f>
        <v>0</v>
      </c>
      <c r="AT194" s="171">
        <f>SUM(AQ194,AR194,AS194)</f>
        <v>832562.1</v>
      </c>
      <c r="AU194" s="250">
        <v>832562</v>
      </c>
      <c r="AV194" s="250"/>
      <c r="AW194" s="250"/>
      <c r="AX194" s="250"/>
      <c r="AY194" s="250"/>
      <c r="AZ194" s="250"/>
      <c r="BA194" s="250"/>
      <c r="BB194" s="251">
        <f t="shared" ref="BB194:BB195" si="128">SUM(AU194:BA194)-AT194</f>
        <v>-9.9999999976716936E-2</v>
      </c>
      <c r="BC194" s="169"/>
      <c r="BD194" s="169"/>
      <c r="BE194" s="169"/>
      <c r="BF194" s="169"/>
    </row>
    <row r="195" spans="1:58" ht="47.25" outlineLevel="2" x14ac:dyDescent="0.25">
      <c r="A195" s="115"/>
      <c r="B195" s="147"/>
      <c r="C195" s="341"/>
      <c r="D195" s="344"/>
      <c r="E195" s="328"/>
      <c r="F195" s="328"/>
      <c r="G195" s="328"/>
      <c r="H195" s="199" t="s">
        <v>498</v>
      </c>
      <c r="I195" s="130"/>
      <c r="J195" s="126"/>
      <c r="K195" s="126"/>
      <c r="L195" s="125" t="str">
        <f>IF(I195&lt;&gt;0,((VLOOKUP(I195,'1. Standard_Cost'!$B$4:$D$11,2)+VLOOKUP(I195,'1. Standard_Cost'!$B$4:$D$11,3))*J195*K195),"0")</f>
        <v>0</v>
      </c>
      <c r="M195" s="125">
        <f>L195*'1. Standard_Cost'!$F$4</f>
        <v>0</v>
      </c>
      <c r="N195" s="126"/>
      <c r="O195" s="126"/>
      <c r="P195" s="126"/>
      <c r="Q195" s="126"/>
      <c r="R195" s="127">
        <f>'1. Standard_Cost'!$B$15*N195*P195</f>
        <v>0</v>
      </c>
      <c r="S195" s="127">
        <f>N195*O195*P195*'1. Standard_Cost'!$C$15</f>
        <v>0</v>
      </c>
      <c r="T195" s="127">
        <f>N195*P195*Q195*'1. Standard_Cost'!$D$15</f>
        <v>0</v>
      </c>
      <c r="U195" s="127">
        <f>N195*O195*'1. Standard_Cost'!$E$15</f>
        <v>0</v>
      </c>
      <c r="V195" s="126"/>
      <c r="W195" s="126"/>
      <c r="X195" s="126"/>
      <c r="Y195" s="127">
        <f>+V195*((X195*'1. Standard_Cost'!$B$19)+(W195*X195*'1. Standard_Cost'!$C$19))</f>
        <v>0</v>
      </c>
      <c r="Z195" s="126"/>
      <c r="AA195" s="126"/>
      <c r="AB195" s="127">
        <f>+Z195*'1. Standard_Cost'!$B$23+AA195*'1. Standard_Cost'!$C$23</f>
        <v>0</v>
      </c>
      <c r="AC195" s="128"/>
      <c r="AD195" s="129"/>
      <c r="AE195" s="127">
        <f>SUM(AD195,AC195,AB195,Y195,U195,T195,S195,R195)*'1. Standard_Cost'!$B$31</f>
        <v>0</v>
      </c>
      <c r="AF195" s="127">
        <f>SUM(AE195,AD195,AC195,AB195,Y195,U195,T195,S195,R195)</f>
        <v>0</v>
      </c>
      <c r="AG195" s="126"/>
      <c r="AH195" s="126"/>
      <c r="AI195" s="126"/>
      <c r="AJ195" s="130"/>
      <c r="AK195" s="130"/>
      <c r="AL195" s="130"/>
      <c r="AM195" s="127">
        <f>AG195*'1. Standard_Cost'!$B$27+'Incremental_Cost Year 6'!AH195*'1. Standard_Cost'!$C$27+'Incremental_Cost Year 6'!AI195*'1. Standard_Cost'!$D$27+'Incremental_Cost Year 6'!AJ195+'Incremental_Cost Year 6'!AL195+AK195</f>
        <v>0</v>
      </c>
      <c r="AN195" s="127">
        <f>AM195*'1. Standard_Cost'!$C$31</f>
        <v>0</v>
      </c>
      <c r="AO195" s="130"/>
      <c r="AP195" s="256"/>
      <c r="AQ195" s="171">
        <f>L195+M195</f>
        <v>0</v>
      </c>
      <c r="AR195" s="171">
        <f>AF195</f>
        <v>0</v>
      </c>
      <c r="AS195" s="171">
        <f>AM195+AN195</f>
        <v>0</v>
      </c>
      <c r="AT195" s="171">
        <f>SUM(AQ195,AR195,AS195)</f>
        <v>0</v>
      </c>
      <c r="AU195" s="250"/>
      <c r="AV195" s="250"/>
      <c r="AW195" s="250"/>
      <c r="AX195" s="250"/>
      <c r="AY195" s="250"/>
      <c r="AZ195" s="250"/>
      <c r="BA195" s="250"/>
      <c r="BB195" s="251">
        <f t="shared" si="128"/>
        <v>0</v>
      </c>
      <c r="BC195" s="169"/>
      <c r="BD195" s="169"/>
      <c r="BE195" s="169"/>
      <c r="BF195" s="169"/>
    </row>
    <row r="196" spans="1:58" ht="63" outlineLevel="1" x14ac:dyDescent="0.25">
      <c r="A196" s="115"/>
      <c r="B196" s="200"/>
      <c r="C196" s="201"/>
      <c r="D196" s="107" t="s">
        <v>240</v>
      </c>
      <c r="E196" s="212" t="s">
        <v>499</v>
      </c>
      <c r="F196" s="104">
        <v>2021</v>
      </c>
      <c r="G196" s="104">
        <v>2030</v>
      </c>
      <c r="H196" s="150" t="s">
        <v>241</v>
      </c>
      <c r="I196" s="252"/>
      <c r="J196" s="252"/>
      <c r="K196" s="252"/>
      <c r="L196" s="127">
        <f>SUM(L194:L195)</f>
        <v>636300</v>
      </c>
      <c r="M196" s="127">
        <f>SUM(M194:M195)</f>
        <v>106262.1</v>
      </c>
      <c r="N196" s="252"/>
      <c r="O196" s="252"/>
      <c r="P196" s="252"/>
      <c r="Q196" s="252"/>
      <c r="R196" s="127">
        <f>SUM(R194:R195)</f>
        <v>0</v>
      </c>
      <c r="S196" s="127">
        <f>SUM(S194:S195)</f>
        <v>0</v>
      </c>
      <c r="T196" s="127">
        <f>SUM(T194:T195)</f>
        <v>0</v>
      </c>
      <c r="U196" s="127">
        <f>SUM(U194:U195)</f>
        <v>0</v>
      </c>
      <c r="V196" s="252"/>
      <c r="W196" s="252"/>
      <c r="X196" s="252"/>
      <c r="Y196" s="127">
        <f>SUM(Y194:Y195)</f>
        <v>0</v>
      </c>
      <c r="Z196" s="127"/>
      <c r="AA196" s="252"/>
      <c r="AB196" s="127">
        <f>SUM(AB194:AB195)</f>
        <v>0</v>
      </c>
      <c r="AC196" s="127">
        <f>SUM(AC194:AC195)</f>
        <v>75000</v>
      </c>
      <c r="AD196" s="127">
        <f>SUM(AD194:AD195)</f>
        <v>0</v>
      </c>
      <c r="AE196" s="127">
        <f>SUM(AE194:AE195)</f>
        <v>15000</v>
      </c>
      <c r="AF196" s="127">
        <f>SUM(AF194:AF195)</f>
        <v>90000</v>
      </c>
      <c r="AG196" s="252"/>
      <c r="AH196" s="252"/>
      <c r="AI196" s="252"/>
      <c r="AJ196" s="127">
        <f>SUM(AJ194:AJ195)</f>
        <v>0</v>
      </c>
      <c r="AK196" s="127">
        <f>SUM(AK194:AK195)</f>
        <v>0</v>
      </c>
      <c r="AL196" s="127">
        <f>SUM(AL194:AL195)</f>
        <v>0</v>
      </c>
      <c r="AM196" s="127">
        <f>SUM(AM194:AM195)</f>
        <v>0</v>
      </c>
      <c r="AN196" s="127">
        <f>SUM(AN194:AN195)</f>
        <v>0</v>
      </c>
      <c r="AO196" s="253"/>
      <c r="AP196" s="254"/>
      <c r="AQ196" s="175">
        <f>SUM(AQ194:AQ195)</f>
        <v>742562.1</v>
      </c>
      <c r="AR196" s="175">
        <f>SUM(AR194:AR195)</f>
        <v>90000</v>
      </c>
      <c r="AS196" s="175">
        <f>SUM(AS194:AS195)</f>
        <v>0</v>
      </c>
      <c r="AT196" s="175">
        <f>SUM(AT194:AT195)</f>
        <v>832562.1</v>
      </c>
      <c r="AU196" s="175">
        <f t="shared" ref="AU196:BA196" si="129">SUM(AU194:AU195)</f>
        <v>832562</v>
      </c>
      <c r="AV196" s="175">
        <f t="shared" si="129"/>
        <v>0</v>
      </c>
      <c r="AW196" s="175">
        <f t="shared" si="129"/>
        <v>0</v>
      </c>
      <c r="AX196" s="175">
        <f t="shared" si="129"/>
        <v>0</v>
      </c>
      <c r="AY196" s="175">
        <f t="shared" si="129"/>
        <v>0</v>
      </c>
      <c r="AZ196" s="175">
        <f t="shared" si="129"/>
        <v>0</v>
      </c>
      <c r="BA196" s="175">
        <f t="shared" si="129"/>
        <v>0</v>
      </c>
      <c r="BB196" s="175">
        <f>SUM(BB194:BB195)</f>
        <v>-9.9999999976716936E-2</v>
      </c>
      <c r="BC196" s="169"/>
      <c r="BD196" s="169"/>
      <c r="BE196" s="169"/>
      <c r="BF196" s="169"/>
    </row>
    <row r="197" spans="1:58" s="170" customFormat="1" ht="15.75" customHeight="1" x14ac:dyDescent="0.25">
      <c r="A197" s="120"/>
      <c r="B197" s="396" t="s">
        <v>243</v>
      </c>
      <c r="C197" s="389"/>
      <c r="D197" s="389"/>
      <c r="E197" s="390"/>
      <c r="F197" s="286"/>
      <c r="G197" s="286"/>
      <c r="H197" s="279" t="s">
        <v>184</v>
      </c>
      <c r="I197" s="243"/>
      <c r="J197" s="243"/>
      <c r="K197" s="243"/>
      <c r="L197" s="243">
        <f>SUM(L198,L213,L221,L226,L232,L238)</f>
        <v>913109400</v>
      </c>
      <c r="M197" s="243">
        <f>SUM(M198,M213,M221,M226,M232,M238)</f>
        <v>152489269.79999998</v>
      </c>
      <c r="N197" s="243"/>
      <c r="O197" s="243"/>
      <c r="P197" s="243"/>
      <c r="Q197" s="243"/>
      <c r="R197" s="243">
        <f>SUM(R198,R213,R221,R226,R232,R238)</f>
        <v>0</v>
      </c>
      <c r="S197" s="243">
        <f>SUM(S198,S213,S221,S226,S232,S238)</f>
        <v>0</v>
      </c>
      <c r="T197" s="243">
        <f>SUM(T198,T213,T221,T226,T232,T238)</f>
        <v>0</v>
      </c>
      <c r="U197" s="243">
        <f>SUM(U198,U213,U221,U226,U232,U238)</f>
        <v>0</v>
      </c>
      <c r="V197" s="243"/>
      <c r="W197" s="243"/>
      <c r="X197" s="243"/>
      <c r="Y197" s="243">
        <f>SUM(Y198,Y213,Y221,Y226,Y232,Y238)</f>
        <v>0</v>
      </c>
      <c r="Z197" s="243">
        <f>SUM(Z198,Z213,Z221,Z226,Z232,Z238)</f>
        <v>0</v>
      </c>
      <c r="AA197" s="243"/>
      <c r="AB197" s="243">
        <f>SUM(AB198,AB213,AB221,AB226,AB232,AB238)</f>
        <v>1710000</v>
      </c>
      <c r="AC197" s="243">
        <f>SUM(AC198,AC213,AC221,AC226,AC232,AC238)</f>
        <v>1442487000</v>
      </c>
      <c r="AD197" s="243">
        <f>SUM(AD198,AD213,AD221,AD226,AD232,AD238)</f>
        <v>0</v>
      </c>
      <c r="AE197" s="243">
        <f>SUM(AE198,AE213,AE221,AE226,AE232,AE238)</f>
        <v>406800</v>
      </c>
      <c r="AF197" s="243">
        <f>SUM(AF198,AF213,AF221,AF226,AF232,AF238)</f>
        <v>1444603800</v>
      </c>
      <c r="AG197" s="243"/>
      <c r="AH197" s="243"/>
      <c r="AI197" s="243"/>
      <c r="AJ197" s="243">
        <f>SUM(AJ198,AJ213,AJ221,AJ226,AJ232,AJ238)</f>
        <v>0</v>
      </c>
      <c r="AK197" s="243">
        <f>SUM(AK198,AK213,AK221,AK226,AK232,AK238)</f>
        <v>0</v>
      </c>
      <c r="AL197" s="243">
        <f>SUM(AL198,AL213,AL221,AL226,AL232,AL238)</f>
        <v>0</v>
      </c>
      <c r="AM197" s="243">
        <f>SUM(AM198,AM213,AM221,AM226,AM232,AM238)</f>
        <v>0</v>
      </c>
      <c r="AN197" s="243">
        <f>SUM(AN198,AN213,AN221,AN226,AN232,AN238)</f>
        <v>0</v>
      </c>
      <c r="AO197" s="243"/>
      <c r="AP197" s="244"/>
      <c r="AQ197" s="245">
        <f>SUM(AQ198,AQ213,AQ221,AQ226,AQ232,AQ238)</f>
        <v>1065598669.8</v>
      </c>
      <c r="AR197" s="245">
        <f>SUM(AR198,AR213,AR221,AR226,AR232,AR238)</f>
        <v>1444603800</v>
      </c>
      <c r="AS197" s="245">
        <f>SUM(AS198,AS213,AS221,AS226,AS232,AS238)</f>
        <v>0</v>
      </c>
      <c r="AT197" s="245">
        <f>SUM(AT198,AT213,AT221,AT226,AT232,AT238)</f>
        <v>2510202469.8000002</v>
      </c>
      <c r="AU197" s="245">
        <f t="shared" ref="AU197:BB197" si="130">SUM(AU198,AU213,AU221,AU226,AU232,AU238)</f>
        <v>2508121669.8000002</v>
      </c>
      <c r="AV197" s="245">
        <f t="shared" si="130"/>
        <v>0</v>
      </c>
      <c r="AW197" s="245">
        <f t="shared" si="130"/>
        <v>0</v>
      </c>
      <c r="AX197" s="245">
        <f t="shared" si="130"/>
        <v>0</v>
      </c>
      <c r="AY197" s="245">
        <f t="shared" si="130"/>
        <v>0</v>
      </c>
      <c r="AZ197" s="245">
        <f t="shared" si="130"/>
        <v>0</v>
      </c>
      <c r="BA197" s="245">
        <f t="shared" si="130"/>
        <v>0</v>
      </c>
      <c r="BB197" s="245">
        <f t="shared" si="130"/>
        <v>-2080800</v>
      </c>
    </row>
    <row r="198" spans="1:58" s="184" customFormat="1" ht="15.75" customHeight="1" x14ac:dyDescent="0.25">
      <c r="A198" s="143"/>
      <c r="B198" s="332"/>
      <c r="C198" s="397" t="s">
        <v>244</v>
      </c>
      <c r="D198" s="397"/>
      <c r="E198" s="398"/>
      <c r="F198" s="291"/>
      <c r="G198" s="340"/>
      <c r="H198" s="144" t="s">
        <v>185</v>
      </c>
      <c r="I198" s="269"/>
      <c r="J198" s="257"/>
      <c r="K198" s="257"/>
      <c r="L198" s="258">
        <f>SUM(L203,L209,L212)</f>
        <v>0</v>
      </c>
      <c r="M198" s="258">
        <f>SUM(M203,M209,M212)</f>
        <v>0</v>
      </c>
      <c r="N198" s="257"/>
      <c r="O198" s="257"/>
      <c r="P198" s="257"/>
      <c r="Q198" s="257"/>
      <c r="R198" s="258">
        <f>SUM(R203,R209,R212)</f>
        <v>0</v>
      </c>
      <c r="S198" s="258">
        <f>SUM(S203,S209,S212)</f>
        <v>0</v>
      </c>
      <c r="T198" s="258">
        <f>SUM(T203,T209,T212)</f>
        <v>0</v>
      </c>
      <c r="U198" s="258">
        <f>SUM(U203,U209,U212)</f>
        <v>0</v>
      </c>
      <c r="V198" s="257"/>
      <c r="W198" s="257"/>
      <c r="X198" s="257"/>
      <c r="Y198" s="258">
        <f>SUM(Y203,Y209,Y212)</f>
        <v>0</v>
      </c>
      <c r="Z198" s="258">
        <f>SUM(Z203,Z209,Z212)</f>
        <v>0</v>
      </c>
      <c r="AA198" s="257"/>
      <c r="AB198" s="258">
        <f>SUM(AB203,AB209,AB212)</f>
        <v>1710000</v>
      </c>
      <c r="AC198" s="258">
        <f>SUM(AC203,AC209,AC212)</f>
        <v>24000</v>
      </c>
      <c r="AD198" s="258">
        <f>SUM(AD203,AD209,AD212)</f>
        <v>0</v>
      </c>
      <c r="AE198" s="258">
        <f>SUM(AE203,AE209,AE212)</f>
        <v>346800</v>
      </c>
      <c r="AF198" s="258">
        <f>SUM(AF203,AF209,AF212)</f>
        <v>2080800</v>
      </c>
      <c r="AG198" s="257"/>
      <c r="AH198" s="257"/>
      <c r="AI198" s="257"/>
      <c r="AJ198" s="258">
        <f>SUM(AJ203,AJ209,AJ212)</f>
        <v>0</v>
      </c>
      <c r="AK198" s="258">
        <f>SUM(AK203,AK209,AK212)</f>
        <v>0</v>
      </c>
      <c r="AL198" s="258">
        <f>SUM(AL203,AL209,AL212)</f>
        <v>0</v>
      </c>
      <c r="AM198" s="258">
        <f>SUM(AM203,AM209,AM212)</f>
        <v>0</v>
      </c>
      <c r="AN198" s="258">
        <f>SUM(AN203,AN209,AN212)</f>
        <v>0</v>
      </c>
      <c r="AO198" s="259"/>
      <c r="AP198" s="260"/>
      <c r="AQ198" s="261">
        <f>SUM(AQ203,AQ209,AQ212)</f>
        <v>0</v>
      </c>
      <c r="AR198" s="261">
        <f>SUM(AR203,AR209,AR212)</f>
        <v>2080800</v>
      </c>
      <c r="AS198" s="261">
        <f>SUM(AS203,AS209,AS212)</f>
        <v>0</v>
      </c>
      <c r="AT198" s="261">
        <f>SUM(AT203,AT209,AT212)</f>
        <v>2080800</v>
      </c>
      <c r="AU198" s="261">
        <f t="shared" ref="AU198:BB198" si="131">SUM(AU203,AU209,AU212)</f>
        <v>0</v>
      </c>
      <c r="AV198" s="261">
        <f t="shared" si="131"/>
        <v>0</v>
      </c>
      <c r="AW198" s="261">
        <f t="shared" si="131"/>
        <v>0</v>
      </c>
      <c r="AX198" s="261">
        <f t="shared" si="131"/>
        <v>0</v>
      </c>
      <c r="AY198" s="261">
        <f t="shared" si="131"/>
        <v>0</v>
      </c>
      <c r="AZ198" s="261">
        <f t="shared" si="131"/>
        <v>0</v>
      </c>
      <c r="BA198" s="261">
        <f t="shared" si="131"/>
        <v>0</v>
      </c>
      <c r="BB198" s="261">
        <f t="shared" si="131"/>
        <v>-2080800</v>
      </c>
    </row>
    <row r="199" spans="1:58" ht="63" outlineLevel="2" x14ac:dyDescent="0.25">
      <c r="A199" s="115"/>
      <c r="B199" s="200"/>
      <c r="C199" s="201"/>
      <c r="D199" s="202"/>
      <c r="E199" s="226"/>
      <c r="F199" s="295"/>
      <c r="G199" s="296"/>
      <c r="H199" s="199" t="s">
        <v>500</v>
      </c>
      <c r="I199" s="130"/>
      <c r="J199" s="126"/>
      <c r="K199" s="126"/>
      <c r="L199" s="125" t="str">
        <f>IF(I199&lt;&gt;0,((VLOOKUP(I199,'1. Standard_Cost'!$B$4:$D$11,2)+VLOOKUP(I199,'1. Standard_Cost'!$B$4:$D$11,3))*J199*K199),"0")</f>
        <v>0</v>
      </c>
      <c r="M199" s="125">
        <f>L199*'1. Standard_Cost'!$F$4</f>
        <v>0</v>
      </c>
      <c r="N199" s="126"/>
      <c r="O199" s="126"/>
      <c r="P199" s="126"/>
      <c r="Q199" s="126"/>
      <c r="R199" s="127">
        <f>'1. Standard_Cost'!$B$15*N199*P199</f>
        <v>0</v>
      </c>
      <c r="S199" s="127">
        <f>N199*O199*P199*'1. Standard_Cost'!$C$15</f>
        <v>0</v>
      </c>
      <c r="T199" s="127">
        <f>N199*P199*Q199*'1. Standard_Cost'!$D$15</f>
        <v>0</v>
      </c>
      <c r="U199" s="127">
        <f>N199*O199*'1. Standard_Cost'!$E$15</f>
        <v>0</v>
      </c>
      <c r="V199" s="126"/>
      <c r="W199" s="126"/>
      <c r="X199" s="126"/>
      <c r="Y199" s="127">
        <f>+V199*((X199*'1. Standard_Cost'!$B$19)+(W199*X199*'1. Standard_Cost'!$C$19))</f>
        <v>0</v>
      </c>
      <c r="Z199" s="126"/>
      <c r="AA199" s="126"/>
      <c r="AB199" s="127">
        <f>+Z199*'1. Standard_Cost'!$B$23+AA199*'1. Standard_Cost'!$C$23</f>
        <v>0</v>
      </c>
      <c r="AC199" s="128"/>
      <c r="AD199" s="129"/>
      <c r="AE199" s="127">
        <f>SUM(AD199,AC199,AB199,Y199,U199,T199,S199,R199)*'1. Standard_Cost'!$B$31</f>
        <v>0</v>
      </c>
      <c r="AF199" s="127">
        <f>SUM(AE199,AD199,AC199,AB199,Y199,U199,T199,S199,R199)</f>
        <v>0</v>
      </c>
      <c r="AG199" s="126"/>
      <c r="AH199" s="126"/>
      <c r="AI199" s="126"/>
      <c r="AJ199" s="130"/>
      <c r="AK199" s="130"/>
      <c r="AL199" s="130"/>
      <c r="AM199" s="127">
        <f>AG199*'1. Standard_Cost'!$B$27+'Incremental_Cost Year 6'!AH199*'1. Standard_Cost'!$C$27+'Incremental_Cost Year 6'!AI199*'1. Standard_Cost'!$D$27+'Incremental_Cost Year 6'!AJ199+'Incremental_Cost Year 6'!AL199+AK199</f>
        <v>0</v>
      </c>
      <c r="AN199" s="127">
        <f>AM199*'1. Standard_Cost'!$C$31</f>
        <v>0</v>
      </c>
      <c r="AO199" s="130"/>
      <c r="AQ199" s="171">
        <f>L199+M199</f>
        <v>0</v>
      </c>
      <c r="AR199" s="171">
        <f>AF199</f>
        <v>0</v>
      </c>
      <c r="AS199" s="171">
        <f>AM199+AN199</f>
        <v>0</v>
      </c>
      <c r="AT199" s="171">
        <f>SUM(AQ199,AR199,AS199)</f>
        <v>0</v>
      </c>
      <c r="AU199" s="250">
        <f>AT199</f>
        <v>0</v>
      </c>
      <c r="AV199" s="250"/>
      <c r="AW199" s="250"/>
      <c r="AX199" s="250"/>
      <c r="AY199" s="250"/>
      <c r="AZ199" s="250"/>
      <c r="BA199" s="250"/>
      <c r="BB199" s="251">
        <f t="shared" ref="BB199:BB202" si="132">SUM(AU199:BA199)-AT199</f>
        <v>0</v>
      </c>
      <c r="BC199" s="169"/>
      <c r="BD199" s="169"/>
      <c r="BE199" s="169"/>
      <c r="BF199" s="169"/>
    </row>
    <row r="200" spans="1:58" ht="94.5" outlineLevel="2" x14ac:dyDescent="0.25">
      <c r="A200" s="115"/>
      <c r="B200" s="200"/>
      <c r="C200" s="201"/>
      <c r="D200" s="202"/>
      <c r="E200" s="202"/>
      <c r="F200" s="219"/>
      <c r="G200" s="313"/>
      <c r="H200" s="199" t="s">
        <v>501</v>
      </c>
      <c r="I200" s="130"/>
      <c r="J200" s="126"/>
      <c r="K200" s="126"/>
      <c r="L200" s="125" t="str">
        <f>IF(I200&lt;&gt;0,((VLOOKUP(I200,'1. Standard_Cost'!$B$4:$D$11,2)+VLOOKUP(I200,'1. Standard_Cost'!$B$4:$D$11,3))*J200*K200),"0")</f>
        <v>0</v>
      </c>
      <c r="M200" s="125">
        <f>L200*'1. Standard_Cost'!$F$4</f>
        <v>0</v>
      </c>
      <c r="N200" s="126"/>
      <c r="O200" s="126"/>
      <c r="P200" s="126"/>
      <c r="Q200" s="126"/>
      <c r="R200" s="127">
        <f>'1. Standard_Cost'!$B$15*N200*P200</f>
        <v>0</v>
      </c>
      <c r="S200" s="127">
        <f>N200*O200*P200*'1. Standard_Cost'!$C$15</f>
        <v>0</v>
      </c>
      <c r="T200" s="127">
        <f>N200*P200*Q200*'1. Standard_Cost'!$D$15</f>
        <v>0</v>
      </c>
      <c r="U200" s="127">
        <f>N200*O200*'1. Standard_Cost'!$E$15</f>
        <v>0</v>
      </c>
      <c r="V200" s="126"/>
      <c r="W200" s="126"/>
      <c r="X200" s="126"/>
      <c r="Y200" s="127">
        <f>+V200*((X200*'1. Standard_Cost'!$B$19)+(W200*X200*'1. Standard_Cost'!$C$19))</f>
        <v>0</v>
      </c>
      <c r="Z200" s="126"/>
      <c r="AA200" s="126">
        <v>90</v>
      </c>
      <c r="AB200" s="127">
        <f>+Z200*'1. Standard_Cost'!$B$23+AA200*'1. Standard_Cost'!$C$23</f>
        <v>1710000</v>
      </c>
      <c r="AC200" s="128">
        <f>4*20*300</f>
        <v>24000</v>
      </c>
      <c r="AD200" s="129"/>
      <c r="AE200" s="127">
        <f>SUM(AD200,AC200,AB200,Y200,U200,T200,S200,R200)*'1. Standard_Cost'!$B$31</f>
        <v>346800</v>
      </c>
      <c r="AF200" s="127">
        <f>SUM(AE200,AD200,AC200,AB200,Y200,U200,T200,S200,R200)</f>
        <v>2080800</v>
      </c>
      <c r="AG200" s="126"/>
      <c r="AH200" s="126"/>
      <c r="AI200" s="126"/>
      <c r="AJ200" s="130"/>
      <c r="AK200" s="130"/>
      <c r="AL200" s="130"/>
      <c r="AM200" s="127">
        <f>AG200*'1. Standard_Cost'!$B$27+'Incremental_Cost Year 6'!AH200*'1. Standard_Cost'!$C$27+'Incremental_Cost Year 6'!AI200*'1. Standard_Cost'!$D$27+'Incremental_Cost Year 6'!AJ200+'Incremental_Cost Year 6'!AL200+AK200</f>
        <v>0</v>
      </c>
      <c r="AN200" s="127">
        <f>AM200*'1. Standard_Cost'!$C$31</f>
        <v>0</v>
      </c>
      <c r="AO200" s="130"/>
      <c r="AQ200" s="171">
        <f>L200+M200</f>
        <v>0</v>
      </c>
      <c r="AR200" s="171">
        <f>AF200</f>
        <v>2080800</v>
      </c>
      <c r="AS200" s="171">
        <f>AM200+AN200</f>
        <v>0</v>
      </c>
      <c r="AT200" s="171">
        <f>SUM(AQ200,AR200,AS200)</f>
        <v>2080800</v>
      </c>
      <c r="AU200" s="250">
        <f>AQ200</f>
        <v>0</v>
      </c>
      <c r="AV200" s="250"/>
      <c r="AW200" s="250"/>
      <c r="AX200" s="250"/>
      <c r="AY200" s="250"/>
      <c r="AZ200" s="250"/>
      <c r="BA200" s="250"/>
      <c r="BB200" s="251">
        <f t="shared" si="132"/>
        <v>-2080800</v>
      </c>
      <c r="BC200" s="169"/>
      <c r="BD200" s="169"/>
      <c r="BE200" s="169"/>
      <c r="BF200" s="169"/>
    </row>
    <row r="201" spans="1:58" ht="31.5" outlineLevel="2" x14ac:dyDescent="0.25">
      <c r="A201" s="115"/>
      <c r="B201" s="200"/>
      <c r="C201" s="201"/>
      <c r="D201" s="202"/>
      <c r="E201" s="202"/>
      <c r="F201" s="219"/>
      <c r="G201" s="313"/>
      <c r="H201" s="199" t="s">
        <v>502</v>
      </c>
      <c r="I201" s="130"/>
      <c r="J201" s="126"/>
      <c r="K201" s="126"/>
      <c r="L201" s="125" t="str">
        <f>IF(I201&lt;&gt;0,((VLOOKUP(I201,'1. Standard_Cost'!$B$4:$D$11,2)+VLOOKUP(I201,'1. Standard_Cost'!$B$4:$D$11,3))*J201*K201),"0")</f>
        <v>0</v>
      </c>
      <c r="M201" s="125">
        <f>L201*'1. Standard_Cost'!$F$4</f>
        <v>0</v>
      </c>
      <c r="N201" s="126"/>
      <c r="O201" s="126"/>
      <c r="P201" s="126"/>
      <c r="Q201" s="126"/>
      <c r="R201" s="127">
        <f>'1. Standard_Cost'!$B$15*N201*P201</f>
        <v>0</v>
      </c>
      <c r="S201" s="127">
        <f>N201*O201*P201*'1. Standard_Cost'!$C$15</f>
        <v>0</v>
      </c>
      <c r="T201" s="127">
        <f>N201*P201*Q201*'1. Standard_Cost'!$D$15</f>
        <v>0</v>
      </c>
      <c r="U201" s="127">
        <f>N201*O201*'1. Standard_Cost'!$E$15</f>
        <v>0</v>
      </c>
      <c r="V201" s="126"/>
      <c r="W201" s="126"/>
      <c r="X201" s="126"/>
      <c r="Y201" s="127">
        <f>+V201*((X201*'1. Standard_Cost'!$B$19)+(W201*X201*'1. Standard_Cost'!$C$19))</f>
        <v>0</v>
      </c>
      <c r="Z201" s="126"/>
      <c r="AA201" s="126"/>
      <c r="AB201" s="127">
        <f>+Z201*'1. Standard_Cost'!$B$23+AA201*'1. Standard_Cost'!$C$23</f>
        <v>0</v>
      </c>
      <c r="AC201" s="128"/>
      <c r="AD201" s="129"/>
      <c r="AE201" s="127">
        <f>SUM(AD201,AC201,AB201,Y201,U201,T201,S201,R201)*'1. Standard_Cost'!$B$31</f>
        <v>0</v>
      </c>
      <c r="AF201" s="127">
        <f>SUM(AE201,AD201,AC201,AB201,Y201,U201,T201,S201,R201)</f>
        <v>0</v>
      </c>
      <c r="AG201" s="126"/>
      <c r="AH201" s="126"/>
      <c r="AI201" s="126"/>
      <c r="AJ201" s="130"/>
      <c r="AK201" s="130"/>
      <c r="AL201" s="130"/>
      <c r="AM201" s="127">
        <f>AG201*'1. Standard_Cost'!$B$27+'Incremental_Cost Year 6'!AH201*'1. Standard_Cost'!$C$27+'Incremental_Cost Year 6'!AI201*'1. Standard_Cost'!$D$27+'Incremental_Cost Year 6'!AJ201+'Incremental_Cost Year 6'!AL201+AK201</f>
        <v>0</v>
      </c>
      <c r="AN201" s="127">
        <f>AM201*'1. Standard_Cost'!$C$31</f>
        <v>0</v>
      </c>
      <c r="AO201" s="130"/>
      <c r="AQ201" s="171">
        <f>L201+M201</f>
        <v>0</v>
      </c>
      <c r="AR201" s="171">
        <f>AF201</f>
        <v>0</v>
      </c>
      <c r="AS201" s="171">
        <f>AM201+AN201</f>
        <v>0</v>
      </c>
      <c r="AT201" s="171">
        <f>SUM(AQ201,AR201,AS201)</f>
        <v>0</v>
      </c>
      <c r="AU201" s="250"/>
      <c r="AV201" s="250"/>
      <c r="AW201" s="250"/>
      <c r="AX201" s="250"/>
      <c r="AY201" s="250"/>
      <c r="AZ201" s="250"/>
      <c r="BA201" s="250"/>
      <c r="BB201" s="251">
        <f t="shared" si="132"/>
        <v>0</v>
      </c>
      <c r="BC201" s="169"/>
      <c r="BD201" s="169"/>
      <c r="BE201" s="169"/>
      <c r="BF201" s="169"/>
    </row>
    <row r="202" spans="1:58" ht="47.25" outlineLevel="2" x14ac:dyDescent="0.25">
      <c r="A202" s="115"/>
      <c r="B202" s="200"/>
      <c r="C202" s="201"/>
      <c r="D202" s="202"/>
      <c r="E202" s="310"/>
      <c r="F202" s="122"/>
      <c r="G202" s="123"/>
      <c r="H202" s="199" t="s">
        <v>545</v>
      </c>
      <c r="I202" s="130"/>
      <c r="J202" s="126"/>
      <c r="K202" s="126"/>
      <c r="L202" s="125" t="str">
        <f>IF(I202&lt;&gt;0,((VLOOKUP(I202,'1. Standard_Cost'!$B$4:$D$11,2)+VLOOKUP(I202,'1. Standard_Cost'!$B$4:$D$11,3))*J202*K202),"0")</f>
        <v>0</v>
      </c>
      <c r="M202" s="125">
        <f>L202*'1. Standard_Cost'!$F$4</f>
        <v>0</v>
      </c>
      <c r="N202" s="126"/>
      <c r="O202" s="126"/>
      <c r="P202" s="126"/>
      <c r="Q202" s="126"/>
      <c r="R202" s="127">
        <f>'1. Standard_Cost'!$B$15*N202*P202</f>
        <v>0</v>
      </c>
      <c r="S202" s="127">
        <f>N202*O202*P202*'1. Standard_Cost'!$C$15</f>
        <v>0</v>
      </c>
      <c r="T202" s="127">
        <f>N202*P202*Q202*'1. Standard_Cost'!$D$15</f>
        <v>0</v>
      </c>
      <c r="U202" s="127">
        <f>N202*O202*'1. Standard_Cost'!$E$15</f>
        <v>0</v>
      </c>
      <c r="V202" s="126"/>
      <c r="W202" s="126"/>
      <c r="X202" s="126"/>
      <c r="Y202" s="127">
        <f>+V202*((X202*'1. Standard_Cost'!$B$19)+(W202*X202*'1. Standard_Cost'!$C$19))</f>
        <v>0</v>
      </c>
      <c r="Z202" s="126"/>
      <c r="AA202" s="126"/>
      <c r="AB202" s="127">
        <f>+Z202*'1. Standard_Cost'!$B$23+AA202*'1. Standard_Cost'!$C$23</f>
        <v>0</v>
      </c>
      <c r="AC202" s="128"/>
      <c r="AD202" s="129"/>
      <c r="AE202" s="127">
        <f>SUM(AD202,AC202,AB202,Y202,U202,T202,S202,R202)*'1. Standard_Cost'!$B$31</f>
        <v>0</v>
      </c>
      <c r="AF202" s="127">
        <f>SUM(AE202,AD202,AC202,AB202,Y202,U202,T202,S202,R202)</f>
        <v>0</v>
      </c>
      <c r="AG202" s="126"/>
      <c r="AH202" s="126"/>
      <c r="AI202" s="126"/>
      <c r="AJ202" s="130"/>
      <c r="AK202" s="130"/>
      <c r="AL202" s="130"/>
      <c r="AM202" s="127">
        <f>AG202*'1. Standard_Cost'!$B$27+'Incremental_Cost Year 6'!AH202*'1. Standard_Cost'!$C$27+'Incremental_Cost Year 6'!AI202*'1. Standard_Cost'!$D$27+'Incremental_Cost Year 6'!AJ202+'Incremental_Cost Year 6'!AL202+AK202</f>
        <v>0</v>
      </c>
      <c r="AN202" s="127">
        <f>AM202*'1. Standard_Cost'!$C$31</f>
        <v>0</v>
      </c>
      <c r="AO202" s="130"/>
      <c r="AQ202" s="171">
        <f>L202+M202</f>
        <v>0</v>
      </c>
      <c r="AR202" s="171">
        <f>AF202</f>
        <v>0</v>
      </c>
      <c r="AS202" s="171">
        <f>AM202+AN202</f>
        <v>0</v>
      </c>
      <c r="AT202" s="171">
        <f>SUM(AQ202,AR202,AS202)</f>
        <v>0</v>
      </c>
      <c r="AU202" s="250"/>
      <c r="AV202" s="250"/>
      <c r="AW202" s="250"/>
      <c r="AX202" s="250"/>
      <c r="AY202" s="250"/>
      <c r="AZ202" s="250"/>
      <c r="BA202" s="250"/>
      <c r="BB202" s="251">
        <f t="shared" si="132"/>
        <v>0</v>
      </c>
      <c r="BC202" s="169"/>
      <c r="BD202" s="169"/>
      <c r="BE202" s="169"/>
      <c r="BF202" s="169"/>
    </row>
    <row r="203" spans="1:58" ht="47.25" outlineLevel="1" x14ac:dyDescent="0.25">
      <c r="A203" s="115"/>
      <c r="B203" s="165"/>
      <c r="C203" s="166"/>
      <c r="D203" s="212" t="s">
        <v>240</v>
      </c>
      <c r="E203" s="212" t="s">
        <v>245</v>
      </c>
      <c r="F203" s="117">
        <v>2021</v>
      </c>
      <c r="G203" s="117">
        <v>2025</v>
      </c>
      <c r="H203" s="110" t="s">
        <v>186</v>
      </c>
      <c r="I203" s="252"/>
      <c r="J203" s="252"/>
      <c r="K203" s="252"/>
      <c r="L203" s="127">
        <f>SUM(L199:L202)</f>
        <v>0</v>
      </c>
      <c r="M203" s="127">
        <f>SUM(M199:M202)</f>
        <v>0</v>
      </c>
      <c r="N203" s="252"/>
      <c r="O203" s="252"/>
      <c r="P203" s="252"/>
      <c r="Q203" s="252"/>
      <c r="R203" s="127">
        <f>SUM(R199:R202)</f>
        <v>0</v>
      </c>
      <c r="S203" s="127">
        <f>SUM(S199:S202)</f>
        <v>0</v>
      </c>
      <c r="T203" s="127">
        <f>SUM(T199:T202)</f>
        <v>0</v>
      </c>
      <c r="U203" s="127">
        <f>SUM(U199:U202)</f>
        <v>0</v>
      </c>
      <c r="V203" s="252"/>
      <c r="W203" s="252"/>
      <c r="X203" s="252"/>
      <c r="Y203" s="127">
        <f>SUM(Y199:Y202)</f>
        <v>0</v>
      </c>
      <c r="Z203" s="252"/>
      <c r="AA203" s="252"/>
      <c r="AB203" s="127">
        <f>SUM(AB199:AB202)</f>
        <v>1710000</v>
      </c>
      <c r="AC203" s="127">
        <f>SUM(AC199:AC202)</f>
        <v>24000</v>
      </c>
      <c r="AD203" s="127">
        <f>SUM(AD199:AD202)</f>
        <v>0</v>
      </c>
      <c r="AE203" s="127">
        <f>SUM(AE199:AE202)</f>
        <v>346800</v>
      </c>
      <c r="AF203" s="127">
        <f>SUM(AF199:AF202)</f>
        <v>2080800</v>
      </c>
      <c r="AG203" s="252"/>
      <c r="AH203" s="252"/>
      <c r="AI203" s="252"/>
      <c r="AJ203" s="127">
        <f>SUM(AJ199:AJ202)</f>
        <v>0</v>
      </c>
      <c r="AK203" s="127">
        <f>SUM(AK199:AK202)</f>
        <v>0</v>
      </c>
      <c r="AL203" s="127">
        <f>SUM(AL199:AL202)</f>
        <v>0</v>
      </c>
      <c r="AM203" s="127">
        <f>SUM(AM199:AM202)</f>
        <v>0</v>
      </c>
      <c r="AN203" s="127">
        <f>SUM(AN199:AN202)</f>
        <v>0</v>
      </c>
      <c r="AO203" s="253"/>
      <c r="AP203" s="254"/>
      <c r="AQ203" s="175">
        <f>SUM(AQ199:AQ202)</f>
        <v>0</v>
      </c>
      <c r="AR203" s="175">
        <f>SUM(AR199:AR202)</f>
        <v>2080800</v>
      </c>
      <c r="AS203" s="175">
        <f>SUM(AS199:AS202)</f>
        <v>0</v>
      </c>
      <c r="AT203" s="175">
        <f>SUM(AT199:AT202)</f>
        <v>2080800</v>
      </c>
      <c r="AU203" s="175">
        <f t="shared" ref="AU203:BB203" si="133">SUM(AU199:AU202)</f>
        <v>0</v>
      </c>
      <c r="AV203" s="175">
        <f t="shared" si="133"/>
        <v>0</v>
      </c>
      <c r="AW203" s="175">
        <f t="shared" si="133"/>
        <v>0</v>
      </c>
      <c r="AX203" s="175">
        <f t="shared" si="133"/>
        <v>0</v>
      </c>
      <c r="AY203" s="175">
        <f t="shared" si="133"/>
        <v>0</v>
      </c>
      <c r="AZ203" s="175">
        <f t="shared" si="133"/>
        <v>0</v>
      </c>
      <c r="BA203" s="175">
        <f t="shared" si="133"/>
        <v>0</v>
      </c>
      <c r="BB203" s="175">
        <f t="shared" si="133"/>
        <v>-2080800</v>
      </c>
      <c r="BC203" s="169"/>
      <c r="BD203" s="169"/>
      <c r="BE203" s="169"/>
      <c r="BF203" s="169"/>
    </row>
    <row r="204" spans="1:58" ht="78.75" outlineLevel="2" x14ac:dyDescent="0.25">
      <c r="A204" s="115"/>
      <c r="B204" s="200"/>
      <c r="C204" s="201"/>
      <c r="D204" s="202"/>
      <c r="E204" s="226"/>
      <c r="F204" s="295"/>
      <c r="G204" s="296"/>
      <c r="H204" s="199" t="s">
        <v>503</v>
      </c>
      <c r="I204" s="130"/>
      <c r="J204" s="126"/>
      <c r="K204" s="126"/>
      <c r="L204" s="125" t="str">
        <f>IF(I204&lt;&gt;0,((VLOOKUP(I204,'1. Standard_Cost'!$B$4:$D$11,2)+VLOOKUP(I204,'1. Standard_Cost'!$B$4:$D$11,3))*J204*K204),"0")</f>
        <v>0</v>
      </c>
      <c r="M204" s="125">
        <f>L204*'1. Standard_Cost'!$F$4</f>
        <v>0</v>
      </c>
      <c r="N204" s="126"/>
      <c r="O204" s="126"/>
      <c r="P204" s="126"/>
      <c r="Q204" s="126"/>
      <c r="R204" s="127">
        <f>'1. Standard_Cost'!$B$15*N204*P204</f>
        <v>0</v>
      </c>
      <c r="S204" s="127">
        <f>N204*O204*P204*'1. Standard_Cost'!$C$15</f>
        <v>0</v>
      </c>
      <c r="T204" s="127">
        <f>N204*P204*Q204*'1. Standard_Cost'!$D$15</f>
        <v>0</v>
      </c>
      <c r="U204" s="127">
        <f>N204*O204*'1. Standard_Cost'!$E$15</f>
        <v>0</v>
      </c>
      <c r="V204" s="126"/>
      <c r="W204" s="126"/>
      <c r="X204" s="126"/>
      <c r="Y204" s="127">
        <f>+V204*((X204*'1. Standard_Cost'!$B$19)+(W204*X204*'1. Standard_Cost'!$C$19))</f>
        <v>0</v>
      </c>
      <c r="Z204" s="126"/>
      <c r="AA204" s="126"/>
      <c r="AB204" s="127">
        <f>+Z204*'1. Standard_Cost'!$B$23+AA204*'1. Standard_Cost'!$C$23</f>
        <v>0</v>
      </c>
      <c r="AC204" s="128"/>
      <c r="AD204" s="129"/>
      <c r="AE204" s="127">
        <f>SUM(AD204,AC204,AB204,Y204,U204,T204,S204,R204)*'1. Standard_Cost'!$B$31</f>
        <v>0</v>
      </c>
      <c r="AF204" s="127">
        <f>SUM(AE204,AD204,AC204,AB204,Y204,U204,T204,S204,R204)</f>
        <v>0</v>
      </c>
      <c r="AG204" s="126"/>
      <c r="AH204" s="126"/>
      <c r="AI204" s="126"/>
      <c r="AJ204" s="130"/>
      <c r="AK204" s="130"/>
      <c r="AL204" s="130"/>
      <c r="AM204" s="127">
        <f>AG204*'1. Standard_Cost'!$B$27+'Incremental_Cost Year 6'!AH204*'1. Standard_Cost'!$C$27+'Incremental_Cost Year 6'!AI204*'1. Standard_Cost'!$D$27+'Incremental_Cost Year 6'!AJ204+'Incremental_Cost Year 6'!AL204+AK204</f>
        <v>0</v>
      </c>
      <c r="AN204" s="127">
        <f>AM204*'1. Standard_Cost'!$C$31</f>
        <v>0</v>
      </c>
      <c r="AO204" s="130"/>
      <c r="AQ204" s="171">
        <f>L204+M204</f>
        <v>0</v>
      </c>
      <c r="AR204" s="171">
        <f>AF204</f>
        <v>0</v>
      </c>
      <c r="AS204" s="171">
        <f>AM204+AN204</f>
        <v>0</v>
      </c>
      <c r="AT204" s="171">
        <f>SUM(AQ204,AR204,AS204)</f>
        <v>0</v>
      </c>
      <c r="AU204" s="250">
        <f>AM204</f>
        <v>0</v>
      </c>
      <c r="AV204" s="250"/>
      <c r="AW204" s="250">
        <f>AT204</f>
        <v>0</v>
      </c>
      <c r="AX204" s="250"/>
      <c r="AY204" s="250"/>
      <c r="AZ204" s="250"/>
      <c r="BA204" s="250"/>
      <c r="BB204" s="251">
        <f t="shared" ref="BB204:BB208" si="134">SUM(AU204:BA204)-AT204</f>
        <v>0</v>
      </c>
      <c r="BC204" s="169"/>
      <c r="BD204" s="169"/>
      <c r="BE204" s="169"/>
      <c r="BF204" s="169"/>
    </row>
    <row r="205" spans="1:58" ht="47.25" outlineLevel="2" x14ac:dyDescent="0.25">
      <c r="A205" s="115"/>
      <c r="B205" s="200"/>
      <c r="C205" s="201"/>
      <c r="D205" s="202"/>
      <c r="E205" s="202"/>
      <c r="F205" s="219"/>
      <c r="G205" s="313"/>
      <c r="H205" s="199" t="s">
        <v>504</v>
      </c>
      <c r="I205" s="130"/>
      <c r="J205" s="126"/>
      <c r="K205" s="126"/>
      <c r="L205" s="125" t="str">
        <f>IF(I205&lt;&gt;0,((VLOOKUP(I205,'1. Standard_Cost'!$B$4:$D$11,2)+VLOOKUP(I205,'1. Standard_Cost'!$B$4:$D$11,3))*J205*K205),"0")</f>
        <v>0</v>
      </c>
      <c r="M205" s="125">
        <f>L205*'1. Standard_Cost'!$F$4</f>
        <v>0</v>
      </c>
      <c r="N205" s="126"/>
      <c r="O205" s="126"/>
      <c r="P205" s="126"/>
      <c r="Q205" s="126"/>
      <c r="R205" s="127">
        <f>'1. Standard_Cost'!$B$15*N205*P205</f>
        <v>0</v>
      </c>
      <c r="S205" s="127">
        <f>N205*O205*P205*'1. Standard_Cost'!$C$15</f>
        <v>0</v>
      </c>
      <c r="T205" s="127">
        <f>N205*P205*Q205*'1. Standard_Cost'!$D$15</f>
        <v>0</v>
      </c>
      <c r="U205" s="127">
        <f>N205*O205*'1. Standard_Cost'!$E$15</f>
        <v>0</v>
      </c>
      <c r="V205" s="126"/>
      <c r="W205" s="126"/>
      <c r="X205" s="126"/>
      <c r="Y205" s="127">
        <f>+V205*((X205*'1. Standard_Cost'!$B$19)+(W205*X205*'1. Standard_Cost'!$C$19))</f>
        <v>0</v>
      </c>
      <c r="Z205" s="126"/>
      <c r="AA205" s="126"/>
      <c r="AB205" s="127">
        <f>+Z205*'1. Standard_Cost'!$B$23+AA205*'1. Standard_Cost'!$C$23</f>
        <v>0</v>
      </c>
      <c r="AC205" s="128"/>
      <c r="AD205" s="129"/>
      <c r="AE205" s="127">
        <f>SUM(AD205,AC205,AB205,Y205,U205,T205,S205,R205)*'1. Standard_Cost'!$B$31</f>
        <v>0</v>
      </c>
      <c r="AF205" s="127">
        <f>SUM(AE205,AD205,AC205,AB205,Y205,U205,T205,S205,R205)</f>
        <v>0</v>
      </c>
      <c r="AG205" s="126"/>
      <c r="AH205" s="126"/>
      <c r="AI205" s="126"/>
      <c r="AJ205" s="130"/>
      <c r="AK205" s="130"/>
      <c r="AL205" s="130"/>
      <c r="AM205" s="127">
        <f>AG205*'1. Standard_Cost'!$B$27+'Incremental_Cost Year 6'!AH205*'1. Standard_Cost'!$C$27+'Incremental_Cost Year 6'!AI205*'1. Standard_Cost'!$D$27+'Incremental_Cost Year 6'!AJ205+'Incremental_Cost Year 6'!AL205+AK205</f>
        <v>0</v>
      </c>
      <c r="AN205" s="127">
        <f>AM205*'1. Standard_Cost'!$C$31</f>
        <v>0</v>
      </c>
      <c r="AO205" s="130"/>
      <c r="AQ205" s="171">
        <f>L205+M205</f>
        <v>0</v>
      </c>
      <c r="AR205" s="171">
        <f>AF205</f>
        <v>0</v>
      </c>
      <c r="AS205" s="171">
        <f>AM205+AN205</f>
        <v>0</v>
      </c>
      <c r="AT205" s="171">
        <f>SUM(AQ205,AR205,AS205)</f>
        <v>0</v>
      </c>
      <c r="AU205" s="250">
        <f>AT205</f>
        <v>0</v>
      </c>
      <c r="AV205" s="250"/>
      <c r="AW205" s="250"/>
      <c r="AX205" s="250"/>
      <c r="AY205" s="250"/>
      <c r="AZ205" s="250"/>
      <c r="BA205" s="250"/>
      <c r="BB205" s="251">
        <f t="shared" si="134"/>
        <v>0</v>
      </c>
      <c r="BC205" s="169"/>
      <c r="BD205" s="169"/>
      <c r="BE205" s="169"/>
      <c r="BF205" s="169"/>
    </row>
    <row r="206" spans="1:58" ht="63" outlineLevel="2" x14ac:dyDescent="0.25">
      <c r="A206" s="115"/>
      <c r="B206" s="200"/>
      <c r="C206" s="201"/>
      <c r="D206" s="202"/>
      <c r="E206" s="202"/>
      <c r="F206" s="308"/>
      <c r="G206" s="309"/>
      <c r="H206" s="199" t="s">
        <v>246</v>
      </c>
      <c r="I206" s="130"/>
      <c r="J206" s="126"/>
      <c r="K206" s="126"/>
      <c r="L206" s="125" t="str">
        <f>IF(I206&lt;&gt;0,((VLOOKUP(I206,'1. Standard_Cost'!$B$4:$D$11,2)+VLOOKUP(I206,'1. Standard_Cost'!$B$4:$D$11,3))*J206*K206),"0")</f>
        <v>0</v>
      </c>
      <c r="M206" s="125">
        <f>L206*'1. Standard_Cost'!$F$4</f>
        <v>0</v>
      </c>
      <c r="N206" s="126"/>
      <c r="O206" s="126"/>
      <c r="P206" s="126"/>
      <c r="Q206" s="126"/>
      <c r="R206" s="127">
        <f>'1. Standard_Cost'!$B$15*N206*P206</f>
        <v>0</v>
      </c>
      <c r="S206" s="127">
        <f>N206*O206*P206*'1. Standard_Cost'!$C$15</f>
        <v>0</v>
      </c>
      <c r="T206" s="127">
        <f>N206*P206*Q206*'1. Standard_Cost'!$D$15</f>
        <v>0</v>
      </c>
      <c r="U206" s="127">
        <f>N206*O206*'1. Standard_Cost'!$E$15</f>
        <v>0</v>
      </c>
      <c r="V206" s="126"/>
      <c r="W206" s="126"/>
      <c r="X206" s="126"/>
      <c r="Y206" s="127">
        <f>+V206*((X206*'1. Standard_Cost'!$B$19)+(W206*X206*'1. Standard_Cost'!$C$19))</f>
        <v>0</v>
      </c>
      <c r="Z206" s="126"/>
      <c r="AA206" s="126"/>
      <c r="AB206" s="127">
        <f>+Z206*'1. Standard_Cost'!$B$23+AA206*'1. Standard_Cost'!$C$23</f>
        <v>0</v>
      </c>
      <c r="AC206" s="128"/>
      <c r="AD206" s="129"/>
      <c r="AE206" s="127">
        <f>SUM(AD206,AC206,AB206,Y206,U206,T206,S206,R206)*'1. Standard_Cost'!$B$31</f>
        <v>0</v>
      </c>
      <c r="AF206" s="127">
        <f>SUM(AE206,AD206,AC206,AB206,Y206,U206,T206,S206,R206)</f>
        <v>0</v>
      </c>
      <c r="AG206" s="126"/>
      <c r="AH206" s="126"/>
      <c r="AI206" s="126"/>
      <c r="AJ206" s="130"/>
      <c r="AK206" s="130"/>
      <c r="AL206" s="130"/>
      <c r="AM206" s="127">
        <f>AG206*'1. Standard_Cost'!$B$27+'Incremental_Cost Year 6'!AH206*'1. Standard_Cost'!$C$27+'Incremental_Cost Year 6'!AI206*'1. Standard_Cost'!$D$27+'Incremental_Cost Year 6'!AJ206+'Incremental_Cost Year 6'!AL206+AK206</f>
        <v>0</v>
      </c>
      <c r="AN206" s="127">
        <f>AM206*'1. Standard_Cost'!$C$31</f>
        <v>0</v>
      </c>
      <c r="AO206" s="130"/>
      <c r="AQ206" s="171">
        <f>L206+M206</f>
        <v>0</v>
      </c>
      <c r="AR206" s="171">
        <f>AF206</f>
        <v>0</v>
      </c>
      <c r="AS206" s="171">
        <f>AM206+AN206</f>
        <v>0</v>
      </c>
      <c r="AT206" s="171">
        <f>SUM(AQ206,AR206,AS206)</f>
        <v>0</v>
      </c>
      <c r="AU206" s="250">
        <f>AT206</f>
        <v>0</v>
      </c>
      <c r="AV206" s="250"/>
      <c r="AW206" s="250"/>
      <c r="AX206" s="250"/>
      <c r="AY206" s="250"/>
      <c r="AZ206" s="250"/>
      <c r="BA206" s="250"/>
      <c r="BB206" s="251">
        <f t="shared" si="134"/>
        <v>0</v>
      </c>
      <c r="BC206" s="169"/>
      <c r="BD206" s="169"/>
      <c r="BE206" s="169"/>
      <c r="BF206" s="169"/>
    </row>
    <row r="207" spans="1:58" ht="63" outlineLevel="2" x14ac:dyDescent="0.25">
      <c r="A207" s="115"/>
      <c r="B207" s="200"/>
      <c r="C207" s="201"/>
      <c r="D207" s="202"/>
      <c r="E207" s="202"/>
      <c r="F207" s="308"/>
      <c r="G207" s="309"/>
      <c r="H207" s="199" t="s">
        <v>505</v>
      </c>
      <c r="I207" s="130"/>
      <c r="J207" s="126"/>
      <c r="K207" s="126"/>
      <c r="L207" s="125" t="str">
        <f>IF(I207&lt;&gt;0,((VLOOKUP(I207,'1. Standard_Cost'!$B$4:$D$11,2)+VLOOKUP(I207,'1. Standard_Cost'!$B$4:$D$11,3))*J207*K207),"0")</f>
        <v>0</v>
      </c>
      <c r="M207" s="125">
        <f>L207*'1. Standard_Cost'!$F$4</f>
        <v>0</v>
      </c>
      <c r="N207" s="126"/>
      <c r="O207" s="126"/>
      <c r="P207" s="126"/>
      <c r="Q207" s="126"/>
      <c r="R207" s="127">
        <f>'1. Standard_Cost'!$B$15*N207*P207</f>
        <v>0</v>
      </c>
      <c r="S207" s="127">
        <f>N207*O207*P207*'1. Standard_Cost'!$C$15</f>
        <v>0</v>
      </c>
      <c r="T207" s="127">
        <f>N207*P207*Q207*'1. Standard_Cost'!$D$15</f>
        <v>0</v>
      </c>
      <c r="U207" s="127">
        <f>N207*O207*'1. Standard_Cost'!$E$15</f>
        <v>0</v>
      </c>
      <c r="V207" s="126"/>
      <c r="W207" s="126"/>
      <c r="X207" s="126"/>
      <c r="Y207" s="127">
        <f>+V207*((X207*'1. Standard_Cost'!$B$19)+(W207*X207*'1. Standard_Cost'!$C$19))</f>
        <v>0</v>
      </c>
      <c r="Z207" s="126"/>
      <c r="AA207" s="126"/>
      <c r="AB207" s="127">
        <f>+Z207*'1. Standard_Cost'!$B$23+AA207*'1. Standard_Cost'!$C$23</f>
        <v>0</v>
      </c>
      <c r="AC207" s="128"/>
      <c r="AD207" s="129"/>
      <c r="AE207" s="127">
        <f>SUM(AD207,AC207,AB207,Y207,U207,T207,S207,R207)*'1. Standard_Cost'!$B$31</f>
        <v>0</v>
      </c>
      <c r="AF207" s="127">
        <f>SUM(AE207,AD207,AC207,AB207,Y207,U207,T207,S207,R207)</f>
        <v>0</v>
      </c>
      <c r="AG207" s="126"/>
      <c r="AH207" s="126"/>
      <c r="AI207" s="126"/>
      <c r="AJ207" s="130"/>
      <c r="AK207" s="130"/>
      <c r="AL207" s="130"/>
      <c r="AM207" s="127">
        <f>AG207*'1. Standard_Cost'!$B$27+'Incremental_Cost Year 6'!AH207*'1. Standard_Cost'!$C$27+'Incremental_Cost Year 6'!AI207*'1. Standard_Cost'!$D$27+'Incremental_Cost Year 6'!AJ207+'Incremental_Cost Year 6'!AL207+AK207</f>
        <v>0</v>
      </c>
      <c r="AN207" s="127">
        <f>AM207*'1. Standard_Cost'!$C$31</f>
        <v>0</v>
      </c>
      <c r="AO207" s="130"/>
      <c r="AQ207" s="171">
        <f>L207+M207</f>
        <v>0</v>
      </c>
      <c r="AR207" s="171">
        <f>AF207</f>
        <v>0</v>
      </c>
      <c r="AS207" s="171">
        <f>AM207+AN207</f>
        <v>0</v>
      </c>
      <c r="AT207" s="171">
        <f>SUM(AQ207,AR207,AS207)</f>
        <v>0</v>
      </c>
      <c r="AU207" s="250">
        <f>AT207</f>
        <v>0</v>
      </c>
      <c r="AV207" s="250"/>
      <c r="AW207" s="250"/>
      <c r="AX207" s="250"/>
      <c r="AY207" s="250"/>
      <c r="AZ207" s="250"/>
      <c r="BA207" s="250"/>
      <c r="BB207" s="251">
        <f t="shared" si="134"/>
        <v>0</v>
      </c>
      <c r="BC207" s="169"/>
      <c r="BD207" s="169"/>
      <c r="BE207" s="169"/>
      <c r="BF207" s="169"/>
    </row>
    <row r="208" spans="1:58" ht="63" outlineLevel="2" x14ac:dyDescent="0.25">
      <c r="A208" s="115"/>
      <c r="B208" s="200"/>
      <c r="C208" s="201"/>
      <c r="D208" s="202"/>
      <c r="E208" s="310"/>
      <c r="F208" s="311"/>
      <c r="G208" s="312"/>
      <c r="H208" s="199" t="s">
        <v>506</v>
      </c>
      <c r="I208" s="130"/>
      <c r="J208" s="126"/>
      <c r="K208" s="126"/>
      <c r="L208" s="125" t="str">
        <f>IF(I208&lt;&gt;0,((VLOOKUP(I208,'1. Standard_Cost'!$B$4:$D$11,2)+VLOOKUP(I208,'1. Standard_Cost'!$B$4:$D$11,3))*J208*K208),"0")</f>
        <v>0</v>
      </c>
      <c r="M208" s="125">
        <f>L208*'1. Standard_Cost'!$F$4</f>
        <v>0</v>
      </c>
      <c r="N208" s="126"/>
      <c r="O208" s="126"/>
      <c r="P208" s="126"/>
      <c r="Q208" s="126"/>
      <c r="R208" s="127">
        <f>'1. Standard_Cost'!$B$15*N208*P208</f>
        <v>0</v>
      </c>
      <c r="S208" s="127">
        <f>N208*O208*P208*'1. Standard_Cost'!$C$15</f>
        <v>0</v>
      </c>
      <c r="T208" s="127">
        <f>N208*P208*Q208*'1. Standard_Cost'!$D$15</f>
        <v>0</v>
      </c>
      <c r="U208" s="127">
        <f>N208*O208*'1. Standard_Cost'!$E$15</f>
        <v>0</v>
      </c>
      <c r="V208" s="126"/>
      <c r="W208" s="126"/>
      <c r="X208" s="126"/>
      <c r="Y208" s="127">
        <f>+V208*((X208*'1. Standard_Cost'!$B$19)+(W208*X208*'1. Standard_Cost'!$C$19))</f>
        <v>0</v>
      </c>
      <c r="Z208" s="126"/>
      <c r="AA208" s="126"/>
      <c r="AB208" s="127">
        <f>+Z208*'1. Standard_Cost'!$B$23+AA208*'1. Standard_Cost'!$C$23</f>
        <v>0</v>
      </c>
      <c r="AC208" s="128"/>
      <c r="AD208" s="129"/>
      <c r="AE208" s="127">
        <f>SUM(AD208,AC208,AB208,Y208,U208,T208,S208,R208)*'1. Standard_Cost'!$B$31</f>
        <v>0</v>
      </c>
      <c r="AF208" s="127">
        <f>SUM(AE208,AD208,AC208,AB208,Y208,U208,T208,S208,R208)</f>
        <v>0</v>
      </c>
      <c r="AG208" s="126"/>
      <c r="AH208" s="126"/>
      <c r="AI208" s="126"/>
      <c r="AJ208" s="130"/>
      <c r="AK208" s="130"/>
      <c r="AL208" s="130"/>
      <c r="AM208" s="127">
        <f>AG208*'1. Standard_Cost'!$B$27+'Incremental_Cost Year 6'!AH208*'1. Standard_Cost'!$C$27+'Incremental_Cost Year 6'!AI208*'1. Standard_Cost'!$D$27+'Incremental_Cost Year 6'!AJ208+'Incremental_Cost Year 6'!AL208+AK208</f>
        <v>0</v>
      </c>
      <c r="AN208" s="127">
        <f>AM208*'1. Standard_Cost'!$C$31</f>
        <v>0</v>
      </c>
      <c r="AO208" s="130"/>
      <c r="AQ208" s="171">
        <f>L208+M208</f>
        <v>0</v>
      </c>
      <c r="AR208" s="171">
        <f>AF208</f>
        <v>0</v>
      </c>
      <c r="AS208" s="171">
        <f>AM208+AN208</f>
        <v>0</v>
      </c>
      <c r="AT208" s="171">
        <f>SUM(AQ208,AR208,AS208)</f>
        <v>0</v>
      </c>
      <c r="AU208" s="250">
        <f>AT208</f>
        <v>0</v>
      </c>
      <c r="AV208" s="250"/>
      <c r="AW208" s="250"/>
      <c r="AX208" s="250"/>
      <c r="AY208" s="250"/>
      <c r="AZ208" s="250"/>
      <c r="BA208" s="250"/>
      <c r="BB208" s="251">
        <f t="shared" si="134"/>
        <v>0</v>
      </c>
      <c r="BC208" s="169"/>
      <c r="BD208" s="169"/>
      <c r="BE208" s="169"/>
      <c r="BF208" s="169"/>
    </row>
    <row r="209" spans="1:58" ht="63" outlineLevel="1" x14ac:dyDescent="0.25">
      <c r="A209" s="115"/>
      <c r="B209" s="165"/>
      <c r="C209" s="166"/>
      <c r="D209" s="150" t="s">
        <v>507</v>
      </c>
      <c r="E209" s="212" t="s">
        <v>247</v>
      </c>
      <c r="F209" s="311">
        <v>2021</v>
      </c>
      <c r="G209" s="312">
        <v>2025</v>
      </c>
      <c r="H209" s="110" t="s">
        <v>187</v>
      </c>
      <c r="I209" s="252"/>
      <c r="J209" s="252"/>
      <c r="K209" s="252"/>
      <c r="L209" s="127">
        <f>SUM(L204:L208)</f>
        <v>0</v>
      </c>
      <c r="M209" s="127">
        <f>SUM(M204:M208)</f>
        <v>0</v>
      </c>
      <c r="N209" s="252"/>
      <c r="O209" s="252"/>
      <c r="P209" s="252"/>
      <c r="Q209" s="252"/>
      <c r="R209" s="127">
        <f t="shared" ref="R209:U209" si="135">SUM(R204:R208)</f>
        <v>0</v>
      </c>
      <c r="S209" s="127">
        <f t="shared" si="135"/>
        <v>0</v>
      </c>
      <c r="T209" s="127">
        <f t="shared" si="135"/>
        <v>0</v>
      </c>
      <c r="U209" s="127">
        <f t="shared" si="135"/>
        <v>0</v>
      </c>
      <c r="V209" s="252"/>
      <c r="W209" s="252"/>
      <c r="X209" s="252"/>
      <c r="Y209" s="127">
        <f>SUM(Y204:Y208)</f>
        <v>0</v>
      </c>
      <c r="Z209" s="252"/>
      <c r="AA209" s="252"/>
      <c r="AB209" s="127">
        <f t="shared" ref="AB209:AF209" si="136">SUM(AB204:AB208)</f>
        <v>0</v>
      </c>
      <c r="AC209" s="127">
        <f t="shared" si="136"/>
        <v>0</v>
      </c>
      <c r="AD209" s="127">
        <f t="shared" si="136"/>
        <v>0</v>
      </c>
      <c r="AE209" s="127">
        <f t="shared" si="136"/>
        <v>0</v>
      </c>
      <c r="AF209" s="127">
        <f t="shared" si="136"/>
        <v>0</v>
      </c>
      <c r="AG209" s="252"/>
      <c r="AH209" s="252"/>
      <c r="AI209" s="252"/>
      <c r="AJ209" s="127">
        <f t="shared" ref="AJ209:AN209" si="137">SUM(AJ204:AJ208)</f>
        <v>0</v>
      </c>
      <c r="AK209" s="127">
        <f t="shared" si="137"/>
        <v>0</v>
      </c>
      <c r="AL209" s="127">
        <f t="shared" si="137"/>
        <v>0</v>
      </c>
      <c r="AM209" s="127">
        <f t="shared" si="137"/>
        <v>0</v>
      </c>
      <c r="AN209" s="127">
        <f t="shared" si="137"/>
        <v>0</v>
      </c>
      <c r="AO209" s="253"/>
      <c r="AP209" s="254"/>
      <c r="AQ209" s="127">
        <f t="shared" ref="AQ209:BB209" si="138">SUM(AQ204:AQ208)</f>
        <v>0</v>
      </c>
      <c r="AR209" s="127">
        <f t="shared" si="138"/>
        <v>0</v>
      </c>
      <c r="AS209" s="127">
        <f t="shared" si="138"/>
        <v>0</v>
      </c>
      <c r="AT209" s="127">
        <f t="shared" si="138"/>
        <v>0</v>
      </c>
      <c r="AU209" s="127">
        <f t="shared" si="138"/>
        <v>0</v>
      </c>
      <c r="AV209" s="127">
        <f t="shared" si="138"/>
        <v>0</v>
      </c>
      <c r="AW209" s="127">
        <f t="shared" si="138"/>
        <v>0</v>
      </c>
      <c r="AX209" s="127">
        <f t="shared" si="138"/>
        <v>0</v>
      </c>
      <c r="AY209" s="127">
        <f t="shared" si="138"/>
        <v>0</v>
      </c>
      <c r="AZ209" s="127">
        <f t="shared" si="138"/>
        <v>0</v>
      </c>
      <c r="BA209" s="127">
        <f t="shared" si="138"/>
        <v>0</v>
      </c>
      <c r="BB209" s="127">
        <f t="shared" si="138"/>
        <v>0</v>
      </c>
      <c r="BC209" s="169"/>
      <c r="BD209" s="169"/>
      <c r="BE209" s="169"/>
      <c r="BF209" s="169"/>
    </row>
    <row r="210" spans="1:58" ht="126" outlineLevel="2" x14ac:dyDescent="0.25">
      <c r="A210" s="115"/>
      <c r="B210" s="200"/>
      <c r="C210" s="201"/>
      <c r="D210" s="202"/>
      <c r="E210" s="226"/>
      <c r="F210" s="295"/>
      <c r="G210" s="296"/>
      <c r="H210" s="199" t="s">
        <v>508</v>
      </c>
      <c r="I210" s="130"/>
      <c r="J210" s="126"/>
      <c r="K210" s="126"/>
      <c r="L210" s="125" t="str">
        <f>IF(I210&lt;&gt;0,((VLOOKUP(I210,'1. Standard_Cost'!$B$4:$D$11,2)+VLOOKUP(I210,'1. Standard_Cost'!$B$4:$D$11,3))*J210*K210),"0")</f>
        <v>0</v>
      </c>
      <c r="M210" s="125">
        <f>L210*'1. Standard_Cost'!$F$4</f>
        <v>0</v>
      </c>
      <c r="N210" s="126"/>
      <c r="O210" s="126"/>
      <c r="P210" s="126"/>
      <c r="Q210" s="126"/>
      <c r="R210" s="127">
        <f>'1. Standard_Cost'!$B$15*N210*P210</f>
        <v>0</v>
      </c>
      <c r="S210" s="127">
        <f>N210*O210*P210*'1. Standard_Cost'!$C$15</f>
        <v>0</v>
      </c>
      <c r="T210" s="127">
        <f>N210*P210*Q210*'1. Standard_Cost'!$D$15</f>
        <v>0</v>
      </c>
      <c r="U210" s="127">
        <f>N210*O210*'1. Standard_Cost'!$E$15</f>
        <v>0</v>
      </c>
      <c r="V210" s="126"/>
      <c r="W210" s="126"/>
      <c r="X210" s="126"/>
      <c r="Y210" s="127">
        <f>+V210*((X210*'1. Standard_Cost'!$B$19)+(W210*X210*'1. Standard_Cost'!$C$19))</f>
        <v>0</v>
      </c>
      <c r="Z210" s="126"/>
      <c r="AA210" s="126"/>
      <c r="AB210" s="127">
        <f>+Z210*'1. Standard_Cost'!$B$23+AA210*'1. Standard_Cost'!$C$23</f>
        <v>0</v>
      </c>
      <c r="AC210" s="128"/>
      <c r="AD210" s="129"/>
      <c r="AE210" s="127">
        <f>SUM(AD210,AC210,AB210,Y210,U210,T210,S210,R210)*'1. Standard_Cost'!$B$31</f>
        <v>0</v>
      </c>
      <c r="AF210" s="127">
        <f>SUM(AE210,AD210,AC210,AB210,Y210,U210,T210,S210,R210)</f>
        <v>0</v>
      </c>
      <c r="AG210" s="126"/>
      <c r="AH210" s="126"/>
      <c r="AI210" s="126"/>
      <c r="AJ210" s="130"/>
      <c r="AK210" s="130"/>
      <c r="AL210" s="130"/>
      <c r="AM210" s="127">
        <f>AG210*'1. Standard_Cost'!$B$27+'Incremental_Cost Year 6'!AH210*'1. Standard_Cost'!$C$27+'Incremental_Cost Year 6'!AI210*'1. Standard_Cost'!$D$27+'Incremental_Cost Year 6'!AJ210+'Incremental_Cost Year 6'!AL210+AK210</f>
        <v>0</v>
      </c>
      <c r="AN210" s="127">
        <f>AM210*'1. Standard_Cost'!$C$31</f>
        <v>0</v>
      </c>
      <c r="AO210" s="130"/>
      <c r="AQ210" s="171">
        <f>L210+M210</f>
        <v>0</v>
      </c>
      <c r="AR210" s="171">
        <f>AF210</f>
        <v>0</v>
      </c>
      <c r="AS210" s="171">
        <f>AM210+AN210</f>
        <v>0</v>
      </c>
      <c r="AT210" s="171">
        <f>SUM(AQ210,AR210,AS210)</f>
        <v>0</v>
      </c>
      <c r="AU210" s="250">
        <f>AQ210</f>
        <v>0</v>
      </c>
      <c r="AV210" s="250"/>
      <c r="AW210" s="250"/>
      <c r="AX210" s="250"/>
      <c r="AY210" s="250"/>
      <c r="AZ210" s="250"/>
      <c r="BA210" s="250"/>
      <c r="BB210" s="251">
        <f t="shared" ref="BB210:BB211" si="139">SUM(AU210:BA210)-AT210</f>
        <v>0</v>
      </c>
      <c r="BC210" s="169"/>
      <c r="BD210" s="169"/>
      <c r="BE210" s="169"/>
      <c r="BF210" s="169"/>
    </row>
    <row r="211" spans="1:58" ht="126" outlineLevel="2" x14ac:dyDescent="0.25">
      <c r="A211" s="115"/>
      <c r="B211" s="200"/>
      <c r="C211" s="201"/>
      <c r="D211" s="202"/>
      <c r="E211" s="310"/>
      <c r="F211" s="122"/>
      <c r="G211" s="123"/>
      <c r="H211" s="199" t="s">
        <v>509</v>
      </c>
      <c r="I211" s="130"/>
      <c r="J211" s="126"/>
      <c r="K211" s="126"/>
      <c r="L211" s="125" t="str">
        <f>IF(I211&lt;&gt;0,((VLOOKUP(I211,'1. Standard_Cost'!$B$4:$D$11,2)+VLOOKUP(I211,'1. Standard_Cost'!$B$4:$D$11,3))*J211*K211),"0")</f>
        <v>0</v>
      </c>
      <c r="M211" s="125">
        <f>L211*'1. Standard_Cost'!$F$4</f>
        <v>0</v>
      </c>
      <c r="N211" s="126"/>
      <c r="O211" s="126"/>
      <c r="P211" s="126"/>
      <c r="Q211" s="126"/>
      <c r="R211" s="127">
        <f>'1. Standard_Cost'!$B$15*N211*P211</f>
        <v>0</v>
      </c>
      <c r="S211" s="127">
        <f>N211*O211*P211*'1. Standard_Cost'!$C$15</f>
        <v>0</v>
      </c>
      <c r="T211" s="127">
        <f>N211*P211*Q211*'1. Standard_Cost'!$D$15</f>
        <v>0</v>
      </c>
      <c r="U211" s="127">
        <f>N211*O211*'1. Standard_Cost'!$E$15</f>
        <v>0</v>
      </c>
      <c r="V211" s="126"/>
      <c r="W211" s="126"/>
      <c r="X211" s="126"/>
      <c r="Y211" s="127">
        <f>+V211*((X211*'1. Standard_Cost'!$B$19)+(W211*X211*'1. Standard_Cost'!$C$19))</f>
        <v>0</v>
      </c>
      <c r="Z211" s="126"/>
      <c r="AA211" s="126"/>
      <c r="AB211" s="127">
        <f>+Z211*'1. Standard_Cost'!$B$23+AA211*'1. Standard_Cost'!$C$23</f>
        <v>0</v>
      </c>
      <c r="AC211" s="128"/>
      <c r="AD211" s="129"/>
      <c r="AE211" s="127">
        <f>SUM(AD211,AC211,AB211,Y211,U211,T211,S211,R211)*'1. Standard_Cost'!$B$31</f>
        <v>0</v>
      </c>
      <c r="AF211" s="127">
        <f>SUM(AE211,AD211,AC211,AB211,Y211,U211,T211,S211,R211)</f>
        <v>0</v>
      </c>
      <c r="AG211" s="126"/>
      <c r="AH211" s="126"/>
      <c r="AI211" s="126"/>
      <c r="AJ211" s="130"/>
      <c r="AK211" s="130"/>
      <c r="AL211" s="130"/>
      <c r="AM211" s="127">
        <f>AG211*'1. Standard_Cost'!$B$27+'Incremental_Cost Year 6'!AH211*'1. Standard_Cost'!$C$27+'Incremental_Cost Year 6'!AI211*'1. Standard_Cost'!$D$27+'Incremental_Cost Year 6'!AJ211+'Incremental_Cost Year 6'!AL211+AK211</f>
        <v>0</v>
      </c>
      <c r="AN211" s="127">
        <f>AM211*'1. Standard_Cost'!$C$31</f>
        <v>0</v>
      </c>
      <c r="AO211" s="130"/>
      <c r="AQ211" s="171">
        <f>L211+M211</f>
        <v>0</v>
      </c>
      <c r="AR211" s="171">
        <f>AF211</f>
        <v>0</v>
      </c>
      <c r="AS211" s="171">
        <f>AM211+AN211</f>
        <v>0</v>
      </c>
      <c r="AT211" s="171">
        <f>SUM(AQ211,AR211,AS211)</f>
        <v>0</v>
      </c>
      <c r="AU211" s="250">
        <f>AQ211</f>
        <v>0</v>
      </c>
      <c r="AV211" s="250"/>
      <c r="AW211" s="250"/>
      <c r="AX211" s="250"/>
      <c r="AY211" s="250"/>
      <c r="AZ211" s="250"/>
      <c r="BA211" s="250"/>
      <c r="BB211" s="251">
        <f t="shared" si="139"/>
        <v>0</v>
      </c>
      <c r="BC211" s="169"/>
      <c r="BD211" s="169"/>
      <c r="BE211" s="169"/>
      <c r="BF211" s="169"/>
    </row>
    <row r="212" spans="1:58" ht="47.25" outlineLevel="1" x14ac:dyDescent="0.25">
      <c r="A212" s="115"/>
      <c r="B212" s="165"/>
      <c r="C212" s="166"/>
      <c r="D212" s="107" t="s">
        <v>233</v>
      </c>
      <c r="E212" s="212" t="s">
        <v>248</v>
      </c>
      <c r="F212" s="136">
        <v>2022</v>
      </c>
      <c r="G212" s="117">
        <v>2025</v>
      </c>
      <c r="H212" s="110" t="s">
        <v>188</v>
      </c>
      <c r="I212" s="252"/>
      <c r="J212" s="252"/>
      <c r="K212" s="252"/>
      <c r="L212" s="127">
        <f>SUM(L210:L211)</f>
        <v>0</v>
      </c>
      <c r="M212" s="127">
        <f>SUM(M210:M211)</f>
        <v>0</v>
      </c>
      <c r="N212" s="252"/>
      <c r="O212" s="252"/>
      <c r="P212" s="252"/>
      <c r="Q212" s="252"/>
      <c r="R212" s="127">
        <f>SUM(R210:R211)</f>
        <v>0</v>
      </c>
      <c r="S212" s="127">
        <f>SUM(S210:S211)</f>
        <v>0</v>
      </c>
      <c r="T212" s="127">
        <f>SUM(T210:T211)</f>
        <v>0</v>
      </c>
      <c r="U212" s="127">
        <f>SUM(U210:U211)</f>
        <v>0</v>
      </c>
      <c r="V212" s="252"/>
      <c r="W212" s="252"/>
      <c r="X212" s="252"/>
      <c r="Y212" s="127">
        <f>SUM(Y210:Y211)</f>
        <v>0</v>
      </c>
      <c r="Z212" s="252"/>
      <c r="AA212" s="252"/>
      <c r="AB212" s="127">
        <f>SUM(AB210:AB211)</f>
        <v>0</v>
      </c>
      <c r="AC212" s="127">
        <f>SUM(AC210:AC211)</f>
        <v>0</v>
      </c>
      <c r="AD212" s="127">
        <f>SUM(AD210:AD211)</f>
        <v>0</v>
      </c>
      <c r="AE212" s="127">
        <f>SUM(AE210:AE211)</f>
        <v>0</v>
      </c>
      <c r="AF212" s="127">
        <f>SUM(AF210:AF211)</f>
        <v>0</v>
      </c>
      <c r="AG212" s="252"/>
      <c r="AH212" s="252"/>
      <c r="AI212" s="252"/>
      <c r="AJ212" s="127">
        <f>SUM(AJ210:AJ211)</f>
        <v>0</v>
      </c>
      <c r="AK212" s="127">
        <f>SUM(AK210:AK211)</f>
        <v>0</v>
      </c>
      <c r="AL212" s="127">
        <f>SUM(AL210:AL211)</f>
        <v>0</v>
      </c>
      <c r="AM212" s="127">
        <f>SUM(AM210:AM211)</f>
        <v>0</v>
      </c>
      <c r="AN212" s="127">
        <f>SUM(AN210:AN211)</f>
        <v>0</v>
      </c>
      <c r="AO212" s="253"/>
      <c r="AP212" s="254"/>
      <c r="AQ212" s="175">
        <f>SUM(AQ210:AQ211)</f>
        <v>0</v>
      </c>
      <c r="AR212" s="175">
        <f>SUM(AR210:AR211)</f>
        <v>0</v>
      </c>
      <c r="AS212" s="175">
        <f>SUM(AS210:AS211)</f>
        <v>0</v>
      </c>
      <c r="AT212" s="175">
        <f>SUM(AT210:AT211)</f>
        <v>0</v>
      </c>
      <c r="AU212" s="175">
        <f t="shared" ref="AU212:BB212" si="140">SUM(AU210:AU211)</f>
        <v>0</v>
      </c>
      <c r="AV212" s="175">
        <f t="shared" si="140"/>
        <v>0</v>
      </c>
      <c r="AW212" s="175">
        <f t="shared" si="140"/>
        <v>0</v>
      </c>
      <c r="AX212" s="175">
        <f t="shared" si="140"/>
        <v>0</v>
      </c>
      <c r="AY212" s="175">
        <f t="shared" si="140"/>
        <v>0</v>
      </c>
      <c r="AZ212" s="175">
        <f t="shared" si="140"/>
        <v>0</v>
      </c>
      <c r="BA212" s="175">
        <f t="shared" si="140"/>
        <v>0</v>
      </c>
      <c r="BB212" s="175">
        <f t="shared" si="140"/>
        <v>0</v>
      </c>
      <c r="BC212" s="169"/>
      <c r="BD212" s="169"/>
      <c r="BE212" s="169"/>
      <c r="BF212" s="169"/>
    </row>
    <row r="213" spans="1:58" s="184" customFormat="1" ht="15.75" customHeight="1" x14ac:dyDescent="0.25">
      <c r="A213" s="143"/>
      <c r="B213" s="332"/>
      <c r="C213" s="397" t="s">
        <v>249</v>
      </c>
      <c r="D213" s="397"/>
      <c r="E213" s="398"/>
      <c r="F213" s="291"/>
      <c r="G213" s="340"/>
      <c r="H213" s="144" t="s">
        <v>299</v>
      </c>
      <c r="I213" s="257"/>
      <c r="J213" s="257"/>
      <c r="K213" s="257"/>
      <c r="L213" s="258">
        <f>SUM(L220)</f>
        <v>842465228.57142854</v>
      </c>
      <c r="M213" s="258">
        <f>SUM(M220)</f>
        <v>140691693.17142856</v>
      </c>
      <c r="N213" s="257"/>
      <c r="O213" s="257"/>
      <c r="P213" s="257"/>
      <c r="Q213" s="257"/>
      <c r="R213" s="258">
        <f>SUM(R220)</f>
        <v>0</v>
      </c>
      <c r="S213" s="258">
        <f>SUM(S220)</f>
        <v>0</v>
      </c>
      <c r="T213" s="258">
        <f>SUM(T220)</f>
        <v>0</v>
      </c>
      <c r="U213" s="258">
        <f>SUM(U220)</f>
        <v>0</v>
      </c>
      <c r="V213" s="257"/>
      <c r="W213" s="257"/>
      <c r="X213" s="257"/>
      <c r="Y213" s="258">
        <f>SUM(Y220)</f>
        <v>0</v>
      </c>
      <c r="Z213" s="258"/>
      <c r="AA213" s="258"/>
      <c r="AB213" s="258">
        <f>SUM(AB220)</f>
        <v>0</v>
      </c>
      <c r="AC213" s="258">
        <f>SUM(AC220)</f>
        <v>1442163000</v>
      </c>
      <c r="AD213" s="258">
        <f>SUM(AD220)</f>
        <v>0</v>
      </c>
      <c r="AE213" s="258">
        <f>SUM(AE220)</f>
        <v>0</v>
      </c>
      <c r="AF213" s="258">
        <f>SUM(AF220)</f>
        <v>1442163000</v>
      </c>
      <c r="AG213" s="257"/>
      <c r="AH213" s="257"/>
      <c r="AI213" s="257"/>
      <c r="AJ213" s="258">
        <f>SUM(AJ220)</f>
        <v>0</v>
      </c>
      <c r="AK213" s="258">
        <f>SUM(AK220)</f>
        <v>0</v>
      </c>
      <c r="AL213" s="258">
        <f>SUM(AL220)</f>
        <v>0</v>
      </c>
      <c r="AM213" s="258">
        <f>SUM(AM220)</f>
        <v>0</v>
      </c>
      <c r="AN213" s="258">
        <f>SUM(AN220)</f>
        <v>0</v>
      </c>
      <c r="AO213" s="259"/>
      <c r="AP213" s="260"/>
      <c r="AQ213" s="261">
        <f>SUM(AQ220)</f>
        <v>983156921.7428571</v>
      </c>
      <c r="AR213" s="261">
        <f>SUM(AR220)</f>
        <v>1442163000</v>
      </c>
      <c r="AS213" s="261">
        <f>SUM(AS220)</f>
        <v>0</v>
      </c>
      <c r="AT213" s="261">
        <f>SUM(AT220)</f>
        <v>2425319921.7428575</v>
      </c>
      <c r="AU213" s="261">
        <f t="shared" ref="AU213:BB213" si="141">SUM(AU220)</f>
        <v>2425319921.7428575</v>
      </c>
      <c r="AV213" s="261">
        <f t="shared" si="141"/>
        <v>0</v>
      </c>
      <c r="AW213" s="261">
        <f t="shared" si="141"/>
        <v>0</v>
      </c>
      <c r="AX213" s="261">
        <f t="shared" si="141"/>
        <v>0</v>
      </c>
      <c r="AY213" s="261">
        <f t="shared" si="141"/>
        <v>0</v>
      </c>
      <c r="AZ213" s="261">
        <f t="shared" si="141"/>
        <v>0</v>
      </c>
      <c r="BA213" s="261">
        <f t="shared" si="141"/>
        <v>0</v>
      </c>
      <c r="BB213" s="261">
        <f t="shared" si="141"/>
        <v>0</v>
      </c>
    </row>
    <row r="214" spans="1:58" ht="31.5" outlineLevel="2" x14ac:dyDescent="0.25">
      <c r="A214" s="115"/>
      <c r="B214" s="200"/>
      <c r="C214" s="201"/>
      <c r="D214" s="210"/>
      <c r="E214" s="328"/>
      <c r="F214" s="328"/>
      <c r="G214" s="328"/>
      <c r="H214" s="199" t="s">
        <v>510</v>
      </c>
      <c r="I214" s="130"/>
      <c r="J214" s="126"/>
      <c r="K214" s="126"/>
      <c r="L214" s="125" t="str">
        <f>IF(I214&lt;&gt;0,((VLOOKUP(I214,'1. Standard_Cost'!$B$4:$D$11,2)+VLOOKUP(I214,'1. Standard_Cost'!$B$4:$D$11,3))*J214*K214),"0")</f>
        <v>0</v>
      </c>
      <c r="M214" s="125">
        <f>L214*'1. Standard_Cost'!$F$4</f>
        <v>0</v>
      </c>
      <c r="N214" s="126"/>
      <c r="O214" s="126"/>
      <c r="P214" s="126"/>
      <c r="Q214" s="126"/>
      <c r="R214" s="127">
        <f>'1. Standard_Cost'!$B$15*N214*P214</f>
        <v>0</v>
      </c>
      <c r="S214" s="127">
        <f>N214*O214*P214*'1. Standard_Cost'!$C$15</f>
        <v>0</v>
      </c>
      <c r="T214" s="127">
        <f>N214*P214*Q214*'1. Standard_Cost'!$D$15</f>
        <v>0</v>
      </c>
      <c r="U214" s="127">
        <f>N214*O214*'1. Standard_Cost'!$E$15</f>
        <v>0</v>
      </c>
      <c r="V214" s="126"/>
      <c r="W214" s="126"/>
      <c r="X214" s="126"/>
      <c r="Y214" s="127">
        <f>+V214*((X214*'1. Standard_Cost'!$B$19)+(W214*X214*'1. Standard_Cost'!$C$19))</f>
        <v>0</v>
      </c>
      <c r="Z214" s="126"/>
      <c r="AA214" s="126"/>
      <c r="AB214" s="127">
        <f>+Z214*'1. Standard_Cost'!$B$23+AA214*'1. Standard_Cost'!$C$23</f>
        <v>0</v>
      </c>
      <c r="AC214" s="128"/>
      <c r="AD214" s="129"/>
      <c r="AE214" s="127">
        <f>SUM(AD214,AC214,AB214,Y214,U214,T214,S214,R214)*'1. Standard_Cost'!$B$31</f>
        <v>0</v>
      </c>
      <c r="AF214" s="127">
        <f t="shared" ref="AF214:AF219" si="142">SUM(AE214,AD214,AC214,AB214,Y214,U214,T214,S214,R214)</f>
        <v>0</v>
      </c>
      <c r="AG214" s="126"/>
      <c r="AH214" s="126"/>
      <c r="AI214" s="126"/>
      <c r="AJ214" s="130"/>
      <c r="AK214" s="130"/>
      <c r="AL214" s="130"/>
      <c r="AM214" s="127">
        <f>AG214*'1. Standard_Cost'!$B$27+'Incremental_Cost Year 6'!AH214*'1. Standard_Cost'!$C$27+'Incremental_Cost Year 6'!AI214*'1. Standard_Cost'!$D$27+'Incremental_Cost Year 6'!AJ214+'Incremental_Cost Year 6'!AL214+AK214</f>
        <v>0</v>
      </c>
      <c r="AN214" s="127">
        <f>AM214*'1. Standard_Cost'!$C$31</f>
        <v>0</v>
      </c>
      <c r="AO214" s="130"/>
      <c r="AQ214" s="171">
        <f t="shared" ref="AQ214:AQ219" si="143">L214+M214</f>
        <v>0</v>
      </c>
      <c r="AR214" s="171">
        <f t="shared" ref="AR214:AR219" si="144">AF214</f>
        <v>0</v>
      </c>
      <c r="AS214" s="171">
        <f t="shared" ref="AS214:AS219" si="145">AM214+AN214</f>
        <v>0</v>
      </c>
      <c r="AT214" s="171">
        <f t="shared" ref="AT214:AT219" si="146">SUM(AQ214,AR214,AS214)</f>
        <v>0</v>
      </c>
      <c r="AU214" s="250"/>
      <c r="AV214" s="250"/>
      <c r="AW214" s="250"/>
      <c r="AX214" s="250"/>
      <c r="AY214" s="250"/>
      <c r="AZ214" s="250"/>
      <c r="BA214" s="250"/>
      <c r="BB214" s="251">
        <f t="shared" ref="BB214:BB219" si="147">SUM(AU214:BA214)-AT214</f>
        <v>0</v>
      </c>
      <c r="BC214" s="169"/>
      <c r="BD214" s="169"/>
      <c r="BE214" s="169"/>
      <c r="BF214" s="169"/>
    </row>
    <row r="215" spans="1:58" ht="47.25" outlineLevel="2" x14ac:dyDescent="0.25">
      <c r="A215" s="115"/>
      <c r="B215" s="200"/>
      <c r="C215" s="201"/>
      <c r="D215" s="203"/>
      <c r="E215" s="328"/>
      <c r="F215" s="328"/>
      <c r="G215" s="328"/>
      <c r="H215" s="199" t="s">
        <v>511</v>
      </c>
      <c r="I215" s="130"/>
      <c r="J215" s="126"/>
      <c r="K215" s="126"/>
      <c r="L215" s="125" t="str">
        <f>IF(I215&lt;&gt;0,((VLOOKUP(I215,'1. Standard_Cost'!$B$4:$D$11,2)+VLOOKUP(I215,'1. Standard_Cost'!$B$4:$D$11,3))*J215*K215),"0")</f>
        <v>0</v>
      </c>
      <c r="M215" s="125">
        <f>L215*'1. Standard_Cost'!$F$4</f>
        <v>0</v>
      </c>
      <c r="N215" s="126"/>
      <c r="O215" s="126"/>
      <c r="P215" s="126"/>
      <c r="Q215" s="126"/>
      <c r="R215" s="127">
        <f>'1. Standard_Cost'!$B$15*N215*P215</f>
        <v>0</v>
      </c>
      <c r="S215" s="127">
        <f>N215*O215*P215*'1. Standard_Cost'!$C$15</f>
        <v>0</v>
      </c>
      <c r="T215" s="127">
        <f>N215*P215*Q215*'1. Standard_Cost'!$D$15</f>
        <v>0</v>
      </c>
      <c r="U215" s="127">
        <f>N215*O215*'1. Standard_Cost'!$E$15</f>
        <v>0</v>
      </c>
      <c r="V215" s="126"/>
      <c r="W215" s="126"/>
      <c r="X215" s="126"/>
      <c r="Y215" s="127">
        <f>+V215*((X215*'1. Standard_Cost'!$B$19)+(W215*X215*'1. Standard_Cost'!$C$19))</f>
        <v>0</v>
      </c>
      <c r="Z215" s="126"/>
      <c r="AA215" s="126"/>
      <c r="AB215" s="127">
        <f>+Z215*'1. Standard_Cost'!$B$23+AA215*'1. Standard_Cost'!$C$23</f>
        <v>0</v>
      </c>
      <c r="AC215" s="128"/>
      <c r="AD215" s="129"/>
      <c r="AE215" s="127">
        <f>SUM(AD215,AC215,AB215,Y215,U215,T215,S215,R215)*'1. Standard_Cost'!$B$31</f>
        <v>0</v>
      </c>
      <c r="AF215" s="127">
        <f t="shared" si="142"/>
        <v>0</v>
      </c>
      <c r="AG215" s="126"/>
      <c r="AH215" s="126"/>
      <c r="AI215" s="126"/>
      <c r="AJ215" s="130"/>
      <c r="AK215" s="130"/>
      <c r="AL215" s="130"/>
      <c r="AM215" s="127">
        <f>AG215*'1. Standard_Cost'!$B$27+'Incremental_Cost Year 6'!AH215*'1. Standard_Cost'!$C$27+'Incremental_Cost Year 6'!AI215*'1. Standard_Cost'!$D$27+'Incremental_Cost Year 6'!AJ215+'Incremental_Cost Year 6'!AL215+AK215</f>
        <v>0</v>
      </c>
      <c r="AN215" s="127">
        <f>AM215*'1. Standard_Cost'!$C$31</f>
        <v>0</v>
      </c>
      <c r="AO215" s="130"/>
      <c r="AQ215" s="171">
        <f t="shared" si="143"/>
        <v>0</v>
      </c>
      <c r="AR215" s="171">
        <f t="shared" si="144"/>
        <v>0</v>
      </c>
      <c r="AS215" s="171">
        <f t="shared" si="145"/>
        <v>0</v>
      </c>
      <c r="AT215" s="171">
        <f t="shared" si="146"/>
        <v>0</v>
      </c>
      <c r="AU215" s="250">
        <f>AT215</f>
        <v>0</v>
      </c>
      <c r="AV215" s="250"/>
      <c r="AW215" s="250"/>
      <c r="AX215" s="250"/>
      <c r="AY215" s="250"/>
      <c r="AZ215" s="250"/>
      <c r="BA215" s="250"/>
      <c r="BB215" s="251">
        <f t="shared" si="147"/>
        <v>0</v>
      </c>
      <c r="BC215" s="169"/>
      <c r="BD215" s="169"/>
      <c r="BE215" s="169"/>
      <c r="BF215" s="169"/>
    </row>
    <row r="216" spans="1:58" ht="78.75" outlineLevel="2" x14ac:dyDescent="0.25">
      <c r="A216" s="115"/>
      <c r="B216" s="200"/>
      <c r="C216" s="201"/>
      <c r="D216" s="203"/>
      <c r="E216" s="328"/>
      <c r="F216" s="328"/>
      <c r="G216" s="328"/>
      <c r="H216" s="199" t="s">
        <v>512</v>
      </c>
      <c r="I216" s="130"/>
      <c r="J216" s="126"/>
      <c r="K216" s="126"/>
      <c r="L216" s="125" t="str">
        <f>IF(I216&lt;&gt;0,((VLOOKUP(I216,'1. Standard_Cost'!$B$4:$D$11,2)+VLOOKUP(I216,'1. Standard_Cost'!$B$4:$D$11,3))*J216*K216),"0")</f>
        <v>0</v>
      </c>
      <c r="M216" s="125">
        <f>L216*'1. Standard_Cost'!$F$4</f>
        <v>0</v>
      </c>
      <c r="N216" s="126"/>
      <c r="O216" s="126"/>
      <c r="P216" s="126"/>
      <c r="Q216" s="126"/>
      <c r="R216" s="127">
        <f>'1. Standard_Cost'!$B$15*N216*P216</f>
        <v>0</v>
      </c>
      <c r="S216" s="127">
        <f>N216*O216*P216*'1. Standard_Cost'!$C$15</f>
        <v>0</v>
      </c>
      <c r="T216" s="127">
        <f>N216*P216*Q216*'1. Standard_Cost'!$D$15</f>
        <v>0</v>
      </c>
      <c r="U216" s="127">
        <f>N216*O216*'1. Standard_Cost'!$E$15</f>
        <v>0</v>
      </c>
      <c r="V216" s="126"/>
      <c r="W216" s="126"/>
      <c r="X216" s="126"/>
      <c r="Y216" s="127">
        <f>+V216*((X216*'1. Standard_Cost'!$B$19)+(W216*X216*'1. Standard_Cost'!$C$19))</f>
        <v>0</v>
      </c>
      <c r="Z216" s="126"/>
      <c r="AA216" s="126"/>
      <c r="AB216" s="127">
        <f>+Z216*'1. Standard_Cost'!$B$23+AA216*'1. Standard_Cost'!$C$23</f>
        <v>0</v>
      </c>
      <c r="AC216" s="128"/>
      <c r="AD216" s="129"/>
      <c r="AE216" s="127">
        <f>SUM(AD216,AC216,AB216,Y216,U216,T216,S216,R216)*'1. Standard_Cost'!$B$31</f>
        <v>0</v>
      </c>
      <c r="AF216" s="127">
        <f t="shared" si="142"/>
        <v>0</v>
      </c>
      <c r="AG216" s="126"/>
      <c r="AH216" s="126"/>
      <c r="AI216" s="126"/>
      <c r="AJ216" s="130"/>
      <c r="AK216" s="130"/>
      <c r="AL216" s="130"/>
      <c r="AM216" s="127">
        <f>AG216*'1. Standard_Cost'!$B$27+'Incremental_Cost Year 6'!AH216*'1. Standard_Cost'!$C$27+'Incremental_Cost Year 6'!AI216*'1. Standard_Cost'!$D$27+'Incremental_Cost Year 6'!AJ216+'Incremental_Cost Year 6'!AL216+AK216</f>
        <v>0</v>
      </c>
      <c r="AN216" s="127">
        <f>AM216*'1. Standard_Cost'!$C$31</f>
        <v>0</v>
      </c>
      <c r="AO216" s="130"/>
      <c r="AQ216" s="171">
        <f t="shared" si="143"/>
        <v>0</v>
      </c>
      <c r="AR216" s="171">
        <f t="shared" si="144"/>
        <v>0</v>
      </c>
      <c r="AS216" s="171">
        <f t="shared" si="145"/>
        <v>0</v>
      </c>
      <c r="AT216" s="171">
        <f t="shared" si="146"/>
        <v>0</v>
      </c>
      <c r="AU216" s="250"/>
      <c r="AV216" s="250"/>
      <c r="AW216" s="250"/>
      <c r="AX216" s="250"/>
      <c r="AY216" s="250"/>
      <c r="AZ216" s="250"/>
      <c r="BA216" s="250"/>
      <c r="BB216" s="251">
        <f t="shared" si="147"/>
        <v>0</v>
      </c>
      <c r="BC216" s="169"/>
      <c r="BD216" s="169"/>
      <c r="BE216" s="169"/>
      <c r="BF216" s="169"/>
    </row>
    <row r="217" spans="1:58" ht="47.25" outlineLevel="2" x14ac:dyDescent="0.25">
      <c r="A217" s="115"/>
      <c r="B217" s="200"/>
      <c r="C217" s="201"/>
      <c r="D217" s="203"/>
      <c r="E217" s="328"/>
      <c r="F217" s="328"/>
      <c r="G217" s="328"/>
      <c r="H217" s="213" t="s">
        <v>250</v>
      </c>
      <c r="I217" s="130" t="s">
        <v>1</v>
      </c>
      <c r="J217" s="126">
        <v>12</v>
      </c>
      <c r="K217" s="126">
        <v>824</v>
      </c>
      <c r="L217" s="125">
        <f>IF(I217&lt;&gt;0,((VLOOKUP(I217,'1. Standard_Cost'!$B$4:$D$11,2)+VLOOKUP(I217,'1. Standard_Cost'!$B$4:$D$11,3))*J217*K217),"0")</f>
        <v>709887771.42857134</v>
      </c>
      <c r="M217" s="125">
        <f>L217*'1. Standard_Cost'!$F$4</f>
        <v>118551257.82857142</v>
      </c>
      <c r="N217" s="126"/>
      <c r="O217" s="126"/>
      <c r="P217" s="126"/>
      <c r="Q217" s="126"/>
      <c r="R217" s="127">
        <f>'1. Standard_Cost'!$B$15*N217*P217</f>
        <v>0</v>
      </c>
      <c r="S217" s="127">
        <f>N217*O217*P217*'1. Standard_Cost'!$C$15</f>
        <v>0</v>
      </c>
      <c r="T217" s="127">
        <f>N217*P217*Q217*'1. Standard_Cost'!$D$15</f>
        <v>0</v>
      </c>
      <c r="U217" s="127">
        <f>N217*O217*'1. Standard_Cost'!$E$15</f>
        <v>0</v>
      </c>
      <c r="V217" s="126"/>
      <c r="W217" s="126"/>
      <c r="X217" s="126"/>
      <c r="Y217" s="127">
        <f>+V217*((X217*'1. Standard_Cost'!$B$19)+(W217*X217*'1. Standard_Cost'!$C$19))</f>
        <v>0</v>
      </c>
      <c r="Z217" s="126"/>
      <c r="AA217" s="126"/>
      <c r="AB217" s="127">
        <f>+Z217*'1. Standard_Cost'!$B$23+AA217*'1. Standard_Cost'!$C$23</f>
        <v>0</v>
      </c>
      <c r="AC217" s="128">
        <f>230000000+250000000*2</f>
        <v>730000000</v>
      </c>
      <c r="AD217" s="129"/>
      <c r="AE217" s="127"/>
      <c r="AF217" s="127">
        <f t="shared" si="142"/>
        <v>730000000</v>
      </c>
      <c r="AG217" s="126"/>
      <c r="AH217" s="126"/>
      <c r="AI217" s="126"/>
      <c r="AJ217" s="130"/>
      <c r="AK217" s="130"/>
      <c r="AL217" s="130"/>
      <c r="AM217" s="127">
        <f>AG217*'1. Standard_Cost'!$B$27+'Incremental_Cost Year 6'!AH217*'1. Standard_Cost'!$C$27+'Incremental_Cost Year 6'!AI217*'1. Standard_Cost'!$D$27+'Incremental_Cost Year 6'!AJ217+'Incremental_Cost Year 6'!AL217+AK217</f>
        <v>0</v>
      </c>
      <c r="AN217" s="127">
        <f>AM217*'1. Standard_Cost'!$C$31</f>
        <v>0</v>
      </c>
      <c r="AO217" s="130"/>
      <c r="AQ217" s="171">
        <f t="shared" si="143"/>
        <v>828439029.25714278</v>
      </c>
      <c r="AR217" s="171">
        <f t="shared" si="144"/>
        <v>730000000</v>
      </c>
      <c r="AS217" s="171">
        <f t="shared" si="145"/>
        <v>0</v>
      </c>
      <c r="AT217" s="171">
        <f t="shared" si="146"/>
        <v>1558439029.2571428</v>
      </c>
      <c r="AU217" s="250">
        <f>AT217</f>
        <v>1558439029.2571428</v>
      </c>
      <c r="AV217" s="250"/>
      <c r="AW217" s="250"/>
      <c r="AX217" s="250"/>
      <c r="AY217" s="250"/>
      <c r="AZ217" s="250"/>
      <c r="BA217" s="250"/>
      <c r="BB217" s="251">
        <f t="shared" si="147"/>
        <v>0</v>
      </c>
      <c r="BC217" s="169"/>
      <c r="BD217" s="169"/>
      <c r="BE217" s="169"/>
      <c r="BF217" s="169"/>
    </row>
    <row r="218" spans="1:58" ht="47.25" outlineLevel="2" x14ac:dyDescent="0.25">
      <c r="A218" s="115"/>
      <c r="B218" s="200"/>
      <c r="C218" s="201"/>
      <c r="D218" s="203"/>
      <c r="E218" s="328"/>
      <c r="F218" s="328"/>
      <c r="G218" s="328"/>
      <c r="H218" s="213" t="s">
        <v>513</v>
      </c>
      <c r="I218" s="130" t="s">
        <v>1</v>
      </c>
      <c r="J218" s="126">
        <v>12</v>
      </c>
      <c r="K218" s="126">
        <v>123</v>
      </c>
      <c r="L218" s="125">
        <f>IF(I218&lt;&gt;0,((VLOOKUP(I218,'1. Standard_Cost'!$B$4:$D$11,2)+VLOOKUP(I218,'1. Standard_Cost'!$B$4:$D$11,3))*J218*K218),"0")</f>
        <v>105966257.14285713</v>
      </c>
      <c r="M218" s="125">
        <f>L218*'1. Standard_Cost'!$F$4</f>
        <v>17696364.942857143</v>
      </c>
      <c r="N218" s="126"/>
      <c r="O218" s="126"/>
      <c r="P218" s="126"/>
      <c r="Q218" s="126"/>
      <c r="R218" s="127">
        <f>'1. Standard_Cost'!$B$15*N218*P218</f>
        <v>0</v>
      </c>
      <c r="S218" s="127">
        <f>N218*O218*P218*'1. Standard_Cost'!$C$15</f>
        <v>0</v>
      </c>
      <c r="T218" s="127">
        <f>N218*P218*Q218*'1. Standard_Cost'!$D$15</f>
        <v>0</v>
      </c>
      <c r="U218" s="127">
        <f>N218*O218*'1. Standard_Cost'!$E$15</f>
        <v>0</v>
      </c>
      <c r="V218" s="126"/>
      <c r="W218" s="126"/>
      <c r="X218" s="126"/>
      <c r="Y218" s="127">
        <f>+V218*((X218*'1. Standard_Cost'!$B$19)+(W218*X218*'1. Standard_Cost'!$C$19))</f>
        <v>0</v>
      </c>
      <c r="Z218" s="126"/>
      <c r="AA218" s="126"/>
      <c r="AB218" s="127">
        <f>+Z218*'1. Standard_Cost'!$B$23+AA218*'1. Standard_Cost'!$C$23</f>
        <v>0</v>
      </c>
      <c r="AC218" s="128">
        <f>220000000*3</f>
        <v>660000000</v>
      </c>
      <c r="AD218" s="129"/>
      <c r="AE218" s="127"/>
      <c r="AF218" s="127">
        <f t="shared" si="142"/>
        <v>660000000</v>
      </c>
      <c r="AG218" s="126"/>
      <c r="AH218" s="126"/>
      <c r="AI218" s="126"/>
      <c r="AJ218" s="130"/>
      <c r="AK218" s="130"/>
      <c r="AL218" s="130"/>
      <c r="AM218" s="127">
        <f>AG218*'1. Standard_Cost'!$B$27+'Incremental_Cost Year 6'!AH218*'1. Standard_Cost'!$C$27+'Incremental_Cost Year 6'!AI218*'1. Standard_Cost'!$D$27+'Incremental_Cost Year 6'!AJ218+'Incremental_Cost Year 6'!AL218+AK218</f>
        <v>0</v>
      </c>
      <c r="AN218" s="127">
        <f>AM218*'1. Standard_Cost'!$C$31</f>
        <v>0</v>
      </c>
      <c r="AO218" s="130"/>
      <c r="AQ218" s="171">
        <f t="shared" si="143"/>
        <v>123662622.08571428</v>
      </c>
      <c r="AR218" s="171">
        <f t="shared" si="144"/>
        <v>660000000</v>
      </c>
      <c r="AS218" s="171">
        <f t="shared" si="145"/>
        <v>0</v>
      </c>
      <c r="AT218" s="171">
        <f t="shared" si="146"/>
        <v>783662622.08571434</v>
      </c>
      <c r="AU218" s="250">
        <f>AT218</f>
        <v>783662622.08571434</v>
      </c>
      <c r="AV218" s="250"/>
      <c r="AW218" s="250"/>
      <c r="AX218" s="250"/>
      <c r="AY218" s="250"/>
      <c r="AZ218" s="250"/>
      <c r="BA218" s="250"/>
      <c r="BB218" s="251">
        <f t="shared" si="147"/>
        <v>0</v>
      </c>
      <c r="BC218" s="169"/>
      <c r="BD218" s="169"/>
      <c r="BE218" s="169"/>
      <c r="BF218" s="169"/>
    </row>
    <row r="219" spans="1:58" ht="63" outlineLevel="2" x14ac:dyDescent="0.25">
      <c r="A219" s="115"/>
      <c r="B219" s="200"/>
      <c r="C219" s="201"/>
      <c r="D219" s="203"/>
      <c r="E219" s="328"/>
      <c r="F219" s="328"/>
      <c r="G219" s="328"/>
      <c r="H219" s="199" t="s">
        <v>514</v>
      </c>
      <c r="I219" s="130" t="s">
        <v>3</v>
      </c>
      <c r="J219" s="126">
        <v>3</v>
      </c>
      <c r="K219" s="126">
        <v>88</v>
      </c>
      <c r="L219" s="125">
        <f>IF(I219&lt;&gt;0,((VLOOKUP(I219,'1. Standard_Cost'!$B$4:$D$11,2)+VLOOKUP(I219,'1. Standard_Cost'!$B$4:$D$11,3))*J219*K219),"0")</f>
        <v>26611200</v>
      </c>
      <c r="M219" s="125">
        <f>L219*'1. Standard_Cost'!$F$4</f>
        <v>4444070.4000000004</v>
      </c>
      <c r="N219" s="126"/>
      <c r="O219" s="126"/>
      <c r="P219" s="126"/>
      <c r="Q219" s="126"/>
      <c r="R219" s="127">
        <f>'1. Standard_Cost'!$B$15*N219*P219</f>
        <v>0</v>
      </c>
      <c r="S219" s="127">
        <f>N219*O219*P219*'1. Standard_Cost'!$C$15</f>
        <v>0</v>
      </c>
      <c r="T219" s="127">
        <f>N219*P219*Q219*'1. Standard_Cost'!$D$15</f>
        <v>0</v>
      </c>
      <c r="U219" s="127">
        <f>N219*O219*'1. Standard_Cost'!$E$15</f>
        <v>0</v>
      </c>
      <c r="V219" s="126"/>
      <c r="W219" s="126"/>
      <c r="X219" s="126"/>
      <c r="Y219" s="127">
        <f>+V219*((X219*'1. Standard_Cost'!$B$19)+(W219*X219*'1. Standard_Cost'!$C$19))</f>
        <v>0</v>
      </c>
      <c r="Z219" s="126"/>
      <c r="AA219" s="126"/>
      <c r="AB219" s="127">
        <f>+Z219*'1. Standard_Cost'!$B$23+AA219*'1. Standard_Cost'!$C$23</f>
        <v>0</v>
      </c>
      <c r="AC219" s="128">
        <v>52163000</v>
      </c>
      <c r="AD219" s="129"/>
      <c r="AE219" s="127"/>
      <c r="AF219" s="127">
        <f t="shared" si="142"/>
        <v>52163000</v>
      </c>
      <c r="AG219" s="126"/>
      <c r="AH219" s="126"/>
      <c r="AI219" s="126"/>
      <c r="AJ219" s="130"/>
      <c r="AK219" s="130"/>
      <c r="AL219" s="130"/>
      <c r="AM219" s="127">
        <f>AG219*'1. Standard_Cost'!$B$27+'Incremental_Cost Year 6'!AH219*'1. Standard_Cost'!$C$27+'Incremental_Cost Year 6'!AI219*'1. Standard_Cost'!$D$27+'Incremental_Cost Year 6'!AJ219+'Incremental_Cost Year 6'!AL219+AK219</f>
        <v>0</v>
      </c>
      <c r="AN219" s="127">
        <f>AM219*'1. Standard_Cost'!$C$31</f>
        <v>0</v>
      </c>
      <c r="AO219" s="130"/>
      <c r="AQ219" s="171">
        <f t="shared" si="143"/>
        <v>31055270.399999999</v>
      </c>
      <c r="AR219" s="171">
        <f t="shared" si="144"/>
        <v>52163000</v>
      </c>
      <c r="AS219" s="171">
        <f t="shared" si="145"/>
        <v>0</v>
      </c>
      <c r="AT219" s="171">
        <f t="shared" si="146"/>
        <v>83218270.400000006</v>
      </c>
      <c r="AU219" s="250">
        <f>AT219</f>
        <v>83218270.400000006</v>
      </c>
      <c r="AV219" s="250"/>
      <c r="AW219" s="250"/>
      <c r="AX219" s="250"/>
      <c r="AY219" s="250"/>
      <c r="AZ219" s="250"/>
      <c r="BA219" s="250"/>
      <c r="BB219" s="251">
        <f t="shared" si="147"/>
        <v>0</v>
      </c>
      <c r="BC219" s="169"/>
      <c r="BD219" s="169"/>
      <c r="BE219" s="169"/>
      <c r="BF219" s="169"/>
    </row>
    <row r="220" spans="1:58" ht="78.75" outlineLevel="1" x14ac:dyDescent="0.25">
      <c r="A220" s="115"/>
      <c r="B220" s="165"/>
      <c r="C220" s="166"/>
      <c r="D220" s="139" t="s">
        <v>557</v>
      </c>
      <c r="E220" s="212" t="s">
        <v>251</v>
      </c>
      <c r="F220" s="352">
        <v>2021</v>
      </c>
      <c r="G220" s="353">
        <v>2030</v>
      </c>
      <c r="H220" s="150" t="s">
        <v>252</v>
      </c>
      <c r="I220" s="252"/>
      <c r="J220" s="252"/>
      <c r="K220" s="252"/>
      <c r="L220" s="127">
        <f>SUM(L214:L219)</f>
        <v>842465228.57142854</v>
      </c>
      <c r="M220" s="127">
        <f>SUM(M214:M219)</f>
        <v>140691693.17142856</v>
      </c>
      <c r="N220" s="252"/>
      <c r="O220" s="252"/>
      <c r="P220" s="252"/>
      <c r="Q220" s="252"/>
      <c r="R220" s="127">
        <f>SUM(R214:R219)</f>
        <v>0</v>
      </c>
      <c r="S220" s="127">
        <f>SUM(S214:S219)</f>
        <v>0</v>
      </c>
      <c r="T220" s="127">
        <f>SUM(T214:T219)</f>
        <v>0</v>
      </c>
      <c r="U220" s="127">
        <f>SUM(U214:U219)</f>
        <v>0</v>
      </c>
      <c r="V220" s="252"/>
      <c r="W220" s="252"/>
      <c r="X220" s="252"/>
      <c r="Y220" s="127">
        <f>SUM(Y214:Y219)</f>
        <v>0</v>
      </c>
      <c r="Z220" s="127"/>
      <c r="AA220" s="252"/>
      <c r="AB220" s="127">
        <f>SUM(AB214:AB219)</f>
        <v>0</v>
      </c>
      <c r="AC220" s="127">
        <f>SUM(AC214:AC219)</f>
        <v>1442163000</v>
      </c>
      <c r="AD220" s="127">
        <f>SUM(AD214:AD219)</f>
        <v>0</v>
      </c>
      <c r="AE220" s="127">
        <f>SUM(AE214:AE219)</f>
        <v>0</v>
      </c>
      <c r="AF220" s="127">
        <f>SUM(AF214:AF219)</f>
        <v>1442163000</v>
      </c>
      <c r="AG220" s="252"/>
      <c r="AH220" s="252"/>
      <c r="AI220" s="252"/>
      <c r="AJ220" s="127">
        <f>SUM(AJ214:AJ219)</f>
        <v>0</v>
      </c>
      <c r="AK220" s="127">
        <f>SUM(AK214:AK219)</f>
        <v>0</v>
      </c>
      <c r="AL220" s="127">
        <f>SUM(AL214:AL219)</f>
        <v>0</v>
      </c>
      <c r="AM220" s="127">
        <f>SUM(AM214:AM219)</f>
        <v>0</v>
      </c>
      <c r="AN220" s="127">
        <f>SUM(AN214:AN219)</f>
        <v>0</v>
      </c>
      <c r="AO220" s="253"/>
      <c r="AP220" s="254"/>
      <c r="AQ220" s="175">
        <f>SUM(AQ214:AQ219)</f>
        <v>983156921.7428571</v>
      </c>
      <c r="AR220" s="175">
        <f>SUM(AR214:AR219)</f>
        <v>1442163000</v>
      </c>
      <c r="AS220" s="175">
        <f>SUM(AS214:AS219)</f>
        <v>0</v>
      </c>
      <c r="AT220" s="175">
        <f>SUM(AT214:AT219)</f>
        <v>2425319921.7428575</v>
      </c>
      <c r="AU220" s="175">
        <f t="shared" ref="AU220:BB220" si="148">SUM(AU214:AU219)</f>
        <v>2425319921.7428575</v>
      </c>
      <c r="AV220" s="175">
        <f t="shared" si="148"/>
        <v>0</v>
      </c>
      <c r="AW220" s="175">
        <f t="shared" si="148"/>
        <v>0</v>
      </c>
      <c r="AX220" s="175">
        <f t="shared" si="148"/>
        <v>0</v>
      </c>
      <c r="AY220" s="175">
        <f t="shared" si="148"/>
        <v>0</v>
      </c>
      <c r="AZ220" s="175">
        <f t="shared" si="148"/>
        <v>0</v>
      </c>
      <c r="BA220" s="175">
        <f t="shared" si="148"/>
        <v>0</v>
      </c>
      <c r="BB220" s="175">
        <f t="shared" si="148"/>
        <v>0</v>
      </c>
      <c r="BC220" s="169"/>
      <c r="BD220" s="169"/>
      <c r="BE220" s="169"/>
      <c r="BF220" s="169"/>
    </row>
    <row r="221" spans="1:58" s="184" customFormat="1" ht="15.75" customHeight="1" x14ac:dyDescent="0.25">
      <c r="A221" s="143"/>
      <c r="B221" s="332"/>
      <c r="C221" s="397" t="s">
        <v>253</v>
      </c>
      <c r="D221" s="397"/>
      <c r="E221" s="398"/>
      <c r="F221" s="291"/>
      <c r="G221" s="340"/>
      <c r="H221" s="144" t="s">
        <v>300</v>
      </c>
      <c r="I221" s="257"/>
      <c r="J221" s="257"/>
      <c r="K221" s="257"/>
      <c r="L221" s="258">
        <f>SUM(L225)</f>
        <v>0</v>
      </c>
      <c r="M221" s="258">
        <f>SUM(M225)</f>
        <v>0</v>
      </c>
      <c r="N221" s="257"/>
      <c r="O221" s="257"/>
      <c r="P221" s="257"/>
      <c r="Q221" s="257"/>
      <c r="R221" s="258">
        <f>SUM(R225)</f>
        <v>0</v>
      </c>
      <c r="S221" s="258">
        <f>SUM(S225)</f>
        <v>0</v>
      </c>
      <c r="T221" s="258">
        <f>SUM(T225)</f>
        <v>0</v>
      </c>
      <c r="U221" s="258">
        <f>SUM(U225)</f>
        <v>0</v>
      </c>
      <c r="V221" s="257"/>
      <c r="W221" s="257"/>
      <c r="X221" s="257"/>
      <c r="Y221" s="258">
        <f>SUM(Y225)</f>
        <v>0</v>
      </c>
      <c r="Z221" s="258"/>
      <c r="AA221" s="258"/>
      <c r="AB221" s="258">
        <f>SUM(AB225)</f>
        <v>0</v>
      </c>
      <c r="AC221" s="258">
        <f>SUM(AC225)</f>
        <v>0</v>
      </c>
      <c r="AD221" s="258">
        <f>SUM(AD225)</f>
        <v>0</v>
      </c>
      <c r="AE221" s="258">
        <f>SUM(AE225)</f>
        <v>0</v>
      </c>
      <c r="AF221" s="258">
        <f>SUM(AF225)</f>
        <v>0</v>
      </c>
      <c r="AG221" s="257"/>
      <c r="AH221" s="257"/>
      <c r="AI221" s="257"/>
      <c r="AJ221" s="258">
        <f>SUM(AJ225)</f>
        <v>0</v>
      </c>
      <c r="AK221" s="258">
        <f>SUM(AK225)</f>
        <v>0</v>
      </c>
      <c r="AL221" s="258">
        <f>SUM(AL225)</f>
        <v>0</v>
      </c>
      <c r="AM221" s="258">
        <f>SUM(AM225)</f>
        <v>0</v>
      </c>
      <c r="AN221" s="258">
        <f>SUM(AN225)</f>
        <v>0</v>
      </c>
      <c r="AO221" s="259"/>
      <c r="AP221" s="260"/>
      <c r="AQ221" s="261">
        <f>SUM(AQ225)</f>
        <v>0</v>
      </c>
      <c r="AR221" s="261">
        <f>SUM(AR225)</f>
        <v>0</v>
      </c>
      <c r="AS221" s="261">
        <f>SUM(AS225)</f>
        <v>0</v>
      </c>
      <c r="AT221" s="261">
        <f>SUM(AT225)</f>
        <v>0</v>
      </c>
      <c r="AU221" s="261">
        <f t="shared" ref="AU221:BB221" si="149">SUM(AU225)</f>
        <v>0</v>
      </c>
      <c r="AV221" s="261">
        <f t="shared" si="149"/>
        <v>0</v>
      </c>
      <c r="AW221" s="261">
        <f t="shared" si="149"/>
        <v>0</v>
      </c>
      <c r="AX221" s="261">
        <f t="shared" si="149"/>
        <v>0</v>
      </c>
      <c r="AY221" s="261">
        <f t="shared" si="149"/>
        <v>0</v>
      </c>
      <c r="AZ221" s="261">
        <f t="shared" si="149"/>
        <v>0</v>
      </c>
      <c r="BA221" s="261">
        <f t="shared" si="149"/>
        <v>0</v>
      </c>
      <c r="BB221" s="261">
        <f t="shared" si="149"/>
        <v>0</v>
      </c>
    </row>
    <row r="222" spans="1:58" ht="63" outlineLevel="2" x14ac:dyDescent="0.25">
      <c r="A222" s="115"/>
      <c r="B222" s="200"/>
      <c r="C222" s="201"/>
      <c r="D222" s="342"/>
      <c r="E222" s="328"/>
      <c r="F222" s="328"/>
      <c r="G222" s="328"/>
      <c r="H222" s="199" t="s">
        <v>515</v>
      </c>
      <c r="I222" s="130"/>
      <c r="J222" s="126"/>
      <c r="K222" s="126"/>
      <c r="L222" s="125" t="str">
        <f>IF(I222&lt;&gt;0,((VLOOKUP(I222,'1. Standard_Cost'!$B$4:$D$11,2)+VLOOKUP(I222,'1. Standard_Cost'!$B$4:$D$11,3))*J222*K222),"0")</f>
        <v>0</v>
      </c>
      <c r="M222" s="125">
        <f>L222*'1. Standard_Cost'!$F$4</f>
        <v>0</v>
      </c>
      <c r="N222" s="126"/>
      <c r="O222" s="126"/>
      <c r="P222" s="126"/>
      <c r="Q222" s="126"/>
      <c r="R222" s="127">
        <f>'1. Standard_Cost'!$B$15*N222*P222</f>
        <v>0</v>
      </c>
      <c r="S222" s="127">
        <f>N222*O222*P222*'1. Standard_Cost'!$C$15</f>
        <v>0</v>
      </c>
      <c r="T222" s="127">
        <f>N222*P222*Q222*'1. Standard_Cost'!$D$15</f>
        <v>0</v>
      </c>
      <c r="U222" s="127">
        <f>N222*O222*'1. Standard_Cost'!$E$15</f>
        <v>0</v>
      </c>
      <c r="V222" s="126"/>
      <c r="W222" s="126"/>
      <c r="X222" s="126"/>
      <c r="Y222" s="127">
        <f>+V222*((X222*'1. Standard_Cost'!$B$19)+(W222*X222*'1. Standard_Cost'!$C$19))</f>
        <v>0</v>
      </c>
      <c r="Z222" s="126"/>
      <c r="AA222" s="126"/>
      <c r="AB222" s="127">
        <f>+Z222*'1. Standard_Cost'!$B$23+AA222*'1. Standard_Cost'!$C$23</f>
        <v>0</v>
      </c>
      <c r="AC222" s="128"/>
      <c r="AD222" s="129"/>
      <c r="AE222" s="127">
        <f>SUM(AD222,AC222,AB222,Y222,U222,T222,S222,R222)*'1. Standard_Cost'!$B$31</f>
        <v>0</v>
      </c>
      <c r="AF222" s="127">
        <f>SUM(AE222,AD222,AC222,AB222,Y222,U222,T222,S222,R222)</f>
        <v>0</v>
      </c>
      <c r="AG222" s="126"/>
      <c r="AH222" s="126"/>
      <c r="AI222" s="126"/>
      <c r="AJ222" s="130"/>
      <c r="AK222" s="130"/>
      <c r="AL222" s="130"/>
      <c r="AM222" s="127">
        <f>AG222*'1. Standard_Cost'!$B$27+'Incremental_Cost Year 6'!AH222*'1. Standard_Cost'!$C$27+'Incremental_Cost Year 6'!AI222*'1. Standard_Cost'!$D$27+'Incremental_Cost Year 6'!AJ222+'Incremental_Cost Year 6'!AL222+AK222</f>
        <v>0</v>
      </c>
      <c r="AN222" s="127">
        <f>AM222*'1. Standard_Cost'!$C$31</f>
        <v>0</v>
      </c>
      <c r="AO222" s="130"/>
      <c r="AQ222" s="171">
        <f>L222+M222</f>
        <v>0</v>
      </c>
      <c r="AR222" s="171">
        <f>AF222</f>
        <v>0</v>
      </c>
      <c r="AS222" s="171">
        <f>AM222+AN222</f>
        <v>0</v>
      </c>
      <c r="AT222" s="171">
        <f>SUM(AQ222,AR222,AS222)</f>
        <v>0</v>
      </c>
      <c r="AU222" s="250">
        <f>AT222</f>
        <v>0</v>
      </c>
      <c r="AV222" s="250"/>
      <c r="AW222" s="250"/>
      <c r="AX222" s="250"/>
      <c r="AY222" s="250"/>
      <c r="AZ222" s="250"/>
      <c r="BA222" s="250"/>
      <c r="BB222" s="251">
        <f t="shared" ref="BB222:BB224" si="150">SUM(AU222:BA222)-AT222</f>
        <v>0</v>
      </c>
      <c r="BC222" s="169"/>
      <c r="BD222" s="169"/>
      <c r="BE222" s="169"/>
      <c r="BF222" s="169"/>
    </row>
    <row r="223" spans="1:58" ht="63" outlineLevel="2" x14ac:dyDescent="0.25">
      <c r="A223" s="115"/>
      <c r="B223" s="200"/>
      <c r="C223" s="201"/>
      <c r="D223" s="343"/>
      <c r="E223" s="328"/>
      <c r="F223" s="328"/>
      <c r="G223" s="328"/>
      <c r="H223" s="199" t="s">
        <v>516</v>
      </c>
      <c r="I223" s="130"/>
      <c r="J223" s="126"/>
      <c r="K223" s="126"/>
      <c r="L223" s="125" t="str">
        <f>IF(I223&lt;&gt;0,((VLOOKUP(I223,'1. Standard_Cost'!$B$4:$D$11,2)+VLOOKUP(I223,'1. Standard_Cost'!$B$4:$D$11,3))*J223*K223),"0")</f>
        <v>0</v>
      </c>
      <c r="M223" s="125">
        <f>L223*'1. Standard_Cost'!$F$4</f>
        <v>0</v>
      </c>
      <c r="N223" s="126"/>
      <c r="O223" s="126"/>
      <c r="P223" s="126"/>
      <c r="Q223" s="126"/>
      <c r="R223" s="127">
        <f>'1. Standard_Cost'!$B$15*N223*P223</f>
        <v>0</v>
      </c>
      <c r="S223" s="127">
        <f>N223*O223*P223*'1. Standard_Cost'!$C$15</f>
        <v>0</v>
      </c>
      <c r="T223" s="127">
        <f>N223*P223*Q223*'1. Standard_Cost'!$D$15</f>
        <v>0</v>
      </c>
      <c r="U223" s="127">
        <f>N223*O223*'1. Standard_Cost'!$E$15</f>
        <v>0</v>
      </c>
      <c r="V223" s="126"/>
      <c r="W223" s="126"/>
      <c r="X223" s="126"/>
      <c r="Y223" s="127">
        <f>+V223*((X223*'1. Standard_Cost'!$B$19)+(W223*X223*'1. Standard_Cost'!$C$19))</f>
        <v>0</v>
      </c>
      <c r="Z223" s="126"/>
      <c r="AA223" s="126"/>
      <c r="AB223" s="127">
        <f>+Z223*'1. Standard_Cost'!$B$23+AA223*'1. Standard_Cost'!$C$23</f>
        <v>0</v>
      </c>
      <c r="AC223" s="128"/>
      <c r="AD223" s="129"/>
      <c r="AE223" s="127">
        <f>SUM(AD223,AC223,AB223,Y223,U223,T223,S223,R223)*'1. Standard_Cost'!$B$31</f>
        <v>0</v>
      </c>
      <c r="AF223" s="127">
        <f>SUM(AE223,AD223,AC223,AB223,Y223,U223,T223,S223,R223)</f>
        <v>0</v>
      </c>
      <c r="AG223" s="126"/>
      <c r="AH223" s="126"/>
      <c r="AI223" s="126"/>
      <c r="AJ223" s="130"/>
      <c r="AK223" s="130"/>
      <c r="AL223" s="130"/>
      <c r="AM223" s="127">
        <f>AG223*'1. Standard_Cost'!$B$27+'Incremental_Cost Year 6'!AH223*'1. Standard_Cost'!$C$27+'Incremental_Cost Year 6'!AI223*'1. Standard_Cost'!$D$27+'Incremental_Cost Year 6'!AJ223+'Incremental_Cost Year 6'!AL223+AK223</f>
        <v>0</v>
      </c>
      <c r="AN223" s="127">
        <f>AM223*'1. Standard_Cost'!$C$31</f>
        <v>0</v>
      </c>
      <c r="AO223" s="130"/>
      <c r="AQ223" s="171">
        <f>L223+M223</f>
        <v>0</v>
      </c>
      <c r="AR223" s="171">
        <f>AF223</f>
        <v>0</v>
      </c>
      <c r="AS223" s="171">
        <f>AM223+AN223</f>
        <v>0</v>
      </c>
      <c r="AT223" s="171">
        <f>SUM(AQ223,AR223,AS223)</f>
        <v>0</v>
      </c>
      <c r="AU223" s="250">
        <f>AT223</f>
        <v>0</v>
      </c>
      <c r="AV223" s="250"/>
      <c r="AW223" s="250"/>
      <c r="AX223" s="250"/>
      <c r="AY223" s="250"/>
      <c r="AZ223" s="250"/>
      <c r="BA223" s="250"/>
      <c r="BB223" s="251">
        <f t="shared" si="150"/>
        <v>0</v>
      </c>
      <c r="BC223" s="169"/>
      <c r="BD223" s="169"/>
      <c r="BE223" s="169"/>
      <c r="BF223" s="169"/>
    </row>
    <row r="224" spans="1:58" ht="31.5" outlineLevel="2" x14ac:dyDescent="0.25">
      <c r="A224" s="115"/>
      <c r="B224" s="200"/>
      <c r="C224" s="201"/>
      <c r="D224" s="344"/>
      <c r="E224" s="328"/>
      <c r="F224" s="328"/>
      <c r="G224" s="328"/>
      <c r="H224" s="199" t="s">
        <v>254</v>
      </c>
      <c r="I224" s="130"/>
      <c r="J224" s="126"/>
      <c r="K224" s="126"/>
      <c r="L224" s="125" t="str">
        <f>IF(I224&lt;&gt;0,((VLOOKUP(I224,'1. Standard_Cost'!$B$4:$D$11,2)+VLOOKUP(I224,'1. Standard_Cost'!$B$4:$D$11,3))*J224*K224),"0")</f>
        <v>0</v>
      </c>
      <c r="M224" s="125">
        <f>L224*'1. Standard_Cost'!$F$4</f>
        <v>0</v>
      </c>
      <c r="N224" s="126"/>
      <c r="O224" s="126"/>
      <c r="P224" s="126"/>
      <c r="Q224" s="126"/>
      <c r="R224" s="127">
        <f>'1. Standard_Cost'!$B$15*N224*P224</f>
        <v>0</v>
      </c>
      <c r="S224" s="127">
        <f>N224*O224*P224*'1. Standard_Cost'!$C$15</f>
        <v>0</v>
      </c>
      <c r="T224" s="127">
        <f>N224*P224*Q224*'1. Standard_Cost'!$D$15</f>
        <v>0</v>
      </c>
      <c r="U224" s="127">
        <f>N224*O224*'1. Standard_Cost'!$E$15</f>
        <v>0</v>
      </c>
      <c r="V224" s="126"/>
      <c r="W224" s="126"/>
      <c r="X224" s="126"/>
      <c r="Y224" s="127">
        <f>+V224*((X224*'1. Standard_Cost'!$B$19)+(W224*X224*'1. Standard_Cost'!$C$19))</f>
        <v>0</v>
      </c>
      <c r="Z224" s="126"/>
      <c r="AA224" s="126"/>
      <c r="AB224" s="127">
        <f>+Z224*'1. Standard_Cost'!$B$23+AA224*'1. Standard_Cost'!$C$23</f>
        <v>0</v>
      </c>
      <c r="AC224" s="128"/>
      <c r="AD224" s="129"/>
      <c r="AE224" s="127">
        <f>SUM(AD224,AC224,AB224,Y224,U224,T224,S224,R224)*'1. Standard_Cost'!$B$31</f>
        <v>0</v>
      </c>
      <c r="AF224" s="127">
        <f>SUM(AE224,AD224,AC224,AB224,Y224,U224,T224,S224,R224)</f>
        <v>0</v>
      </c>
      <c r="AG224" s="126"/>
      <c r="AH224" s="126"/>
      <c r="AI224" s="126"/>
      <c r="AJ224" s="130"/>
      <c r="AK224" s="130"/>
      <c r="AL224" s="130"/>
      <c r="AM224" s="127">
        <f>AG224*'1. Standard_Cost'!$B$27+'Incremental_Cost Year 6'!AH224*'1. Standard_Cost'!$C$27+'Incremental_Cost Year 6'!AI224*'1. Standard_Cost'!$D$27+'Incremental_Cost Year 6'!AJ224+'Incremental_Cost Year 6'!AL224+AK224</f>
        <v>0</v>
      </c>
      <c r="AN224" s="127">
        <f>AM224*'1. Standard_Cost'!$C$31</f>
        <v>0</v>
      </c>
      <c r="AO224" s="130"/>
      <c r="AQ224" s="171">
        <f>L224+M224</f>
        <v>0</v>
      </c>
      <c r="AR224" s="171">
        <f>AF224</f>
        <v>0</v>
      </c>
      <c r="AS224" s="171">
        <f>AM224+AN224</f>
        <v>0</v>
      </c>
      <c r="AT224" s="171">
        <f>SUM(AQ224,AR224,AS224)</f>
        <v>0</v>
      </c>
      <c r="AU224" s="250"/>
      <c r="AV224" s="250"/>
      <c r="AW224" s="250"/>
      <c r="AX224" s="250"/>
      <c r="AY224" s="250"/>
      <c r="AZ224" s="250"/>
      <c r="BA224" s="250"/>
      <c r="BB224" s="251">
        <f t="shared" si="150"/>
        <v>0</v>
      </c>
      <c r="BC224" s="169"/>
      <c r="BD224" s="169"/>
      <c r="BE224" s="169"/>
      <c r="BF224" s="169"/>
    </row>
    <row r="225" spans="1:58" ht="47.25" outlineLevel="1" x14ac:dyDescent="0.25">
      <c r="A225" s="115"/>
      <c r="B225" s="165"/>
      <c r="C225" s="166"/>
      <c r="D225" s="150" t="s">
        <v>240</v>
      </c>
      <c r="E225" s="212" t="s">
        <v>255</v>
      </c>
      <c r="F225" s="142">
        <v>2021</v>
      </c>
      <c r="G225" s="209">
        <v>2022</v>
      </c>
      <c r="H225" s="150" t="s">
        <v>256</v>
      </c>
      <c r="I225" s="252"/>
      <c r="J225" s="252"/>
      <c r="K225" s="252"/>
      <c r="L225" s="127">
        <f>SUM(L222:L224)</f>
        <v>0</v>
      </c>
      <c r="M225" s="127">
        <f>SUM(M222:M224)</f>
        <v>0</v>
      </c>
      <c r="N225" s="252"/>
      <c r="O225" s="252"/>
      <c r="P225" s="252"/>
      <c r="Q225" s="252"/>
      <c r="R225" s="127">
        <f>SUM(R222:R224)</f>
        <v>0</v>
      </c>
      <c r="S225" s="127">
        <f>SUM(S222:S224)</f>
        <v>0</v>
      </c>
      <c r="T225" s="127">
        <f>SUM(T222:T224)</f>
        <v>0</v>
      </c>
      <c r="U225" s="127">
        <f>SUM(U222:U224)</f>
        <v>0</v>
      </c>
      <c r="V225" s="252"/>
      <c r="W225" s="252"/>
      <c r="X225" s="252"/>
      <c r="Y225" s="127">
        <f>SUM(Y222:Y224)</f>
        <v>0</v>
      </c>
      <c r="Z225" s="127"/>
      <c r="AA225" s="252"/>
      <c r="AB225" s="127">
        <f>SUM(AB222:AB224)</f>
        <v>0</v>
      </c>
      <c r="AC225" s="127">
        <f>SUM(AC222:AC224)</f>
        <v>0</v>
      </c>
      <c r="AD225" s="127">
        <f>SUM(AD222:AD224)</f>
        <v>0</v>
      </c>
      <c r="AE225" s="127">
        <f>SUM(AE222:AE224)</f>
        <v>0</v>
      </c>
      <c r="AF225" s="127">
        <f>SUM(AF222:AF224)</f>
        <v>0</v>
      </c>
      <c r="AG225" s="252"/>
      <c r="AH225" s="252"/>
      <c r="AI225" s="252"/>
      <c r="AJ225" s="127">
        <f>SUM(AJ222:AJ224)</f>
        <v>0</v>
      </c>
      <c r="AK225" s="127">
        <f>SUM(AK222:AK224)</f>
        <v>0</v>
      </c>
      <c r="AL225" s="127">
        <f>SUM(AL222:AL224)</f>
        <v>0</v>
      </c>
      <c r="AM225" s="127">
        <f>SUM(AM222:AM224)</f>
        <v>0</v>
      </c>
      <c r="AN225" s="127">
        <f>SUM(AN222:AN224)</f>
        <v>0</v>
      </c>
      <c r="AO225" s="253"/>
      <c r="AP225" s="254"/>
      <c r="AQ225" s="175">
        <f>SUM(AQ222:AQ224)</f>
        <v>0</v>
      </c>
      <c r="AR225" s="175">
        <f>SUM(AR222:AR224)</f>
        <v>0</v>
      </c>
      <c r="AS225" s="175">
        <f>SUM(AS222:AS224)</f>
        <v>0</v>
      </c>
      <c r="AT225" s="175">
        <f>SUM(AT222:AT224)</f>
        <v>0</v>
      </c>
      <c r="AU225" s="175">
        <f t="shared" ref="AU225:BB225" si="151">SUM(AU222:AU224)</f>
        <v>0</v>
      </c>
      <c r="AV225" s="175">
        <f t="shared" si="151"/>
        <v>0</v>
      </c>
      <c r="AW225" s="175">
        <f t="shared" si="151"/>
        <v>0</v>
      </c>
      <c r="AX225" s="175">
        <f t="shared" si="151"/>
        <v>0</v>
      </c>
      <c r="AY225" s="175">
        <f t="shared" si="151"/>
        <v>0</v>
      </c>
      <c r="AZ225" s="175">
        <f t="shared" si="151"/>
        <v>0</v>
      </c>
      <c r="BA225" s="175">
        <f t="shared" si="151"/>
        <v>0</v>
      </c>
      <c r="BB225" s="175">
        <f t="shared" si="151"/>
        <v>0</v>
      </c>
      <c r="BC225" s="169"/>
      <c r="BD225" s="169"/>
      <c r="BE225" s="169"/>
      <c r="BF225" s="169"/>
    </row>
    <row r="226" spans="1:58" s="184" customFormat="1" ht="15.75" customHeight="1" x14ac:dyDescent="0.25">
      <c r="A226" s="143"/>
      <c r="B226" s="332"/>
      <c r="C226" s="397" t="s">
        <v>257</v>
      </c>
      <c r="D226" s="397"/>
      <c r="E226" s="398"/>
      <c r="F226" s="291"/>
      <c r="G226" s="340"/>
      <c r="H226" s="144" t="s">
        <v>301</v>
      </c>
      <c r="I226" s="257"/>
      <c r="J226" s="257"/>
      <c r="K226" s="257"/>
      <c r="L226" s="258">
        <f>SUM(L231)</f>
        <v>70644171.428571418</v>
      </c>
      <c r="M226" s="258">
        <f>SUM(M231)</f>
        <v>11797576.628571428</v>
      </c>
      <c r="N226" s="257"/>
      <c r="O226" s="257"/>
      <c r="P226" s="257"/>
      <c r="Q226" s="257"/>
      <c r="R226" s="258">
        <f>SUM(R231)</f>
        <v>0</v>
      </c>
      <c r="S226" s="258">
        <f>SUM(S231)</f>
        <v>0</v>
      </c>
      <c r="T226" s="258">
        <f>SUM(T231)</f>
        <v>0</v>
      </c>
      <c r="U226" s="258">
        <f>SUM(U231)</f>
        <v>0</v>
      </c>
      <c r="V226" s="257"/>
      <c r="W226" s="257"/>
      <c r="X226" s="257"/>
      <c r="Y226" s="258">
        <f>SUM(Y231)</f>
        <v>0</v>
      </c>
      <c r="Z226" s="258"/>
      <c r="AA226" s="258"/>
      <c r="AB226" s="258">
        <f>SUM(AB231)</f>
        <v>0</v>
      </c>
      <c r="AC226" s="258">
        <f>SUM(AC231)</f>
        <v>300000</v>
      </c>
      <c r="AD226" s="258">
        <f>SUM(AD231)</f>
        <v>0</v>
      </c>
      <c r="AE226" s="258">
        <f>SUM(AE231)</f>
        <v>60000</v>
      </c>
      <c r="AF226" s="258">
        <f>SUM(AF231)</f>
        <v>360000</v>
      </c>
      <c r="AG226" s="257"/>
      <c r="AH226" s="257"/>
      <c r="AI226" s="257"/>
      <c r="AJ226" s="258">
        <f>SUM(AJ231)</f>
        <v>0</v>
      </c>
      <c r="AK226" s="258">
        <f>SUM(AK231)</f>
        <v>0</v>
      </c>
      <c r="AL226" s="258">
        <f>SUM(AL231)</f>
        <v>0</v>
      </c>
      <c r="AM226" s="258">
        <f>SUM(AM231)</f>
        <v>0</v>
      </c>
      <c r="AN226" s="258">
        <f>SUM(AN231)</f>
        <v>0</v>
      </c>
      <c r="AO226" s="259"/>
      <c r="AP226" s="260"/>
      <c r="AQ226" s="261">
        <f>SUM(AQ231)</f>
        <v>82441748.057142854</v>
      </c>
      <c r="AR226" s="261">
        <f>SUM(AR231)</f>
        <v>360000</v>
      </c>
      <c r="AS226" s="261">
        <f>SUM(AS231)</f>
        <v>0</v>
      </c>
      <c r="AT226" s="261">
        <f>SUM(AT231)</f>
        <v>82801748.057142854</v>
      </c>
      <c r="AU226" s="261">
        <f t="shared" ref="AU226:BB226" si="152">SUM(AU231)</f>
        <v>82801748.057142854</v>
      </c>
      <c r="AV226" s="261">
        <f t="shared" si="152"/>
        <v>0</v>
      </c>
      <c r="AW226" s="261">
        <f t="shared" si="152"/>
        <v>0</v>
      </c>
      <c r="AX226" s="261">
        <f t="shared" si="152"/>
        <v>0</v>
      </c>
      <c r="AY226" s="261">
        <f t="shared" si="152"/>
        <v>0</v>
      </c>
      <c r="AZ226" s="261">
        <f t="shared" si="152"/>
        <v>0</v>
      </c>
      <c r="BA226" s="261">
        <f t="shared" si="152"/>
        <v>0</v>
      </c>
      <c r="BB226" s="261">
        <f t="shared" si="152"/>
        <v>0</v>
      </c>
    </row>
    <row r="227" spans="1:58" ht="46.9" customHeight="1" outlineLevel="2" x14ac:dyDescent="0.25">
      <c r="A227" s="115"/>
      <c r="B227" s="200"/>
      <c r="C227" s="201"/>
      <c r="D227" s="210"/>
      <c r="E227" s="328"/>
      <c r="F227" s="328"/>
      <c r="G227" s="328"/>
      <c r="H227" s="199" t="s">
        <v>517</v>
      </c>
      <c r="I227" s="130" t="s">
        <v>1</v>
      </c>
      <c r="J227" s="126">
        <v>12</v>
      </c>
      <c r="K227" s="126">
        <v>72</v>
      </c>
      <c r="L227" s="125">
        <f>IF(I227&lt;&gt;0,((VLOOKUP(I227,'1. Standard_Cost'!$B$4:$D$11,2)+VLOOKUP(I227,'1. Standard_Cost'!$B$4:$D$11,3))*J227*K227),"0")</f>
        <v>62029028.571428567</v>
      </c>
      <c r="M227" s="125">
        <f>L227*'1. Standard_Cost'!$F$4</f>
        <v>10358847.771428572</v>
      </c>
      <c r="N227" s="126"/>
      <c r="O227" s="126"/>
      <c r="P227" s="126"/>
      <c r="Q227" s="126"/>
      <c r="R227" s="127">
        <f>'1. Standard_Cost'!$B$15*N227*P227</f>
        <v>0</v>
      </c>
      <c r="S227" s="127">
        <f>N227*O227*P227*'1. Standard_Cost'!$C$15</f>
        <v>0</v>
      </c>
      <c r="T227" s="127">
        <f>N227*P227*Q227*'1. Standard_Cost'!$D$15</f>
        <v>0</v>
      </c>
      <c r="U227" s="127">
        <f>N227*O227*'1. Standard_Cost'!$E$15</f>
        <v>0</v>
      </c>
      <c r="V227" s="126"/>
      <c r="W227" s="126"/>
      <c r="X227" s="126"/>
      <c r="Y227" s="127">
        <f>+V227*((X227*'1. Standard_Cost'!$B$19)+(W227*X227*'1. Standard_Cost'!$C$19))</f>
        <v>0</v>
      </c>
      <c r="Z227" s="126"/>
      <c r="AA227" s="126"/>
      <c r="AB227" s="127">
        <f>+Z227*'1. Standard_Cost'!$B$23+AA227*'1. Standard_Cost'!$C$23</f>
        <v>0</v>
      </c>
      <c r="AC227" s="128"/>
      <c r="AD227" s="129"/>
      <c r="AE227" s="127">
        <f>SUM(AD227,AC227,AB227,Y227,U227,T227,S227,R227)*'1. Standard_Cost'!$B$31</f>
        <v>0</v>
      </c>
      <c r="AF227" s="127">
        <f>SUM(AE227,AD227,AC227,AB227,Y227,U227,T227,S227,R227)</f>
        <v>0</v>
      </c>
      <c r="AG227" s="126"/>
      <c r="AH227" s="126"/>
      <c r="AI227" s="126"/>
      <c r="AJ227" s="130"/>
      <c r="AK227" s="130"/>
      <c r="AL227" s="130"/>
      <c r="AM227" s="127">
        <f>AG227*'1. Standard_Cost'!$B$27+'Incremental_Cost Year 6'!AH227*'1. Standard_Cost'!$C$27+'Incremental_Cost Year 6'!AI227*'1. Standard_Cost'!$D$27+'Incremental_Cost Year 6'!AJ227+'Incremental_Cost Year 6'!AL227+AK227</f>
        <v>0</v>
      </c>
      <c r="AN227" s="127">
        <f>AM227*'1. Standard_Cost'!$C$31</f>
        <v>0</v>
      </c>
      <c r="AO227" s="130"/>
      <c r="AQ227" s="171">
        <f>L227+M227</f>
        <v>72387876.342857137</v>
      </c>
      <c r="AR227" s="171">
        <f>AF227</f>
        <v>0</v>
      </c>
      <c r="AS227" s="171">
        <f>AM227+AN227</f>
        <v>0</v>
      </c>
      <c r="AT227" s="171">
        <f>SUM(AQ227,AR227,AS227)</f>
        <v>72387876.342857137</v>
      </c>
      <c r="AU227" s="250">
        <f>AT227</f>
        <v>72387876.342857137</v>
      </c>
      <c r="AV227" s="250"/>
      <c r="AW227" s="250"/>
      <c r="AX227" s="250"/>
      <c r="AY227" s="250"/>
      <c r="AZ227" s="250"/>
      <c r="BA227" s="250"/>
      <c r="BB227" s="251">
        <f t="shared" ref="BB227:BB230" si="153">SUM(AU227:BA227)-AT227</f>
        <v>0</v>
      </c>
      <c r="BC227" s="169"/>
      <c r="BD227" s="169"/>
      <c r="BE227" s="169"/>
      <c r="BF227" s="169"/>
    </row>
    <row r="228" spans="1:58" ht="94.5" outlineLevel="2" x14ac:dyDescent="0.25">
      <c r="A228" s="115"/>
      <c r="B228" s="200"/>
      <c r="C228" s="201"/>
      <c r="D228" s="203"/>
      <c r="E228" s="328"/>
      <c r="F228" s="328"/>
      <c r="G228" s="328"/>
      <c r="H228" s="199" t="s">
        <v>518</v>
      </c>
      <c r="I228" s="130" t="s">
        <v>1</v>
      </c>
      <c r="J228" s="126">
        <v>12</v>
      </c>
      <c r="K228" s="126">
        <v>10</v>
      </c>
      <c r="L228" s="125">
        <f>IF(I228&lt;&gt;0,((VLOOKUP(I228,'1. Standard_Cost'!$B$4:$D$11,2)+VLOOKUP(I228,'1. Standard_Cost'!$B$4:$D$11,3))*J228*K228),"0")</f>
        <v>8615142.8571428563</v>
      </c>
      <c r="M228" s="125">
        <f>L228*'1. Standard_Cost'!$F$4</f>
        <v>1438728.857142857</v>
      </c>
      <c r="N228" s="126"/>
      <c r="O228" s="126"/>
      <c r="P228" s="126"/>
      <c r="Q228" s="126"/>
      <c r="R228" s="127">
        <f>'1. Standard_Cost'!$B$15*N228*P228</f>
        <v>0</v>
      </c>
      <c r="S228" s="127">
        <f>N228*O228*P228*'1. Standard_Cost'!$C$15</f>
        <v>0</v>
      </c>
      <c r="T228" s="127">
        <f>N228*P228*Q228*'1. Standard_Cost'!$D$15</f>
        <v>0</v>
      </c>
      <c r="U228" s="127">
        <f>N228*O228*'1. Standard_Cost'!$E$15</f>
        <v>0</v>
      </c>
      <c r="V228" s="126"/>
      <c r="W228" s="126"/>
      <c r="X228" s="126"/>
      <c r="Y228" s="127">
        <f>+V228*((X228*'1. Standard_Cost'!$B$19)+(W228*X228*'1. Standard_Cost'!$C$19))</f>
        <v>0</v>
      </c>
      <c r="Z228" s="126"/>
      <c r="AA228" s="126"/>
      <c r="AB228" s="127">
        <f>+Z228*'1. Standard_Cost'!$B$23+AA228*'1. Standard_Cost'!$C$23</f>
        <v>0</v>
      </c>
      <c r="AC228" s="128">
        <f>300000</f>
        <v>300000</v>
      </c>
      <c r="AD228" s="129"/>
      <c r="AE228" s="127">
        <f>SUM(AD228,AC228,AB228,Y228,U228,T228,S228,R228)*'1. Standard_Cost'!$B$31</f>
        <v>60000</v>
      </c>
      <c r="AF228" s="127">
        <f>SUM(AE228,AD228,AC228,AB228,Y228,U228,T228,S228,R228)</f>
        <v>360000</v>
      </c>
      <c r="AG228" s="126"/>
      <c r="AH228" s="126"/>
      <c r="AI228" s="126"/>
      <c r="AJ228" s="130"/>
      <c r="AK228" s="130"/>
      <c r="AL228" s="130"/>
      <c r="AM228" s="127">
        <f>AG228*'1. Standard_Cost'!$B$27+'Incremental_Cost Year 6'!AH228*'1. Standard_Cost'!$C$27+'Incremental_Cost Year 6'!AI228*'1. Standard_Cost'!$D$27+'Incremental_Cost Year 6'!AJ228+'Incremental_Cost Year 6'!AL228+AK228</f>
        <v>0</v>
      </c>
      <c r="AN228" s="127">
        <f>AM228*'1. Standard_Cost'!$C$31</f>
        <v>0</v>
      </c>
      <c r="AO228" s="130"/>
      <c r="AQ228" s="171">
        <f>L228+M228</f>
        <v>10053871.714285713</v>
      </c>
      <c r="AR228" s="171">
        <f>AF228</f>
        <v>360000</v>
      </c>
      <c r="AS228" s="171">
        <f>AM228+AN228</f>
        <v>0</v>
      </c>
      <c r="AT228" s="171">
        <f>SUM(AQ228,AR228,AS228)</f>
        <v>10413871.714285713</v>
      </c>
      <c r="AU228" s="250">
        <f>AT228</f>
        <v>10413871.714285713</v>
      </c>
      <c r="AV228" s="250"/>
      <c r="AW228" s="250"/>
      <c r="AX228" s="250"/>
      <c r="AY228" s="250"/>
      <c r="AZ228" s="250"/>
      <c r="BA228" s="250"/>
      <c r="BB228" s="251">
        <f t="shared" si="153"/>
        <v>0</v>
      </c>
      <c r="BC228" s="169"/>
      <c r="BD228" s="169"/>
      <c r="BE228" s="169"/>
      <c r="BF228" s="169"/>
    </row>
    <row r="229" spans="1:58" ht="110.25" outlineLevel="2" x14ac:dyDescent="0.25">
      <c r="A229" s="115"/>
      <c r="B229" s="200"/>
      <c r="C229" s="201"/>
      <c r="D229" s="203"/>
      <c r="E229" s="328"/>
      <c r="F229" s="328"/>
      <c r="G229" s="328"/>
      <c r="H229" s="199" t="s">
        <v>519</v>
      </c>
      <c r="I229" s="130"/>
      <c r="J229" s="126"/>
      <c r="K229" s="126"/>
      <c r="L229" s="125" t="str">
        <f>IF(I229&lt;&gt;0,((VLOOKUP(I229,'1. Standard_Cost'!$B$4:$D$11,2)+VLOOKUP(I229,'1. Standard_Cost'!$B$4:$D$11,3))*J229*K229),"0")</f>
        <v>0</v>
      </c>
      <c r="M229" s="125">
        <f>L229*'1. Standard_Cost'!$F$4</f>
        <v>0</v>
      </c>
      <c r="N229" s="126"/>
      <c r="O229" s="126"/>
      <c r="P229" s="126"/>
      <c r="Q229" s="126"/>
      <c r="R229" s="127">
        <f>'1. Standard_Cost'!$B$15*N229*P229</f>
        <v>0</v>
      </c>
      <c r="S229" s="127">
        <f>N229*O229*P229*'1. Standard_Cost'!$C$15</f>
        <v>0</v>
      </c>
      <c r="T229" s="127">
        <f>N229*P229*Q229*'1. Standard_Cost'!$D$15</f>
        <v>0</v>
      </c>
      <c r="U229" s="127">
        <f>N229*O229*'1. Standard_Cost'!$E$15</f>
        <v>0</v>
      </c>
      <c r="V229" s="126"/>
      <c r="W229" s="126"/>
      <c r="X229" s="126"/>
      <c r="Y229" s="127">
        <f>+V229*((X229*'1. Standard_Cost'!$B$19)+(W229*X229*'1. Standard_Cost'!$C$19))</f>
        <v>0</v>
      </c>
      <c r="Z229" s="126"/>
      <c r="AA229" s="126"/>
      <c r="AB229" s="127">
        <f>+Z229*'1. Standard_Cost'!$B$23+AA229*'1. Standard_Cost'!$C$23</f>
        <v>0</v>
      </c>
      <c r="AC229" s="128"/>
      <c r="AD229" s="129"/>
      <c r="AE229" s="127">
        <f>SUM(AD229,AC229,AB229,Y229,U229,T229,S229,R229)*'1. Standard_Cost'!$B$31</f>
        <v>0</v>
      </c>
      <c r="AF229" s="127">
        <f>SUM(AE229,AD229,AC229,AB229,Y229,U229,T229,S229,R229)</f>
        <v>0</v>
      </c>
      <c r="AG229" s="126"/>
      <c r="AH229" s="126"/>
      <c r="AI229" s="126"/>
      <c r="AJ229" s="130"/>
      <c r="AK229" s="130"/>
      <c r="AL229" s="130"/>
      <c r="AM229" s="127">
        <f>AG229*'1. Standard_Cost'!$B$27+'Incremental_Cost Year 6'!AH229*'1. Standard_Cost'!$C$27+'Incremental_Cost Year 6'!AI229*'1. Standard_Cost'!$D$27+'Incremental_Cost Year 6'!AJ229+'Incremental_Cost Year 6'!AL229+AK229</f>
        <v>0</v>
      </c>
      <c r="AN229" s="127">
        <f>AM229*'1. Standard_Cost'!$C$31</f>
        <v>0</v>
      </c>
      <c r="AO229" s="130"/>
      <c r="AQ229" s="171">
        <f>L229+M229</f>
        <v>0</v>
      </c>
      <c r="AR229" s="171">
        <f>AF229</f>
        <v>0</v>
      </c>
      <c r="AS229" s="171">
        <f>AM229+AN229</f>
        <v>0</v>
      </c>
      <c r="AT229" s="171">
        <f>SUM(AQ229,AR229,AS229)</f>
        <v>0</v>
      </c>
      <c r="AU229" s="250">
        <f>AQ229</f>
        <v>0</v>
      </c>
      <c r="AV229" s="250"/>
      <c r="AW229" s="250"/>
      <c r="AX229" s="250"/>
      <c r="AY229" s="250"/>
      <c r="AZ229" s="250"/>
      <c r="BA229" s="250"/>
      <c r="BB229" s="251">
        <f t="shared" si="153"/>
        <v>0</v>
      </c>
      <c r="BC229" s="169"/>
      <c r="BD229" s="169"/>
      <c r="BE229" s="169"/>
      <c r="BF229" s="169"/>
    </row>
    <row r="230" spans="1:58" ht="110.25" outlineLevel="2" x14ac:dyDescent="0.25">
      <c r="A230" s="115"/>
      <c r="B230" s="200"/>
      <c r="C230" s="201"/>
      <c r="D230" s="133"/>
      <c r="E230" s="328"/>
      <c r="F230" s="328"/>
      <c r="G230" s="328"/>
      <c r="H230" s="199" t="s">
        <v>520</v>
      </c>
      <c r="I230" s="130"/>
      <c r="J230" s="126"/>
      <c r="K230" s="126"/>
      <c r="L230" s="125" t="str">
        <f>IF(I230&lt;&gt;0,((VLOOKUP(I230,'1. Standard_Cost'!$B$4:$D$11,2)+VLOOKUP(I230,'1. Standard_Cost'!$B$4:$D$11,3))*J230*K230),"0")</f>
        <v>0</v>
      </c>
      <c r="M230" s="125">
        <f>L230*'1. Standard_Cost'!$F$4</f>
        <v>0</v>
      </c>
      <c r="N230" s="126"/>
      <c r="O230" s="126"/>
      <c r="P230" s="126"/>
      <c r="Q230" s="126"/>
      <c r="R230" s="127">
        <f>'1. Standard_Cost'!$B$15*N230*P230</f>
        <v>0</v>
      </c>
      <c r="S230" s="127">
        <f>N230*O230*P230*'1. Standard_Cost'!$C$15</f>
        <v>0</v>
      </c>
      <c r="T230" s="127">
        <f>N230*P230*Q230*'1. Standard_Cost'!$D$15</f>
        <v>0</v>
      </c>
      <c r="U230" s="127">
        <f>N230*O230*'1. Standard_Cost'!$E$15</f>
        <v>0</v>
      </c>
      <c r="V230" s="126"/>
      <c r="W230" s="126"/>
      <c r="X230" s="126"/>
      <c r="Y230" s="127">
        <f>+V230*((X230*'1. Standard_Cost'!$B$19)+(W230*X230*'1. Standard_Cost'!$C$19))</f>
        <v>0</v>
      </c>
      <c r="Z230" s="126"/>
      <c r="AA230" s="126"/>
      <c r="AB230" s="127">
        <f>+Z230*'1. Standard_Cost'!$B$23+AA230*'1. Standard_Cost'!$C$23</f>
        <v>0</v>
      </c>
      <c r="AC230" s="128"/>
      <c r="AD230" s="129"/>
      <c r="AE230" s="127">
        <f>SUM(AD230,AC230,AB230,Y230,U230,T230,S230,R230)*'1. Standard_Cost'!$B$31</f>
        <v>0</v>
      </c>
      <c r="AF230" s="127">
        <f>SUM(AE230,AD230,AC230,AB230,Y230,U230,T230,S230,R230)</f>
        <v>0</v>
      </c>
      <c r="AG230" s="126"/>
      <c r="AH230" s="126"/>
      <c r="AI230" s="126"/>
      <c r="AJ230" s="130"/>
      <c r="AK230" s="130"/>
      <c r="AL230" s="130"/>
      <c r="AM230" s="127">
        <f>AG230*'1. Standard_Cost'!$B$27+'Incremental_Cost Year 6'!AH230*'1. Standard_Cost'!$C$27+'Incremental_Cost Year 6'!AI230*'1. Standard_Cost'!$D$27+'Incremental_Cost Year 6'!AJ230+'Incremental_Cost Year 6'!AL230+AK230</f>
        <v>0</v>
      </c>
      <c r="AN230" s="127">
        <f>AM230*'1. Standard_Cost'!$C$31</f>
        <v>0</v>
      </c>
      <c r="AO230" s="130"/>
      <c r="AQ230" s="171">
        <f>L230+M230</f>
        <v>0</v>
      </c>
      <c r="AR230" s="171">
        <f>AF230</f>
        <v>0</v>
      </c>
      <c r="AS230" s="171">
        <f>AM230+AN230</f>
        <v>0</v>
      </c>
      <c r="AT230" s="171">
        <f>SUM(AQ230,AR230,AS230)</f>
        <v>0</v>
      </c>
      <c r="AU230" s="250">
        <f>AQ230</f>
        <v>0</v>
      </c>
      <c r="AV230" s="250"/>
      <c r="AW230" s="250"/>
      <c r="AX230" s="250"/>
      <c r="AY230" s="250"/>
      <c r="AZ230" s="250"/>
      <c r="BA230" s="250"/>
      <c r="BB230" s="251">
        <f t="shared" si="153"/>
        <v>0</v>
      </c>
      <c r="BC230" s="169"/>
      <c r="BD230" s="169"/>
      <c r="BE230" s="169"/>
      <c r="BF230" s="169"/>
    </row>
    <row r="231" spans="1:58" ht="63" outlineLevel="1" x14ac:dyDescent="0.25">
      <c r="A231" s="115"/>
      <c r="B231" s="165"/>
      <c r="C231" s="166"/>
      <c r="D231" s="107" t="s">
        <v>507</v>
      </c>
      <c r="E231" s="212" t="s">
        <v>259</v>
      </c>
      <c r="F231" s="142">
        <v>2021</v>
      </c>
      <c r="G231" s="209">
        <v>2025</v>
      </c>
      <c r="H231" s="150" t="s">
        <v>260</v>
      </c>
      <c r="I231" s="252"/>
      <c r="J231" s="252"/>
      <c r="K231" s="252"/>
      <c r="L231" s="127">
        <f>SUM(L227:L230)</f>
        <v>70644171.428571418</v>
      </c>
      <c r="M231" s="127">
        <f>SUM(M227:M230)</f>
        <v>11797576.628571428</v>
      </c>
      <c r="N231" s="252"/>
      <c r="O231" s="252"/>
      <c r="P231" s="252"/>
      <c r="Q231" s="252"/>
      <c r="R231" s="127">
        <f>SUM(R227:R230)</f>
        <v>0</v>
      </c>
      <c r="S231" s="127">
        <f>SUM(S227:S230)</f>
        <v>0</v>
      </c>
      <c r="T231" s="127">
        <f>SUM(T227:T230)</f>
        <v>0</v>
      </c>
      <c r="U231" s="127">
        <f>SUM(U227:U230)</f>
        <v>0</v>
      </c>
      <c r="V231" s="252"/>
      <c r="W231" s="252"/>
      <c r="X231" s="252"/>
      <c r="Y231" s="127">
        <f>SUM(Y227:Y230)</f>
        <v>0</v>
      </c>
      <c r="Z231" s="127"/>
      <c r="AA231" s="252"/>
      <c r="AB231" s="127">
        <f>SUM(AB227:AB230)</f>
        <v>0</v>
      </c>
      <c r="AC231" s="127">
        <f>SUM(AC227:AC230)</f>
        <v>300000</v>
      </c>
      <c r="AD231" s="127">
        <f>SUM(AD227:AD230)</f>
        <v>0</v>
      </c>
      <c r="AE231" s="127">
        <f>SUM(AE227:AE230)</f>
        <v>60000</v>
      </c>
      <c r="AF231" s="127">
        <f>SUM(AF227:AF230)</f>
        <v>360000</v>
      </c>
      <c r="AG231" s="252"/>
      <c r="AH231" s="252"/>
      <c r="AI231" s="252"/>
      <c r="AJ231" s="127">
        <f>SUM(AJ227:AJ230)</f>
        <v>0</v>
      </c>
      <c r="AK231" s="127">
        <f>SUM(AK227:AK230)</f>
        <v>0</v>
      </c>
      <c r="AL231" s="127">
        <f>SUM(AL227:AL230)</f>
        <v>0</v>
      </c>
      <c r="AM231" s="127">
        <f>SUM(AM227:AM230)</f>
        <v>0</v>
      </c>
      <c r="AN231" s="127">
        <f>SUM(AN227:AN230)</f>
        <v>0</v>
      </c>
      <c r="AO231" s="253"/>
      <c r="AP231" s="254"/>
      <c r="AQ231" s="175">
        <f>SUM(AQ227:AQ230)</f>
        <v>82441748.057142854</v>
      </c>
      <c r="AR231" s="175">
        <f>SUM(AR227:AR230)</f>
        <v>360000</v>
      </c>
      <c r="AS231" s="175">
        <f>SUM(AS227:AS230)</f>
        <v>0</v>
      </c>
      <c r="AT231" s="175">
        <f>SUM(AT227:AT230)</f>
        <v>82801748.057142854</v>
      </c>
      <c r="AU231" s="175">
        <f t="shared" ref="AU231:BB231" si="154">SUM(AU227:AU230)</f>
        <v>82801748.057142854</v>
      </c>
      <c r="AV231" s="175">
        <f t="shared" si="154"/>
        <v>0</v>
      </c>
      <c r="AW231" s="175">
        <f t="shared" si="154"/>
        <v>0</v>
      </c>
      <c r="AX231" s="175">
        <f t="shared" si="154"/>
        <v>0</v>
      </c>
      <c r="AY231" s="175">
        <f t="shared" si="154"/>
        <v>0</v>
      </c>
      <c r="AZ231" s="175">
        <f t="shared" si="154"/>
        <v>0</v>
      </c>
      <c r="BA231" s="175">
        <f t="shared" si="154"/>
        <v>0</v>
      </c>
      <c r="BB231" s="175">
        <f t="shared" si="154"/>
        <v>0</v>
      </c>
      <c r="BC231" s="169"/>
      <c r="BD231" s="169"/>
      <c r="BE231" s="169"/>
      <c r="BF231" s="169"/>
    </row>
    <row r="232" spans="1:58" s="184" customFormat="1" ht="15.75" customHeight="1" x14ac:dyDescent="0.25">
      <c r="A232" s="143"/>
      <c r="B232" s="332"/>
      <c r="C232" s="397" t="s">
        <v>261</v>
      </c>
      <c r="D232" s="397"/>
      <c r="E232" s="398"/>
      <c r="F232" s="291"/>
      <c r="G232" s="340"/>
      <c r="H232" s="144" t="s">
        <v>302</v>
      </c>
      <c r="I232" s="257"/>
      <c r="J232" s="257"/>
      <c r="K232" s="257"/>
      <c r="L232" s="258">
        <f>SUM(L237)</f>
        <v>0</v>
      </c>
      <c r="M232" s="258">
        <f>SUM(M237)</f>
        <v>0</v>
      </c>
      <c r="N232" s="257"/>
      <c r="O232" s="257"/>
      <c r="P232" s="257"/>
      <c r="Q232" s="257"/>
      <c r="R232" s="258">
        <f>SUM(R237)</f>
        <v>0</v>
      </c>
      <c r="S232" s="258">
        <f>SUM(S237)</f>
        <v>0</v>
      </c>
      <c r="T232" s="258">
        <f>SUM(T237)</f>
        <v>0</v>
      </c>
      <c r="U232" s="258">
        <f>SUM(U237)</f>
        <v>0</v>
      </c>
      <c r="V232" s="257"/>
      <c r="W232" s="257"/>
      <c r="X232" s="257"/>
      <c r="Y232" s="258">
        <f>SUM(Y237)</f>
        <v>0</v>
      </c>
      <c r="Z232" s="258"/>
      <c r="AA232" s="258"/>
      <c r="AB232" s="258">
        <f>SUM(AB237)</f>
        <v>0</v>
      </c>
      <c r="AC232" s="258">
        <f>SUM(AC237)</f>
        <v>0</v>
      </c>
      <c r="AD232" s="258">
        <f>SUM(AD237)</f>
        <v>0</v>
      </c>
      <c r="AE232" s="258">
        <f>SUM(AE237)</f>
        <v>0</v>
      </c>
      <c r="AF232" s="258">
        <f>SUM(AF237)</f>
        <v>0</v>
      </c>
      <c r="AG232" s="257"/>
      <c r="AH232" s="257"/>
      <c r="AI232" s="257"/>
      <c r="AJ232" s="258">
        <f>SUM(AJ237)</f>
        <v>0</v>
      </c>
      <c r="AK232" s="258">
        <f>SUM(AK237)</f>
        <v>0</v>
      </c>
      <c r="AL232" s="258">
        <f>SUM(AL237)</f>
        <v>0</v>
      </c>
      <c r="AM232" s="258">
        <f>SUM(AM237)</f>
        <v>0</v>
      </c>
      <c r="AN232" s="258">
        <f>SUM(AN237)</f>
        <v>0</v>
      </c>
      <c r="AO232" s="259"/>
      <c r="AP232" s="260"/>
      <c r="AQ232" s="261">
        <f>SUM(AQ237)</f>
        <v>0</v>
      </c>
      <c r="AR232" s="261">
        <f>SUM(AR237)</f>
        <v>0</v>
      </c>
      <c r="AS232" s="261">
        <f>SUM(AS237)</f>
        <v>0</v>
      </c>
      <c r="AT232" s="261">
        <f>SUM(AT237)</f>
        <v>0</v>
      </c>
      <c r="AU232" s="261">
        <f t="shared" ref="AU232:BB232" si="155">SUM(AU237)</f>
        <v>0</v>
      </c>
      <c r="AV232" s="261">
        <f t="shared" si="155"/>
        <v>0</v>
      </c>
      <c r="AW232" s="261">
        <f t="shared" si="155"/>
        <v>0</v>
      </c>
      <c r="AX232" s="261">
        <f t="shared" si="155"/>
        <v>0</v>
      </c>
      <c r="AY232" s="261">
        <f t="shared" si="155"/>
        <v>0</v>
      </c>
      <c r="AZ232" s="261">
        <f t="shared" si="155"/>
        <v>0</v>
      </c>
      <c r="BA232" s="261">
        <f t="shared" si="155"/>
        <v>0</v>
      </c>
      <c r="BB232" s="261">
        <f t="shared" si="155"/>
        <v>0</v>
      </c>
    </row>
    <row r="233" spans="1:58" ht="78.75" outlineLevel="2" x14ac:dyDescent="0.25">
      <c r="A233" s="115"/>
      <c r="B233" s="200"/>
      <c r="C233" s="201"/>
      <c r="D233" s="342"/>
      <c r="E233" s="328"/>
      <c r="F233" s="328"/>
      <c r="G233" s="328"/>
      <c r="H233" s="213" t="s">
        <v>521</v>
      </c>
      <c r="I233" s="130"/>
      <c r="J233" s="126"/>
      <c r="K233" s="126"/>
      <c r="L233" s="125" t="str">
        <f>IF(I233&lt;&gt;0,((VLOOKUP(I233,'1. Standard_Cost'!$B$4:$D$11,2)+VLOOKUP(I233,'1. Standard_Cost'!$B$4:$D$11,3))*J233*K233),"0")</f>
        <v>0</v>
      </c>
      <c r="M233" s="125">
        <f>L233*'1. Standard_Cost'!$F$4</f>
        <v>0</v>
      </c>
      <c r="N233" s="126"/>
      <c r="O233" s="126"/>
      <c r="P233" s="126"/>
      <c r="Q233" s="126"/>
      <c r="R233" s="127">
        <f>'1. Standard_Cost'!$B$15*N233*P233</f>
        <v>0</v>
      </c>
      <c r="S233" s="127">
        <f>N233*O233*P233*'1. Standard_Cost'!$C$15</f>
        <v>0</v>
      </c>
      <c r="T233" s="127">
        <f>N233*P233*Q233*'1. Standard_Cost'!$D$15</f>
        <v>0</v>
      </c>
      <c r="U233" s="127">
        <f>N233*O233*'1. Standard_Cost'!$E$15</f>
        <v>0</v>
      </c>
      <c r="V233" s="126"/>
      <c r="W233" s="126"/>
      <c r="X233" s="126"/>
      <c r="Y233" s="127">
        <f>+V233*((X233*'1. Standard_Cost'!$B$19)+(W233*X233*'1. Standard_Cost'!$C$19))</f>
        <v>0</v>
      </c>
      <c r="Z233" s="126"/>
      <c r="AA233" s="126"/>
      <c r="AB233" s="127">
        <f>+Z233*'1. Standard_Cost'!$B$23+AA233*'1. Standard_Cost'!$C$23</f>
        <v>0</v>
      </c>
      <c r="AC233" s="128"/>
      <c r="AD233" s="129"/>
      <c r="AE233" s="127">
        <f>SUM(AD233,AC233,AB233,Y233,U233,T233,S233,R233)*'1. Standard_Cost'!$B$31</f>
        <v>0</v>
      </c>
      <c r="AF233" s="127">
        <f>SUM(AE233,AD233,AC233,AB233,Y233,U233,T233,S233,R233)</f>
        <v>0</v>
      </c>
      <c r="AG233" s="126"/>
      <c r="AH233" s="126"/>
      <c r="AI233" s="126"/>
      <c r="AJ233" s="130"/>
      <c r="AK233" s="130"/>
      <c r="AL233" s="130"/>
      <c r="AM233" s="127">
        <f>AG233*'1. Standard_Cost'!$B$27+'Incremental_Cost Year 6'!AH233*'1. Standard_Cost'!$C$27+'Incremental_Cost Year 6'!AI233*'1. Standard_Cost'!$D$27+'Incremental_Cost Year 6'!AJ233+'Incremental_Cost Year 6'!AL233+AK233</f>
        <v>0</v>
      </c>
      <c r="AN233" s="127">
        <f>AM233*'1. Standard_Cost'!$C$31</f>
        <v>0</v>
      </c>
      <c r="AO233" s="130"/>
      <c r="AQ233" s="171">
        <f>L233+M233</f>
        <v>0</v>
      </c>
      <c r="AR233" s="171">
        <f>AF233</f>
        <v>0</v>
      </c>
      <c r="AS233" s="171">
        <f>AM233+AN233</f>
        <v>0</v>
      </c>
      <c r="AT233" s="171">
        <f>SUM(AQ233,AR233,AS233)</f>
        <v>0</v>
      </c>
      <c r="AU233" s="250">
        <f>AT233</f>
        <v>0</v>
      </c>
      <c r="AV233" s="250"/>
      <c r="AW233" s="250"/>
      <c r="AX233" s="250"/>
      <c r="AY233" s="250"/>
      <c r="AZ233" s="250"/>
      <c r="BA233" s="250"/>
      <c r="BB233" s="251">
        <f t="shared" ref="BB233:BB236" si="156">SUM(AU233:BA233)-AT233</f>
        <v>0</v>
      </c>
      <c r="BC233" s="169"/>
      <c r="BD233" s="169"/>
      <c r="BE233" s="169"/>
      <c r="BF233" s="169"/>
    </row>
    <row r="234" spans="1:58" ht="94.5" outlineLevel="2" x14ac:dyDescent="0.25">
      <c r="A234" s="115"/>
      <c r="B234" s="200"/>
      <c r="C234" s="201"/>
      <c r="D234" s="343"/>
      <c r="E234" s="328"/>
      <c r="F234" s="328"/>
      <c r="G234" s="328"/>
      <c r="H234" s="199" t="s">
        <v>522</v>
      </c>
      <c r="I234" s="130"/>
      <c r="J234" s="126"/>
      <c r="K234" s="126"/>
      <c r="L234" s="125" t="str">
        <f>IF(I234&lt;&gt;0,((VLOOKUP(I234,'1. Standard_Cost'!$B$4:$D$11,2)+VLOOKUP(I234,'1. Standard_Cost'!$B$4:$D$11,3))*J234*K234),"0")</f>
        <v>0</v>
      </c>
      <c r="M234" s="125">
        <f>L234*'1. Standard_Cost'!$F$4</f>
        <v>0</v>
      </c>
      <c r="N234" s="126"/>
      <c r="O234" s="126"/>
      <c r="P234" s="126"/>
      <c r="Q234" s="126"/>
      <c r="R234" s="127">
        <f>'1. Standard_Cost'!$B$15*N234*P234</f>
        <v>0</v>
      </c>
      <c r="S234" s="127">
        <f>N234*O234*P234*'1. Standard_Cost'!$C$15</f>
        <v>0</v>
      </c>
      <c r="T234" s="127">
        <f>N234*P234*Q234*'1. Standard_Cost'!$D$15</f>
        <v>0</v>
      </c>
      <c r="U234" s="127">
        <f>N234*O234*'1. Standard_Cost'!$E$15</f>
        <v>0</v>
      </c>
      <c r="V234" s="126"/>
      <c r="W234" s="126"/>
      <c r="X234" s="126"/>
      <c r="Y234" s="127">
        <f>+V234*((X234*'1. Standard_Cost'!$B$19)+(W234*X234*'1. Standard_Cost'!$C$19))</f>
        <v>0</v>
      </c>
      <c r="Z234" s="126"/>
      <c r="AA234" s="126"/>
      <c r="AB234" s="127">
        <f>+Z234*'1. Standard_Cost'!$B$23+AA234*'1. Standard_Cost'!$C$23</f>
        <v>0</v>
      </c>
      <c r="AC234" s="128"/>
      <c r="AD234" s="129"/>
      <c r="AE234" s="127">
        <f>SUM(AD234,AC234,AB234,Y234,U234,T234,S234,R234)*'1. Standard_Cost'!$B$31</f>
        <v>0</v>
      </c>
      <c r="AF234" s="127">
        <f>SUM(AE234,AD234,AC234,AB234,Y234,U234,T234,S234,R234)</f>
        <v>0</v>
      </c>
      <c r="AG234" s="126"/>
      <c r="AH234" s="126"/>
      <c r="AI234" s="126"/>
      <c r="AJ234" s="130"/>
      <c r="AK234" s="130"/>
      <c r="AL234" s="130"/>
      <c r="AM234" s="127">
        <f>AG234*'1. Standard_Cost'!$B$27+'Incremental_Cost Year 6'!AH234*'1. Standard_Cost'!$C$27+'Incremental_Cost Year 6'!AI234*'1. Standard_Cost'!$D$27+'Incremental_Cost Year 6'!AJ234+'Incremental_Cost Year 6'!AL234+AK234</f>
        <v>0</v>
      </c>
      <c r="AN234" s="127">
        <f>AM234*'1. Standard_Cost'!$C$31</f>
        <v>0</v>
      </c>
      <c r="AO234" s="130"/>
      <c r="AQ234" s="171">
        <f>L234+M234</f>
        <v>0</v>
      </c>
      <c r="AR234" s="171">
        <f>AF234</f>
        <v>0</v>
      </c>
      <c r="AS234" s="171">
        <f>AM234+AN234</f>
        <v>0</v>
      </c>
      <c r="AT234" s="171">
        <f>SUM(AQ234,AR234,AS234)</f>
        <v>0</v>
      </c>
      <c r="AU234" s="250">
        <f>AT234</f>
        <v>0</v>
      </c>
      <c r="AV234" s="250"/>
      <c r="AW234" s="250"/>
      <c r="AX234" s="250"/>
      <c r="AY234" s="250"/>
      <c r="AZ234" s="250"/>
      <c r="BA234" s="250"/>
      <c r="BB234" s="251">
        <f t="shared" si="156"/>
        <v>0</v>
      </c>
      <c r="BC234" s="169"/>
      <c r="BD234" s="169"/>
      <c r="BE234" s="169"/>
      <c r="BF234" s="169"/>
    </row>
    <row r="235" spans="1:58" ht="94.5" outlineLevel="2" x14ac:dyDescent="0.25">
      <c r="A235" s="115"/>
      <c r="B235" s="200"/>
      <c r="C235" s="201"/>
      <c r="D235" s="343"/>
      <c r="E235" s="328"/>
      <c r="F235" s="328"/>
      <c r="G235" s="328"/>
      <c r="H235" s="199" t="s">
        <v>523</v>
      </c>
      <c r="I235" s="130"/>
      <c r="J235" s="126"/>
      <c r="K235" s="126"/>
      <c r="L235" s="125" t="str">
        <f>IF(I235&lt;&gt;0,((VLOOKUP(I235,'1. Standard_Cost'!$B$4:$D$11,2)+VLOOKUP(I235,'1. Standard_Cost'!$B$4:$D$11,3))*J235*K235),"0")</f>
        <v>0</v>
      </c>
      <c r="M235" s="125">
        <f>L235*'1. Standard_Cost'!$F$4</f>
        <v>0</v>
      </c>
      <c r="N235" s="126"/>
      <c r="O235" s="126"/>
      <c r="P235" s="126"/>
      <c r="Q235" s="126"/>
      <c r="R235" s="127">
        <f>'1. Standard_Cost'!$B$15*N235*P235</f>
        <v>0</v>
      </c>
      <c r="S235" s="127">
        <f>N235*O235*P235*'1. Standard_Cost'!$C$15</f>
        <v>0</v>
      </c>
      <c r="T235" s="127">
        <f>N235*P235*Q235*'1. Standard_Cost'!$D$15</f>
        <v>0</v>
      </c>
      <c r="U235" s="127">
        <f>N235*O235*'1. Standard_Cost'!$E$15</f>
        <v>0</v>
      </c>
      <c r="V235" s="126"/>
      <c r="W235" s="126"/>
      <c r="X235" s="126"/>
      <c r="Y235" s="127">
        <f>+V235*((X235*'1. Standard_Cost'!$B$19)+(W235*X235*'1. Standard_Cost'!$C$19))</f>
        <v>0</v>
      </c>
      <c r="Z235" s="126"/>
      <c r="AA235" s="126"/>
      <c r="AB235" s="127">
        <f>+Z235*'1. Standard_Cost'!$B$23+AA235*'1. Standard_Cost'!$C$23</f>
        <v>0</v>
      </c>
      <c r="AC235" s="128"/>
      <c r="AD235" s="129"/>
      <c r="AE235" s="127">
        <f>SUM(AD235,AC235,AB235,Y235,U235,T235,S235,R235)*'1. Standard_Cost'!$B$31</f>
        <v>0</v>
      </c>
      <c r="AF235" s="127">
        <f>SUM(AE235,AD235,AC235,AB235,Y235,U235,T235,S235,R235)</f>
        <v>0</v>
      </c>
      <c r="AG235" s="126"/>
      <c r="AH235" s="126"/>
      <c r="AI235" s="126"/>
      <c r="AJ235" s="130"/>
      <c r="AK235" s="130"/>
      <c r="AL235" s="130"/>
      <c r="AM235" s="127">
        <f>AG235*'1. Standard_Cost'!$B$27+'Incremental_Cost Year 6'!AH235*'1. Standard_Cost'!$C$27+'Incremental_Cost Year 6'!AI235*'1. Standard_Cost'!$D$27+'Incremental_Cost Year 6'!AJ235+'Incremental_Cost Year 6'!AL235+AK235</f>
        <v>0</v>
      </c>
      <c r="AN235" s="127">
        <f>AM235*'1. Standard_Cost'!$C$31</f>
        <v>0</v>
      </c>
      <c r="AO235" s="130"/>
      <c r="AQ235" s="171">
        <f>L235+M235</f>
        <v>0</v>
      </c>
      <c r="AR235" s="171">
        <f>AF235</f>
        <v>0</v>
      </c>
      <c r="AS235" s="171">
        <f>AM235+AN235</f>
        <v>0</v>
      </c>
      <c r="AT235" s="171">
        <f>SUM(AQ235,AR235,AS235)</f>
        <v>0</v>
      </c>
      <c r="AU235" s="250">
        <f>AT235</f>
        <v>0</v>
      </c>
      <c r="AV235" s="250"/>
      <c r="AW235" s="250"/>
      <c r="AX235" s="250"/>
      <c r="AY235" s="250"/>
      <c r="AZ235" s="250"/>
      <c r="BA235" s="250"/>
      <c r="BB235" s="251">
        <f t="shared" si="156"/>
        <v>0</v>
      </c>
      <c r="BC235" s="169"/>
      <c r="BD235" s="169"/>
      <c r="BE235" s="169"/>
      <c r="BF235" s="169"/>
    </row>
    <row r="236" spans="1:58" ht="78.75" outlineLevel="2" x14ac:dyDescent="0.25">
      <c r="A236" s="115"/>
      <c r="B236" s="200"/>
      <c r="C236" s="201"/>
      <c r="D236" s="344"/>
      <c r="E236" s="328"/>
      <c r="F236" s="328"/>
      <c r="G236" s="328"/>
      <c r="H236" s="199" t="s">
        <v>524</v>
      </c>
      <c r="I236" s="130"/>
      <c r="J236" s="126"/>
      <c r="K236" s="126"/>
      <c r="L236" s="125" t="str">
        <f>IF(I236&lt;&gt;0,((VLOOKUP(I236,'1. Standard_Cost'!$B$4:$D$11,2)+VLOOKUP(I236,'1. Standard_Cost'!$B$4:$D$11,3))*J236*K236),"0")</f>
        <v>0</v>
      </c>
      <c r="M236" s="125">
        <f>L236*'1. Standard_Cost'!$F$4</f>
        <v>0</v>
      </c>
      <c r="N236" s="126"/>
      <c r="O236" s="126"/>
      <c r="P236" s="126"/>
      <c r="Q236" s="126"/>
      <c r="R236" s="127">
        <f>'1. Standard_Cost'!$B$15*N236*P236</f>
        <v>0</v>
      </c>
      <c r="S236" s="127">
        <f>N236*O236*P236*'1. Standard_Cost'!$C$15</f>
        <v>0</v>
      </c>
      <c r="T236" s="127">
        <f>N236*P236*Q236*'1. Standard_Cost'!$D$15</f>
        <v>0</v>
      </c>
      <c r="U236" s="127">
        <f>N236*O236*'1. Standard_Cost'!$E$15</f>
        <v>0</v>
      </c>
      <c r="V236" s="126"/>
      <c r="W236" s="126"/>
      <c r="X236" s="126"/>
      <c r="Y236" s="127">
        <f>+V236*((X236*'1. Standard_Cost'!$B$19)+(W236*X236*'1. Standard_Cost'!$C$19))</f>
        <v>0</v>
      </c>
      <c r="Z236" s="126"/>
      <c r="AA236" s="126"/>
      <c r="AB236" s="127">
        <f>+Z236*'1. Standard_Cost'!$B$23+AA236*'1. Standard_Cost'!$C$23</f>
        <v>0</v>
      </c>
      <c r="AC236" s="128"/>
      <c r="AD236" s="129"/>
      <c r="AE236" s="127">
        <f>SUM(AD236,AC236,AB236,Y236,U236,T236,S236,R236)*'1. Standard_Cost'!$B$31</f>
        <v>0</v>
      </c>
      <c r="AF236" s="127">
        <f>SUM(AE236,AD236,AC236,AB236,Y236,U236,T236,S236,R236)</f>
        <v>0</v>
      </c>
      <c r="AG236" s="126"/>
      <c r="AH236" s="126"/>
      <c r="AI236" s="126"/>
      <c r="AJ236" s="130"/>
      <c r="AK236" s="130"/>
      <c r="AL236" s="130"/>
      <c r="AM236" s="127">
        <f>AG236*'1. Standard_Cost'!$B$27+'Incremental_Cost Year 6'!AH236*'1. Standard_Cost'!$C$27+'Incremental_Cost Year 6'!AI236*'1. Standard_Cost'!$D$27+'Incremental_Cost Year 6'!AJ236+'Incremental_Cost Year 6'!AL236+AK236</f>
        <v>0</v>
      </c>
      <c r="AN236" s="127">
        <f>AM236*'1. Standard_Cost'!$C$31</f>
        <v>0</v>
      </c>
      <c r="AO236" s="130"/>
      <c r="AQ236" s="171">
        <f>L236+M236</f>
        <v>0</v>
      </c>
      <c r="AR236" s="171">
        <f>AF236</f>
        <v>0</v>
      </c>
      <c r="AS236" s="171">
        <f>AM236+AN236</f>
        <v>0</v>
      </c>
      <c r="AT236" s="171">
        <f>SUM(AQ236,AR236,AS236)</f>
        <v>0</v>
      </c>
      <c r="AU236" s="250">
        <f>AT236</f>
        <v>0</v>
      </c>
      <c r="AV236" s="250"/>
      <c r="AW236" s="250"/>
      <c r="AX236" s="250"/>
      <c r="AY236" s="250"/>
      <c r="AZ236" s="250"/>
      <c r="BA236" s="250"/>
      <c r="BB236" s="251">
        <f t="shared" si="156"/>
        <v>0</v>
      </c>
      <c r="BC236" s="169"/>
      <c r="BD236" s="169"/>
      <c r="BE236" s="169"/>
      <c r="BF236" s="169"/>
    </row>
    <row r="237" spans="1:58" ht="63" outlineLevel="1" x14ac:dyDescent="0.25">
      <c r="A237" s="115"/>
      <c r="B237" s="165"/>
      <c r="C237" s="166"/>
      <c r="D237" s="209" t="s">
        <v>563</v>
      </c>
      <c r="E237" s="212" t="s">
        <v>263</v>
      </c>
      <c r="F237" s="136">
        <v>2023</v>
      </c>
      <c r="G237" s="117">
        <v>2025</v>
      </c>
      <c r="H237" s="150" t="s">
        <v>264</v>
      </c>
      <c r="I237" s="252"/>
      <c r="J237" s="252"/>
      <c r="K237" s="252"/>
      <c r="L237" s="127">
        <f>SUM(L233:L236)</f>
        <v>0</v>
      </c>
      <c r="M237" s="127">
        <f>SUM(M233:M236)</f>
        <v>0</v>
      </c>
      <c r="N237" s="252"/>
      <c r="O237" s="252"/>
      <c r="P237" s="252"/>
      <c r="Q237" s="252"/>
      <c r="R237" s="127">
        <f>SUM(R233:R236)</f>
        <v>0</v>
      </c>
      <c r="S237" s="127">
        <f>SUM(S233:S236)</f>
        <v>0</v>
      </c>
      <c r="T237" s="127">
        <f>SUM(T233:T236)</f>
        <v>0</v>
      </c>
      <c r="U237" s="127">
        <f>SUM(U233:U236)</f>
        <v>0</v>
      </c>
      <c r="V237" s="252"/>
      <c r="W237" s="252"/>
      <c r="X237" s="252"/>
      <c r="Y237" s="127">
        <f>SUM(Y233:Y236)</f>
        <v>0</v>
      </c>
      <c r="Z237" s="127"/>
      <c r="AA237" s="252"/>
      <c r="AB237" s="127">
        <f>SUM(AB233:AB236)</f>
        <v>0</v>
      </c>
      <c r="AC237" s="127">
        <f>SUM(AC233:AC236)</f>
        <v>0</v>
      </c>
      <c r="AD237" s="127">
        <f>SUM(AD233:AD236)</f>
        <v>0</v>
      </c>
      <c r="AE237" s="127">
        <f>SUM(AE233:AE236)</f>
        <v>0</v>
      </c>
      <c r="AF237" s="127">
        <f>SUM(AF233:AF236)</f>
        <v>0</v>
      </c>
      <c r="AG237" s="252"/>
      <c r="AH237" s="252"/>
      <c r="AI237" s="252"/>
      <c r="AJ237" s="127">
        <f>SUM(AJ233:AJ236)</f>
        <v>0</v>
      </c>
      <c r="AK237" s="127">
        <f>SUM(AK233:AK236)</f>
        <v>0</v>
      </c>
      <c r="AL237" s="127">
        <f>SUM(AL233:AL236)</f>
        <v>0</v>
      </c>
      <c r="AM237" s="127">
        <f>SUM(AM233:AM236)</f>
        <v>0</v>
      </c>
      <c r="AN237" s="127">
        <f>SUM(AN233:AN236)</f>
        <v>0</v>
      </c>
      <c r="AO237" s="253"/>
      <c r="AP237" s="254"/>
      <c r="AQ237" s="175">
        <f>SUM(AQ233:AQ236)</f>
        <v>0</v>
      </c>
      <c r="AR237" s="175">
        <f>SUM(AR233:AR236)</f>
        <v>0</v>
      </c>
      <c r="AS237" s="175">
        <f>SUM(AS233:AS236)</f>
        <v>0</v>
      </c>
      <c r="AT237" s="175">
        <f>SUM(AT233:AT236)</f>
        <v>0</v>
      </c>
      <c r="AU237" s="175">
        <f t="shared" ref="AU237:BB237" si="157">SUM(AU233:AU236)</f>
        <v>0</v>
      </c>
      <c r="AV237" s="175">
        <f t="shared" si="157"/>
        <v>0</v>
      </c>
      <c r="AW237" s="175">
        <f t="shared" si="157"/>
        <v>0</v>
      </c>
      <c r="AX237" s="175">
        <f t="shared" si="157"/>
        <v>0</v>
      </c>
      <c r="AY237" s="175">
        <f t="shared" si="157"/>
        <v>0</v>
      </c>
      <c r="AZ237" s="175">
        <f t="shared" si="157"/>
        <v>0</v>
      </c>
      <c r="BA237" s="175">
        <f t="shared" si="157"/>
        <v>0</v>
      </c>
      <c r="BB237" s="175">
        <f t="shared" si="157"/>
        <v>0</v>
      </c>
      <c r="BC237" s="169"/>
      <c r="BD237" s="169"/>
      <c r="BE237" s="169"/>
      <c r="BF237" s="169"/>
    </row>
    <row r="238" spans="1:58" s="184" customFormat="1" ht="15.75" customHeight="1" x14ac:dyDescent="0.25">
      <c r="A238" s="143"/>
      <c r="B238" s="332"/>
      <c r="C238" s="397" t="s">
        <v>265</v>
      </c>
      <c r="D238" s="397"/>
      <c r="E238" s="398"/>
      <c r="F238" s="291"/>
      <c r="G238" s="340"/>
      <c r="H238" s="144" t="s">
        <v>303</v>
      </c>
      <c r="I238" s="257"/>
      <c r="J238" s="257"/>
      <c r="K238" s="257"/>
      <c r="L238" s="258">
        <f>SUM(L243)</f>
        <v>0</v>
      </c>
      <c r="M238" s="258">
        <f>SUM(M243)</f>
        <v>0</v>
      </c>
      <c r="N238" s="257"/>
      <c r="O238" s="257"/>
      <c r="P238" s="257"/>
      <c r="Q238" s="257"/>
      <c r="R238" s="258">
        <f>SUM(R243)</f>
        <v>0</v>
      </c>
      <c r="S238" s="258">
        <f>SUM(S243)</f>
        <v>0</v>
      </c>
      <c r="T238" s="258">
        <f>SUM(T243)</f>
        <v>0</v>
      </c>
      <c r="U238" s="258">
        <f>SUM(U243)</f>
        <v>0</v>
      </c>
      <c r="V238" s="257"/>
      <c r="W238" s="257"/>
      <c r="X238" s="257"/>
      <c r="Y238" s="258">
        <f>SUM(Y243)</f>
        <v>0</v>
      </c>
      <c r="Z238" s="258"/>
      <c r="AA238" s="258"/>
      <c r="AB238" s="258">
        <f>SUM(AB243)</f>
        <v>0</v>
      </c>
      <c r="AC238" s="258">
        <f>SUM(AC243)</f>
        <v>0</v>
      </c>
      <c r="AD238" s="258">
        <f>SUM(AD243)</f>
        <v>0</v>
      </c>
      <c r="AE238" s="258">
        <f>SUM(AE243)</f>
        <v>0</v>
      </c>
      <c r="AF238" s="258">
        <f>SUM(AF243)</f>
        <v>0</v>
      </c>
      <c r="AG238" s="257"/>
      <c r="AH238" s="257"/>
      <c r="AI238" s="257"/>
      <c r="AJ238" s="258">
        <f>SUM(AJ243)</f>
        <v>0</v>
      </c>
      <c r="AK238" s="258">
        <f>SUM(AK243)</f>
        <v>0</v>
      </c>
      <c r="AL238" s="258">
        <f>SUM(AL243)</f>
        <v>0</v>
      </c>
      <c r="AM238" s="258">
        <f>SUM(AM243)</f>
        <v>0</v>
      </c>
      <c r="AN238" s="258">
        <f>SUM(AN243)</f>
        <v>0</v>
      </c>
      <c r="AO238" s="259"/>
      <c r="AP238" s="260"/>
      <c r="AQ238" s="261">
        <f>SUM(AQ243)</f>
        <v>0</v>
      </c>
      <c r="AR238" s="261">
        <f>SUM(AR243)</f>
        <v>0</v>
      </c>
      <c r="AS238" s="261">
        <f>SUM(AS243)</f>
        <v>0</v>
      </c>
      <c r="AT238" s="261">
        <f>SUM(AT243)</f>
        <v>0</v>
      </c>
      <c r="AU238" s="261">
        <f t="shared" ref="AU238:BB238" si="158">SUM(AU243)</f>
        <v>0</v>
      </c>
      <c r="AV238" s="261">
        <f t="shared" si="158"/>
        <v>0</v>
      </c>
      <c r="AW238" s="261">
        <f t="shared" si="158"/>
        <v>0</v>
      </c>
      <c r="AX238" s="261">
        <f t="shared" si="158"/>
        <v>0</v>
      </c>
      <c r="AY238" s="261">
        <f t="shared" si="158"/>
        <v>0</v>
      </c>
      <c r="AZ238" s="261">
        <f t="shared" si="158"/>
        <v>0</v>
      </c>
      <c r="BA238" s="261">
        <f t="shared" si="158"/>
        <v>0</v>
      </c>
      <c r="BB238" s="261">
        <f t="shared" si="158"/>
        <v>0</v>
      </c>
    </row>
    <row r="239" spans="1:58" ht="63" outlineLevel="2" x14ac:dyDescent="0.25">
      <c r="A239" s="115"/>
      <c r="B239" s="200"/>
      <c r="C239" s="201"/>
      <c r="D239" s="202"/>
      <c r="E239" s="354"/>
      <c r="F239" s="355"/>
      <c r="G239" s="356"/>
      <c r="H239" s="199" t="s">
        <v>525</v>
      </c>
      <c r="I239" s="130"/>
      <c r="J239" s="126"/>
      <c r="K239" s="126"/>
      <c r="L239" s="125" t="str">
        <f>IF(I239&lt;&gt;0,((VLOOKUP(I239,'1. Standard_Cost'!$B$4:$D$11,2)+VLOOKUP(I239,'1. Standard_Cost'!$B$4:$D$11,3))*J239*K239),"0")</f>
        <v>0</v>
      </c>
      <c r="M239" s="125">
        <f>L239*'1. Standard_Cost'!$F$4</f>
        <v>0</v>
      </c>
      <c r="N239" s="126"/>
      <c r="O239" s="126"/>
      <c r="P239" s="126"/>
      <c r="Q239" s="126"/>
      <c r="R239" s="127">
        <f>'1. Standard_Cost'!$B$15*N239*P239</f>
        <v>0</v>
      </c>
      <c r="S239" s="127">
        <f>N239*O239*P239*'1. Standard_Cost'!$C$15</f>
        <v>0</v>
      </c>
      <c r="T239" s="127">
        <f>N239*P239*Q239*'1. Standard_Cost'!$D$15</f>
        <v>0</v>
      </c>
      <c r="U239" s="127">
        <f>N239*O239*'1. Standard_Cost'!$E$15</f>
        <v>0</v>
      </c>
      <c r="V239" s="126"/>
      <c r="W239" s="126"/>
      <c r="X239" s="126"/>
      <c r="Y239" s="127">
        <f>+V239*((X239*'1. Standard_Cost'!$B$19)+(W239*X239*'1. Standard_Cost'!$C$19))</f>
        <v>0</v>
      </c>
      <c r="Z239" s="126"/>
      <c r="AA239" s="126"/>
      <c r="AB239" s="127">
        <f>+Z239*'1. Standard_Cost'!$B$23+AA239*'1. Standard_Cost'!$C$23</f>
        <v>0</v>
      </c>
      <c r="AC239" s="128"/>
      <c r="AD239" s="129"/>
      <c r="AE239" s="127">
        <f>SUM(AD239,AC239,AB239,Y239,U239,T239,S239,R239)*'1. Standard_Cost'!$B$31</f>
        <v>0</v>
      </c>
      <c r="AF239" s="127">
        <f>SUM(AE239,AD239,AC239,AB239,Y239,U239,T239,S239,R239)</f>
        <v>0</v>
      </c>
      <c r="AG239" s="126"/>
      <c r="AH239" s="126"/>
      <c r="AI239" s="126"/>
      <c r="AJ239" s="130"/>
      <c r="AK239" s="130"/>
      <c r="AL239" s="130"/>
      <c r="AM239" s="127">
        <f>AG239*'1. Standard_Cost'!$B$27+'Incremental_Cost Year 6'!AH239*'1. Standard_Cost'!$C$27+'Incremental_Cost Year 6'!AI239*'1. Standard_Cost'!$D$27+'Incremental_Cost Year 6'!AJ239+'Incremental_Cost Year 6'!AL239+AK239</f>
        <v>0</v>
      </c>
      <c r="AN239" s="127">
        <f>AM239*'1. Standard_Cost'!$C$31</f>
        <v>0</v>
      </c>
      <c r="AO239" s="130"/>
      <c r="AQ239" s="171">
        <f>L239+M239</f>
        <v>0</v>
      </c>
      <c r="AR239" s="171">
        <f>AF239</f>
        <v>0</v>
      </c>
      <c r="AS239" s="171">
        <f>AM239+AN239</f>
        <v>0</v>
      </c>
      <c r="AT239" s="171">
        <f>SUM(AQ239,AR239,AS239)</f>
        <v>0</v>
      </c>
      <c r="AU239" s="250">
        <f>AT239</f>
        <v>0</v>
      </c>
      <c r="AV239" s="250"/>
      <c r="AW239" s="250"/>
      <c r="AX239" s="250"/>
      <c r="AY239" s="250"/>
      <c r="AZ239" s="250"/>
      <c r="BA239" s="250"/>
      <c r="BB239" s="251">
        <f t="shared" ref="BB239:BB242" si="159">SUM(AU239:BA239)-AT239</f>
        <v>0</v>
      </c>
      <c r="BC239" s="169"/>
      <c r="BD239" s="169"/>
      <c r="BE239" s="169"/>
      <c r="BF239" s="169"/>
    </row>
    <row r="240" spans="1:58" ht="31.5" outlineLevel="2" x14ac:dyDescent="0.25">
      <c r="A240" s="115"/>
      <c r="B240" s="200"/>
      <c r="C240" s="201"/>
      <c r="D240" s="202"/>
      <c r="E240" s="357"/>
      <c r="F240" s="358"/>
      <c r="G240" s="359"/>
      <c r="H240" s="199" t="s">
        <v>526</v>
      </c>
      <c r="I240" s="130"/>
      <c r="J240" s="126"/>
      <c r="K240" s="126"/>
      <c r="L240" s="125" t="str">
        <f>IF(I240&lt;&gt;0,((VLOOKUP(I240,'1. Standard_Cost'!$B$4:$D$11,2)+VLOOKUP(I240,'1. Standard_Cost'!$B$4:$D$11,3))*J240*K240),"0")</f>
        <v>0</v>
      </c>
      <c r="M240" s="125">
        <f>L240*'1. Standard_Cost'!$F$4</f>
        <v>0</v>
      </c>
      <c r="N240" s="126"/>
      <c r="O240" s="126"/>
      <c r="P240" s="126"/>
      <c r="Q240" s="126"/>
      <c r="R240" s="127">
        <f>'1. Standard_Cost'!$B$15*N240*P240</f>
        <v>0</v>
      </c>
      <c r="S240" s="127">
        <f>N240*O240*P240*'1. Standard_Cost'!$C$15</f>
        <v>0</v>
      </c>
      <c r="T240" s="127">
        <f>N240*P240*Q240*'1. Standard_Cost'!$D$15</f>
        <v>0</v>
      </c>
      <c r="U240" s="127">
        <f>N240*O240*'1. Standard_Cost'!$E$15</f>
        <v>0</v>
      </c>
      <c r="V240" s="126"/>
      <c r="W240" s="126"/>
      <c r="X240" s="126"/>
      <c r="Y240" s="127">
        <f>+V240*((X240*'1. Standard_Cost'!$B$19)+(W240*X240*'1. Standard_Cost'!$C$19))</f>
        <v>0</v>
      </c>
      <c r="Z240" s="126"/>
      <c r="AA240" s="126"/>
      <c r="AB240" s="127">
        <f>+Z240*'1. Standard_Cost'!$B$23+AA240*'1. Standard_Cost'!$C$23</f>
        <v>0</v>
      </c>
      <c r="AC240" s="128"/>
      <c r="AD240" s="129"/>
      <c r="AE240" s="127">
        <f>SUM(AD240,AC240,AB240,Y240,U240,T240,S240,R240)*'1. Standard_Cost'!$B$31</f>
        <v>0</v>
      </c>
      <c r="AF240" s="127">
        <f>SUM(AE240,AD240,AC240,AB240,Y240,U240,T240,S240,R240)</f>
        <v>0</v>
      </c>
      <c r="AG240" s="126"/>
      <c r="AH240" s="126"/>
      <c r="AI240" s="126"/>
      <c r="AJ240" s="130"/>
      <c r="AK240" s="130"/>
      <c r="AL240" s="130"/>
      <c r="AM240" s="127">
        <f>AG240*'1. Standard_Cost'!$B$27+'Incremental_Cost Year 6'!AH240*'1. Standard_Cost'!$C$27+'Incremental_Cost Year 6'!AI240*'1. Standard_Cost'!$D$27+'Incremental_Cost Year 6'!AJ240+'Incremental_Cost Year 6'!AL240+AK240</f>
        <v>0</v>
      </c>
      <c r="AN240" s="127">
        <f>AM240*'1. Standard_Cost'!$C$31</f>
        <v>0</v>
      </c>
      <c r="AO240" s="130"/>
      <c r="AQ240" s="171">
        <f>L240+M240</f>
        <v>0</v>
      </c>
      <c r="AR240" s="171">
        <f>AF240</f>
        <v>0</v>
      </c>
      <c r="AS240" s="171">
        <f>AM240+AN240</f>
        <v>0</v>
      </c>
      <c r="AT240" s="171">
        <f>SUM(AQ240,AR240,AS240)</f>
        <v>0</v>
      </c>
      <c r="AU240" s="250">
        <f>AT240</f>
        <v>0</v>
      </c>
      <c r="AV240" s="250"/>
      <c r="AW240" s="250"/>
      <c r="AX240" s="250"/>
      <c r="AY240" s="250"/>
      <c r="AZ240" s="250"/>
      <c r="BA240" s="250"/>
      <c r="BB240" s="251">
        <f t="shared" si="159"/>
        <v>0</v>
      </c>
      <c r="BC240" s="169"/>
      <c r="BD240" s="169"/>
      <c r="BE240" s="169"/>
      <c r="BF240" s="169"/>
    </row>
    <row r="241" spans="1:58" ht="47.25" outlineLevel="2" x14ac:dyDescent="0.25">
      <c r="A241" s="115"/>
      <c r="B241" s="200"/>
      <c r="C241" s="201"/>
      <c r="D241" s="202"/>
      <c r="E241" s="357"/>
      <c r="F241" s="358"/>
      <c r="G241" s="359"/>
      <c r="H241" s="199" t="s">
        <v>527</v>
      </c>
      <c r="I241" s="130"/>
      <c r="J241" s="126"/>
      <c r="K241" s="126"/>
      <c r="L241" s="125" t="str">
        <f>IF(I241&lt;&gt;0,((VLOOKUP(I241,'1. Standard_Cost'!$B$4:$D$11,2)+VLOOKUP(I241,'1. Standard_Cost'!$B$4:$D$11,3))*J241*K241),"0")</f>
        <v>0</v>
      </c>
      <c r="M241" s="125">
        <f>L241*'1. Standard_Cost'!$F$4</f>
        <v>0</v>
      </c>
      <c r="N241" s="126"/>
      <c r="O241" s="126"/>
      <c r="P241" s="126"/>
      <c r="Q241" s="126"/>
      <c r="R241" s="127">
        <f>'1. Standard_Cost'!$B$15*N241*P241</f>
        <v>0</v>
      </c>
      <c r="S241" s="127">
        <f>N241*O241*P241*'1. Standard_Cost'!$C$15</f>
        <v>0</v>
      </c>
      <c r="T241" s="127">
        <f>N241*P241*Q241*'1. Standard_Cost'!$D$15</f>
        <v>0</v>
      </c>
      <c r="U241" s="127">
        <f>N241*O241*'1. Standard_Cost'!$E$15</f>
        <v>0</v>
      </c>
      <c r="V241" s="126"/>
      <c r="W241" s="126"/>
      <c r="X241" s="126"/>
      <c r="Y241" s="127">
        <f>+V241*((X241*'1. Standard_Cost'!$B$19)+(W241*X241*'1. Standard_Cost'!$C$19))</f>
        <v>0</v>
      </c>
      <c r="Z241" s="126"/>
      <c r="AA241" s="126"/>
      <c r="AB241" s="127">
        <f>+Z241*'1. Standard_Cost'!$B$23+AA241*'1. Standard_Cost'!$C$23</f>
        <v>0</v>
      </c>
      <c r="AC241" s="128"/>
      <c r="AD241" s="129"/>
      <c r="AE241" s="127">
        <f>SUM(AD241,AC241,AB241,Y241,U241,T241,S241,R241)*'1. Standard_Cost'!$B$31</f>
        <v>0</v>
      </c>
      <c r="AF241" s="127">
        <f>SUM(AE241,AD241,AC241,AB241,Y241,U241,T241,S241,R241)</f>
        <v>0</v>
      </c>
      <c r="AG241" s="126"/>
      <c r="AH241" s="126"/>
      <c r="AI241" s="126"/>
      <c r="AJ241" s="130"/>
      <c r="AK241" s="130"/>
      <c r="AL241" s="130"/>
      <c r="AM241" s="127">
        <f>AG241*'1. Standard_Cost'!$B$27+'Incremental_Cost Year 6'!AH241*'1. Standard_Cost'!$C$27+'Incremental_Cost Year 6'!AI241*'1. Standard_Cost'!$D$27+'Incremental_Cost Year 6'!AJ241+'Incremental_Cost Year 6'!AL241+AK241</f>
        <v>0</v>
      </c>
      <c r="AN241" s="127">
        <f>AM241*'1. Standard_Cost'!$C$31</f>
        <v>0</v>
      </c>
      <c r="AO241" s="130"/>
      <c r="AQ241" s="171">
        <f>L241+M241</f>
        <v>0</v>
      </c>
      <c r="AR241" s="171">
        <f>AF241</f>
        <v>0</v>
      </c>
      <c r="AS241" s="171">
        <f>AM241+AN241</f>
        <v>0</v>
      </c>
      <c r="AT241" s="171">
        <f>SUM(AQ241,AR241,AS241)</f>
        <v>0</v>
      </c>
      <c r="AU241" s="250">
        <f>AT241</f>
        <v>0</v>
      </c>
      <c r="AV241" s="250"/>
      <c r="AW241" s="250"/>
      <c r="AX241" s="250"/>
      <c r="AY241" s="250"/>
      <c r="AZ241" s="250"/>
      <c r="BA241" s="250"/>
      <c r="BB241" s="251">
        <f t="shared" si="159"/>
        <v>0</v>
      </c>
      <c r="BC241" s="169"/>
      <c r="BD241" s="169"/>
      <c r="BE241" s="169"/>
      <c r="BF241" s="169"/>
    </row>
    <row r="242" spans="1:58" ht="94.5" outlineLevel="2" x14ac:dyDescent="0.25">
      <c r="A242" s="115"/>
      <c r="B242" s="200"/>
      <c r="C242" s="201"/>
      <c r="D242" s="202"/>
      <c r="E242" s="360"/>
      <c r="F242" s="361"/>
      <c r="G242" s="362"/>
      <c r="H242" s="213" t="s">
        <v>528</v>
      </c>
      <c r="I242" s="130"/>
      <c r="J242" s="126"/>
      <c r="K242" s="126"/>
      <c r="L242" s="125" t="str">
        <f>IF(I242&lt;&gt;0,((VLOOKUP(I242,'1. Standard_Cost'!$B$4:$D$11,2)+VLOOKUP(I242,'1. Standard_Cost'!$B$4:$D$11,3))*J242*K242),"0")</f>
        <v>0</v>
      </c>
      <c r="M242" s="125">
        <f>L242*'1. Standard_Cost'!$F$4</f>
        <v>0</v>
      </c>
      <c r="N242" s="126"/>
      <c r="O242" s="126"/>
      <c r="P242" s="126"/>
      <c r="Q242" s="126"/>
      <c r="R242" s="127">
        <f>'1. Standard_Cost'!$B$15*N242*P242</f>
        <v>0</v>
      </c>
      <c r="S242" s="127">
        <f>N242*O242*P242*'1. Standard_Cost'!$C$15</f>
        <v>0</v>
      </c>
      <c r="T242" s="127">
        <f>N242*P242*Q242*'1. Standard_Cost'!$D$15</f>
        <v>0</v>
      </c>
      <c r="U242" s="127">
        <f>N242*O242*'1. Standard_Cost'!$E$15</f>
        <v>0</v>
      </c>
      <c r="V242" s="126"/>
      <c r="W242" s="126"/>
      <c r="X242" s="126"/>
      <c r="Y242" s="127">
        <f>+V242*((X242*'1. Standard_Cost'!$B$19)+(W242*X242*'1. Standard_Cost'!$C$19))</f>
        <v>0</v>
      </c>
      <c r="Z242" s="126"/>
      <c r="AA242" s="126"/>
      <c r="AB242" s="127">
        <f>+Z242*'1. Standard_Cost'!$B$23+AA242*'1. Standard_Cost'!$C$23</f>
        <v>0</v>
      </c>
      <c r="AC242" s="128"/>
      <c r="AD242" s="129"/>
      <c r="AE242" s="127">
        <f>SUM(AD242,AC242,AB242,Y242,U242,T242,S242,R242)*'1. Standard_Cost'!$B$31</f>
        <v>0</v>
      </c>
      <c r="AF242" s="127">
        <f>SUM(AE242,AD242,AC242,AB242,Y242,U242,T242,S242,R242)</f>
        <v>0</v>
      </c>
      <c r="AG242" s="126"/>
      <c r="AH242" s="126"/>
      <c r="AI242" s="126"/>
      <c r="AJ242" s="130"/>
      <c r="AK242" s="130"/>
      <c r="AL242" s="130"/>
      <c r="AM242" s="127">
        <f>AG242*'1. Standard_Cost'!$B$27+'Incremental_Cost Year 6'!AH242*'1. Standard_Cost'!$C$27+'Incremental_Cost Year 6'!AI242*'1. Standard_Cost'!$D$27+'Incremental_Cost Year 6'!AJ242+'Incremental_Cost Year 6'!AL242+AK242</f>
        <v>0</v>
      </c>
      <c r="AN242" s="127">
        <f>AM242*'1. Standard_Cost'!$C$31</f>
        <v>0</v>
      </c>
      <c r="AO242" s="130"/>
      <c r="AQ242" s="171">
        <f>L242+M242</f>
        <v>0</v>
      </c>
      <c r="AR242" s="171">
        <f>AF242</f>
        <v>0</v>
      </c>
      <c r="AS242" s="171">
        <f>AM242+AN242</f>
        <v>0</v>
      </c>
      <c r="AT242" s="171">
        <f>SUM(AQ242,AR242,AS242)</f>
        <v>0</v>
      </c>
      <c r="AU242" s="250">
        <f>AT242</f>
        <v>0</v>
      </c>
      <c r="AV242" s="250"/>
      <c r="AW242" s="250"/>
      <c r="AX242" s="250"/>
      <c r="AY242" s="250"/>
      <c r="AZ242" s="250"/>
      <c r="BA242" s="250"/>
      <c r="BB242" s="251">
        <f t="shared" si="159"/>
        <v>0</v>
      </c>
      <c r="BC242" s="169"/>
      <c r="BD242" s="169"/>
      <c r="BE242" s="169"/>
      <c r="BF242" s="169"/>
    </row>
    <row r="243" spans="1:58" ht="94.5" outlineLevel="1" x14ac:dyDescent="0.25">
      <c r="A243" s="115"/>
      <c r="B243" s="165"/>
      <c r="C243" s="166"/>
      <c r="D243" s="150" t="s">
        <v>564</v>
      </c>
      <c r="E243" s="212" t="s">
        <v>267</v>
      </c>
      <c r="F243" s="136">
        <v>2021</v>
      </c>
      <c r="G243" s="117">
        <v>2024</v>
      </c>
      <c r="H243" s="150" t="s">
        <v>304</v>
      </c>
      <c r="I243" s="252"/>
      <c r="J243" s="252"/>
      <c r="K243" s="252"/>
      <c r="L243" s="127">
        <f>SUM(L239:L242)</f>
        <v>0</v>
      </c>
      <c r="M243" s="127">
        <f>SUM(M239:M242)</f>
        <v>0</v>
      </c>
      <c r="N243" s="252"/>
      <c r="O243" s="252"/>
      <c r="P243" s="252"/>
      <c r="Q243" s="252"/>
      <c r="R243" s="127">
        <f>SUM(R239:R242)</f>
        <v>0</v>
      </c>
      <c r="S243" s="127">
        <f>SUM(S239:S242)</f>
        <v>0</v>
      </c>
      <c r="T243" s="127">
        <f>SUM(T239:T242)</f>
        <v>0</v>
      </c>
      <c r="U243" s="127">
        <f>SUM(U239:U242)</f>
        <v>0</v>
      </c>
      <c r="V243" s="252"/>
      <c r="W243" s="252"/>
      <c r="X243" s="252"/>
      <c r="Y243" s="127">
        <f>SUM(Y239:Y242)</f>
        <v>0</v>
      </c>
      <c r="Z243" s="127"/>
      <c r="AA243" s="252"/>
      <c r="AB243" s="127">
        <f>SUM(AB239:AB242)</f>
        <v>0</v>
      </c>
      <c r="AC243" s="127">
        <f>SUM(AC239:AC242)</f>
        <v>0</v>
      </c>
      <c r="AD243" s="127">
        <f>SUM(AD239:AD242)</f>
        <v>0</v>
      </c>
      <c r="AE243" s="127">
        <f>SUM(AE239:AE242)</f>
        <v>0</v>
      </c>
      <c r="AF243" s="127">
        <f>SUM(AF239:AF242)</f>
        <v>0</v>
      </c>
      <c r="AG243" s="252"/>
      <c r="AH243" s="252"/>
      <c r="AI243" s="252"/>
      <c r="AJ243" s="127">
        <f>SUM(AJ239:AJ242)</f>
        <v>0</v>
      </c>
      <c r="AK243" s="127">
        <f>SUM(AK239:AK242)</f>
        <v>0</v>
      </c>
      <c r="AL243" s="127">
        <f>SUM(AL239:AL242)</f>
        <v>0</v>
      </c>
      <c r="AM243" s="127">
        <f>SUM(AM239:AM242)</f>
        <v>0</v>
      </c>
      <c r="AN243" s="127">
        <f>SUM(AN239:AN242)</f>
        <v>0</v>
      </c>
      <c r="AO243" s="253"/>
      <c r="AP243" s="254"/>
      <c r="AQ243" s="175">
        <f>SUM(AQ239:AQ242)</f>
        <v>0</v>
      </c>
      <c r="AR243" s="175">
        <f>SUM(AR239:AR242)</f>
        <v>0</v>
      </c>
      <c r="AS243" s="175">
        <f>SUM(AS239:AS242)</f>
        <v>0</v>
      </c>
      <c r="AT243" s="175">
        <f>SUM(AT239:AT242)</f>
        <v>0</v>
      </c>
      <c r="AU243" s="175">
        <f t="shared" ref="AU243:BB243" si="160">SUM(AU239:AU242)</f>
        <v>0</v>
      </c>
      <c r="AV243" s="175">
        <f t="shared" si="160"/>
        <v>0</v>
      </c>
      <c r="AW243" s="175">
        <f t="shared" si="160"/>
        <v>0</v>
      </c>
      <c r="AX243" s="175">
        <f t="shared" si="160"/>
        <v>0</v>
      </c>
      <c r="AY243" s="175">
        <f t="shared" si="160"/>
        <v>0</v>
      </c>
      <c r="AZ243" s="175">
        <f t="shared" si="160"/>
        <v>0</v>
      </c>
      <c r="BA243" s="175">
        <f t="shared" si="160"/>
        <v>0</v>
      </c>
      <c r="BB243" s="175">
        <f t="shared" si="160"/>
        <v>0</v>
      </c>
      <c r="BC243" s="169"/>
      <c r="BD243" s="169"/>
      <c r="BE243" s="169"/>
      <c r="BF243" s="169"/>
    </row>
    <row r="244" spans="1:58" ht="12.75" customHeight="1" x14ac:dyDescent="0.2">
      <c r="A244" s="173"/>
      <c r="B244" s="399" t="s">
        <v>316</v>
      </c>
      <c r="C244" s="400"/>
      <c r="D244" s="400"/>
      <c r="E244" s="401"/>
      <c r="F244" s="367"/>
      <c r="G244" s="367"/>
      <c r="H244" s="188" t="s">
        <v>317</v>
      </c>
      <c r="I244" s="245"/>
      <c r="J244" s="245"/>
      <c r="K244" s="245"/>
      <c r="L244" s="245">
        <f>L245+L259+L269+L277+L284</f>
        <v>35918900</v>
      </c>
      <c r="M244" s="245">
        <f>M245+M259+M269+M277+M284</f>
        <v>5998456.3000000007</v>
      </c>
      <c r="N244" s="245"/>
      <c r="O244" s="245"/>
      <c r="P244" s="245"/>
      <c r="Q244" s="245"/>
      <c r="R244" s="245">
        <f>R245+R259+R269+R277+R284</f>
        <v>3200000</v>
      </c>
      <c r="S244" s="245">
        <f>S245+S259+S269+S277+S284</f>
        <v>2400000</v>
      </c>
      <c r="T244" s="245">
        <f>T245+T259+T269+T277+T284</f>
        <v>0</v>
      </c>
      <c r="U244" s="245">
        <f>U245+U259+U269+U277+U284</f>
        <v>3200000</v>
      </c>
      <c r="V244" s="245"/>
      <c r="W244" s="245"/>
      <c r="X244" s="245"/>
      <c r="Y244" s="245">
        <f t="shared" ref="Y244:AF244" si="161">Y245+Y259+Y269+Y277+Y284</f>
        <v>0</v>
      </c>
      <c r="Z244" s="245">
        <f t="shared" si="161"/>
        <v>0</v>
      </c>
      <c r="AA244" s="245">
        <f t="shared" si="161"/>
        <v>0</v>
      </c>
      <c r="AB244" s="245">
        <f t="shared" si="161"/>
        <v>2204000</v>
      </c>
      <c r="AC244" s="245">
        <f t="shared" si="161"/>
        <v>77644000</v>
      </c>
      <c r="AD244" s="245">
        <f t="shared" si="161"/>
        <v>283894000</v>
      </c>
      <c r="AE244" s="245">
        <f t="shared" si="161"/>
        <v>19811400</v>
      </c>
      <c r="AF244" s="245">
        <f t="shared" si="161"/>
        <v>392353400</v>
      </c>
      <c r="AG244" s="245"/>
      <c r="AH244" s="245"/>
      <c r="AI244" s="245"/>
      <c r="AJ244" s="245">
        <f>AJ245+AJ259+AJ269+AJ277+AJ284</f>
        <v>0</v>
      </c>
      <c r="AK244" s="245">
        <f>AK245+AK259+AK269+AK277+AK284</f>
        <v>492000000</v>
      </c>
      <c r="AL244" s="245">
        <f>AL245+AL259+AL269+AL277+AL284</f>
        <v>0</v>
      </c>
      <c r="AM244" s="245">
        <f>AM245+AM259+AM269+AM277+AM284</f>
        <v>492000000</v>
      </c>
      <c r="AN244" s="245">
        <f>AN245+AN259+AN269+AN277+AN284</f>
        <v>0</v>
      </c>
      <c r="AO244" s="245"/>
      <c r="AP244" s="244"/>
      <c r="AQ244" s="245">
        <f t="shared" ref="AQ244:BB244" si="162">AQ245+AQ259+AQ269+AQ277+AQ284</f>
        <v>41917356.300000004</v>
      </c>
      <c r="AR244" s="245">
        <f t="shared" si="162"/>
        <v>392353400</v>
      </c>
      <c r="AS244" s="245">
        <f t="shared" si="162"/>
        <v>492000000</v>
      </c>
      <c r="AT244" s="245">
        <f t="shared" si="162"/>
        <v>926270756.29999995</v>
      </c>
      <c r="AU244" s="245">
        <f t="shared" si="162"/>
        <v>67572355.899999991</v>
      </c>
      <c r="AV244" s="245">
        <f t="shared" si="162"/>
        <v>0</v>
      </c>
      <c r="AW244" s="245">
        <f t="shared" si="162"/>
        <v>0</v>
      </c>
      <c r="AX244" s="245">
        <f t="shared" si="162"/>
        <v>0</v>
      </c>
      <c r="AY244" s="245">
        <f t="shared" si="162"/>
        <v>0</v>
      </c>
      <c r="AZ244" s="245">
        <f t="shared" si="162"/>
        <v>0</v>
      </c>
      <c r="BA244" s="245">
        <f t="shared" si="162"/>
        <v>0</v>
      </c>
      <c r="BB244" s="245">
        <f t="shared" si="162"/>
        <v>-858698400.39999998</v>
      </c>
      <c r="BC244" s="170"/>
      <c r="BD244" s="170"/>
      <c r="BE244" s="170"/>
      <c r="BF244" s="170"/>
    </row>
    <row r="245" spans="1:58" ht="12.75" customHeight="1" x14ac:dyDescent="0.2">
      <c r="A245" s="179"/>
      <c r="B245" s="290"/>
      <c r="C245" s="391" t="s">
        <v>318</v>
      </c>
      <c r="D245" s="391"/>
      <c r="E245" s="392"/>
      <c r="F245" s="287"/>
      <c r="G245" s="289"/>
      <c r="H245" s="368" t="s">
        <v>319</v>
      </c>
      <c r="I245" s="270"/>
      <c r="J245" s="271"/>
      <c r="K245" s="271"/>
      <c r="L245" s="261">
        <f>L250+L254+L258</f>
        <v>5191200</v>
      </c>
      <c r="M245" s="261">
        <f>M250+M254+M258</f>
        <v>866930.4</v>
      </c>
      <c r="N245" s="271"/>
      <c r="O245" s="271"/>
      <c r="P245" s="271"/>
      <c r="Q245" s="271"/>
      <c r="R245" s="261">
        <f>R250+R254+R258</f>
        <v>3200000</v>
      </c>
      <c r="S245" s="261">
        <f>S250+S254+S258</f>
        <v>2400000</v>
      </c>
      <c r="T245" s="261">
        <f>T250+T254+T258</f>
        <v>0</v>
      </c>
      <c r="U245" s="261">
        <f>U250+U254+U258</f>
        <v>3200000</v>
      </c>
      <c r="V245" s="271"/>
      <c r="W245" s="271"/>
      <c r="X245" s="271"/>
      <c r="Y245" s="261">
        <f>Y250+Y254+Y258</f>
        <v>0</v>
      </c>
      <c r="Z245" s="261">
        <f>Z250+Z254+Z258</f>
        <v>0</v>
      </c>
      <c r="AA245" s="271"/>
      <c r="AB245" s="261">
        <f>AB250+AB254+AB258</f>
        <v>1634000</v>
      </c>
      <c r="AC245" s="261">
        <f>AC250+AC254+AC258</f>
        <v>51980000</v>
      </c>
      <c r="AD245" s="261">
        <f>AD250+AD254+AD258</f>
        <v>30750000</v>
      </c>
      <c r="AE245" s="261">
        <f>AE250+AE254+AE258</f>
        <v>1361400</v>
      </c>
      <c r="AF245" s="261">
        <f>AF250+AF254+AF258</f>
        <v>94525400</v>
      </c>
      <c r="AG245" s="271"/>
      <c r="AH245" s="271"/>
      <c r="AI245" s="271"/>
      <c r="AJ245" s="261">
        <f>AJ250+AJ254+AJ258</f>
        <v>0</v>
      </c>
      <c r="AK245" s="261">
        <f>AK250+AK254+AK258</f>
        <v>307500000</v>
      </c>
      <c r="AL245" s="261">
        <f>AL250+AL254+AL258</f>
        <v>0</v>
      </c>
      <c r="AM245" s="261">
        <f>AM250+AM254+AM258</f>
        <v>307500000</v>
      </c>
      <c r="AN245" s="261">
        <f>AN250+AN254+AN258</f>
        <v>0</v>
      </c>
      <c r="AO245" s="272"/>
      <c r="AP245" s="260"/>
      <c r="AQ245" s="261">
        <f t="shared" ref="AQ245:BB245" si="163">AQ250+AQ254+AQ258</f>
        <v>6058130.4000000004</v>
      </c>
      <c r="AR245" s="261">
        <f t="shared" si="163"/>
        <v>94525400</v>
      </c>
      <c r="AS245" s="261">
        <f t="shared" si="163"/>
        <v>307500000</v>
      </c>
      <c r="AT245" s="261">
        <f t="shared" si="163"/>
        <v>408083530.39999998</v>
      </c>
      <c r="AU245" s="261">
        <f t="shared" si="163"/>
        <v>6058130.4000000004</v>
      </c>
      <c r="AV245" s="261">
        <f t="shared" si="163"/>
        <v>0</v>
      </c>
      <c r="AW245" s="261">
        <f t="shared" si="163"/>
        <v>0</v>
      </c>
      <c r="AX245" s="261">
        <f t="shared" si="163"/>
        <v>0</v>
      </c>
      <c r="AY245" s="261">
        <f t="shared" si="163"/>
        <v>0</v>
      </c>
      <c r="AZ245" s="261">
        <f t="shared" si="163"/>
        <v>0</v>
      </c>
      <c r="BA245" s="261">
        <f t="shared" si="163"/>
        <v>0</v>
      </c>
      <c r="BB245" s="261">
        <f t="shared" si="163"/>
        <v>-402025400</v>
      </c>
      <c r="BC245" s="184"/>
      <c r="BD245" s="184"/>
      <c r="BE245" s="184"/>
      <c r="BF245" s="184"/>
    </row>
    <row r="246" spans="1:58" ht="94.5" x14ac:dyDescent="0.25">
      <c r="A246" s="172"/>
      <c r="B246" s="200"/>
      <c r="C246" s="201"/>
      <c r="D246" s="346"/>
      <c r="E246" s="355"/>
      <c r="F246" s="355"/>
      <c r="G246" s="356"/>
      <c r="H246" s="199" t="s">
        <v>320</v>
      </c>
      <c r="I246" s="178" t="s">
        <v>3</v>
      </c>
      <c r="J246" s="174">
        <v>3</v>
      </c>
      <c r="K246" s="174">
        <v>6</v>
      </c>
      <c r="L246" s="125">
        <f>IF(I246&lt;&gt;0,((VLOOKUP(I246,'1. Standard_Cost'!$B$4:$D$11,2)+VLOOKUP(I246,'1. Standard_Cost'!$B$4:$D$11,3))*J246*K246),"0")</f>
        <v>1814400</v>
      </c>
      <c r="M246" s="125">
        <f>L246*'1. Standard_Cost'!$F$4</f>
        <v>303004.79999999999</v>
      </c>
      <c r="N246" s="174"/>
      <c r="O246" s="174"/>
      <c r="P246" s="174"/>
      <c r="Q246" s="174"/>
      <c r="R246" s="127">
        <f>'1. Standard_Cost'!$B$15*N246*P246</f>
        <v>0</v>
      </c>
      <c r="S246" s="127">
        <f>N246*O246*P246*'1. Standard_Cost'!$C$15</f>
        <v>0</v>
      </c>
      <c r="T246" s="127">
        <f>N246*P246*Q246*'1. Standard_Cost'!$D$15</f>
        <v>0</v>
      </c>
      <c r="U246" s="127">
        <f>N246*O246*'1. Standard_Cost'!$E$15</f>
        <v>0</v>
      </c>
      <c r="V246" s="174"/>
      <c r="W246" s="174"/>
      <c r="X246" s="174"/>
      <c r="Y246" s="127">
        <f>+V246*((X246*'1. Standard_Cost'!$B$19)+(W246*X246*'1. Standard_Cost'!$C$19))</f>
        <v>0</v>
      </c>
      <c r="Z246" s="174"/>
      <c r="AA246" s="174"/>
      <c r="AB246" s="127">
        <f>+Z246*'1. Standard_Cost'!$B$23+AA246*'1. Standard_Cost'!$C$23</f>
        <v>0</v>
      </c>
      <c r="AC246" s="176"/>
      <c r="AD246" s="177"/>
      <c r="AE246" s="127">
        <f>SUM(AD246,AC246,AB246,Y246,U246,T246,S246,R246)*'1. Standard_Cost'!$B$31</f>
        <v>0</v>
      </c>
      <c r="AF246" s="127">
        <f>SUM(AE246,AD246,AC246,AB246,Y246,U246,T246,S246,R246)</f>
        <v>0</v>
      </c>
      <c r="AG246" s="174"/>
      <c r="AH246" s="174"/>
      <c r="AI246" s="174"/>
      <c r="AJ246" s="178"/>
      <c r="AK246" s="178">
        <v>123000000</v>
      </c>
      <c r="AL246" s="178"/>
      <c r="AM246" s="127">
        <f>AG246*'1. Standard_Cost'!$B$27+'Incremental_Cost Year 6'!AH246*'1. Standard_Cost'!$C$27+'Incremental_Cost Year 6'!AI246*'1. Standard_Cost'!$D$27+'Incremental_Cost Year 6'!AJ246+'Incremental_Cost Year 6'!AL246+AK246</f>
        <v>123000000</v>
      </c>
      <c r="AN246" s="127"/>
      <c r="AO246" s="178"/>
      <c r="AP246" s="256"/>
      <c r="AQ246" s="171">
        <f>L246+M246</f>
        <v>2117404.7999999998</v>
      </c>
      <c r="AR246" s="171">
        <f>AF246</f>
        <v>0</v>
      </c>
      <c r="AS246" s="171">
        <f>AM246+AN246</f>
        <v>123000000</v>
      </c>
      <c r="AT246" s="171">
        <f>SUM(AQ246,AR246,AS246)</f>
        <v>125117404.8</v>
      </c>
      <c r="AU246" s="250">
        <f>AQ246</f>
        <v>2117404.7999999998</v>
      </c>
      <c r="AV246" s="250"/>
      <c r="AW246" s="250"/>
      <c r="AX246" s="250"/>
      <c r="AY246" s="250"/>
      <c r="AZ246" s="250"/>
      <c r="BA246" s="250"/>
      <c r="BB246" s="251">
        <f t="shared" ref="BB246:BB249" si="164">SUM(AU246:BA246)-AT246</f>
        <v>-123000000</v>
      </c>
      <c r="BC246" s="169"/>
      <c r="BD246" s="169"/>
      <c r="BE246" s="169"/>
      <c r="BF246" s="169"/>
    </row>
    <row r="247" spans="1:58" ht="63" x14ac:dyDescent="0.25">
      <c r="A247" s="172"/>
      <c r="B247" s="200"/>
      <c r="C247" s="201"/>
      <c r="D247" s="203"/>
      <c r="E247" s="358"/>
      <c r="F247" s="358"/>
      <c r="G247" s="359"/>
      <c r="H247" s="199" t="s">
        <v>321</v>
      </c>
      <c r="I247" s="178" t="s">
        <v>3</v>
      </c>
      <c r="J247" s="174">
        <v>0.5</v>
      </c>
      <c r="K247" s="174">
        <v>1</v>
      </c>
      <c r="L247" s="125">
        <f>IF(I247&lt;&gt;0,((VLOOKUP(I247,'1. Standard_Cost'!$B$4:$D$11,2)+VLOOKUP(I247,'1. Standard_Cost'!$B$4:$D$11,3))*J247*K247),"0")</f>
        <v>50400</v>
      </c>
      <c r="M247" s="125">
        <f>L247*'1. Standard_Cost'!$F$4</f>
        <v>8416.8000000000011</v>
      </c>
      <c r="N247" s="174"/>
      <c r="O247" s="174"/>
      <c r="P247" s="174"/>
      <c r="Q247" s="174"/>
      <c r="R247" s="127">
        <f>'1. Standard_Cost'!$B$15*N247*P247</f>
        <v>0</v>
      </c>
      <c r="S247" s="127">
        <f>N247*O247*P247*'1. Standard_Cost'!$C$15</f>
        <v>0</v>
      </c>
      <c r="T247" s="127">
        <f>N247*P247*Q247*'1. Standard_Cost'!$D$15</f>
        <v>0</v>
      </c>
      <c r="U247" s="127">
        <f>N247*O247*'1. Standard_Cost'!$E$15</f>
        <v>0</v>
      </c>
      <c r="V247" s="174"/>
      <c r="W247" s="174"/>
      <c r="X247" s="174"/>
      <c r="Y247" s="127">
        <f>+V247*((X247*'1. Standard_Cost'!$B$19)+(W247*X247*'1. Standard_Cost'!$C$19))</f>
        <v>0</v>
      </c>
      <c r="Z247" s="174"/>
      <c r="AA247" s="174"/>
      <c r="AB247" s="127">
        <f>+Z247*'1. Standard_Cost'!$B$23+AA247*'1. Standard_Cost'!$C$23</f>
        <v>0</v>
      </c>
      <c r="AC247" s="176">
        <v>1500000</v>
      </c>
      <c r="AD247" s="177"/>
      <c r="AE247" s="127"/>
      <c r="AF247" s="127">
        <f>SUM(AE247,AD247,AC247,AB247,Y247,U247,T247,S247,R247)</f>
        <v>1500000</v>
      </c>
      <c r="AG247" s="174"/>
      <c r="AH247" s="174"/>
      <c r="AI247" s="174"/>
      <c r="AJ247" s="178"/>
      <c r="AK247" s="178"/>
      <c r="AL247" s="178"/>
      <c r="AM247" s="127">
        <f>AG247*'1. Standard_Cost'!$B$27+'Incremental_Cost Year 6'!AH247*'1. Standard_Cost'!$C$27+'Incremental_Cost Year 6'!AI247*'1. Standard_Cost'!$D$27+'Incremental_Cost Year 6'!AJ247+'Incremental_Cost Year 6'!AL247+AK247</f>
        <v>0</v>
      </c>
      <c r="AN247" s="127">
        <f>AM247*'1. Standard_Cost'!$C$31</f>
        <v>0</v>
      </c>
      <c r="AO247" s="178"/>
      <c r="AP247" s="256"/>
      <c r="AQ247" s="171">
        <f>L247+M247</f>
        <v>58816.800000000003</v>
      </c>
      <c r="AR247" s="171">
        <f>AF247</f>
        <v>1500000</v>
      </c>
      <c r="AS247" s="171">
        <f>AM247+AN247</f>
        <v>0</v>
      </c>
      <c r="AT247" s="171">
        <f>SUM(AQ247,AR247,AS247)</f>
        <v>1558816.8</v>
      </c>
      <c r="AU247" s="250">
        <f>AQ247</f>
        <v>58816.800000000003</v>
      </c>
      <c r="AV247" s="250"/>
      <c r="AW247" s="250"/>
      <c r="AX247" s="250"/>
      <c r="AY247" s="250"/>
      <c r="AZ247" s="250"/>
      <c r="BA247" s="250"/>
      <c r="BB247" s="251">
        <f t="shared" si="164"/>
        <v>-1500000</v>
      </c>
      <c r="BC247" s="169"/>
      <c r="BD247" s="169"/>
      <c r="BE247" s="169"/>
      <c r="BF247" s="169"/>
    </row>
    <row r="248" spans="1:58" ht="110.25" x14ac:dyDescent="0.25">
      <c r="A248" s="172"/>
      <c r="B248" s="200"/>
      <c r="C248" s="201"/>
      <c r="D248" s="203"/>
      <c r="E248" s="358"/>
      <c r="F248" s="358"/>
      <c r="G248" s="359"/>
      <c r="H248" s="213" t="s">
        <v>322</v>
      </c>
      <c r="I248" s="178" t="s">
        <v>3</v>
      </c>
      <c r="J248" s="174">
        <v>0.5</v>
      </c>
      <c r="K248" s="174">
        <v>2</v>
      </c>
      <c r="L248" s="125">
        <f>IF(I248&lt;&gt;0,((VLOOKUP(I248,'1. Standard_Cost'!$B$4:$D$11,2)+VLOOKUP(I248,'1. Standard_Cost'!$B$4:$D$11,3))*J248*K248),"0")</f>
        <v>100800</v>
      </c>
      <c r="M248" s="125">
        <f>L248*'1. Standard_Cost'!$F$4</f>
        <v>16833.600000000002</v>
      </c>
      <c r="N248" s="174"/>
      <c r="O248" s="174"/>
      <c r="P248" s="174"/>
      <c r="Q248" s="174"/>
      <c r="R248" s="127">
        <f>'1. Standard_Cost'!$B$15*N248*P248</f>
        <v>0</v>
      </c>
      <c r="S248" s="127">
        <f>N248*O248*P248*'1. Standard_Cost'!$C$15</f>
        <v>0</v>
      </c>
      <c r="T248" s="127">
        <f>N248*P248*Q248*'1. Standard_Cost'!$D$15</f>
        <v>0</v>
      </c>
      <c r="U248" s="127">
        <f>N248*O248*'1. Standard_Cost'!$E$15</f>
        <v>0</v>
      </c>
      <c r="V248" s="174"/>
      <c r="W248" s="174"/>
      <c r="X248" s="174"/>
      <c r="Y248" s="127">
        <f>+V248*((X248*'1. Standard_Cost'!$B$19)+(W248*X248*'1. Standard_Cost'!$C$19))</f>
        <v>0</v>
      </c>
      <c r="Z248" s="174"/>
      <c r="AA248" s="174"/>
      <c r="AB248" s="127">
        <f>+Z248*'1. Standard_Cost'!$B$23+AA248*'1. Standard_Cost'!$C$23</f>
        <v>0</v>
      </c>
      <c r="AC248" s="176">
        <f>1000000*50</f>
        <v>50000000</v>
      </c>
      <c r="AD248" s="177"/>
      <c r="AE248" s="127"/>
      <c r="AF248" s="127">
        <f>SUM(AE248,AD248,AC248,AB248,Y248,U248,T248,S248,R248)</f>
        <v>50000000</v>
      </c>
      <c r="AG248" s="174"/>
      <c r="AH248" s="174"/>
      <c r="AI248" s="174"/>
      <c r="AJ248" s="178"/>
      <c r="AK248" s="178"/>
      <c r="AL248" s="178"/>
      <c r="AM248" s="127">
        <f>AG248*'1. Standard_Cost'!$B$27+'Incremental_Cost Year 6'!AH248*'1. Standard_Cost'!$C$27+'Incremental_Cost Year 6'!AI248*'1. Standard_Cost'!$D$27+'Incremental_Cost Year 6'!AJ248+'Incremental_Cost Year 6'!AL248+AK248</f>
        <v>0</v>
      </c>
      <c r="AN248" s="127">
        <f>AM248*'1. Standard_Cost'!$C$31</f>
        <v>0</v>
      </c>
      <c r="AO248" s="178"/>
      <c r="AP248" s="256"/>
      <c r="AQ248" s="171">
        <f>L248+M248</f>
        <v>117633.60000000001</v>
      </c>
      <c r="AR248" s="171">
        <f>AF248</f>
        <v>50000000</v>
      </c>
      <c r="AS248" s="171">
        <f>AM248+AN248</f>
        <v>0</v>
      </c>
      <c r="AT248" s="171">
        <f>SUM(AQ248,AR248,AS248)</f>
        <v>50117633.600000001</v>
      </c>
      <c r="AU248" s="250">
        <f>AQ248</f>
        <v>117633.60000000001</v>
      </c>
      <c r="AV248" s="250"/>
      <c r="AW248" s="250"/>
      <c r="AX248" s="250"/>
      <c r="AY248" s="250"/>
      <c r="AZ248" s="250"/>
      <c r="BA248" s="250"/>
      <c r="BB248" s="251">
        <f t="shared" si="164"/>
        <v>-50000000</v>
      </c>
      <c r="BC248" s="169"/>
      <c r="BD248" s="169"/>
      <c r="BE248" s="169"/>
      <c r="BF248" s="169"/>
    </row>
    <row r="249" spans="1:58" ht="47.25" x14ac:dyDescent="0.25">
      <c r="A249" s="172"/>
      <c r="B249" s="200"/>
      <c r="C249" s="201"/>
      <c r="D249" s="133"/>
      <c r="E249" s="361"/>
      <c r="F249" s="361"/>
      <c r="G249" s="362"/>
      <c r="H249" s="199" t="s">
        <v>323</v>
      </c>
      <c r="I249" s="178"/>
      <c r="J249" s="174"/>
      <c r="K249" s="174"/>
      <c r="L249" s="125" t="str">
        <f>IF(I249&lt;&gt;0,((VLOOKUP(I249,'1. Standard_Cost'!$B$4:$D$11,2)+VLOOKUP(I249,'1. Standard_Cost'!$B$4:$D$11,3))*J249*K249),"0")</f>
        <v>0</v>
      </c>
      <c r="M249" s="125">
        <f>L249*'1. Standard_Cost'!$F$4</f>
        <v>0</v>
      </c>
      <c r="N249" s="174"/>
      <c r="O249" s="174"/>
      <c r="P249" s="174"/>
      <c r="Q249" s="174"/>
      <c r="R249" s="127">
        <f>'1. Standard_Cost'!$B$15*N249*P249</f>
        <v>0</v>
      </c>
      <c r="S249" s="127">
        <f>N249*O249*P249*'1. Standard_Cost'!$C$15</f>
        <v>0</v>
      </c>
      <c r="T249" s="127">
        <f>N249*P249*Q249*'1. Standard_Cost'!$D$15</f>
        <v>0</v>
      </c>
      <c r="U249" s="127">
        <f>N249*O249*'1. Standard_Cost'!$E$15</f>
        <v>0</v>
      </c>
      <c r="V249" s="174"/>
      <c r="W249" s="174"/>
      <c r="X249" s="174"/>
      <c r="Y249" s="127">
        <f>+V249*((X249*'1. Standard_Cost'!$B$19)+(W249*X249*'1. Standard_Cost'!$C$19))</f>
        <v>0</v>
      </c>
      <c r="Z249" s="174"/>
      <c r="AA249" s="174"/>
      <c r="AB249" s="127">
        <f>+Z249*'1. Standard_Cost'!$B$23+AA249*'1. Standard_Cost'!$C$23</f>
        <v>0</v>
      </c>
      <c r="AC249" s="176"/>
      <c r="AD249" s="177"/>
      <c r="AE249" s="127">
        <f>SUM(AD249,AC249,AB249,Y249,U249,T249,S249,R249)*'1. Standard_Cost'!$B$31</f>
        <v>0</v>
      </c>
      <c r="AF249" s="127">
        <f>SUM(AE249,AD249,AC249,AB249,Y249,U249,T249,S249,R249)</f>
        <v>0</v>
      </c>
      <c r="AG249" s="174"/>
      <c r="AH249" s="174"/>
      <c r="AI249" s="174"/>
      <c r="AJ249" s="178"/>
      <c r="AK249" s="178"/>
      <c r="AL249" s="178"/>
      <c r="AM249" s="127">
        <f>AG249*'1. Standard_Cost'!$B$27+'Incremental_Cost Year 6'!AH249*'1. Standard_Cost'!$C$27+'Incremental_Cost Year 6'!AI249*'1. Standard_Cost'!$D$27+'Incremental_Cost Year 6'!AJ249+'Incremental_Cost Year 6'!AL249+AK249</f>
        <v>0</v>
      </c>
      <c r="AN249" s="127">
        <f>AM249*'1. Standard_Cost'!$C$31</f>
        <v>0</v>
      </c>
      <c r="AO249" s="178"/>
      <c r="AP249" s="256"/>
      <c r="AQ249" s="171">
        <f>L249+M249</f>
        <v>0</v>
      </c>
      <c r="AR249" s="171">
        <f>AF249</f>
        <v>0</v>
      </c>
      <c r="AS249" s="171">
        <f>AM249+AN249</f>
        <v>0</v>
      </c>
      <c r="AT249" s="171">
        <f>SUM(AQ249,AR249,AS249)</f>
        <v>0</v>
      </c>
      <c r="AU249" s="250"/>
      <c r="AV249" s="250"/>
      <c r="AW249" s="250"/>
      <c r="AX249" s="250"/>
      <c r="AY249" s="250"/>
      <c r="AZ249" s="250"/>
      <c r="BA249" s="250"/>
      <c r="BB249" s="251">
        <f t="shared" si="164"/>
        <v>0</v>
      </c>
      <c r="BC249" s="169"/>
      <c r="BD249" s="169"/>
      <c r="BE249" s="169"/>
      <c r="BF249" s="169"/>
    </row>
    <row r="250" spans="1:58" ht="30" x14ac:dyDescent="0.25">
      <c r="A250" s="172"/>
      <c r="B250" s="363"/>
      <c r="C250" s="364"/>
      <c r="D250" s="365" t="s">
        <v>559</v>
      </c>
      <c r="E250" s="365" t="s">
        <v>324</v>
      </c>
      <c r="F250" s="366">
        <v>2025</v>
      </c>
      <c r="G250" s="209">
        <v>2030</v>
      </c>
      <c r="H250" s="180" t="s">
        <v>325</v>
      </c>
      <c r="I250" s="273"/>
      <c r="J250" s="273"/>
      <c r="K250" s="273"/>
      <c r="L250" s="175">
        <f>SUM(L246:L249)</f>
        <v>1965600</v>
      </c>
      <c r="M250" s="175">
        <f>SUM(M246:M249)</f>
        <v>328255.19999999995</v>
      </c>
      <c r="N250" s="273"/>
      <c r="O250" s="273"/>
      <c r="P250" s="273"/>
      <c r="Q250" s="273"/>
      <c r="R250" s="175">
        <f>SUM(R246:R249)</f>
        <v>0</v>
      </c>
      <c r="S250" s="175">
        <f>SUM(S246:S249)</f>
        <v>0</v>
      </c>
      <c r="T250" s="175">
        <f>SUM(T246:T249)</f>
        <v>0</v>
      </c>
      <c r="U250" s="175">
        <f>SUM(U246:U249)</f>
        <v>0</v>
      </c>
      <c r="V250" s="273"/>
      <c r="W250" s="273"/>
      <c r="X250" s="273"/>
      <c r="Y250" s="175">
        <f>SUM(Y246:Y249)</f>
        <v>0</v>
      </c>
      <c r="Z250" s="273"/>
      <c r="AA250" s="273"/>
      <c r="AB250" s="175">
        <f>SUM(AB246:AB249)</f>
        <v>0</v>
      </c>
      <c r="AC250" s="175">
        <f>SUM(AC246:AC249)</f>
        <v>51500000</v>
      </c>
      <c r="AD250" s="175">
        <f>SUM(AD246:AD249)</f>
        <v>0</v>
      </c>
      <c r="AE250" s="175">
        <f>SUM(AE246:AE249)</f>
        <v>0</v>
      </c>
      <c r="AF250" s="175">
        <f>SUM(AF246:AF249)</f>
        <v>51500000</v>
      </c>
      <c r="AG250" s="273"/>
      <c r="AH250" s="273"/>
      <c r="AI250" s="273"/>
      <c r="AJ250" s="175">
        <f>SUM(AJ246:AJ249)</f>
        <v>0</v>
      </c>
      <c r="AK250" s="175">
        <f>SUM(AK246:AK249)</f>
        <v>123000000</v>
      </c>
      <c r="AL250" s="175">
        <f>SUM(AL246:AL249)</f>
        <v>0</v>
      </c>
      <c r="AM250" s="175">
        <f>SUM(AM246:AM249)</f>
        <v>123000000</v>
      </c>
      <c r="AN250" s="175">
        <f>SUM(AN246:AN249)</f>
        <v>0</v>
      </c>
      <c r="AO250" s="274"/>
      <c r="AP250" s="254"/>
      <c r="AQ250" s="175">
        <f t="shared" ref="AQ250:AT250" si="165">SUM(AQ246:AQ249)</f>
        <v>2293855.1999999997</v>
      </c>
      <c r="AR250" s="175">
        <f t="shared" si="165"/>
        <v>51500000</v>
      </c>
      <c r="AS250" s="175">
        <f t="shared" si="165"/>
        <v>123000000</v>
      </c>
      <c r="AT250" s="175">
        <f t="shared" si="165"/>
        <v>176793855.19999999</v>
      </c>
      <c r="AU250" s="175">
        <f t="shared" ref="AU250:BB250" si="166">SUM(AU246:AU249)</f>
        <v>2293855.1999999997</v>
      </c>
      <c r="AV250" s="175">
        <f t="shared" si="166"/>
        <v>0</v>
      </c>
      <c r="AW250" s="175">
        <f t="shared" si="166"/>
        <v>0</v>
      </c>
      <c r="AX250" s="175">
        <f t="shared" si="166"/>
        <v>0</v>
      </c>
      <c r="AY250" s="175">
        <f t="shared" si="166"/>
        <v>0</v>
      </c>
      <c r="AZ250" s="175">
        <f t="shared" si="166"/>
        <v>0</v>
      </c>
      <c r="BA250" s="175">
        <f t="shared" si="166"/>
        <v>0</v>
      </c>
      <c r="BB250" s="175">
        <f t="shared" si="166"/>
        <v>-174500000</v>
      </c>
      <c r="BC250" s="169"/>
      <c r="BD250" s="169"/>
      <c r="BE250" s="169"/>
      <c r="BF250" s="169"/>
    </row>
    <row r="251" spans="1:58" ht="63" x14ac:dyDescent="0.25">
      <c r="A251" s="172"/>
      <c r="B251" s="200"/>
      <c r="C251" s="201"/>
      <c r="D251" s="202"/>
      <c r="E251" s="354"/>
      <c r="F251" s="355"/>
      <c r="G251" s="356"/>
      <c r="H251" s="213" t="s">
        <v>361</v>
      </c>
      <c r="I251" s="178"/>
      <c r="J251" s="174"/>
      <c r="K251" s="174"/>
      <c r="L251" s="125" t="str">
        <f>IF(I251&lt;&gt;0,((VLOOKUP(I251,'1. Standard_Cost'!$B$4:$D$11,2)+VLOOKUP(I251,'1. Standard_Cost'!$B$4:$D$11,3))*J251*K251),"0")</f>
        <v>0</v>
      </c>
      <c r="M251" s="125">
        <f>L251*'1. Standard_Cost'!$F$4</f>
        <v>0</v>
      </c>
      <c r="N251" s="174"/>
      <c r="O251" s="174"/>
      <c r="P251" s="174"/>
      <c r="Q251" s="174"/>
      <c r="R251" s="127">
        <f>'1. Standard_Cost'!$B$15*N251*P251</f>
        <v>0</v>
      </c>
      <c r="S251" s="127">
        <f>N251*O251*P251*'1. Standard_Cost'!$C$15</f>
        <v>0</v>
      </c>
      <c r="T251" s="127">
        <f>N251*P251*Q251*'1. Standard_Cost'!$D$15</f>
        <v>0</v>
      </c>
      <c r="U251" s="127">
        <f>N251*O251*'1. Standard_Cost'!$E$15</f>
        <v>0</v>
      </c>
      <c r="V251" s="174"/>
      <c r="W251" s="174"/>
      <c r="X251" s="174"/>
      <c r="Y251" s="127">
        <f>+V251*((X251*'1. Standard_Cost'!$B$19)+(W251*X251*'1. Standard_Cost'!$C$19))</f>
        <v>0</v>
      </c>
      <c r="Z251" s="174"/>
      <c r="AA251" s="174"/>
      <c r="AB251" s="127">
        <f>+Z251*'1. Standard_Cost'!$B$23+AA251*'1. Standard_Cost'!$C$23</f>
        <v>0</v>
      </c>
      <c r="AC251" s="176"/>
      <c r="AD251" s="177"/>
      <c r="AE251" s="127">
        <f>SUM(AD251,AC251,AB251,Y251,U251,T251,S251,R251)*'1. Standard_Cost'!$B$31</f>
        <v>0</v>
      </c>
      <c r="AF251" s="127">
        <f>SUM(AE251,AD251,AC251,AB251,Y251,U251,T251,S251,R251)</f>
        <v>0</v>
      </c>
      <c r="AG251" s="174"/>
      <c r="AH251" s="174"/>
      <c r="AI251" s="174"/>
      <c r="AJ251" s="178"/>
      <c r="AK251" s="178"/>
      <c r="AL251" s="178"/>
      <c r="AM251" s="127">
        <f>AG251*'1. Standard_Cost'!$B$27+'Incremental_Cost Year 6'!AH251*'1. Standard_Cost'!$C$27+'Incremental_Cost Year 6'!AI251*'1. Standard_Cost'!$D$27+'Incremental_Cost Year 6'!AJ251+'Incremental_Cost Year 6'!AL251+AK251</f>
        <v>0</v>
      </c>
      <c r="AN251" s="127">
        <f>AM251*'1. Standard_Cost'!$C$31</f>
        <v>0</v>
      </c>
      <c r="AO251" s="178"/>
      <c r="AP251" s="256"/>
      <c r="AQ251" s="171">
        <f>L251+M251</f>
        <v>0</v>
      </c>
      <c r="AR251" s="171">
        <f>AF251</f>
        <v>0</v>
      </c>
      <c r="AS251" s="171">
        <f>AM251+AN251</f>
        <v>0</v>
      </c>
      <c r="AT251" s="171">
        <f>SUM(AQ251,AR251,AS251)</f>
        <v>0</v>
      </c>
      <c r="AU251" s="250"/>
      <c r="AV251" s="250"/>
      <c r="AW251" s="250">
        <f>AT251</f>
        <v>0</v>
      </c>
      <c r="AX251" s="250"/>
      <c r="AY251" s="250"/>
      <c r="AZ251" s="250"/>
      <c r="BA251" s="250"/>
      <c r="BB251" s="251">
        <f t="shared" ref="BB251:BB253" si="167">SUM(AU251:BA251)-AT251</f>
        <v>0</v>
      </c>
      <c r="BC251" s="169"/>
      <c r="BD251" s="169"/>
      <c r="BE251" s="169"/>
      <c r="BF251" s="169"/>
    </row>
    <row r="252" spans="1:58" ht="189" x14ac:dyDescent="0.25">
      <c r="A252" s="172"/>
      <c r="B252" s="200"/>
      <c r="C252" s="201"/>
      <c r="D252" s="202"/>
      <c r="E252" s="357"/>
      <c r="F252" s="358"/>
      <c r="G252" s="359"/>
      <c r="H252" s="199" t="s">
        <v>326</v>
      </c>
      <c r="I252" s="178" t="s">
        <v>3</v>
      </c>
      <c r="J252" s="174">
        <v>3</v>
      </c>
      <c r="K252" s="174">
        <v>3</v>
      </c>
      <c r="L252" s="125">
        <f>IF(I252&lt;&gt;0,((VLOOKUP(I252,'1. Standard_Cost'!$B$4:$D$11,2)+VLOOKUP(I252,'1. Standard_Cost'!$B$4:$D$11,3))*J252*K252),"0")</f>
        <v>907200</v>
      </c>
      <c r="M252" s="125">
        <f>L252*'1. Standard_Cost'!$F$4</f>
        <v>151502.39999999999</v>
      </c>
      <c r="N252" s="174">
        <v>30</v>
      </c>
      <c r="O252" s="174">
        <v>1</v>
      </c>
      <c r="P252" s="174">
        <v>20</v>
      </c>
      <c r="Q252" s="174"/>
      <c r="R252" s="127">
        <f>'1. Standard_Cost'!$B$15*N252*P252</f>
        <v>1200000</v>
      </c>
      <c r="S252" s="127">
        <f>N252*O252*P252*'1. Standard_Cost'!$C$15</f>
        <v>900000</v>
      </c>
      <c r="T252" s="127">
        <f>N252*P252*Q252*'1. Standard_Cost'!$D$15</f>
        <v>0</v>
      </c>
      <c r="U252" s="127">
        <f>N252*O252*'1. Standard_Cost'!$E$15</f>
        <v>1200000</v>
      </c>
      <c r="V252" s="174"/>
      <c r="W252" s="174"/>
      <c r="X252" s="174"/>
      <c r="Y252" s="127">
        <f>+V252*((X252*'1. Standard_Cost'!$B$19)+(W252*X252*'1. Standard_Cost'!$C$19))</f>
        <v>0</v>
      </c>
      <c r="Z252" s="174"/>
      <c r="AA252" s="174">
        <v>33</v>
      </c>
      <c r="AB252" s="127">
        <f>+Z252*'1. Standard_Cost'!$B$23+AA252*'1. Standard_Cost'!$C$23</f>
        <v>627000</v>
      </c>
      <c r="AC252" s="176">
        <f>600*300</f>
        <v>180000</v>
      </c>
      <c r="AD252" s="177"/>
      <c r="AE252" s="127"/>
      <c r="AF252" s="127">
        <f>SUM(AE252,AD252,AC252,AB252,Y252,U252,T252,S252,R252)</f>
        <v>4107000</v>
      </c>
      <c r="AG252" s="174"/>
      <c r="AH252" s="174"/>
      <c r="AI252" s="174"/>
      <c r="AJ252" s="178"/>
      <c r="AK252" s="178"/>
      <c r="AL252" s="178"/>
      <c r="AM252" s="127">
        <f>AG252*'1. Standard_Cost'!$B$27+'Incremental_Cost Year 6'!AH252*'1. Standard_Cost'!$C$27+'Incremental_Cost Year 6'!AI252*'1. Standard_Cost'!$D$27+'Incremental_Cost Year 6'!AJ252+'Incremental_Cost Year 6'!AL252+AK252</f>
        <v>0</v>
      </c>
      <c r="AN252" s="127">
        <f>AM252*'1. Standard_Cost'!$C$31</f>
        <v>0</v>
      </c>
      <c r="AO252" s="178"/>
      <c r="AP252" s="256"/>
      <c r="AQ252" s="171">
        <f>L252+M252</f>
        <v>1058702.3999999999</v>
      </c>
      <c r="AR252" s="171">
        <f>AF252</f>
        <v>4107000</v>
      </c>
      <c r="AS252" s="171">
        <f>AM252+AN252</f>
        <v>0</v>
      </c>
      <c r="AT252" s="171">
        <f>SUM(AQ252,AR252,AS252)</f>
        <v>5165702.4000000004</v>
      </c>
      <c r="AU252" s="250">
        <f>AQ252</f>
        <v>1058702.3999999999</v>
      </c>
      <c r="AV252" s="250"/>
      <c r="AW252" s="250"/>
      <c r="AX252" s="250"/>
      <c r="AY252" s="250"/>
      <c r="AZ252" s="250"/>
      <c r="BA252" s="250"/>
      <c r="BB252" s="251">
        <f t="shared" si="167"/>
        <v>-4107000.0000000005</v>
      </c>
      <c r="BC252" s="169"/>
      <c r="BD252" s="169"/>
      <c r="BE252" s="169"/>
      <c r="BF252" s="169"/>
    </row>
    <row r="253" spans="1:58" ht="141.75" x14ac:dyDescent="0.25">
      <c r="A253" s="172"/>
      <c r="B253" s="200"/>
      <c r="C253" s="201"/>
      <c r="D253" s="202"/>
      <c r="E253" s="360"/>
      <c r="F253" s="361"/>
      <c r="G253" s="362"/>
      <c r="H253" s="199" t="s">
        <v>327</v>
      </c>
      <c r="I253" s="178" t="s">
        <v>3</v>
      </c>
      <c r="J253" s="174">
        <v>3</v>
      </c>
      <c r="K253" s="174">
        <v>3</v>
      </c>
      <c r="L253" s="125">
        <f>IF(I253&lt;&gt;0,((VLOOKUP(I253,'1. Standard_Cost'!$B$4:$D$11,2)+VLOOKUP(I253,'1. Standard_Cost'!$B$4:$D$11,3))*J253*K253),"0")</f>
        <v>907200</v>
      </c>
      <c r="M253" s="125">
        <f>L253*'1. Standard_Cost'!$F$4</f>
        <v>151502.39999999999</v>
      </c>
      <c r="N253" s="174">
        <v>50</v>
      </c>
      <c r="O253" s="174">
        <v>1</v>
      </c>
      <c r="P253" s="174">
        <v>20</v>
      </c>
      <c r="Q253" s="174"/>
      <c r="R253" s="127">
        <f>'1. Standard_Cost'!$B$15*N253*P253</f>
        <v>2000000</v>
      </c>
      <c r="S253" s="127">
        <f>N253*O253*P253*'1. Standard_Cost'!$C$15</f>
        <v>1500000</v>
      </c>
      <c r="T253" s="127">
        <f>N253*P253*Q253*'1. Standard_Cost'!$D$15</f>
        <v>0</v>
      </c>
      <c r="U253" s="127">
        <f>N253*O253*'1. Standard_Cost'!$E$15</f>
        <v>2000000</v>
      </c>
      <c r="V253" s="174"/>
      <c r="W253" s="174"/>
      <c r="X253" s="174"/>
      <c r="Y253" s="127">
        <f>+V253*((X253*'1. Standard_Cost'!$B$19)+(W253*X253*'1. Standard_Cost'!$C$19))</f>
        <v>0</v>
      </c>
      <c r="Z253" s="174"/>
      <c r="AA253" s="174">
        <v>53</v>
      </c>
      <c r="AB253" s="127">
        <f>+Z253*'1. Standard_Cost'!$B$23+AA253*'1. Standard_Cost'!$C$23</f>
        <v>1007000</v>
      </c>
      <c r="AC253" s="176">
        <f>1000*300</f>
        <v>300000</v>
      </c>
      <c r="AD253" s="177"/>
      <c r="AE253" s="127">
        <f>SUM(AD253,AC253,AB253,Y253,U253,T253,S253,R253)*'1. Standard_Cost'!$B$31</f>
        <v>1361400</v>
      </c>
      <c r="AF253" s="127">
        <f>SUM(AE253,AD253,AC253,AB253,Y253,U253,T253,S253,R253)</f>
        <v>8168400</v>
      </c>
      <c r="AG253" s="174"/>
      <c r="AH253" s="174"/>
      <c r="AI253" s="174"/>
      <c r="AJ253" s="178"/>
      <c r="AK253" s="178"/>
      <c r="AL253" s="178"/>
      <c r="AM253" s="127">
        <f>AG253*'1. Standard_Cost'!$B$27+'Incremental_Cost Year 6'!AH253*'1. Standard_Cost'!$C$27+'Incremental_Cost Year 6'!AI253*'1. Standard_Cost'!$D$27+'Incremental_Cost Year 6'!AJ253+'Incremental_Cost Year 6'!AL253+AK253</f>
        <v>0</v>
      </c>
      <c r="AN253" s="127">
        <f>AM253*'1. Standard_Cost'!$C$31</f>
        <v>0</v>
      </c>
      <c r="AO253" s="178"/>
      <c r="AP253" s="256"/>
      <c r="AQ253" s="171">
        <f>L253+M253</f>
        <v>1058702.3999999999</v>
      </c>
      <c r="AR253" s="171">
        <f>AF253</f>
        <v>8168400</v>
      </c>
      <c r="AS253" s="171">
        <f>AM253+AN253</f>
        <v>0</v>
      </c>
      <c r="AT253" s="171">
        <f>SUM(AQ253,AR253,AS253)</f>
        <v>9227102.4000000004</v>
      </c>
      <c r="AU253" s="250">
        <f>AQ253</f>
        <v>1058702.3999999999</v>
      </c>
      <c r="AV253" s="250"/>
      <c r="AW253" s="250"/>
      <c r="AX253" s="250"/>
      <c r="AY253" s="250"/>
      <c r="AZ253" s="250"/>
      <c r="BA253" s="250"/>
      <c r="BB253" s="251">
        <f t="shared" si="167"/>
        <v>-8168400</v>
      </c>
      <c r="BC253" s="169"/>
      <c r="BD253" s="169"/>
      <c r="BE253" s="169"/>
      <c r="BF253" s="169"/>
    </row>
    <row r="254" spans="1:58" ht="51" x14ac:dyDescent="0.2">
      <c r="A254" s="172"/>
      <c r="B254" s="168"/>
      <c r="C254" s="204"/>
      <c r="D254" s="195" t="s">
        <v>558</v>
      </c>
      <c r="E254" s="205" t="s">
        <v>328</v>
      </c>
      <c r="F254" s="206">
        <v>2021</v>
      </c>
      <c r="G254" s="209">
        <v>2030</v>
      </c>
      <c r="H254" s="180" t="s">
        <v>329</v>
      </c>
      <c r="I254" s="273"/>
      <c r="J254" s="273"/>
      <c r="K254" s="273"/>
      <c r="L254" s="175">
        <f>SUM(L251:L253)</f>
        <v>1814400</v>
      </c>
      <c r="M254" s="175">
        <f>SUM(M251:M253)</f>
        <v>303004.79999999999</v>
      </c>
      <c r="N254" s="273"/>
      <c r="O254" s="273"/>
      <c r="P254" s="273"/>
      <c r="Q254" s="273"/>
      <c r="R254" s="175">
        <f>SUM(R251:R253)</f>
        <v>3200000</v>
      </c>
      <c r="S254" s="175">
        <f>SUM(S251:S253)</f>
        <v>2400000</v>
      </c>
      <c r="T254" s="175">
        <f>SUM(T251:T253)</f>
        <v>0</v>
      </c>
      <c r="U254" s="175">
        <f>SUM(U251:U253)</f>
        <v>3200000</v>
      </c>
      <c r="V254" s="273"/>
      <c r="W254" s="273"/>
      <c r="X254" s="273"/>
      <c r="Y254" s="175">
        <f>SUM(Y251:Y253)</f>
        <v>0</v>
      </c>
      <c r="Z254" s="273"/>
      <c r="AA254" s="273"/>
      <c r="AB254" s="175">
        <f>SUM(AB251:AB253)</f>
        <v>1634000</v>
      </c>
      <c r="AC254" s="175">
        <f>SUM(AC251:AC253)</f>
        <v>480000</v>
      </c>
      <c r="AD254" s="175">
        <f>SUM(AD251:AD253)</f>
        <v>0</v>
      </c>
      <c r="AE254" s="175">
        <f>SUM(AE251:AE253)</f>
        <v>1361400</v>
      </c>
      <c r="AF254" s="175">
        <f>SUM(AF251:AF253)</f>
        <v>12275400</v>
      </c>
      <c r="AG254" s="273"/>
      <c r="AH254" s="273"/>
      <c r="AI254" s="273"/>
      <c r="AJ254" s="175">
        <f>SUM(AJ251:AJ253)</f>
        <v>0</v>
      </c>
      <c r="AK254" s="175">
        <f>SUM(AK251:AK253)</f>
        <v>0</v>
      </c>
      <c r="AL254" s="175">
        <f>SUM(AL251:AL253)</f>
        <v>0</v>
      </c>
      <c r="AM254" s="175">
        <f>SUM(AM251:AM253)</f>
        <v>0</v>
      </c>
      <c r="AN254" s="175">
        <f>SUM(AN251:AN253)</f>
        <v>0</v>
      </c>
      <c r="AO254" s="274"/>
      <c r="AP254" s="254"/>
      <c r="AQ254" s="175">
        <f t="shared" ref="AQ254:AT254" si="168">SUM(AQ251:AQ253)</f>
        <v>2117404.7999999998</v>
      </c>
      <c r="AR254" s="175">
        <f t="shared" si="168"/>
        <v>12275400</v>
      </c>
      <c r="AS254" s="175">
        <f t="shared" si="168"/>
        <v>0</v>
      </c>
      <c r="AT254" s="175">
        <f t="shared" si="168"/>
        <v>14392804.800000001</v>
      </c>
      <c r="AU254" s="175">
        <f t="shared" ref="AU254:BB254" si="169">SUM(AU251:AU253)</f>
        <v>2117404.7999999998</v>
      </c>
      <c r="AV254" s="175">
        <f t="shared" si="169"/>
        <v>0</v>
      </c>
      <c r="AW254" s="175">
        <f t="shared" si="169"/>
        <v>0</v>
      </c>
      <c r="AX254" s="175">
        <f t="shared" si="169"/>
        <v>0</v>
      </c>
      <c r="AY254" s="175">
        <f t="shared" si="169"/>
        <v>0</v>
      </c>
      <c r="AZ254" s="175">
        <f t="shared" si="169"/>
        <v>0</v>
      </c>
      <c r="BA254" s="175">
        <f t="shared" si="169"/>
        <v>0</v>
      </c>
      <c r="BB254" s="175">
        <f t="shared" si="169"/>
        <v>-12275400</v>
      </c>
      <c r="BC254" s="169"/>
      <c r="BD254" s="169"/>
      <c r="BE254" s="169"/>
      <c r="BF254" s="169"/>
    </row>
    <row r="255" spans="1:58" ht="78.75" x14ac:dyDescent="0.25">
      <c r="A255" s="172"/>
      <c r="B255" s="200"/>
      <c r="C255" s="201"/>
      <c r="D255" s="202"/>
      <c r="E255" s="354"/>
      <c r="F255" s="355"/>
      <c r="G255" s="356"/>
      <c r="H255" s="213" t="s">
        <v>330</v>
      </c>
      <c r="I255" s="178" t="s">
        <v>3</v>
      </c>
      <c r="J255" s="174">
        <v>1</v>
      </c>
      <c r="K255" s="174">
        <v>2</v>
      </c>
      <c r="L255" s="125">
        <f>IF(I255&lt;&gt;0,((VLOOKUP(I255,'1. Standard_Cost'!$B$4:$D$11,2)+VLOOKUP(I255,'1. Standard_Cost'!$B$4:$D$11,3))*J255*K255),"0")</f>
        <v>201600</v>
      </c>
      <c r="M255" s="125">
        <f>L255*'1. Standard_Cost'!$F$4</f>
        <v>33667.200000000004</v>
      </c>
      <c r="N255" s="174"/>
      <c r="O255" s="174"/>
      <c r="P255" s="174"/>
      <c r="Q255" s="174"/>
      <c r="R255" s="127">
        <f>'1. Standard_Cost'!$B$15*N255*P255</f>
        <v>0</v>
      </c>
      <c r="S255" s="127">
        <f>N255*O255*P255*'1. Standard_Cost'!$C$15</f>
        <v>0</v>
      </c>
      <c r="T255" s="127">
        <f>N255*P255*Q255*'1. Standard_Cost'!$D$15</f>
        <v>0</v>
      </c>
      <c r="U255" s="127">
        <f>N255*O255*'1. Standard_Cost'!$E$15</f>
        <v>0</v>
      </c>
      <c r="V255" s="174"/>
      <c r="W255" s="174"/>
      <c r="X255" s="174"/>
      <c r="Y255" s="127">
        <f>+V255*((X255*'1. Standard_Cost'!$B$19)+(W255*X255*'1. Standard_Cost'!$C$19))</f>
        <v>0</v>
      </c>
      <c r="Z255" s="174"/>
      <c r="AA255" s="174"/>
      <c r="AB255" s="127">
        <f>+Z255*'1. Standard_Cost'!$B$23+AA255*'1. Standard_Cost'!$C$23</f>
        <v>0</v>
      </c>
      <c r="AC255" s="176"/>
      <c r="AD255" s="177">
        <f>123000000*25%</f>
        <v>30750000</v>
      </c>
      <c r="AE255" s="127"/>
      <c r="AF255" s="127">
        <f>SUM(AE255,AD255,AC255,AB255,Y255,U255,T255,S255,R255)</f>
        <v>30750000</v>
      </c>
      <c r="AG255" s="174"/>
      <c r="AH255" s="174"/>
      <c r="AI255" s="174"/>
      <c r="AJ255" s="178"/>
      <c r="AK255" s="178"/>
      <c r="AL255" s="178"/>
      <c r="AM255" s="127">
        <f>AG255*'1. Standard_Cost'!$B$27+'Incremental_Cost Year 6'!AH255*'1. Standard_Cost'!$C$27+'Incremental_Cost Year 6'!AI255*'1. Standard_Cost'!$D$27+'Incremental_Cost Year 6'!AJ255+'Incremental_Cost Year 6'!AL255+AK255</f>
        <v>0</v>
      </c>
      <c r="AN255" s="127">
        <f>AM255*'1. Standard_Cost'!$C$31</f>
        <v>0</v>
      </c>
      <c r="AO255" s="178"/>
      <c r="AP255" s="256"/>
      <c r="AQ255" s="171">
        <f>L255+M255</f>
        <v>235267.20000000001</v>
      </c>
      <c r="AR255" s="171">
        <f>AF255</f>
        <v>30750000</v>
      </c>
      <c r="AS255" s="171">
        <f>AM255+AN255</f>
        <v>0</v>
      </c>
      <c r="AT255" s="171">
        <f>SUM(AQ255,AR255,AS255)</f>
        <v>30985267.199999999</v>
      </c>
      <c r="AU255" s="250">
        <f>AQ255</f>
        <v>235267.20000000001</v>
      </c>
      <c r="AV255" s="250"/>
      <c r="AW255" s="250"/>
      <c r="AX255" s="250"/>
      <c r="AY255" s="250"/>
      <c r="AZ255" s="250"/>
      <c r="BA255" s="250"/>
      <c r="BB255" s="251">
        <f t="shared" ref="BB255:BB257" si="170">SUM(AU255:BA255)-AT255</f>
        <v>-30750000</v>
      </c>
      <c r="BC255" s="169"/>
      <c r="BD255" s="169"/>
      <c r="BE255" s="169"/>
      <c r="BF255" s="169"/>
    </row>
    <row r="256" spans="1:58" ht="78.75" x14ac:dyDescent="0.25">
      <c r="A256" s="172"/>
      <c r="B256" s="200"/>
      <c r="C256" s="201"/>
      <c r="D256" s="202"/>
      <c r="E256" s="357"/>
      <c r="F256" s="358"/>
      <c r="G256" s="359"/>
      <c r="H256" s="199" t="s">
        <v>331</v>
      </c>
      <c r="I256" s="178" t="s">
        <v>3</v>
      </c>
      <c r="J256" s="174">
        <v>2</v>
      </c>
      <c r="K256" s="174">
        <v>6</v>
      </c>
      <c r="L256" s="125">
        <f>IF(I256&lt;&gt;0,((VLOOKUP(I256,'1. Standard_Cost'!$B$4:$D$11,2)+VLOOKUP(I256,'1. Standard_Cost'!$B$4:$D$11,3))*J256*K256),"0")</f>
        <v>1209600</v>
      </c>
      <c r="M256" s="125">
        <f>L256*'1. Standard_Cost'!$F$4</f>
        <v>202003.20000000001</v>
      </c>
      <c r="N256" s="174"/>
      <c r="O256" s="174"/>
      <c r="P256" s="174"/>
      <c r="Q256" s="174"/>
      <c r="R256" s="127">
        <f>'1. Standard_Cost'!$B$15*N256*P256</f>
        <v>0</v>
      </c>
      <c r="S256" s="127">
        <f>N256*O256*P256*'1. Standard_Cost'!$C$15</f>
        <v>0</v>
      </c>
      <c r="T256" s="127">
        <f>N256*P256*Q256*'1. Standard_Cost'!$D$15</f>
        <v>0</v>
      </c>
      <c r="U256" s="127">
        <f>N256*O256*'1. Standard_Cost'!$E$15</f>
        <v>0</v>
      </c>
      <c r="V256" s="174"/>
      <c r="W256" s="174"/>
      <c r="X256" s="174"/>
      <c r="Y256" s="127">
        <f>+V256*((X256*'1. Standard_Cost'!$B$19)+(W256*X256*'1. Standard_Cost'!$C$19))</f>
        <v>0</v>
      </c>
      <c r="Z256" s="174"/>
      <c r="AA256" s="174"/>
      <c r="AB256" s="127">
        <f>+Z256*'1. Standard_Cost'!$B$23+AA256*'1. Standard_Cost'!$C$23</f>
        <v>0</v>
      </c>
      <c r="AC256" s="176"/>
      <c r="AD256" s="177"/>
      <c r="AE256" s="127">
        <f>SUM(AD256,AC256,AB256,Y256,U256,T256,S256,R256)*'1. Standard_Cost'!$B$31</f>
        <v>0</v>
      </c>
      <c r="AF256" s="127">
        <f>SUM(AE256,AD256,AC256,AB256,Y256,U256,T256,S256,R256)</f>
        <v>0</v>
      </c>
      <c r="AG256" s="174"/>
      <c r="AH256" s="174"/>
      <c r="AI256" s="174"/>
      <c r="AJ256" s="178"/>
      <c r="AK256" s="178"/>
      <c r="AL256" s="178"/>
      <c r="AM256" s="127">
        <f>AG256*'1. Standard_Cost'!$B$27+'Incremental_Cost Year 6'!AH256*'1. Standard_Cost'!$C$27+'Incremental_Cost Year 6'!AI256*'1. Standard_Cost'!$D$27+'Incremental_Cost Year 6'!AJ256+'Incremental_Cost Year 6'!AL256+AK256</f>
        <v>0</v>
      </c>
      <c r="AN256" s="127">
        <f>AM256*'1. Standard_Cost'!$C$31</f>
        <v>0</v>
      </c>
      <c r="AO256" s="178"/>
      <c r="AP256" s="256"/>
      <c r="AQ256" s="171">
        <f>L256+M256</f>
        <v>1411603.2</v>
      </c>
      <c r="AR256" s="171">
        <f>AF256</f>
        <v>0</v>
      </c>
      <c r="AS256" s="171">
        <f>AM256+AN256</f>
        <v>0</v>
      </c>
      <c r="AT256" s="171">
        <f>SUM(AQ256,AR256,AS256)</f>
        <v>1411603.2</v>
      </c>
      <c r="AU256" s="250">
        <f>AT256</f>
        <v>1411603.2</v>
      </c>
      <c r="AV256" s="250"/>
      <c r="AW256" s="250"/>
      <c r="AX256" s="250"/>
      <c r="AY256" s="250"/>
      <c r="AZ256" s="250"/>
      <c r="BA256" s="250"/>
      <c r="BB256" s="251">
        <f t="shared" si="170"/>
        <v>0</v>
      </c>
      <c r="BC256" s="169"/>
      <c r="BD256" s="169"/>
      <c r="BE256" s="169"/>
      <c r="BF256" s="169"/>
    </row>
    <row r="257" spans="1:58" ht="94.5" x14ac:dyDescent="0.25">
      <c r="A257" s="172"/>
      <c r="B257" s="200"/>
      <c r="C257" s="201"/>
      <c r="D257" s="202"/>
      <c r="E257" s="360"/>
      <c r="F257" s="361"/>
      <c r="G257" s="362"/>
      <c r="H257" s="199" t="s">
        <v>332</v>
      </c>
      <c r="I257" s="178"/>
      <c r="J257" s="174"/>
      <c r="K257" s="174"/>
      <c r="L257" s="125" t="str">
        <f>IF(I257&lt;&gt;0,((VLOOKUP(I257,'1. Standard_Cost'!$B$4:$D$11,2)+VLOOKUP(I257,'1. Standard_Cost'!$B$4:$D$11,3))*J257*K257),"0")</f>
        <v>0</v>
      </c>
      <c r="M257" s="125">
        <f>L257*'1. Standard_Cost'!$F$4</f>
        <v>0</v>
      </c>
      <c r="N257" s="174"/>
      <c r="O257" s="174"/>
      <c r="P257" s="174"/>
      <c r="Q257" s="174"/>
      <c r="R257" s="127">
        <f>'1. Standard_Cost'!$B$15*N257*P257</f>
        <v>0</v>
      </c>
      <c r="S257" s="127">
        <f>N257*O257*P257*'1. Standard_Cost'!$C$15</f>
        <v>0</v>
      </c>
      <c r="T257" s="127">
        <f>N257*P257*Q257*'1. Standard_Cost'!$D$15</f>
        <v>0</v>
      </c>
      <c r="U257" s="127">
        <f>N257*O257*'1. Standard_Cost'!$E$15</f>
        <v>0</v>
      </c>
      <c r="V257" s="174"/>
      <c r="W257" s="174"/>
      <c r="X257" s="174"/>
      <c r="Y257" s="127">
        <f>+V257*((X257*'1. Standard_Cost'!$B$19)+(W257*X257*'1. Standard_Cost'!$C$19))</f>
        <v>0</v>
      </c>
      <c r="Z257" s="174"/>
      <c r="AA257" s="174"/>
      <c r="AB257" s="127">
        <f>+Z257*'1. Standard_Cost'!$B$23+AA257*'1. Standard_Cost'!$C$23</f>
        <v>0</v>
      </c>
      <c r="AC257" s="176"/>
      <c r="AD257" s="177"/>
      <c r="AE257" s="127">
        <f>SUM(AD257,AC257,AB257,Y257,U257,T257,S257,R257)*'1. Standard_Cost'!$B$31</f>
        <v>0</v>
      </c>
      <c r="AF257" s="127">
        <f>SUM(AE257,AD257,AC257,AB257,Y257,U257,T257,S257,R257)</f>
        <v>0</v>
      </c>
      <c r="AG257" s="174"/>
      <c r="AH257" s="174"/>
      <c r="AI257" s="174"/>
      <c r="AJ257" s="178"/>
      <c r="AK257" s="178">
        <v>184500000</v>
      </c>
      <c r="AL257" s="178"/>
      <c r="AM257" s="127">
        <f>AG257*'1. Standard_Cost'!$B$27+'Incremental_Cost Year 6'!AH257*'1. Standard_Cost'!$C$27+'Incremental_Cost Year 6'!AI257*'1. Standard_Cost'!$D$27+'Incremental_Cost Year 6'!AJ257+'Incremental_Cost Year 6'!AL257+AK257</f>
        <v>184500000</v>
      </c>
      <c r="AN257" s="127"/>
      <c r="AO257" s="178"/>
      <c r="AP257" s="256"/>
      <c r="AQ257" s="171">
        <f>L257+M257</f>
        <v>0</v>
      </c>
      <c r="AR257" s="171">
        <f>AF257</f>
        <v>0</v>
      </c>
      <c r="AS257" s="171">
        <f>AM257+AN257</f>
        <v>184500000</v>
      </c>
      <c r="AT257" s="171">
        <f>SUM(AQ257,AR257,AS257)</f>
        <v>184500000</v>
      </c>
      <c r="AU257" s="250"/>
      <c r="AV257" s="250"/>
      <c r="AW257" s="250"/>
      <c r="AX257" s="250"/>
      <c r="AY257" s="250"/>
      <c r="AZ257" s="250"/>
      <c r="BA257" s="250"/>
      <c r="BB257" s="251">
        <f t="shared" si="170"/>
        <v>-184500000</v>
      </c>
      <c r="BC257" s="169"/>
      <c r="BD257" s="169"/>
      <c r="BE257" s="169"/>
      <c r="BF257" s="169"/>
    </row>
    <row r="258" spans="1:58" ht="38.25" x14ac:dyDescent="0.2">
      <c r="A258" s="172"/>
      <c r="B258" s="168"/>
      <c r="C258" s="204"/>
      <c r="D258" s="195" t="s">
        <v>559</v>
      </c>
      <c r="E258" s="205" t="s">
        <v>333</v>
      </c>
      <c r="F258" s="206">
        <v>2025</v>
      </c>
      <c r="G258" s="207">
        <v>2030</v>
      </c>
      <c r="H258" s="180" t="s">
        <v>334</v>
      </c>
      <c r="I258" s="273"/>
      <c r="J258" s="273"/>
      <c r="K258" s="273"/>
      <c r="L258" s="175">
        <f>SUM(L255:L257)</f>
        <v>1411200</v>
      </c>
      <c r="M258" s="175">
        <f>SUM(M255:M257)</f>
        <v>235670.40000000002</v>
      </c>
      <c r="N258" s="273"/>
      <c r="O258" s="273"/>
      <c r="P258" s="273"/>
      <c r="Q258" s="273"/>
      <c r="R258" s="175">
        <f>SUM(R255:R257)</f>
        <v>0</v>
      </c>
      <c r="S258" s="175">
        <f>SUM(S255:S257)</f>
        <v>0</v>
      </c>
      <c r="T258" s="175">
        <f>SUM(T255:T257)</f>
        <v>0</v>
      </c>
      <c r="U258" s="175">
        <f>SUM(U255:U257)</f>
        <v>0</v>
      </c>
      <c r="V258" s="273"/>
      <c r="W258" s="273"/>
      <c r="X258" s="273"/>
      <c r="Y258" s="175">
        <f>SUM(Y255:Y257)</f>
        <v>0</v>
      </c>
      <c r="Z258" s="273"/>
      <c r="AA258" s="273"/>
      <c r="AB258" s="175">
        <f>SUM(AB255:AB257)</f>
        <v>0</v>
      </c>
      <c r="AC258" s="175">
        <f>SUM(AC255:AC257)</f>
        <v>0</v>
      </c>
      <c r="AD258" s="175">
        <f>SUM(AD255:AD257)</f>
        <v>30750000</v>
      </c>
      <c r="AE258" s="175">
        <f>SUM(AE255:AE257)</f>
        <v>0</v>
      </c>
      <c r="AF258" s="175">
        <f>SUM(AF255:AF257)</f>
        <v>30750000</v>
      </c>
      <c r="AG258" s="273"/>
      <c r="AH258" s="273"/>
      <c r="AI258" s="273"/>
      <c r="AJ258" s="175">
        <f>SUM(AJ255:AJ257)</f>
        <v>0</v>
      </c>
      <c r="AK258" s="175">
        <f>SUM(AK255:AK257)</f>
        <v>184500000</v>
      </c>
      <c r="AL258" s="175">
        <f>SUM(AL255:AL257)</f>
        <v>0</v>
      </c>
      <c r="AM258" s="175">
        <f>SUM(AM255:AM257)</f>
        <v>184500000</v>
      </c>
      <c r="AN258" s="175">
        <f>SUM(AN255:AN257)</f>
        <v>0</v>
      </c>
      <c r="AO258" s="274"/>
      <c r="AP258" s="254"/>
      <c r="AQ258" s="175">
        <f t="shared" ref="AQ258:AT258" si="171">SUM(AQ255:AQ257)</f>
        <v>1646870.4</v>
      </c>
      <c r="AR258" s="175">
        <f t="shared" si="171"/>
        <v>30750000</v>
      </c>
      <c r="AS258" s="175">
        <f t="shared" si="171"/>
        <v>184500000</v>
      </c>
      <c r="AT258" s="175">
        <f t="shared" si="171"/>
        <v>216896870.40000001</v>
      </c>
      <c r="AU258" s="175">
        <f t="shared" ref="AU258:BB258" si="172">SUM(AU255:AU257)</f>
        <v>1646870.4</v>
      </c>
      <c r="AV258" s="175">
        <f t="shared" si="172"/>
        <v>0</v>
      </c>
      <c r="AW258" s="175">
        <f t="shared" si="172"/>
        <v>0</v>
      </c>
      <c r="AX258" s="175">
        <f t="shared" si="172"/>
        <v>0</v>
      </c>
      <c r="AY258" s="175">
        <f t="shared" si="172"/>
        <v>0</v>
      </c>
      <c r="AZ258" s="175">
        <f t="shared" si="172"/>
        <v>0</v>
      </c>
      <c r="BA258" s="175">
        <f t="shared" si="172"/>
        <v>0</v>
      </c>
      <c r="BB258" s="175">
        <f t="shared" si="172"/>
        <v>-215250000</v>
      </c>
      <c r="BC258" s="169"/>
      <c r="BD258" s="169"/>
      <c r="BE258" s="169"/>
      <c r="BF258" s="169"/>
    </row>
    <row r="259" spans="1:58" ht="15.6" customHeight="1" x14ac:dyDescent="0.2">
      <c r="A259" s="179"/>
      <c r="B259" s="290"/>
      <c r="C259" s="391" t="s">
        <v>335</v>
      </c>
      <c r="D259" s="391"/>
      <c r="E259" s="392"/>
      <c r="F259" s="287"/>
      <c r="G259" s="289"/>
      <c r="H259" s="181" t="s">
        <v>336</v>
      </c>
      <c r="I259" s="271"/>
      <c r="J259" s="271"/>
      <c r="K259" s="271"/>
      <c r="L259" s="261">
        <f>L263+L268</f>
        <v>22966100</v>
      </c>
      <c r="M259" s="261">
        <f>M263+M268</f>
        <v>3835338.7</v>
      </c>
      <c r="N259" s="271"/>
      <c r="O259" s="271"/>
      <c r="P259" s="271"/>
      <c r="Q259" s="271"/>
      <c r="R259" s="261">
        <f>R263+R268</f>
        <v>0</v>
      </c>
      <c r="S259" s="261">
        <f>S263+S268</f>
        <v>0</v>
      </c>
      <c r="T259" s="261">
        <f>T263+T268</f>
        <v>0</v>
      </c>
      <c r="U259" s="261">
        <f>U263+U268</f>
        <v>0</v>
      </c>
      <c r="V259" s="261"/>
      <c r="W259" s="271"/>
      <c r="X259" s="271"/>
      <c r="Y259" s="261">
        <f>Y263+Y268</f>
        <v>0</v>
      </c>
      <c r="Z259" s="261"/>
      <c r="AA259" s="261"/>
      <c r="AB259" s="261">
        <f>AB263+AB268</f>
        <v>0</v>
      </c>
      <c r="AC259" s="261">
        <f>AC263+AC268</f>
        <v>25655000</v>
      </c>
      <c r="AD259" s="261">
        <f>AD263+AD268</f>
        <v>253144000</v>
      </c>
      <c r="AE259" s="261">
        <f>AE263+AE268</f>
        <v>18450000</v>
      </c>
      <c r="AF259" s="261">
        <f>AF263+AF268</f>
        <v>297249000</v>
      </c>
      <c r="AG259" s="271"/>
      <c r="AH259" s="271"/>
      <c r="AI259" s="271"/>
      <c r="AJ259" s="261">
        <f>AJ263+AJ268</f>
        <v>0</v>
      </c>
      <c r="AK259" s="261">
        <f>AK263+AK268</f>
        <v>184500000</v>
      </c>
      <c r="AL259" s="261">
        <f>AL263+AL268</f>
        <v>0</v>
      </c>
      <c r="AM259" s="261">
        <f>AM263+AM268</f>
        <v>184500000</v>
      </c>
      <c r="AN259" s="261">
        <f>AN263+AN268</f>
        <v>0</v>
      </c>
      <c r="AO259" s="272"/>
      <c r="AP259" s="260"/>
      <c r="AQ259" s="261">
        <f t="shared" ref="AQ259:BB259" si="173">AQ263+AQ268</f>
        <v>26801438.699999999</v>
      </c>
      <c r="AR259" s="261">
        <f t="shared" si="173"/>
        <v>297249000</v>
      </c>
      <c r="AS259" s="261">
        <f t="shared" si="173"/>
        <v>184500000</v>
      </c>
      <c r="AT259" s="261">
        <f t="shared" si="173"/>
        <v>508550438.69999999</v>
      </c>
      <c r="AU259" s="261">
        <f t="shared" si="173"/>
        <v>52456438.299999997</v>
      </c>
      <c r="AV259" s="261">
        <f t="shared" si="173"/>
        <v>0</v>
      </c>
      <c r="AW259" s="261">
        <f t="shared" si="173"/>
        <v>0</v>
      </c>
      <c r="AX259" s="261">
        <f t="shared" si="173"/>
        <v>0</v>
      </c>
      <c r="AY259" s="261">
        <f t="shared" si="173"/>
        <v>0</v>
      </c>
      <c r="AZ259" s="261">
        <f t="shared" si="173"/>
        <v>0</v>
      </c>
      <c r="BA259" s="261">
        <f t="shared" si="173"/>
        <v>0</v>
      </c>
      <c r="BB259" s="261">
        <f t="shared" si="173"/>
        <v>-456094000.39999998</v>
      </c>
      <c r="BC259" s="184"/>
      <c r="BD259" s="184"/>
      <c r="BE259" s="184"/>
      <c r="BF259" s="184"/>
    </row>
    <row r="260" spans="1:58" ht="99.75" customHeight="1" x14ac:dyDescent="0.25">
      <c r="A260" s="172"/>
      <c r="B260" s="354"/>
      <c r="C260" s="356"/>
      <c r="D260" s="342"/>
      <c r="E260" s="328"/>
      <c r="F260" s="328"/>
      <c r="G260" s="328"/>
      <c r="H260" s="199" t="s">
        <v>551</v>
      </c>
      <c r="I260" s="178" t="s">
        <v>3</v>
      </c>
      <c r="J260" s="174">
        <v>1</v>
      </c>
      <c r="K260" s="174">
        <v>2</v>
      </c>
      <c r="L260" s="125">
        <f>IF(I260&lt;&gt;0,((VLOOKUP(I260,'1. Standard_Cost'!$B$4:$D$11,2)+VLOOKUP(I260,'1. Standard_Cost'!$B$4:$D$11,3))*J260*K260),"0")</f>
        <v>201600</v>
      </c>
      <c r="M260" s="125">
        <f>L260*'1. Standard_Cost'!$F$4</f>
        <v>33667.200000000004</v>
      </c>
      <c r="N260" s="174"/>
      <c r="O260" s="174"/>
      <c r="P260" s="174"/>
      <c r="Q260" s="174"/>
      <c r="R260" s="127">
        <f>'1. Standard_Cost'!$B$15*N260*P260</f>
        <v>0</v>
      </c>
      <c r="S260" s="127">
        <f>N260*O260*P260*'1. Standard_Cost'!$C$15</f>
        <v>0</v>
      </c>
      <c r="T260" s="127">
        <f>N260*P260*Q260*'1. Standard_Cost'!$D$15</f>
        <v>0</v>
      </c>
      <c r="U260" s="127">
        <f>N260*O260*'1. Standard_Cost'!$E$15</f>
        <v>0</v>
      </c>
      <c r="V260" s="174"/>
      <c r="W260" s="174"/>
      <c r="X260" s="174"/>
      <c r="Y260" s="127">
        <f>+V260*((X260*'1. Standard_Cost'!$B$19)+(W260*X260*'1. Standard_Cost'!$C$19))</f>
        <v>0</v>
      </c>
      <c r="Z260" s="174"/>
      <c r="AA260" s="174"/>
      <c r="AB260" s="127">
        <f>+Z260*'1. Standard_Cost'!$B$23+AA260*'1. Standard_Cost'!$C$23</f>
        <v>0</v>
      </c>
      <c r="AC260" s="176"/>
      <c r="AD260" s="177">
        <f>538740000*25%</f>
        <v>134685000</v>
      </c>
      <c r="AE260" s="127"/>
      <c r="AF260" s="127">
        <f>SUM(AE260,AD260,AC260,AB260,Y260,U260,T260,S260,R260)</f>
        <v>134685000</v>
      </c>
      <c r="AG260" s="174"/>
      <c r="AH260" s="174"/>
      <c r="AI260" s="174"/>
      <c r="AJ260" s="178"/>
      <c r="AK260" s="178"/>
      <c r="AL260" s="178"/>
      <c r="AM260" s="127">
        <f>AG260*'1. Standard_Cost'!$B$27+'Incremental_Cost Year 6'!AH260*'1. Standard_Cost'!$C$27+'Incremental_Cost Year 6'!AI260*'1. Standard_Cost'!$D$27+'Incremental_Cost Year 6'!AJ260+'Incremental_Cost Year 6'!AL260+AK260</f>
        <v>0</v>
      </c>
      <c r="AN260" s="127">
        <f>AM260*'1. Standard_Cost'!$C$31</f>
        <v>0</v>
      </c>
      <c r="AO260" s="178"/>
      <c r="AP260" s="256"/>
      <c r="AQ260" s="171">
        <f>L260+M260</f>
        <v>235267.20000000001</v>
      </c>
      <c r="AR260" s="171">
        <f>AF260</f>
        <v>134685000</v>
      </c>
      <c r="AS260" s="171">
        <f>AM260+AN260</f>
        <v>0</v>
      </c>
      <c r="AT260" s="171">
        <f>SUM(AQ260,AR260,AS260)</f>
        <v>134920267.19999999</v>
      </c>
      <c r="AU260" s="250">
        <f>AQ260</f>
        <v>235267.20000000001</v>
      </c>
      <c r="AV260" s="250"/>
      <c r="AW260" s="250"/>
      <c r="AX260" s="250"/>
      <c r="AY260" s="250"/>
      <c r="AZ260" s="250"/>
      <c r="BA260" s="250"/>
      <c r="BB260" s="251">
        <f t="shared" ref="BB260:BB262" si="174">SUM(AU260:BA260)-AT260</f>
        <v>-134685000</v>
      </c>
      <c r="BC260" s="169"/>
      <c r="BD260" s="169"/>
      <c r="BE260" s="169"/>
      <c r="BF260" s="169"/>
    </row>
    <row r="261" spans="1:58" ht="63" x14ac:dyDescent="0.25">
      <c r="A261" s="172"/>
      <c r="B261" s="357"/>
      <c r="C261" s="359"/>
      <c r="D261" s="343"/>
      <c r="E261" s="328"/>
      <c r="F261" s="328"/>
      <c r="G261" s="328"/>
      <c r="H261" s="199" t="s">
        <v>337</v>
      </c>
      <c r="I261" s="178" t="s">
        <v>4</v>
      </c>
      <c r="J261" s="174">
        <v>1</v>
      </c>
      <c r="K261" s="174">
        <v>2</v>
      </c>
      <c r="L261" s="125">
        <f>IF(I261&lt;&gt;0,((VLOOKUP(I261,'1. Standard_Cost'!$B$4:$D$11,2)+VLOOKUP(I261,'1. Standard_Cost'!$B$4:$D$11,3))*J261*K261),"0")</f>
        <v>161500</v>
      </c>
      <c r="M261" s="125">
        <f>L261*'1. Standard_Cost'!$F$4</f>
        <v>26970.5</v>
      </c>
      <c r="N261" s="174"/>
      <c r="O261" s="174"/>
      <c r="P261" s="174"/>
      <c r="Q261" s="174"/>
      <c r="R261" s="127">
        <f>'1. Standard_Cost'!$B$15*N261*P261</f>
        <v>0</v>
      </c>
      <c r="S261" s="127">
        <f>N261*O261*P261*'1. Standard_Cost'!$C$15</f>
        <v>0</v>
      </c>
      <c r="T261" s="127">
        <f>N261*P261*Q261*'1. Standard_Cost'!$D$15</f>
        <v>0</v>
      </c>
      <c r="U261" s="127">
        <f>N261*O261*'1. Standard_Cost'!$E$15</f>
        <v>0</v>
      </c>
      <c r="V261" s="174"/>
      <c r="W261" s="174"/>
      <c r="X261" s="174"/>
      <c r="Y261" s="127">
        <f>+V261*((X261*'1. Standard_Cost'!$B$19)+(W261*X261*'1. Standard_Cost'!$C$19))</f>
        <v>0</v>
      </c>
      <c r="Z261" s="174"/>
      <c r="AA261" s="174"/>
      <c r="AB261" s="127">
        <f>+Z261*'1. Standard_Cost'!$B$23+AA261*'1. Standard_Cost'!$C$23</f>
        <v>0</v>
      </c>
      <c r="AC261" s="176"/>
      <c r="AD261" s="177">
        <f>51700000*25%</f>
        <v>12925000</v>
      </c>
      <c r="AE261" s="127"/>
      <c r="AF261" s="127">
        <f>SUM(AE261,AD261,AC261,AB261,Y261,U261,T261,S261,R261)</f>
        <v>12925000</v>
      </c>
      <c r="AG261" s="174"/>
      <c r="AH261" s="174"/>
      <c r="AI261" s="174"/>
      <c r="AJ261" s="178"/>
      <c r="AK261" s="178"/>
      <c r="AL261" s="178"/>
      <c r="AM261" s="127">
        <f>AG261*'1. Standard_Cost'!$B$27+'Incremental_Cost Year 6'!AH261*'1. Standard_Cost'!$C$27+'Incremental_Cost Year 6'!AI261*'1. Standard_Cost'!$D$27+'Incremental_Cost Year 6'!AJ261+'Incremental_Cost Year 6'!AL261+AK261</f>
        <v>0</v>
      </c>
      <c r="AN261" s="127">
        <f>AM261*'1. Standard_Cost'!$C$31</f>
        <v>0</v>
      </c>
      <c r="AO261" s="178"/>
      <c r="AP261" s="256"/>
      <c r="AQ261" s="171">
        <f>L261+M261</f>
        <v>188470.5</v>
      </c>
      <c r="AR261" s="171">
        <f>AF261</f>
        <v>12925000</v>
      </c>
      <c r="AS261" s="171">
        <f>AM261+AN261</f>
        <v>0</v>
      </c>
      <c r="AT261" s="171">
        <f>SUM(AQ261,AR261,AS261)</f>
        <v>13113470.5</v>
      </c>
      <c r="AU261" s="250">
        <f>AQ261</f>
        <v>188470.5</v>
      </c>
      <c r="AV261" s="250"/>
      <c r="AW261" s="250"/>
      <c r="AX261" s="250"/>
      <c r="AY261" s="250"/>
      <c r="AZ261" s="250"/>
      <c r="BA261" s="250"/>
      <c r="BB261" s="251">
        <f t="shared" si="174"/>
        <v>-12925000</v>
      </c>
      <c r="BC261" s="169"/>
      <c r="BD261" s="169"/>
      <c r="BE261" s="169"/>
      <c r="BF261" s="169"/>
    </row>
    <row r="262" spans="1:58" ht="63" x14ac:dyDescent="0.25">
      <c r="A262" s="172"/>
      <c r="B262" s="357"/>
      <c r="C262" s="359"/>
      <c r="D262" s="343"/>
      <c r="E262" s="328"/>
      <c r="F262" s="328"/>
      <c r="G262" s="328"/>
      <c r="H262" s="199" t="s">
        <v>552</v>
      </c>
      <c r="I262" s="178" t="s">
        <v>5</v>
      </c>
      <c r="J262" s="174">
        <v>1</v>
      </c>
      <c r="K262" s="174">
        <v>2</v>
      </c>
      <c r="L262" s="125">
        <f>IF(I262&lt;&gt;0,((VLOOKUP(I262,'1. Standard_Cost'!$B$4:$D$11,2)+VLOOKUP(I262,'1. Standard_Cost'!$B$4:$D$11,3))*J262*K262),"0")</f>
        <v>141400</v>
      </c>
      <c r="M262" s="125">
        <f>L262*'1. Standard_Cost'!$F$4</f>
        <v>23613.800000000003</v>
      </c>
      <c r="N262" s="174"/>
      <c r="O262" s="174"/>
      <c r="P262" s="174"/>
      <c r="Q262" s="174"/>
      <c r="R262" s="127">
        <f>'1. Standard_Cost'!$B$15*N262*P262</f>
        <v>0</v>
      </c>
      <c r="S262" s="127">
        <f>N262*O262*P262*'1. Standard_Cost'!$C$15</f>
        <v>0</v>
      </c>
      <c r="T262" s="127">
        <f>N262*P262*Q262*'1. Standard_Cost'!$D$15</f>
        <v>0</v>
      </c>
      <c r="U262" s="127">
        <f>N262*O262*'1. Standard_Cost'!$E$15</f>
        <v>0</v>
      </c>
      <c r="V262" s="174"/>
      <c r="W262" s="174"/>
      <c r="X262" s="174"/>
      <c r="Y262" s="127">
        <f>+V262*((X262*'1. Standard_Cost'!$B$19)+(W262*X262*'1. Standard_Cost'!$C$19))</f>
        <v>0</v>
      </c>
      <c r="Z262" s="174"/>
      <c r="AA262" s="174"/>
      <c r="AB262" s="127">
        <f>+Z262*'1. Standard_Cost'!$B$23+AA262*'1. Standard_Cost'!$C$23</f>
        <v>0</v>
      </c>
      <c r="AC262" s="176"/>
      <c r="AD262" s="177">
        <f>53136000*25%</f>
        <v>13284000</v>
      </c>
      <c r="AE262" s="127"/>
      <c r="AF262" s="127">
        <f>SUM(AE262,AD262,AC262,AB262,Y262,U262,T262,S262,R262)</f>
        <v>13284000</v>
      </c>
      <c r="AG262" s="174"/>
      <c r="AH262" s="174"/>
      <c r="AI262" s="174"/>
      <c r="AJ262" s="178"/>
      <c r="AK262" s="178"/>
      <c r="AL262" s="178"/>
      <c r="AM262" s="127">
        <f>AG262*'1. Standard_Cost'!$B$27+'Incremental_Cost Year 6'!AH262*'1. Standard_Cost'!$C$27+'Incremental_Cost Year 6'!AI262*'1. Standard_Cost'!$D$27+'Incremental_Cost Year 6'!AJ262+'Incremental_Cost Year 6'!AL262+AK262</f>
        <v>0</v>
      </c>
      <c r="AN262" s="127">
        <f>AM262*'1. Standard_Cost'!$C$31</f>
        <v>0</v>
      </c>
      <c r="AO262" s="178"/>
      <c r="AP262" s="256"/>
      <c r="AQ262" s="171">
        <f>L262+M262</f>
        <v>165013.79999999999</v>
      </c>
      <c r="AR262" s="171">
        <f>AF262</f>
        <v>13284000</v>
      </c>
      <c r="AS262" s="171">
        <f>AM262+AN262</f>
        <v>0</v>
      </c>
      <c r="AT262" s="171">
        <f>SUM(AQ262,AR262,AS262)</f>
        <v>13449013.800000001</v>
      </c>
      <c r="AU262" s="250">
        <f>AQ262</f>
        <v>165013.79999999999</v>
      </c>
      <c r="AV262" s="250"/>
      <c r="AW262" s="250"/>
      <c r="AX262" s="250"/>
      <c r="AY262" s="250"/>
      <c r="AZ262" s="250"/>
      <c r="BA262" s="250"/>
      <c r="BB262" s="251">
        <f t="shared" si="174"/>
        <v>-13284000</v>
      </c>
      <c r="BC262" s="169"/>
      <c r="BD262" s="169"/>
      <c r="BE262" s="169"/>
      <c r="BF262" s="169"/>
    </row>
    <row r="263" spans="1:58" x14ac:dyDescent="0.25">
      <c r="A263" s="172"/>
      <c r="B263" s="357"/>
      <c r="C263" s="359"/>
      <c r="D263" s="343"/>
      <c r="E263" s="328"/>
      <c r="F263" s="328"/>
      <c r="G263" s="328"/>
      <c r="H263" s="182" t="s">
        <v>338</v>
      </c>
      <c r="I263" s="273"/>
      <c r="J263" s="273"/>
      <c r="K263" s="273"/>
      <c r="L263" s="175">
        <f>SUM(L260:L262)</f>
        <v>504500</v>
      </c>
      <c r="M263" s="175">
        <f>SUM(M260:M262)</f>
        <v>84251.5</v>
      </c>
      <c r="N263" s="273"/>
      <c r="O263" s="273"/>
      <c r="P263" s="273"/>
      <c r="Q263" s="273"/>
      <c r="R263" s="175">
        <f>SUM(R260:R262)</f>
        <v>0</v>
      </c>
      <c r="S263" s="175">
        <f>SUM(S260:S262)</f>
        <v>0</v>
      </c>
      <c r="T263" s="175">
        <f>SUM(T260:T262)</f>
        <v>0</v>
      </c>
      <c r="U263" s="175">
        <f>SUM(U260:U262)</f>
        <v>0</v>
      </c>
      <c r="V263" s="273"/>
      <c r="W263" s="273"/>
      <c r="X263" s="273"/>
      <c r="Y263" s="175">
        <f>SUM(Y260:Y262)</f>
        <v>0</v>
      </c>
      <c r="Z263" s="175"/>
      <c r="AA263" s="273"/>
      <c r="AB263" s="175">
        <f>SUM(AB260:AB262)</f>
        <v>0</v>
      </c>
      <c r="AC263" s="175">
        <f>SUM(AC260:AC262)</f>
        <v>0</v>
      </c>
      <c r="AD263" s="175">
        <f>SUM(AD260:AD262)</f>
        <v>160894000</v>
      </c>
      <c r="AE263" s="175">
        <f>SUM(AE260:AE262)</f>
        <v>0</v>
      </c>
      <c r="AF263" s="175">
        <f>SUM(AF260:AF262)</f>
        <v>160894000</v>
      </c>
      <c r="AG263" s="273"/>
      <c r="AH263" s="273"/>
      <c r="AI263" s="273"/>
      <c r="AJ263" s="175">
        <f>SUM(AJ260:AJ262)</f>
        <v>0</v>
      </c>
      <c r="AK263" s="175">
        <f>SUM(AK260:AK262)</f>
        <v>0</v>
      </c>
      <c r="AL263" s="175">
        <f>SUM(AL260:AL262)</f>
        <v>0</v>
      </c>
      <c r="AM263" s="175">
        <f>SUM(AM260:AM262)</f>
        <v>0</v>
      </c>
      <c r="AN263" s="175">
        <f>SUM(AN260:AN262)</f>
        <v>0</v>
      </c>
      <c r="AO263" s="274"/>
      <c r="AP263" s="254"/>
      <c r="AQ263" s="175">
        <f t="shared" ref="AQ263:AT263" si="175">SUM(AQ260:AQ262)</f>
        <v>588751.5</v>
      </c>
      <c r="AR263" s="175">
        <f t="shared" si="175"/>
        <v>160894000</v>
      </c>
      <c r="AS263" s="175">
        <f t="shared" si="175"/>
        <v>0</v>
      </c>
      <c r="AT263" s="175">
        <f t="shared" si="175"/>
        <v>161482751.5</v>
      </c>
      <c r="AU263" s="175">
        <f t="shared" ref="AU263:BB263" si="176">SUM(AU260:AU262)</f>
        <v>588751.5</v>
      </c>
      <c r="AV263" s="175">
        <f t="shared" si="176"/>
        <v>0</v>
      </c>
      <c r="AW263" s="175">
        <f t="shared" si="176"/>
        <v>0</v>
      </c>
      <c r="AX263" s="175">
        <f t="shared" si="176"/>
        <v>0</v>
      </c>
      <c r="AY263" s="175">
        <f t="shared" si="176"/>
        <v>0</v>
      </c>
      <c r="AZ263" s="175">
        <f t="shared" si="176"/>
        <v>0</v>
      </c>
      <c r="BA263" s="175">
        <f t="shared" si="176"/>
        <v>0</v>
      </c>
      <c r="BB263" s="175">
        <f t="shared" si="176"/>
        <v>-160894000</v>
      </c>
      <c r="BC263" s="169"/>
      <c r="BD263" s="169"/>
      <c r="BE263" s="169"/>
      <c r="BF263" s="169"/>
    </row>
    <row r="264" spans="1:58" ht="78.75" x14ac:dyDescent="0.25">
      <c r="A264" s="172"/>
      <c r="B264" s="357"/>
      <c r="C264" s="359"/>
      <c r="D264" s="343"/>
      <c r="E264" s="328"/>
      <c r="F264" s="328"/>
      <c r="G264" s="328"/>
      <c r="H264" s="199" t="s">
        <v>553</v>
      </c>
      <c r="I264" s="178" t="s">
        <v>3</v>
      </c>
      <c r="J264" s="174">
        <v>2</v>
      </c>
      <c r="K264" s="174">
        <v>2</v>
      </c>
      <c r="L264" s="125">
        <f>IF(I264&lt;&gt;0,((VLOOKUP(I264,'1. Standard_Cost'!$B$4:$D$11,2)+VLOOKUP(I264,'1. Standard_Cost'!$B$4:$D$11,3))*J264*K264),"0")</f>
        <v>403200</v>
      </c>
      <c r="M264" s="125">
        <f>L264*'1. Standard_Cost'!$F$4</f>
        <v>67334.400000000009</v>
      </c>
      <c r="N264" s="174"/>
      <c r="O264" s="174"/>
      <c r="P264" s="174"/>
      <c r="Q264" s="174"/>
      <c r="R264" s="127">
        <f>'1. Standard_Cost'!$B$15*N264*P264</f>
        <v>0</v>
      </c>
      <c r="S264" s="127">
        <f>N264*O264*P264*'1. Standard_Cost'!$C$15</f>
        <v>0</v>
      </c>
      <c r="T264" s="127">
        <f>N264*P264*Q264*'1. Standard_Cost'!$D$15</f>
        <v>0</v>
      </c>
      <c r="U264" s="127">
        <f>N264*O264*'1. Standard_Cost'!$E$15</f>
        <v>0</v>
      </c>
      <c r="V264" s="174"/>
      <c r="W264" s="174"/>
      <c r="X264" s="174"/>
      <c r="Y264" s="127">
        <f>+V264*((X264*'1. Standard_Cost'!$B$19)+(W264*X264*'1. Standard_Cost'!$C$19))</f>
        <v>0</v>
      </c>
      <c r="Z264" s="174"/>
      <c r="AA264" s="174"/>
      <c r="AB264" s="127">
        <f>+Z264*'1. Standard_Cost'!$B$23+AA264*'1. Standard_Cost'!$C$23</f>
        <v>0</v>
      </c>
      <c r="AC264" s="176"/>
      <c r="AD264" s="177">
        <f>369000000*25%</f>
        <v>92250000</v>
      </c>
      <c r="AE264" s="127">
        <f>SUM(AD264,AC264,AB264,Y264,U264,T264,S264,R264)*'1. Standard_Cost'!$B$31</f>
        <v>18450000</v>
      </c>
      <c r="AF264" s="127">
        <f>SUM(AE264,AD264,AC264,AB264,Y264,U264,T264,S264,R264)</f>
        <v>110700000</v>
      </c>
      <c r="AG264" s="174"/>
      <c r="AH264" s="174"/>
      <c r="AI264" s="174"/>
      <c r="AJ264" s="178"/>
      <c r="AK264" s="178"/>
      <c r="AL264" s="178"/>
      <c r="AM264" s="127">
        <f>AG264*'1. Standard_Cost'!$B$27+'Incremental_Cost Year 6'!AH264*'1. Standard_Cost'!$C$27+'Incremental_Cost Year 6'!AI264*'1. Standard_Cost'!$D$27+'Incremental_Cost Year 6'!AJ264+'Incremental_Cost Year 6'!AL264+AK264</f>
        <v>0</v>
      </c>
      <c r="AN264" s="127">
        <f>AM264*'1. Standard_Cost'!$C$31</f>
        <v>0</v>
      </c>
      <c r="AO264" s="178"/>
      <c r="AP264" s="256"/>
      <c r="AQ264" s="171">
        <f>L264+M264</f>
        <v>470534.40000000002</v>
      </c>
      <c r="AR264" s="171">
        <f>AF264</f>
        <v>110700000</v>
      </c>
      <c r="AS264" s="171">
        <f>AM264+AN264</f>
        <v>0</v>
      </c>
      <c r="AT264" s="171">
        <f>SUM(AQ264,AR264,AS264)</f>
        <v>111170534.40000001</v>
      </c>
      <c r="AU264" s="250">
        <v>470534</v>
      </c>
      <c r="AV264" s="250"/>
      <c r="AW264" s="250"/>
      <c r="AX264" s="250"/>
      <c r="AY264" s="250"/>
      <c r="AZ264" s="250"/>
      <c r="BA264" s="250"/>
      <c r="BB264" s="251">
        <f t="shared" ref="BB264:BB267" si="177">SUM(AU264:BA264)-AT264</f>
        <v>-110700000.40000001</v>
      </c>
      <c r="BC264" s="169"/>
      <c r="BD264" s="169"/>
      <c r="BE264" s="169"/>
      <c r="BF264" s="169"/>
    </row>
    <row r="265" spans="1:58" ht="63" x14ac:dyDescent="0.25">
      <c r="A265" s="172"/>
      <c r="B265" s="357"/>
      <c r="C265" s="359"/>
      <c r="D265" s="343"/>
      <c r="E265" s="328"/>
      <c r="F265" s="328"/>
      <c r="G265" s="328"/>
      <c r="H265" s="199" t="s">
        <v>339</v>
      </c>
      <c r="I265" s="178"/>
      <c r="J265" s="174"/>
      <c r="K265" s="174"/>
      <c r="L265" s="125" t="str">
        <f>IF(I265&lt;&gt;0,((VLOOKUP(I265,'1. Standard_Cost'!$B$4:$D$11,2)+VLOOKUP(I265,'1. Standard_Cost'!$B$4:$D$11,3))*J265*K265),"0")</f>
        <v>0</v>
      </c>
      <c r="M265" s="125">
        <f>L265*'1. Standard_Cost'!$F$4</f>
        <v>0</v>
      </c>
      <c r="N265" s="174"/>
      <c r="O265" s="174"/>
      <c r="P265" s="174"/>
      <c r="Q265" s="174"/>
      <c r="R265" s="127">
        <f>'1. Standard_Cost'!$B$15*N265*P265</f>
        <v>0</v>
      </c>
      <c r="S265" s="127">
        <f>N265*O265*P265*'1. Standard_Cost'!$C$15</f>
        <v>0</v>
      </c>
      <c r="T265" s="127">
        <f>N265*P265*Q265*'1. Standard_Cost'!$D$15</f>
        <v>0</v>
      </c>
      <c r="U265" s="127">
        <f>N265*O265*'1. Standard_Cost'!$E$15</f>
        <v>0</v>
      </c>
      <c r="V265" s="174"/>
      <c r="W265" s="174"/>
      <c r="X265" s="174"/>
      <c r="Y265" s="127">
        <f>+V265*((X265*'1. Standard_Cost'!$B$19)+(W265*X265*'1. Standard_Cost'!$C$19))</f>
        <v>0</v>
      </c>
      <c r="Z265" s="174"/>
      <c r="AA265" s="174"/>
      <c r="AB265" s="127">
        <f>+Z265*'1. Standard_Cost'!$B$23+AA265*'1. Standard_Cost'!$C$23</f>
        <v>0</v>
      </c>
      <c r="AC265" s="176"/>
      <c r="AD265" s="177"/>
      <c r="AE265" s="127">
        <f>SUM(AD265,AC265,AB265,Y265,U265,T265,S265,R265)*'1. Standard_Cost'!$B$31</f>
        <v>0</v>
      </c>
      <c r="AF265" s="127">
        <f>SUM(AE265,AD265,AC265,AB265,Y265,U265,T265,S265,R265)</f>
        <v>0</v>
      </c>
      <c r="AG265" s="174"/>
      <c r="AH265" s="174"/>
      <c r="AI265" s="174"/>
      <c r="AJ265" s="178"/>
      <c r="AK265" s="178"/>
      <c r="AL265" s="178"/>
      <c r="AM265" s="127">
        <f>AG265*'1. Standard_Cost'!$B$27+'Incremental_Cost Year 6'!AH265*'1. Standard_Cost'!$C$27+'Incremental_Cost Year 6'!AI265*'1. Standard_Cost'!$D$27+'Incremental_Cost Year 6'!AJ265+'Incremental_Cost Year 6'!AL265+AK265</f>
        <v>0</v>
      </c>
      <c r="AN265" s="127">
        <f>AM265*'1. Standard_Cost'!$C$31</f>
        <v>0</v>
      </c>
      <c r="AO265" s="178"/>
      <c r="AP265" s="256"/>
      <c r="AQ265" s="171">
        <f>L265+M265</f>
        <v>0</v>
      </c>
      <c r="AR265" s="171">
        <f>AF265</f>
        <v>0</v>
      </c>
      <c r="AS265" s="171">
        <f>AM265+AN265</f>
        <v>0</v>
      </c>
      <c r="AT265" s="171">
        <f>SUM(AQ265,AR265,AS265)</f>
        <v>0</v>
      </c>
      <c r="AU265" s="250"/>
      <c r="AV265" s="250"/>
      <c r="AW265" s="250"/>
      <c r="AX265" s="250"/>
      <c r="AY265" s="250"/>
      <c r="AZ265" s="250"/>
      <c r="BA265" s="250"/>
      <c r="BB265" s="251">
        <f t="shared" si="177"/>
        <v>0</v>
      </c>
      <c r="BC265" s="169"/>
      <c r="BD265" s="169"/>
      <c r="BE265" s="169"/>
      <c r="BF265" s="169"/>
    </row>
    <row r="266" spans="1:58" ht="94.5" x14ac:dyDescent="0.25">
      <c r="A266" s="172"/>
      <c r="B266" s="357"/>
      <c r="C266" s="359"/>
      <c r="D266" s="343"/>
      <c r="E266" s="328"/>
      <c r="F266" s="328"/>
      <c r="G266" s="328"/>
      <c r="H266" s="199" t="s">
        <v>362</v>
      </c>
      <c r="I266" s="178" t="s">
        <v>5</v>
      </c>
      <c r="J266" s="174">
        <v>12</v>
      </c>
      <c r="K266" s="174">
        <v>26</v>
      </c>
      <c r="L266" s="125">
        <f>IF(I266&lt;&gt;0,((VLOOKUP(I266,'1. Standard_Cost'!$B$4:$D$11,2)+VLOOKUP(I266,'1. Standard_Cost'!$B$4:$D$11,3))*J266*K266),"0")</f>
        <v>22058400</v>
      </c>
      <c r="M266" s="125">
        <f>L266*'1. Standard_Cost'!$F$4</f>
        <v>3683752.8000000003</v>
      </c>
      <c r="N266" s="174"/>
      <c r="O266" s="174"/>
      <c r="P266" s="174"/>
      <c r="Q266" s="174"/>
      <c r="R266" s="127">
        <f>'1. Standard_Cost'!$B$15*N266*P266</f>
        <v>0</v>
      </c>
      <c r="S266" s="127">
        <f>N266*O266*P266*'1. Standard_Cost'!$C$15</f>
        <v>0</v>
      </c>
      <c r="T266" s="127">
        <f>N266*P266*Q266*'1. Standard_Cost'!$D$15</f>
        <v>0</v>
      </c>
      <c r="U266" s="127">
        <f>N266*O266*'1. Standard_Cost'!$E$15</f>
        <v>0</v>
      </c>
      <c r="V266" s="174"/>
      <c r="W266" s="174"/>
      <c r="X266" s="174"/>
      <c r="Y266" s="127">
        <f>+V266*((X266*'1. Standard_Cost'!$B$19)+(W266*X266*'1. Standard_Cost'!$C$19))</f>
        <v>0</v>
      </c>
      <c r="Z266" s="174"/>
      <c r="AA266" s="174"/>
      <c r="AB266" s="127">
        <f>+Z266*'1. Standard_Cost'!$B$23+AA266*'1. Standard_Cost'!$C$23</f>
        <v>0</v>
      </c>
      <c r="AC266" s="176">
        <v>25655000</v>
      </c>
      <c r="AD266" s="177"/>
      <c r="AE266" s="127"/>
      <c r="AF266" s="127">
        <f>SUM(AE266,AD266,AC266,AB266,Y266,U266,T266,S266,R266)</f>
        <v>25655000</v>
      </c>
      <c r="AG266" s="174"/>
      <c r="AH266" s="174"/>
      <c r="AI266" s="174"/>
      <c r="AJ266" s="178"/>
      <c r="AK266" s="178"/>
      <c r="AL266" s="178"/>
      <c r="AM266" s="127">
        <f>AG266*'1. Standard_Cost'!$B$27+'Incremental_Cost Year 6'!AH266*'1. Standard_Cost'!$C$27+'Incremental_Cost Year 6'!AI266*'1. Standard_Cost'!$D$27+'Incremental_Cost Year 6'!AJ266+'Incremental_Cost Year 6'!AL266+AK266</f>
        <v>0</v>
      </c>
      <c r="AN266" s="127">
        <f>AM266*'1. Standard_Cost'!$C$31</f>
        <v>0</v>
      </c>
      <c r="AO266" s="178"/>
      <c r="AP266" s="256"/>
      <c r="AQ266" s="171">
        <f>L266+M266</f>
        <v>25742152.800000001</v>
      </c>
      <c r="AR266" s="171">
        <f>AF266</f>
        <v>25655000</v>
      </c>
      <c r="AS266" s="171">
        <f>AM266+AN266</f>
        <v>0</v>
      </c>
      <c r="AT266" s="171">
        <f>SUM(AQ266,AR266,AS266)</f>
        <v>51397152.799999997</v>
      </c>
      <c r="AU266" s="250">
        <f>AT266</f>
        <v>51397152.799999997</v>
      </c>
      <c r="AV266" s="250"/>
      <c r="AW266" s="250"/>
      <c r="AX266" s="250"/>
      <c r="AY266" s="250"/>
      <c r="AZ266" s="250"/>
      <c r="BA266" s="250"/>
      <c r="BB266" s="251">
        <f t="shared" si="177"/>
        <v>0</v>
      </c>
      <c r="BC266" s="169"/>
      <c r="BD266" s="169"/>
      <c r="BE266" s="169"/>
      <c r="BF266" s="169"/>
    </row>
    <row r="267" spans="1:58" ht="47.25" x14ac:dyDescent="0.25">
      <c r="A267" s="172"/>
      <c r="B267" s="360"/>
      <c r="C267" s="362"/>
      <c r="D267" s="344"/>
      <c r="E267" s="328"/>
      <c r="F267" s="328"/>
      <c r="G267" s="328"/>
      <c r="H267" s="199" t="s">
        <v>554</v>
      </c>
      <c r="I267" s="178"/>
      <c r="J267" s="174"/>
      <c r="K267" s="174"/>
      <c r="L267" s="125" t="str">
        <f>IF(I267&lt;&gt;0,((VLOOKUP(I267,'1. Standard_Cost'!$B$4:$D$11,2)+VLOOKUP(I267,'1. Standard_Cost'!$B$4:$D$11,3))*J267*K267),"0")</f>
        <v>0</v>
      </c>
      <c r="M267" s="125">
        <f>L267*'1. Standard_Cost'!$F$4</f>
        <v>0</v>
      </c>
      <c r="N267" s="174"/>
      <c r="O267" s="174"/>
      <c r="P267" s="174"/>
      <c r="Q267" s="174"/>
      <c r="R267" s="127">
        <f>'1. Standard_Cost'!$B$15*N267*P267</f>
        <v>0</v>
      </c>
      <c r="S267" s="127">
        <f>N267*O267*P267*'1. Standard_Cost'!$C$15</f>
        <v>0</v>
      </c>
      <c r="T267" s="127">
        <f>N267*P267*Q267*'1. Standard_Cost'!$D$15</f>
        <v>0</v>
      </c>
      <c r="U267" s="127">
        <f>N267*O267*'1. Standard_Cost'!$E$15</f>
        <v>0</v>
      </c>
      <c r="V267" s="174"/>
      <c r="W267" s="174"/>
      <c r="X267" s="174"/>
      <c r="Y267" s="127">
        <f>+V267*((X267*'1. Standard_Cost'!$B$19)+(W267*X267*'1. Standard_Cost'!$C$19))</f>
        <v>0</v>
      </c>
      <c r="Z267" s="174"/>
      <c r="AA267" s="174"/>
      <c r="AB267" s="127">
        <f>+Z267*'1. Standard_Cost'!$B$23+AA267*'1. Standard_Cost'!$C$23</f>
        <v>0</v>
      </c>
      <c r="AC267" s="176"/>
      <c r="AD267" s="177"/>
      <c r="AE267" s="127">
        <f>SUM(AD267,AC267,AB267,Y267,U267,T267,S267,R267)*'1. Standard_Cost'!$B$31</f>
        <v>0</v>
      </c>
      <c r="AF267" s="127">
        <f>SUM(AE267,AD267,AC267,AB267,Y267,U267,T267,S267,R267)</f>
        <v>0</v>
      </c>
      <c r="AG267" s="174"/>
      <c r="AH267" s="174"/>
      <c r="AI267" s="174"/>
      <c r="AJ267" s="178"/>
      <c r="AK267" s="178">
        <v>184500000</v>
      </c>
      <c r="AL267" s="178"/>
      <c r="AM267" s="127">
        <f>AG267*'1. Standard_Cost'!$B$27+'Incremental_Cost Year 6'!AH267*'1. Standard_Cost'!$C$27+'Incremental_Cost Year 6'!AI267*'1. Standard_Cost'!$D$27+'Incremental_Cost Year 6'!AJ267+'Incremental_Cost Year 6'!AL267+AK267</f>
        <v>184500000</v>
      </c>
      <c r="AN267" s="127"/>
      <c r="AO267" s="178"/>
      <c r="AP267" s="256"/>
      <c r="AQ267" s="171">
        <f>L267+M267</f>
        <v>0</v>
      </c>
      <c r="AR267" s="171">
        <f>AF267</f>
        <v>0</v>
      </c>
      <c r="AS267" s="171">
        <f>AM267+AN267</f>
        <v>184500000</v>
      </c>
      <c r="AT267" s="171">
        <f>SUM(AQ267,AR267,AS267)</f>
        <v>184500000</v>
      </c>
      <c r="AU267" s="250"/>
      <c r="AV267" s="250"/>
      <c r="AW267" s="250"/>
      <c r="AX267" s="250"/>
      <c r="AY267" s="250"/>
      <c r="AZ267" s="250"/>
      <c r="BA267" s="250"/>
      <c r="BB267" s="251">
        <f t="shared" si="177"/>
        <v>-184500000</v>
      </c>
      <c r="BC267" s="169"/>
      <c r="BD267" s="169"/>
      <c r="BE267" s="169"/>
      <c r="BF267" s="169"/>
    </row>
    <row r="268" spans="1:58" ht="25.5" x14ac:dyDescent="0.25">
      <c r="A268" s="172"/>
      <c r="B268" s="168"/>
      <c r="C268" s="204"/>
      <c r="D268" s="344" t="s">
        <v>560</v>
      </c>
      <c r="E268" s="205" t="s">
        <v>340</v>
      </c>
      <c r="F268" s="205">
        <v>2021</v>
      </c>
      <c r="G268" s="205">
        <v>2030</v>
      </c>
      <c r="H268" s="182" t="s">
        <v>341</v>
      </c>
      <c r="I268" s="273"/>
      <c r="J268" s="273"/>
      <c r="K268" s="273"/>
      <c r="L268" s="175">
        <f>SUM(L264:L267)</f>
        <v>22461600</v>
      </c>
      <c r="M268" s="175">
        <f>SUM(M264:M267)</f>
        <v>3751087.2</v>
      </c>
      <c r="N268" s="273"/>
      <c r="O268" s="273"/>
      <c r="P268" s="273"/>
      <c r="Q268" s="273"/>
      <c r="R268" s="175">
        <f>SUM(R264:R267)</f>
        <v>0</v>
      </c>
      <c r="S268" s="175">
        <f>SUM(S264:S267)</f>
        <v>0</v>
      </c>
      <c r="T268" s="175">
        <f>SUM(T264:T267)</f>
        <v>0</v>
      </c>
      <c r="U268" s="175">
        <f>SUM(U264:U267)</f>
        <v>0</v>
      </c>
      <c r="V268" s="273"/>
      <c r="W268" s="273"/>
      <c r="X268" s="273"/>
      <c r="Y268" s="175">
        <f>SUM(Y264:Y267)</f>
        <v>0</v>
      </c>
      <c r="Z268" s="175"/>
      <c r="AA268" s="273"/>
      <c r="AB268" s="175">
        <f>SUM(AB264:AB267)</f>
        <v>0</v>
      </c>
      <c r="AC268" s="175">
        <f>SUM(AC264:AC267)</f>
        <v>25655000</v>
      </c>
      <c r="AD268" s="175">
        <f>SUM(AD264:AD267)</f>
        <v>92250000</v>
      </c>
      <c r="AE268" s="175">
        <f>SUM(AE264:AE267)</f>
        <v>18450000</v>
      </c>
      <c r="AF268" s="175">
        <f>SUM(AF264:AF267)</f>
        <v>136355000</v>
      </c>
      <c r="AG268" s="273"/>
      <c r="AH268" s="273"/>
      <c r="AI268" s="273"/>
      <c r="AJ268" s="175">
        <f>SUM(AJ264:AJ267)</f>
        <v>0</v>
      </c>
      <c r="AK268" s="175">
        <f>SUM(AK264:AK267)</f>
        <v>184500000</v>
      </c>
      <c r="AL268" s="175">
        <f>SUM(AL264:AL267)</f>
        <v>0</v>
      </c>
      <c r="AM268" s="175">
        <f>SUM(AM264:AM267)</f>
        <v>184500000</v>
      </c>
      <c r="AN268" s="175">
        <f>SUM(AN264:AN267)</f>
        <v>0</v>
      </c>
      <c r="AO268" s="274"/>
      <c r="AP268" s="254"/>
      <c r="AQ268" s="175">
        <f t="shared" ref="AQ268:AT268" si="178">SUM(AQ264:AQ267)</f>
        <v>26212687.199999999</v>
      </c>
      <c r="AR268" s="175">
        <f t="shared" si="178"/>
        <v>136355000</v>
      </c>
      <c r="AS268" s="175">
        <f t="shared" si="178"/>
        <v>184500000</v>
      </c>
      <c r="AT268" s="175">
        <f t="shared" si="178"/>
        <v>347067687.19999999</v>
      </c>
      <c r="AU268" s="175">
        <f t="shared" ref="AU268:BB268" si="179">SUM(AU264:AU267)</f>
        <v>51867686.799999997</v>
      </c>
      <c r="AV268" s="175">
        <f t="shared" si="179"/>
        <v>0</v>
      </c>
      <c r="AW268" s="175">
        <f t="shared" si="179"/>
        <v>0</v>
      </c>
      <c r="AX268" s="175">
        <f t="shared" si="179"/>
        <v>0</v>
      </c>
      <c r="AY268" s="175">
        <f t="shared" si="179"/>
        <v>0</v>
      </c>
      <c r="AZ268" s="175">
        <f t="shared" si="179"/>
        <v>0</v>
      </c>
      <c r="BA268" s="175">
        <f t="shared" si="179"/>
        <v>0</v>
      </c>
      <c r="BB268" s="175">
        <f t="shared" si="179"/>
        <v>-295200000.39999998</v>
      </c>
      <c r="BC268" s="169"/>
      <c r="BD268" s="169"/>
      <c r="BE268" s="169"/>
      <c r="BF268" s="169"/>
    </row>
    <row r="269" spans="1:58" ht="15.6" customHeight="1" x14ac:dyDescent="0.2">
      <c r="A269" s="179"/>
      <c r="B269" s="290"/>
      <c r="C269" s="391" t="s">
        <v>342</v>
      </c>
      <c r="D269" s="391"/>
      <c r="E269" s="392"/>
      <c r="F269" s="287"/>
      <c r="G269" s="289"/>
      <c r="H269" s="181" t="s">
        <v>343</v>
      </c>
      <c r="I269" s="271"/>
      <c r="J269" s="271"/>
      <c r="K269" s="271"/>
      <c r="L269" s="261">
        <f>L273+L276</f>
        <v>100800</v>
      </c>
      <c r="M269" s="261">
        <f>M273+M276</f>
        <v>16833.600000000002</v>
      </c>
      <c r="N269" s="271"/>
      <c r="O269" s="271"/>
      <c r="P269" s="271"/>
      <c r="Q269" s="271"/>
      <c r="R269" s="261">
        <f>R273+R276</f>
        <v>0</v>
      </c>
      <c r="S269" s="261">
        <f>S273+S276</f>
        <v>0</v>
      </c>
      <c r="T269" s="261">
        <f>T273+T276</f>
        <v>0</v>
      </c>
      <c r="U269" s="261">
        <f>U273+U276</f>
        <v>0</v>
      </c>
      <c r="V269" s="271"/>
      <c r="W269" s="271"/>
      <c r="X269" s="271"/>
      <c r="Y269" s="261">
        <f>Y273+Y276</f>
        <v>0</v>
      </c>
      <c r="Z269" s="261"/>
      <c r="AA269" s="261"/>
      <c r="AB269" s="261">
        <f>AB273+AB276</f>
        <v>570000</v>
      </c>
      <c r="AC269" s="261">
        <f>AC273+AC276</f>
        <v>9000</v>
      </c>
      <c r="AD269" s="261">
        <f>AD273+AD276</f>
        <v>0</v>
      </c>
      <c r="AE269" s="261">
        <f>AE273+AE276</f>
        <v>0</v>
      </c>
      <c r="AF269" s="261">
        <f>AF273+AF276</f>
        <v>579000</v>
      </c>
      <c r="AG269" s="271"/>
      <c r="AH269" s="271"/>
      <c r="AI269" s="271"/>
      <c r="AJ269" s="261">
        <f>AJ273+AJ276</f>
        <v>0</v>
      </c>
      <c r="AK269" s="261">
        <f>AK273+AK276</f>
        <v>0</v>
      </c>
      <c r="AL269" s="261">
        <f>AL273+AL276</f>
        <v>0</v>
      </c>
      <c r="AM269" s="261">
        <f>AM273+AM276</f>
        <v>0</v>
      </c>
      <c r="AN269" s="261">
        <f>AN273+AN276</f>
        <v>0</v>
      </c>
      <c r="AO269" s="272"/>
      <c r="AP269" s="260"/>
      <c r="AQ269" s="261">
        <f t="shared" ref="AQ269:BB269" si="180">AQ273+AQ276</f>
        <v>117633.60000000001</v>
      </c>
      <c r="AR269" s="261">
        <f t="shared" si="180"/>
        <v>579000</v>
      </c>
      <c r="AS269" s="261">
        <f t="shared" si="180"/>
        <v>0</v>
      </c>
      <c r="AT269" s="261">
        <f t="shared" si="180"/>
        <v>696633.6</v>
      </c>
      <c r="AU269" s="261">
        <f t="shared" si="180"/>
        <v>117633.60000000001</v>
      </c>
      <c r="AV269" s="261">
        <f t="shared" si="180"/>
        <v>0</v>
      </c>
      <c r="AW269" s="261">
        <f t="shared" si="180"/>
        <v>0</v>
      </c>
      <c r="AX269" s="261">
        <f t="shared" si="180"/>
        <v>0</v>
      </c>
      <c r="AY269" s="261">
        <f t="shared" si="180"/>
        <v>0</v>
      </c>
      <c r="AZ269" s="261">
        <f t="shared" si="180"/>
        <v>0</v>
      </c>
      <c r="BA269" s="261">
        <f t="shared" si="180"/>
        <v>0</v>
      </c>
      <c r="BB269" s="261">
        <f t="shared" si="180"/>
        <v>-579000</v>
      </c>
      <c r="BC269" s="184"/>
      <c r="BD269" s="184"/>
      <c r="BE269" s="184"/>
      <c r="BF269" s="184"/>
    </row>
    <row r="270" spans="1:58" ht="78.75" x14ac:dyDescent="0.25">
      <c r="A270" s="172"/>
      <c r="B270" s="200"/>
      <c r="C270" s="201"/>
      <c r="D270" s="202"/>
      <c r="E270" s="354"/>
      <c r="F270" s="355"/>
      <c r="G270" s="356"/>
      <c r="H270" s="199" t="s">
        <v>344</v>
      </c>
      <c r="I270" s="178" t="s">
        <v>3</v>
      </c>
      <c r="J270" s="174">
        <v>1</v>
      </c>
      <c r="K270" s="174">
        <v>1</v>
      </c>
      <c r="L270" s="125">
        <f>IF(I270&lt;&gt;0,((VLOOKUP(I270,'1. Standard_Cost'!$B$4:$D$11,2)+VLOOKUP(I270,'1. Standard_Cost'!$B$4:$D$11,3))*J270*K270),"0")</f>
        <v>100800</v>
      </c>
      <c r="M270" s="125">
        <f>L270*'1. Standard_Cost'!$F$4</f>
        <v>16833.600000000002</v>
      </c>
      <c r="N270" s="174"/>
      <c r="O270" s="174"/>
      <c r="P270" s="174"/>
      <c r="Q270" s="174"/>
      <c r="R270" s="127">
        <f>'1. Standard_Cost'!$B$15*N270*P270</f>
        <v>0</v>
      </c>
      <c r="S270" s="127">
        <f>N270*O270*P270*'1. Standard_Cost'!$C$15</f>
        <v>0</v>
      </c>
      <c r="T270" s="127">
        <f>N270*P270*Q270*'1. Standard_Cost'!$D$15</f>
        <v>0</v>
      </c>
      <c r="U270" s="127">
        <f>N270*O270*'1. Standard_Cost'!$E$15</f>
        <v>0</v>
      </c>
      <c r="V270" s="174"/>
      <c r="W270" s="174"/>
      <c r="X270" s="174"/>
      <c r="Y270" s="127">
        <f>+V270*((X270*'1. Standard_Cost'!$B$19)+(W270*X270*'1. Standard_Cost'!$C$19))</f>
        <v>0</v>
      </c>
      <c r="Z270" s="174"/>
      <c r="AA270" s="174">
        <v>30</v>
      </c>
      <c r="AB270" s="127">
        <f>+Z270*'1. Standard_Cost'!$B$23+AA270*'1. Standard_Cost'!$C$23</f>
        <v>570000</v>
      </c>
      <c r="AC270" s="176">
        <f>30*300</f>
        <v>9000</v>
      </c>
      <c r="AD270" s="177"/>
      <c r="AE270" s="127"/>
      <c r="AF270" s="127">
        <f>SUM(AE270,AD270,AC270,AB270,Y270,U270,T270,S270,R270)</f>
        <v>579000</v>
      </c>
      <c r="AG270" s="174"/>
      <c r="AH270" s="174"/>
      <c r="AI270" s="174"/>
      <c r="AJ270" s="178"/>
      <c r="AK270" s="178"/>
      <c r="AL270" s="178"/>
      <c r="AM270" s="127">
        <f>AG270*'1. Standard_Cost'!$B$27+'Incremental_Cost Year 6'!AH270*'1. Standard_Cost'!$C$27+'Incremental_Cost Year 6'!AI270*'1. Standard_Cost'!$D$27+'Incremental_Cost Year 6'!AJ270+'Incremental_Cost Year 6'!AL270+AK270</f>
        <v>0</v>
      </c>
      <c r="AN270" s="127">
        <f>AM270*'1. Standard_Cost'!$C$31</f>
        <v>0</v>
      </c>
      <c r="AO270" s="178"/>
      <c r="AP270" s="256"/>
      <c r="AQ270" s="171">
        <f>L270+M270</f>
        <v>117633.60000000001</v>
      </c>
      <c r="AR270" s="171">
        <f>AF270</f>
        <v>579000</v>
      </c>
      <c r="AS270" s="171">
        <f>AM270+AN270</f>
        <v>0</v>
      </c>
      <c r="AT270" s="171">
        <f>SUM(AQ270,AR270,AS270)</f>
        <v>696633.6</v>
      </c>
      <c r="AU270" s="250">
        <f>AQ270</f>
        <v>117633.60000000001</v>
      </c>
      <c r="AV270" s="250"/>
      <c r="AW270" s="250"/>
      <c r="AX270" s="250"/>
      <c r="AY270" s="250"/>
      <c r="AZ270" s="250"/>
      <c r="BA270" s="250"/>
      <c r="BB270" s="251">
        <f t="shared" ref="BB270:BB272" si="181">SUM(AU270:BA270)-AT270</f>
        <v>-579000</v>
      </c>
      <c r="BC270" s="169"/>
      <c r="BD270" s="169"/>
      <c r="BE270" s="169"/>
      <c r="BF270" s="169"/>
    </row>
    <row r="271" spans="1:58" ht="63" x14ac:dyDescent="0.25">
      <c r="A271" s="172"/>
      <c r="B271" s="200"/>
      <c r="C271" s="201"/>
      <c r="D271" s="202"/>
      <c r="E271" s="357"/>
      <c r="F271" s="358"/>
      <c r="G271" s="359"/>
      <c r="H271" s="199" t="s">
        <v>345</v>
      </c>
      <c r="I271" s="178"/>
      <c r="J271" s="174"/>
      <c r="K271" s="174"/>
      <c r="L271" s="125" t="str">
        <f>IF(I271&lt;&gt;0,((VLOOKUP(I271,'1. Standard_Cost'!$B$4:$D$11,2)+VLOOKUP(I271,'1. Standard_Cost'!$B$4:$D$11,3))*J271*K271),"0")</f>
        <v>0</v>
      </c>
      <c r="M271" s="125">
        <f>L271*'1. Standard_Cost'!$F$4</f>
        <v>0</v>
      </c>
      <c r="N271" s="174"/>
      <c r="O271" s="174"/>
      <c r="P271" s="174"/>
      <c r="Q271" s="174"/>
      <c r="R271" s="127">
        <f>'1. Standard_Cost'!$B$15*N271*P271</f>
        <v>0</v>
      </c>
      <c r="S271" s="127">
        <f>N271*O271*P271*'1. Standard_Cost'!$C$15</f>
        <v>0</v>
      </c>
      <c r="T271" s="127">
        <f>N271*P271*Q271*'1. Standard_Cost'!$D$15</f>
        <v>0</v>
      </c>
      <c r="U271" s="127">
        <f>N271*O271*'1. Standard_Cost'!$E$15</f>
        <v>0</v>
      </c>
      <c r="V271" s="174"/>
      <c r="W271" s="174"/>
      <c r="X271" s="174"/>
      <c r="Y271" s="127">
        <f>+V271*((X271*'1. Standard_Cost'!$B$19)+(W271*X271*'1. Standard_Cost'!$C$19))</f>
        <v>0</v>
      </c>
      <c r="Z271" s="174"/>
      <c r="AA271" s="174"/>
      <c r="AB271" s="127">
        <f>+Z271*'1. Standard_Cost'!$B$23+AA271*'1. Standard_Cost'!$C$23</f>
        <v>0</v>
      </c>
      <c r="AC271" s="176"/>
      <c r="AD271" s="177"/>
      <c r="AE271" s="127">
        <f>SUM(AD271,AC271,AB271,Y271,U271,T271,S271,R271)*'1. Standard_Cost'!$B$31</f>
        <v>0</v>
      </c>
      <c r="AF271" s="127">
        <f>SUM(AE271,AD271,AC271,AB271,Y271,U271,T271,S271,R271)</f>
        <v>0</v>
      </c>
      <c r="AG271" s="174"/>
      <c r="AH271" s="174"/>
      <c r="AI271" s="174"/>
      <c r="AJ271" s="178"/>
      <c r="AK271" s="178"/>
      <c r="AL271" s="178"/>
      <c r="AM271" s="127">
        <f>AG271*'1. Standard_Cost'!$B$27+'Incremental_Cost Year 6'!AH271*'1. Standard_Cost'!$C$27+'Incremental_Cost Year 6'!AI271*'1. Standard_Cost'!$D$27+'Incremental_Cost Year 6'!AJ271+'Incremental_Cost Year 6'!AL271+AK271</f>
        <v>0</v>
      </c>
      <c r="AN271" s="127">
        <f>AM271*'1. Standard_Cost'!$C$31</f>
        <v>0</v>
      </c>
      <c r="AO271" s="178"/>
      <c r="AP271" s="256"/>
      <c r="AQ271" s="171">
        <f>L271+M271</f>
        <v>0</v>
      </c>
      <c r="AR271" s="171">
        <f>AF271</f>
        <v>0</v>
      </c>
      <c r="AS271" s="171">
        <f>AM271+AN271</f>
        <v>0</v>
      </c>
      <c r="AT271" s="171">
        <f>SUM(AQ271,AR271,AS271)</f>
        <v>0</v>
      </c>
      <c r="AU271" s="250">
        <f>AT271</f>
        <v>0</v>
      </c>
      <c r="AV271" s="250"/>
      <c r="AW271" s="250"/>
      <c r="AX271" s="250"/>
      <c r="AY271" s="250"/>
      <c r="AZ271" s="250"/>
      <c r="BA271" s="250"/>
      <c r="BB271" s="251">
        <f t="shared" si="181"/>
        <v>0</v>
      </c>
      <c r="BC271" s="169"/>
      <c r="BD271" s="169"/>
      <c r="BE271" s="169"/>
      <c r="BF271" s="169"/>
    </row>
    <row r="272" spans="1:58" ht="63" x14ac:dyDescent="0.25">
      <c r="A272" s="172"/>
      <c r="B272" s="200"/>
      <c r="C272" s="201"/>
      <c r="D272" s="202"/>
      <c r="E272" s="360"/>
      <c r="F272" s="361"/>
      <c r="G272" s="362"/>
      <c r="H272" s="199" t="s">
        <v>346</v>
      </c>
      <c r="I272" s="178"/>
      <c r="J272" s="174"/>
      <c r="K272" s="174"/>
      <c r="L272" s="125" t="str">
        <f>IF(I272&lt;&gt;0,((VLOOKUP(I272,'1. Standard_Cost'!$B$4:$D$11,2)+VLOOKUP(I272,'1. Standard_Cost'!$B$4:$D$11,3))*J272*K272),"0")</f>
        <v>0</v>
      </c>
      <c r="M272" s="125">
        <f>L272*'1. Standard_Cost'!$F$4</f>
        <v>0</v>
      </c>
      <c r="N272" s="174"/>
      <c r="O272" s="174"/>
      <c r="P272" s="174"/>
      <c r="Q272" s="174"/>
      <c r="R272" s="127">
        <f>'1. Standard_Cost'!$B$15*N272*P272</f>
        <v>0</v>
      </c>
      <c r="S272" s="127">
        <f>N272*O272*P272*'1. Standard_Cost'!$C$15</f>
        <v>0</v>
      </c>
      <c r="T272" s="127">
        <f>N272*P272*Q272*'1. Standard_Cost'!$D$15</f>
        <v>0</v>
      </c>
      <c r="U272" s="127">
        <f>N272*O272*'1. Standard_Cost'!$E$15</f>
        <v>0</v>
      </c>
      <c r="V272" s="174"/>
      <c r="W272" s="174"/>
      <c r="X272" s="174"/>
      <c r="Y272" s="127">
        <f>+V272*((X272*'1. Standard_Cost'!$B$19)+(W272*X272*'1. Standard_Cost'!$C$19))</f>
        <v>0</v>
      </c>
      <c r="Z272" s="174"/>
      <c r="AA272" s="174"/>
      <c r="AB272" s="127">
        <f>+Z272*'1. Standard_Cost'!$B$23+AA272*'1. Standard_Cost'!$C$23</f>
        <v>0</v>
      </c>
      <c r="AC272" s="176"/>
      <c r="AD272" s="177"/>
      <c r="AE272" s="127">
        <f>SUM(AD272,AC272,AB272,Y272,U272,T272,S272,R272)*'1. Standard_Cost'!$B$31</f>
        <v>0</v>
      </c>
      <c r="AF272" s="127">
        <f>SUM(AE272,AD272,AC272,AB272,Y272,U272,T272,S272,R272)</f>
        <v>0</v>
      </c>
      <c r="AG272" s="174"/>
      <c r="AH272" s="174"/>
      <c r="AI272" s="174"/>
      <c r="AJ272" s="178"/>
      <c r="AK272" s="178"/>
      <c r="AL272" s="178"/>
      <c r="AM272" s="127">
        <f>AG272*'1. Standard_Cost'!$B$27+'Incremental_Cost Year 6'!AH272*'1. Standard_Cost'!$C$27+'Incremental_Cost Year 6'!AI272*'1. Standard_Cost'!$D$27+'Incremental_Cost Year 6'!AJ272+'Incremental_Cost Year 6'!AL272+AK272</f>
        <v>0</v>
      </c>
      <c r="AN272" s="127">
        <f>AM272*'1. Standard_Cost'!$C$31</f>
        <v>0</v>
      </c>
      <c r="AO272" s="178"/>
      <c r="AP272" s="256"/>
      <c r="AQ272" s="171">
        <f>L272+M272</f>
        <v>0</v>
      </c>
      <c r="AR272" s="171">
        <f>AF272</f>
        <v>0</v>
      </c>
      <c r="AS272" s="171">
        <f>AM272+AN272</f>
        <v>0</v>
      </c>
      <c r="AT272" s="171">
        <f>SUM(AQ272,AR272,AS272)</f>
        <v>0</v>
      </c>
      <c r="AU272" s="250"/>
      <c r="AV272" s="250"/>
      <c r="AW272" s="250"/>
      <c r="AX272" s="250"/>
      <c r="AY272" s="250"/>
      <c r="AZ272" s="250"/>
      <c r="BA272" s="250"/>
      <c r="BB272" s="251">
        <f t="shared" si="181"/>
        <v>0</v>
      </c>
      <c r="BC272" s="169"/>
      <c r="BD272" s="169"/>
      <c r="BE272" s="169"/>
      <c r="BF272" s="169"/>
    </row>
    <row r="273" spans="1:58" ht="63" x14ac:dyDescent="0.2">
      <c r="A273" s="172"/>
      <c r="B273" s="168"/>
      <c r="C273" s="204"/>
      <c r="D273" s="212" t="s">
        <v>559</v>
      </c>
      <c r="E273" s="212" t="s">
        <v>347</v>
      </c>
      <c r="F273" s="206">
        <v>2026</v>
      </c>
      <c r="G273" s="207">
        <v>2028</v>
      </c>
      <c r="H273" s="182" t="s">
        <v>348</v>
      </c>
      <c r="I273" s="273"/>
      <c r="J273" s="273"/>
      <c r="K273" s="273"/>
      <c r="L273" s="175">
        <f>SUM(L270:L272)</f>
        <v>100800</v>
      </c>
      <c r="M273" s="175">
        <f>SUM(M270:M272)</f>
        <v>16833.600000000002</v>
      </c>
      <c r="N273" s="273"/>
      <c r="O273" s="273"/>
      <c r="P273" s="273"/>
      <c r="Q273" s="273"/>
      <c r="R273" s="175">
        <f>SUM(R270:R272)</f>
        <v>0</v>
      </c>
      <c r="S273" s="175">
        <f>SUM(S270:S272)</f>
        <v>0</v>
      </c>
      <c r="T273" s="175">
        <f>SUM(T270:T272)</f>
        <v>0</v>
      </c>
      <c r="U273" s="175">
        <f>SUM(U270:U272)</f>
        <v>0</v>
      </c>
      <c r="V273" s="273"/>
      <c r="W273" s="273"/>
      <c r="X273" s="273"/>
      <c r="Y273" s="175">
        <f>SUM(Y270:Y272)</f>
        <v>0</v>
      </c>
      <c r="Z273" s="175"/>
      <c r="AA273" s="273"/>
      <c r="AB273" s="175">
        <f>SUM(AB270:AB272)</f>
        <v>570000</v>
      </c>
      <c r="AC273" s="175">
        <f>SUM(AC270:AC272)</f>
        <v>9000</v>
      </c>
      <c r="AD273" s="175">
        <f>SUM(AD270:AD272)</f>
        <v>0</v>
      </c>
      <c r="AE273" s="175">
        <f>SUM(AE270:AE272)</f>
        <v>0</v>
      </c>
      <c r="AF273" s="175">
        <f>SUM(AF270:AF272)</f>
        <v>579000</v>
      </c>
      <c r="AG273" s="273"/>
      <c r="AH273" s="273"/>
      <c r="AI273" s="273"/>
      <c r="AJ273" s="175">
        <f>SUM(AJ270:AJ272)</f>
        <v>0</v>
      </c>
      <c r="AK273" s="175">
        <f>SUM(AK270:AK272)</f>
        <v>0</v>
      </c>
      <c r="AL273" s="175">
        <f>SUM(AL270:AL272)</f>
        <v>0</v>
      </c>
      <c r="AM273" s="175">
        <f>SUM(AM270:AM272)</f>
        <v>0</v>
      </c>
      <c r="AN273" s="175">
        <f>SUM(AN270:AN272)</f>
        <v>0</v>
      </c>
      <c r="AO273" s="274"/>
      <c r="AP273" s="254"/>
      <c r="AQ273" s="175">
        <f t="shared" ref="AQ273:AT273" si="182">SUM(AQ270:AQ272)</f>
        <v>117633.60000000001</v>
      </c>
      <c r="AR273" s="175">
        <f t="shared" si="182"/>
        <v>579000</v>
      </c>
      <c r="AS273" s="175">
        <f t="shared" si="182"/>
        <v>0</v>
      </c>
      <c r="AT273" s="175">
        <f t="shared" si="182"/>
        <v>696633.6</v>
      </c>
      <c r="AU273" s="175">
        <f t="shared" ref="AU273:BB273" si="183">SUM(AU270:AU272)</f>
        <v>117633.60000000001</v>
      </c>
      <c r="AV273" s="175">
        <f t="shared" si="183"/>
        <v>0</v>
      </c>
      <c r="AW273" s="175">
        <f t="shared" si="183"/>
        <v>0</v>
      </c>
      <c r="AX273" s="175">
        <f t="shared" si="183"/>
        <v>0</v>
      </c>
      <c r="AY273" s="175">
        <f t="shared" si="183"/>
        <v>0</v>
      </c>
      <c r="AZ273" s="175">
        <f t="shared" si="183"/>
        <v>0</v>
      </c>
      <c r="BA273" s="175">
        <f t="shared" si="183"/>
        <v>0</v>
      </c>
      <c r="BB273" s="175">
        <f t="shared" si="183"/>
        <v>-579000</v>
      </c>
      <c r="BC273" s="169"/>
      <c r="BD273" s="169"/>
      <c r="BE273" s="169"/>
      <c r="BF273" s="169"/>
    </row>
    <row r="274" spans="1:58" ht="78.75" x14ac:dyDescent="0.25">
      <c r="A274" s="172"/>
      <c r="B274" s="200"/>
      <c r="C274" s="201"/>
      <c r="D274" s="202"/>
      <c r="E274" s="354"/>
      <c r="F274" s="355"/>
      <c r="G274" s="356"/>
      <c r="H274" s="199" t="s">
        <v>349</v>
      </c>
      <c r="I274" s="178"/>
      <c r="J274" s="174"/>
      <c r="K274" s="174"/>
      <c r="L274" s="125" t="str">
        <f>IF(I274&lt;&gt;0,((VLOOKUP(I274,'1. Standard_Cost'!$B$4:$D$11,2)+VLOOKUP(I274,'1. Standard_Cost'!$B$4:$D$11,3))*J274*K274),"0")</f>
        <v>0</v>
      </c>
      <c r="M274" s="125">
        <f>L274*'1. Standard_Cost'!$F$4</f>
        <v>0</v>
      </c>
      <c r="N274" s="174"/>
      <c r="O274" s="174"/>
      <c r="P274" s="174"/>
      <c r="Q274" s="174"/>
      <c r="R274" s="127">
        <f>'1. Standard_Cost'!$B$15*N274*P274</f>
        <v>0</v>
      </c>
      <c r="S274" s="127">
        <f>N274*O274*P274*'1. Standard_Cost'!$C$15</f>
        <v>0</v>
      </c>
      <c r="T274" s="127">
        <f>N274*P274*Q274*'1. Standard_Cost'!$D$15</f>
        <v>0</v>
      </c>
      <c r="U274" s="127">
        <f>N274*O274*'1. Standard_Cost'!$E$15</f>
        <v>0</v>
      </c>
      <c r="V274" s="174"/>
      <c r="W274" s="174"/>
      <c r="X274" s="174"/>
      <c r="Y274" s="127">
        <f>+V274*((X274*'1. Standard_Cost'!$B$19)+(W274*X274*'1. Standard_Cost'!$C$19))</f>
        <v>0</v>
      </c>
      <c r="Z274" s="174"/>
      <c r="AA274" s="174"/>
      <c r="AB274" s="127">
        <f>+Z274*'1. Standard_Cost'!$B$23+AA274*'1. Standard_Cost'!$C$23</f>
        <v>0</v>
      </c>
      <c r="AC274" s="176"/>
      <c r="AD274" s="177"/>
      <c r="AE274" s="127">
        <f>SUM(AD274,AC274,AB274,Y274,U274,T274,S274,R274)*'1. Standard_Cost'!$B$31</f>
        <v>0</v>
      </c>
      <c r="AF274" s="127">
        <f>SUM(AE274,AD274,AC274,AB274,Y274,U274,T274,S274,R274)</f>
        <v>0</v>
      </c>
      <c r="AG274" s="174"/>
      <c r="AH274" s="174"/>
      <c r="AI274" s="174"/>
      <c r="AJ274" s="178"/>
      <c r="AK274" s="178"/>
      <c r="AL274" s="178"/>
      <c r="AM274" s="127">
        <f>AG274*'1. Standard_Cost'!$B$27+'Incremental_Cost Year 6'!AH274*'1. Standard_Cost'!$C$27+'Incremental_Cost Year 6'!AI274*'1. Standard_Cost'!$D$27+'Incremental_Cost Year 6'!AJ274+'Incremental_Cost Year 6'!AL274+AK274</f>
        <v>0</v>
      </c>
      <c r="AN274" s="127">
        <f>AM274*'1. Standard_Cost'!$C$31</f>
        <v>0</v>
      </c>
      <c r="AO274" s="178"/>
      <c r="AP274" s="256"/>
      <c r="AQ274" s="171">
        <f>L274+M274</f>
        <v>0</v>
      </c>
      <c r="AR274" s="171">
        <f>AF274</f>
        <v>0</v>
      </c>
      <c r="AS274" s="171">
        <f>AM274+AN274</f>
        <v>0</v>
      </c>
      <c r="AT274" s="171">
        <f>SUM(AQ274,AR274,AS274)</f>
        <v>0</v>
      </c>
      <c r="AU274" s="250">
        <f>AT274</f>
        <v>0</v>
      </c>
      <c r="AV274" s="250"/>
      <c r="AW274" s="250"/>
      <c r="AX274" s="250"/>
      <c r="AY274" s="250"/>
      <c r="AZ274" s="250"/>
      <c r="BA274" s="250"/>
      <c r="BB274" s="251">
        <f t="shared" ref="BB274:BB275" si="184">SUM(AU274:BA274)-AT274</f>
        <v>0</v>
      </c>
      <c r="BC274" s="169"/>
      <c r="BD274" s="169"/>
      <c r="BE274" s="169"/>
      <c r="BF274" s="169"/>
    </row>
    <row r="275" spans="1:58" ht="110.25" x14ac:dyDescent="0.25">
      <c r="A275" s="172"/>
      <c r="B275" s="200"/>
      <c r="C275" s="201"/>
      <c r="D275" s="202"/>
      <c r="E275" s="360"/>
      <c r="F275" s="361"/>
      <c r="G275" s="362"/>
      <c r="H275" s="199" t="s">
        <v>350</v>
      </c>
      <c r="I275" s="178"/>
      <c r="J275" s="174"/>
      <c r="K275" s="174"/>
      <c r="L275" s="125" t="str">
        <f>IF(I275&lt;&gt;0,((VLOOKUP(I275,'1. Standard_Cost'!$B$4:$D$11,2)+VLOOKUP(I275,'1. Standard_Cost'!$B$4:$D$11,3))*J275*K275),"0")</f>
        <v>0</v>
      </c>
      <c r="M275" s="125">
        <f>L275*'1. Standard_Cost'!$F$4</f>
        <v>0</v>
      </c>
      <c r="N275" s="174"/>
      <c r="O275" s="174"/>
      <c r="P275" s="174"/>
      <c r="Q275" s="174"/>
      <c r="R275" s="127">
        <f>'1. Standard_Cost'!$B$15*N275*P275</f>
        <v>0</v>
      </c>
      <c r="S275" s="127">
        <f>N275*O275*P275*'1. Standard_Cost'!$C$15</f>
        <v>0</v>
      </c>
      <c r="T275" s="127">
        <f>N275*P275*Q275*'1. Standard_Cost'!$D$15</f>
        <v>0</v>
      </c>
      <c r="U275" s="127">
        <f>N275*O275*'1. Standard_Cost'!$E$15</f>
        <v>0</v>
      </c>
      <c r="V275" s="174"/>
      <c r="W275" s="174"/>
      <c r="X275" s="174"/>
      <c r="Y275" s="127">
        <f>+V275*((X275*'1. Standard_Cost'!$B$19)+(W275*X275*'1. Standard_Cost'!$C$19))</f>
        <v>0</v>
      </c>
      <c r="Z275" s="174"/>
      <c r="AA275" s="174"/>
      <c r="AB275" s="127">
        <f>+Z275*'1. Standard_Cost'!$B$23+AA275*'1. Standard_Cost'!$C$23</f>
        <v>0</v>
      </c>
      <c r="AC275" s="176"/>
      <c r="AD275" s="177"/>
      <c r="AE275" s="127">
        <f>SUM(AD275,AC275,AB275,Y275,U275,T275,S275,R275)*'1. Standard_Cost'!$B$31</f>
        <v>0</v>
      </c>
      <c r="AF275" s="127">
        <f>SUM(AE275,AD275,AC275,AB275,Y275,U275,T275,S275,R275)</f>
        <v>0</v>
      </c>
      <c r="AG275" s="174"/>
      <c r="AH275" s="174"/>
      <c r="AI275" s="174"/>
      <c r="AJ275" s="178"/>
      <c r="AK275" s="178"/>
      <c r="AL275" s="178"/>
      <c r="AM275" s="127">
        <f>AG275*'1. Standard_Cost'!$B$27+'Incremental_Cost Year 6'!AH275*'1. Standard_Cost'!$C$27+'Incremental_Cost Year 6'!AI275*'1. Standard_Cost'!$D$27+'Incremental_Cost Year 6'!AJ275+'Incremental_Cost Year 6'!AL275+AK275</f>
        <v>0</v>
      </c>
      <c r="AN275" s="127">
        <f>AM275*'1. Standard_Cost'!$C$31</f>
        <v>0</v>
      </c>
      <c r="AO275" s="178"/>
      <c r="AP275" s="256"/>
      <c r="AQ275" s="171">
        <f>L275+M275</f>
        <v>0</v>
      </c>
      <c r="AR275" s="171">
        <f>AF275</f>
        <v>0</v>
      </c>
      <c r="AS275" s="171">
        <f>AM275+AN275</f>
        <v>0</v>
      </c>
      <c r="AT275" s="171">
        <f>SUM(AQ275,AR275,AS275)</f>
        <v>0</v>
      </c>
      <c r="AU275" s="250">
        <f>AQ275</f>
        <v>0</v>
      </c>
      <c r="AV275" s="250"/>
      <c r="AW275" s="250"/>
      <c r="AX275" s="250"/>
      <c r="AY275" s="250"/>
      <c r="AZ275" s="250"/>
      <c r="BA275" s="250"/>
      <c r="BB275" s="251">
        <f t="shared" si="184"/>
        <v>0</v>
      </c>
      <c r="BC275" s="169"/>
      <c r="BD275" s="169"/>
      <c r="BE275" s="169"/>
      <c r="BF275" s="169"/>
    </row>
    <row r="276" spans="1:58" ht="78.75" x14ac:dyDescent="0.2">
      <c r="A276" s="172"/>
      <c r="B276" s="168"/>
      <c r="C276" s="204"/>
      <c r="D276" s="212" t="s">
        <v>485</v>
      </c>
      <c r="E276" s="212" t="s">
        <v>351</v>
      </c>
      <c r="F276" s="206">
        <v>2022</v>
      </c>
      <c r="G276" s="207">
        <v>2025</v>
      </c>
      <c r="H276" s="182" t="s">
        <v>352</v>
      </c>
      <c r="I276" s="273"/>
      <c r="J276" s="273"/>
      <c r="K276" s="273"/>
      <c r="L276" s="175">
        <f>SUM(L274:L275)</f>
        <v>0</v>
      </c>
      <c r="M276" s="175">
        <f>SUM(M274:M275)</f>
        <v>0</v>
      </c>
      <c r="N276" s="273"/>
      <c r="O276" s="273"/>
      <c r="P276" s="273"/>
      <c r="Q276" s="273"/>
      <c r="R276" s="175">
        <f>SUM(R274:R275)</f>
        <v>0</v>
      </c>
      <c r="S276" s="175">
        <f>SUM(S274:S275)</f>
        <v>0</v>
      </c>
      <c r="T276" s="175">
        <f>SUM(T274:T275)</f>
        <v>0</v>
      </c>
      <c r="U276" s="175">
        <f>SUM(U274:U275)</f>
        <v>0</v>
      </c>
      <c r="V276" s="273"/>
      <c r="W276" s="273"/>
      <c r="X276" s="273"/>
      <c r="Y276" s="175">
        <f>SUM(Y274:Y275)</f>
        <v>0</v>
      </c>
      <c r="Z276" s="175"/>
      <c r="AA276" s="273"/>
      <c r="AB276" s="175">
        <f>SUM(AB274:AB275)</f>
        <v>0</v>
      </c>
      <c r="AC276" s="175">
        <f>SUM(AC274:AC275)</f>
        <v>0</v>
      </c>
      <c r="AD276" s="175">
        <f>SUM(AD274:AD275)</f>
        <v>0</v>
      </c>
      <c r="AE276" s="175">
        <f>SUM(AE274:AE275)</f>
        <v>0</v>
      </c>
      <c r="AF276" s="175">
        <f>SUM(AF274:AF275)</f>
        <v>0</v>
      </c>
      <c r="AG276" s="273"/>
      <c r="AH276" s="273"/>
      <c r="AI276" s="273"/>
      <c r="AJ276" s="175">
        <f>SUM(AJ274:AJ275)</f>
        <v>0</v>
      </c>
      <c r="AK276" s="175">
        <f>SUM(AK274:AK275)</f>
        <v>0</v>
      </c>
      <c r="AL276" s="175">
        <f>SUM(AL274:AL275)</f>
        <v>0</v>
      </c>
      <c r="AM276" s="175">
        <f>SUM(AM274:AM275)</f>
        <v>0</v>
      </c>
      <c r="AN276" s="175">
        <f>SUM(AN274:AN275)</f>
        <v>0</v>
      </c>
      <c r="AO276" s="274"/>
      <c r="AP276" s="254"/>
      <c r="AQ276" s="175">
        <f t="shared" ref="AQ276:AT276" si="185">SUM(AQ274:AQ275)</f>
        <v>0</v>
      </c>
      <c r="AR276" s="175">
        <f t="shared" si="185"/>
        <v>0</v>
      </c>
      <c r="AS276" s="175">
        <f t="shared" si="185"/>
        <v>0</v>
      </c>
      <c r="AT276" s="175">
        <f t="shared" si="185"/>
        <v>0</v>
      </c>
      <c r="AU276" s="175">
        <f t="shared" ref="AU276:BB276" si="186">SUM(AU274:AU275)</f>
        <v>0</v>
      </c>
      <c r="AV276" s="175">
        <f t="shared" si="186"/>
        <v>0</v>
      </c>
      <c r="AW276" s="175">
        <f t="shared" si="186"/>
        <v>0</v>
      </c>
      <c r="AX276" s="175">
        <f t="shared" si="186"/>
        <v>0</v>
      </c>
      <c r="AY276" s="175">
        <f t="shared" si="186"/>
        <v>0</v>
      </c>
      <c r="AZ276" s="175">
        <f t="shared" si="186"/>
        <v>0</v>
      </c>
      <c r="BA276" s="175">
        <f t="shared" si="186"/>
        <v>0</v>
      </c>
      <c r="BB276" s="175">
        <f t="shared" si="186"/>
        <v>0</v>
      </c>
      <c r="BC276" s="169"/>
      <c r="BD276" s="169"/>
      <c r="BE276" s="169"/>
      <c r="BF276" s="169"/>
    </row>
    <row r="277" spans="1:58" ht="15.6" customHeight="1" x14ac:dyDescent="0.2">
      <c r="A277" s="179"/>
      <c r="B277" s="290"/>
      <c r="C277" s="391" t="s">
        <v>353</v>
      </c>
      <c r="D277" s="391"/>
      <c r="E277" s="392"/>
      <c r="F277" s="287"/>
      <c r="G277" s="289"/>
      <c r="H277" s="181" t="s">
        <v>354</v>
      </c>
      <c r="I277" s="271"/>
      <c r="J277" s="271"/>
      <c r="K277" s="271"/>
      <c r="L277" s="261">
        <f>L283</f>
        <v>7660800</v>
      </c>
      <c r="M277" s="261">
        <f>M283</f>
        <v>1279353.6000000001</v>
      </c>
      <c r="N277" s="271"/>
      <c r="O277" s="271"/>
      <c r="P277" s="271"/>
      <c r="Q277" s="271"/>
      <c r="R277" s="261">
        <f>R283</f>
        <v>0</v>
      </c>
      <c r="S277" s="261">
        <f>S283</f>
        <v>0</v>
      </c>
      <c r="T277" s="261">
        <f>T283</f>
        <v>0</v>
      </c>
      <c r="U277" s="261">
        <f>U283</f>
        <v>0</v>
      </c>
      <c r="V277" s="271"/>
      <c r="W277" s="271"/>
      <c r="X277" s="271"/>
      <c r="Y277" s="261">
        <f>Y283</f>
        <v>0</v>
      </c>
      <c r="Z277" s="261"/>
      <c r="AA277" s="261"/>
      <c r="AB277" s="261">
        <f>AB283</f>
        <v>0</v>
      </c>
      <c r="AC277" s="261">
        <f>AC283</f>
        <v>0</v>
      </c>
      <c r="AD277" s="261">
        <f>AD283</f>
        <v>0</v>
      </c>
      <c r="AE277" s="261">
        <f>AE283</f>
        <v>0</v>
      </c>
      <c r="AF277" s="261">
        <f>AF283</f>
        <v>0</v>
      </c>
      <c r="AG277" s="271"/>
      <c r="AH277" s="271"/>
      <c r="AI277" s="271"/>
      <c r="AJ277" s="261">
        <f>AJ283</f>
        <v>0</v>
      </c>
      <c r="AK277" s="261">
        <f>AK283</f>
        <v>0</v>
      </c>
      <c r="AL277" s="261">
        <f>AL283</f>
        <v>0</v>
      </c>
      <c r="AM277" s="261">
        <f>AM283</f>
        <v>0</v>
      </c>
      <c r="AN277" s="261">
        <f>AN283</f>
        <v>0</v>
      </c>
      <c r="AO277" s="272"/>
      <c r="AP277" s="260"/>
      <c r="AQ277" s="261">
        <f t="shared" ref="AQ277:BB277" si="187">AQ283</f>
        <v>8940153.5999999996</v>
      </c>
      <c r="AR277" s="261">
        <f t="shared" si="187"/>
        <v>0</v>
      </c>
      <c r="AS277" s="261">
        <f t="shared" si="187"/>
        <v>0</v>
      </c>
      <c r="AT277" s="261">
        <f t="shared" si="187"/>
        <v>8940153.5999999996</v>
      </c>
      <c r="AU277" s="261">
        <f t="shared" si="187"/>
        <v>8940153.5999999996</v>
      </c>
      <c r="AV277" s="261">
        <f t="shared" si="187"/>
        <v>0</v>
      </c>
      <c r="AW277" s="261">
        <f t="shared" si="187"/>
        <v>0</v>
      </c>
      <c r="AX277" s="261">
        <f t="shared" si="187"/>
        <v>0</v>
      </c>
      <c r="AY277" s="261">
        <f t="shared" si="187"/>
        <v>0</v>
      </c>
      <c r="AZ277" s="261">
        <f t="shared" si="187"/>
        <v>0</v>
      </c>
      <c r="BA277" s="261">
        <f t="shared" si="187"/>
        <v>0</v>
      </c>
      <c r="BB277" s="261">
        <f t="shared" si="187"/>
        <v>0</v>
      </c>
      <c r="BC277" s="184"/>
      <c r="BD277" s="184"/>
      <c r="BE277" s="184"/>
      <c r="BF277" s="184"/>
    </row>
    <row r="278" spans="1:58" ht="47.25" x14ac:dyDescent="0.25">
      <c r="A278" s="172"/>
      <c r="B278" s="200"/>
      <c r="C278" s="201"/>
      <c r="D278" s="202"/>
      <c r="E278" s="354"/>
      <c r="F278" s="355"/>
      <c r="G278" s="356"/>
      <c r="H278" s="213" t="s">
        <v>363</v>
      </c>
      <c r="I278" s="178"/>
      <c r="J278" s="174"/>
      <c r="K278" s="174"/>
      <c r="L278" s="125" t="str">
        <f>IF(I278&lt;&gt;0,((VLOOKUP(I278,'1. Standard_Cost'!$B$4:$D$11,2)+VLOOKUP(I278,'1. Standard_Cost'!$B$4:$D$11,3))*J278*K278),"0")</f>
        <v>0</v>
      </c>
      <c r="M278" s="125">
        <f>L278*'1. Standard_Cost'!$F$4</f>
        <v>0</v>
      </c>
      <c r="N278" s="174"/>
      <c r="O278" s="174"/>
      <c r="P278" s="174"/>
      <c r="Q278" s="174"/>
      <c r="R278" s="127">
        <f>'1. Standard_Cost'!$B$15*N278*P278</f>
        <v>0</v>
      </c>
      <c r="S278" s="127">
        <f>N278*O278*P278*'1. Standard_Cost'!$C$15</f>
        <v>0</v>
      </c>
      <c r="T278" s="127">
        <f>N278*P278*Q278*'1. Standard_Cost'!$D$15</f>
        <v>0</v>
      </c>
      <c r="U278" s="127">
        <f>N278*O278*'1. Standard_Cost'!$E$15</f>
        <v>0</v>
      </c>
      <c r="V278" s="174"/>
      <c r="W278" s="174"/>
      <c r="X278" s="174"/>
      <c r="Y278" s="127">
        <f>+V278*((X278*'1. Standard_Cost'!$B$19)+(W278*X278*'1. Standard_Cost'!$C$19))</f>
        <v>0</v>
      </c>
      <c r="Z278" s="174"/>
      <c r="AA278" s="174"/>
      <c r="AB278" s="127">
        <f>+Z278*'1. Standard_Cost'!$B$23+AA278*'1. Standard_Cost'!$C$23</f>
        <v>0</v>
      </c>
      <c r="AC278" s="176"/>
      <c r="AD278" s="177"/>
      <c r="AE278" s="127">
        <f>SUM(AD278,AC278,AB278,Y278,U278,T278,S278,R278)*'1. Standard_Cost'!$B$31</f>
        <v>0</v>
      </c>
      <c r="AF278" s="127">
        <f>SUM(AE278,AD278,AC278,AB278,Y278,U278,T278,S278,R278)</f>
        <v>0</v>
      </c>
      <c r="AG278" s="174"/>
      <c r="AH278" s="174"/>
      <c r="AI278" s="174"/>
      <c r="AJ278" s="178"/>
      <c r="AK278" s="178"/>
      <c r="AL278" s="178"/>
      <c r="AM278" s="127">
        <f>AG278*'1. Standard_Cost'!$B$27+'Incremental_Cost Year 6'!AH278*'1. Standard_Cost'!$C$27+'Incremental_Cost Year 6'!AI278*'1. Standard_Cost'!$D$27+'Incremental_Cost Year 6'!AJ278+'Incremental_Cost Year 6'!AL278+AK278</f>
        <v>0</v>
      </c>
      <c r="AN278" s="127">
        <f>AM278*'1. Standard_Cost'!$C$31</f>
        <v>0</v>
      </c>
      <c r="AO278" s="178"/>
      <c r="AP278" s="256"/>
      <c r="AQ278" s="171">
        <f>L278+M278</f>
        <v>0</v>
      </c>
      <c r="AR278" s="171">
        <f>AF278</f>
        <v>0</v>
      </c>
      <c r="AS278" s="171">
        <f>AM278+AN278</f>
        <v>0</v>
      </c>
      <c r="AT278" s="171">
        <f>SUM(AQ278,AR278,AS278)</f>
        <v>0</v>
      </c>
      <c r="AU278" s="250">
        <f>AT278</f>
        <v>0</v>
      </c>
      <c r="AV278" s="250"/>
      <c r="AW278" s="250"/>
      <c r="AX278" s="250"/>
      <c r="AY278" s="250"/>
      <c r="AZ278" s="250"/>
      <c r="BA278" s="250"/>
      <c r="BB278" s="251">
        <f t="shared" ref="BB278:BB282" si="188">SUM(AU278:BA278)-AT278</f>
        <v>0</v>
      </c>
      <c r="BC278" s="169"/>
      <c r="BD278" s="169"/>
      <c r="BE278" s="169"/>
      <c r="BF278" s="169"/>
    </row>
    <row r="279" spans="1:58" ht="47.25" x14ac:dyDescent="0.25">
      <c r="A279" s="172"/>
      <c r="B279" s="200"/>
      <c r="C279" s="201"/>
      <c r="D279" s="202"/>
      <c r="E279" s="357"/>
      <c r="F279" s="358"/>
      <c r="G279" s="359"/>
      <c r="H279" s="213" t="s">
        <v>364</v>
      </c>
      <c r="I279" s="178"/>
      <c r="J279" s="174"/>
      <c r="K279" s="174"/>
      <c r="L279" s="125" t="str">
        <f>IF(I279&lt;&gt;0,((VLOOKUP(I279,'1. Standard_Cost'!$B$4:$D$11,2)+VLOOKUP(I279,'1. Standard_Cost'!$B$4:$D$11,3))*J279*K279),"0")</f>
        <v>0</v>
      </c>
      <c r="M279" s="125">
        <f>L279*'1. Standard_Cost'!$F$4</f>
        <v>0</v>
      </c>
      <c r="N279" s="174"/>
      <c r="O279" s="174"/>
      <c r="P279" s="174"/>
      <c r="Q279" s="174"/>
      <c r="R279" s="127">
        <f>'1. Standard_Cost'!$B$15*N279*P279</f>
        <v>0</v>
      </c>
      <c r="S279" s="127">
        <f>N279*O279*P279*'1. Standard_Cost'!$C$15</f>
        <v>0</v>
      </c>
      <c r="T279" s="127">
        <f>N279*P279*Q279*'1. Standard_Cost'!$D$15</f>
        <v>0</v>
      </c>
      <c r="U279" s="127">
        <f>N279*O279*'1. Standard_Cost'!$E$15</f>
        <v>0</v>
      </c>
      <c r="V279" s="174"/>
      <c r="W279" s="174"/>
      <c r="X279" s="174"/>
      <c r="Y279" s="127">
        <f>+V279*((X279*'1. Standard_Cost'!$B$19)+(W279*X279*'1. Standard_Cost'!$C$19))</f>
        <v>0</v>
      </c>
      <c r="Z279" s="174"/>
      <c r="AA279" s="174"/>
      <c r="AB279" s="127">
        <f>+Z279*'1. Standard_Cost'!$B$23+AA279*'1. Standard_Cost'!$C$23</f>
        <v>0</v>
      </c>
      <c r="AC279" s="176"/>
      <c r="AD279" s="177"/>
      <c r="AE279" s="127">
        <f>SUM(AD279,AC279,AB279,Y279,U279,T279,S279,R279)*'1. Standard_Cost'!$B$31</f>
        <v>0</v>
      </c>
      <c r="AF279" s="127">
        <f>SUM(AE279,AD279,AC279,AB279,Y279,U279,T279,S279,R279)</f>
        <v>0</v>
      </c>
      <c r="AG279" s="174"/>
      <c r="AH279" s="174"/>
      <c r="AI279" s="174"/>
      <c r="AJ279" s="178"/>
      <c r="AK279" s="178"/>
      <c r="AL279" s="178"/>
      <c r="AM279" s="127">
        <f>AG279*'1. Standard_Cost'!$B$27+'Incremental_Cost Year 6'!AH279*'1. Standard_Cost'!$C$27+'Incremental_Cost Year 6'!AI279*'1. Standard_Cost'!$D$27+'Incremental_Cost Year 6'!AJ279+'Incremental_Cost Year 6'!AL279+AK279</f>
        <v>0</v>
      </c>
      <c r="AN279" s="127">
        <f>AM279*'1. Standard_Cost'!$C$31</f>
        <v>0</v>
      </c>
      <c r="AO279" s="178"/>
      <c r="AP279" s="256"/>
      <c r="AQ279" s="171">
        <f>L279+M279</f>
        <v>0</v>
      </c>
      <c r="AR279" s="171">
        <f>AF279</f>
        <v>0</v>
      </c>
      <c r="AS279" s="171">
        <f>AM279+AN279</f>
        <v>0</v>
      </c>
      <c r="AT279" s="171">
        <f>SUM(AQ279,AR279,AS279)</f>
        <v>0</v>
      </c>
      <c r="AU279" s="250">
        <f>AT279</f>
        <v>0</v>
      </c>
      <c r="AV279" s="250"/>
      <c r="AW279" s="250"/>
      <c r="AX279" s="250"/>
      <c r="AY279" s="250"/>
      <c r="AZ279" s="250"/>
      <c r="BA279" s="250"/>
      <c r="BB279" s="251">
        <f t="shared" si="188"/>
        <v>0</v>
      </c>
      <c r="BC279" s="169"/>
      <c r="BD279" s="169"/>
      <c r="BE279" s="169"/>
      <c r="BF279" s="169"/>
    </row>
    <row r="280" spans="1:58" ht="31.5" x14ac:dyDescent="0.25">
      <c r="A280" s="172"/>
      <c r="B280" s="200"/>
      <c r="C280" s="201"/>
      <c r="D280" s="202"/>
      <c r="E280" s="357"/>
      <c r="F280" s="358"/>
      <c r="G280" s="359"/>
      <c r="H280" s="213" t="s">
        <v>365</v>
      </c>
      <c r="I280" s="178" t="s">
        <v>3</v>
      </c>
      <c r="J280" s="174">
        <v>2</v>
      </c>
      <c r="K280" s="174">
        <v>20</v>
      </c>
      <c r="L280" s="125">
        <f>IF(I280&lt;&gt;0,((VLOOKUP(I280,'1. Standard_Cost'!$B$4:$D$11,2)+VLOOKUP(I280,'1. Standard_Cost'!$B$4:$D$11,3))*J280*K280),"0")</f>
        <v>4032000</v>
      </c>
      <c r="M280" s="125">
        <f>L280*'1. Standard_Cost'!$F$4</f>
        <v>673344</v>
      </c>
      <c r="N280" s="174"/>
      <c r="O280" s="174"/>
      <c r="P280" s="174"/>
      <c r="Q280" s="174"/>
      <c r="R280" s="127">
        <f>'1. Standard_Cost'!$B$15*N280*P280</f>
        <v>0</v>
      </c>
      <c r="S280" s="127">
        <f>N280*O280*P280*'1. Standard_Cost'!$C$15</f>
        <v>0</v>
      </c>
      <c r="T280" s="127">
        <f>N280*P280*Q280*'1. Standard_Cost'!$D$15</f>
        <v>0</v>
      </c>
      <c r="U280" s="127">
        <f>N280*O280*'1. Standard_Cost'!$E$15</f>
        <v>0</v>
      </c>
      <c r="V280" s="174"/>
      <c r="W280" s="174"/>
      <c r="X280" s="174"/>
      <c r="Y280" s="127">
        <f>+V280*((X280*'1. Standard_Cost'!$B$19)+(W280*X280*'1. Standard_Cost'!$C$19))</f>
        <v>0</v>
      </c>
      <c r="Z280" s="174"/>
      <c r="AA280" s="174"/>
      <c r="AB280" s="127">
        <f>+Z280*'1. Standard_Cost'!$B$23+AA280*'1. Standard_Cost'!$C$23</f>
        <v>0</v>
      </c>
      <c r="AC280" s="176"/>
      <c r="AD280" s="177"/>
      <c r="AE280" s="127">
        <f>SUM(AD280,AC280,AB280,Y280,U280,T280,S280,R280)*'1. Standard_Cost'!$B$31</f>
        <v>0</v>
      </c>
      <c r="AF280" s="127">
        <f>SUM(AE280,AD280,AC280,AB280,Y280,U280,T280,S280,R280)</f>
        <v>0</v>
      </c>
      <c r="AG280" s="174"/>
      <c r="AH280" s="174"/>
      <c r="AI280" s="174"/>
      <c r="AJ280" s="178"/>
      <c r="AK280" s="178"/>
      <c r="AL280" s="178"/>
      <c r="AM280" s="127">
        <f>AG280*'1. Standard_Cost'!$B$27+'Incremental_Cost Year 6'!AH280*'1. Standard_Cost'!$C$27+'Incremental_Cost Year 6'!AI280*'1. Standard_Cost'!$D$27+'Incremental_Cost Year 6'!AJ280+'Incremental_Cost Year 6'!AL280+AK280</f>
        <v>0</v>
      </c>
      <c r="AN280" s="127">
        <f>AM280*'1. Standard_Cost'!$C$31</f>
        <v>0</v>
      </c>
      <c r="AO280" s="178"/>
      <c r="AP280" s="256"/>
      <c r="AQ280" s="171">
        <f>L280+M280</f>
        <v>4705344</v>
      </c>
      <c r="AR280" s="171">
        <f>AF280</f>
        <v>0</v>
      </c>
      <c r="AS280" s="171">
        <f>AM280+AN280</f>
        <v>0</v>
      </c>
      <c r="AT280" s="171">
        <f>SUM(AQ280,AR280,AS280)</f>
        <v>4705344</v>
      </c>
      <c r="AU280" s="250">
        <f>AQ280</f>
        <v>4705344</v>
      </c>
      <c r="AV280" s="250"/>
      <c r="AW280" s="250"/>
      <c r="AX280" s="250"/>
      <c r="AY280" s="250"/>
      <c r="AZ280" s="250"/>
      <c r="BA280" s="250"/>
      <c r="BB280" s="251">
        <f t="shared" si="188"/>
        <v>0</v>
      </c>
      <c r="BC280" s="169"/>
      <c r="BD280" s="169"/>
      <c r="BE280" s="169"/>
      <c r="BF280" s="169"/>
    </row>
    <row r="281" spans="1:58" ht="15.75" x14ac:dyDescent="0.25">
      <c r="A281" s="172"/>
      <c r="B281" s="200"/>
      <c r="C281" s="201"/>
      <c r="D281" s="202"/>
      <c r="E281" s="357"/>
      <c r="F281" s="358"/>
      <c r="G281" s="359"/>
      <c r="H281" s="369"/>
      <c r="I281" s="178"/>
      <c r="J281" s="174"/>
      <c r="K281" s="174"/>
      <c r="L281" s="125" t="str">
        <f>IF(I281&lt;&gt;0,((VLOOKUP(I281,'1. Standard_Cost'!$B$4:$D$11,2)+VLOOKUP(I281,'1. Standard_Cost'!$B$4:$D$11,3))*J281*K281),"0")</f>
        <v>0</v>
      </c>
      <c r="M281" s="125">
        <f>L281*'1. Standard_Cost'!$F$4</f>
        <v>0</v>
      </c>
      <c r="N281" s="174"/>
      <c r="O281" s="174"/>
      <c r="P281" s="174"/>
      <c r="Q281" s="174"/>
      <c r="R281" s="127">
        <f>'1. Standard_Cost'!$B$15*N281*P281</f>
        <v>0</v>
      </c>
      <c r="S281" s="127">
        <f>N281*O281*P281*'1. Standard_Cost'!$C$15</f>
        <v>0</v>
      </c>
      <c r="T281" s="127">
        <f>N281*P281*Q281*'1. Standard_Cost'!$D$15</f>
        <v>0</v>
      </c>
      <c r="U281" s="127">
        <f>N281*O281*'1. Standard_Cost'!$E$15</f>
        <v>0</v>
      </c>
      <c r="V281" s="174"/>
      <c r="W281" s="174"/>
      <c r="X281" s="174"/>
      <c r="Y281" s="127">
        <f>+V281*((X281*'1. Standard_Cost'!$B$19)+(W281*X281*'1. Standard_Cost'!$C$19))</f>
        <v>0</v>
      </c>
      <c r="Z281" s="174"/>
      <c r="AA281" s="174"/>
      <c r="AB281" s="127">
        <f>+Z281*'1. Standard_Cost'!$B$23+AA281*'1. Standard_Cost'!$C$23</f>
        <v>0</v>
      </c>
      <c r="AC281" s="176"/>
      <c r="AD281" s="177"/>
      <c r="AE281" s="127">
        <f>SUM(AD281,AC281,AB281,Y281,U281,T281,S281,R281)*'1. Standard_Cost'!$B$31</f>
        <v>0</v>
      </c>
      <c r="AF281" s="127">
        <f>SUM(AE281,AD281,AC281,AB281,Y281,U281,T281,S281,R281)</f>
        <v>0</v>
      </c>
      <c r="AG281" s="174"/>
      <c r="AH281" s="174"/>
      <c r="AI281" s="174"/>
      <c r="AJ281" s="178"/>
      <c r="AK281" s="178"/>
      <c r="AL281" s="178"/>
      <c r="AM281" s="127">
        <f>AG281*'1. Standard_Cost'!$B$27+'Incremental_Cost Year 6'!AH281*'1. Standard_Cost'!$C$27+'Incremental_Cost Year 6'!AI281*'1. Standard_Cost'!$D$27+'Incremental_Cost Year 6'!AJ281+'Incremental_Cost Year 6'!AL281+AK281</f>
        <v>0</v>
      </c>
      <c r="AN281" s="127">
        <f>AM281*'1. Standard_Cost'!$C$31</f>
        <v>0</v>
      </c>
      <c r="AO281" s="178"/>
      <c r="AP281" s="256"/>
      <c r="AQ281" s="171">
        <f>L281+M281</f>
        <v>0</v>
      </c>
      <c r="AR281" s="171">
        <f>AF281</f>
        <v>0</v>
      </c>
      <c r="AS281" s="171">
        <f>AM281+AN281</f>
        <v>0</v>
      </c>
      <c r="AT281" s="171">
        <f>SUM(AQ281,AR281,AS281)</f>
        <v>0</v>
      </c>
      <c r="AU281" s="250">
        <f>AQ281</f>
        <v>0</v>
      </c>
      <c r="AV281" s="250"/>
      <c r="AW281" s="250"/>
      <c r="AX281" s="250"/>
      <c r="AY281" s="250"/>
      <c r="AZ281" s="250"/>
      <c r="BA281" s="250"/>
      <c r="BB281" s="251">
        <f t="shared" si="188"/>
        <v>0</v>
      </c>
      <c r="BC281" s="169"/>
      <c r="BD281" s="169"/>
      <c r="BE281" s="169"/>
      <c r="BF281" s="169"/>
    </row>
    <row r="282" spans="1:58" ht="31.5" x14ac:dyDescent="0.25">
      <c r="A282" s="172"/>
      <c r="B282" s="200"/>
      <c r="C282" s="201"/>
      <c r="D282" s="202"/>
      <c r="E282" s="360"/>
      <c r="F282" s="361"/>
      <c r="G282" s="362"/>
      <c r="H282" s="213" t="s">
        <v>366</v>
      </c>
      <c r="I282" s="178" t="s">
        <v>3</v>
      </c>
      <c r="J282" s="174">
        <v>12</v>
      </c>
      <c r="K282" s="174">
        <v>3</v>
      </c>
      <c r="L282" s="125">
        <f>IF(I282&lt;&gt;0,((VLOOKUP(I282,'1. Standard_Cost'!$B$4:$D$11,2)+VLOOKUP(I282,'1. Standard_Cost'!$B$4:$D$11,3))*J282*K282),"0")</f>
        <v>3628800</v>
      </c>
      <c r="M282" s="125">
        <f>L282*'1. Standard_Cost'!$F$4</f>
        <v>606009.59999999998</v>
      </c>
      <c r="N282" s="174"/>
      <c r="O282" s="174"/>
      <c r="P282" s="174"/>
      <c r="Q282" s="174"/>
      <c r="R282" s="127">
        <f>'1. Standard_Cost'!$B$15*N282*P282</f>
        <v>0</v>
      </c>
      <c r="S282" s="127">
        <f>N282*O282*P282*'1. Standard_Cost'!$C$15</f>
        <v>0</v>
      </c>
      <c r="T282" s="127">
        <f>N282*P282*Q282*'1. Standard_Cost'!$D$15</f>
        <v>0</v>
      </c>
      <c r="U282" s="127">
        <f>N282*O282*'1. Standard_Cost'!$E$15</f>
        <v>0</v>
      </c>
      <c r="V282" s="174"/>
      <c r="W282" s="174"/>
      <c r="X282" s="174"/>
      <c r="Y282" s="127">
        <f>+V282*((X282*'1. Standard_Cost'!$B$19)+(W282*X282*'1. Standard_Cost'!$C$19))</f>
        <v>0</v>
      </c>
      <c r="Z282" s="174"/>
      <c r="AA282" s="174"/>
      <c r="AB282" s="127">
        <f>+Z282*'1. Standard_Cost'!$B$23+AA282*'1. Standard_Cost'!$C$23</f>
        <v>0</v>
      </c>
      <c r="AC282" s="176"/>
      <c r="AD282" s="177"/>
      <c r="AE282" s="127">
        <f>SUM(AD282,AC282,AB282,Y282,U282,T282,S282,R282)*'1. Standard_Cost'!$B$31</f>
        <v>0</v>
      </c>
      <c r="AF282" s="127">
        <f>SUM(AE282,AD282,AC282,AB282,Y282,U282,T282,S282,R282)</f>
        <v>0</v>
      </c>
      <c r="AG282" s="174"/>
      <c r="AH282" s="174"/>
      <c r="AI282" s="174"/>
      <c r="AJ282" s="178"/>
      <c r="AK282" s="178"/>
      <c r="AL282" s="178"/>
      <c r="AM282" s="127">
        <f>AG282*'1. Standard_Cost'!$B$27+'Incremental_Cost Year 6'!AH282*'1. Standard_Cost'!$C$27+'Incremental_Cost Year 6'!AI282*'1. Standard_Cost'!$D$27+'Incremental_Cost Year 6'!AJ282+'Incremental_Cost Year 6'!AL282+AK282</f>
        <v>0</v>
      </c>
      <c r="AN282" s="127">
        <f>AM282*'1. Standard_Cost'!$C$31</f>
        <v>0</v>
      </c>
      <c r="AO282" s="178"/>
      <c r="AP282" s="256"/>
      <c r="AQ282" s="171">
        <f>L282+M282</f>
        <v>4234809.5999999996</v>
      </c>
      <c r="AR282" s="171">
        <f>AF282</f>
        <v>0</v>
      </c>
      <c r="AS282" s="171">
        <f>AM282+AN282</f>
        <v>0</v>
      </c>
      <c r="AT282" s="171">
        <f>SUM(AQ282,AR282,AS282)</f>
        <v>4234809.5999999996</v>
      </c>
      <c r="AU282" s="250">
        <f>AQ282</f>
        <v>4234809.5999999996</v>
      </c>
      <c r="AV282" s="250"/>
      <c r="AW282" s="250"/>
      <c r="AX282" s="250"/>
      <c r="AY282" s="250"/>
      <c r="AZ282" s="250"/>
      <c r="BA282" s="250"/>
      <c r="BB282" s="251">
        <f t="shared" si="188"/>
        <v>0</v>
      </c>
      <c r="BC282" s="169"/>
      <c r="BD282" s="169"/>
      <c r="BE282" s="169"/>
      <c r="BF282" s="169"/>
    </row>
    <row r="283" spans="1:58" ht="31.5" x14ac:dyDescent="0.2">
      <c r="A283" s="172"/>
      <c r="B283" s="168"/>
      <c r="C283" s="204"/>
      <c r="D283" s="212" t="s">
        <v>559</v>
      </c>
      <c r="E283" s="212" t="s">
        <v>355</v>
      </c>
      <c r="F283" s="212">
        <v>2021</v>
      </c>
      <c r="G283" s="212">
        <v>2030</v>
      </c>
      <c r="H283" s="182" t="s">
        <v>356</v>
      </c>
      <c r="I283" s="273"/>
      <c r="J283" s="273"/>
      <c r="K283" s="273"/>
      <c r="L283" s="175">
        <f>SUM(L278:L282)</f>
        <v>7660800</v>
      </c>
      <c r="M283" s="175">
        <f>SUM(M278:M282)</f>
        <v>1279353.6000000001</v>
      </c>
      <c r="N283" s="273"/>
      <c r="O283" s="273"/>
      <c r="P283" s="273"/>
      <c r="Q283" s="273"/>
      <c r="R283" s="175">
        <f>SUM(R278:R282)</f>
        <v>0</v>
      </c>
      <c r="S283" s="175">
        <f>SUM(S278:S282)</f>
        <v>0</v>
      </c>
      <c r="T283" s="175">
        <f>SUM(T278:T282)</f>
        <v>0</v>
      </c>
      <c r="U283" s="175">
        <f>SUM(U278:U282)</f>
        <v>0</v>
      </c>
      <c r="V283" s="273"/>
      <c r="W283" s="273"/>
      <c r="X283" s="273"/>
      <c r="Y283" s="175">
        <f>SUM(Y278:Y282)</f>
        <v>0</v>
      </c>
      <c r="Z283" s="175"/>
      <c r="AA283" s="273"/>
      <c r="AB283" s="175">
        <f>SUM(AB278:AB282)</f>
        <v>0</v>
      </c>
      <c r="AC283" s="175">
        <f>SUM(AC278:AC282)</f>
        <v>0</v>
      </c>
      <c r="AD283" s="175">
        <f>SUM(AD278:AD282)</f>
        <v>0</v>
      </c>
      <c r="AE283" s="175">
        <f>SUM(AE278:AE282)</f>
        <v>0</v>
      </c>
      <c r="AF283" s="175">
        <f>SUM(AF278:AF282)</f>
        <v>0</v>
      </c>
      <c r="AG283" s="273"/>
      <c r="AH283" s="273"/>
      <c r="AI283" s="273"/>
      <c r="AJ283" s="175">
        <f>SUM(AJ278:AJ282)</f>
        <v>0</v>
      </c>
      <c r="AK283" s="175">
        <f>SUM(AK278:AK282)</f>
        <v>0</v>
      </c>
      <c r="AL283" s="175">
        <f>SUM(AL278:AL282)</f>
        <v>0</v>
      </c>
      <c r="AM283" s="175">
        <f>SUM(AM278:AM282)</f>
        <v>0</v>
      </c>
      <c r="AN283" s="175">
        <f>SUM(AN278:AN282)</f>
        <v>0</v>
      </c>
      <c r="AO283" s="274"/>
      <c r="AP283" s="254"/>
      <c r="AQ283" s="175">
        <f t="shared" ref="AQ283:AT283" si="189">SUM(AQ278:AQ282)</f>
        <v>8940153.5999999996</v>
      </c>
      <c r="AR283" s="175">
        <f t="shared" si="189"/>
        <v>0</v>
      </c>
      <c r="AS283" s="175">
        <f t="shared" si="189"/>
        <v>0</v>
      </c>
      <c r="AT283" s="175">
        <f t="shared" si="189"/>
        <v>8940153.5999999996</v>
      </c>
      <c r="AU283" s="175">
        <f t="shared" ref="AU283:BB283" si="190">SUM(AU278:AU282)</f>
        <v>8940153.5999999996</v>
      </c>
      <c r="AV283" s="175">
        <f t="shared" si="190"/>
        <v>0</v>
      </c>
      <c r="AW283" s="175">
        <f t="shared" si="190"/>
        <v>0</v>
      </c>
      <c r="AX283" s="175">
        <f t="shared" si="190"/>
        <v>0</v>
      </c>
      <c r="AY283" s="175">
        <f t="shared" si="190"/>
        <v>0</v>
      </c>
      <c r="AZ283" s="175">
        <f t="shared" si="190"/>
        <v>0</v>
      </c>
      <c r="BA283" s="175">
        <f t="shared" si="190"/>
        <v>0</v>
      </c>
      <c r="BB283" s="175">
        <f t="shared" si="190"/>
        <v>0</v>
      </c>
      <c r="BC283" s="169"/>
      <c r="BD283" s="169"/>
      <c r="BE283" s="169"/>
      <c r="BF283" s="169"/>
    </row>
    <row r="284" spans="1:58" ht="15.6" customHeight="1" x14ac:dyDescent="0.2">
      <c r="A284" s="179"/>
      <c r="B284" s="290"/>
      <c r="C284" s="391" t="s">
        <v>357</v>
      </c>
      <c r="D284" s="391"/>
      <c r="E284" s="392"/>
      <c r="F284" s="287"/>
      <c r="G284" s="289"/>
      <c r="H284" s="181" t="s">
        <v>358</v>
      </c>
      <c r="I284" s="271"/>
      <c r="J284" s="271"/>
      <c r="K284" s="271"/>
      <c r="L284" s="261">
        <f>L289</f>
        <v>0</v>
      </c>
      <c r="M284" s="261">
        <f>M289</f>
        <v>0</v>
      </c>
      <c r="N284" s="271"/>
      <c r="O284" s="271"/>
      <c r="P284" s="271"/>
      <c r="Q284" s="271"/>
      <c r="R284" s="261">
        <f>R289</f>
        <v>0</v>
      </c>
      <c r="S284" s="261">
        <f>S289</f>
        <v>0</v>
      </c>
      <c r="T284" s="261">
        <f>T289</f>
        <v>0</v>
      </c>
      <c r="U284" s="261">
        <f>U289</f>
        <v>0</v>
      </c>
      <c r="V284" s="271"/>
      <c r="W284" s="271"/>
      <c r="X284" s="271"/>
      <c r="Y284" s="261">
        <f>Y289</f>
        <v>0</v>
      </c>
      <c r="Z284" s="261"/>
      <c r="AA284" s="261"/>
      <c r="AB284" s="261">
        <f>AB289</f>
        <v>0</v>
      </c>
      <c r="AC284" s="261">
        <f>AC289</f>
        <v>0</v>
      </c>
      <c r="AD284" s="261">
        <f>AD289</f>
        <v>0</v>
      </c>
      <c r="AE284" s="261">
        <f>AE289</f>
        <v>0</v>
      </c>
      <c r="AF284" s="261">
        <f>AF289</f>
        <v>0</v>
      </c>
      <c r="AG284" s="271"/>
      <c r="AH284" s="271"/>
      <c r="AI284" s="271"/>
      <c r="AJ284" s="261">
        <f>AJ289</f>
        <v>0</v>
      </c>
      <c r="AK284" s="261">
        <f>AK289</f>
        <v>0</v>
      </c>
      <c r="AL284" s="261">
        <f>AL289</f>
        <v>0</v>
      </c>
      <c r="AM284" s="261">
        <f>AM289</f>
        <v>0</v>
      </c>
      <c r="AN284" s="261">
        <f>AN289</f>
        <v>0</v>
      </c>
      <c r="AO284" s="272"/>
      <c r="AP284" s="260"/>
      <c r="AQ284" s="261">
        <f t="shared" ref="AQ284:BB284" si="191">AQ289</f>
        <v>0</v>
      </c>
      <c r="AR284" s="261">
        <f t="shared" si="191"/>
        <v>0</v>
      </c>
      <c r="AS284" s="261">
        <f t="shared" si="191"/>
        <v>0</v>
      </c>
      <c r="AT284" s="261">
        <f t="shared" si="191"/>
        <v>0</v>
      </c>
      <c r="AU284" s="261">
        <f t="shared" si="191"/>
        <v>0</v>
      </c>
      <c r="AV284" s="261">
        <f t="shared" si="191"/>
        <v>0</v>
      </c>
      <c r="AW284" s="261">
        <f t="shared" si="191"/>
        <v>0</v>
      </c>
      <c r="AX284" s="261">
        <f t="shared" si="191"/>
        <v>0</v>
      </c>
      <c r="AY284" s="261">
        <f t="shared" si="191"/>
        <v>0</v>
      </c>
      <c r="AZ284" s="261">
        <f t="shared" si="191"/>
        <v>0</v>
      </c>
      <c r="BA284" s="261">
        <f t="shared" si="191"/>
        <v>0</v>
      </c>
      <c r="BB284" s="261">
        <f t="shared" si="191"/>
        <v>0</v>
      </c>
      <c r="BC284" s="184"/>
      <c r="BD284" s="184"/>
      <c r="BE284" s="184"/>
      <c r="BF284" s="184"/>
    </row>
    <row r="285" spans="1:58" ht="157.5" x14ac:dyDescent="0.25">
      <c r="A285" s="172"/>
      <c r="B285" s="354"/>
      <c r="C285" s="356"/>
      <c r="D285" s="342"/>
      <c r="E285" s="328"/>
      <c r="F285" s="328"/>
      <c r="G285" s="328"/>
      <c r="H285" s="213" t="s">
        <v>550</v>
      </c>
      <c r="I285" s="178"/>
      <c r="J285" s="174"/>
      <c r="K285" s="174"/>
      <c r="L285" s="125" t="str">
        <f>IF(I285&lt;&gt;0,((VLOOKUP(I285,'1. Standard_Cost'!$B$4:$D$11,2)+VLOOKUP(I285,'1. Standard_Cost'!$B$4:$D$11,3))*J285*K285),"0")</f>
        <v>0</v>
      </c>
      <c r="M285" s="125">
        <f>L285*'1. Standard_Cost'!$F$4</f>
        <v>0</v>
      </c>
      <c r="N285" s="174"/>
      <c r="O285" s="174"/>
      <c r="P285" s="174"/>
      <c r="Q285" s="174"/>
      <c r="R285" s="127">
        <f>'1. Standard_Cost'!$B$15*N285*P285</f>
        <v>0</v>
      </c>
      <c r="S285" s="127">
        <f>N285*O285*P285*'1. Standard_Cost'!$C$15</f>
        <v>0</v>
      </c>
      <c r="T285" s="127">
        <f>N285*P285*Q285*'1. Standard_Cost'!$D$15</f>
        <v>0</v>
      </c>
      <c r="U285" s="127">
        <f>N285*O285*'1. Standard_Cost'!$E$15</f>
        <v>0</v>
      </c>
      <c r="V285" s="174"/>
      <c r="W285" s="174"/>
      <c r="X285" s="174"/>
      <c r="Y285" s="127">
        <f>+V285*((X285*'1. Standard_Cost'!$B$19)+(W285*X285*'1. Standard_Cost'!$C$19))</f>
        <v>0</v>
      </c>
      <c r="Z285" s="174"/>
      <c r="AA285" s="174"/>
      <c r="AB285" s="127">
        <f>+Z285*'1. Standard_Cost'!$B$23+AA285*'1. Standard_Cost'!$C$23</f>
        <v>0</v>
      </c>
      <c r="AC285" s="176"/>
      <c r="AD285" s="177"/>
      <c r="AE285" s="127">
        <f>SUM(AD285,AC285,AB285,Y285,U285,T285,S285,R285)*'1. Standard_Cost'!$B$31</f>
        <v>0</v>
      </c>
      <c r="AF285" s="127">
        <f>SUM(AE285,AD285,AC285,AB285,Y285,U285,T285,S285,R285)</f>
        <v>0</v>
      </c>
      <c r="AG285" s="174"/>
      <c r="AH285" s="174"/>
      <c r="AI285" s="174"/>
      <c r="AJ285" s="178"/>
      <c r="AK285" s="178"/>
      <c r="AL285" s="178"/>
      <c r="AM285" s="127">
        <f>AG285*'1. Standard_Cost'!$B$27+'Incremental_Cost Year 6'!AH285*'1. Standard_Cost'!$C$27+'Incremental_Cost Year 6'!AI285*'1. Standard_Cost'!$D$27+'Incremental_Cost Year 6'!AJ285+'Incremental_Cost Year 6'!AL285+AK285</f>
        <v>0</v>
      </c>
      <c r="AN285" s="127">
        <f>AM285*'1. Standard_Cost'!$C$31</f>
        <v>0</v>
      </c>
      <c r="AO285" s="178"/>
      <c r="AP285" s="256"/>
      <c r="AQ285" s="171">
        <f>L285+M285</f>
        <v>0</v>
      </c>
      <c r="AR285" s="171">
        <f>AF285</f>
        <v>0</v>
      </c>
      <c r="AS285" s="171">
        <f>AM285+AN285</f>
        <v>0</v>
      </c>
      <c r="AT285" s="171">
        <f>SUM(AQ285,AR285,AS285)</f>
        <v>0</v>
      </c>
      <c r="AU285" s="250"/>
      <c r="AV285" s="250"/>
      <c r="AW285" s="250"/>
      <c r="AX285" s="250"/>
      <c r="AY285" s="250"/>
      <c r="AZ285" s="250"/>
      <c r="BA285" s="250"/>
      <c r="BB285" s="251">
        <f t="shared" ref="BB285:BB288" si="192">SUM(AU285:BA285)-AT285</f>
        <v>0</v>
      </c>
      <c r="BC285" s="169"/>
      <c r="BD285" s="169"/>
      <c r="BE285" s="169"/>
      <c r="BF285" s="169"/>
    </row>
    <row r="286" spans="1:58" ht="78.75" customHeight="1" x14ac:dyDescent="0.25">
      <c r="A286" s="172"/>
      <c r="B286" s="357"/>
      <c r="C286" s="359"/>
      <c r="D286" s="343"/>
      <c r="E286" s="328"/>
      <c r="F286" s="328"/>
      <c r="G286" s="328"/>
      <c r="H286" s="213" t="s">
        <v>555</v>
      </c>
      <c r="I286" s="178"/>
      <c r="J286" s="174"/>
      <c r="K286" s="174"/>
      <c r="L286" s="125" t="str">
        <f>IF(I286&lt;&gt;0,((VLOOKUP(I286,'1. Standard_Cost'!$B$4:$D$11,2)+VLOOKUP(I286,'1. Standard_Cost'!$B$4:$D$11,3))*J286*K286),"0")</f>
        <v>0</v>
      </c>
      <c r="M286" s="125">
        <f>L286*'1. Standard_Cost'!$F$4</f>
        <v>0</v>
      </c>
      <c r="N286" s="174"/>
      <c r="O286" s="174"/>
      <c r="P286" s="174"/>
      <c r="Q286" s="174"/>
      <c r="R286" s="127">
        <f>'1. Standard_Cost'!$B$15*N286*P286</f>
        <v>0</v>
      </c>
      <c r="S286" s="127">
        <f>N286*O286*P286*'1. Standard_Cost'!$C$15</f>
        <v>0</v>
      </c>
      <c r="T286" s="127">
        <f>N286*P286*Q286*'1. Standard_Cost'!$D$15</f>
        <v>0</v>
      </c>
      <c r="U286" s="127">
        <f>N286*O286*'1. Standard_Cost'!$E$15</f>
        <v>0</v>
      </c>
      <c r="V286" s="174"/>
      <c r="W286" s="174"/>
      <c r="X286" s="174"/>
      <c r="Y286" s="127">
        <f>+V286*((X286*'1. Standard_Cost'!$B$19)+(W286*X286*'1. Standard_Cost'!$C$19))</f>
        <v>0</v>
      </c>
      <c r="Z286" s="174"/>
      <c r="AA286" s="174"/>
      <c r="AB286" s="127">
        <f>+Z286*'1. Standard_Cost'!$B$23+AA286*'1. Standard_Cost'!$C$23</f>
        <v>0</v>
      </c>
      <c r="AC286" s="176"/>
      <c r="AD286" s="177"/>
      <c r="AE286" s="127">
        <f>SUM(AD286,AC286,AB286,Y286,U286,T286,S286,R286)*'1. Standard_Cost'!$B$31</f>
        <v>0</v>
      </c>
      <c r="AF286" s="127">
        <f>SUM(AE286,AD286,AC286,AB286,Y286,U286,T286,S286,R286)</f>
        <v>0</v>
      </c>
      <c r="AG286" s="174"/>
      <c r="AH286" s="174"/>
      <c r="AI286" s="174"/>
      <c r="AJ286" s="178"/>
      <c r="AK286" s="178"/>
      <c r="AL286" s="178"/>
      <c r="AM286" s="127">
        <f>AG286*'1. Standard_Cost'!$B$27+'Incremental_Cost Year 6'!AH286*'1. Standard_Cost'!$C$27+'Incremental_Cost Year 6'!AI286*'1. Standard_Cost'!$D$27+'Incremental_Cost Year 6'!AJ286+'Incremental_Cost Year 6'!AL286+AK286</f>
        <v>0</v>
      </c>
      <c r="AN286" s="127">
        <f>AM286*'1. Standard_Cost'!$C$31</f>
        <v>0</v>
      </c>
      <c r="AO286" s="178"/>
      <c r="AP286" s="256"/>
      <c r="AQ286" s="171">
        <f>L286+M286</f>
        <v>0</v>
      </c>
      <c r="AR286" s="171">
        <f>AF286</f>
        <v>0</v>
      </c>
      <c r="AS286" s="171">
        <f>AM286+AN286</f>
        <v>0</v>
      </c>
      <c r="AT286" s="171">
        <f>SUM(AQ286,AR286,AS286)</f>
        <v>0</v>
      </c>
      <c r="AU286" s="250"/>
      <c r="AV286" s="250"/>
      <c r="AW286" s="250"/>
      <c r="AX286" s="250"/>
      <c r="AY286" s="250"/>
      <c r="AZ286" s="250"/>
      <c r="BA286" s="250"/>
      <c r="BB286" s="251">
        <f t="shared" si="192"/>
        <v>0</v>
      </c>
      <c r="BC286" s="169"/>
      <c r="BD286" s="169"/>
      <c r="BE286" s="169"/>
      <c r="BF286" s="169"/>
    </row>
    <row r="287" spans="1:58" ht="110.25" x14ac:dyDescent="0.25">
      <c r="A287" s="172"/>
      <c r="B287" s="357"/>
      <c r="C287" s="359"/>
      <c r="D287" s="343"/>
      <c r="E287" s="328"/>
      <c r="F287" s="328"/>
      <c r="G287" s="328"/>
      <c r="H287" s="213" t="s">
        <v>367</v>
      </c>
      <c r="I287" s="178"/>
      <c r="J287" s="174"/>
      <c r="K287" s="174"/>
      <c r="L287" s="125" t="str">
        <f>IF(I287&lt;&gt;0,((VLOOKUP(I287,'1. Standard_Cost'!$B$4:$D$11,2)+VLOOKUP(I287,'1. Standard_Cost'!$B$4:$D$11,3))*J287*K287),"0")</f>
        <v>0</v>
      </c>
      <c r="M287" s="125">
        <f>L287*'1. Standard_Cost'!$F$4</f>
        <v>0</v>
      </c>
      <c r="N287" s="174"/>
      <c r="O287" s="174"/>
      <c r="P287" s="174"/>
      <c r="Q287" s="174"/>
      <c r="R287" s="127">
        <f>'1. Standard_Cost'!$B$15*N287*P287</f>
        <v>0</v>
      </c>
      <c r="S287" s="127">
        <f>N287*O287*P287*'1. Standard_Cost'!$C$15</f>
        <v>0</v>
      </c>
      <c r="T287" s="127">
        <f>N287*P287*Q287*'1. Standard_Cost'!$D$15</f>
        <v>0</v>
      </c>
      <c r="U287" s="127">
        <f>N287*O287*'1. Standard_Cost'!$E$15</f>
        <v>0</v>
      </c>
      <c r="V287" s="174"/>
      <c r="W287" s="174"/>
      <c r="X287" s="174"/>
      <c r="Y287" s="127">
        <f>+V287*((X287*'1. Standard_Cost'!$B$19)+(W287*X287*'1. Standard_Cost'!$C$19))</f>
        <v>0</v>
      </c>
      <c r="Z287" s="174"/>
      <c r="AA287" s="174"/>
      <c r="AB287" s="127">
        <f>+Z287*'1. Standard_Cost'!$B$23+AA287*'1. Standard_Cost'!$C$23</f>
        <v>0</v>
      </c>
      <c r="AC287" s="176"/>
      <c r="AD287" s="177"/>
      <c r="AE287" s="127">
        <f>SUM(AD287,AC287,AB287,Y287,U287,T287,S287,R287)*'1. Standard_Cost'!$B$31</f>
        <v>0</v>
      </c>
      <c r="AF287" s="127">
        <f>SUM(AE287,AD287,AC287,AB287,Y287,U287,T287,S287,R287)</f>
        <v>0</v>
      </c>
      <c r="AG287" s="174"/>
      <c r="AH287" s="174"/>
      <c r="AI287" s="174"/>
      <c r="AJ287" s="178"/>
      <c r="AK287" s="178"/>
      <c r="AL287" s="178"/>
      <c r="AM287" s="127">
        <f>AG287*'1. Standard_Cost'!$B$27+'Incremental_Cost Year 6'!AH287*'1. Standard_Cost'!$C$27+'Incremental_Cost Year 6'!AI287*'1. Standard_Cost'!$D$27+'Incremental_Cost Year 6'!AJ287+'Incremental_Cost Year 6'!AL287+AK287</f>
        <v>0</v>
      </c>
      <c r="AN287" s="127">
        <f>AM287*'1. Standard_Cost'!$C$31</f>
        <v>0</v>
      </c>
      <c r="AO287" s="178"/>
      <c r="AP287" s="256"/>
      <c r="AQ287" s="171">
        <f>L287+M287</f>
        <v>0</v>
      </c>
      <c r="AR287" s="171">
        <f>AF287</f>
        <v>0</v>
      </c>
      <c r="AS287" s="171">
        <f>AM287+AN287</f>
        <v>0</v>
      </c>
      <c r="AT287" s="171">
        <f>SUM(AQ287,AR287,AS287)</f>
        <v>0</v>
      </c>
      <c r="AU287" s="250">
        <f>AT287</f>
        <v>0</v>
      </c>
      <c r="AV287" s="250"/>
      <c r="AW287" s="250"/>
      <c r="AX287" s="250"/>
      <c r="AY287" s="250"/>
      <c r="AZ287" s="250"/>
      <c r="BA287" s="250"/>
      <c r="BB287" s="251">
        <f t="shared" si="192"/>
        <v>0</v>
      </c>
      <c r="BC287" s="169"/>
      <c r="BD287" s="169"/>
      <c r="BE287" s="169"/>
      <c r="BF287" s="169"/>
    </row>
    <row r="288" spans="1:58" ht="110.25" x14ac:dyDescent="0.25">
      <c r="A288" s="172"/>
      <c r="B288" s="360"/>
      <c r="C288" s="362"/>
      <c r="D288" s="344"/>
      <c r="E288" s="328"/>
      <c r="F288" s="328"/>
      <c r="G288" s="328"/>
      <c r="H288" s="213" t="s">
        <v>368</v>
      </c>
      <c r="I288" s="178"/>
      <c r="J288" s="174"/>
      <c r="K288" s="174"/>
      <c r="L288" s="125" t="str">
        <f>IF(I288&lt;&gt;0,((VLOOKUP(I288,'1. Standard_Cost'!$B$4:$D$11,2)+VLOOKUP(I288,'1. Standard_Cost'!$B$4:$D$11,3))*J288*K288),"0")</f>
        <v>0</v>
      </c>
      <c r="M288" s="125">
        <f>L288*'1. Standard_Cost'!$F$4</f>
        <v>0</v>
      </c>
      <c r="N288" s="174"/>
      <c r="O288" s="174"/>
      <c r="P288" s="174"/>
      <c r="Q288" s="174"/>
      <c r="R288" s="127">
        <f>'1. Standard_Cost'!$B$15*N288*P288</f>
        <v>0</v>
      </c>
      <c r="S288" s="127">
        <f>N288*O288*P288*'1. Standard_Cost'!$C$15</f>
        <v>0</v>
      </c>
      <c r="T288" s="127">
        <f>N288*P288*Q288*'1. Standard_Cost'!$D$15</f>
        <v>0</v>
      </c>
      <c r="U288" s="127">
        <f>N288*O288*'1. Standard_Cost'!$E$15</f>
        <v>0</v>
      </c>
      <c r="V288" s="174"/>
      <c r="W288" s="174"/>
      <c r="X288" s="174"/>
      <c r="Y288" s="127">
        <f>+V288*((X288*'1. Standard_Cost'!$B$19)+(W288*X288*'1. Standard_Cost'!$C$19))</f>
        <v>0</v>
      </c>
      <c r="Z288" s="174"/>
      <c r="AA288" s="174"/>
      <c r="AB288" s="127">
        <f>+Z288*'1. Standard_Cost'!$B$23+AA288*'1. Standard_Cost'!$C$23</f>
        <v>0</v>
      </c>
      <c r="AC288" s="176"/>
      <c r="AD288" s="177"/>
      <c r="AE288" s="127">
        <f>SUM(AD288,AC288,AB288,Y288,U288,T288,S288,R288)*'1. Standard_Cost'!$B$31</f>
        <v>0</v>
      </c>
      <c r="AF288" s="127">
        <f>SUM(AE288,AD288,AC288,AB288,Y288,U288,T288,S288,R288)</f>
        <v>0</v>
      </c>
      <c r="AG288" s="174"/>
      <c r="AH288" s="174"/>
      <c r="AI288" s="174"/>
      <c r="AJ288" s="178"/>
      <c r="AK288" s="178"/>
      <c r="AL288" s="178"/>
      <c r="AM288" s="127">
        <f>AG288*'1. Standard_Cost'!$B$27+'Incremental_Cost Year 6'!AH288*'1. Standard_Cost'!$C$27+'Incremental_Cost Year 6'!AI288*'1. Standard_Cost'!$D$27+'Incremental_Cost Year 6'!AJ288+'Incremental_Cost Year 6'!AL288+AK288</f>
        <v>0</v>
      </c>
      <c r="AN288" s="127">
        <f>AM288*'1. Standard_Cost'!$C$31</f>
        <v>0</v>
      </c>
      <c r="AO288" s="178"/>
      <c r="AP288" s="256"/>
      <c r="AQ288" s="171">
        <f>L288+M288</f>
        <v>0</v>
      </c>
      <c r="AR288" s="171">
        <f>AF288</f>
        <v>0</v>
      </c>
      <c r="AS288" s="171">
        <f>AM288+AN288</f>
        <v>0</v>
      </c>
      <c r="AT288" s="171">
        <f>SUM(AQ288,AR288,AS288)</f>
        <v>0</v>
      </c>
      <c r="AU288" s="250">
        <f>AT288</f>
        <v>0</v>
      </c>
      <c r="AV288" s="250"/>
      <c r="AW288" s="250"/>
      <c r="AX288" s="250"/>
      <c r="AY288" s="250"/>
      <c r="AZ288" s="250"/>
      <c r="BA288" s="250"/>
      <c r="BB288" s="251">
        <f t="shared" si="192"/>
        <v>0</v>
      </c>
      <c r="BC288" s="169"/>
      <c r="BD288" s="169"/>
      <c r="BE288" s="169"/>
      <c r="BF288" s="169"/>
    </row>
    <row r="289" spans="1:54" ht="31.5" x14ac:dyDescent="0.25">
      <c r="A289" s="167"/>
      <c r="B289" s="168"/>
      <c r="C289" s="204"/>
      <c r="D289" s="212" t="s">
        <v>388</v>
      </c>
      <c r="E289" s="212" t="s">
        <v>359</v>
      </c>
      <c r="F289" s="212">
        <v>2021</v>
      </c>
      <c r="G289" s="212">
        <v>2023</v>
      </c>
      <c r="H289" s="182" t="s">
        <v>360</v>
      </c>
      <c r="I289" s="273"/>
      <c r="J289" s="273"/>
      <c r="K289" s="273"/>
      <c r="L289" s="175">
        <f>SUM(L285:L288)</f>
        <v>0</v>
      </c>
      <c r="M289" s="175">
        <f>SUM(M285:M288)</f>
        <v>0</v>
      </c>
      <c r="N289" s="273"/>
      <c r="O289" s="273"/>
      <c r="P289" s="273"/>
      <c r="Q289" s="273"/>
      <c r="R289" s="175">
        <f>SUM(R285:R288)</f>
        <v>0</v>
      </c>
      <c r="S289" s="175">
        <f>SUM(S285:S288)</f>
        <v>0</v>
      </c>
      <c r="T289" s="175">
        <f>SUM(T285:T288)</f>
        <v>0</v>
      </c>
      <c r="U289" s="175">
        <f>SUM(U285:U288)</f>
        <v>0</v>
      </c>
      <c r="V289" s="273"/>
      <c r="W289" s="273"/>
      <c r="X289" s="273"/>
      <c r="Y289" s="175">
        <f>SUM(Y285:Y288)</f>
        <v>0</v>
      </c>
      <c r="Z289" s="175"/>
      <c r="AA289" s="273"/>
      <c r="AB289" s="175">
        <f>SUM(AB285:AB288)</f>
        <v>0</v>
      </c>
      <c r="AC289" s="175">
        <f>SUM(AC285:AC287)</f>
        <v>0</v>
      </c>
      <c r="AD289" s="175">
        <f>SUM(AD285:AD287)</f>
        <v>0</v>
      </c>
      <c r="AE289" s="175">
        <f>SUM(AE285:AE288)</f>
        <v>0</v>
      </c>
      <c r="AF289" s="175">
        <f>SUM(AF285:AF288)</f>
        <v>0</v>
      </c>
      <c r="AG289" s="273"/>
      <c r="AH289" s="273"/>
      <c r="AI289" s="273"/>
      <c r="AJ289" s="175">
        <f>SUM(AJ285:AJ287)</f>
        <v>0</v>
      </c>
      <c r="AK289" s="175">
        <f>SUM(AK285:AK287)</f>
        <v>0</v>
      </c>
      <c r="AL289" s="175">
        <f>SUM(AL285:AL287)</f>
        <v>0</v>
      </c>
      <c r="AM289" s="175">
        <f>SUM(AM285:AM288)</f>
        <v>0</v>
      </c>
      <c r="AN289" s="175">
        <f>SUM(AN285:AN288)</f>
        <v>0</v>
      </c>
      <c r="AO289" s="274"/>
      <c r="AP289" s="254"/>
      <c r="AQ289" s="175">
        <f t="shared" ref="AQ289:AT289" si="193">SUM(AQ285:AQ288)</f>
        <v>0</v>
      </c>
      <c r="AR289" s="175">
        <f t="shared" si="193"/>
        <v>0</v>
      </c>
      <c r="AS289" s="175">
        <f t="shared" si="193"/>
        <v>0</v>
      </c>
      <c r="AT289" s="175">
        <f t="shared" si="193"/>
        <v>0</v>
      </c>
      <c r="AU289" s="175">
        <f t="shared" ref="AU289:BB289" si="194">SUM(AU285:AU288)</f>
        <v>0</v>
      </c>
      <c r="AV289" s="175">
        <f t="shared" si="194"/>
        <v>0</v>
      </c>
      <c r="AW289" s="175">
        <f t="shared" si="194"/>
        <v>0</v>
      </c>
      <c r="AX289" s="175">
        <f t="shared" si="194"/>
        <v>0</v>
      </c>
      <c r="AY289" s="175">
        <f t="shared" si="194"/>
        <v>0</v>
      </c>
      <c r="AZ289" s="175">
        <f t="shared" si="194"/>
        <v>0</v>
      </c>
      <c r="BA289" s="175">
        <f t="shared" si="194"/>
        <v>0</v>
      </c>
      <c r="BB289" s="175">
        <f t="shared" si="194"/>
        <v>0</v>
      </c>
    </row>
    <row r="292" spans="1:54" x14ac:dyDescent="0.25">
      <c r="AQ292" s="239">
        <f>AQ5+AQ78+AQ150+AQ197+AQ244</f>
        <v>16411442579.267141</v>
      </c>
      <c r="AR292" s="239">
        <f t="shared" ref="AR292:BB292" si="195">AR5+AR78+AR150+AR197+AR244</f>
        <v>35070555135.800003</v>
      </c>
      <c r="AS292" s="239">
        <f t="shared" si="195"/>
        <v>515000000</v>
      </c>
      <c r="AT292" s="239">
        <f t="shared" si="195"/>
        <v>51996997715.067146</v>
      </c>
      <c r="AU292" s="239">
        <f t="shared" si="195"/>
        <v>48982857715.422859</v>
      </c>
      <c r="AV292" s="239">
        <f t="shared" si="195"/>
        <v>0</v>
      </c>
      <c r="AW292" s="239">
        <f t="shared" si="195"/>
        <v>0</v>
      </c>
      <c r="AX292" s="239">
        <f t="shared" si="195"/>
        <v>0</v>
      </c>
      <c r="AY292" s="239">
        <f t="shared" si="195"/>
        <v>2346000</v>
      </c>
      <c r="AZ292" s="239">
        <f t="shared" si="195"/>
        <v>0</v>
      </c>
      <c r="BA292" s="239">
        <f t="shared" si="195"/>
        <v>0</v>
      </c>
      <c r="BB292" s="239">
        <f t="shared" si="195"/>
        <v>-3011793999.6442857</v>
      </c>
    </row>
  </sheetData>
  <mergeCells count="38">
    <mergeCell ref="C277:E277"/>
    <mergeCell ref="C284:E284"/>
    <mergeCell ref="B1:H1"/>
    <mergeCell ref="C238:E238"/>
    <mergeCell ref="B244:E244"/>
    <mergeCell ref="C245:E245"/>
    <mergeCell ref="C259:E259"/>
    <mergeCell ref="C269:E269"/>
    <mergeCell ref="C198:E198"/>
    <mergeCell ref="C213:E213"/>
    <mergeCell ref="C221:E221"/>
    <mergeCell ref="C226:E226"/>
    <mergeCell ref="C232:E232"/>
    <mergeCell ref="B150:E150"/>
    <mergeCell ref="C151:E151"/>
    <mergeCell ref="C163:E163"/>
    <mergeCell ref="C182:E182"/>
    <mergeCell ref="B197:E197"/>
    <mergeCell ref="C111:E111"/>
    <mergeCell ref="C118:E118"/>
    <mergeCell ref="C123:E123"/>
    <mergeCell ref="C134:E134"/>
    <mergeCell ref="C140:E140"/>
    <mergeCell ref="B78:E78"/>
    <mergeCell ref="C79:E79"/>
    <mergeCell ref="C93:E93"/>
    <mergeCell ref="C100:E100"/>
    <mergeCell ref="C106:E106"/>
    <mergeCell ref="C16:E16"/>
    <mergeCell ref="C20:E20"/>
    <mergeCell ref="C40:E40"/>
    <mergeCell ref="C45:E45"/>
    <mergeCell ref="C61:E61"/>
    <mergeCell ref="AQ2:BB2"/>
    <mergeCell ref="B2:E2"/>
    <mergeCell ref="B3:E3"/>
    <mergeCell ref="B5:E5"/>
    <mergeCell ref="C6:E6"/>
  </mergeCells>
  <conditionalFormatting sqref="BB203 BB220:BB221 BB235:BB243 BB231:BB233 BB212:BB213 BB225:BB226">
    <cfRule type="cellIs" dxfId="23269" priority="2907" operator="lessThan">
      <formula>0</formula>
    </cfRule>
    <cfRule type="cellIs" dxfId="23268" priority="2908" operator="lessThan">
      <formula>-105575</formula>
    </cfRule>
  </conditionalFormatting>
  <conditionalFormatting sqref="BB220 BB212:BB213 BB235:BB238 BB240:BB243 BB225:BB226 BB231:BB233">
    <cfRule type="cellIs" dxfId="23267" priority="2905" operator="lessThan">
      <formula>0</formula>
    </cfRule>
    <cfRule type="cellIs" dxfId="23266" priority="2906" operator="lessThan">
      <formula>-105575</formula>
    </cfRule>
  </conditionalFormatting>
  <conditionalFormatting sqref="BB220:BB221 BB243 BB226 BB231:BB236 BB238:BB241 BB203 BB213">
    <cfRule type="cellIs" dxfId="23265" priority="2903" operator="lessThan">
      <formula>0</formula>
    </cfRule>
    <cfRule type="cellIs" dxfId="23264" priority="2904" operator="lessThan">
      <formula>-105575</formula>
    </cfRule>
  </conditionalFormatting>
  <conditionalFormatting sqref="BB235:BB243 BB231:BB233 BB220 BB212:BB213 BB225:BB226">
    <cfRule type="cellIs" dxfId="23263" priority="2901" operator="lessThan">
      <formula>0</formula>
    </cfRule>
    <cfRule type="cellIs" dxfId="23262" priority="2902" operator="lessThan">
      <formula>-105575</formula>
    </cfRule>
  </conditionalFormatting>
  <conditionalFormatting sqref="BB220:BB221 BB237:BB243 BB203 BB231:BB235 BB212:BB213 BB225:BB226">
    <cfRule type="cellIs" dxfId="23261" priority="2899" operator="lessThan">
      <formula>0</formula>
    </cfRule>
    <cfRule type="cellIs" dxfId="23260" priority="2900" operator="lessThan">
      <formula>-105575</formula>
    </cfRule>
  </conditionalFormatting>
  <conditionalFormatting sqref="BB220:BB221 BB237:BB240 BB242:BB243 BB225:BB226 BB231:BB235">
    <cfRule type="cellIs" dxfId="23259" priority="2897" operator="lessThan">
      <formula>0</formula>
    </cfRule>
    <cfRule type="cellIs" dxfId="23258" priority="2898" operator="lessThan">
      <formula>-105575</formula>
    </cfRule>
  </conditionalFormatting>
  <conditionalFormatting sqref="BB212 BB231 BB233:BB238 BB240:BB243 BB225">
    <cfRule type="cellIs" dxfId="23257" priority="2895" operator="lessThan">
      <formula>0</formula>
    </cfRule>
    <cfRule type="cellIs" dxfId="23256" priority="2896" operator="lessThan">
      <formula>-105575</formula>
    </cfRule>
  </conditionalFormatting>
  <conditionalFormatting sqref="BB237:BB243 BB231:BB235 BB220:BB221 BB225:BB226">
    <cfRule type="cellIs" dxfId="23255" priority="2893" operator="lessThan">
      <formula>0</formula>
    </cfRule>
    <cfRule type="cellIs" dxfId="23254" priority="2894" operator="lessThan">
      <formula>-105575</formula>
    </cfRule>
  </conditionalFormatting>
  <conditionalFormatting sqref="BB233:BB237 BB231 BB239:BB243">
    <cfRule type="cellIs" dxfId="23253" priority="2891" operator="lessThan">
      <formula>0</formula>
    </cfRule>
    <cfRule type="cellIs" dxfId="23252" priority="2892" operator="lessThan">
      <formula>-105575</formula>
    </cfRule>
  </conditionalFormatting>
  <conditionalFormatting sqref="BB233:BB237 BB231 BB239:BB243">
    <cfRule type="cellIs" dxfId="23251" priority="2889" operator="lessThan">
      <formula>0</formula>
    </cfRule>
    <cfRule type="cellIs" dxfId="23250" priority="2890" operator="lessThan">
      <formula>-105575</formula>
    </cfRule>
  </conditionalFormatting>
  <conditionalFormatting sqref="BB119:BB128 BB106:BB117 BB101:BB104 BB80:BB98">
    <cfRule type="cellIs" dxfId="23249" priority="2887" operator="lessThan">
      <formula>0</formula>
    </cfRule>
    <cfRule type="cellIs" dxfId="23248" priority="2888" operator="lessThan">
      <formula>-105575</formula>
    </cfRule>
  </conditionalFormatting>
  <conditionalFormatting sqref="BB130 BB132 BB134">
    <cfRule type="cellIs" dxfId="23247" priority="2885" operator="lessThan">
      <formula>0</formula>
    </cfRule>
    <cfRule type="cellIs" dxfId="23246" priority="2886" operator="lessThan">
      <formula>-105575</formula>
    </cfRule>
  </conditionalFormatting>
  <conditionalFormatting sqref="BB130 BB132 BB134">
    <cfRule type="cellIs" dxfId="23245" priority="2883" operator="lessThan">
      <formula>0</formula>
    </cfRule>
    <cfRule type="cellIs" dxfId="23244" priority="2884" operator="lessThan">
      <formula>-105575</formula>
    </cfRule>
  </conditionalFormatting>
  <conditionalFormatting sqref="BB129 BB131 BB133 BB135">
    <cfRule type="cellIs" dxfId="23243" priority="2881" operator="lessThan">
      <formula>0</formula>
    </cfRule>
    <cfRule type="cellIs" dxfId="23242" priority="2882" operator="lessThan">
      <formula>-105575</formula>
    </cfRule>
  </conditionalFormatting>
  <conditionalFormatting sqref="BB140 BB145 BB142:BB143 BB137:BB138">
    <cfRule type="cellIs" dxfId="23241" priority="2871" operator="lessThan">
      <formula>0</formula>
    </cfRule>
    <cfRule type="cellIs" dxfId="23240" priority="2872" operator="lessThan">
      <formula>-105575</formula>
    </cfRule>
  </conditionalFormatting>
  <conditionalFormatting sqref="BB149">
    <cfRule type="cellIs" dxfId="23239" priority="2867" operator="lessThan">
      <formula>0</formula>
    </cfRule>
    <cfRule type="cellIs" dxfId="23238" priority="2868" operator="lessThan">
      <formula>-105575</formula>
    </cfRule>
  </conditionalFormatting>
  <conditionalFormatting sqref="BB129:BB138 BB140:BB149">
    <cfRule type="cellIs" dxfId="23237" priority="2865" operator="lessThan">
      <formula>0</formula>
    </cfRule>
    <cfRule type="cellIs" dxfId="23236" priority="2866" operator="lessThan">
      <formula>-105575</formula>
    </cfRule>
  </conditionalFormatting>
  <conditionalFormatting sqref="BB94:BB98 BB86:BB87 BB89:BB91 BB141:BB149 BB124:BB133 BB107:BB110 BB112:BB117 BB119:BB122 BB135:BB138 BB101:BB104 BB80:BB84">
    <cfRule type="cellIs" dxfId="23235" priority="2861" operator="lessThan">
      <formula>0</formula>
    </cfRule>
    <cfRule type="cellIs" dxfId="23234" priority="2862" operator="lessThan">
      <formula>-105575</formula>
    </cfRule>
  </conditionalFormatting>
  <conditionalFormatting sqref="BB129 BB131 BB133 BB135">
    <cfRule type="cellIs" dxfId="23233" priority="2879" operator="lessThan">
      <formula>0</formula>
    </cfRule>
    <cfRule type="cellIs" dxfId="23232" priority="2880" operator="lessThan">
      <formula>-105575</formula>
    </cfRule>
  </conditionalFormatting>
  <conditionalFormatting sqref="BB146 BB144 BB141">
    <cfRule type="cellIs" dxfId="23231" priority="2877" operator="lessThan">
      <formula>0</formula>
    </cfRule>
    <cfRule type="cellIs" dxfId="23230" priority="2878" operator="lessThan">
      <formula>-105575</formula>
    </cfRule>
  </conditionalFormatting>
  <conditionalFormatting sqref="BB146 BB144 BB141">
    <cfRule type="cellIs" dxfId="23229" priority="2875" operator="lessThan">
      <formula>0</formula>
    </cfRule>
    <cfRule type="cellIs" dxfId="23228" priority="2876" operator="lessThan">
      <formula>-105575</formula>
    </cfRule>
  </conditionalFormatting>
  <conditionalFormatting sqref="BB140 BB145 BB142:BB143 BB137:BB138">
    <cfRule type="cellIs" dxfId="23227" priority="2873" operator="lessThan">
      <formula>0</formula>
    </cfRule>
    <cfRule type="cellIs" dxfId="23226" priority="2874" operator="lessThan">
      <formula>-105575</formula>
    </cfRule>
  </conditionalFormatting>
  <conditionalFormatting sqref="BB149">
    <cfRule type="cellIs" dxfId="23225" priority="2869" operator="lessThan">
      <formula>0</formula>
    </cfRule>
    <cfRule type="cellIs" dxfId="23224" priority="2870" operator="lessThan">
      <formula>-105575</formula>
    </cfRule>
  </conditionalFormatting>
  <conditionalFormatting sqref="BB94:BB98 BB86:BB87 BB89:BB91 BB141:BB149 BB124:BB133 BB107:BB110 BB112:BB117 BB119:BB122 BB135:BB138 BB101:BB104 BB80:BB84">
    <cfRule type="cellIs" dxfId="23223" priority="2863" operator="lessThan">
      <formula>0</formula>
    </cfRule>
    <cfRule type="cellIs" dxfId="23222" priority="2864" operator="lessThan">
      <formula>-105575</formula>
    </cfRule>
  </conditionalFormatting>
  <conditionalFormatting sqref="BB246:BB249 BB262 BB267 BB279:BB282 BB285:BB288 BB274:BB275 BB306:BB309 BB311:BB325 BB327:BB330 BB332:BB341 BB344:BB347 BB349:BB353 BB355:BB358 BB360:BB384 BB386:BB389 BB392:BB395 BB397:BB411 BB413:BB416 BB418:BB432 BB434:BB437 BB439:BB453 BB455:BB458 BB460:BB469 BB7:BB10 BB12:BB14 BB17:BB18 BB21:BB24 BB26:BB28 BB30:BB36 BB38 BB41:BB43 BB46:BB49 BB51:BB55 BB57:BB59 BB62:BB76 BB251:BB253 BB255:BB257 BB293:BB304 BB264:BB265 BB260 BB290:BB291 BB270:BB272">
    <cfRule type="cellIs" dxfId="23221" priority="2911" operator="lessThan">
      <formula>0</formula>
    </cfRule>
    <cfRule type="cellIs" dxfId="23220" priority="2912" operator="lessThan">
      <formula>-105575</formula>
    </cfRule>
  </conditionalFormatting>
  <conditionalFormatting sqref="BB41">
    <cfRule type="cellIs" dxfId="23219" priority="2909" operator="lessThan">
      <formula>0</formula>
    </cfRule>
    <cfRule type="cellIs" dxfId="23218" priority="2910" operator="lessThan">
      <formula>-105575</formula>
    </cfRule>
  </conditionalFormatting>
  <conditionalFormatting sqref="BB152:BB155">
    <cfRule type="cellIs" dxfId="23217" priority="2859" operator="lessThan">
      <formula>0</formula>
    </cfRule>
    <cfRule type="cellIs" dxfId="23216" priority="2860" operator="lessThan">
      <formula>-105575</formula>
    </cfRule>
  </conditionalFormatting>
  <conditionalFormatting sqref="BB152:BB155">
    <cfRule type="cellIs" dxfId="23215" priority="2855" operator="lessThan">
      <formula>0</formula>
    </cfRule>
    <cfRule type="cellIs" dxfId="23214" priority="2856" operator="lessThan">
      <formula>-105575</formula>
    </cfRule>
  </conditionalFormatting>
  <conditionalFormatting sqref="BB152:BB155">
    <cfRule type="cellIs" dxfId="23213" priority="2857" operator="lessThan">
      <formula>0</formula>
    </cfRule>
    <cfRule type="cellIs" dxfId="23212" priority="2858" operator="lessThan">
      <formula>-105575</formula>
    </cfRule>
  </conditionalFormatting>
  <conditionalFormatting sqref="BB157:BB158">
    <cfRule type="cellIs" dxfId="23211" priority="2853" operator="lessThan">
      <formula>0</formula>
    </cfRule>
    <cfRule type="cellIs" dxfId="23210" priority="2854" operator="lessThan">
      <formula>-105575</formula>
    </cfRule>
  </conditionalFormatting>
  <conditionalFormatting sqref="BB157:BB158">
    <cfRule type="cellIs" dxfId="23209" priority="2849" operator="lessThan">
      <formula>0</formula>
    </cfRule>
    <cfRule type="cellIs" dxfId="23208" priority="2850" operator="lessThan">
      <formula>-105575</formula>
    </cfRule>
  </conditionalFormatting>
  <conditionalFormatting sqref="BB157:BB158">
    <cfRule type="cellIs" dxfId="23207" priority="2851" operator="lessThan">
      <formula>0</formula>
    </cfRule>
    <cfRule type="cellIs" dxfId="23206" priority="2852" operator="lessThan">
      <formula>-105575</formula>
    </cfRule>
  </conditionalFormatting>
  <conditionalFormatting sqref="BB160:BB161">
    <cfRule type="cellIs" dxfId="23205" priority="2847" operator="lessThan">
      <formula>0</formula>
    </cfRule>
    <cfRule type="cellIs" dxfId="23204" priority="2848" operator="lessThan">
      <formula>-105575</formula>
    </cfRule>
  </conditionalFormatting>
  <conditionalFormatting sqref="BB160:BB161">
    <cfRule type="cellIs" dxfId="23203" priority="2843" operator="lessThan">
      <formula>0</formula>
    </cfRule>
    <cfRule type="cellIs" dxfId="23202" priority="2844" operator="lessThan">
      <formula>-105575</formula>
    </cfRule>
  </conditionalFormatting>
  <conditionalFormatting sqref="BB160:BB161">
    <cfRule type="cellIs" dxfId="23201" priority="2845" operator="lessThan">
      <formula>0</formula>
    </cfRule>
    <cfRule type="cellIs" dxfId="23200" priority="2846" operator="lessThan">
      <formula>-105575</formula>
    </cfRule>
  </conditionalFormatting>
  <conditionalFormatting sqref="BB164:BB167">
    <cfRule type="cellIs" dxfId="23199" priority="2841" operator="lessThan">
      <formula>0</formula>
    </cfRule>
    <cfRule type="cellIs" dxfId="23198" priority="2842" operator="lessThan">
      <formula>-105575</formula>
    </cfRule>
  </conditionalFormatting>
  <conditionalFormatting sqref="BB164:BB167">
    <cfRule type="cellIs" dxfId="23197" priority="2837" operator="lessThan">
      <formula>0</formula>
    </cfRule>
    <cfRule type="cellIs" dxfId="23196" priority="2838" operator="lessThan">
      <formula>-105575</formula>
    </cfRule>
  </conditionalFormatting>
  <conditionalFormatting sqref="BB164:BB167">
    <cfRule type="cellIs" dxfId="23195" priority="2839" operator="lessThan">
      <formula>0</formula>
    </cfRule>
    <cfRule type="cellIs" dxfId="23194" priority="2840" operator="lessThan">
      <formula>-105575</formula>
    </cfRule>
  </conditionalFormatting>
  <conditionalFormatting sqref="BB169:BB177">
    <cfRule type="cellIs" dxfId="23193" priority="2835" operator="lessThan">
      <formula>0</formula>
    </cfRule>
    <cfRule type="cellIs" dxfId="23192" priority="2836" operator="lessThan">
      <formula>-105575</formula>
    </cfRule>
  </conditionalFormatting>
  <conditionalFormatting sqref="BB169:BB177">
    <cfRule type="cellIs" dxfId="23191" priority="2831" operator="lessThan">
      <formula>0</formula>
    </cfRule>
    <cfRule type="cellIs" dxfId="23190" priority="2832" operator="lessThan">
      <formula>-105575</formula>
    </cfRule>
  </conditionalFormatting>
  <conditionalFormatting sqref="BB169:BB177">
    <cfRule type="cellIs" dxfId="23189" priority="2833" operator="lessThan">
      <formula>0</formula>
    </cfRule>
    <cfRule type="cellIs" dxfId="23188" priority="2834" operator="lessThan">
      <formula>-105575</formula>
    </cfRule>
  </conditionalFormatting>
  <conditionalFormatting sqref="BB179:BB180">
    <cfRule type="cellIs" dxfId="23187" priority="2829" operator="lessThan">
      <formula>0</formula>
    </cfRule>
    <cfRule type="cellIs" dxfId="23186" priority="2830" operator="lessThan">
      <formula>-105575</formula>
    </cfRule>
  </conditionalFormatting>
  <conditionalFormatting sqref="BB179:BB180">
    <cfRule type="cellIs" dxfId="23185" priority="2825" operator="lessThan">
      <formula>0</formula>
    </cfRule>
    <cfRule type="cellIs" dxfId="23184" priority="2826" operator="lessThan">
      <formula>-105575</formula>
    </cfRule>
  </conditionalFormatting>
  <conditionalFormatting sqref="BB179:BB180">
    <cfRule type="cellIs" dxfId="23183" priority="2827" operator="lessThan">
      <formula>0</formula>
    </cfRule>
    <cfRule type="cellIs" dxfId="23182" priority="2828" operator="lessThan">
      <formula>-105575</formula>
    </cfRule>
  </conditionalFormatting>
  <conditionalFormatting sqref="BB183:BB189">
    <cfRule type="cellIs" dxfId="23181" priority="2823" operator="lessThan">
      <formula>0</formula>
    </cfRule>
    <cfRule type="cellIs" dxfId="23180" priority="2824" operator="lessThan">
      <formula>-105575</formula>
    </cfRule>
  </conditionalFormatting>
  <conditionalFormatting sqref="BB183:BB189">
    <cfRule type="cellIs" dxfId="23179" priority="2819" operator="lessThan">
      <formula>0</formula>
    </cfRule>
    <cfRule type="cellIs" dxfId="23178" priority="2820" operator="lessThan">
      <formula>-105575</formula>
    </cfRule>
  </conditionalFormatting>
  <conditionalFormatting sqref="BB183:BB189">
    <cfRule type="cellIs" dxfId="23177" priority="2821" operator="lessThan">
      <formula>0</formula>
    </cfRule>
    <cfRule type="cellIs" dxfId="23176" priority="2822" operator="lessThan">
      <formula>-105575</formula>
    </cfRule>
  </conditionalFormatting>
  <conditionalFormatting sqref="BB191:BB192">
    <cfRule type="cellIs" dxfId="23175" priority="2817" operator="lessThan">
      <formula>0</formula>
    </cfRule>
    <cfRule type="cellIs" dxfId="23174" priority="2818" operator="lessThan">
      <formula>-105575</formula>
    </cfRule>
  </conditionalFormatting>
  <conditionalFormatting sqref="BB191:BB192">
    <cfRule type="cellIs" dxfId="23173" priority="2813" operator="lessThan">
      <formula>0</formula>
    </cfRule>
    <cfRule type="cellIs" dxfId="23172" priority="2814" operator="lessThan">
      <formula>-105575</formula>
    </cfRule>
  </conditionalFormatting>
  <conditionalFormatting sqref="BB191:BB192">
    <cfRule type="cellIs" dxfId="23171" priority="2815" operator="lessThan">
      <formula>0</formula>
    </cfRule>
    <cfRule type="cellIs" dxfId="23170" priority="2816" operator="lessThan">
      <formula>-105575</formula>
    </cfRule>
  </conditionalFormatting>
  <conditionalFormatting sqref="BB194:BB195">
    <cfRule type="cellIs" dxfId="23169" priority="2811" operator="lessThan">
      <formula>0</formula>
    </cfRule>
    <cfRule type="cellIs" dxfId="23168" priority="2812" operator="lessThan">
      <formula>-105575</formula>
    </cfRule>
  </conditionalFormatting>
  <conditionalFormatting sqref="BB194:BB195">
    <cfRule type="cellIs" dxfId="23167" priority="2807" operator="lessThan">
      <formula>0</formula>
    </cfRule>
    <cfRule type="cellIs" dxfId="23166" priority="2808" operator="lessThan">
      <formula>-105575</formula>
    </cfRule>
  </conditionalFormatting>
  <conditionalFormatting sqref="BB194:BB195">
    <cfRule type="cellIs" dxfId="23165" priority="2809" operator="lessThan">
      <formula>0</formula>
    </cfRule>
    <cfRule type="cellIs" dxfId="23164" priority="2810" operator="lessThan">
      <formula>-105575</formula>
    </cfRule>
  </conditionalFormatting>
  <conditionalFormatting sqref="BB199:BB202">
    <cfRule type="cellIs" dxfId="23163" priority="2805" operator="lessThan">
      <formula>0</formula>
    </cfRule>
    <cfRule type="cellIs" dxfId="23162" priority="2806" operator="lessThan">
      <formula>-105575</formula>
    </cfRule>
  </conditionalFormatting>
  <conditionalFormatting sqref="BB199:BB202">
    <cfRule type="cellIs" dxfId="23161" priority="2801" operator="lessThan">
      <formula>0</formula>
    </cfRule>
    <cfRule type="cellIs" dxfId="23160" priority="2802" operator="lessThan">
      <formula>-105575</formula>
    </cfRule>
  </conditionalFormatting>
  <conditionalFormatting sqref="BB199:BB202">
    <cfRule type="cellIs" dxfId="23159" priority="2803" operator="lessThan">
      <formula>0</formula>
    </cfRule>
    <cfRule type="cellIs" dxfId="23158" priority="2804" operator="lessThan">
      <formula>-105575</formula>
    </cfRule>
  </conditionalFormatting>
  <conditionalFormatting sqref="BB204:BB208">
    <cfRule type="cellIs" dxfId="23157" priority="2799" operator="lessThan">
      <formula>0</formula>
    </cfRule>
    <cfRule type="cellIs" dxfId="23156" priority="2800" operator="lessThan">
      <formula>-105575</formula>
    </cfRule>
  </conditionalFormatting>
  <conditionalFormatting sqref="BB204:BB208">
    <cfRule type="cellIs" dxfId="23155" priority="2795" operator="lessThan">
      <formula>0</formula>
    </cfRule>
    <cfRule type="cellIs" dxfId="23154" priority="2796" operator="lessThan">
      <formula>-105575</formula>
    </cfRule>
  </conditionalFormatting>
  <conditionalFormatting sqref="BB204:BB208">
    <cfRule type="cellIs" dxfId="23153" priority="2797" operator="lessThan">
      <formula>0</formula>
    </cfRule>
    <cfRule type="cellIs" dxfId="23152" priority="2798" operator="lessThan">
      <formula>-105575</formula>
    </cfRule>
  </conditionalFormatting>
  <conditionalFormatting sqref="BB210:BB211">
    <cfRule type="cellIs" dxfId="23151" priority="2793" operator="lessThan">
      <formula>0</formula>
    </cfRule>
    <cfRule type="cellIs" dxfId="23150" priority="2794" operator="lessThan">
      <formula>-105575</formula>
    </cfRule>
  </conditionalFormatting>
  <conditionalFormatting sqref="BB210:BB211">
    <cfRule type="cellIs" dxfId="23149" priority="2789" operator="lessThan">
      <formula>0</formula>
    </cfRule>
    <cfRule type="cellIs" dxfId="23148" priority="2790" operator="lessThan">
      <formula>-105575</formula>
    </cfRule>
  </conditionalFormatting>
  <conditionalFormatting sqref="BB210:BB211">
    <cfRule type="cellIs" dxfId="23147" priority="2791" operator="lessThan">
      <formula>0</formula>
    </cfRule>
    <cfRule type="cellIs" dxfId="23146" priority="2792" operator="lessThan">
      <formula>-105575</formula>
    </cfRule>
  </conditionalFormatting>
  <conditionalFormatting sqref="BB214:BB219">
    <cfRule type="cellIs" dxfId="23145" priority="2787" operator="lessThan">
      <formula>0</formula>
    </cfRule>
    <cfRule type="cellIs" dxfId="23144" priority="2788" operator="lessThan">
      <formula>-105575</formula>
    </cfRule>
  </conditionalFormatting>
  <conditionalFormatting sqref="BB214:BB219">
    <cfRule type="cellIs" dxfId="23143" priority="2783" operator="lessThan">
      <formula>0</formula>
    </cfRule>
    <cfRule type="cellIs" dxfId="23142" priority="2784" operator="lessThan">
      <formula>-105575</formula>
    </cfRule>
  </conditionalFormatting>
  <conditionalFormatting sqref="BB214:BB219">
    <cfRule type="cellIs" dxfId="23141" priority="2785" operator="lessThan">
      <formula>0</formula>
    </cfRule>
    <cfRule type="cellIs" dxfId="23140" priority="2786" operator="lessThan">
      <formula>-105575</formula>
    </cfRule>
  </conditionalFormatting>
  <conditionalFormatting sqref="BB222:BB224">
    <cfRule type="cellIs" dxfId="23139" priority="2781" operator="lessThan">
      <formula>0</formula>
    </cfRule>
    <cfRule type="cellIs" dxfId="23138" priority="2782" operator="lessThan">
      <formula>-105575</formula>
    </cfRule>
  </conditionalFormatting>
  <conditionalFormatting sqref="BB222:BB224">
    <cfRule type="cellIs" dxfId="23137" priority="2777" operator="lessThan">
      <formula>0</formula>
    </cfRule>
    <cfRule type="cellIs" dxfId="23136" priority="2778" operator="lessThan">
      <formula>-105575</formula>
    </cfRule>
  </conditionalFormatting>
  <conditionalFormatting sqref="BB222:BB224">
    <cfRule type="cellIs" dxfId="23135" priority="2779" operator="lessThan">
      <formula>0</formula>
    </cfRule>
    <cfRule type="cellIs" dxfId="23134" priority="2780" operator="lessThan">
      <formula>-105575</formula>
    </cfRule>
  </conditionalFormatting>
  <conditionalFormatting sqref="BB227:BB230">
    <cfRule type="cellIs" dxfId="23133" priority="2775" operator="lessThan">
      <formula>0</formula>
    </cfRule>
    <cfRule type="cellIs" dxfId="23132" priority="2776" operator="lessThan">
      <formula>-105575</formula>
    </cfRule>
  </conditionalFormatting>
  <conditionalFormatting sqref="BB227:BB230">
    <cfRule type="cellIs" dxfId="23131" priority="2771" operator="lessThan">
      <formula>0</formula>
    </cfRule>
    <cfRule type="cellIs" dxfId="23130" priority="2772" operator="lessThan">
      <formula>-105575</formula>
    </cfRule>
  </conditionalFormatting>
  <conditionalFormatting sqref="BB227:BB230">
    <cfRule type="cellIs" dxfId="23129" priority="2773" operator="lessThan">
      <formula>0</formula>
    </cfRule>
    <cfRule type="cellIs" dxfId="23128" priority="2774" operator="lessThan">
      <formula>-105575</formula>
    </cfRule>
  </conditionalFormatting>
  <conditionalFormatting sqref="BB203 BB220:BB221 BB235:BB243 BB231:BB233 BB212:BB213 BB225:BB226">
    <cfRule type="cellIs" dxfId="23127" priority="2769" operator="lessThan">
      <formula>0</formula>
    </cfRule>
    <cfRule type="cellIs" dxfId="23126" priority="2770" operator="lessThan">
      <formula>-105575</formula>
    </cfRule>
  </conditionalFormatting>
  <conditionalFormatting sqref="BB220 BB212:BB213 BB235:BB238 BB240:BB243 BB225:BB226 BB231:BB233">
    <cfRule type="cellIs" dxfId="23125" priority="2767" operator="lessThan">
      <formula>0</formula>
    </cfRule>
    <cfRule type="cellIs" dxfId="23124" priority="2768" operator="lessThan">
      <formula>-105575</formula>
    </cfRule>
  </conditionalFormatting>
  <conditionalFormatting sqref="BB220:BB221 BB243 BB226 BB231:BB236 BB238:BB241 BB203 BB213">
    <cfRule type="cellIs" dxfId="23123" priority="2765" operator="lessThan">
      <formula>0</formula>
    </cfRule>
    <cfRule type="cellIs" dxfId="23122" priority="2766" operator="lessThan">
      <formula>-105575</formula>
    </cfRule>
  </conditionalFormatting>
  <conditionalFormatting sqref="BB235:BB243 BB231:BB233 BB220 BB212:BB213 BB225:BB226">
    <cfRule type="cellIs" dxfId="23121" priority="2763" operator="lessThan">
      <formula>0</formula>
    </cfRule>
    <cfRule type="cellIs" dxfId="23120" priority="2764" operator="lessThan">
      <formula>-105575</formula>
    </cfRule>
  </conditionalFormatting>
  <conditionalFormatting sqref="BB220:BB221 BB237:BB243 BB203 BB231:BB235 BB212:BB213 BB225:BB226">
    <cfRule type="cellIs" dxfId="23119" priority="2761" operator="lessThan">
      <formula>0</formula>
    </cfRule>
    <cfRule type="cellIs" dxfId="23118" priority="2762" operator="lessThan">
      <formula>-105575</formula>
    </cfRule>
  </conditionalFormatting>
  <conditionalFormatting sqref="BB220:BB221 BB237:BB240 BB242:BB243 BB225:BB226 BB231:BB235">
    <cfRule type="cellIs" dxfId="23117" priority="2759" operator="lessThan">
      <formula>0</formula>
    </cfRule>
    <cfRule type="cellIs" dxfId="23116" priority="2760" operator="lessThan">
      <formula>-105575</formula>
    </cfRule>
  </conditionalFormatting>
  <conditionalFormatting sqref="BB212 BB231 BB233:BB238 BB240:BB243 BB225">
    <cfRule type="cellIs" dxfId="23115" priority="2757" operator="lessThan">
      <formula>0</formula>
    </cfRule>
    <cfRule type="cellIs" dxfId="23114" priority="2758" operator="lessThan">
      <formula>-105575</formula>
    </cfRule>
  </conditionalFormatting>
  <conditionalFormatting sqref="BB237:BB243 BB231:BB235 BB220:BB221 BB225:BB226">
    <cfRule type="cellIs" dxfId="23113" priority="2755" operator="lessThan">
      <formula>0</formula>
    </cfRule>
    <cfRule type="cellIs" dxfId="23112" priority="2756" operator="lessThan">
      <formula>-105575</formula>
    </cfRule>
  </conditionalFormatting>
  <conditionalFormatting sqref="BB233:BB237 BB231 BB239:BB243">
    <cfRule type="cellIs" dxfId="23111" priority="2753" operator="lessThan">
      <formula>0</formula>
    </cfRule>
    <cfRule type="cellIs" dxfId="23110" priority="2754" operator="lessThan">
      <formula>-105575</formula>
    </cfRule>
  </conditionalFormatting>
  <conditionalFormatting sqref="BB233:BB237 BB231 BB239:BB243">
    <cfRule type="cellIs" dxfId="23109" priority="2751" operator="lessThan">
      <formula>0</formula>
    </cfRule>
    <cfRule type="cellIs" dxfId="23108" priority="2752" operator="lessThan">
      <formula>-105575</formula>
    </cfRule>
  </conditionalFormatting>
  <conditionalFormatting sqref="BB119:BB128 BB106:BB117 BB101:BB104 BB80:BB98">
    <cfRule type="cellIs" dxfId="23107" priority="2749" operator="lessThan">
      <formula>0</formula>
    </cfRule>
    <cfRule type="cellIs" dxfId="23106" priority="2750" operator="lessThan">
      <formula>-105575</formula>
    </cfRule>
  </conditionalFormatting>
  <conditionalFormatting sqref="BB130 BB132 BB134">
    <cfRule type="cellIs" dxfId="23105" priority="2747" operator="lessThan">
      <formula>0</formula>
    </cfRule>
    <cfRule type="cellIs" dxfId="23104" priority="2748" operator="lessThan">
      <formula>-105575</formula>
    </cfRule>
  </conditionalFormatting>
  <conditionalFormatting sqref="BB130 BB132 BB134">
    <cfRule type="cellIs" dxfId="23103" priority="2745" operator="lessThan">
      <formula>0</formula>
    </cfRule>
    <cfRule type="cellIs" dxfId="23102" priority="2746" operator="lessThan">
      <formula>-105575</formula>
    </cfRule>
  </conditionalFormatting>
  <conditionalFormatting sqref="BB129 BB131 BB133 BB135">
    <cfRule type="cellIs" dxfId="23101" priority="2743" operator="lessThan">
      <formula>0</formula>
    </cfRule>
    <cfRule type="cellIs" dxfId="23100" priority="2744" operator="lessThan">
      <formula>-105575</formula>
    </cfRule>
  </conditionalFormatting>
  <conditionalFormatting sqref="BB140 BB145 BB142:BB143 BB137:BB138">
    <cfRule type="cellIs" dxfId="23099" priority="2741" operator="lessThan">
      <formula>0</formula>
    </cfRule>
    <cfRule type="cellIs" dxfId="23098" priority="2742" operator="lessThan">
      <formula>-105575</formula>
    </cfRule>
  </conditionalFormatting>
  <conditionalFormatting sqref="BB149">
    <cfRule type="cellIs" dxfId="23097" priority="2739" operator="lessThan">
      <formula>0</formula>
    </cfRule>
    <cfRule type="cellIs" dxfId="23096" priority="2740" operator="lessThan">
      <formula>-105575</formula>
    </cfRule>
  </conditionalFormatting>
  <conditionalFormatting sqref="BB129:BB138 BB140:BB149">
    <cfRule type="cellIs" dxfId="23095" priority="2737" operator="lessThan">
      <formula>0</formula>
    </cfRule>
    <cfRule type="cellIs" dxfId="23094" priority="2738" operator="lessThan">
      <formula>-105575</formula>
    </cfRule>
  </conditionalFormatting>
  <conditionalFormatting sqref="BB94:BB98 BB86:BB87 BB89:BB91 BB141:BB149 BB124:BB133 BB107:BB110 BB112:BB117 BB119:BB122 BB135:BB138 BB101:BB104 BB80:BB84">
    <cfRule type="cellIs" dxfId="23093" priority="2735" operator="lessThan">
      <formula>0</formula>
    </cfRule>
    <cfRule type="cellIs" dxfId="23092" priority="2736" operator="lessThan">
      <formula>-105575</formula>
    </cfRule>
  </conditionalFormatting>
  <conditionalFormatting sqref="BB129 BB131 BB133 BB135">
    <cfRule type="cellIs" dxfId="23091" priority="2733" operator="lessThan">
      <formula>0</formula>
    </cfRule>
    <cfRule type="cellIs" dxfId="23090" priority="2734" operator="lessThan">
      <formula>-105575</formula>
    </cfRule>
  </conditionalFormatting>
  <conditionalFormatting sqref="BB146 BB144 BB141">
    <cfRule type="cellIs" dxfId="23089" priority="2731" operator="lessThan">
      <formula>0</formula>
    </cfRule>
    <cfRule type="cellIs" dxfId="23088" priority="2732" operator="lessThan">
      <formula>-105575</formula>
    </cfRule>
  </conditionalFormatting>
  <conditionalFormatting sqref="BB146 BB144 BB141">
    <cfRule type="cellIs" dxfId="23087" priority="2729" operator="lessThan">
      <formula>0</formula>
    </cfRule>
    <cfRule type="cellIs" dxfId="23086" priority="2730" operator="lessThan">
      <formula>-105575</formula>
    </cfRule>
  </conditionalFormatting>
  <conditionalFormatting sqref="BB140 BB145 BB142:BB143 BB137:BB138">
    <cfRule type="cellIs" dxfId="23085" priority="2727" operator="lessThan">
      <formula>0</formula>
    </cfRule>
    <cfRule type="cellIs" dxfId="23084" priority="2728" operator="lessThan">
      <formula>-105575</formula>
    </cfRule>
  </conditionalFormatting>
  <conditionalFormatting sqref="BB149">
    <cfRule type="cellIs" dxfId="23083" priority="2725" operator="lessThan">
      <formula>0</formula>
    </cfRule>
    <cfRule type="cellIs" dxfId="23082" priority="2726" operator="lessThan">
      <formula>-105575</formula>
    </cfRule>
  </conditionalFormatting>
  <conditionalFormatting sqref="BB94:BB98 BB86:BB87 BB89:BB91 BB141:BB149 BB124:BB133 BB107:BB110 BB112:BB117 BB119:BB122 BB135:BB138 BB101:BB104 BB80:BB84">
    <cfRule type="cellIs" dxfId="23081" priority="2723" operator="lessThan">
      <formula>0</formula>
    </cfRule>
    <cfRule type="cellIs" dxfId="23080" priority="2724" operator="lessThan">
      <formula>-105575</formula>
    </cfRule>
  </conditionalFormatting>
  <conditionalFormatting sqref="BB62:BB76 BB306:BB309 BB311:BB325 BB327:BB330 BB332:BB341 BB344:BB347 BB349:BB353 BB355:BB358 BB360:BB384 BB386:BB389 BB392:BB395 BB397:BB411 BB413:BB416 BB418:BB432 BB434:BB437 BB439:BB453 BB455:BB458 BB460:BB469 BB7:BB10 BB12:BB14 BB17:BB18 BB21:BB24 BB26:BB28 BB30:BB36 BB38 BB41:BB43 BB46:BB49 BB51:BB55 BB57:BB59 BB290:BB291 BB293:BB304">
    <cfRule type="cellIs" dxfId="23079" priority="2721" operator="lessThan">
      <formula>0</formula>
    </cfRule>
    <cfRule type="cellIs" dxfId="23078" priority="2722" operator="lessThan">
      <formula>-105575</formula>
    </cfRule>
  </conditionalFormatting>
  <conditionalFormatting sqref="BB41">
    <cfRule type="cellIs" dxfId="23077" priority="2719" operator="lessThan">
      <formula>0</formula>
    </cfRule>
    <cfRule type="cellIs" dxfId="23076" priority="2720" operator="lessThan">
      <formula>-105575</formula>
    </cfRule>
  </conditionalFormatting>
  <conditionalFormatting sqref="BB152:BB155">
    <cfRule type="cellIs" dxfId="23075" priority="2717" operator="lessThan">
      <formula>0</formula>
    </cfRule>
    <cfRule type="cellIs" dxfId="23074" priority="2718" operator="lessThan">
      <formula>-105575</formula>
    </cfRule>
  </conditionalFormatting>
  <conditionalFormatting sqref="BB152:BB155">
    <cfRule type="cellIs" dxfId="23073" priority="2715" operator="lessThan">
      <formula>0</formula>
    </cfRule>
    <cfRule type="cellIs" dxfId="23072" priority="2716" operator="lessThan">
      <formula>-105575</formula>
    </cfRule>
  </conditionalFormatting>
  <conditionalFormatting sqref="BB152:BB155">
    <cfRule type="cellIs" dxfId="23071" priority="2713" operator="lessThan">
      <formula>0</formula>
    </cfRule>
    <cfRule type="cellIs" dxfId="23070" priority="2714" operator="lessThan">
      <formula>-105575</formula>
    </cfRule>
  </conditionalFormatting>
  <conditionalFormatting sqref="BB157:BB158">
    <cfRule type="cellIs" dxfId="23069" priority="2711" operator="lessThan">
      <formula>0</formula>
    </cfRule>
    <cfRule type="cellIs" dxfId="23068" priority="2712" operator="lessThan">
      <formula>-105575</formula>
    </cfRule>
  </conditionalFormatting>
  <conditionalFormatting sqref="BB157:BB158">
    <cfRule type="cellIs" dxfId="23067" priority="2709" operator="lessThan">
      <formula>0</formula>
    </cfRule>
    <cfRule type="cellIs" dxfId="23066" priority="2710" operator="lessThan">
      <formula>-105575</formula>
    </cfRule>
  </conditionalFormatting>
  <conditionalFormatting sqref="BB157:BB158">
    <cfRule type="cellIs" dxfId="23065" priority="2707" operator="lessThan">
      <formula>0</formula>
    </cfRule>
    <cfRule type="cellIs" dxfId="23064" priority="2708" operator="lessThan">
      <formula>-105575</formula>
    </cfRule>
  </conditionalFormatting>
  <conditionalFormatting sqref="BB160:BB161">
    <cfRule type="cellIs" dxfId="23063" priority="2705" operator="lessThan">
      <formula>0</formula>
    </cfRule>
    <cfRule type="cellIs" dxfId="23062" priority="2706" operator="lessThan">
      <formula>-105575</formula>
    </cfRule>
  </conditionalFormatting>
  <conditionalFormatting sqref="BB160:BB161">
    <cfRule type="cellIs" dxfId="23061" priority="2703" operator="lessThan">
      <formula>0</formula>
    </cfRule>
    <cfRule type="cellIs" dxfId="23060" priority="2704" operator="lessThan">
      <formula>-105575</formula>
    </cfRule>
  </conditionalFormatting>
  <conditionalFormatting sqref="BB160:BB161">
    <cfRule type="cellIs" dxfId="23059" priority="2701" operator="lessThan">
      <formula>0</formula>
    </cfRule>
    <cfRule type="cellIs" dxfId="23058" priority="2702" operator="lessThan">
      <formula>-105575</formula>
    </cfRule>
  </conditionalFormatting>
  <conditionalFormatting sqref="BB164:BB167">
    <cfRule type="cellIs" dxfId="23057" priority="2699" operator="lessThan">
      <formula>0</formula>
    </cfRule>
    <cfRule type="cellIs" dxfId="23056" priority="2700" operator="lessThan">
      <formula>-105575</formula>
    </cfRule>
  </conditionalFormatting>
  <conditionalFormatting sqref="BB164:BB167">
    <cfRule type="cellIs" dxfId="23055" priority="2697" operator="lessThan">
      <formula>0</formula>
    </cfRule>
    <cfRule type="cellIs" dxfId="23054" priority="2698" operator="lessThan">
      <formula>-105575</formula>
    </cfRule>
  </conditionalFormatting>
  <conditionalFormatting sqref="BB164:BB167">
    <cfRule type="cellIs" dxfId="23053" priority="2695" operator="lessThan">
      <formula>0</formula>
    </cfRule>
    <cfRule type="cellIs" dxfId="23052" priority="2696" operator="lessThan">
      <formula>-105575</formula>
    </cfRule>
  </conditionalFormatting>
  <conditionalFormatting sqref="BB169:BB177">
    <cfRule type="cellIs" dxfId="23051" priority="2693" operator="lessThan">
      <formula>0</formula>
    </cfRule>
    <cfRule type="cellIs" dxfId="23050" priority="2694" operator="lessThan">
      <formula>-105575</formula>
    </cfRule>
  </conditionalFormatting>
  <conditionalFormatting sqref="BB169:BB177">
    <cfRule type="cellIs" dxfId="23049" priority="2691" operator="lessThan">
      <formula>0</formula>
    </cfRule>
    <cfRule type="cellIs" dxfId="23048" priority="2692" operator="lessThan">
      <formula>-105575</formula>
    </cfRule>
  </conditionalFormatting>
  <conditionalFormatting sqref="BB169:BB177">
    <cfRule type="cellIs" dxfId="23047" priority="2689" operator="lessThan">
      <formula>0</formula>
    </cfRule>
    <cfRule type="cellIs" dxfId="23046" priority="2690" operator="lessThan">
      <formula>-105575</formula>
    </cfRule>
  </conditionalFormatting>
  <conditionalFormatting sqref="BB179:BB180">
    <cfRule type="cellIs" dxfId="23045" priority="2687" operator="lessThan">
      <formula>0</formula>
    </cfRule>
    <cfRule type="cellIs" dxfId="23044" priority="2688" operator="lessThan">
      <formula>-105575</formula>
    </cfRule>
  </conditionalFormatting>
  <conditionalFormatting sqref="BB179:BB180">
    <cfRule type="cellIs" dxfId="23043" priority="2685" operator="lessThan">
      <formula>0</formula>
    </cfRule>
    <cfRule type="cellIs" dxfId="23042" priority="2686" operator="lessThan">
      <formula>-105575</formula>
    </cfRule>
  </conditionalFormatting>
  <conditionalFormatting sqref="BB179:BB180">
    <cfRule type="cellIs" dxfId="23041" priority="2683" operator="lessThan">
      <formula>0</formula>
    </cfRule>
    <cfRule type="cellIs" dxfId="23040" priority="2684" operator="lessThan">
      <formula>-105575</formula>
    </cfRule>
  </conditionalFormatting>
  <conditionalFormatting sqref="BB183:BB189">
    <cfRule type="cellIs" dxfId="23039" priority="2681" operator="lessThan">
      <formula>0</formula>
    </cfRule>
    <cfRule type="cellIs" dxfId="23038" priority="2682" operator="lessThan">
      <formula>-105575</formula>
    </cfRule>
  </conditionalFormatting>
  <conditionalFormatting sqref="BB183:BB189">
    <cfRule type="cellIs" dxfId="23037" priority="2679" operator="lessThan">
      <formula>0</formula>
    </cfRule>
    <cfRule type="cellIs" dxfId="23036" priority="2680" operator="lessThan">
      <formula>-105575</formula>
    </cfRule>
  </conditionalFormatting>
  <conditionalFormatting sqref="BB183:BB189">
    <cfRule type="cellIs" dxfId="23035" priority="2677" operator="lessThan">
      <formula>0</formula>
    </cfRule>
    <cfRule type="cellIs" dxfId="23034" priority="2678" operator="lessThan">
      <formula>-105575</formula>
    </cfRule>
  </conditionalFormatting>
  <conditionalFormatting sqref="BB191:BB192">
    <cfRule type="cellIs" dxfId="23033" priority="2675" operator="lessThan">
      <formula>0</formula>
    </cfRule>
    <cfRule type="cellIs" dxfId="23032" priority="2676" operator="lessThan">
      <formula>-105575</formula>
    </cfRule>
  </conditionalFormatting>
  <conditionalFormatting sqref="BB191:BB192">
    <cfRule type="cellIs" dxfId="23031" priority="2673" operator="lessThan">
      <formula>0</formula>
    </cfRule>
    <cfRule type="cellIs" dxfId="23030" priority="2674" operator="lessThan">
      <formula>-105575</formula>
    </cfRule>
  </conditionalFormatting>
  <conditionalFormatting sqref="BB191:BB192">
    <cfRule type="cellIs" dxfId="23029" priority="2671" operator="lessThan">
      <formula>0</formula>
    </cfRule>
    <cfRule type="cellIs" dxfId="23028" priority="2672" operator="lessThan">
      <formula>-105575</formula>
    </cfRule>
  </conditionalFormatting>
  <conditionalFormatting sqref="BB194:BB195">
    <cfRule type="cellIs" dxfId="23027" priority="2669" operator="lessThan">
      <formula>0</formula>
    </cfRule>
    <cfRule type="cellIs" dxfId="23026" priority="2670" operator="lessThan">
      <formula>-105575</formula>
    </cfRule>
  </conditionalFormatting>
  <conditionalFormatting sqref="BB194:BB195">
    <cfRule type="cellIs" dxfId="23025" priority="2667" operator="lessThan">
      <formula>0</formula>
    </cfRule>
    <cfRule type="cellIs" dxfId="23024" priority="2668" operator="lessThan">
      <formula>-105575</formula>
    </cfRule>
  </conditionalFormatting>
  <conditionalFormatting sqref="BB194:BB195">
    <cfRule type="cellIs" dxfId="23023" priority="2665" operator="lessThan">
      <formula>0</formula>
    </cfRule>
    <cfRule type="cellIs" dxfId="23022" priority="2666" operator="lessThan">
      <formula>-105575</formula>
    </cfRule>
  </conditionalFormatting>
  <conditionalFormatting sqref="BB199:BB202">
    <cfRule type="cellIs" dxfId="23021" priority="2663" operator="lessThan">
      <formula>0</formula>
    </cfRule>
    <cfRule type="cellIs" dxfId="23020" priority="2664" operator="lessThan">
      <formula>-105575</formula>
    </cfRule>
  </conditionalFormatting>
  <conditionalFormatting sqref="BB199:BB202">
    <cfRule type="cellIs" dxfId="23019" priority="2661" operator="lessThan">
      <formula>0</formula>
    </cfRule>
    <cfRule type="cellIs" dxfId="23018" priority="2662" operator="lessThan">
      <formula>-105575</formula>
    </cfRule>
  </conditionalFormatting>
  <conditionalFormatting sqref="BB199:BB202">
    <cfRule type="cellIs" dxfId="23017" priority="2659" operator="lessThan">
      <formula>0</formula>
    </cfRule>
    <cfRule type="cellIs" dxfId="23016" priority="2660" operator="lessThan">
      <formula>-105575</formula>
    </cfRule>
  </conditionalFormatting>
  <conditionalFormatting sqref="BB204:BB208">
    <cfRule type="cellIs" dxfId="23015" priority="2657" operator="lessThan">
      <formula>0</formula>
    </cfRule>
    <cfRule type="cellIs" dxfId="23014" priority="2658" operator="lessThan">
      <formula>-105575</formula>
    </cfRule>
  </conditionalFormatting>
  <conditionalFormatting sqref="BB204:BB208">
    <cfRule type="cellIs" dxfId="23013" priority="2655" operator="lessThan">
      <formula>0</formula>
    </cfRule>
    <cfRule type="cellIs" dxfId="23012" priority="2656" operator="lessThan">
      <formula>-105575</formula>
    </cfRule>
  </conditionalFormatting>
  <conditionalFormatting sqref="BB204:BB208">
    <cfRule type="cellIs" dxfId="23011" priority="2653" operator="lessThan">
      <formula>0</formula>
    </cfRule>
    <cfRule type="cellIs" dxfId="23010" priority="2654" operator="lessThan">
      <formula>-105575</formula>
    </cfRule>
  </conditionalFormatting>
  <conditionalFormatting sqref="BB210:BB211">
    <cfRule type="cellIs" dxfId="23009" priority="2651" operator="lessThan">
      <formula>0</formula>
    </cfRule>
    <cfRule type="cellIs" dxfId="23008" priority="2652" operator="lessThan">
      <formula>-105575</formula>
    </cfRule>
  </conditionalFormatting>
  <conditionalFormatting sqref="BB210:BB211">
    <cfRule type="cellIs" dxfId="23007" priority="2649" operator="lessThan">
      <formula>0</formula>
    </cfRule>
    <cfRule type="cellIs" dxfId="23006" priority="2650" operator="lessThan">
      <formula>-105575</formula>
    </cfRule>
  </conditionalFormatting>
  <conditionalFormatting sqref="BB210:BB211">
    <cfRule type="cellIs" dxfId="23005" priority="2647" operator="lessThan">
      <formula>0</formula>
    </cfRule>
    <cfRule type="cellIs" dxfId="23004" priority="2648" operator="lessThan">
      <formula>-105575</formula>
    </cfRule>
  </conditionalFormatting>
  <conditionalFormatting sqref="BB214:BB219">
    <cfRule type="cellIs" dxfId="23003" priority="2645" operator="lessThan">
      <formula>0</formula>
    </cfRule>
    <cfRule type="cellIs" dxfId="23002" priority="2646" operator="lessThan">
      <formula>-105575</formula>
    </cfRule>
  </conditionalFormatting>
  <conditionalFormatting sqref="BB214:BB219">
    <cfRule type="cellIs" dxfId="23001" priority="2643" operator="lessThan">
      <formula>0</formula>
    </cfRule>
    <cfRule type="cellIs" dxfId="23000" priority="2644" operator="lessThan">
      <formula>-105575</formula>
    </cfRule>
  </conditionalFormatting>
  <conditionalFormatting sqref="BB214:BB219">
    <cfRule type="cellIs" dxfId="22999" priority="2641" operator="lessThan">
      <formula>0</formula>
    </cfRule>
    <cfRule type="cellIs" dxfId="22998" priority="2642" operator="lessThan">
      <formula>-105575</formula>
    </cfRule>
  </conditionalFormatting>
  <conditionalFormatting sqref="BB222:BB224">
    <cfRule type="cellIs" dxfId="22997" priority="2639" operator="lessThan">
      <formula>0</formula>
    </cfRule>
    <cfRule type="cellIs" dxfId="22996" priority="2640" operator="lessThan">
      <formula>-105575</formula>
    </cfRule>
  </conditionalFormatting>
  <conditionalFormatting sqref="BB222:BB224">
    <cfRule type="cellIs" dxfId="22995" priority="2637" operator="lessThan">
      <formula>0</formula>
    </cfRule>
    <cfRule type="cellIs" dxfId="22994" priority="2638" operator="lessThan">
      <formula>-105575</formula>
    </cfRule>
  </conditionalFormatting>
  <conditionalFormatting sqref="BB222:BB224">
    <cfRule type="cellIs" dxfId="22993" priority="2635" operator="lessThan">
      <formula>0</formula>
    </cfRule>
    <cfRule type="cellIs" dxfId="22992" priority="2636" operator="lessThan">
      <formula>-105575</formula>
    </cfRule>
  </conditionalFormatting>
  <conditionalFormatting sqref="BB227:BB230">
    <cfRule type="cellIs" dxfId="22991" priority="2633" operator="lessThan">
      <formula>0</formula>
    </cfRule>
    <cfRule type="cellIs" dxfId="22990" priority="2634" operator="lessThan">
      <formula>-105575</formula>
    </cfRule>
  </conditionalFormatting>
  <conditionalFormatting sqref="BB227:BB230">
    <cfRule type="cellIs" dxfId="22989" priority="2631" operator="lessThan">
      <formula>0</formula>
    </cfRule>
    <cfRule type="cellIs" dxfId="22988" priority="2632" operator="lessThan">
      <formula>-105575</formula>
    </cfRule>
  </conditionalFormatting>
  <conditionalFormatting sqref="BB227:BB230">
    <cfRule type="cellIs" dxfId="22987" priority="2629" operator="lessThan">
      <formula>0</formula>
    </cfRule>
    <cfRule type="cellIs" dxfId="22986" priority="2630" operator="lessThan">
      <formula>-105575</formula>
    </cfRule>
  </conditionalFormatting>
  <conditionalFormatting sqref="BB246:BB249">
    <cfRule type="cellIs" dxfId="22985" priority="2627" operator="lessThan">
      <formula>0</formula>
    </cfRule>
    <cfRule type="cellIs" dxfId="22984" priority="2628" operator="lessThan">
      <formula>-105575</formula>
    </cfRule>
  </conditionalFormatting>
  <conditionalFormatting sqref="BB246:BB249">
    <cfRule type="cellIs" dxfId="22983" priority="2625" operator="lessThan">
      <formula>0</formula>
    </cfRule>
    <cfRule type="cellIs" dxfId="22982" priority="2626" operator="lessThan">
      <formula>-105575</formula>
    </cfRule>
  </conditionalFormatting>
  <conditionalFormatting sqref="BB246:BB249">
    <cfRule type="cellIs" dxfId="22981" priority="2623" operator="lessThan">
      <formula>0</formula>
    </cfRule>
    <cfRule type="cellIs" dxfId="22980" priority="2624" operator="lessThan">
      <formula>-105575</formula>
    </cfRule>
  </conditionalFormatting>
  <conditionalFormatting sqref="BB246:BB249">
    <cfRule type="cellIs" dxfId="22979" priority="2621" operator="lessThan">
      <formula>0</formula>
    </cfRule>
    <cfRule type="cellIs" dxfId="22978" priority="2622" operator="lessThan">
      <formula>-105575</formula>
    </cfRule>
  </conditionalFormatting>
  <conditionalFormatting sqref="BB246:BB249">
    <cfRule type="cellIs" dxfId="22977" priority="2619" operator="lessThan">
      <formula>0</formula>
    </cfRule>
    <cfRule type="cellIs" dxfId="22976" priority="2620" operator="lessThan">
      <formula>-105575</formula>
    </cfRule>
  </conditionalFormatting>
  <conditionalFormatting sqref="BB246:BB249">
    <cfRule type="cellIs" dxfId="22975" priority="2617" operator="lessThan">
      <formula>0</formula>
    </cfRule>
    <cfRule type="cellIs" dxfId="22974" priority="2618" operator="lessThan">
      <formula>-105575</formula>
    </cfRule>
  </conditionalFormatting>
  <conditionalFormatting sqref="BB246:BB249">
    <cfRule type="cellIs" dxfId="22973" priority="2615" operator="lessThan">
      <formula>0</formula>
    </cfRule>
    <cfRule type="cellIs" dxfId="22972" priority="2616" operator="lessThan">
      <formula>-105575</formula>
    </cfRule>
  </conditionalFormatting>
  <conditionalFormatting sqref="BB246:BB249">
    <cfRule type="cellIs" dxfId="22971" priority="2613" operator="lessThan">
      <formula>0</formula>
    </cfRule>
    <cfRule type="cellIs" dxfId="22970" priority="2614" operator="lessThan">
      <formula>-105575</formula>
    </cfRule>
  </conditionalFormatting>
  <conditionalFormatting sqref="BB246:BB249">
    <cfRule type="cellIs" dxfId="22969" priority="2611" operator="lessThan">
      <formula>0</formula>
    </cfRule>
    <cfRule type="cellIs" dxfId="22968" priority="2612" operator="lessThan">
      <formula>-105575</formula>
    </cfRule>
  </conditionalFormatting>
  <conditionalFormatting sqref="BB251:BB253">
    <cfRule type="cellIs" dxfId="22967" priority="2609" operator="lessThan">
      <formula>0</formula>
    </cfRule>
    <cfRule type="cellIs" dxfId="22966" priority="2610" operator="lessThan">
      <formula>-105575</formula>
    </cfRule>
  </conditionalFormatting>
  <conditionalFormatting sqref="BB251:BB253">
    <cfRule type="cellIs" dxfId="22965" priority="2607" operator="lessThan">
      <formula>0</formula>
    </cfRule>
    <cfRule type="cellIs" dxfId="22964" priority="2608" operator="lessThan">
      <formula>-105575</formula>
    </cfRule>
  </conditionalFormatting>
  <conditionalFormatting sqref="BB251:BB253">
    <cfRule type="cellIs" dxfId="22963" priority="2605" operator="lessThan">
      <formula>0</formula>
    </cfRule>
    <cfRule type="cellIs" dxfId="22962" priority="2606" operator="lessThan">
      <formula>-105575</formula>
    </cfRule>
  </conditionalFormatting>
  <conditionalFormatting sqref="BB251:BB253">
    <cfRule type="cellIs" dxfId="22961" priority="2603" operator="lessThan">
      <formula>0</formula>
    </cfRule>
    <cfRule type="cellIs" dxfId="22960" priority="2604" operator="lessThan">
      <formula>-105575</formula>
    </cfRule>
  </conditionalFormatting>
  <conditionalFormatting sqref="BB251:BB253">
    <cfRule type="cellIs" dxfId="22959" priority="2601" operator="lessThan">
      <formula>0</formula>
    </cfRule>
    <cfRule type="cellIs" dxfId="22958" priority="2602" operator="lessThan">
      <formula>-105575</formula>
    </cfRule>
  </conditionalFormatting>
  <conditionalFormatting sqref="BB251:BB253">
    <cfRule type="cellIs" dxfId="22957" priority="2599" operator="lessThan">
      <formula>0</formula>
    </cfRule>
    <cfRule type="cellIs" dxfId="22956" priority="2600" operator="lessThan">
      <formula>-105575</formula>
    </cfRule>
  </conditionalFormatting>
  <conditionalFormatting sqref="BB251:BB253">
    <cfRule type="cellIs" dxfId="22955" priority="2597" operator="lessThan">
      <formula>0</formula>
    </cfRule>
    <cfRule type="cellIs" dxfId="22954" priority="2598" operator="lessThan">
      <formula>-105575</formula>
    </cfRule>
  </conditionalFormatting>
  <conditionalFormatting sqref="BB251:BB253">
    <cfRule type="cellIs" dxfId="22953" priority="2595" operator="lessThan">
      <formula>0</formula>
    </cfRule>
    <cfRule type="cellIs" dxfId="22952" priority="2596" operator="lessThan">
      <formula>-105575</formula>
    </cfRule>
  </conditionalFormatting>
  <conditionalFormatting sqref="BB251:BB253">
    <cfRule type="cellIs" dxfId="22951" priority="2593" operator="lessThan">
      <formula>0</formula>
    </cfRule>
    <cfRule type="cellIs" dxfId="22950" priority="2594" operator="lessThan">
      <formula>-105575</formula>
    </cfRule>
  </conditionalFormatting>
  <conditionalFormatting sqref="BB255:BB257">
    <cfRule type="cellIs" dxfId="22949" priority="2591" operator="lessThan">
      <formula>0</formula>
    </cfRule>
    <cfRule type="cellIs" dxfId="22948" priority="2592" operator="lessThan">
      <formula>-105575</formula>
    </cfRule>
  </conditionalFormatting>
  <conditionalFormatting sqref="BB255:BB257">
    <cfRule type="cellIs" dxfId="22947" priority="2589" operator="lessThan">
      <formula>0</formula>
    </cfRule>
    <cfRule type="cellIs" dxfId="22946" priority="2590" operator="lessThan">
      <formula>-105575</formula>
    </cfRule>
  </conditionalFormatting>
  <conditionalFormatting sqref="BB255:BB257">
    <cfRule type="cellIs" dxfId="22945" priority="2587" operator="lessThan">
      <formula>0</formula>
    </cfRule>
    <cfRule type="cellIs" dxfId="22944" priority="2588" operator="lessThan">
      <formula>-105575</formula>
    </cfRule>
  </conditionalFormatting>
  <conditionalFormatting sqref="BB255:BB257">
    <cfRule type="cellIs" dxfId="22943" priority="2585" operator="lessThan">
      <formula>0</formula>
    </cfRule>
    <cfRule type="cellIs" dxfId="22942" priority="2586" operator="lessThan">
      <formula>-105575</formula>
    </cfRule>
  </conditionalFormatting>
  <conditionalFormatting sqref="BB255:BB257">
    <cfRule type="cellIs" dxfId="22941" priority="2583" operator="lessThan">
      <formula>0</formula>
    </cfRule>
    <cfRule type="cellIs" dxfId="22940" priority="2584" operator="lessThan">
      <formula>-105575</formula>
    </cfRule>
  </conditionalFormatting>
  <conditionalFormatting sqref="BB255:BB257">
    <cfRule type="cellIs" dxfId="22939" priority="2581" operator="lessThan">
      <formula>0</formula>
    </cfRule>
    <cfRule type="cellIs" dxfId="22938" priority="2582" operator="lessThan">
      <formula>-105575</formula>
    </cfRule>
  </conditionalFormatting>
  <conditionalFormatting sqref="BB255:BB257">
    <cfRule type="cellIs" dxfId="22937" priority="2579" operator="lessThan">
      <formula>0</formula>
    </cfRule>
    <cfRule type="cellIs" dxfId="22936" priority="2580" operator="lessThan">
      <formula>-105575</formula>
    </cfRule>
  </conditionalFormatting>
  <conditionalFormatting sqref="BB255:BB257">
    <cfRule type="cellIs" dxfId="22935" priority="2577" operator="lessThan">
      <formula>0</formula>
    </cfRule>
    <cfRule type="cellIs" dxfId="22934" priority="2578" operator="lessThan">
      <formula>-105575</formula>
    </cfRule>
  </conditionalFormatting>
  <conditionalFormatting sqref="BB255:BB257">
    <cfRule type="cellIs" dxfId="22933" priority="2575" operator="lessThan">
      <formula>0</formula>
    </cfRule>
    <cfRule type="cellIs" dxfId="22932" priority="2576" operator="lessThan">
      <formula>-105575</formula>
    </cfRule>
  </conditionalFormatting>
  <conditionalFormatting sqref="BB260:BB262">
    <cfRule type="cellIs" dxfId="22931" priority="2573" operator="lessThan">
      <formula>0</formula>
    </cfRule>
    <cfRule type="cellIs" dxfId="22930" priority="2574" operator="lessThan">
      <formula>-105575</formula>
    </cfRule>
  </conditionalFormatting>
  <conditionalFormatting sqref="BB260:BB262">
    <cfRule type="cellIs" dxfId="22929" priority="2571" operator="lessThan">
      <formula>0</formula>
    </cfRule>
    <cfRule type="cellIs" dxfId="22928" priority="2572" operator="lessThan">
      <formula>-105575</formula>
    </cfRule>
  </conditionalFormatting>
  <conditionalFormatting sqref="BB260:BB262">
    <cfRule type="cellIs" dxfId="22927" priority="2569" operator="lessThan">
      <formula>0</formula>
    </cfRule>
    <cfRule type="cellIs" dxfId="22926" priority="2570" operator="lessThan">
      <formula>-105575</formula>
    </cfRule>
  </conditionalFormatting>
  <conditionalFormatting sqref="BB260:BB262">
    <cfRule type="cellIs" dxfId="22925" priority="2567" operator="lessThan">
      <formula>0</formula>
    </cfRule>
    <cfRule type="cellIs" dxfId="22924" priority="2568" operator="lessThan">
      <formula>-105575</formula>
    </cfRule>
  </conditionalFormatting>
  <conditionalFormatting sqref="BB260:BB262">
    <cfRule type="cellIs" dxfId="22923" priority="2565" operator="lessThan">
      <formula>0</formula>
    </cfRule>
    <cfRule type="cellIs" dxfId="22922" priority="2566" operator="lessThan">
      <formula>-105575</formula>
    </cfRule>
  </conditionalFormatting>
  <conditionalFormatting sqref="BB260:BB262">
    <cfRule type="cellIs" dxfId="22921" priority="2563" operator="lessThan">
      <formula>0</formula>
    </cfRule>
    <cfRule type="cellIs" dxfId="22920" priority="2564" operator="lessThan">
      <formula>-105575</formula>
    </cfRule>
  </conditionalFormatting>
  <conditionalFormatting sqref="BB260:BB262">
    <cfRule type="cellIs" dxfId="22919" priority="2561" operator="lessThan">
      <formula>0</formula>
    </cfRule>
    <cfRule type="cellIs" dxfId="22918" priority="2562" operator="lessThan">
      <formula>-105575</formula>
    </cfRule>
  </conditionalFormatting>
  <conditionalFormatting sqref="BB260:BB262">
    <cfRule type="cellIs" dxfId="22917" priority="2559" operator="lessThan">
      <formula>0</formula>
    </cfRule>
    <cfRule type="cellIs" dxfId="22916" priority="2560" operator="lessThan">
      <formula>-105575</formula>
    </cfRule>
  </conditionalFormatting>
  <conditionalFormatting sqref="BB260:BB262">
    <cfRule type="cellIs" dxfId="22915" priority="2557" operator="lessThan">
      <formula>0</formula>
    </cfRule>
    <cfRule type="cellIs" dxfId="22914" priority="2558" operator="lessThan">
      <formula>-105575</formula>
    </cfRule>
  </conditionalFormatting>
  <conditionalFormatting sqref="BB264:BB267">
    <cfRule type="cellIs" dxfId="22913" priority="2555" operator="lessThan">
      <formula>0</formula>
    </cfRule>
    <cfRule type="cellIs" dxfId="22912" priority="2556" operator="lessThan">
      <formula>-105575</formula>
    </cfRule>
  </conditionalFormatting>
  <conditionalFormatting sqref="BB264:BB267">
    <cfRule type="cellIs" dxfId="22911" priority="2553" operator="lessThan">
      <formula>0</formula>
    </cfRule>
    <cfRule type="cellIs" dxfId="22910" priority="2554" operator="lessThan">
      <formula>-105575</formula>
    </cfRule>
  </conditionalFormatting>
  <conditionalFormatting sqref="BB264:BB267">
    <cfRule type="cellIs" dxfId="22909" priority="2551" operator="lessThan">
      <formula>0</formula>
    </cfRule>
    <cfRule type="cellIs" dxfId="22908" priority="2552" operator="lessThan">
      <formula>-105575</formula>
    </cfRule>
  </conditionalFormatting>
  <conditionalFormatting sqref="BB264:BB267">
    <cfRule type="cellIs" dxfId="22907" priority="2549" operator="lessThan">
      <formula>0</formula>
    </cfRule>
    <cfRule type="cellIs" dxfId="22906" priority="2550" operator="lessThan">
      <formula>-105575</formula>
    </cfRule>
  </conditionalFormatting>
  <conditionalFormatting sqref="BB264:BB267">
    <cfRule type="cellIs" dxfId="22905" priority="2547" operator="lessThan">
      <formula>0</formula>
    </cfRule>
    <cfRule type="cellIs" dxfId="22904" priority="2548" operator="lessThan">
      <formula>-105575</formula>
    </cfRule>
  </conditionalFormatting>
  <conditionalFormatting sqref="BB264:BB267">
    <cfRule type="cellIs" dxfId="22903" priority="2545" operator="lessThan">
      <formula>0</formula>
    </cfRule>
    <cfRule type="cellIs" dxfId="22902" priority="2546" operator="lessThan">
      <formula>-105575</formula>
    </cfRule>
  </conditionalFormatting>
  <conditionalFormatting sqref="BB264:BB267">
    <cfRule type="cellIs" dxfId="22901" priority="2543" operator="lessThan">
      <formula>0</formula>
    </cfRule>
    <cfRule type="cellIs" dxfId="22900" priority="2544" operator="lessThan">
      <formula>-105575</formula>
    </cfRule>
  </conditionalFormatting>
  <conditionalFormatting sqref="BB264:BB267">
    <cfRule type="cellIs" dxfId="22899" priority="2541" operator="lessThan">
      <formula>0</formula>
    </cfRule>
    <cfRule type="cellIs" dxfId="22898" priority="2542" operator="lessThan">
      <formula>-105575</formula>
    </cfRule>
  </conditionalFormatting>
  <conditionalFormatting sqref="BB264:BB267">
    <cfRule type="cellIs" dxfId="22897" priority="2539" operator="lessThan">
      <formula>0</formula>
    </cfRule>
    <cfRule type="cellIs" dxfId="22896" priority="2540" operator="lessThan">
      <formula>-105575</formula>
    </cfRule>
  </conditionalFormatting>
  <conditionalFormatting sqref="BB270:BB272">
    <cfRule type="cellIs" dxfId="22895" priority="2537" operator="lessThan">
      <formula>0</formula>
    </cfRule>
    <cfRule type="cellIs" dxfId="22894" priority="2538" operator="lessThan">
      <formula>-105575</formula>
    </cfRule>
  </conditionalFormatting>
  <conditionalFormatting sqref="BB270:BB272">
    <cfRule type="cellIs" dxfId="22893" priority="2535" operator="lessThan">
      <formula>0</formula>
    </cfRule>
    <cfRule type="cellIs" dxfId="22892" priority="2536" operator="lessThan">
      <formula>-105575</formula>
    </cfRule>
  </conditionalFormatting>
  <conditionalFormatting sqref="BB270:BB272">
    <cfRule type="cellIs" dxfId="22891" priority="2533" operator="lessThan">
      <formula>0</formula>
    </cfRule>
    <cfRule type="cellIs" dxfId="22890" priority="2534" operator="lessThan">
      <formula>-105575</formula>
    </cfRule>
  </conditionalFormatting>
  <conditionalFormatting sqref="BB270:BB272">
    <cfRule type="cellIs" dxfId="22889" priority="2531" operator="lessThan">
      <formula>0</formula>
    </cfRule>
    <cfRule type="cellIs" dxfId="22888" priority="2532" operator="lessThan">
      <formula>-105575</formula>
    </cfRule>
  </conditionalFormatting>
  <conditionalFormatting sqref="BB270:BB272">
    <cfRule type="cellIs" dxfId="22887" priority="2529" operator="lessThan">
      <formula>0</formula>
    </cfRule>
    <cfRule type="cellIs" dxfId="22886" priority="2530" operator="lessThan">
      <formula>-105575</formula>
    </cfRule>
  </conditionalFormatting>
  <conditionalFormatting sqref="BB270:BB272">
    <cfRule type="cellIs" dxfId="22885" priority="2527" operator="lessThan">
      <formula>0</formula>
    </cfRule>
    <cfRule type="cellIs" dxfId="22884" priority="2528" operator="lessThan">
      <formula>-105575</formula>
    </cfRule>
  </conditionalFormatting>
  <conditionalFormatting sqref="BB270:BB272">
    <cfRule type="cellIs" dxfId="22883" priority="2525" operator="lessThan">
      <formula>0</formula>
    </cfRule>
    <cfRule type="cellIs" dxfId="22882" priority="2526" operator="lessThan">
      <formula>-105575</formula>
    </cfRule>
  </conditionalFormatting>
  <conditionalFormatting sqref="BB270:BB272">
    <cfRule type="cellIs" dxfId="22881" priority="2523" operator="lessThan">
      <formula>0</formula>
    </cfRule>
    <cfRule type="cellIs" dxfId="22880" priority="2524" operator="lessThan">
      <formula>-105575</formula>
    </cfRule>
  </conditionalFormatting>
  <conditionalFormatting sqref="BB270:BB272">
    <cfRule type="cellIs" dxfId="22879" priority="2521" operator="lessThan">
      <formula>0</formula>
    </cfRule>
    <cfRule type="cellIs" dxfId="22878" priority="2522" operator="lessThan">
      <formula>-105575</formula>
    </cfRule>
  </conditionalFormatting>
  <conditionalFormatting sqref="BB274:BB275">
    <cfRule type="cellIs" dxfId="22877" priority="2519" operator="lessThan">
      <formula>0</formula>
    </cfRule>
    <cfRule type="cellIs" dxfId="22876" priority="2520" operator="lessThan">
      <formula>-105575</formula>
    </cfRule>
  </conditionalFormatting>
  <conditionalFormatting sqref="BB274:BB275">
    <cfRule type="cellIs" dxfId="22875" priority="2517" operator="lessThan">
      <formula>0</formula>
    </cfRule>
    <cfRule type="cellIs" dxfId="22874" priority="2518" operator="lessThan">
      <formula>-105575</formula>
    </cfRule>
  </conditionalFormatting>
  <conditionalFormatting sqref="BB274:BB275">
    <cfRule type="cellIs" dxfId="22873" priority="2515" operator="lessThan">
      <formula>0</formula>
    </cfRule>
    <cfRule type="cellIs" dxfId="22872" priority="2516" operator="lessThan">
      <formula>-105575</formula>
    </cfRule>
  </conditionalFormatting>
  <conditionalFormatting sqref="BB274:BB275">
    <cfRule type="cellIs" dxfId="22871" priority="2513" operator="lessThan">
      <formula>0</formula>
    </cfRule>
    <cfRule type="cellIs" dxfId="22870" priority="2514" operator="lessThan">
      <formula>-105575</formula>
    </cfRule>
  </conditionalFormatting>
  <conditionalFormatting sqref="BB274:BB275">
    <cfRule type="cellIs" dxfId="22869" priority="2511" operator="lessThan">
      <formula>0</formula>
    </cfRule>
    <cfRule type="cellIs" dxfId="22868" priority="2512" operator="lessThan">
      <formula>-105575</formula>
    </cfRule>
  </conditionalFormatting>
  <conditionalFormatting sqref="BB274:BB275">
    <cfRule type="cellIs" dxfId="22867" priority="2509" operator="lessThan">
      <formula>0</formula>
    </cfRule>
    <cfRule type="cellIs" dxfId="22866" priority="2510" operator="lessThan">
      <formula>-105575</formula>
    </cfRule>
  </conditionalFormatting>
  <conditionalFormatting sqref="BB274:BB275">
    <cfRule type="cellIs" dxfId="22865" priority="2507" operator="lessThan">
      <formula>0</formula>
    </cfRule>
    <cfRule type="cellIs" dxfId="22864" priority="2508" operator="lessThan">
      <formula>-105575</formula>
    </cfRule>
  </conditionalFormatting>
  <conditionalFormatting sqref="BB274:BB275">
    <cfRule type="cellIs" dxfId="22863" priority="2505" operator="lessThan">
      <formula>0</formula>
    </cfRule>
    <cfRule type="cellIs" dxfId="22862" priority="2506" operator="lessThan">
      <formula>-105575</formula>
    </cfRule>
  </conditionalFormatting>
  <conditionalFormatting sqref="BB274:BB275">
    <cfRule type="cellIs" dxfId="22861" priority="2503" operator="lessThan">
      <formula>0</formula>
    </cfRule>
    <cfRule type="cellIs" dxfId="22860" priority="2504" operator="lessThan">
      <formula>-105575</formula>
    </cfRule>
  </conditionalFormatting>
  <conditionalFormatting sqref="BB278:BB282">
    <cfRule type="cellIs" dxfId="22859" priority="2501" operator="lessThan">
      <formula>0</formula>
    </cfRule>
    <cfRule type="cellIs" dxfId="22858" priority="2502" operator="lessThan">
      <formula>-105575</formula>
    </cfRule>
  </conditionalFormatting>
  <conditionalFormatting sqref="BB278:BB282">
    <cfRule type="cellIs" dxfId="22857" priority="2499" operator="lessThan">
      <formula>0</formula>
    </cfRule>
    <cfRule type="cellIs" dxfId="22856" priority="2500" operator="lessThan">
      <formula>-105575</formula>
    </cfRule>
  </conditionalFormatting>
  <conditionalFormatting sqref="BB278:BB282">
    <cfRule type="cellIs" dxfId="22855" priority="2497" operator="lessThan">
      <formula>0</formula>
    </cfRule>
    <cfRule type="cellIs" dxfId="22854" priority="2498" operator="lessThan">
      <formula>-105575</formula>
    </cfRule>
  </conditionalFormatting>
  <conditionalFormatting sqref="BB278:BB282">
    <cfRule type="cellIs" dxfId="22853" priority="2495" operator="lessThan">
      <formula>0</formula>
    </cfRule>
    <cfRule type="cellIs" dxfId="22852" priority="2496" operator="lessThan">
      <formula>-105575</formula>
    </cfRule>
  </conditionalFormatting>
  <conditionalFormatting sqref="BB278:BB282">
    <cfRule type="cellIs" dxfId="22851" priority="2493" operator="lessThan">
      <formula>0</formula>
    </cfRule>
    <cfRule type="cellIs" dxfId="22850" priority="2494" operator="lessThan">
      <formula>-105575</formula>
    </cfRule>
  </conditionalFormatting>
  <conditionalFormatting sqref="BB278:BB282">
    <cfRule type="cellIs" dxfId="22849" priority="2491" operator="lessThan">
      <formula>0</formula>
    </cfRule>
    <cfRule type="cellIs" dxfId="22848" priority="2492" operator="lessThan">
      <formula>-105575</formula>
    </cfRule>
  </conditionalFormatting>
  <conditionalFormatting sqref="BB278:BB282">
    <cfRule type="cellIs" dxfId="22847" priority="2489" operator="lessThan">
      <formula>0</formula>
    </cfRule>
    <cfRule type="cellIs" dxfId="22846" priority="2490" operator="lessThan">
      <formula>-105575</formula>
    </cfRule>
  </conditionalFormatting>
  <conditionalFormatting sqref="BB278:BB282">
    <cfRule type="cellIs" dxfId="22845" priority="2487" operator="lessThan">
      <formula>0</formula>
    </cfRule>
    <cfRule type="cellIs" dxfId="22844" priority="2488" operator="lessThan">
      <formula>-105575</formula>
    </cfRule>
  </conditionalFormatting>
  <conditionalFormatting sqref="BB278:BB282">
    <cfRule type="cellIs" dxfId="22843" priority="2485" operator="lessThan">
      <formula>0</formula>
    </cfRule>
    <cfRule type="cellIs" dxfId="22842" priority="2486" operator="lessThan">
      <formula>-105575</formula>
    </cfRule>
  </conditionalFormatting>
  <conditionalFormatting sqref="BB285:BB288">
    <cfRule type="cellIs" dxfId="22841" priority="2483" operator="lessThan">
      <formula>0</formula>
    </cfRule>
    <cfRule type="cellIs" dxfId="22840" priority="2484" operator="lessThan">
      <formula>-105575</formula>
    </cfRule>
  </conditionalFormatting>
  <conditionalFormatting sqref="BB285:BB288">
    <cfRule type="cellIs" dxfId="22839" priority="2481" operator="lessThan">
      <formula>0</formula>
    </cfRule>
    <cfRule type="cellIs" dxfId="22838" priority="2482" operator="lessThan">
      <formula>-105575</formula>
    </cfRule>
  </conditionalFormatting>
  <conditionalFormatting sqref="BB285:BB288">
    <cfRule type="cellIs" dxfId="22837" priority="2479" operator="lessThan">
      <formula>0</formula>
    </cfRule>
    <cfRule type="cellIs" dxfId="22836" priority="2480" operator="lessThan">
      <formula>-105575</formula>
    </cfRule>
  </conditionalFormatting>
  <conditionalFormatting sqref="BB285:BB288">
    <cfRule type="cellIs" dxfId="22835" priority="2477" operator="lessThan">
      <formula>0</formula>
    </cfRule>
    <cfRule type="cellIs" dxfId="22834" priority="2478" operator="lessThan">
      <formula>-105575</formula>
    </cfRule>
  </conditionalFormatting>
  <conditionalFormatting sqref="BB285:BB288">
    <cfRule type="cellIs" dxfId="22833" priority="2475" operator="lessThan">
      <formula>0</formula>
    </cfRule>
    <cfRule type="cellIs" dxfId="22832" priority="2476" operator="lessThan">
      <formula>-105575</formula>
    </cfRule>
  </conditionalFormatting>
  <conditionalFormatting sqref="BB285:BB288">
    <cfRule type="cellIs" dxfId="22831" priority="2473" operator="lessThan">
      <formula>0</formula>
    </cfRule>
    <cfRule type="cellIs" dxfId="22830" priority="2474" operator="lessThan">
      <formula>-105575</formula>
    </cfRule>
  </conditionalFormatting>
  <conditionalFormatting sqref="BB285:BB288">
    <cfRule type="cellIs" dxfId="22829" priority="2471" operator="lessThan">
      <formula>0</formula>
    </cfRule>
    <cfRule type="cellIs" dxfId="22828" priority="2472" operator="lessThan">
      <formula>-105575</formula>
    </cfRule>
  </conditionalFormatting>
  <conditionalFormatting sqref="BB285:BB288">
    <cfRule type="cellIs" dxfId="22827" priority="2469" operator="lessThan">
      <formula>0</formula>
    </cfRule>
    <cfRule type="cellIs" dxfId="22826" priority="2470" operator="lessThan">
      <formula>-105575</formula>
    </cfRule>
  </conditionalFormatting>
  <conditionalFormatting sqref="BB285:BB288">
    <cfRule type="cellIs" dxfId="22825" priority="2467" operator="lessThan">
      <formula>0</formula>
    </cfRule>
    <cfRule type="cellIs" dxfId="22824" priority="2468" operator="lessThan">
      <formula>-105575</formula>
    </cfRule>
  </conditionalFormatting>
  <conditionalFormatting sqref="BB203 BB220:BB221 BB235:BB243 BB231:BB233 BB212:BB213 BB225:BB226">
    <cfRule type="cellIs" dxfId="22823" priority="2465" operator="lessThan">
      <formula>0</formula>
    </cfRule>
    <cfRule type="cellIs" dxfId="22822" priority="2466" operator="lessThan">
      <formula>-105575</formula>
    </cfRule>
  </conditionalFormatting>
  <conditionalFormatting sqref="BB220 BB212:BB213 BB235:BB238 BB240:BB243 BB225:BB226 BB231:BB233">
    <cfRule type="cellIs" dxfId="22821" priority="2463" operator="lessThan">
      <formula>0</formula>
    </cfRule>
    <cfRule type="cellIs" dxfId="22820" priority="2464" operator="lessThan">
      <formula>-105575</formula>
    </cfRule>
  </conditionalFormatting>
  <conditionalFormatting sqref="BB220:BB221 BB243 BB226 BB231:BB236 BB238:BB241 BB203 BB213">
    <cfRule type="cellIs" dxfId="22819" priority="2461" operator="lessThan">
      <formula>0</formula>
    </cfRule>
    <cfRule type="cellIs" dxfId="22818" priority="2462" operator="lessThan">
      <formula>-105575</formula>
    </cfRule>
  </conditionalFormatting>
  <conditionalFormatting sqref="BB235:BB243 BB231:BB233 BB220 BB212:BB213 BB225:BB226">
    <cfRule type="cellIs" dxfId="22817" priority="2459" operator="lessThan">
      <formula>0</formula>
    </cfRule>
    <cfRule type="cellIs" dxfId="22816" priority="2460" operator="lessThan">
      <formula>-105575</formula>
    </cfRule>
  </conditionalFormatting>
  <conditionalFormatting sqref="BB220:BB221 BB237:BB243 BB203 BB231:BB235 BB212:BB213 BB225:BB226">
    <cfRule type="cellIs" dxfId="22815" priority="2457" operator="lessThan">
      <formula>0</formula>
    </cfRule>
    <cfRule type="cellIs" dxfId="22814" priority="2458" operator="lessThan">
      <formula>-105575</formula>
    </cfRule>
  </conditionalFormatting>
  <conditionalFormatting sqref="BB220:BB221 BB237:BB240 BB242:BB243 BB225:BB226 BB231:BB235">
    <cfRule type="cellIs" dxfId="22813" priority="2455" operator="lessThan">
      <formula>0</formula>
    </cfRule>
    <cfRule type="cellIs" dxfId="22812" priority="2456" operator="lessThan">
      <formula>-105575</formula>
    </cfRule>
  </conditionalFormatting>
  <conditionalFormatting sqref="BB212 BB231 BB233:BB238 BB240:BB243 BB225">
    <cfRule type="cellIs" dxfId="22811" priority="2453" operator="lessThan">
      <formula>0</formula>
    </cfRule>
    <cfRule type="cellIs" dxfId="22810" priority="2454" operator="lessThan">
      <formula>-105575</formula>
    </cfRule>
  </conditionalFormatting>
  <conditionalFormatting sqref="BB237:BB243 BB231:BB235 BB220:BB221 BB225:BB226">
    <cfRule type="cellIs" dxfId="22809" priority="2451" operator="lessThan">
      <formula>0</formula>
    </cfRule>
    <cfRule type="cellIs" dxfId="22808" priority="2452" operator="lessThan">
      <formula>-105575</formula>
    </cfRule>
  </conditionalFormatting>
  <conditionalFormatting sqref="BB233:BB237 BB231 BB239:BB243">
    <cfRule type="cellIs" dxfId="22807" priority="2449" operator="lessThan">
      <formula>0</formula>
    </cfRule>
    <cfRule type="cellIs" dxfId="22806" priority="2450" operator="lessThan">
      <formula>-105575</formula>
    </cfRule>
  </conditionalFormatting>
  <conditionalFormatting sqref="BB233:BB237 BB231 BB239:BB243">
    <cfRule type="cellIs" dxfId="22805" priority="2447" operator="lessThan">
      <formula>0</formula>
    </cfRule>
    <cfRule type="cellIs" dxfId="22804" priority="2448" operator="lessThan">
      <formula>-105575</formula>
    </cfRule>
  </conditionalFormatting>
  <conditionalFormatting sqref="BB119:BB128 BB106:BB117 BB101:BB104 BB80:BB98">
    <cfRule type="cellIs" dxfId="22803" priority="2445" operator="lessThan">
      <formula>0</formula>
    </cfRule>
    <cfRule type="cellIs" dxfId="22802" priority="2446" operator="lessThan">
      <formula>-105575</formula>
    </cfRule>
  </conditionalFormatting>
  <conditionalFormatting sqref="BB130 BB132 BB134">
    <cfRule type="cellIs" dxfId="22801" priority="2443" operator="lessThan">
      <formula>0</formula>
    </cfRule>
    <cfRule type="cellIs" dxfId="22800" priority="2444" operator="lessThan">
      <formula>-105575</formula>
    </cfRule>
  </conditionalFormatting>
  <conditionalFormatting sqref="BB130 BB132 BB134">
    <cfRule type="cellIs" dxfId="22799" priority="2441" operator="lessThan">
      <formula>0</formula>
    </cfRule>
    <cfRule type="cellIs" dxfId="22798" priority="2442" operator="lessThan">
      <formula>-105575</formula>
    </cfRule>
  </conditionalFormatting>
  <conditionalFormatting sqref="BB129 BB131 BB133 BB135">
    <cfRule type="cellIs" dxfId="22797" priority="2439" operator="lessThan">
      <formula>0</formula>
    </cfRule>
    <cfRule type="cellIs" dxfId="22796" priority="2440" operator="lessThan">
      <formula>-105575</formula>
    </cfRule>
  </conditionalFormatting>
  <conditionalFormatting sqref="BB140 BB145 BB142:BB143 BB137:BB138">
    <cfRule type="cellIs" dxfId="22795" priority="2437" operator="lessThan">
      <formula>0</formula>
    </cfRule>
    <cfRule type="cellIs" dxfId="22794" priority="2438" operator="lessThan">
      <formula>-105575</formula>
    </cfRule>
  </conditionalFormatting>
  <conditionalFormatting sqref="BB149">
    <cfRule type="cellIs" dxfId="22793" priority="2435" operator="lessThan">
      <formula>0</formula>
    </cfRule>
    <cfRule type="cellIs" dxfId="22792" priority="2436" operator="lessThan">
      <formula>-105575</formula>
    </cfRule>
  </conditionalFormatting>
  <conditionalFormatting sqref="BB129:BB138 BB140:BB149">
    <cfRule type="cellIs" dxfId="22791" priority="2433" operator="lessThan">
      <formula>0</formula>
    </cfRule>
    <cfRule type="cellIs" dxfId="22790" priority="2434" operator="lessThan">
      <formula>-105575</formula>
    </cfRule>
  </conditionalFormatting>
  <conditionalFormatting sqref="BB94:BB98 BB86:BB87 BB89:BB91 BB141:BB149 BB124:BB133 BB107:BB110 BB112:BB117 BB119:BB122 BB135:BB138 BB101:BB104 BB80:BB84">
    <cfRule type="cellIs" dxfId="22789" priority="2431" operator="lessThan">
      <formula>0</formula>
    </cfRule>
    <cfRule type="cellIs" dxfId="22788" priority="2432" operator="lessThan">
      <formula>-105575</formula>
    </cfRule>
  </conditionalFormatting>
  <conditionalFormatting sqref="BB129 BB131 BB133 BB135">
    <cfRule type="cellIs" dxfId="22787" priority="2429" operator="lessThan">
      <formula>0</formula>
    </cfRule>
    <cfRule type="cellIs" dxfId="22786" priority="2430" operator="lessThan">
      <formula>-105575</formula>
    </cfRule>
  </conditionalFormatting>
  <conditionalFormatting sqref="BB146 BB144 BB141">
    <cfRule type="cellIs" dxfId="22785" priority="2427" operator="lessThan">
      <formula>0</formula>
    </cfRule>
    <cfRule type="cellIs" dxfId="22784" priority="2428" operator="lessThan">
      <formula>-105575</formula>
    </cfRule>
  </conditionalFormatting>
  <conditionalFormatting sqref="BB146 BB144 BB141">
    <cfRule type="cellIs" dxfId="22783" priority="2425" operator="lessThan">
      <formula>0</formula>
    </cfRule>
    <cfRule type="cellIs" dxfId="22782" priority="2426" operator="lessThan">
      <formula>-105575</formula>
    </cfRule>
  </conditionalFormatting>
  <conditionalFormatting sqref="BB140 BB145 BB142:BB143 BB137:BB138">
    <cfRule type="cellIs" dxfId="22781" priority="2423" operator="lessThan">
      <formula>0</formula>
    </cfRule>
    <cfRule type="cellIs" dxfId="22780" priority="2424" operator="lessThan">
      <formula>-105575</formula>
    </cfRule>
  </conditionalFormatting>
  <conditionalFormatting sqref="BB149">
    <cfRule type="cellIs" dxfId="22779" priority="2421" operator="lessThan">
      <formula>0</formula>
    </cfRule>
    <cfRule type="cellIs" dxfId="22778" priority="2422" operator="lessThan">
      <formula>-105575</formula>
    </cfRule>
  </conditionalFormatting>
  <conditionalFormatting sqref="BB94:BB98 BB86:BB87 BB89:BB91 BB141:BB149 BB124:BB133 BB107:BB110 BB112:BB117 BB119:BB122 BB135:BB138 BB101:BB104 BB80:BB84">
    <cfRule type="cellIs" dxfId="22777" priority="2419" operator="lessThan">
      <formula>0</formula>
    </cfRule>
    <cfRule type="cellIs" dxfId="22776" priority="2420" operator="lessThan">
      <formula>-105575</formula>
    </cfRule>
  </conditionalFormatting>
  <conditionalFormatting sqref="BB246:BB249 BB262 BB267 BB279:BB282 BB285:BB288 BB274:BB275 BB306:BB309 BB311:BB325 BB327:BB330 BB332:BB341 BB344:BB347 BB349:BB353 BB355:BB358 BB360:BB384 BB386:BB389 BB392:BB395 BB397:BB411 BB413:BB416 BB418:BB432 BB434:BB437 BB439:BB453 BB455:BB458 BB460:BB469 BB7:BB10 BB12:BB14 BB17:BB18 BB21:BB24 BB26:BB28 BB30:BB36 BB38 BB41:BB43 BB46:BB49 BB51:BB55 BB57:BB59 BB62:BB76 BB251:BB253 BB255:BB257 BB293:BB304 BB264:BB265 BB260 BB290:BB291 BB270:BB272">
    <cfRule type="cellIs" dxfId="22775" priority="2417" operator="lessThan">
      <formula>0</formula>
    </cfRule>
    <cfRule type="cellIs" dxfId="22774" priority="2418" operator="lessThan">
      <formula>-105575</formula>
    </cfRule>
  </conditionalFormatting>
  <conditionalFormatting sqref="BB41">
    <cfRule type="cellIs" dxfId="22773" priority="2415" operator="lessThan">
      <formula>0</formula>
    </cfRule>
    <cfRule type="cellIs" dxfId="22772" priority="2416" operator="lessThan">
      <formula>-105575</formula>
    </cfRule>
  </conditionalFormatting>
  <conditionalFormatting sqref="BB152:BB155">
    <cfRule type="cellIs" dxfId="22771" priority="2413" operator="lessThan">
      <formula>0</formula>
    </cfRule>
    <cfRule type="cellIs" dxfId="22770" priority="2414" operator="lessThan">
      <formula>-105575</formula>
    </cfRule>
  </conditionalFormatting>
  <conditionalFormatting sqref="BB152:BB155">
    <cfRule type="cellIs" dxfId="22769" priority="2411" operator="lessThan">
      <formula>0</formula>
    </cfRule>
    <cfRule type="cellIs" dxfId="22768" priority="2412" operator="lessThan">
      <formula>-105575</formula>
    </cfRule>
  </conditionalFormatting>
  <conditionalFormatting sqref="BB152:BB155">
    <cfRule type="cellIs" dxfId="22767" priority="2409" operator="lessThan">
      <formula>0</formula>
    </cfRule>
    <cfRule type="cellIs" dxfId="22766" priority="2410" operator="lessThan">
      <formula>-105575</formula>
    </cfRule>
  </conditionalFormatting>
  <conditionalFormatting sqref="BB157:BB158">
    <cfRule type="cellIs" dxfId="22765" priority="2407" operator="lessThan">
      <formula>0</formula>
    </cfRule>
    <cfRule type="cellIs" dxfId="22764" priority="2408" operator="lessThan">
      <formula>-105575</formula>
    </cfRule>
  </conditionalFormatting>
  <conditionalFormatting sqref="BB157:BB158">
    <cfRule type="cellIs" dxfId="22763" priority="2405" operator="lessThan">
      <formula>0</formula>
    </cfRule>
    <cfRule type="cellIs" dxfId="22762" priority="2406" operator="lessThan">
      <formula>-105575</formula>
    </cfRule>
  </conditionalFormatting>
  <conditionalFormatting sqref="BB157:BB158">
    <cfRule type="cellIs" dxfId="22761" priority="2403" operator="lessThan">
      <formula>0</formula>
    </cfRule>
    <cfRule type="cellIs" dxfId="22760" priority="2404" operator="lessThan">
      <formula>-105575</formula>
    </cfRule>
  </conditionalFormatting>
  <conditionalFormatting sqref="BB160:BB161">
    <cfRule type="cellIs" dxfId="22759" priority="2401" operator="lessThan">
      <formula>0</formula>
    </cfRule>
    <cfRule type="cellIs" dxfId="22758" priority="2402" operator="lessThan">
      <formula>-105575</formula>
    </cfRule>
  </conditionalFormatting>
  <conditionalFormatting sqref="BB160:BB161">
    <cfRule type="cellIs" dxfId="22757" priority="2399" operator="lessThan">
      <formula>0</formula>
    </cfRule>
    <cfRule type="cellIs" dxfId="22756" priority="2400" operator="lessThan">
      <formula>-105575</formula>
    </cfRule>
  </conditionalFormatting>
  <conditionalFormatting sqref="BB160:BB161">
    <cfRule type="cellIs" dxfId="22755" priority="2397" operator="lessThan">
      <formula>0</formula>
    </cfRule>
    <cfRule type="cellIs" dxfId="22754" priority="2398" operator="lessThan">
      <formula>-105575</formula>
    </cfRule>
  </conditionalFormatting>
  <conditionalFormatting sqref="BB164:BB167">
    <cfRule type="cellIs" dxfId="22753" priority="2395" operator="lessThan">
      <formula>0</formula>
    </cfRule>
    <cfRule type="cellIs" dxfId="22752" priority="2396" operator="lessThan">
      <formula>-105575</formula>
    </cfRule>
  </conditionalFormatting>
  <conditionalFormatting sqref="BB164:BB167">
    <cfRule type="cellIs" dxfId="22751" priority="2393" operator="lessThan">
      <formula>0</formula>
    </cfRule>
    <cfRule type="cellIs" dxfId="22750" priority="2394" operator="lessThan">
      <formula>-105575</formula>
    </cfRule>
  </conditionalFormatting>
  <conditionalFormatting sqref="BB164:BB167">
    <cfRule type="cellIs" dxfId="22749" priority="2391" operator="lessThan">
      <formula>0</formula>
    </cfRule>
    <cfRule type="cellIs" dxfId="22748" priority="2392" operator="lessThan">
      <formula>-105575</formula>
    </cfRule>
  </conditionalFormatting>
  <conditionalFormatting sqref="BB169:BB177">
    <cfRule type="cellIs" dxfId="22747" priority="2389" operator="lessThan">
      <formula>0</formula>
    </cfRule>
    <cfRule type="cellIs" dxfId="22746" priority="2390" operator="lessThan">
      <formula>-105575</formula>
    </cfRule>
  </conditionalFormatting>
  <conditionalFormatting sqref="BB169:BB177">
    <cfRule type="cellIs" dxfId="22745" priority="2387" operator="lessThan">
      <formula>0</formula>
    </cfRule>
    <cfRule type="cellIs" dxfId="22744" priority="2388" operator="lessThan">
      <formula>-105575</formula>
    </cfRule>
  </conditionalFormatting>
  <conditionalFormatting sqref="BB169:BB177">
    <cfRule type="cellIs" dxfId="22743" priority="2385" operator="lessThan">
      <formula>0</formula>
    </cfRule>
    <cfRule type="cellIs" dxfId="22742" priority="2386" operator="lessThan">
      <formula>-105575</formula>
    </cfRule>
  </conditionalFormatting>
  <conditionalFormatting sqref="BB179:BB180">
    <cfRule type="cellIs" dxfId="22741" priority="2383" operator="lessThan">
      <formula>0</formula>
    </cfRule>
    <cfRule type="cellIs" dxfId="22740" priority="2384" operator="lessThan">
      <formula>-105575</formula>
    </cfRule>
  </conditionalFormatting>
  <conditionalFormatting sqref="BB179:BB180">
    <cfRule type="cellIs" dxfId="22739" priority="2381" operator="lessThan">
      <formula>0</formula>
    </cfRule>
    <cfRule type="cellIs" dxfId="22738" priority="2382" operator="lessThan">
      <formula>-105575</formula>
    </cfRule>
  </conditionalFormatting>
  <conditionalFormatting sqref="BB179:BB180">
    <cfRule type="cellIs" dxfId="22737" priority="2379" operator="lessThan">
      <formula>0</formula>
    </cfRule>
    <cfRule type="cellIs" dxfId="22736" priority="2380" operator="lessThan">
      <formula>-105575</formula>
    </cfRule>
  </conditionalFormatting>
  <conditionalFormatting sqref="BB183:BB189">
    <cfRule type="cellIs" dxfId="22735" priority="2377" operator="lessThan">
      <formula>0</formula>
    </cfRule>
    <cfRule type="cellIs" dxfId="22734" priority="2378" operator="lessThan">
      <formula>-105575</formula>
    </cfRule>
  </conditionalFormatting>
  <conditionalFormatting sqref="BB183:BB189">
    <cfRule type="cellIs" dxfId="22733" priority="2375" operator="lessThan">
      <formula>0</formula>
    </cfRule>
    <cfRule type="cellIs" dxfId="22732" priority="2376" operator="lessThan">
      <formula>-105575</formula>
    </cfRule>
  </conditionalFormatting>
  <conditionalFormatting sqref="BB183:BB189">
    <cfRule type="cellIs" dxfId="22731" priority="2373" operator="lessThan">
      <formula>0</formula>
    </cfRule>
    <cfRule type="cellIs" dxfId="22730" priority="2374" operator="lessThan">
      <formula>-105575</formula>
    </cfRule>
  </conditionalFormatting>
  <conditionalFormatting sqref="BB191:BB192">
    <cfRule type="cellIs" dxfId="22729" priority="2371" operator="lessThan">
      <formula>0</formula>
    </cfRule>
    <cfRule type="cellIs" dxfId="22728" priority="2372" operator="lessThan">
      <formula>-105575</formula>
    </cfRule>
  </conditionalFormatting>
  <conditionalFormatting sqref="BB191:BB192">
    <cfRule type="cellIs" dxfId="22727" priority="2369" operator="lessThan">
      <formula>0</formula>
    </cfRule>
    <cfRule type="cellIs" dxfId="22726" priority="2370" operator="lessThan">
      <formula>-105575</formula>
    </cfRule>
  </conditionalFormatting>
  <conditionalFormatting sqref="BB191:BB192">
    <cfRule type="cellIs" dxfId="22725" priority="2367" operator="lessThan">
      <formula>0</formula>
    </cfRule>
    <cfRule type="cellIs" dxfId="22724" priority="2368" operator="lessThan">
      <formula>-105575</formula>
    </cfRule>
  </conditionalFormatting>
  <conditionalFormatting sqref="BB194:BB195">
    <cfRule type="cellIs" dxfId="22723" priority="2365" operator="lessThan">
      <formula>0</formula>
    </cfRule>
    <cfRule type="cellIs" dxfId="22722" priority="2366" operator="lessThan">
      <formula>-105575</formula>
    </cfRule>
  </conditionalFormatting>
  <conditionalFormatting sqref="BB194:BB195">
    <cfRule type="cellIs" dxfId="22721" priority="2363" operator="lessThan">
      <formula>0</formula>
    </cfRule>
    <cfRule type="cellIs" dxfId="22720" priority="2364" operator="lessThan">
      <formula>-105575</formula>
    </cfRule>
  </conditionalFormatting>
  <conditionalFormatting sqref="BB194:BB195">
    <cfRule type="cellIs" dxfId="22719" priority="2361" operator="lessThan">
      <formula>0</formula>
    </cfRule>
    <cfRule type="cellIs" dxfId="22718" priority="2362" operator="lessThan">
      <formula>-105575</formula>
    </cfRule>
  </conditionalFormatting>
  <conditionalFormatting sqref="BB199:BB202">
    <cfRule type="cellIs" dxfId="22717" priority="2359" operator="lessThan">
      <formula>0</formula>
    </cfRule>
    <cfRule type="cellIs" dxfId="22716" priority="2360" operator="lessThan">
      <formula>-105575</formula>
    </cfRule>
  </conditionalFormatting>
  <conditionalFormatting sqref="BB199:BB202">
    <cfRule type="cellIs" dxfId="22715" priority="2357" operator="lessThan">
      <formula>0</formula>
    </cfRule>
    <cfRule type="cellIs" dxfId="22714" priority="2358" operator="lessThan">
      <formula>-105575</formula>
    </cfRule>
  </conditionalFormatting>
  <conditionalFormatting sqref="BB199:BB202">
    <cfRule type="cellIs" dxfId="22713" priority="2355" operator="lessThan">
      <formula>0</formula>
    </cfRule>
    <cfRule type="cellIs" dxfId="22712" priority="2356" operator="lessThan">
      <formula>-105575</formula>
    </cfRule>
  </conditionalFormatting>
  <conditionalFormatting sqref="BB204:BB208">
    <cfRule type="cellIs" dxfId="22711" priority="2353" operator="lessThan">
      <formula>0</formula>
    </cfRule>
    <cfRule type="cellIs" dxfId="22710" priority="2354" operator="lessThan">
      <formula>-105575</formula>
    </cfRule>
  </conditionalFormatting>
  <conditionalFormatting sqref="BB204:BB208">
    <cfRule type="cellIs" dxfId="22709" priority="2351" operator="lessThan">
      <formula>0</formula>
    </cfRule>
    <cfRule type="cellIs" dxfId="22708" priority="2352" operator="lessThan">
      <formula>-105575</formula>
    </cfRule>
  </conditionalFormatting>
  <conditionalFormatting sqref="BB204:BB208">
    <cfRule type="cellIs" dxfId="22707" priority="2349" operator="lessThan">
      <formula>0</formula>
    </cfRule>
    <cfRule type="cellIs" dxfId="22706" priority="2350" operator="lessThan">
      <formula>-105575</formula>
    </cfRule>
  </conditionalFormatting>
  <conditionalFormatting sqref="BB210:BB211">
    <cfRule type="cellIs" dxfId="22705" priority="2347" operator="lessThan">
      <formula>0</formula>
    </cfRule>
    <cfRule type="cellIs" dxfId="22704" priority="2348" operator="lessThan">
      <formula>-105575</formula>
    </cfRule>
  </conditionalFormatting>
  <conditionalFormatting sqref="BB210:BB211">
    <cfRule type="cellIs" dxfId="22703" priority="2345" operator="lessThan">
      <formula>0</formula>
    </cfRule>
    <cfRule type="cellIs" dxfId="22702" priority="2346" operator="lessThan">
      <formula>-105575</formula>
    </cfRule>
  </conditionalFormatting>
  <conditionalFormatting sqref="BB210:BB211">
    <cfRule type="cellIs" dxfId="22701" priority="2343" operator="lessThan">
      <formula>0</formula>
    </cfRule>
    <cfRule type="cellIs" dxfId="22700" priority="2344" operator="lessThan">
      <formula>-105575</formula>
    </cfRule>
  </conditionalFormatting>
  <conditionalFormatting sqref="BB214:BB219">
    <cfRule type="cellIs" dxfId="22699" priority="2341" operator="lessThan">
      <formula>0</formula>
    </cfRule>
    <cfRule type="cellIs" dxfId="22698" priority="2342" operator="lessThan">
      <formula>-105575</formula>
    </cfRule>
  </conditionalFormatting>
  <conditionalFormatting sqref="BB214:BB219">
    <cfRule type="cellIs" dxfId="22697" priority="2339" operator="lessThan">
      <formula>0</formula>
    </cfRule>
    <cfRule type="cellIs" dxfId="22696" priority="2340" operator="lessThan">
      <formula>-105575</formula>
    </cfRule>
  </conditionalFormatting>
  <conditionalFormatting sqref="BB214:BB219">
    <cfRule type="cellIs" dxfId="22695" priority="2337" operator="lessThan">
      <formula>0</formula>
    </cfRule>
    <cfRule type="cellIs" dxfId="22694" priority="2338" operator="lessThan">
      <formula>-105575</formula>
    </cfRule>
  </conditionalFormatting>
  <conditionalFormatting sqref="BB222:BB224">
    <cfRule type="cellIs" dxfId="22693" priority="2335" operator="lessThan">
      <formula>0</formula>
    </cfRule>
    <cfRule type="cellIs" dxfId="22692" priority="2336" operator="lessThan">
      <formula>-105575</formula>
    </cfRule>
  </conditionalFormatting>
  <conditionalFormatting sqref="BB222:BB224">
    <cfRule type="cellIs" dxfId="22691" priority="2333" operator="lessThan">
      <formula>0</formula>
    </cfRule>
    <cfRule type="cellIs" dxfId="22690" priority="2334" operator="lessThan">
      <formula>-105575</formula>
    </cfRule>
  </conditionalFormatting>
  <conditionalFormatting sqref="BB222:BB224">
    <cfRule type="cellIs" dxfId="22689" priority="2331" operator="lessThan">
      <formula>0</formula>
    </cfRule>
    <cfRule type="cellIs" dxfId="22688" priority="2332" operator="lessThan">
      <formula>-105575</formula>
    </cfRule>
  </conditionalFormatting>
  <conditionalFormatting sqref="BB227:BB230">
    <cfRule type="cellIs" dxfId="22687" priority="2329" operator="lessThan">
      <formula>0</formula>
    </cfRule>
    <cfRule type="cellIs" dxfId="22686" priority="2330" operator="lessThan">
      <formula>-105575</formula>
    </cfRule>
  </conditionalFormatting>
  <conditionalFormatting sqref="BB227:BB230">
    <cfRule type="cellIs" dxfId="22685" priority="2327" operator="lessThan">
      <formula>0</formula>
    </cfRule>
    <cfRule type="cellIs" dxfId="22684" priority="2328" operator="lessThan">
      <formula>-105575</formula>
    </cfRule>
  </conditionalFormatting>
  <conditionalFormatting sqref="BB227:BB230">
    <cfRule type="cellIs" dxfId="22683" priority="2325" operator="lessThan">
      <formula>0</formula>
    </cfRule>
    <cfRule type="cellIs" dxfId="22682" priority="2326" operator="lessThan">
      <formula>-105575</formula>
    </cfRule>
  </conditionalFormatting>
  <conditionalFormatting sqref="BB203 BB220:BB221 BB235:BB243 BB231:BB233 BB212:BB213 BB225:BB226">
    <cfRule type="cellIs" dxfId="22681" priority="2323" operator="lessThan">
      <formula>0</formula>
    </cfRule>
    <cfRule type="cellIs" dxfId="22680" priority="2324" operator="lessThan">
      <formula>-105575</formula>
    </cfRule>
  </conditionalFormatting>
  <conditionalFormatting sqref="BB220 BB212:BB213 BB235:BB238 BB240:BB243 BB225:BB226 BB231:BB233">
    <cfRule type="cellIs" dxfId="22679" priority="2321" operator="lessThan">
      <formula>0</formula>
    </cfRule>
    <cfRule type="cellIs" dxfId="22678" priority="2322" operator="lessThan">
      <formula>-105575</formula>
    </cfRule>
  </conditionalFormatting>
  <conditionalFormatting sqref="BB220:BB221 BB243 BB226 BB231:BB236 BB238:BB241 BB203 BB213">
    <cfRule type="cellIs" dxfId="22677" priority="2319" operator="lessThan">
      <formula>0</formula>
    </cfRule>
    <cfRule type="cellIs" dxfId="22676" priority="2320" operator="lessThan">
      <formula>-105575</formula>
    </cfRule>
  </conditionalFormatting>
  <conditionalFormatting sqref="BB235:BB243 BB231:BB233 BB220 BB212:BB213 BB225:BB226">
    <cfRule type="cellIs" dxfId="22675" priority="2317" operator="lessThan">
      <formula>0</formula>
    </cfRule>
    <cfRule type="cellIs" dxfId="22674" priority="2318" operator="lessThan">
      <formula>-105575</formula>
    </cfRule>
  </conditionalFormatting>
  <conditionalFormatting sqref="BB220:BB221 BB237:BB243 BB203 BB231:BB235 BB212:BB213 BB225:BB226">
    <cfRule type="cellIs" dxfId="22673" priority="2315" operator="lessThan">
      <formula>0</formula>
    </cfRule>
    <cfRule type="cellIs" dxfId="22672" priority="2316" operator="lessThan">
      <formula>-105575</formula>
    </cfRule>
  </conditionalFormatting>
  <conditionalFormatting sqref="BB220:BB221 BB237:BB240 BB242:BB243 BB225:BB226 BB231:BB235">
    <cfRule type="cellIs" dxfId="22671" priority="2313" operator="lessThan">
      <formula>0</formula>
    </cfRule>
    <cfRule type="cellIs" dxfId="22670" priority="2314" operator="lessThan">
      <formula>-105575</formula>
    </cfRule>
  </conditionalFormatting>
  <conditionalFormatting sqref="BB212 BB231 BB233:BB238 BB240:BB243 BB225">
    <cfRule type="cellIs" dxfId="22669" priority="2311" operator="lessThan">
      <formula>0</formula>
    </cfRule>
    <cfRule type="cellIs" dxfId="22668" priority="2312" operator="lessThan">
      <formula>-105575</formula>
    </cfRule>
  </conditionalFormatting>
  <conditionalFormatting sqref="BB237:BB243 BB231:BB235 BB220:BB221 BB225:BB226">
    <cfRule type="cellIs" dxfId="22667" priority="2309" operator="lessThan">
      <formula>0</formula>
    </cfRule>
    <cfRule type="cellIs" dxfId="22666" priority="2310" operator="lessThan">
      <formula>-105575</formula>
    </cfRule>
  </conditionalFormatting>
  <conditionalFormatting sqref="BB233:BB237 BB231 BB239:BB243">
    <cfRule type="cellIs" dxfId="22665" priority="2307" operator="lessThan">
      <formula>0</formula>
    </cfRule>
    <cfRule type="cellIs" dxfId="22664" priority="2308" operator="lessThan">
      <formula>-105575</formula>
    </cfRule>
  </conditionalFormatting>
  <conditionalFormatting sqref="BB233:BB237 BB231 BB239:BB243">
    <cfRule type="cellIs" dxfId="22663" priority="2305" operator="lessThan">
      <formula>0</formula>
    </cfRule>
    <cfRule type="cellIs" dxfId="22662" priority="2306" operator="lessThan">
      <formula>-105575</formula>
    </cfRule>
  </conditionalFormatting>
  <conditionalFormatting sqref="BB119:BB128 BB106:BB117 BB101:BB104 BB80:BB98">
    <cfRule type="cellIs" dxfId="22661" priority="2303" operator="lessThan">
      <formula>0</formula>
    </cfRule>
    <cfRule type="cellIs" dxfId="22660" priority="2304" operator="lessThan">
      <formula>-105575</formula>
    </cfRule>
  </conditionalFormatting>
  <conditionalFormatting sqref="BB130 BB132 BB134">
    <cfRule type="cellIs" dxfId="22659" priority="2301" operator="lessThan">
      <formula>0</formula>
    </cfRule>
    <cfRule type="cellIs" dxfId="22658" priority="2302" operator="lessThan">
      <formula>-105575</formula>
    </cfRule>
  </conditionalFormatting>
  <conditionalFormatting sqref="BB130 BB132 BB134">
    <cfRule type="cellIs" dxfId="22657" priority="2299" operator="lessThan">
      <formula>0</formula>
    </cfRule>
    <cfRule type="cellIs" dxfId="22656" priority="2300" operator="lessThan">
      <formula>-105575</formula>
    </cfRule>
  </conditionalFormatting>
  <conditionalFormatting sqref="BB129 BB131 BB133 BB135">
    <cfRule type="cellIs" dxfId="22655" priority="2297" operator="lessThan">
      <formula>0</formula>
    </cfRule>
    <cfRule type="cellIs" dxfId="22654" priority="2298" operator="lessThan">
      <formula>-105575</formula>
    </cfRule>
  </conditionalFormatting>
  <conditionalFormatting sqref="BB140 BB145 BB142:BB143 BB137:BB138">
    <cfRule type="cellIs" dxfId="22653" priority="2295" operator="lessThan">
      <formula>0</formula>
    </cfRule>
    <cfRule type="cellIs" dxfId="22652" priority="2296" operator="lessThan">
      <formula>-105575</formula>
    </cfRule>
  </conditionalFormatting>
  <conditionalFormatting sqref="BB149">
    <cfRule type="cellIs" dxfId="22651" priority="2293" operator="lessThan">
      <formula>0</formula>
    </cfRule>
    <cfRule type="cellIs" dxfId="22650" priority="2294" operator="lessThan">
      <formula>-105575</formula>
    </cfRule>
  </conditionalFormatting>
  <conditionalFormatting sqref="BB129:BB138 BB140:BB149">
    <cfRule type="cellIs" dxfId="22649" priority="2291" operator="lessThan">
      <formula>0</formula>
    </cfRule>
    <cfRule type="cellIs" dxfId="22648" priority="2292" operator="lessThan">
      <formula>-105575</formula>
    </cfRule>
  </conditionalFormatting>
  <conditionalFormatting sqref="BB94:BB98 BB86:BB87 BB89:BB91 BB141:BB149 BB124:BB133 BB107:BB110 BB112:BB117 BB119:BB122 BB135:BB138 BB101:BB104 BB80:BB84">
    <cfRule type="cellIs" dxfId="22647" priority="2289" operator="lessThan">
      <formula>0</formula>
    </cfRule>
    <cfRule type="cellIs" dxfId="22646" priority="2290" operator="lessThan">
      <formula>-105575</formula>
    </cfRule>
  </conditionalFormatting>
  <conditionalFormatting sqref="BB129 BB131 BB133 BB135">
    <cfRule type="cellIs" dxfId="22645" priority="2287" operator="lessThan">
      <formula>0</formula>
    </cfRule>
    <cfRule type="cellIs" dxfId="22644" priority="2288" operator="lessThan">
      <formula>-105575</formula>
    </cfRule>
  </conditionalFormatting>
  <conditionalFormatting sqref="BB146 BB144 BB141">
    <cfRule type="cellIs" dxfId="22643" priority="2285" operator="lessThan">
      <formula>0</formula>
    </cfRule>
    <cfRule type="cellIs" dxfId="22642" priority="2286" operator="lessThan">
      <formula>-105575</formula>
    </cfRule>
  </conditionalFormatting>
  <conditionalFormatting sqref="BB146 BB144 BB141">
    <cfRule type="cellIs" dxfId="22641" priority="2283" operator="lessThan">
      <formula>0</formula>
    </cfRule>
    <cfRule type="cellIs" dxfId="22640" priority="2284" operator="lessThan">
      <formula>-105575</formula>
    </cfRule>
  </conditionalFormatting>
  <conditionalFormatting sqref="BB140 BB145 BB142:BB143 BB137:BB138">
    <cfRule type="cellIs" dxfId="22639" priority="2281" operator="lessThan">
      <formula>0</formula>
    </cfRule>
    <cfRule type="cellIs" dxfId="22638" priority="2282" operator="lessThan">
      <formula>-105575</formula>
    </cfRule>
  </conditionalFormatting>
  <conditionalFormatting sqref="BB149">
    <cfRule type="cellIs" dxfId="22637" priority="2279" operator="lessThan">
      <formula>0</formula>
    </cfRule>
    <cfRule type="cellIs" dxfId="22636" priority="2280" operator="lessThan">
      <formula>-105575</formula>
    </cfRule>
  </conditionalFormatting>
  <conditionalFormatting sqref="BB94:BB98 BB86:BB87 BB89:BB91 BB141:BB149 BB124:BB133 BB107:BB110 BB112:BB117 BB119:BB122 BB135:BB138 BB101:BB104 BB80:BB84">
    <cfRule type="cellIs" dxfId="22635" priority="2277" operator="lessThan">
      <formula>0</formula>
    </cfRule>
    <cfRule type="cellIs" dxfId="22634" priority="2278" operator="lessThan">
      <formula>-105575</formula>
    </cfRule>
  </conditionalFormatting>
  <conditionalFormatting sqref="BB62:BB76 BB306:BB309 BB311:BB325 BB327:BB330 BB332:BB341 BB344:BB347 BB349:BB353 BB355:BB358 BB360:BB384 BB386:BB389 BB392:BB395 BB397:BB411 BB413:BB416 BB418:BB432 BB434:BB437 BB439:BB453 BB455:BB458 BB460:BB469 BB7:BB10 BB12:BB14 BB17:BB18 BB21:BB24 BB26:BB28 BB30:BB36 BB38 BB41:BB43 BB46:BB49 BB51:BB55 BB57:BB59 BB290:BB291 BB293:BB304">
    <cfRule type="cellIs" dxfId="22633" priority="2275" operator="lessThan">
      <formula>0</formula>
    </cfRule>
    <cfRule type="cellIs" dxfId="22632" priority="2276" operator="lessThan">
      <formula>-105575</formula>
    </cfRule>
  </conditionalFormatting>
  <conditionalFormatting sqref="BB41">
    <cfRule type="cellIs" dxfId="22631" priority="2273" operator="lessThan">
      <formula>0</formula>
    </cfRule>
    <cfRule type="cellIs" dxfId="22630" priority="2274" operator="lessThan">
      <formula>-105575</formula>
    </cfRule>
  </conditionalFormatting>
  <conditionalFormatting sqref="BB152:BB155">
    <cfRule type="cellIs" dxfId="22629" priority="2271" operator="lessThan">
      <formula>0</formula>
    </cfRule>
    <cfRule type="cellIs" dxfId="22628" priority="2272" operator="lessThan">
      <formula>-105575</formula>
    </cfRule>
  </conditionalFormatting>
  <conditionalFormatting sqref="BB152:BB155">
    <cfRule type="cellIs" dxfId="22627" priority="2269" operator="lessThan">
      <formula>0</formula>
    </cfRule>
    <cfRule type="cellIs" dxfId="22626" priority="2270" operator="lessThan">
      <formula>-105575</formula>
    </cfRule>
  </conditionalFormatting>
  <conditionalFormatting sqref="BB152:BB155">
    <cfRule type="cellIs" dxfId="22625" priority="2267" operator="lessThan">
      <formula>0</formula>
    </cfRule>
    <cfRule type="cellIs" dxfId="22624" priority="2268" operator="lessThan">
      <formula>-105575</formula>
    </cfRule>
  </conditionalFormatting>
  <conditionalFormatting sqref="BB157:BB158">
    <cfRule type="cellIs" dxfId="22623" priority="2265" operator="lessThan">
      <formula>0</formula>
    </cfRule>
    <cfRule type="cellIs" dxfId="22622" priority="2266" operator="lessThan">
      <formula>-105575</formula>
    </cfRule>
  </conditionalFormatting>
  <conditionalFormatting sqref="BB157:BB158">
    <cfRule type="cellIs" dxfId="22621" priority="2263" operator="lessThan">
      <formula>0</formula>
    </cfRule>
    <cfRule type="cellIs" dxfId="22620" priority="2264" operator="lessThan">
      <formula>-105575</formula>
    </cfRule>
  </conditionalFormatting>
  <conditionalFormatting sqref="BB157:BB158">
    <cfRule type="cellIs" dxfId="22619" priority="2261" operator="lessThan">
      <formula>0</formula>
    </cfRule>
    <cfRule type="cellIs" dxfId="22618" priority="2262" operator="lessThan">
      <formula>-105575</formula>
    </cfRule>
  </conditionalFormatting>
  <conditionalFormatting sqref="BB160:BB161">
    <cfRule type="cellIs" dxfId="22617" priority="2259" operator="lessThan">
      <formula>0</formula>
    </cfRule>
    <cfRule type="cellIs" dxfId="22616" priority="2260" operator="lessThan">
      <formula>-105575</formula>
    </cfRule>
  </conditionalFormatting>
  <conditionalFormatting sqref="BB160:BB161">
    <cfRule type="cellIs" dxfId="22615" priority="2257" operator="lessThan">
      <formula>0</formula>
    </cfRule>
    <cfRule type="cellIs" dxfId="22614" priority="2258" operator="lessThan">
      <formula>-105575</formula>
    </cfRule>
  </conditionalFormatting>
  <conditionalFormatting sqref="BB160:BB161">
    <cfRule type="cellIs" dxfId="22613" priority="2255" operator="lessThan">
      <formula>0</formula>
    </cfRule>
    <cfRule type="cellIs" dxfId="22612" priority="2256" operator="lessThan">
      <formula>-105575</formula>
    </cfRule>
  </conditionalFormatting>
  <conditionalFormatting sqref="BB164:BB167">
    <cfRule type="cellIs" dxfId="22611" priority="2253" operator="lessThan">
      <formula>0</formula>
    </cfRule>
    <cfRule type="cellIs" dxfId="22610" priority="2254" operator="lessThan">
      <formula>-105575</formula>
    </cfRule>
  </conditionalFormatting>
  <conditionalFormatting sqref="BB164:BB167">
    <cfRule type="cellIs" dxfId="22609" priority="2251" operator="lessThan">
      <formula>0</formula>
    </cfRule>
    <cfRule type="cellIs" dxfId="22608" priority="2252" operator="lessThan">
      <formula>-105575</formula>
    </cfRule>
  </conditionalFormatting>
  <conditionalFormatting sqref="BB164:BB167">
    <cfRule type="cellIs" dxfId="22607" priority="2249" operator="lessThan">
      <formula>0</formula>
    </cfRule>
    <cfRule type="cellIs" dxfId="22606" priority="2250" operator="lessThan">
      <formula>-105575</formula>
    </cfRule>
  </conditionalFormatting>
  <conditionalFormatting sqref="BB169:BB177">
    <cfRule type="cellIs" dxfId="22605" priority="2247" operator="lessThan">
      <formula>0</formula>
    </cfRule>
    <cfRule type="cellIs" dxfId="22604" priority="2248" operator="lessThan">
      <formula>-105575</formula>
    </cfRule>
  </conditionalFormatting>
  <conditionalFormatting sqref="BB169:BB177">
    <cfRule type="cellIs" dxfId="22603" priority="2245" operator="lessThan">
      <formula>0</formula>
    </cfRule>
    <cfRule type="cellIs" dxfId="22602" priority="2246" operator="lessThan">
      <formula>-105575</formula>
    </cfRule>
  </conditionalFormatting>
  <conditionalFormatting sqref="BB169:BB177">
    <cfRule type="cellIs" dxfId="22601" priority="2243" operator="lessThan">
      <formula>0</formula>
    </cfRule>
    <cfRule type="cellIs" dxfId="22600" priority="2244" operator="lessThan">
      <formula>-105575</formula>
    </cfRule>
  </conditionalFormatting>
  <conditionalFormatting sqref="BB179:BB180">
    <cfRule type="cellIs" dxfId="22599" priority="2241" operator="lessThan">
      <formula>0</formula>
    </cfRule>
    <cfRule type="cellIs" dxfId="22598" priority="2242" operator="lessThan">
      <formula>-105575</formula>
    </cfRule>
  </conditionalFormatting>
  <conditionalFormatting sqref="BB179:BB180">
    <cfRule type="cellIs" dxfId="22597" priority="2239" operator="lessThan">
      <formula>0</formula>
    </cfRule>
    <cfRule type="cellIs" dxfId="22596" priority="2240" operator="lessThan">
      <formula>-105575</formula>
    </cfRule>
  </conditionalFormatting>
  <conditionalFormatting sqref="BB179:BB180">
    <cfRule type="cellIs" dxfId="22595" priority="2237" operator="lessThan">
      <formula>0</formula>
    </cfRule>
    <cfRule type="cellIs" dxfId="22594" priority="2238" operator="lessThan">
      <formula>-105575</formula>
    </cfRule>
  </conditionalFormatting>
  <conditionalFormatting sqref="BB183:BB189">
    <cfRule type="cellIs" dxfId="22593" priority="2235" operator="lessThan">
      <formula>0</formula>
    </cfRule>
    <cfRule type="cellIs" dxfId="22592" priority="2236" operator="lessThan">
      <formula>-105575</formula>
    </cfRule>
  </conditionalFormatting>
  <conditionalFormatting sqref="BB183:BB189">
    <cfRule type="cellIs" dxfId="22591" priority="2233" operator="lessThan">
      <formula>0</formula>
    </cfRule>
    <cfRule type="cellIs" dxfId="22590" priority="2234" operator="lessThan">
      <formula>-105575</formula>
    </cfRule>
  </conditionalFormatting>
  <conditionalFormatting sqref="BB183:BB189">
    <cfRule type="cellIs" dxfId="22589" priority="2231" operator="lessThan">
      <formula>0</formula>
    </cfRule>
    <cfRule type="cellIs" dxfId="22588" priority="2232" operator="lessThan">
      <formula>-105575</formula>
    </cfRule>
  </conditionalFormatting>
  <conditionalFormatting sqref="BB191:BB192">
    <cfRule type="cellIs" dxfId="22587" priority="2229" operator="lessThan">
      <formula>0</formula>
    </cfRule>
    <cfRule type="cellIs" dxfId="22586" priority="2230" operator="lessThan">
      <formula>-105575</formula>
    </cfRule>
  </conditionalFormatting>
  <conditionalFormatting sqref="BB191:BB192">
    <cfRule type="cellIs" dxfId="22585" priority="2227" operator="lessThan">
      <formula>0</formula>
    </cfRule>
    <cfRule type="cellIs" dxfId="22584" priority="2228" operator="lessThan">
      <formula>-105575</formula>
    </cfRule>
  </conditionalFormatting>
  <conditionalFormatting sqref="BB191:BB192">
    <cfRule type="cellIs" dxfId="22583" priority="2225" operator="lessThan">
      <formula>0</formula>
    </cfRule>
    <cfRule type="cellIs" dxfId="22582" priority="2226" operator="lessThan">
      <formula>-105575</formula>
    </cfRule>
  </conditionalFormatting>
  <conditionalFormatting sqref="BB194:BB195">
    <cfRule type="cellIs" dxfId="22581" priority="2223" operator="lessThan">
      <formula>0</formula>
    </cfRule>
    <cfRule type="cellIs" dxfId="22580" priority="2224" operator="lessThan">
      <formula>-105575</formula>
    </cfRule>
  </conditionalFormatting>
  <conditionalFormatting sqref="BB194:BB195">
    <cfRule type="cellIs" dxfId="22579" priority="2221" operator="lessThan">
      <formula>0</formula>
    </cfRule>
    <cfRule type="cellIs" dxfId="22578" priority="2222" operator="lessThan">
      <formula>-105575</formula>
    </cfRule>
  </conditionalFormatting>
  <conditionalFormatting sqref="BB194:BB195">
    <cfRule type="cellIs" dxfId="22577" priority="2219" operator="lessThan">
      <formula>0</formula>
    </cfRule>
    <cfRule type="cellIs" dxfId="22576" priority="2220" operator="lessThan">
      <formula>-105575</formula>
    </cfRule>
  </conditionalFormatting>
  <conditionalFormatting sqref="BB199:BB202">
    <cfRule type="cellIs" dxfId="22575" priority="2217" operator="lessThan">
      <formula>0</formula>
    </cfRule>
    <cfRule type="cellIs" dxfId="22574" priority="2218" operator="lessThan">
      <formula>-105575</formula>
    </cfRule>
  </conditionalFormatting>
  <conditionalFormatting sqref="BB199:BB202">
    <cfRule type="cellIs" dxfId="22573" priority="2215" operator="lessThan">
      <formula>0</formula>
    </cfRule>
    <cfRule type="cellIs" dxfId="22572" priority="2216" operator="lessThan">
      <formula>-105575</formula>
    </cfRule>
  </conditionalFormatting>
  <conditionalFormatting sqref="BB199:BB202">
    <cfRule type="cellIs" dxfId="22571" priority="2213" operator="lessThan">
      <formula>0</formula>
    </cfRule>
    <cfRule type="cellIs" dxfId="22570" priority="2214" operator="lessThan">
      <formula>-105575</formula>
    </cfRule>
  </conditionalFormatting>
  <conditionalFormatting sqref="BB204:BB208">
    <cfRule type="cellIs" dxfId="22569" priority="2211" operator="lessThan">
      <formula>0</formula>
    </cfRule>
    <cfRule type="cellIs" dxfId="22568" priority="2212" operator="lessThan">
      <formula>-105575</formula>
    </cfRule>
  </conditionalFormatting>
  <conditionalFormatting sqref="BB204:BB208">
    <cfRule type="cellIs" dxfId="22567" priority="2209" operator="lessThan">
      <formula>0</formula>
    </cfRule>
    <cfRule type="cellIs" dxfId="22566" priority="2210" operator="lessThan">
      <formula>-105575</formula>
    </cfRule>
  </conditionalFormatting>
  <conditionalFormatting sqref="BB204:BB208">
    <cfRule type="cellIs" dxfId="22565" priority="2207" operator="lessThan">
      <formula>0</formula>
    </cfRule>
    <cfRule type="cellIs" dxfId="22564" priority="2208" operator="lessThan">
      <formula>-105575</formula>
    </cfRule>
  </conditionalFormatting>
  <conditionalFormatting sqref="BB210:BB211">
    <cfRule type="cellIs" dxfId="22563" priority="2205" operator="lessThan">
      <formula>0</formula>
    </cfRule>
    <cfRule type="cellIs" dxfId="22562" priority="2206" operator="lessThan">
      <formula>-105575</formula>
    </cfRule>
  </conditionalFormatting>
  <conditionalFormatting sqref="BB210:BB211">
    <cfRule type="cellIs" dxfId="22561" priority="2203" operator="lessThan">
      <formula>0</formula>
    </cfRule>
    <cfRule type="cellIs" dxfId="22560" priority="2204" operator="lessThan">
      <formula>-105575</formula>
    </cfRule>
  </conditionalFormatting>
  <conditionalFormatting sqref="BB210:BB211">
    <cfRule type="cellIs" dxfId="22559" priority="2201" operator="lessThan">
      <formula>0</formula>
    </cfRule>
    <cfRule type="cellIs" dxfId="22558" priority="2202" operator="lessThan">
      <formula>-105575</formula>
    </cfRule>
  </conditionalFormatting>
  <conditionalFormatting sqref="BB214:BB219">
    <cfRule type="cellIs" dxfId="22557" priority="2199" operator="lessThan">
      <formula>0</formula>
    </cfRule>
    <cfRule type="cellIs" dxfId="22556" priority="2200" operator="lessThan">
      <formula>-105575</formula>
    </cfRule>
  </conditionalFormatting>
  <conditionalFormatting sqref="BB214:BB219">
    <cfRule type="cellIs" dxfId="22555" priority="2197" operator="lessThan">
      <formula>0</formula>
    </cfRule>
    <cfRule type="cellIs" dxfId="22554" priority="2198" operator="lessThan">
      <formula>-105575</formula>
    </cfRule>
  </conditionalFormatting>
  <conditionalFormatting sqref="BB214:BB219">
    <cfRule type="cellIs" dxfId="22553" priority="2195" operator="lessThan">
      <formula>0</formula>
    </cfRule>
    <cfRule type="cellIs" dxfId="22552" priority="2196" operator="lessThan">
      <formula>-105575</formula>
    </cfRule>
  </conditionalFormatting>
  <conditionalFormatting sqref="BB222:BB224">
    <cfRule type="cellIs" dxfId="22551" priority="2193" operator="lessThan">
      <formula>0</formula>
    </cfRule>
    <cfRule type="cellIs" dxfId="22550" priority="2194" operator="lessThan">
      <formula>-105575</formula>
    </cfRule>
  </conditionalFormatting>
  <conditionalFormatting sqref="BB222:BB224">
    <cfRule type="cellIs" dxfId="22549" priority="2191" operator="lessThan">
      <formula>0</formula>
    </cfRule>
    <cfRule type="cellIs" dxfId="22548" priority="2192" operator="lessThan">
      <formula>-105575</formula>
    </cfRule>
  </conditionalFormatting>
  <conditionalFormatting sqref="BB222:BB224">
    <cfRule type="cellIs" dxfId="22547" priority="2189" operator="lessThan">
      <formula>0</formula>
    </cfRule>
    <cfRule type="cellIs" dxfId="22546" priority="2190" operator="lessThan">
      <formula>-105575</formula>
    </cfRule>
  </conditionalFormatting>
  <conditionalFormatting sqref="BB227:BB230">
    <cfRule type="cellIs" dxfId="22545" priority="2187" operator="lessThan">
      <formula>0</formula>
    </cfRule>
    <cfRule type="cellIs" dxfId="22544" priority="2188" operator="lessThan">
      <formula>-105575</formula>
    </cfRule>
  </conditionalFormatting>
  <conditionalFormatting sqref="BB227:BB230">
    <cfRule type="cellIs" dxfId="22543" priority="2185" operator="lessThan">
      <formula>0</formula>
    </cfRule>
    <cfRule type="cellIs" dxfId="22542" priority="2186" operator="lessThan">
      <formula>-105575</formula>
    </cfRule>
  </conditionalFormatting>
  <conditionalFormatting sqref="BB227:BB230">
    <cfRule type="cellIs" dxfId="22541" priority="2183" operator="lessThan">
      <formula>0</formula>
    </cfRule>
    <cfRule type="cellIs" dxfId="22540" priority="2184" operator="lessThan">
      <formula>-105575</formula>
    </cfRule>
  </conditionalFormatting>
  <conditionalFormatting sqref="BB246:BB249">
    <cfRule type="cellIs" dxfId="22539" priority="2181" operator="lessThan">
      <formula>0</formula>
    </cfRule>
    <cfRule type="cellIs" dxfId="22538" priority="2182" operator="lessThan">
      <formula>-105575</formula>
    </cfRule>
  </conditionalFormatting>
  <conditionalFormatting sqref="BB246:BB249">
    <cfRule type="cellIs" dxfId="22537" priority="2179" operator="lessThan">
      <formula>0</formula>
    </cfRule>
    <cfRule type="cellIs" dxfId="22536" priority="2180" operator="lessThan">
      <formula>-105575</formula>
    </cfRule>
  </conditionalFormatting>
  <conditionalFormatting sqref="BB246:BB249">
    <cfRule type="cellIs" dxfId="22535" priority="2177" operator="lessThan">
      <formula>0</formula>
    </cfRule>
    <cfRule type="cellIs" dxfId="22534" priority="2178" operator="lessThan">
      <formula>-105575</formula>
    </cfRule>
  </conditionalFormatting>
  <conditionalFormatting sqref="BB246:BB249">
    <cfRule type="cellIs" dxfId="22533" priority="2175" operator="lessThan">
      <formula>0</formula>
    </cfRule>
    <cfRule type="cellIs" dxfId="22532" priority="2176" operator="lessThan">
      <formula>-105575</formula>
    </cfRule>
  </conditionalFormatting>
  <conditionalFormatting sqref="BB246:BB249">
    <cfRule type="cellIs" dxfId="22531" priority="2173" operator="lessThan">
      <formula>0</formula>
    </cfRule>
    <cfRule type="cellIs" dxfId="22530" priority="2174" operator="lessThan">
      <formula>-105575</formula>
    </cfRule>
  </conditionalFormatting>
  <conditionalFormatting sqref="BB246:BB249">
    <cfRule type="cellIs" dxfId="22529" priority="2171" operator="lessThan">
      <formula>0</formula>
    </cfRule>
    <cfRule type="cellIs" dxfId="22528" priority="2172" operator="lessThan">
      <formula>-105575</formula>
    </cfRule>
  </conditionalFormatting>
  <conditionalFormatting sqref="BB246:BB249">
    <cfRule type="cellIs" dxfId="22527" priority="2169" operator="lessThan">
      <formula>0</formula>
    </cfRule>
    <cfRule type="cellIs" dxfId="22526" priority="2170" operator="lessThan">
      <formula>-105575</formula>
    </cfRule>
  </conditionalFormatting>
  <conditionalFormatting sqref="BB246:BB249">
    <cfRule type="cellIs" dxfId="22525" priority="2167" operator="lessThan">
      <formula>0</formula>
    </cfRule>
    <cfRule type="cellIs" dxfId="22524" priority="2168" operator="lessThan">
      <formula>-105575</formula>
    </cfRule>
  </conditionalFormatting>
  <conditionalFormatting sqref="BB246:BB249">
    <cfRule type="cellIs" dxfId="22523" priority="2165" operator="lessThan">
      <formula>0</formula>
    </cfRule>
    <cfRule type="cellIs" dxfId="22522" priority="2166" operator="lessThan">
      <formula>-105575</formula>
    </cfRule>
  </conditionalFormatting>
  <conditionalFormatting sqref="BB251:BB253">
    <cfRule type="cellIs" dxfId="22521" priority="2163" operator="lessThan">
      <formula>0</formula>
    </cfRule>
    <cfRule type="cellIs" dxfId="22520" priority="2164" operator="lessThan">
      <formula>-105575</formula>
    </cfRule>
  </conditionalFormatting>
  <conditionalFormatting sqref="BB251:BB253">
    <cfRule type="cellIs" dxfId="22519" priority="2161" operator="lessThan">
      <formula>0</formula>
    </cfRule>
    <cfRule type="cellIs" dxfId="22518" priority="2162" operator="lessThan">
      <formula>-105575</formula>
    </cfRule>
  </conditionalFormatting>
  <conditionalFormatting sqref="BB251:BB253">
    <cfRule type="cellIs" dxfId="22517" priority="2159" operator="lessThan">
      <formula>0</formula>
    </cfRule>
    <cfRule type="cellIs" dxfId="22516" priority="2160" operator="lessThan">
      <formula>-105575</formula>
    </cfRule>
  </conditionalFormatting>
  <conditionalFormatting sqref="BB251:BB253">
    <cfRule type="cellIs" dxfId="22515" priority="2157" operator="lessThan">
      <formula>0</formula>
    </cfRule>
    <cfRule type="cellIs" dxfId="22514" priority="2158" operator="lessThan">
      <formula>-105575</formula>
    </cfRule>
  </conditionalFormatting>
  <conditionalFormatting sqref="BB251:BB253">
    <cfRule type="cellIs" dxfId="22513" priority="2155" operator="lessThan">
      <formula>0</formula>
    </cfRule>
    <cfRule type="cellIs" dxfId="22512" priority="2156" operator="lessThan">
      <formula>-105575</formula>
    </cfRule>
  </conditionalFormatting>
  <conditionalFormatting sqref="BB251:BB253">
    <cfRule type="cellIs" dxfId="22511" priority="2153" operator="lessThan">
      <formula>0</formula>
    </cfRule>
    <cfRule type="cellIs" dxfId="22510" priority="2154" operator="lessThan">
      <formula>-105575</formula>
    </cfRule>
  </conditionalFormatting>
  <conditionalFormatting sqref="BB251:BB253">
    <cfRule type="cellIs" dxfId="22509" priority="2151" operator="lessThan">
      <formula>0</formula>
    </cfRule>
    <cfRule type="cellIs" dxfId="22508" priority="2152" operator="lessThan">
      <formula>-105575</formula>
    </cfRule>
  </conditionalFormatting>
  <conditionalFormatting sqref="BB251:BB253">
    <cfRule type="cellIs" dxfId="22507" priority="2149" operator="lessThan">
      <formula>0</formula>
    </cfRule>
    <cfRule type="cellIs" dxfId="22506" priority="2150" operator="lessThan">
      <formula>-105575</formula>
    </cfRule>
  </conditionalFormatting>
  <conditionalFormatting sqref="BB251:BB253">
    <cfRule type="cellIs" dxfId="22505" priority="2147" operator="lessThan">
      <formula>0</formula>
    </cfRule>
    <cfRule type="cellIs" dxfId="22504" priority="2148" operator="lessThan">
      <formula>-105575</formula>
    </cfRule>
  </conditionalFormatting>
  <conditionalFormatting sqref="BB255:BB257">
    <cfRule type="cellIs" dxfId="22503" priority="2145" operator="lessThan">
      <formula>0</formula>
    </cfRule>
    <cfRule type="cellIs" dxfId="22502" priority="2146" operator="lessThan">
      <formula>-105575</formula>
    </cfRule>
  </conditionalFormatting>
  <conditionalFormatting sqref="BB255:BB257">
    <cfRule type="cellIs" dxfId="22501" priority="2143" operator="lessThan">
      <formula>0</formula>
    </cfRule>
    <cfRule type="cellIs" dxfId="22500" priority="2144" operator="lessThan">
      <formula>-105575</formula>
    </cfRule>
  </conditionalFormatting>
  <conditionalFormatting sqref="BB255:BB257">
    <cfRule type="cellIs" dxfId="22499" priority="2141" operator="lessThan">
      <formula>0</formula>
    </cfRule>
    <cfRule type="cellIs" dxfId="22498" priority="2142" operator="lessThan">
      <formula>-105575</formula>
    </cfRule>
  </conditionalFormatting>
  <conditionalFormatting sqref="BB255:BB257">
    <cfRule type="cellIs" dxfId="22497" priority="2139" operator="lessThan">
      <formula>0</formula>
    </cfRule>
    <cfRule type="cellIs" dxfId="22496" priority="2140" operator="lessThan">
      <formula>-105575</formula>
    </cfRule>
  </conditionalFormatting>
  <conditionalFormatting sqref="BB255:BB257">
    <cfRule type="cellIs" dxfId="22495" priority="2137" operator="lessThan">
      <formula>0</formula>
    </cfRule>
    <cfRule type="cellIs" dxfId="22494" priority="2138" operator="lessThan">
      <formula>-105575</formula>
    </cfRule>
  </conditionalFormatting>
  <conditionalFormatting sqref="BB255:BB257">
    <cfRule type="cellIs" dxfId="22493" priority="2135" operator="lessThan">
      <formula>0</formula>
    </cfRule>
    <cfRule type="cellIs" dxfId="22492" priority="2136" operator="lessThan">
      <formula>-105575</formula>
    </cfRule>
  </conditionalFormatting>
  <conditionalFormatting sqref="BB255:BB257">
    <cfRule type="cellIs" dxfId="22491" priority="2133" operator="lessThan">
      <formula>0</formula>
    </cfRule>
    <cfRule type="cellIs" dxfId="22490" priority="2134" operator="lessThan">
      <formula>-105575</formula>
    </cfRule>
  </conditionalFormatting>
  <conditionalFormatting sqref="BB255:BB257">
    <cfRule type="cellIs" dxfId="22489" priority="2131" operator="lessThan">
      <formula>0</formula>
    </cfRule>
    <cfRule type="cellIs" dxfId="22488" priority="2132" operator="lessThan">
      <formula>-105575</formula>
    </cfRule>
  </conditionalFormatting>
  <conditionalFormatting sqref="BB255:BB257">
    <cfRule type="cellIs" dxfId="22487" priority="2129" operator="lessThan">
      <formula>0</formula>
    </cfRule>
    <cfRule type="cellIs" dxfId="22486" priority="2130" operator="lessThan">
      <formula>-105575</formula>
    </cfRule>
  </conditionalFormatting>
  <conditionalFormatting sqref="BB260:BB262">
    <cfRule type="cellIs" dxfId="22485" priority="2127" operator="lessThan">
      <formula>0</formula>
    </cfRule>
    <cfRule type="cellIs" dxfId="22484" priority="2128" operator="lessThan">
      <formula>-105575</formula>
    </cfRule>
  </conditionalFormatting>
  <conditionalFormatting sqref="BB260:BB262">
    <cfRule type="cellIs" dxfId="22483" priority="2125" operator="lessThan">
      <formula>0</formula>
    </cfRule>
    <cfRule type="cellIs" dxfId="22482" priority="2126" operator="lessThan">
      <formula>-105575</formula>
    </cfRule>
  </conditionalFormatting>
  <conditionalFormatting sqref="BB260:BB262">
    <cfRule type="cellIs" dxfId="22481" priority="2123" operator="lessThan">
      <formula>0</formula>
    </cfRule>
    <cfRule type="cellIs" dxfId="22480" priority="2124" operator="lessThan">
      <formula>-105575</formula>
    </cfRule>
  </conditionalFormatting>
  <conditionalFormatting sqref="BB260:BB262">
    <cfRule type="cellIs" dxfId="22479" priority="2121" operator="lessThan">
      <formula>0</formula>
    </cfRule>
    <cfRule type="cellIs" dxfId="22478" priority="2122" operator="lessThan">
      <formula>-105575</formula>
    </cfRule>
  </conditionalFormatting>
  <conditionalFormatting sqref="BB260:BB262">
    <cfRule type="cellIs" dxfId="22477" priority="2119" operator="lessThan">
      <formula>0</formula>
    </cfRule>
    <cfRule type="cellIs" dxfId="22476" priority="2120" operator="lessThan">
      <formula>-105575</formula>
    </cfRule>
  </conditionalFormatting>
  <conditionalFormatting sqref="BB260:BB262">
    <cfRule type="cellIs" dxfId="22475" priority="2117" operator="lessThan">
      <formula>0</formula>
    </cfRule>
    <cfRule type="cellIs" dxfId="22474" priority="2118" operator="lessThan">
      <formula>-105575</formula>
    </cfRule>
  </conditionalFormatting>
  <conditionalFormatting sqref="BB260:BB262">
    <cfRule type="cellIs" dxfId="22473" priority="2115" operator="lessThan">
      <formula>0</formula>
    </cfRule>
    <cfRule type="cellIs" dxfId="22472" priority="2116" operator="lessThan">
      <formula>-105575</formula>
    </cfRule>
  </conditionalFormatting>
  <conditionalFormatting sqref="BB260:BB262">
    <cfRule type="cellIs" dxfId="22471" priority="2113" operator="lessThan">
      <formula>0</formula>
    </cfRule>
    <cfRule type="cellIs" dxfId="22470" priority="2114" operator="lessThan">
      <formula>-105575</formula>
    </cfRule>
  </conditionalFormatting>
  <conditionalFormatting sqref="BB260:BB262">
    <cfRule type="cellIs" dxfId="22469" priority="2111" operator="lessThan">
      <formula>0</formula>
    </cfRule>
    <cfRule type="cellIs" dxfId="22468" priority="2112" operator="lessThan">
      <formula>-105575</formula>
    </cfRule>
  </conditionalFormatting>
  <conditionalFormatting sqref="BB264:BB267">
    <cfRule type="cellIs" dxfId="22467" priority="2109" operator="lessThan">
      <formula>0</formula>
    </cfRule>
    <cfRule type="cellIs" dxfId="22466" priority="2110" operator="lessThan">
      <formula>-105575</formula>
    </cfRule>
  </conditionalFormatting>
  <conditionalFormatting sqref="BB264:BB267">
    <cfRule type="cellIs" dxfId="22465" priority="2107" operator="lessThan">
      <formula>0</formula>
    </cfRule>
    <cfRule type="cellIs" dxfId="22464" priority="2108" operator="lessThan">
      <formula>-105575</formula>
    </cfRule>
  </conditionalFormatting>
  <conditionalFormatting sqref="BB264:BB267">
    <cfRule type="cellIs" dxfId="22463" priority="2105" operator="lessThan">
      <formula>0</formula>
    </cfRule>
    <cfRule type="cellIs" dxfId="22462" priority="2106" operator="lessThan">
      <formula>-105575</formula>
    </cfRule>
  </conditionalFormatting>
  <conditionalFormatting sqref="BB264:BB267">
    <cfRule type="cellIs" dxfId="22461" priority="2103" operator="lessThan">
      <formula>0</formula>
    </cfRule>
    <cfRule type="cellIs" dxfId="22460" priority="2104" operator="lessThan">
      <formula>-105575</formula>
    </cfRule>
  </conditionalFormatting>
  <conditionalFormatting sqref="BB264:BB267">
    <cfRule type="cellIs" dxfId="22459" priority="2101" operator="lessThan">
      <formula>0</formula>
    </cfRule>
    <cfRule type="cellIs" dxfId="22458" priority="2102" operator="lessThan">
      <formula>-105575</formula>
    </cfRule>
  </conditionalFormatting>
  <conditionalFormatting sqref="BB264:BB267">
    <cfRule type="cellIs" dxfId="22457" priority="2099" operator="lessThan">
      <formula>0</formula>
    </cfRule>
    <cfRule type="cellIs" dxfId="22456" priority="2100" operator="lessThan">
      <formula>-105575</formula>
    </cfRule>
  </conditionalFormatting>
  <conditionalFormatting sqref="BB264:BB267">
    <cfRule type="cellIs" dxfId="22455" priority="2097" operator="lessThan">
      <formula>0</formula>
    </cfRule>
    <cfRule type="cellIs" dxfId="22454" priority="2098" operator="lessThan">
      <formula>-105575</formula>
    </cfRule>
  </conditionalFormatting>
  <conditionalFormatting sqref="BB264:BB267">
    <cfRule type="cellIs" dxfId="22453" priority="2095" operator="lessThan">
      <formula>0</formula>
    </cfRule>
    <cfRule type="cellIs" dxfId="22452" priority="2096" operator="lessThan">
      <formula>-105575</formula>
    </cfRule>
  </conditionalFormatting>
  <conditionalFormatting sqref="BB264:BB267">
    <cfRule type="cellIs" dxfId="22451" priority="2093" operator="lessThan">
      <formula>0</formula>
    </cfRule>
    <cfRule type="cellIs" dxfId="22450" priority="2094" operator="lessThan">
      <formula>-105575</formula>
    </cfRule>
  </conditionalFormatting>
  <conditionalFormatting sqref="BB270:BB272">
    <cfRule type="cellIs" dxfId="22449" priority="2091" operator="lessThan">
      <formula>0</formula>
    </cfRule>
    <cfRule type="cellIs" dxfId="22448" priority="2092" operator="lessThan">
      <formula>-105575</formula>
    </cfRule>
  </conditionalFormatting>
  <conditionalFormatting sqref="BB270:BB272">
    <cfRule type="cellIs" dxfId="22447" priority="2089" operator="lessThan">
      <formula>0</formula>
    </cfRule>
    <cfRule type="cellIs" dxfId="22446" priority="2090" operator="lessThan">
      <formula>-105575</formula>
    </cfRule>
  </conditionalFormatting>
  <conditionalFormatting sqref="BB270:BB272">
    <cfRule type="cellIs" dxfId="22445" priority="2087" operator="lessThan">
      <formula>0</formula>
    </cfRule>
    <cfRule type="cellIs" dxfId="22444" priority="2088" operator="lessThan">
      <formula>-105575</formula>
    </cfRule>
  </conditionalFormatting>
  <conditionalFormatting sqref="BB270:BB272">
    <cfRule type="cellIs" dxfId="22443" priority="2085" operator="lessThan">
      <formula>0</formula>
    </cfRule>
    <cfRule type="cellIs" dxfId="22442" priority="2086" operator="lessThan">
      <formula>-105575</formula>
    </cfRule>
  </conditionalFormatting>
  <conditionalFormatting sqref="BB270:BB272">
    <cfRule type="cellIs" dxfId="22441" priority="2083" operator="lessThan">
      <formula>0</formula>
    </cfRule>
    <cfRule type="cellIs" dxfId="22440" priority="2084" operator="lessThan">
      <formula>-105575</formula>
    </cfRule>
  </conditionalFormatting>
  <conditionalFormatting sqref="BB270:BB272">
    <cfRule type="cellIs" dxfId="22439" priority="2081" operator="lessThan">
      <formula>0</formula>
    </cfRule>
    <cfRule type="cellIs" dxfId="22438" priority="2082" operator="lessThan">
      <formula>-105575</formula>
    </cfRule>
  </conditionalFormatting>
  <conditionalFormatting sqref="BB270:BB272">
    <cfRule type="cellIs" dxfId="22437" priority="2079" operator="lessThan">
      <formula>0</formula>
    </cfRule>
    <cfRule type="cellIs" dxfId="22436" priority="2080" operator="lessThan">
      <formula>-105575</formula>
    </cfRule>
  </conditionalFormatting>
  <conditionalFormatting sqref="BB270:BB272">
    <cfRule type="cellIs" dxfId="22435" priority="2077" operator="lessThan">
      <formula>0</formula>
    </cfRule>
    <cfRule type="cellIs" dxfId="22434" priority="2078" operator="lessThan">
      <formula>-105575</formula>
    </cfRule>
  </conditionalFormatting>
  <conditionalFormatting sqref="BB270:BB272">
    <cfRule type="cellIs" dxfId="22433" priority="2075" operator="lessThan">
      <formula>0</formula>
    </cfRule>
    <cfRule type="cellIs" dxfId="22432" priority="2076" operator="lessThan">
      <formula>-105575</formula>
    </cfRule>
  </conditionalFormatting>
  <conditionalFormatting sqref="BB274:BB275">
    <cfRule type="cellIs" dxfId="22431" priority="2073" operator="lessThan">
      <formula>0</formula>
    </cfRule>
    <cfRule type="cellIs" dxfId="22430" priority="2074" operator="lessThan">
      <formula>-105575</formula>
    </cfRule>
  </conditionalFormatting>
  <conditionalFormatting sqref="BB274:BB275">
    <cfRule type="cellIs" dxfId="22429" priority="2071" operator="lessThan">
      <formula>0</formula>
    </cfRule>
    <cfRule type="cellIs" dxfId="22428" priority="2072" operator="lessThan">
      <formula>-105575</formula>
    </cfRule>
  </conditionalFormatting>
  <conditionalFormatting sqref="BB274:BB275">
    <cfRule type="cellIs" dxfId="22427" priority="2069" operator="lessThan">
      <formula>0</formula>
    </cfRule>
    <cfRule type="cellIs" dxfId="22426" priority="2070" operator="lessThan">
      <formula>-105575</formula>
    </cfRule>
  </conditionalFormatting>
  <conditionalFormatting sqref="BB274:BB275">
    <cfRule type="cellIs" dxfId="22425" priority="2067" operator="lessThan">
      <formula>0</formula>
    </cfRule>
    <cfRule type="cellIs" dxfId="22424" priority="2068" operator="lessThan">
      <formula>-105575</formula>
    </cfRule>
  </conditionalFormatting>
  <conditionalFormatting sqref="BB274:BB275">
    <cfRule type="cellIs" dxfId="22423" priority="2065" operator="lessThan">
      <formula>0</formula>
    </cfRule>
    <cfRule type="cellIs" dxfId="22422" priority="2066" operator="lessThan">
      <formula>-105575</formula>
    </cfRule>
  </conditionalFormatting>
  <conditionalFormatting sqref="BB274:BB275">
    <cfRule type="cellIs" dxfId="22421" priority="2063" operator="lessThan">
      <formula>0</formula>
    </cfRule>
    <cfRule type="cellIs" dxfId="22420" priority="2064" operator="lessThan">
      <formula>-105575</formula>
    </cfRule>
  </conditionalFormatting>
  <conditionalFormatting sqref="BB274:BB275">
    <cfRule type="cellIs" dxfId="22419" priority="2061" operator="lessThan">
      <formula>0</formula>
    </cfRule>
    <cfRule type="cellIs" dxfId="22418" priority="2062" operator="lessThan">
      <formula>-105575</formula>
    </cfRule>
  </conditionalFormatting>
  <conditionalFormatting sqref="BB274:BB275">
    <cfRule type="cellIs" dxfId="22417" priority="2059" operator="lessThan">
      <formula>0</formula>
    </cfRule>
    <cfRule type="cellIs" dxfId="22416" priority="2060" operator="lessThan">
      <formula>-105575</formula>
    </cfRule>
  </conditionalFormatting>
  <conditionalFormatting sqref="BB274:BB275">
    <cfRule type="cellIs" dxfId="22415" priority="2057" operator="lessThan">
      <formula>0</formula>
    </cfRule>
    <cfRule type="cellIs" dxfId="22414" priority="2058" operator="lessThan">
      <formula>-105575</formula>
    </cfRule>
  </conditionalFormatting>
  <conditionalFormatting sqref="BB278:BB282">
    <cfRule type="cellIs" dxfId="22413" priority="2055" operator="lessThan">
      <formula>0</formula>
    </cfRule>
    <cfRule type="cellIs" dxfId="22412" priority="2056" operator="lessThan">
      <formula>-105575</formula>
    </cfRule>
  </conditionalFormatting>
  <conditionalFormatting sqref="BB278:BB282">
    <cfRule type="cellIs" dxfId="22411" priority="2053" operator="lessThan">
      <formula>0</formula>
    </cfRule>
    <cfRule type="cellIs" dxfId="22410" priority="2054" operator="lessThan">
      <formula>-105575</formula>
    </cfRule>
  </conditionalFormatting>
  <conditionalFormatting sqref="BB278:BB282">
    <cfRule type="cellIs" dxfId="22409" priority="2051" operator="lessThan">
      <formula>0</formula>
    </cfRule>
    <cfRule type="cellIs" dxfId="22408" priority="2052" operator="lessThan">
      <formula>-105575</formula>
    </cfRule>
  </conditionalFormatting>
  <conditionalFormatting sqref="BB278:BB282">
    <cfRule type="cellIs" dxfId="22407" priority="2049" operator="lessThan">
      <formula>0</formula>
    </cfRule>
    <cfRule type="cellIs" dxfId="22406" priority="2050" operator="lessThan">
      <formula>-105575</formula>
    </cfRule>
  </conditionalFormatting>
  <conditionalFormatting sqref="BB278:BB282">
    <cfRule type="cellIs" dxfId="22405" priority="2047" operator="lessThan">
      <formula>0</formula>
    </cfRule>
    <cfRule type="cellIs" dxfId="22404" priority="2048" operator="lessThan">
      <formula>-105575</formula>
    </cfRule>
  </conditionalFormatting>
  <conditionalFormatting sqref="BB278:BB282">
    <cfRule type="cellIs" dxfId="22403" priority="2045" operator="lessThan">
      <formula>0</formula>
    </cfRule>
    <cfRule type="cellIs" dxfId="22402" priority="2046" operator="lessThan">
      <formula>-105575</formula>
    </cfRule>
  </conditionalFormatting>
  <conditionalFormatting sqref="BB278:BB282">
    <cfRule type="cellIs" dxfId="22401" priority="2043" operator="lessThan">
      <formula>0</formula>
    </cfRule>
    <cfRule type="cellIs" dxfId="22400" priority="2044" operator="lessThan">
      <formula>-105575</formula>
    </cfRule>
  </conditionalFormatting>
  <conditionalFormatting sqref="BB278:BB282">
    <cfRule type="cellIs" dxfId="22399" priority="2041" operator="lessThan">
      <formula>0</formula>
    </cfRule>
    <cfRule type="cellIs" dxfId="22398" priority="2042" operator="lessThan">
      <formula>-105575</formula>
    </cfRule>
  </conditionalFormatting>
  <conditionalFormatting sqref="BB278:BB282">
    <cfRule type="cellIs" dxfId="22397" priority="2039" operator="lessThan">
      <formula>0</formula>
    </cfRule>
    <cfRule type="cellIs" dxfId="22396" priority="2040" operator="lessThan">
      <formula>-105575</formula>
    </cfRule>
  </conditionalFormatting>
  <conditionalFormatting sqref="BB285:BB288">
    <cfRule type="cellIs" dxfId="22395" priority="2037" operator="lessThan">
      <formula>0</formula>
    </cfRule>
    <cfRule type="cellIs" dxfId="22394" priority="2038" operator="lessThan">
      <formula>-105575</formula>
    </cfRule>
  </conditionalFormatting>
  <conditionalFormatting sqref="BB285:BB288">
    <cfRule type="cellIs" dxfId="22393" priority="2035" operator="lessThan">
      <formula>0</formula>
    </cfRule>
    <cfRule type="cellIs" dxfId="22392" priority="2036" operator="lessThan">
      <formula>-105575</formula>
    </cfRule>
  </conditionalFormatting>
  <conditionalFormatting sqref="BB285:BB288">
    <cfRule type="cellIs" dxfId="22391" priority="2033" operator="lessThan">
      <formula>0</formula>
    </cfRule>
    <cfRule type="cellIs" dxfId="22390" priority="2034" operator="lessThan">
      <formula>-105575</formula>
    </cfRule>
  </conditionalFormatting>
  <conditionalFormatting sqref="BB285:BB288">
    <cfRule type="cellIs" dxfId="22389" priority="2031" operator="lessThan">
      <formula>0</formula>
    </cfRule>
    <cfRule type="cellIs" dxfId="22388" priority="2032" operator="lessThan">
      <formula>-105575</formula>
    </cfRule>
  </conditionalFormatting>
  <conditionalFormatting sqref="BB285:BB288">
    <cfRule type="cellIs" dxfId="22387" priority="2029" operator="lessThan">
      <formula>0</formula>
    </cfRule>
    <cfRule type="cellIs" dxfId="22386" priority="2030" operator="lessThan">
      <formula>-105575</formula>
    </cfRule>
  </conditionalFormatting>
  <conditionalFormatting sqref="BB285:BB288">
    <cfRule type="cellIs" dxfId="22385" priority="2027" operator="lessThan">
      <formula>0</formula>
    </cfRule>
    <cfRule type="cellIs" dxfId="22384" priority="2028" operator="lessThan">
      <formula>-105575</formula>
    </cfRule>
  </conditionalFormatting>
  <conditionalFormatting sqref="BB285:BB288">
    <cfRule type="cellIs" dxfId="22383" priority="2025" operator="lessThan">
      <formula>0</formula>
    </cfRule>
    <cfRule type="cellIs" dxfId="22382" priority="2026" operator="lessThan">
      <formula>-105575</formula>
    </cfRule>
  </conditionalFormatting>
  <conditionalFormatting sqref="BB285:BB288">
    <cfRule type="cellIs" dxfId="22381" priority="2023" operator="lessThan">
      <formula>0</formula>
    </cfRule>
    <cfRule type="cellIs" dxfId="22380" priority="2024" operator="lessThan">
      <formula>-105575</formula>
    </cfRule>
  </conditionalFormatting>
  <conditionalFormatting sqref="BB285:BB288">
    <cfRule type="cellIs" dxfId="22379" priority="2021" operator="lessThan">
      <formula>0</formula>
    </cfRule>
    <cfRule type="cellIs" dxfId="22378" priority="2022" operator="lessThan">
      <formula>-105575</formula>
    </cfRule>
  </conditionalFormatting>
  <conditionalFormatting sqref="BB203 BB220:BB221 BB235:BB243 BB231:BB233 BB212:BB213 BB225:BB226">
    <cfRule type="cellIs" dxfId="22377" priority="2019" operator="lessThan">
      <formula>0</formula>
    </cfRule>
    <cfRule type="cellIs" dxfId="22376" priority="2020" operator="lessThan">
      <formula>-105575</formula>
    </cfRule>
  </conditionalFormatting>
  <conditionalFormatting sqref="BB220 BB212:BB213 BB235:BB238 BB240:BB243 BB225:BB226 BB231:BB233">
    <cfRule type="cellIs" dxfId="22375" priority="2017" operator="lessThan">
      <formula>0</formula>
    </cfRule>
    <cfRule type="cellIs" dxfId="22374" priority="2018" operator="lessThan">
      <formula>-105575</formula>
    </cfRule>
  </conditionalFormatting>
  <conditionalFormatting sqref="BB220:BB221 BB243 BB226 BB231:BB236 BB238:BB241 BB203 BB213">
    <cfRule type="cellIs" dxfId="22373" priority="2015" operator="lessThan">
      <formula>0</formula>
    </cfRule>
    <cfRule type="cellIs" dxfId="22372" priority="2016" operator="lessThan">
      <formula>-105575</formula>
    </cfRule>
  </conditionalFormatting>
  <conditionalFormatting sqref="BB235:BB243 BB231:BB233 BB220 BB212:BB213 BB225:BB226">
    <cfRule type="cellIs" dxfId="22371" priority="2013" operator="lessThan">
      <formula>0</formula>
    </cfRule>
    <cfRule type="cellIs" dxfId="22370" priority="2014" operator="lessThan">
      <formula>-105575</formula>
    </cfRule>
  </conditionalFormatting>
  <conditionalFormatting sqref="BB220:BB221 BB237:BB243 BB203 BB231:BB235 BB212:BB213 BB225:BB226">
    <cfRule type="cellIs" dxfId="22369" priority="2011" operator="lessThan">
      <formula>0</formula>
    </cfRule>
    <cfRule type="cellIs" dxfId="22368" priority="2012" operator="lessThan">
      <formula>-105575</formula>
    </cfRule>
  </conditionalFormatting>
  <conditionalFormatting sqref="BB220:BB221 BB237:BB240 BB242:BB243 BB225:BB226 BB231:BB235">
    <cfRule type="cellIs" dxfId="22367" priority="2009" operator="lessThan">
      <formula>0</formula>
    </cfRule>
    <cfRule type="cellIs" dxfId="22366" priority="2010" operator="lessThan">
      <formula>-105575</formula>
    </cfRule>
  </conditionalFormatting>
  <conditionalFormatting sqref="BB212 BB231 BB233:BB238 BB240:BB243 BB225">
    <cfRule type="cellIs" dxfId="22365" priority="2007" operator="lessThan">
      <formula>0</formula>
    </cfRule>
    <cfRule type="cellIs" dxfId="22364" priority="2008" operator="lessThan">
      <formula>-105575</formula>
    </cfRule>
  </conditionalFormatting>
  <conditionalFormatting sqref="BB237:BB243 BB231:BB235 BB220:BB221 BB225:BB226">
    <cfRule type="cellIs" dxfId="22363" priority="2005" operator="lessThan">
      <formula>0</formula>
    </cfRule>
    <cfRule type="cellIs" dxfId="22362" priority="2006" operator="lessThan">
      <formula>-105575</formula>
    </cfRule>
  </conditionalFormatting>
  <conditionalFormatting sqref="BB233:BB237 BB231 BB239:BB243">
    <cfRule type="cellIs" dxfId="22361" priority="2003" operator="lessThan">
      <formula>0</formula>
    </cfRule>
    <cfRule type="cellIs" dxfId="22360" priority="2004" operator="lessThan">
      <formula>-105575</formula>
    </cfRule>
  </conditionalFormatting>
  <conditionalFormatting sqref="BB233:BB237 BB231 BB239:BB243">
    <cfRule type="cellIs" dxfId="22359" priority="2001" operator="lessThan">
      <formula>0</formula>
    </cfRule>
    <cfRule type="cellIs" dxfId="22358" priority="2002" operator="lessThan">
      <formula>-105575</formula>
    </cfRule>
  </conditionalFormatting>
  <conditionalFormatting sqref="BB119:BB128 BB106:BB117 BB101:BB104 BB80:BB98">
    <cfRule type="cellIs" dxfId="22357" priority="1999" operator="lessThan">
      <formula>0</formula>
    </cfRule>
    <cfRule type="cellIs" dxfId="22356" priority="2000" operator="lessThan">
      <formula>-105575</formula>
    </cfRule>
  </conditionalFormatting>
  <conditionalFormatting sqref="BB130 BB132 BB134">
    <cfRule type="cellIs" dxfId="22355" priority="1997" operator="lessThan">
      <formula>0</formula>
    </cfRule>
    <cfRule type="cellIs" dxfId="22354" priority="1998" operator="lessThan">
      <formula>-105575</formula>
    </cfRule>
  </conditionalFormatting>
  <conditionalFormatting sqref="BB130 BB132 BB134">
    <cfRule type="cellIs" dxfId="22353" priority="1995" operator="lessThan">
      <formula>0</formula>
    </cfRule>
    <cfRule type="cellIs" dxfId="22352" priority="1996" operator="lessThan">
      <formula>-105575</formula>
    </cfRule>
  </conditionalFormatting>
  <conditionalFormatting sqref="BB129 BB131 BB133 BB135">
    <cfRule type="cellIs" dxfId="22351" priority="1993" operator="lessThan">
      <formula>0</formula>
    </cfRule>
    <cfRule type="cellIs" dxfId="22350" priority="1994" operator="lessThan">
      <formula>-105575</formula>
    </cfRule>
  </conditionalFormatting>
  <conditionalFormatting sqref="BB140 BB145 BB142:BB143 BB137:BB138">
    <cfRule type="cellIs" dxfId="22349" priority="1991" operator="lessThan">
      <formula>0</formula>
    </cfRule>
    <cfRule type="cellIs" dxfId="22348" priority="1992" operator="lessThan">
      <formula>-105575</formula>
    </cfRule>
  </conditionalFormatting>
  <conditionalFormatting sqref="BB149">
    <cfRule type="cellIs" dxfId="22347" priority="1989" operator="lessThan">
      <formula>0</formula>
    </cfRule>
    <cfRule type="cellIs" dxfId="22346" priority="1990" operator="lessThan">
      <formula>-105575</formula>
    </cfRule>
  </conditionalFormatting>
  <conditionalFormatting sqref="BB129:BB138 BB140:BB149">
    <cfRule type="cellIs" dxfId="22345" priority="1987" operator="lessThan">
      <formula>0</formula>
    </cfRule>
    <cfRule type="cellIs" dxfId="22344" priority="1988" operator="lessThan">
      <formula>-105575</formula>
    </cfRule>
  </conditionalFormatting>
  <conditionalFormatting sqref="BB94:BB98 BB86:BB87 BB89:BB91 BB141:BB149 BB124:BB133 BB107:BB110 BB112:BB117 BB119:BB122 BB135:BB138 BB101:BB104 BB80:BB84">
    <cfRule type="cellIs" dxfId="22343" priority="1985" operator="lessThan">
      <formula>0</formula>
    </cfRule>
    <cfRule type="cellIs" dxfId="22342" priority="1986" operator="lessThan">
      <formula>-105575</formula>
    </cfRule>
  </conditionalFormatting>
  <conditionalFormatting sqref="BB129 BB131 BB133 BB135">
    <cfRule type="cellIs" dxfId="22341" priority="1983" operator="lessThan">
      <formula>0</formula>
    </cfRule>
    <cfRule type="cellIs" dxfId="22340" priority="1984" operator="lessThan">
      <formula>-105575</formula>
    </cfRule>
  </conditionalFormatting>
  <conditionalFormatting sqref="BB146 BB144 BB141">
    <cfRule type="cellIs" dxfId="22339" priority="1981" operator="lessThan">
      <formula>0</formula>
    </cfRule>
    <cfRule type="cellIs" dxfId="22338" priority="1982" operator="lessThan">
      <formula>-105575</formula>
    </cfRule>
  </conditionalFormatting>
  <conditionalFormatting sqref="BB146 BB144 BB141">
    <cfRule type="cellIs" dxfId="22337" priority="1979" operator="lessThan">
      <formula>0</formula>
    </cfRule>
    <cfRule type="cellIs" dxfId="22336" priority="1980" operator="lessThan">
      <formula>-105575</formula>
    </cfRule>
  </conditionalFormatting>
  <conditionalFormatting sqref="BB140 BB145 BB142:BB143 BB137:BB138">
    <cfRule type="cellIs" dxfId="22335" priority="1977" operator="lessThan">
      <formula>0</formula>
    </cfRule>
    <cfRule type="cellIs" dxfId="22334" priority="1978" operator="lessThan">
      <formula>-105575</formula>
    </cfRule>
  </conditionalFormatting>
  <conditionalFormatting sqref="BB149">
    <cfRule type="cellIs" dxfId="22333" priority="1975" operator="lessThan">
      <formula>0</formula>
    </cfRule>
    <cfRule type="cellIs" dxfId="22332" priority="1976" operator="lessThan">
      <formula>-105575</formula>
    </cfRule>
  </conditionalFormatting>
  <conditionalFormatting sqref="BB94:BB98 BB86:BB87 BB89:BB91 BB141:BB149 BB124:BB133 BB107:BB110 BB112:BB117 BB119:BB122 BB135:BB138 BB101:BB104 BB80:BB84">
    <cfRule type="cellIs" dxfId="22331" priority="1973" operator="lessThan">
      <formula>0</formula>
    </cfRule>
    <cfRule type="cellIs" dxfId="22330" priority="1974" operator="lessThan">
      <formula>-105575</formula>
    </cfRule>
  </conditionalFormatting>
  <conditionalFormatting sqref="BB246:BB249 BB262 BB267 BB279:BB282 BB285:BB288 BB274:BB275 BB306:BB309 BB311:BB325 BB327:BB330 BB332:BB341 BB344:BB347 BB349:BB353 BB355:BB358 BB360:BB384 BB386:BB389 BB392:BB395 BB397:BB411 BB413:BB416 BB418:BB432 BB434:BB437 BB439:BB453 BB455:BB458 BB460:BB469 BB7:BB10 BB12:BB14 BB17:BB18 BB21:BB24 BB26:BB28 BB30:BB36 BB38 BB41:BB43 BB46:BB49 BB51:BB55 BB57:BB59 BB62:BB76 BB251:BB253 BB255:BB257 BB293:BB304 BB264:BB265 BB260 BB290:BB291 BB270:BB272">
    <cfRule type="cellIs" dxfId="22329" priority="1971" operator="lessThan">
      <formula>0</formula>
    </cfRule>
    <cfRule type="cellIs" dxfId="22328" priority="1972" operator="lessThan">
      <formula>-105575</formula>
    </cfRule>
  </conditionalFormatting>
  <conditionalFormatting sqref="BB41">
    <cfRule type="cellIs" dxfId="22327" priority="1969" operator="lessThan">
      <formula>0</formula>
    </cfRule>
    <cfRule type="cellIs" dxfId="22326" priority="1970" operator="lessThan">
      <formula>-105575</formula>
    </cfRule>
  </conditionalFormatting>
  <conditionalFormatting sqref="BB152:BB155">
    <cfRule type="cellIs" dxfId="22325" priority="1967" operator="lessThan">
      <formula>0</formula>
    </cfRule>
    <cfRule type="cellIs" dxfId="22324" priority="1968" operator="lessThan">
      <formula>-105575</formula>
    </cfRule>
  </conditionalFormatting>
  <conditionalFormatting sqref="BB152:BB155">
    <cfRule type="cellIs" dxfId="22323" priority="1965" operator="lessThan">
      <formula>0</formula>
    </cfRule>
    <cfRule type="cellIs" dxfId="22322" priority="1966" operator="lessThan">
      <formula>-105575</formula>
    </cfRule>
  </conditionalFormatting>
  <conditionalFormatting sqref="BB152:BB155">
    <cfRule type="cellIs" dxfId="22321" priority="1963" operator="lessThan">
      <formula>0</formula>
    </cfRule>
    <cfRule type="cellIs" dxfId="22320" priority="1964" operator="lessThan">
      <formula>-105575</formula>
    </cfRule>
  </conditionalFormatting>
  <conditionalFormatting sqref="BB157:BB158">
    <cfRule type="cellIs" dxfId="22319" priority="1961" operator="lessThan">
      <formula>0</formula>
    </cfRule>
    <cfRule type="cellIs" dxfId="22318" priority="1962" operator="lessThan">
      <formula>-105575</formula>
    </cfRule>
  </conditionalFormatting>
  <conditionalFormatting sqref="BB157:BB158">
    <cfRule type="cellIs" dxfId="22317" priority="1959" operator="lessThan">
      <formula>0</formula>
    </cfRule>
    <cfRule type="cellIs" dxfId="22316" priority="1960" operator="lessThan">
      <formula>-105575</formula>
    </cfRule>
  </conditionalFormatting>
  <conditionalFormatting sqref="BB157:BB158">
    <cfRule type="cellIs" dxfId="22315" priority="1957" operator="lessThan">
      <formula>0</formula>
    </cfRule>
    <cfRule type="cellIs" dxfId="22314" priority="1958" operator="lessThan">
      <formula>-105575</formula>
    </cfRule>
  </conditionalFormatting>
  <conditionalFormatting sqref="BB160:BB161">
    <cfRule type="cellIs" dxfId="22313" priority="1955" operator="lessThan">
      <formula>0</formula>
    </cfRule>
    <cfRule type="cellIs" dxfId="22312" priority="1956" operator="lessThan">
      <formula>-105575</formula>
    </cfRule>
  </conditionalFormatting>
  <conditionalFormatting sqref="BB160:BB161">
    <cfRule type="cellIs" dxfId="22311" priority="1953" operator="lessThan">
      <formula>0</formula>
    </cfRule>
    <cfRule type="cellIs" dxfId="22310" priority="1954" operator="lessThan">
      <formula>-105575</formula>
    </cfRule>
  </conditionalFormatting>
  <conditionalFormatting sqref="BB160:BB161">
    <cfRule type="cellIs" dxfId="22309" priority="1951" operator="lessThan">
      <formula>0</formula>
    </cfRule>
    <cfRule type="cellIs" dxfId="22308" priority="1952" operator="lessThan">
      <formula>-105575</formula>
    </cfRule>
  </conditionalFormatting>
  <conditionalFormatting sqref="BB164:BB167">
    <cfRule type="cellIs" dxfId="22307" priority="1949" operator="lessThan">
      <formula>0</formula>
    </cfRule>
    <cfRule type="cellIs" dxfId="22306" priority="1950" operator="lessThan">
      <formula>-105575</formula>
    </cfRule>
  </conditionalFormatting>
  <conditionalFormatting sqref="BB164:BB167">
    <cfRule type="cellIs" dxfId="22305" priority="1947" operator="lessThan">
      <formula>0</formula>
    </cfRule>
    <cfRule type="cellIs" dxfId="22304" priority="1948" operator="lessThan">
      <formula>-105575</formula>
    </cfRule>
  </conditionalFormatting>
  <conditionalFormatting sqref="BB164:BB167">
    <cfRule type="cellIs" dxfId="22303" priority="1945" operator="lessThan">
      <formula>0</formula>
    </cfRule>
    <cfRule type="cellIs" dxfId="22302" priority="1946" operator="lessThan">
      <formula>-105575</formula>
    </cfRule>
  </conditionalFormatting>
  <conditionalFormatting sqref="BB169:BB177">
    <cfRule type="cellIs" dxfId="22301" priority="1943" operator="lessThan">
      <formula>0</formula>
    </cfRule>
    <cfRule type="cellIs" dxfId="22300" priority="1944" operator="lessThan">
      <formula>-105575</formula>
    </cfRule>
  </conditionalFormatting>
  <conditionalFormatting sqref="BB169:BB177">
    <cfRule type="cellIs" dxfId="22299" priority="1941" operator="lessThan">
      <formula>0</formula>
    </cfRule>
    <cfRule type="cellIs" dxfId="22298" priority="1942" operator="lessThan">
      <formula>-105575</formula>
    </cfRule>
  </conditionalFormatting>
  <conditionalFormatting sqref="BB169:BB177">
    <cfRule type="cellIs" dxfId="22297" priority="1939" operator="lessThan">
      <formula>0</formula>
    </cfRule>
    <cfRule type="cellIs" dxfId="22296" priority="1940" operator="lessThan">
      <formula>-105575</formula>
    </cfRule>
  </conditionalFormatting>
  <conditionalFormatting sqref="BB179:BB180">
    <cfRule type="cellIs" dxfId="22295" priority="1937" operator="lessThan">
      <formula>0</formula>
    </cfRule>
    <cfRule type="cellIs" dxfId="22294" priority="1938" operator="lessThan">
      <formula>-105575</formula>
    </cfRule>
  </conditionalFormatting>
  <conditionalFormatting sqref="BB179:BB180">
    <cfRule type="cellIs" dxfId="22293" priority="1935" operator="lessThan">
      <formula>0</formula>
    </cfRule>
    <cfRule type="cellIs" dxfId="22292" priority="1936" operator="lessThan">
      <formula>-105575</formula>
    </cfRule>
  </conditionalFormatting>
  <conditionalFormatting sqref="BB179:BB180">
    <cfRule type="cellIs" dxfId="22291" priority="1933" operator="lessThan">
      <formula>0</formula>
    </cfRule>
    <cfRule type="cellIs" dxfId="22290" priority="1934" operator="lessThan">
      <formula>-105575</formula>
    </cfRule>
  </conditionalFormatting>
  <conditionalFormatting sqref="BB183:BB189">
    <cfRule type="cellIs" dxfId="22289" priority="1931" operator="lessThan">
      <formula>0</formula>
    </cfRule>
    <cfRule type="cellIs" dxfId="22288" priority="1932" operator="lessThan">
      <formula>-105575</formula>
    </cfRule>
  </conditionalFormatting>
  <conditionalFormatting sqref="BB183:BB189">
    <cfRule type="cellIs" dxfId="22287" priority="1929" operator="lessThan">
      <formula>0</formula>
    </cfRule>
    <cfRule type="cellIs" dxfId="22286" priority="1930" operator="lessThan">
      <formula>-105575</formula>
    </cfRule>
  </conditionalFormatting>
  <conditionalFormatting sqref="BB183:BB189">
    <cfRule type="cellIs" dxfId="22285" priority="1927" operator="lessThan">
      <formula>0</formula>
    </cfRule>
    <cfRule type="cellIs" dxfId="22284" priority="1928" operator="lessThan">
      <formula>-105575</formula>
    </cfRule>
  </conditionalFormatting>
  <conditionalFormatting sqref="BB191:BB192">
    <cfRule type="cellIs" dxfId="22283" priority="1925" operator="lessThan">
      <formula>0</formula>
    </cfRule>
    <cfRule type="cellIs" dxfId="22282" priority="1926" operator="lessThan">
      <formula>-105575</formula>
    </cfRule>
  </conditionalFormatting>
  <conditionalFormatting sqref="BB191:BB192">
    <cfRule type="cellIs" dxfId="22281" priority="1923" operator="lessThan">
      <formula>0</formula>
    </cfRule>
    <cfRule type="cellIs" dxfId="22280" priority="1924" operator="lessThan">
      <formula>-105575</formula>
    </cfRule>
  </conditionalFormatting>
  <conditionalFormatting sqref="BB191:BB192">
    <cfRule type="cellIs" dxfId="22279" priority="1921" operator="lessThan">
      <formula>0</formula>
    </cfRule>
    <cfRule type="cellIs" dxfId="22278" priority="1922" operator="lessThan">
      <formula>-105575</formula>
    </cfRule>
  </conditionalFormatting>
  <conditionalFormatting sqref="BB194:BB195">
    <cfRule type="cellIs" dxfId="22277" priority="1919" operator="lessThan">
      <formula>0</formula>
    </cfRule>
    <cfRule type="cellIs" dxfId="22276" priority="1920" operator="lessThan">
      <formula>-105575</formula>
    </cfRule>
  </conditionalFormatting>
  <conditionalFormatting sqref="BB194:BB195">
    <cfRule type="cellIs" dxfId="22275" priority="1917" operator="lessThan">
      <formula>0</formula>
    </cfRule>
    <cfRule type="cellIs" dxfId="22274" priority="1918" operator="lessThan">
      <formula>-105575</formula>
    </cfRule>
  </conditionalFormatting>
  <conditionalFormatting sqref="BB194:BB195">
    <cfRule type="cellIs" dxfId="22273" priority="1915" operator="lessThan">
      <formula>0</formula>
    </cfRule>
    <cfRule type="cellIs" dxfId="22272" priority="1916" operator="lessThan">
      <formula>-105575</formula>
    </cfRule>
  </conditionalFormatting>
  <conditionalFormatting sqref="BB199:BB202">
    <cfRule type="cellIs" dxfId="22271" priority="1913" operator="lessThan">
      <formula>0</formula>
    </cfRule>
    <cfRule type="cellIs" dxfId="22270" priority="1914" operator="lessThan">
      <formula>-105575</formula>
    </cfRule>
  </conditionalFormatting>
  <conditionalFormatting sqref="BB199:BB202">
    <cfRule type="cellIs" dxfId="22269" priority="1911" operator="lessThan">
      <formula>0</formula>
    </cfRule>
    <cfRule type="cellIs" dxfId="22268" priority="1912" operator="lessThan">
      <formula>-105575</formula>
    </cfRule>
  </conditionalFormatting>
  <conditionalFormatting sqref="BB199:BB202">
    <cfRule type="cellIs" dxfId="22267" priority="1909" operator="lessThan">
      <formula>0</formula>
    </cfRule>
    <cfRule type="cellIs" dxfId="22266" priority="1910" operator="lessThan">
      <formula>-105575</formula>
    </cfRule>
  </conditionalFormatting>
  <conditionalFormatting sqref="BB204:BB208">
    <cfRule type="cellIs" dxfId="22265" priority="1907" operator="lessThan">
      <formula>0</formula>
    </cfRule>
    <cfRule type="cellIs" dxfId="22264" priority="1908" operator="lessThan">
      <formula>-105575</formula>
    </cfRule>
  </conditionalFormatting>
  <conditionalFormatting sqref="BB204:BB208">
    <cfRule type="cellIs" dxfId="22263" priority="1905" operator="lessThan">
      <formula>0</formula>
    </cfRule>
    <cfRule type="cellIs" dxfId="22262" priority="1906" operator="lessThan">
      <formula>-105575</formula>
    </cfRule>
  </conditionalFormatting>
  <conditionalFormatting sqref="BB204:BB208">
    <cfRule type="cellIs" dxfId="22261" priority="1903" operator="lessThan">
      <formula>0</formula>
    </cfRule>
    <cfRule type="cellIs" dxfId="22260" priority="1904" operator="lessThan">
      <formula>-105575</formula>
    </cfRule>
  </conditionalFormatting>
  <conditionalFormatting sqref="BB210:BB211">
    <cfRule type="cellIs" dxfId="22259" priority="1901" operator="lessThan">
      <formula>0</formula>
    </cfRule>
    <cfRule type="cellIs" dxfId="22258" priority="1902" operator="lessThan">
      <formula>-105575</formula>
    </cfRule>
  </conditionalFormatting>
  <conditionalFormatting sqref="BB210:BB211">
    <cfRule type="cellIs" dxfId="22257" priority="1899" operator="lessThan">
      <formula>0</formula>
    </cfRule>
    <cfRule type="cellIs" dxfId="22256" priority="1900" operator="lessThan">
      <formula>-105575</formula>
    </cfRule>
  </conditionalFormatting>
  <conditionalFormatting sqref="BB210:BB211">
    <cfRule type="cellIs" dxfId="22255" priority="1897" operator="lessThan">
      <formula>0</formula>
    </cfRule>
    <cfRule type="cellIs" dxfId="22254" priority="1898" operator="lessThan">
      <formula>-105575</formula>
    </cfRule>
  </conditionalFormatting>
  <conditionalFormatting sqref="BB214:BB219">
    <cfRule type="cellIs" dxfId="22253" priority="1895" operator="lessThan">
      <formula>0</formula>
    </cfRule>
    <cfRule type="cellIs" dxfId="22252" priority="1896" operator="lessThan">
      <formula>-105575</formula>
    </cfRule>
  </conditionalFormatting>
  <conditionalFormatting sqref="BB214:BB219">
    <cfRule type="cellIs" dxfId="22251" priority="1893" operator="lessThan">
      <formula>0</formula>
    </cfRule>
    <cfRule type="cellIs" dxfId="22250" priority="1894" operator="lessThan">
      <formula>-105575</formula>
    </cfRule>
  </conditionalFormatting>
  <conditionalFormatting sqref="BB214:BB219">
    <cfRule type="cellIs" dxfId="22249" priority="1891" operator="lessThan">
      <formula>0</formula>
    </cfRule>
    <cfRule type="cellIs" dxfId="22248" priority="1892" operator="lessThan">
      <formula>-105575</formula>
    </cfRule>
  </conditionalFormatting>
  <conditionalFormatting sqref="BB222:BB224">
    <cfRule type="cellIs" dxfId="22247" priority="1889" operator="lessThan">
      <formula>0</formula>
    </cfRule>
    <cfRule type="cellIs" dxfId="22246" priority="1890" operator="lessThan">
      <formula>-105575</formula>
    </cfRule>
  </conditionalFormatting>
  <conditionalFormatting sqref="BB222:BB224">
    <cfRule type="cellIs" dxfId="22245" priority="1887" operator="lessThan">
      <formula>0</formula>
    </cfRule>
    <cfRule type="cellIs" dxfId="22244" priority="1888" operator="lessThan">
      <formula>-105575</formula>
    </cfRule>
  </conditionalFormatting>
  <conditionalFormatting sqref="BB222:BB224">
    <cfRule type="cellIs" dxfId="22243" priority="1885" operator="lessThan">
      <formula>0</formula>
    </cfRule>
    <cfRule type="cellIs" dxfId="22242" priority="1886" operator="lessThan">
      <formula>-105575</formula>
    </cfRule>
  </conditionalFormatting>
  <conditionalFormatting sqref="BB227:BB230">
    <cfRule type="cellIs" dxfId="22241" priority="1883" operator="lessThan">
      <formula>0</formula>
    </cfRule>
    <cfRule type="cellIs" dxfId="22240" priority="1884" operator="lessThan">
      <formula>-105575</formula>
    </cfRule>
  </conditionalFormatting>
  <conditionalFormatting sqref="BB227:BB230">
    <cfRule type="cellIs" dxfId="22239" priority="1881" operator="lessThan">
      <formula>0</formula>
    </cfRule>
    <cfRule type="cellIs" dxfId="22238" priority="1882" operator="lessThan">
      <formula>-105575</formula>
    </cfRule>
  </conditionalFormatting>
  <conditionalFormatting sqref="BB227:BB230">
    <cfRule type="cellIs" dxfId="22237" priority="1879" operator="lessThan">
      <formula>0</formula>
    </cfRule>
    <cfRule type="cellIs" dxfId="22236" priority="1880" operator="lessThan">
      <formula>-105575</formula>
    </cfRule>
  </conditionalFormatting>
  <conditionalFormatting sqref="BB203 BB220:BB221 BB235:BB243 BB231:BB233 BB212:BB213 BB225:BB226">
    <cfRule type="cellIs" dxfId="22235" priority="1877" operator="lessThan">
      <formula>0</formula>
    </cfRule>
    <cfRule type="cellIs" dxfId="22234" priority="1878" operator="lessThan">
      <formula>-105575</formula>
    </cfRule>
  </conditionalFormatting>
  <conditionalFormatting sqref="BB220 BB212:BB213 BB235:BB238 BB240:BB243 BB225:BB226 BB231:BB233">
    <cfRule type="cellIs" dxfId="22233" priority="1875" operator="lessThan">
      <formula>0</formula>
    </cfRule>
    <cfRule type="cellIs" dxfId="22232" priority="1876" operator="lessThan">
      <formula>-105575</formula>
    </cfRule>
  </conditionalFormatting>
  <conditionalFormatting sqref="BB220:BB221 BB243 BB226 BB231:BB236 BB238:BB241 BB203 BB213">
    <cfRule type="cellIs" dxfId="22231" priority="1873" operator="lessThan">
      <formula>0</formula>
    </cfRule>
    <cfRule type="cellIs" dxfId="22230" priority="1874" operator="lessThan">
      <formula>-105575</formula>
    </cfRule>
  </conditionalFormatting>
  <conditionalFormatting sqref="BB235:BB243 BB231:BB233 BB220 BB212:BB213 BB225:BB226">
    <cfRule type="cellIs" dxfId="22229" priority="1871" operator="lessThan">
      <formula>0</formula>
    </cfRule>
    <cfRule type="cellIs" dxfId="22228" priority="1872" operator="lessThan">
      <formula>-105575</formula>
    </cfRule>
  </conditionalFormatting>
  <conditionalFormatting sqref="BB220:BB221 BB237:BB243 BB203 BB231:BB235 BB212:BB213 BB225:BB226">
    <cfRule type="cellIs" dxfId="22227" priority="1869" operator="lessThan">
      <formula>0</formula>
    </cfRule>
    <cfRule type="cellIs" dxfId="22226" priority="1870" operator="lessThan">
      <formula>-105575</formula>
    </cfRule>
  </conditionalFormatting>
  <conditionalFormatting sqref="BB220:BB221 BB237:BB240 BB242:BB243 BB225:BB226 BB231:BB235">
    <cfRule type="cellIs" dxfId="22225" priority="1867" operator="lessThan">
      <formula>0</formula>
    </cfRule>
    <cfRule type="cellIs" dxfId="22224" priority="1868" operator="lessThan">
      <formula>-105575</formula>
    </cfRule>
  </conditionalFormatting>
  <conditionalFormatting sqref="BB212 BB231 BB233:BB238 BB240:BB243 BB225">
    <cfRule type="cellIs" dxfId="22223" priority="1865" operator="lessThan">
      <formula>0</formula>
    </cfRule>
    <cfRule type="cellIs" dxfId="22222" priority="1866" operator="lessThan">
      <formula>-105575</formula>
    </cfRule>
  </conditionalFormatting>
  <conditionalFormatting sqref="BB237:BB243 BB231:BB235 BB220:BB221 BB225:BB226">
    <cfRule type="cellIs" dxfId="22221" priority="1863" operator="lessThan">
      <formula>0</formula>
    </cfRule>
    <cfRule type="cellIs" dxfId="22220" priority="1864" operator="lessThan">
      <formula>-105575</formula>
    </cfRule>
  </conditionalFormatting>
  <conditionalFormatting sqref="BB233:BB237 BB231 BB239:BB243">
    <cfRule type="cellIs" dxfId="22219" priority="1861" operator="lessThan">
      <formula>0</formula>
    </cfRule>
    <cfRule type="cellIs" dxfId="22218" priority="1862" operator="lessThan">
      <formula>-105575</formula>
    </cfRule>
  </conditionalFormatting>
  <conditionalFormatting sqref="BB233:BB237 BB231 BB239:BB243">
    <cfRule type="cellIs" dxfId="22217" priority="1859" operator="lessThan">
      <formula>0</formula>
    </cfRule>
    <cfRule type="cellIs" dxfId="22216" priority="1860" operator="lessThan">
      <formula>-105575</formula>
    </cfRule>
  </conditionalFormatting>
  <conditionalFormatting sqref="BB119:BB128 BB106:BB117 BB101:BB104 BB80:BB98">
    <cfRule type="cellIs" dxfId="22215" priority="1857" operator="lessThan">
      <formula>0</formula>
    </cfRule>
    <cfRule type="cellIs" dxfId="22214" priority="1858" operator="lessThan">
      <formula>-105575</formula>
    </cfRule>
  </conditionalFormatting>
  <conditionalFormatting sqref="BB130 BB132 BB134">
    <cfRule type="cellIs" dxfId="22213" priority="1855" operator="lessThan">
      <formula>0</formula>
    </cfRule>
    <cfRule type="cellIs" dxfId="22212" priority="1856" operator="lessThan">
      <formula>-105575</formula>
    </cfRule>
  </conditionalFormatting>
  <conditionalFormatting sqref="BB130 BB132 BB134">
    <cfRule type="cellIs" dxfId="22211" priority="1853" operator="lessThan">
      <formula>0</formula>
    </cfRule>
    <cfRule type="cellIs" dxfId="22210" priority="1854" operator="lessThan">
      <formula>-105575</formula>
    </cfRule>
  </conditionalFormatting>
  <conditionalFormatting sqref="BB129 BB131 BB133 BB135">
    <cfRule type="cellIs" dxfId="22209" priority="1851" operator="lessThan">
      <formula>0</formula>
    </cfRule>
    <cfRule type="cellIs" dxfId="22208" priority="1852" operator="lessThan">
      <formula>-105575</formula>
    </cfRule>
  </conditionalFormatting>
  <conditionalFormatting sqref="BB140 BB145 BB142:BB143 BB137:BB138">
    <cfRule type="cellIs" dxfId="22207" priority="1849" operator="lessThan">
      <formula>0</formula>
    </cfRule>
    <cfRule type="cellIs" dxfId="22206" priority="1850" operator="lessThan">
      <formula>-105575</formula>
    </cfRule>
  </conditionalFormatting>
  <conditionalFormatting sqref="BB149">
    <cfRule type="cellIs" dxfId="22205" priority="1847" operator="lessThan">
      <formula>0</formula>
    </cfRule>
    <cfRule type="cellIs" dxfId="22204" priority="1848" operator="lessThan">
      <formula>-105575</formula>
    </cfRule>
  </conditionalFormatting>
  <conditionalFormatting sqref="BB129:BB138 BB140:BB149">
    <cfRule type="cellIs" dxfId="22203" priority="1845" operator="lessThan">
      <formula>0</formula>
    </cfRule>
    <cfRule type="cellIs" dxfId="22202" priority="1846" operator="lessThan">
      <formula>-105575</formula>
    </cfRule>
  </conditionalFormatting>
  <conditionalFormatting sqref="BB94:BB98 BB86:BB87 BB89:BB91 BB141:BB149 BB124:BB133 BB107:BB110 BB112:BB117 BB119:BB122 BB135:BB138 BB101:BB104 BB80:BB84">
    <cfRule type="cellIs" dxfId="22201" priority="1843" operator="lessThan">
      <formula>0</formula>
    </cfRule>
    <cfRule type="cellIs" dxfId="22200" priority="1844" operator="lessThan">
      <formula>-105575</formula>
    </cfRule>
  </conditionalFormatting>
  <conditionalFormatting sqref="BB129 BB131 BB133 BB135">
    <cfRule type="cellIs" dxfId="22199" priority="1841" operator="lessThan">
      <formula>0</formula>
    </cfRule>
    <cfRule type="cellIs" dxfId="22198" priority="1842" operator="lessThan">
      <formula>-105575</formula>
    </cfRule>
  </conditionalFormatting>
  <conditionalFormatting sqref="BB146 BB144 BB141">
    <cfRule type="cellIs" dxfId="22197" priority="1839" operator="lessThan">
      <formula>0</formula>
    </cfRule>
    <cfRule type="cellIs" dxfId="22196" priority="1840" operator="lessThan">
      <formula>-105575</formula>
    </cfRule>
  </conditionalFormatting>
  <conditionalFormatting sqref="BB146 BB144 BB141">
    <cfRule type="cellIs" dxfId="22195" priority="1837" operator="lessThan">
      <formula>0</formula>
    </cfRule>
    <cfRule type="cellIs" dxfId="22194" priority="1838" operator="lessThan">
      <formula>-105575</formula>
    </cfRule>
  </conditionalFormatting>
  <conditionalFormatting sqref="BB140 BB145 BB142:BB143 BB137:BB138">
    <cfRule type="cellIs" dxfId="22193" priority="1835" operator="lessThan">
      <formula>0</formula>
    </cfRule>
    <cfRule type="cellIs" dxfId="22192" priority="1836" operator="lessThan">
      <formula>-105575</formula>
    </cfRule>
  </conditionalFormatting>
  <conditionalFormatting sqref="BB149">
    <cfRule type="cellIs" dxfId="22191" priority="1833" operator="lessThan">
      <formula>0</formula>
    </cfRule>
    <cfRule type="cellIs" dxfId="22190" priority="1834" operator="lessThan">
      <formula>-105575</formula>
    </cfRule>
  </conditionalFormatting>
  <conditionalFormatting sqref="BB94:BB98 BB86:BB87 BB89:BB91 BB141:BB149 BB124:BB133 BB107:BB110 BB112:BB117 BB119:BB122 BB135:BB138 BB101:BB104 BB80:BB84">
    <cfRule type="cellIs" dxfId="22189" priority="1831" operator="lessThan">
      <formula>0</formula>
    </cfRule>
    <cfRule type="cellIs" dxfId="22188" priority="1832" operator="lessThan">
      <formula>-105575</formula>
    </cfRule>
  </conditionalFormatting>
  <conditionalFormatting sqref="BB62:BB76 BB306:BB309 BB311:BB325 BB327:BB330 BB332:BB341 BB344:BB347 BB349:BB353 BB355:BB358 BB360:BB384 BB386:BB389 BB392:BB395 BB397:BB411 BB413:BB416 BB418:BB432 BB434:BB437 BB439:BB453 BB455:BB458 BB460:BB469 BB7:BB10 BB12:BB14 BB17:BB18 BB21:BB24 BB26:BB28 BB30:BB36 BB38 BB41:BB43 BB46:BB49 BB51:BB55 BB57:BB59 BB290:BB291 BB293:BB304">
    <cfRule type="cellIs" dxfId="22187" priority="1829" operator="lessThan">
      <formula>0</formula>
    </cfRule>
    <cfRule type="cellIs" dxfId="22186" priority="1830" operator="lessThan">
      <formula>-105575</formula>
    </cfRule>
  </conditionalFormatting>
  <conditionalFormatting sqref="BB41">
    <cfRule type="cellIs" dxfId="22185" priority="1827" operator="lessThan">
      <formula>0</formula>
    </cfRule>
    <cfRule type="cellIs" dxfId="22184" priority="1828" operator="lessThan">
      <formula>-105575</formula>
    </cfRule>
  </conditionalFormatting>
  <conditionalFormatting sqref="BB152:BB155">
    <cfRule type="cellIs" dxfId="22183" priority="1825" operator="lessThan">
      <formula>0</formula>
    </cfRule>
    <cfRule type="cellIs" dxfId="22182" priority="1826" operator="lessThan">
      <formula>-105575</formula>
    </cfRule>
  </conditionalFormatting>
  <conditionalFormatting sqref="BB152:BB155">
    <cfRule type="cellIs" dxfId="22181" priority="1823" operator="lessThan">
      <formula>0</formula>
    </cfRule>
    <cfRule type="cellIs" dxfId="22180" priority="1824" operator="lessThan">
      <formula>-105575</formula>
    </cfRule>
  </conditionalFormatting>
  <conditionalFormatting sqref="BB152:BB155">
    <cfRule type="cellIs" dxfId="22179" priority="1821" operator="lessThan">
      <formula>0</formula>
    </cfRule>
    <cfRule type="cellIs" dxfId="22178" priority="1822" operator="lessThan">
      <formula>-105575</formula>
    </cfRule>
  </conditionalFormatting>
  <conditionalFormatting sqref="BB157:BB158">
    <cfRule type="cellIs" dxfId="22177" priority="1819" operator="lessThan">
      <formula>0</formula>
    </cfRule>
    <cfRule type="cellIs" dxfId="22176" priority="1820" operator="lessThan">
      <formula>-105575</formula>
    </cfRule>
  </conditionalFormatting>
  <conditionalFormatting sqref="BB157:BB158">
    <cfRule type="cellIs" dxfId="22175" priority="1817" operator="lessThan">
      <formula>0</formula>
    </cfRule>
    <cfRule type="cellIs" dxfId="22174" priority="1818" operator="lessThan">
      <formula>-105575</formula>
    </cfRule>
  </conditionalFormatting>
  <conditionalFormatting sqref="BB157:BB158">
    <cfRule type="cellIs" dxfId="22173" priority="1815" operator="lessThan">
      <formula>0</formula>
    </cfRule>
    <cfRule type="cellIs" dxfId="22172" priority="1816" operator="lessThan">
      <formula>-105575</formula>
    </cfRule>
  </conditionalFormatting>
  <conditionalFormatting sqref="BB160:BB161">
    <cfRule type="cellIs" dxfId="22171" priority="1813" operator="lessThan">
      <formula>0</formula>
    </cfRule>
    <cfRule type="cellIs" dxfId="22170" priority="1814" operator="lessThan">
      <formula>-105575</formula>
    </cfRule>
  </conditionalFormatting>
  <conditionalFormatting sqref="BB160:BB161">
    <cfRule type="cellIs" dxfId="22169" priority="1811" operator="lessThan">
      <formula>0</formula>
    </cfRule>
    <cfRule type="cellIs" dxfId="22168" priority="1812" operator="lessThan">
      <formula>-105575</formula>
    </cfRule>
  </conditionalFormatting>
  <conditionalFormatting sqref="BB160:BB161">
    <cfRule type="cellIs" dxfId="22167" priority="1809" operator="lessThan">
      <formula>0</formula>
    </cfRule>
    <cfRule type="cellIs" dxfId="22166" priority="1810" operator="lessThan">
      <formula>-105575</formula>
    </cfRule>
  </conditionalFormatting>
  <conditionalFormatting sqref="BB164:BB167">
    <cfRule type="cellIs" dxfId="22165" priority="1807" operator="lessThan">
      <formula>0</formula>
    </cfRule>
    <cfRule type="cellIs" dxfId="22164" priority="1808" operator="lessThan">
      <formula>-105575</formula>
    </cfRule>
  </conditionalFormatting>
  <conditionalFormatting sqref="BB164:BB167">
    <cfRule type="cellIs" dxfId="22163" priority="1805" operator="lessThan">
      <formula>0</formula>
    </cfRule>
    <cfRule type="cellIs" dxfId="22162" priority="1806" operator="lessThan">
      <formula>-105575</formula>
    </cfRule>
  </conditionalFormatting>
  <conditionalFormatting sqref="BB164:BB167">
    <cfRule type="cellIs" dxfId="22161" priority="1803" operator="lessThan">
      <formula>0</formula>
    </cfRule>
    <cfRule type="cellIs" dxfId="22160" priority="1804" operator="lessThan">
      <formula>-105575</formula>
    </cfRule>
  </conditionalFormatting>
  <conditionalFormatting sqref="BB169:BB177">
    <cfRule type="cellIs" dxfId="22159" priority="1801" operator="lessThan">
      <formula>0</formula>
    </cfRule>
    <cfRule type="cellIs" dxfId="22158" priority="1802" operator="lessThan">
      <formula>-105575</formula>
    </cfRule>
  </conditionalFormatting>
  <conditionalFormatting sqref="BB169:BB177">
    <cfRule type="cellIs" dxfId="22157" priority="1799" operator="lessThan">
      <formula>0</formula>
    </cfRule>
    <cfRule type="cellIs" dxfId="22156" priority="1800" operator="lessThan">
      <formula>-105575</formula>
    </cfRule>
  </conditionalFormatting>
  <conditionalFormatting sqref="BB169:BB177">
    <cfRule type="cellIs" dxfId="22155" priority="1797" operator="lessThan">
      <formula>0</formula>
    </cfRule>
    <cfRule type="cellIs" dxfId="22154" priority="1798" operator="lessThan">
      <formula>-105575</formula>
    </cfRule>
  </conditionalFormatting>
  <conditionalFormatting sqref="BB179:BB180">
    <cfRule type="cellIs" dxfId="22153" priority="1795" operator="lessThan">
      <formula>0</formula>
    </cfRule>
    <cfRule type="cellIs" dxfId="22152" priority="1796" operator="lessThan">
      <formula>-105575</formula>
    </cfRule>
  </conditionalFormatting>
  <conditionalFormatting sqref="BB179:BB180">
    <cfRule type="cellIs" dxfId="22151" priority="1793" operator="lessThan">
      <formula>0</formula>
    </cfRule>
    <cfRule type="cellIs" dxfId="22150" priority="1794" operator="lessThan">
      <formula>-105575</formula>
    </cfRule>
  </conditionalFormatting>
  <conditionalFormatting sqref="BB179:BB180">
    <cfRule type="cellIs" dxfId="22149" priority="1791" operator="lessThan">
      <formula>0</formula>
    </cfRule>
    <cfRule type="cellIs" dxfId="22148" priority="1792" operator="lessThan">
      <formula>-105575</formula>
    </cfRule>
  </conditionalFormatting>
  <conditionalFormatting sqref="BB183:BB189">
    <cfRule type="cellIs" dxfId="22147" priority="1789" operator="lessThan">
      <formula>0</formula>
    </cfRule>
    <cfRule type="cellIs" dxfId="22146" priority="1790" operator="lessThan">
      <formula>-105575</formula>
    </cfRule>
  </conditionalFormatting>
  <conditionalFormatting sqref="BB183:BB189">
    <cfRule type="cellIs" dxfId="22145" priority="1787" operator="lessThan">
      <formula>0</formula>
    </cfRule>
    <cfRule type="cellIs" dxfId="22144" priority="1788" operator="lessThan">
      <formula>-105575</formula>
    </cfRule>
  </conditionalFormatting>
  <conditionalFormatting sqref="BB183:BB189">
    <cfRule type="cellIs" dxfId="22143" priority="1785" operator="lessThan">
      <formula>0</formula>
    </cfRule>
    <cfRule type="cellIs" dxfId="22142" priority="1786" operator="lessThan">
      <formula>-105575</formula>
    </cfRule>
  </conditionalFormatting>
  <conditionalFormatting sqref="BB191:BB192">
    <cfRule type="cellIs" dxfId="22141" priority="1783" operator="lessThan">
      <formula>0</formula>
    </cfRule>
    <cfRule type="cellIs" dxfId="22140" priority="1784" operator="lessThan">
      <formula>-105575</formula>
    </cfRule>
  </conditionalFormatting>
  <conditionalFormatting sqref="BB191:BB192">
    <cfRule type="cellIs" dxfId="22139" priority="1781" operator="lessThan">
      <formula>0</formula>
    </cfRule>
    <cfRule type="cellIs" dxfId="22138" priority="1782" operator="lessThan">
      <formula>-105575</formula>
    </cfRule>
  </conditionalFormatting>
  <conditionalFormatting sqref="BB191:BB192">
    <cfRule type="cellIs" dxfId="22137" priority="1779" operator="lessThan">
      <formula>0</formula>
    </cfRule>
    <cfRule type="cellIs" dxfId="22136" priority="1780" operator="lessThan">
      <formula>-105575</formula>
    </cfRule>
  </conditionalFormatting>
  <conditionalFormatting sqref="BB194:BB195">
    <cfRule type="cellIs" dxfId="22135" priority="1777" operator="lessThan">
      <formula>0</formula>
    </cfRule>
    <cfRule type="cellIs" dxfId="22134" priority="1778" operator="lessThan">
      <formula>-105575</formula>
    </cfRule>
  </conditionalFormatting>
  <conditionalFormatting sqref="BB194:BB195">
    <cfRule type="cellIs" dxfId="22133" priority="1775" operator="lessThan">
      <formula>0</formula>
    </cfRule>
    <cfRule type="cellIs" dxfId="22132" priority="1776" operator="lessThan">
      <formula>-105575</formula>
    </cfRule>
  </conditionalFormatting>
  <conditionalFormatting sqref="BB194:BB195">
    <cfRule type="cellIs" dxfId="22131" priority="1773" operator="lessThan">
      <formula>0</formula>
    </cfRule>
    <cfRule type="cellIs" dxfId="22130" priority="1774" operator="lessThan">
      <formula>-105575</formula>
    </cfRule>
  </conditionalFormatting>
  <conditionalFormatting sqref="BB199:BB202">
    <cfRule type="cellIs" dxfId="22129" priority="1771" operator="lessThan">
      <formula>0</formula>
    </cfRule>
    <cfRule type="cellIs" dxfId="22128" priority="1772" operator="lessThan">
      <formula>-105575</formula>
    </cfRule>
  </conditionalFormatting>
  <conditionalFormatting sqref="BB199:BB202">
    <cfRule type="cellIs" dxfId="22127" priority="1769" operator="lessThan">
      <formula>0</formula>
    </cfRule>
    <cfRule type="cellIs" dxfId="22126" priority="1770" operator="lessThan">
      <formula>-105575</formula>
    </cfRule>
  </conditionalFormatting>
  <conditionalFormatting sqref="BB199:BB202">
    <cfRule type="cellIs" dxfId="22125" priority="1767" operator="lessThan">
      <formula>0</formula>
    </cfRule>
    <cfRule type="cellIs" dxfId="22124" priority="1768" operator="lessThan">
      <formula>-105575</formula>
    </cfRule>
  </conditionalFormatting>
  <conditionalFormatting sqref="BB204:BB208">
    <cfRule type="cellIs" dxfId="22123" priority="1765" operator="lessThan">
      <formula>0</formula>
    </cfRule>
    <cfRule type="cellIs" dxfId="22122" priority="1766" operator="lessThan">
      <formula>-105575</formula>
    </cfRule>
  </conditionalFormatting>
  <conditionalFormatting sqref="BB204:BB208">
    <cfRule type="cellIs" dxfId="22121" priority="1763" operator="lessThan">
      <formula>0</formula>
    </cfRule>
    <cfRule type="cellIs" dxfId="22120" priority="1764" operator="lessThan">
      <formula>-105575</formula>
    </cfRule>
  </conditionalFormatting>
  <conditionalFormatting sqref="BB204:BB208">
    <cfRule type="cellIs" dxfId="22119" priority="1761" operator="lessThan">
      <formula>0</formula>
    </cfRule>
    <cfRule type="cellIs" dxfId="22118" priority="1762" operator="lessThan">
      <formula>-105575</formula>
    </cfRule>
  </conditionalFormatting>
  <conditionalFormatting sqref="BB210:BB211">
    <cfRule type="cellIs" dxfId="22117" priority="1759" operator="lessThan">
      <formula>0</formula>
    </cfRule>
    <cfRule type="cellIs" dxfId="22116" priority="1760" operator="lessThan">
      <formula>-105575</formula>
    </cfRule>
  </conditionalFormatting>
  <conditionalFormatting sqref="BB210:BB211">
    <cfRule type="cellIs" dxfId="22115" priority="1757" operator="lessThan">
      <formula>0</formula>
    </cfRule>
    <cfRule type="cellIs" dxfId="22114" priority="1758" operator="lessThan">
      <formula>-105575</formula>
    </cfRule>
  </conditionalFormatting>
  <conditionalFormatting sqref="BB210:BB211">
    <cfRule type="cellIs" dxfId="22113" priority="1755" operator="lessThan">
      <formula>0</formula>
    </cfRule>
    <cfRule type="cellIs" dxfId="22112" priority="1756" operator="lessThan">
      <formula>-105575</formula>
    </cfRule>
  </conditionalFormatting>
  <conditionalFormatting sqref="BB214:BB219">
    <cfRule type="cellIs" dxfId="22111" priority="1753" operator="lessThan">
      <formula>0</formula>
    </cfRule>
    <cfRule type="cellIs" dxfId="22110" priority="1754" operator="lessThan">
      <formula>-105575</formula>
    </cfRule>
  </conditionalFormatting>
  <conditionalFormatting sqref="BB214:BB219">
    <cfRule type="cellIs" dxfId="22109" priority="1751" operator="lessThan">
      <formula>0</formula>
    </cfRule>
    <cfRule type="cellIs" dxfId="22108" priority="1752" operator="lessThan">
      <formula>-105575</formula>
    </cfRule>
  </conditionalFormatting>
  <conditionalFormatting sqref="BB214:BB219">
    <cfRule type="cellIs" dxfId="22107" priority="1749" operator="lessThan">
      <formula>0</formula>
    </cfRule>
    <cfRule type="cellIs" dxfId="22106" priority="1750" operator="lessThan">
      <formula>-105575</formula>
    </cfRule>
  </conditionalFormatting>
  <conditionalFormatting sqref="BB222:BB224">
    <cfRule type="cellIs" dxfId="22105" priority="1747" operator="lessThan">
      <formula>0</formula>
    </cfRule>
    <cfRule type="cellIs" dxfId="22104" priority="1748" operator="lessThan">
      <formula>-105575</formula>
    </cfRule>
  </conditionalFormatting>
  <conditionalFormatting sqref="BB222:BB224">
    <cfRule type="cellIs" dxfId="22103" priority="1745" operator="lessThan">
      <formula>0</formula>
    </cfRule>
    <cfRule type="cellIs" dxfId="22102" priority="1746" operator="lessThan">
      <formula>-105575</formula>
    </cfRule>
  </conditionalFormatting>
  <conditionalFormatting sqref="BB222:BB224">
    <cfRule type="cellIs" dxfId="22101" priority="1743" operator="lessThan">
      <formula>0</formula>
    </cfRule>
    <cfRule type="cellIs" dxfId="22100" priority="1744" operator="lessThan">
      <formula>-105575</formula>
    </cfRule>
  </conditionalFormatting>
  <conditionalFormatting sqref="BB227:BB230">
    <cfRule type="cellIs" dxfId="22099" priority="1741" operator="lessThan">
      <formula>0</formula>
    </cfRule>
    <cfRule type="cellIs" dxfId="22098" priority="1742" operator="lessThan">
      <formula>-105575</formula>
    </cfRule>
  </conditionalFormatting>
  <conditionalFormatting sqref="BB227:BB230">
    <cfRule type="cellIs" dxfId="22097" priority="1739" operator="lessThan">
      <formula>0</formula>
    </cfRule>
    <cfRule type="cellIs" dxfId="22096" priority="1740" operator="lessThan">
      <formula>-105575</formula>
    </cfRule>
  </conditionalFormatting>
  <conditionalFormatting sqref="BB227:BB230">
    <cfRule type="cellIs" dxfId="22095" priority="1737" operator="lessThan">
      <formula>0</formula>
    </cfRule>
    <cfRule type="cellIs" dxfId="22094" priority="1738" operator="lessThan">
      <formula>-105575</formula>
    </cfRule>
  </conditionalFormatting>
  <conditionalFormatting sqref="BB246:BB249">
    <cfRule type="cellIs" dxfId="22093" priority="1735" operator="lessThan">
      <formula>0</formula>
    </cfRule>
    <cfRule type="cellIs" dxfId="22092" priority="1736" operator="lessThan">
      <formula>-105575</formula>
    </cfRule>
  </conditionalFormatting>
  <conditionalFormatting sqref="BB246:BB249">
    <cfRule type="cellIs" dxfId="22091" priority="1733" operator="lessThan">
      <formula>0</formula>
    </cfRule>
    <cfRule type="cellIs" dxfId="22090" priority="1734" operator="lessThan">
      <formula>-105575</formula>
    </cfRule>
  </conditionalFormatting>
  <conditionalFormatting sqref="BB246:BB249">
    <cfRule type="cellIs" dxfId="22089" priority="1731" operator="lessThan">
      <formula>0</formula>
    </cfRule>
    <cfRule type="cellIs" dxfId="22088" priority="1732" operator="lessThan">
      <formula>-105575</formula>
    </cfRule>
  </conditionalFormatting>
  <conditionalFormatting sqref="BB246:BB249">
    <cfRule type="cellIs" dxfId="22087" priority="1729" operator="lessThan">
      <formula>0</formula>
    </cfRule>
    <cfRule type="cellIs" dxfId="22086" priority="1730" operator="lessThan">
      <formula>-105575</formula>
    </cfRule>
  </conditionalFormatting>
  <conditionalFormatting sqref="BB246:BB249">
    <cfRule type="cellIs" dxfId="22085" priority="1727" operator="lessThan">
      <formula>0</formula>
    </cfRule>
    <cfRule type="cellIs" dxfId="22084" priority="1728" operator="lessThan">
      <formula>-105575</formula>
    </cfRule>
  </conditionalFormatting>
  <conditionalFormatting sqref="BB246:BB249">
    <cfRule type="cellIs" dxfId="22083" priority="1725" operator="lessThan">
      <formula>0</formula>
    </cfRule>
    <cfRule type="cellIs" dxfId="22082" priority="1726" operator="lessThan">
      <formula>-105575</formula>
    </cfRule>
  </conditionalFormatting>
  <conditionalFormatting sqref="BB246:BB249">
    <cfRule type="cellIs" dxfId="22081" priority="1723" operator="lessThan">
      <formula>0</formula>
    </cfRule>
    <cfRule type="cellIs" dxfId="22080" priority="1724" operator="lessThan">
      <formula>-105575</formula>
    </cfRule>
  </conditionalFormatting>
  <conditionalFormatting sqref="BB246:BB249">
    <cfRule type="cellIs" dxfId="22079" priority="1721" operator="lessThan">
      <formula>0</formula>
    </cfRule>
    <cfRule type="cellIs" dxfId="22078" priority="1722" operator="lessThan">
      <formula>-105575</formula>
    </cfRule>
  </conditionalFormatting>
  <conditionalFormatting sqref="BB246:BB249">
    <cfRule type="cellIs" dxfId="22077" priority="1719" operator="lessThan">
      <formula>0</formula>
    </cfRule>
    <cfRule type="cellIs" dxfId="22076" priority="1720" operator="lessThan">
      <formula>-105575</formula>
    </cfRule>
  </conditionalFormatting>
  <conditionalFormatting sqref="BB251:BB253">
    <cfRule type="cellIs" dxfId="22075" priority="1717" operator="lessThan">
      <formula>0</formula>
    </cfRule>
    <cfRule type="cellIs" dxfId="22074" priority="1718" operator="lessThan">
      <formula>-105575</formula>
    </cfRule>
  </conditionalFormatting>
  <conditionalFormatting sqref="BB251:BB253">
    <cfRule type="cellIs" dxfId="22073" priority="1715" operator="lessThan">
      <formula>0</formula>
    </cfRule>
    <cfRule type="cellIs" dxfId="22072" priority="1716" operator="lessThan">
      <formula>-105575</formula>
    </cfRule>
  </conditionalFormatting>
  <conditionalFormatting sqref="BB251:BB253">
    <cfRule type="cellIs" dxfId="22071" priority="1713" operator="lessThan">
      <formula>0</formula>
    </cfRule>
    <cfRule type="cellIs" dxfId="22070" priority="1714" operator="lessThan">
      <formula>-105575</formula>
    </cfRule>
  </conditionalFormatting>
  <conditionalFormatting sqref="BB251:BB253">
    <cfRule type="cellIs" dxfId="22069" priority="1711" operator="lessThan">
      <formula>0</formula>
    </cfRule>
    <cfRule type="cellIs" dxfId="22068" priority="1712" operator="lessThan">
      <formula>-105575</formula>
    </cfRule>
  </conditionalFormatting>
  <conditionalFormatting sqref="BB251:BB253">
    <cfRule type="cellIs" dxfId="22067" priority="1709" operator="lessThan">
      <formula>0</formula>
    </cfRule>
    <cfRule type="cellIs" dxfId="22066" priority="1710" operator="lessThan">
      <formula>-105575</formula>
    </cfRule>
  </conditionalFormatting>
  <conditionalFormatting sqref="BB251:BB253">
    <cfRule type="cellIs" dxfId="22065" priority="1707" operator="lessThan">
      <formula>0</formula>
    </cfRule>
    <cfRule type="cellIs" dxfId="22064" priority="1708" operator="lessThan">
      <formula>-105575</formula>
    </cfRule>
  </conditionalFormatting>
  <conditionalFormatting sqref="BB251:BB253">
    <cfRule type="cellIs" dxfId="22063" priority="1705" operator="lessThan">
      <formula>0</formula>
    </cfRule>
    <cfRule type="cellIs" dxfId="22062" priority="1706" operator="lessThan">
      <formula>-105575</formula>
    </cfRule>
  </conditionalFormatting>
  <conditionalFormatting sqref="BB251:BB253">
    <cfRule type="cellIs" dxfId="22061" priority="1703" operator="lessThan">
      <formula>0</formula>
    </cfRule>
    <cfRule type="cellIs" dxfId="22060" priority="1704" operator="lessThan">
      <formula>-105575</formula>
    </cfRule>
  </conditionalFormatting>
  <conditionalFormatting sqref="BB251:BB253">
    <cfRule type="cellIs" dxfId="22059" priority="1701" operator="lessThan">
      <formula>0</formula>
    </cfRule>
    <cfRule type="cellIs" dxfId="22058" priority="1702" operator="lessThan">
      <formula>-105575</formula>
    </cfRule>
  </conditionalFormatting>
  <conditionalFormatting sqref="BB255:BB257">
    <cfRule type="cellIs" dxfId="22057" priority="1699" operator="lessThan">
      <formula>0</formula>
    </cfRule>
    <cfRule type="cellIs" dxfId="22056" priority="1700" operator="lessThan">
      <formula>-105575</formula>
    </cfRule>
  </conditionalFormatting>
  <conditionalFormatting sqref="BB255:BB257">
    <cfRule type="cellIs" dxfId="22055" priority="1697" operator="lessThan">
      <formula>0</formula>
    </cfRule>
    <cfRule type="cellIs" dxfId="22054" priority="1698" operator="lessThan">
      <formula>-105575</formula>
    </cfRule>
  </conditionalFormatting>
  <conditionalFormatting sqref="BB255:BB257">
    <cfRule type="cellIs" dxfId="22053" priority="1695" operator="lessThan">
      <formula>0</formula>
    </cfRule>
    <cfRule type="cellIs" dxfId="22052" priority="1696" operator="lessThan">
      <formula>-105575</formula>
    </cfRule>
  </conditionalFormatting>
  <conditionalFormatting sqref="BB255:BB257">
    <cfRule type="cellIs" dxfId="22051" priority="1693" operator="lessThan">
      <formula>0</formula>
    </cfRule>
    <cfRule type="cellIs" dxfId="22050" priority="1694" operator="lessThan">
      <formula>-105575</formula>
    </cfRule>
  </conditionalFormatting>
  <conditionalFormatting sqref="BB255:BB257">
    <cfRule type="cellIs" dxfId="22049" priority="1691" operator="lessThan">
      <formula>0</formula>
    </cfRule>
    <cfRule type="cellIs" dxfId="22048" priority="1692" operator="lessThan">
      <formula>-105575</formula>
    </cfRule>
  </conditionalFormatting>
  <conditionalFormatting sqref="BB255:BB257">
    <cfRule type="cellIs" dxfId="22047" priority="1689" operator="lessThan">
      <formula>0</formula>
    </cfRule>
    <cfRule type="cellIs" dxfId="22046" priority="1690" operator="lessThan">
      <formula>-105575</formula>
    </cfRule>
  </conditionalFormatting>
  <conditionalFormatting sqref="BB255:BB257">
    <cfRule type="cellIs" dxfId="22045" priority="1687" operator="lessThan">
      <formula>0</formula>
    </cfRule>
    <cfRule type="cellIs" dxfId="22044" priority="1688" operator="lessThan">
      <formula>-105575</formula>
    </cfRule>
  </conditionalFormatting>
  <conditionalFormatting sqref="BB255:BB257">
    <cfRule type="cellIs" dxfId="22043" priority="1685" operator="lessThan">
      <formula>0</formula>
    </cfRule>
    <cfRule type="cellIs" dxfId="22042" priority="1686" operator="lessThan">
      <formula>-105575</formula>
    </cfRule>
  </conditionalFormatting>
  <conditionalFormatting sqref="BB255:BB257">
    <cfRule type="cellIs" dxfId="22041" priority="1683" operator="lessThan">
      <formula>0</formula>
    </cfRule>
    <cfRule type="cellIs" dxfId="22040" priority="1684" operator="lessThan">
      <formula>-105575</formula>
    </cfRule>
  </conditionalFormatting>
  <conditionalFormatting sqref="BB260:BB262">
    <cfRule type="cellIs" dxfId="22039" priority="1681" operator="lessThan">
      <formula>0</formula>
    </cfRule>
    <cfRule type="cellIs" dxfId="22038" priority="1682" operator="lessThan">
      <formula>-105575</formula>
    </cfRule>
  </conditionalFormatting>
  <conditionalFormatting sqref="BB260:BB262">
    <cfRule type="cellIs" dxfId="22037" priority="1679" operator="lessThan">
      <formula>0</formula>
    </cfRule>
    <cfRule type="cellIs" dxfId="22036" priority="1680" operator="lessThan">
      <formula>-105575</formula>
    </cfRule>
  </conditionalFormatting>
  <conditionalFormatting sqref="BB260:BB262">
    <cfRule type="cellIs" dxfId="22035" priority="1677" operator="lessThan">
      <formula>0</formula>
    </cfRule>
    <cfRule type="cellIs" dxfId="22034" priority="1678" operator="lessThan">
      <formula>-105575</formula>
    </cfRule>
  </conditionalFormatting>
  <conditionalFormatting sqref="BB260:BB262">
    <cfRule type="cellIs" dxfId="22033" priority="1675" operator="lessThan">
      <formula>0</formula>
    </cfRule>
    <cfRule type="cellIs" dxfId="22032" priority="1676" operator="lessThan">
      <formula>-105575</formula>
    </cfRule>
  </conditionalFormatting>
  <conditionalFormatting sqref="BB260:BB262">
    <cfRule type="cellIs" dxfId="22031" priority="1673" operator="lessThan">
      <formula>0</formula>
    </cfRule>
    <cfRule type="cellIs" dxfId="22030" priority="1674" operator="lessThan">
      <formula>-105575</formula>
    </cfRule>
  </conditionalFormatting>
  <conditionalFormatting sqref="BB260:BB262">
    <cfRule type="cellIs" dxfId="22029" priority="1671" operator="lessThan">
      <formula>0</formula>
    </cfRule>
    <cfRule type="cellIs" dxfId="22028" priority="1672" operator="lessThan">
      <formula>-105575</formula>
    </cfRule>
  </conditionalFormatting>
  <conditionalFormatting sqref="BB260:BB262">
    <cfRule type="cellIs" dxfId="22027" priority="1669" operator="lessThan">
      <formula>0</formula>
    </cfRule>
    <cfRule type="cellIs" dxfId="22026" priority="1670" operator="lessThan">
      <formula>-105575</formula>
    </cfRule>
  </conditionalFormatting>
  <conditionalFormatting sqref="BB260:BB262">
    <cfRule type="cellIs" dxfId="22025" priority="1667" operator="lessThan">
      <formula>0</formula>
    </cfRule>
    <cfRule type="cellIs" dxfId="22024" priority="1668" operator="lessThan">
      <formula>-105575</formula>
    </cfRule>
  </conditionalFormatting>
  <conditionalFormatting sqref="BB260:BB262">
    <cfRule type="cellIs" dxfId="22023" priority="1665" operator="lessThan">
      <formula>0</formula>
    </cfRule>
    <cfRule type="cellIs" dxfId="22022" priority="1666" operator="lessThan">
      <formula>-105575</formula>
    </cfRule>
  </conditionalFormatting>
  <conditionalFormatting sqref="BB264:BB267">
    <cfRule type="cellIs" dxfId="22021" priority="1663" operator="lessThan">
      <formula>0</formula>
    </cfRule>
    <cfRule type="cellIs" dxfId="22020" priority="1664" operator="lessThan">
      <formula>-105575</formula>
    </cfRule>
  </conditionalFormatting>
  <conditionalFormatting sqref="BB264:BB267">
    <cfRule type="cellIs" dxfId="22019" priority="1661" operator="lessThan">
      <formula>0</formula>
    </cfRule>
    <cfRule type="cellIs" dxfId="22018" priority="1662" operator="lessThan">
      <formula>-105575</formula>
    </cfRule>
  </conditionalFormatting>
  <conditionalFormatting sqref="BB264:BB267">
    <cfRule type="cellIs" dxfId="22017" priority="1659" operator="lessThan">
      <formula>0</formula>
    </cfRule>
    <cfRule type="cellIs" dxfId="22016" priority="1660" operator="lessThan">
      <formula>-105575</formula>
    </cfRule>
  </conditionalFormatting>
  <conditionalFormatting sqref="BB264:BB267">
    <cfRule type="cellIs" dxfId="22015" priority="1657" operator="lessThan">
      <formula>0</formula>
    </cfRule>
    <cfRule type="cellIs" dxfId="22014" priority="1658" operator="lessThan">
      <formula>-105575</formula>
    </cfRule>
  </conditionalFormatting>
  <conditionalFormatting sqref="BB264:BB267">
    <cfRule type="cellIs" dxfId="22013" priority="1655" operator="lessThan">
      <formula>0</formula>
    </cfRule>
    <cfRule type="cellIs" dxfId="22012" priority="1656" operator="lessThan">
      <formula>-105575</formula>
    </cfRule>
  </conditionalFormatting>
  <conditionalFormatting sqref="BB264:BB267">
    <cfRule type="cellIs" dxfId="22011" priority="1653" operator="lessThan">
      <formula>0</formula>
    </cfRule>
    <cfRule type="cellIs" dxfId="22010" priority="1654" operator="lessThan">
      <formula>-105575</formula>
    </cfRule>
  </conditionalFormatting>
  <conditionalFormatting sqref="BB264:BB267">
    <cfRule type="cellIs" dxfId="22009" priority="1651" operator="lessThan">
      <formula>0</formula>
    </cfRule>
    <cfRule type="cellIs" dxfId="22008" priority="1652" operator="lessThan">
      <formula>-105575</formula>
    </cfRule>
  </conditionalFormatting>
  <conditionalFormatting sqref="BB264:BB267">
    <cfRule type="cellIs" dxfId="22007" priority="1649" operator="lessThan">
      <formula>0</formula>
    </cfRule>
    <cfRule type="cellIs" dxfId="22006" priority="1650" operator="lessThan">
      <formula>-105575</formula>
    </cfRule>
  </conditionalFormatting>
  <conditionalFormatting sqref="BB264:BB267">
    <cfRule type="cellIs" dxfId="22005" priority="1647" operator="lessThan">
      <formula>0</formula>
    </cfRule>
    <cfRule type="cellIs" dxfId="22004" priority="1648" operator="lessThan">
      <formula>-105575</formula>
    </cfRule>
  </conditionalFormatting>
  <conditionalFormatting sqref="BB270:BB272">
    <cfRule type="cellIs" dxfId="22003" priority="1645" operator="lessThan">
      <formula>0</formula>
    </cfRule>
    <cfRule type="cellIs" dxfId="22002" priority="1646" operator="lessThan">
      <formula>-105575</formula>
    </cfRule>
  </conditionalFormatting>
  <conditionalFormatting sqref="BB270:BB272">
    <cfRule type="cellIs" dxfId="22001" priority="1643" operator="lessThan">
      <formula>0</formula>
    </cfRule>
    <cfRule type="cellIs" dxfId="22000" priority="1644" operator="lessThan">
      <formula>-105575</formula>
    </cfRule>
  </conditionalFormatting>
  <conditionalFormatting sqref="BB270:BB272">
    <cfRule type="cellIs" dxfId="21999" priority="1641" operator="lessThan">
      <formula>0</formula>
    </cfRule>
    <cfRule type="cellIs" dxfId="21998" priority="1642" operator="lessThan">
      <formula>-105575</formula>
    </cfRule>
  </conditionalFormatting>
  <conditionalFormatting sqref="BB270:BB272">
    <cfRule type="cellIs" dxfId="21997" priority="1639" operator="lessThan">
      <formula>0</formula>
    </cfRule>
    <cfRule type="cellIs" dxfId="21996" priority="1640" operator="lessThan">
      <formula>-105575</formula>
    </cfRule>
  </conditionalFormatting>
  <conditionalFormatting sqref="BB270:BB272">
    <cfRule type="cellIs" dxfId="21995" priority="1637" operator="lessThan">
      <formula>0</formula>
    </cfRule>
    <cfRule type="cellIs" dxfId="21994" priority="1638" operator="lessThan">
      <formula>-105575</formula>
    </cfRule>
  </conditionalFormatting>
  <conditionalFormatting sqref="BB270:BB272">
    <cfRule type="cellIs" dxfId="21993" priority="1635" operator="lessThan">
      <formula>0</formula>
    </cfRule>
    <cfRule type="cellIs" dxfId="21992" priority="1636" operator="lessThan">
      <formula>-105575</formula>
    </cfRule>
  </conditionalFormatting>
  <conditionalFormatting sqref="BB270:BB272">
    <cfRule type="cellIs" dxfId="21991" priority="1633" operator="lessThan">
      <formula>0</formula>
    </cfRule>
    <cfRule type="cellIs" dxfId="21990" priority="1634" operator="lessThan">
      <formula>-105575</formula>
    </cfRule>
  </conditionalFormatting>
  <conditionalFormatting sqref="BB270:BB272">
    <cfRule type="cellIs" dxfId="21989" priority="1631" operator="lessThan">
      <formula>0</formula>
    </cfRule>
    <cfRule type="cellIs" dxfId="21988" priority="1632" operator="lessThan">
      <formula>-105575</formula>
    </cfRule>
  </conditionalFormatting>
  <conditionalFormatting sqref="BB270:BB272">
    <cfRule type="cellIs" dxfId="21987" priority="1629" operator="lessThan">
      <formula>0</formula>
    </cfRule>
    <cfRule type="cellIs" dxfId="21986" priority="1630" operator="lessThan">
      <formula>-105575</formula>
    </cfRule>
  </conditionalFormatting>
  <conditionalFormatting sqref="BB274:BB275">
    <cfRule type="cellIs" dxfId="21985" priority="1627" operator="lessThan">
      <formula>0</formula>
    </cfRule>
    <cfRule type="cellIs" dxfId="21984" priority="1628" operator="lessThan">
      <formula>-105575</formula>
    </cfRule>
  </conditionalFormatting>
  <conditionalFormatting sqref="BB274:BB275">
    <cfRule type="cellIs" dxfId="21983" priority="1625" operator="lessThan">
      <formula>0</formula>
    </cfRule>
    <cfRule type="cellIs" dxfId="21982" priority="1626" operator="lessThan">
      <formula>-105575</formula>
    </cfRule>
  </conditionalFormatting>
  <conditionalFormatting sqref="BB274:BB275">
    <cfRule type="cellIs" dxfId="21981" priority="1623" operator="lessThan">
      <formula>0</formula>
    </cfRule>
    <cfRule type="cellIs" dxfId="21980" priority="1624" operator="lessThan">
      <formula>-105575</formula>
    </cfRule>
  </conditionalFormatting>
  <conditionalFormatting sqref="BB274:BB275">
    <cfRule type="cellIs" dxfId="21979" priority="1621" operator="lessThan">
      <formula>0</formula>
    </cfRule>
    <cfRule type="cellIs" dxfId="21978" priority="1622" operator="lessThan">
      <formula>-105575</formula>
    </cfRule>
  </conditionalFormatting>
  <conditionalFormatting sqref="BB274:BB275">
    <cfRule type="cellIs" dxfId="21977" priority="1619" operator="lessThan">
      <formula>0</formula>
    </cfRule>
    <cfRule type="cellIs" dxfId="21976" priority="1620" operator="lessThan">
      <formula>-105575</formula>
    </cfRule>
  </conditionalFormatting>
  <conditionalFormatting sqref="BB274:BB275">
    <cfRule type="cellIs" dxfId="21975" priority="1617" operator="lessThan">
      <formula>0</formula>
    </cfRule>
    <cfRule type="cellIs" dxfId="21974" priority="1618" operator="lessThan">
      <formula>-105575</formula>
    </cfRule>
  </conditionalFormatting>
  <conditionalFormatting sqref="BB274:BB275">
    <cfRule type="cellIs" dxfId="21973" priority="1615" operator="lessThan">
      <formula>0</formula>
    </cfRule>
    <cfRule type="cellIs" dxfId="21972" priority="1616" operator="lessThan">
      <formula>-105575</formula>
    </cfRule>
  </conditionalFormatting>
  <conditionalFormatting sqref="BB274:BB275">
    <cfRule type="cellIs" dxfId="21971" priority="1613" operator="lessThan">
      <formula>0</formula>
    </cfRule>
    <cfRule type="cellIs" dxfId="21970" priority="1614" operator="lessThan">
      <formula>-105575</formula>
    </cfRule>
  </conditionalFormatting>
  <conditionalFormatting sqref="BB274:BB275">
    <cfRule type="cellIs" dxfId="21969" priority="1611" operator="lessThan">
      <formula>0</formula>
    </cfRule>
    <cfRule type="cellIs" dxfId="21968" priority="1612" operator="lessThan">
      <formula>-105575</formula>
    </cfRule>
  </conditionalFormatting>
  <conditionalFormatting sqref="BB278:BB282">
    <cfRule type="cellIs" dxfId="21967" priority="1609" operator="lessThan">
      <formula>0</formula>
    </cfRule>
    <cfRule type="cellIs" dxfId="21966" priority="1610" operator="lessThan">
      <formula>-105575</formula>
    </cfRule>
  </conditionalFormatting>
  <conditionalFormatting sqref="BB278:BB282">
    <cfRule type="cellIs" dxfId="21965" priority="1607" operator="lessThan">
      <formula>0</formula>
    </cfRule>
    <cfRule type="cellIs" dxfId="21964" priority="1608" operator="lessThan">
      <formula>-105575</formula>
    </cfRule>
  </conditionalFormatting>
  <conditionalFormatting sqref="BB278:BB282">
    <cfRule type="cellIs" dxfId="21963" priority="1605" operator="lessThan">
      <formula>0</formula>
    </cfRule>
    <cfRule type="cellIs" dxfId="21962" priority="1606" operator="lessThan">
      <formula>-105575</formula>
    </cfRule>
  </conditionalFormatting>
  <conditionalFormatting sqref="BB278:BB282">
    <cfRule type="cellIs" dxfId="21961" priority="1603" operator="lessThan">
      <formula>0</formula>
    </cfRule>
    <cfRule type="cellIs" dxfId="21960" priority="1604" operator="lessThan">
      <formula>-105575</formula>
    </cfRule>
  </conditionalFormatting>
  <conditionalFormatting sqref="BB278:BB282">
    <cfRule type="cellIs" dxfId="21959" priority="1601" operator="lessThan">
      <formula>0</formula>
    </cfRule>
    <cfRule type="cellIs" dxfId="21958" priority="1602" operator="lessThan">
      <formula>-105575</formula>
    </cfRule>
  </conditionalFormatting>
  <conditionalFormatting sqref="BB278:BB282">
    <cfRule type="cellIs" dxfId="21957" priority="1599" operator="lessThan">
      <formula>0</formula>
    </cfRule>
    <cfRule type="cellIs" dxfId="21956" priority="1600" operator="lessThan">
      <formula>-105575</formula>
    </cfRule>
  </conditionalFormatting>
  <conditionalFormatting sqref="BB278:BB282">
    <cfRule type="cellIs" dxfId="21955" priority="1597" operator="lessThan">
      <formula>0</formula>
    </cfRule>
    <cfRule type="cellIs" dxfId="21954" priority="1598" operator="lessThan">
      <formula>-105575</formula>
    </cfRule>
  </conditionalFormatting>
  <conditionalFormatting sqref="BB278:BB282">
    <cfRule type="cellIs" dxfId="21953" priority="1595" operator="lessThan">
      <formula>0</formula>
    </cfRule>
    <cfRule type="cellIs" dxfId="21952" priority="1596" operator="lessThan">
      <formula>-105575</formula>
    </cfRule>
  </conditionalFormatting>
  <conditionalFormatting sqref="BB278:BB282">
    <cfRule type="cellIs" dxfId="21951" priority="1593" operator="lessThan">
      <formula>0</formula>
    </cfRule>
    <cfRule type="cellIs" dxfId="21950" priority="1594" operator="lessThan">
      <formula>-105575</formula>
    </cfRule>
  </conditionalFormatting>
  <conditionalFormatting sqref="BB285:BB288">
    <cfRule type="cellIs" dxfId="21949" priority="1591" operator="lessThan">
      <formula>0</formula>
    </cfRule>
    <cfRule type="cellIs" dxfId="21948" priority="1592" operator="lessThan">
      <formula>-105575</formula>
    </cfRule>
  </conditionalFormatting>
  <conditionalFormatting sqref="BB285:BB288">
    <cfRule type="cellIs" dxfId="21947" priority="1589" operator="lessThan">
      <formula>0</formula>
    </cfRule>
    <cfRule type="cellIs" dxfId="21946" priority="1590" operator="lessThan">
      <formula>-105575</formula>
    </cfRule>
  </conditionalFormatting>
  <conditionalFormatting sqref="BB285:BB288">
    <cfRule type="cellIs" dxfId="21945" priority="1587" operator="lessThan">
      <formula>0</formula>
    </cfRule>
    <cfRule type="cellIs" dxfId="21944" priority="1588" operator="lessThan">
      <formula>-105575</formula>
    </cfRule>
  </conditionalFormatting>
  <conditionalFormatting sqref="BB285:BB288">
    <cfRule type="cellIs" dxfId="21943" priority="1585" operator="lessThan">
      <formula>0</formula>
    </cfRule>
    <cfRule type="cellIs" dxfId="21942" priority="1586" operator="lessThan">
      <formula>-105575</formula>
    </cfRule>
  </conditionalFormatting>
  <conditionalFormatting sqref="BB285:BB288">
    <cfRule type="cellIs" dxfId="21941" priority="1583" operator="lessThan">
      <formula>0</formula>
    </cfRule>
    <cfRule type="cellIs" dxfId="21940" priority="1584" operator="lessThan">
      <formula>-105575</formula>
    </cfRule>
  </conditionalFormatting>
  <conditionalFormatting sqref="BB285:BB288">
    <cfRule type="cellIs" dxfId="21939" priority="1581" operator="lessThan">
      <formula>0</formula>
    </cfRule>
    <cfRule type="cellIs" dxfId="21938" priority="1582" operator="lessThan">
      <formula>-105575</formula>
    </cfRule>
  </conditionalFormatting>
  <conditionalFormatting sqref="BB285:BB288">
    <cfRule type="cellIs" dxfId="21937" priority="1579" operator="lessThan">
      <formula>0</formula>
    </cfRule>
    <cfRule type="cellIs" dxfId="21936" priority="1580" operator="lessThan">
      <formula>-105575</formula>
    </cfRule>
  </conditionalFormatting>
  <conditionalFormatting sqref="BB285:BB288">
    <cfRule type="cellIs" dxfId="21935" priority="1577" operator="lessThan">
      <formula>0</formula>
    </cfRule>
    <cfRule type="cellIs" dxfId="21934" priority="1578" operator="lessThan">
      <formula>-105575</formula>
    </cfRule>
  </conditionalFormatting>
  <conditionalFormatting sqref="BB285:BB288">
    <cfRule type="cellIs" dxfId="21933" priority="1575" operator="lessThan">
      <formula>0</formula>
    </cfRule>
    <cfRule type="cellIs" dxfId="21932" priority="1576" operator="lessThan">
      <formula>-105575</formula>
    </cfRule>
  </conditionalFormatting>
  <conditionalFormatting sqref="BB203 BB220:BB221 BB235:BB243 BB231:BB233 BB212:BB213 BB225:BB226">
    <cfRule type="cellIs" dxfId="21931" priority="1573" operator="lessThan">
      <formula>0</formula>
    </cfRule>
    <cfRule type="cellIs" dxfId="21930" priority="1574" operator="lessThan">
      <formula>-105575</formula>
    </cfRule>
  </conditionalFormatting>
  <conditionalFormatting sqref="BB220 BB212:BB213 BB235:BB238 BB240:BB243 BB225:BB226 BB231:BB233">
    <cfRule type="cellIs" dxfId="21929" priority="1571" operator="lessThan">
      <formula>0</formula>
    </cfRule>
    <cfRule type="cellIs" dxfId="21928" priority="1572" operator="lessThan">
      <formula>-105575</formula>
    </cfRule>
  </conditionalFormatting>
  <conditionalFormatting sqref="BB220:BB221 BB243 BB226 BB231:BB236 BB238:BB241 BB203 BB213">
    <cfRule type="cellIs" dxfId="21927" priority="1569" operator="lessThan">
      <formula>0</formula>
    </cfRule>
    <cfRule type="cellIs" dxfId="21926" priority="1570" operator="lessThan">
      <formula>-105575</formula>
    </cfRule>
  </conditionalFormatting>
  <conditionalFormatting sqref="BB235:BB243 BB231:BB233 BB220 BB212:BB213 BB225:BB226">
    <cfRule type="cellIs" dxfId="21925" priority="1567" operator="lessThan">
      <formula>0</formula>
    </cfRule>
    <cfRule type="cellIs" dxfId="21924" priority="1568" operator="lessThan">
      <formula>-105575</formula>
    </cfRule>
  </conditionalFormatting>
  <conditionalFormatting sqref="BB220:BB221 BB237:BB243 BB203 BB231:BB235 BB212:BB213 BB225:BB226">
    <cfRule type="cellIs" dxfId="21923" priority="1565" operator="lessThan">
      <formula>0</formula>
    </cfRule>
    <cfRule type="cellIs" dxfId="21922" priority="1566" operator="lessThan">
      <formula>-105575</formula>
    </cfRule>
  </conditionalFormatting>
  <conditionalFormatting sqref="BB220:BB221 BB237:BB240 BB242:BB243 BB225:BB226 BB231:BB235">
    <cfRule type="cellIs" dxfId="21921" priority="1563" operator="lessThan">
      <formula>0</formula>
    </cfRule>
    <cfRule type="cellIs" dxfId="21920" priority="1564" operator="lessThan">
      <formula>-105575</formula>
    </cfRule>
  </conditionalFormatting>
  <conditionalFormatting sqref="BB212 BB231 BB233:BB238 BB240:BB243 BB225">
    <cfRule type="cellIs" dxfId="21919" priority="1561" operator="lessThan">
      <formula>0</formula>
    </cfRule>
    <cfRule type="cellIs" dxfId="21918" priority="1562" operator="lessThan">
      <formula>-105575</formula>
    </cfRule>
  </conditionalFormatting>
  <conditionalFormatting sqref="BB237:BB243 BB231:BB235 BB220:BB221 BB225:BB226">
    <cfRule type="cellIs" dxfId="21917" priority="1559" operator="lessThan">
      <formula>0</formula>
    </cfRule>
    <cfRule type="cellIs" dxfId="21916" priority="1560" operator="lessThan">
      <formula>-105575</formula>
    </cfRule>
  </conditionalFormatting>
  <conditionalFormatting sqref="BB233:BB237 BB231 BB239:BB243">
    <cfRule type="cellIs" dxfId="21915" priority="1557" operator="lessThan">
      <formula>0</formula>
    </cfRule>
    <cfRule type="cellIs" dxfId="21914" priority="1558" operator="lessThan">
      <formula>-105575</formula>
    </cfRule>
  </conditionalFormatting>
  <conditionalFormatting sqref="BB233:BB237 BB231 BB239:BB243">
    <cfRule type="cellIs" dxfId="21913" priority="1555" operator="lessThan">
      <formula>0</formula>
    </cfRule>
    <cfRule type="cellIs" dxfId="21912" priority="1556" operator="lessThan">
      <formula>-105575</formula>
    </cfRule>
  </conditionalFormatting>
  <conditionalFormatting sqref="BB119:BB128 BB106:BB117 BB101:BB104 BB80:BB98">
    <cfRule type="cellIs" dxfId="21911" priority="1553" operator="lessThan">
      <formula>0</formula>
    </cfRule>
    <cfRule type="cellIs" dxfId="21910" priority="1554" operator="lessThan">
      <formula>-105575</formula>
    </cfRule>
  </conditionalFormatting>
  <conditionalFormatting sqref="BB130 BB132 BB134">
    <cfRule type="cellIs" dxfId="21909" priority="1551" operator="lessThan">
      <formula>0</formula>
    </cfRule>
    <cfRule type="cellIs" dxfId="21908" priority="1552" operator="lessThan">
      <formula>-105575</formula>
    </cfRule>
  </conditionalFormatting>
  <conditionalFormatting sqref="BB130 BB132 BB134">
    <cfRule type="cellIs" dxfId="21907" priority="1549" operator="lessThan">
      <formula>0</formula>
    </cfRule>
    <cfRule type="cellIs" dxfId="21906" priority="1550" operator="lessThan">
      <formula>-105575</formula>
    </cfRule>
  </conditionalFormatting>
  <conditionalFormatting sqref="BB129 BB131 BB133 BB135">
    <cfRule type="cellIs" dxfId="21905" priority="1547" operator="lessThan">
      <formula>0</formula>
    </cfRule>
    <cfRule type="cellIs" dxfId="21904" priority="1548" operator="lessThan">
      <formula>-105575</formula>
    </cfRule>
  </conditionalFormatting>
  <conditionalFormatting sqref="BB140 BB145 BB142:BB143 BB137:BB138">
    <cfRule type="cellIs" dxfId="21903" priority="1545" operator="lessThan">
      <formula>0</formula>
    </cfRule>
    <cfRule type="cellIs" dxfId="21902" priority="1546" operator="lessThan">
      <formula>-105575</formula>
    </cfRule>
  </conditionalFormatting>
  <conditionalFormatting sqref="BB149">
    <cfRule type="cellIs" dxfId="21901" priority="1543" operator="lessThan">
      <formula>0</formula>
    </cfRule>
    <cfRule type="cellIs" dxfId="21900" priority="1544" operator="lessThan">
      <formula>-105575</formula>
    </cfRule>
  </conditionalFormatting>
  <conditionalFormatting sqref="BB129:BB138 BB140:BB149">
    <cfRule type="cellIs" dxfId="21899" priority="1541" operator="lessThan">
      <formula>0</formula>
    </cfRule>
    <cfRule type="cellIs" dxfId="21898" priority="1542" operator="lessThan">
      <formula>-105575</formula>
    </cfRule>
  </conditionalFormatting>
  <conditionalFormatting sqref="BB94:BB98 BB86:BB87 BB89:BB91 BB141:BB149 BB124:BB133 BB107:BB110 BB112:BB117 BB119:BB122 BB135:BB138 BB101:BB104 BB80:BB84">
    <cfRule type="cellIs" dxfId="21897" priority="1539" operator="lessThan">
      <formula>0</formula>
    </cfRule>
    <cfRule type="cellIs" dxfId="21896" priority="1540" operator="lessThan">
      <formula>-105575</formula>
    </cfRule>
  </conditionalFormatting>
  <conditionalFormatting sqref="BB129 BB131 BB133 BB135">
    <cfRule type="cellIs" dxfId="21895" priority="1537" operator="lessThan">
      <formula>0</formula>
    </cfRule>
    <cfRule type="cellIs" dxfId="21894" priority="1538" operator="lessThan">
      <formula>-105575</formula>
    </cfRule>
  </conditionalFormatting>
  <conditionalFormatting sqref="BB146 BB144 BB141">
    <cfRule type="cellIs" dxfId="21893" priority="1535" operator="lessThan">
      <formula>0</formula>
    </cfRule>
    <cfRule type="cellIs" dxfId="21892" priority="1536" operator="lessThan">
      <formula>-105575</formula>
    </cfRule>
  </conditionalFormatting>
  <conditionalFormatting sqref="BB146 BB144 BB141">
    <cfRule type="cellIs" dxfId="21891" priority="1533" operator="lessThan">
      <formula>0</formula>
    </cfRule>
    <cfRule type="cellIs" dxfId="21890" priority="1534" operator="lessThan">
      <formula>-105575</formula>
    </cfRule>
  </conditionalFormatting>
  <conditionalFormatting sqref="BB140 BB145 BB142:BB143 BB137:BB138">
    <cfRule type="cellIs" dxfId="21889" priority="1531" operator="lessThan">
      <formula>0</formula>
    </cfRule>
    <cfRule type="cellIs" dxfId="21888" priority="1532" operator="lessThan">
      <formula>-105575</formula>
    </cfRule>
  </conditionalFormatting>
  <conditionalFormatting sqref="BB149">
    <cfRule type="cellIs" dxfId="21887" priority="1529" operator="lessThan">
      <formula>0</formula>
    </cfRule>
    <cfRule type="cellIs" dxfId="21886" priority="1530" operator="lessThan">
      <formula>-105575</formula>
    </cfRule>
  </conditionalFormatting>
  <conditionalFormatting sqref="BB94:BB98 BB86:BB87 BB89:BB91 BB141:BB149 BB124:BB133 BB107:BB110 BB112:BB117 BB119:BB122 BB135:BB138 BB101:BB104 BB80:BB84">
    <cfRule type="cellIs" dxfId="21885" priority="1527" operator="lessThan">
      <formula>0</formula>
    </cfRule>
    <cfRule type="cellIs" dxfId="21884" priority="1528" operator="lessThan">
      <formula>-105575</formula>
    </cfRule>
  </conditionalFormatting>
  <conditionalFormatting sqref="BB246:BB249 BB262 BB267 BB279:BB282 BB285:BB288 BB274:BB275 BB306:BB309 BB311:BB325 BB327:BB330 BB332:BB341 BB344:BB347 BB349:BB353 BB355:BB358 BB360:BB384 BB386:BB389 BB392:BB395 BB397:BB411 BB413:BB416 BB418:BB432 BB434:BB437 BB439:BB453 BB455:BB458 BB460:BB469 BB7:BB10 BB12:BB14 BB17:BB18 BB21:BB24 BB26:BB28 BB30:BB36 BB38 BB41:BB43 BB46:BB49 BB51:BB55 BB57:BB59 BB62:BB76 BB251:BB253 BB255:BB257 BB293:BB304 BB264:BB265 BB260 BB290:BB291 BB270:BB272">
    <cfRule type="cellIs" dxfId="21883" priority="1525" operator="lessThan">
      <formula>0</formula>
    </cfRule>
    <cfRule type="cellIs" dxfId="21882" priority="1526" operator="lessThan">
      <formula>-105575</formula>
    </cfRule>
  </conditionalFormatting>
  <conditionalFormatting sqref="BB41">
    <cfRule type="cellIs" dxfId="21881" priority="1523" operator="lessThan">
      <formula>0</formula>
    </cfRule>
    <cfRule type="cellIs" dxfId="21880" priority="1524" operator="lessThan">
      <formula>-105575</formula>
    </cfRule>
  </conditionalFormatting>
  <conditionalFormatting sqref="BB152:BB155">
    <cfRule type="cellIs" dxfId="21879" priority="1521" operator="lessThan">
      <formula>0</formula>
    </cfRule>
    <cfRule type="cellIs" dxfId="21878" priority="1522" operator="lessThan">
      <formula>-105575</formula>
    </cfRule>
  </conditionalFormatting>
  <conditionalFormatting sqref="BB152:BB155">
    <cfRule type="cellIs" dxfId="21877" priority="1519" operator="lessThan">
      <formula>0</formula>
    </cfRule>
    <cfRule type="cellIs" dxfId="21876" priority="1520" operator="lessThan">
      <formula>-105575</formula>
    </cfRule>
  </conditionalFormatting>
  <conditionalFormatting sqref="BB152:BB155">
    <cfRule type="cellIs" dxfId="21875" priority="1517" operator="lessThan">
      <formula>0</formula>
    </cfRule>
    <cfRule type="cellIs" dxfId="21874" priority="1518" operator="lessThan">
      <formula>-105575</formula>
    </cfRule>
  </conditionalFormatting>
  <conditionalFormatting sqref="BB157:BB158">
    <cfRule type="cellIs" dxfId="21873" priority="1515" operator="lessThan">
      <formula>0</formula>
    </cfRule>
    <cfRule type="cellIs" dxfId="21872" priority="1516" operator="lessThan">
      <formula>-105575</formula>
    </cfRule>
  </conditionalFormatting>
  <conditionalFormatting sqref="BB157:BB158">
    <cfRule type="cellIs" dxfId="21871" priority="1513" operator="lessThan">
      <formula>0</formula>
    </cfRule>
    <cfRule type="cellIs" dxfId="21870" priority="1514" operator="lessThan">
      <formula>-105575</formula>
    </cfRule>
  </conditionalFormatting>
  <conditionalFormatting sqref="BB157:BB158">
    <cfRule type="cellIs" dxfId="21869" priority="1511" operator="lessThan">
      <formula>0</formula>
    </cfRule>
    <cfRule type="cellIs" dxfId="21868" priority="1512" operator="lessThan">
      <formula>-105575</formula>
    </cfRule>
  </conditionalFormatting>
  <conditionalFormatting sqref="BB160:BB161">
    <cfRule type="cellIs" dxfId="21867" priority="1509" operator="lessThan">
      <formula>0</formula>
    </cfRule>
    <cfRule type="cellIs" dxfId="21866" priority="1510" operator="lessThan">
      <formula>-105575</formula>
    </cfRule>
  </conditionalFormatting>
  <conditionalFormatting sqref="BB160:BB161">
    <cfRule type="cellIs" dxfId="21865" priority="1507" operator="lessThan">
      <formula>0</formula>
    </cfRule>
    <cfRule type="cellIs" dxfId="21864" priority="1508" operator="lessThan">
      <formula>-105575</formula>
    </cfRule>
  </conditionalFormatting>
  <conditionalFormatting sqref="BB160:BB161">
    <cfRule type="cellIs" dxfId="21863" priority="1505" operator="lessThan">
      <formula>0</formula>
    </cfRule>
    <cfRule type="cellIs" dxfId="21862" priority="1506" operator="lessThan">
      <formula>-105575</formula>
    </cfRule>
  </conditionalFormatting>
  <conditionalFormatting sqref="BB164:BB167">
    <cfRule type="cellIs" dxfId="21861" priority="1503" operator="lessThan">
      <formula>0</formula>
    </cfRule>
    <cfRule type="cellIs" dxfId="21860" priority="1504" operator="lessThan">
      <formula>-105575</formula>
    </cfRule>
  </conditionalFormatting>
  <conditionalFormatting sqref="BB164:BB167">
    <cfRule type="cellIs" dxfId="21859" priority="1501" operator="lessThan">
      <formula>0</formula>
    </cfRule>
    <cfRule type="cellIs" dxfId="21858" priority="1502" operator="lessThan">
      <formula>-105575</formula>
    </cfRule>
  </conditionalFormatting>
  <conditionalFormatting sqref="BB164:BB167">
    <cfRule type="cellIs" dxfId="21857" priority="1499" operator="lessThan">
      <formula>0</formula>
    </cfRule>
    <cfRule type="cellIs" dxfId="21856" priority="1500" operator="lessThan">
      <formula>-105575</formula>
    </cfRule>
  </conditionalFormatting>
  <conditionalFormatting sqref="BB169:BB177">
    <cfRule type="cellIs" dxfId="21855" priority="1497" operator="lessThan">
      <formula>0</formula>
    </cfRule>
    <cfRule type="cellIs" dxfId="21854" priority="1498" operator="lessThan">
      <formula>-105575</formula>
    </cfRule>
  </conditionalFormatting>
  <conditionalFormatting sqref="BB169:BB177">
    <cfRule type="cellIs" dxfId="21853" priority="1495" operator="lessThan">
      <formula>0</formula>
    </cfRule>
    <cfRule type="cellIs" dxfId="21852" priority="1496" operator="lessThan">
      <formula>-105575</formula>
    </cfRule>
  </conditionalFormatting>
  <conditionalFormatting sqref="BB169:BB177">
    <cfRule type="cellIs" dxfId="21851" priority="1493" operator="lessThan">
      <formula>0</formula>
    </cfRule>
    <cfRule type="cellIs" dxfId="21850" priority="1494" operator="lessThan">
      <formula>-105575</formula>
    </cfRule>
  </conditionalFormatting>
  <conditionalFormatting sqref="BB179:BB180">
    <cfRule type="cellIs" dxfId="21849" priority="1491" operator="lessThan">
      <formula>0</formula>
    </cfRule>
    <cfRule type="cellIs" dxfId="21848" priority="1492" operator="lessThan">
      <formula>-105575</formula>
    </cfRule>
  </conditionalFormatting>
  <conditionalFormatting sqref="BB179:BB180">
    <cfRule type="cellIs" dxfId="21847" priority="1489" operator="lessThan">
      <formula>0</formula>
    </cfRule>
    <cfRule type="cellIs" dxfId="21846" priority="1490" operator="lessThan">
      <formula>-105575</formula>
    </cfRule>
  </conditionalFormatting>
  <conditionalFormatting sqref="BB179:BB180">
    <cfRule type="cellIs" dxfId="21845" priority="1487" operator="lessThan">
      <formula>0</formula>
    </cfRule>
    <cfRule type="cellIs" dxfId="21844" priority="1488" operator="lessThan">
      <formula>-105575</formula>
    </cfRule>
  </conditionalFormatting>
  <conditionalFormatting sqref="BB183:BB189">
    <cfRule type="cellIs" dxfId="21843" priority="1485" operator="lessThan">
      <formula>0</formula>
    </cfRule>
    <cfRule type="cellIs" dxfId="21842" priority="1486" operator="lessThan">
      <formula>-105575</formula>
    </cfRule>
  </conditionalFormatting>
  <conditionalFormatting sqref="BB183:BB189">
    <cfRule type="cellIs" dxfId="21841" priority="1483" operator="lessThan">
      <formula>0</formula>
    </cfRule>
    <cfRule type="cellIs" dxfId="21840" priority="1484" operator="lessThan">
      <formula>-105575</formula>
    </cfRule>
  </conditionalFormatting>
  <conditionalFormatting sqref="BB183:BB189">
    <cfRule type="cellIs" dxfId="21839" priority="1481" operator="lessThan">
      <formula>0</formula>
    </cfRule>
    <cfRule type="cellIs" dxfId="21838" priority="1482" operator="lessThan">
      <formula>-105575</formula>
    </cfRule>
  </conditionalFormatting>
  <conditionalFormatting sqref="BB191:BB192">
    <cfRule type="cellIs" dxfId="21837" priority="1479" operator="lessThan">
      <formula>0</formula>
    </cfRule>
    <cfRule type="cellIs" dxfId="21836" priority="1480" operator="lessThan">
      <formula>-105575</formula>
    </cfRule>
  </conditionalFormatting>
  <conditionalFormatting sqref="BB191:BB192">
    <cfRule type="cellIs" dxfId="21835" priority="1477" operator="lessThan">
      <formula>0</formula>
    </cfRule>
    <cfRule type="cellIs" dxfId="21834" priority="1478" operator="lessThan">
      <formula>-105575</formula>
    </cfRule>
  </conditionalFormatting>
  <conditionalFormatting sqref="BB191:BB192">
    <cfRule type="cellIs" dxfId="21833" priority="1475" operator="lessThan">
      <formula>0</formula>
    </cfRule>
    <cfRule type="cellIs" dxfId="21832" priority="1476" operator="lessThan">
      <formula>-105575</formula>
    </cfRule>
  </conditionalFormatting>
  <conditionalFormatting sqref="BB194:BB195">
    <cfRule type="cellIs" dxfId="21831" priority="1473" operator="lessThan">
      <formula>0</formula>
    </cfRule>
    <cfRule type="cellIs" dxfId="21830" priority="1474" operator="lessThan">
      <formula>-105575</formula>
    </cfRule>
  </conditionalFormatting>
  <conditionalFormatting sqref="BB194:BB195">
    <cfRule type="cellIs" dxfId="21829" priority="1471" operator="lessThan">
      <formula>0</formula>
    </cfRule>
    <cfRule type="cellIs" dxfId="21828" priority="1472" operator="lessThan">
      <formula>-105575</formula>
    </cfRule>
  </conditionalFormatting>
  <conditionalFormatting sqref="BB194:BB195">
    <cfRule type="cellIs" dxfId="21827" priority="1469" operator="lessThan">
      <formula>0</formula>
    </cfRule>
    <cfRule type="cellIs" dxfId="21826" priority="1470" operator="lessThan">
      <formula>-105575</formula>
    </cfRule>
  </conditionalFormatting>
  <conditionalFormatting sqref="BB199:BB202">
    <cfRule type="cellIs" dxfId="21825" priority="1467" operator="lessThan">
      <formula>0</formula>
    </cfRule>
    <cfRule type="cellIs" dxfId="21824" priority="1468" operator="lessThan">
      <formula>-105575</formula>
    </cfRule>
  </conditionalFormatting>
  <conditionalFormatting sqref="BB199:BB202">
    <cfRule type="cellIs" dxfId="21823" priority="1465" operator="lessThan">
      <formula>0</formula>
    </cfRule>
    <cfRule type="cellIs" dxfId="21822" priority="1466" operator="lessThan">
      <formula>-105575</formula>
    </cfRule>
  </conditionalFormatting>
  <conditionalFormatting sqref="BB199:BB202">
    <cfRule type="cellIs" dxfId="21821" priority="1463" operator="lessThan">
      <formula>0</formula>
    </cfRule>
    <cfRule type="cellIs" dxfId="21820" priority="1464" operator="lessThan">
      <formula>-105575</formula>
    </cfRule>
  </conditionalFormatting>
  <conditionalFormatting sqref="BB204:BB208">
    <cfRule type="cellIs" dxfId="21819" priority="1461" operator="lessThan">
      <formula>0</formula>
    </cfRule>
    <cfRule type="cellIs" dxfId="21818" priority="1462" operator="lessThan">
      <formula>-105575</formula>
    </cfRule>
  </conditionalFormatting>
  <conditionalFormatting sqref="BB204:BB208">
    <cfRule type="cellIs" dxfId="21817" priority="1459" operator="lessThan">
      <formula>0</formula>
    </cfRule>
    <cfRule type="cellIs" dxfId="21816" priority="1460" operator="lessThan">
      <formula>-105575</formula>
    </cfRule>
  </conditionalFormatting>
  <conditionalFormatting sqref="BB204:BB208">
    <cfRule type="cellIs" dxfId="21815" priority="1457" operator="lessThan">
      <formula>0</formula>
    </cfRule>
    <cfRule type="cellIs" dxfId="21814" priority="1458" operator="lessThan">
      <formula>-105575</formula>
    </cfRule>
  </conditionalFormatting>
  <conditionalFormatting sqref="BB210:BB211">
    <cfRule type="cellIs" dxfId="21813" priority="1455" operator="lessThan">
      <formula>0</formula>
    </cfRule>
    <cfRule type="cellIs" dxfId="21812" priority="1456" operator="lessThan">
      <formula>-105575</formula>
    </cfRule>
  </conditionalFormatting>
  <conditionalFormatting sqref="BB210:BB211">
    <cfRule type="cellIs" dxfId="21811" priority="1453" operator="lessThan">
      <formula>0</formula>
    </cfRule>
    <cfRule type="cellIs" dxfId="21810" priority="1454" operator="lessThan">
      <formula>-105575</formula>
    </cfRule>
  </conditionalFormatting>
  <conditionalFormatting sqref="BB210:BB211">
    <cfRule type="cellIs" dxfId="21809" priority="1451" operator="lessThan">
      <formula>0</formula>
    </cfRule>
    <cfRule type="cellIs" dxfId="21808" priority="1452" operator="lessThan">
      <formula>-105575</formula>
    </cfRule>
  </conditionalFormatting>
  <conditionalFormatting sqref="BB214:BB219">
    <cfRule type="cellIs" dxfId="21807" priority="1449" operator="lessThan">
      <formula>0</formula>
    </cfRule>
    <cfRule type="cellIs" dxfId="21806" priority="1450" operator="lessThan">
      <formula>-105575</formula>
    </cfRule>
  </conditionalFormatting>
  <conditionalFormatting sqref="BB214:BB219">
    <cfRule type="cellIs" dxfId="21805" priority="1447" operator="lessThan">
      <formula>0</formula>
    </cfRule>
    <cfRule type="cellIs" dxfId="21804" priority="1448" operator="lessThan">
      <formula>-105575</formula>
    </cfRule>
  </conditionalFormatting>
  <conditionalFormatting sqref="BB214:BB219">
    <cfRule type="cellIs" dxfId="21803" priority="1445" operator="lessThan">
      <formula>0</formula>
    </cfRule>
    <cfRule type="cellIs" dxfId="21802" priority="1446" operator="lessThan">
      <formula>-105575</formula>
    </cfRule>
  </conditionalFormatting>
  <conditionalFormatting sqref="BB222:BB224">
    <cfRule type="cellIs" dxfId="21801" priority="1443" operator="lessThan">
      <formula>0</formula>
    </cfRule>
    <cfRule type="cellIs" dxfId="21800" priority="1444" operator="lessThan">
      <formula>-105575</formula>
    </cfRule>
  </conditionalFormatting>
  <conditionalFormatting sqref="BB222:BB224">
    <cfRule type="cellIs" dxfId="21799" priority="1441" operator="lessThan">
      <formula>0</formula>
    </cfRule>
    <cfRule type="cellIs" dxfId="21798" priority="1442" operator="lessThan">
      <formula>-105575</formula>
    </cfRule>
  </conditionalFormatting>
  <conditionalFormatting sqref="BB222:BB224">
    <cfRule type="cellIs" dxfId="21797" priority="1439" operator="lessThan">
      <formula>0</formula>
    </cfRule>
    <cfRule type="cellIs" dxfId="21796" priority="1440" operator="lessThan">
      <formula>-105575</formula>
    </cfRule>
  </conditionalFormatting>
  <conditionalFormatting sqref="BB227:BB230">
    <cfRule type="cellIs" dxfId="21795" priority="1437" operator="lessThan">
      <formula>0</formula>
    </cfRule>
    <cfRule type="cellIs" dxfId="21794" priority="1438" operator="lessThan">
      <formula>-105575</formula>
    </cfRule>
  </conditionalFormatting>
  <conditionalFormatting sqref="BB227:BB230">
    <cfRule type="cellIs" dxfId="21793" priority="1435" operator="lessThan">
      <formula>0</formula>
    </cfRule>
    <cfRule type="cellIs" dxfId="21792" priority="1436" operator="lessThan">
      <formula>-105575</formula>
    </cfRule>
  </conditionalFormatting>
  <conditionalFormatting sqref="BB227:BB230">
    <cfRule type="cellIs" dxfId="21791" priority="1433" operator="lessThan">
      <formula>0</formula>
    </cfRule>
    <cfRule type="cellIs" dxfId="21790" priority="1434" operator="lessThan">
      <formula>-105575</formula>
    </cfRule>
  </conditionalFormatting>
  <conditionalFormatting sqref="BB203 BB220:BB221 BB235:BB243 BB231:BB233 BB212:BB213 BB225:BB226">
    <cfRule type="cellIs" dxfId="21789" priority="1431" operator="lessThan">
      <formula>0</formula>
    </cfRule>
    <cfRule type="cellIs" dxfId="21788" priority="1432" operator="lessThan">
      <formula>-105575</formula>
    </cfRule>
  </conditionalFormatting>
  <conditionalFormatting sqref="BB220 BB212:BB213 BB235:BB238 BB240:BB243 BB225:BB226 BB231:BB233">
    <cfRule type="cellIs" dxfId="21787" priority="1429" operator="lessThan">
      <formula>0</formula>
    </cfRule>
    <cfRule type="cellIs" dxfId="21786" priority="1430" operator="lessThan">
      <formula>-105575</formula>
    </cfRule>
  </conditionalFormatting>
  <conditionalFormatting sqref="BB220:BB221 BB243 BB226 BB231:BB236 BB238:BB241 BB203 BB213">
    <cfRule type="cellIs" dxfId="21785" priority="1427" operator="lessThan">
      <formula>0</formula>
    </cfRule>
    <cfRule type="cellIs" dxfId="21784" priority="1428" operator="lessThan">
      <formula>-105575</formula>
    </cfRule>
  </conditionalFormatting>
  <conditionalFormatting sqref="BB235:BB243 BB231:BB233 BB220 BB212:BB213 BB225:BB226">
    <cfRule type="cellIs" dxfId="21783" priority="1425" operator="lessThan">
      <formula>0</formula>
    </cfRule>
    <cfRule type="cellIs" dxfId="21782" priority="1426" operator="lessThan">
      <formula>-105575</formula>
    </cfRule>
  </conditionalFormatting>
  <conditionalFormatting sqref="BB220:BB221 BB237:BB243 BB203 BB231:BB235 BB212:BB213 BB225:BB226">
    <cfRule type="cellIs" dxfId="21781" priority="1423" operator="lessThan">
      <formula>0</formula>
    </cfRule>
    <cfRule type="cellIs" dxfId="21780" priority="1424" operator="lessThan">
      <formula>-105575</formula>
    </cfRule>
  </conditionalFormatting>
  <conditionalFormatting sqref="BB220:BB221 BB237:BB240 BB242:BB243 BB225:BB226 BB231:BB235">
    <cfRule type="cellIs" dxfId="21779" priority="1421" operator="lessThan">
      <formula>0</formula>
    </cfRule>
    <cfRule type="cellIs" dxfId="21778" priority="1422" operator="lessThan">
      <formula>-105575</formula>
    </cfRule>
  </conditionalFormatting>
  <conditionalFormatting sqref="BB212 BB231 BB233:BB238 BB240:BB243 BB225">
    <cfRule type="cellIs" dxfId="21777" priority="1419" operator="lessThan">
      <formula>0</formula>
    </cfRule>
    <cfRule type="cellIs" dxfId="21776" priority="1420" operator="lessThan">
      <formula>-105575</formula>
    </cfRule>
  </conditionalFormatting>
  <conditionalFormatting sqref="BB237:BB243 BB231:BB235 BB220:BB221 BB225:BB226">
    <cfRule type="cellIs" dxfId="21775" priority="1417" operator="lessThan">
      <formula>0</formula>
    </cfRule>
    <cfRule type="cellIs" dxfId="21774" priority="1418" operator="lessThan">
      <formula>-105575</formula>
    </cfRule>
  </conditionalFormatting>
  <conditionalFormatting sqref="BB233:BB237 BB231 BB239:BB243">
    <cfRule type="cellIs" dxfId="21773" priority="1415" operator="lessThan">
      <formula>0</formula>
    </cfRule>
    <cfRule type="cellIs" dxfId="21772" priority="1416" operator="lessThan">
      <formula>-105575</formula>
    </cfRule>
  </conditionalFormatting>
  <conditionalFormatting sqref="BB233:BB237 BB231 BB239:BB243">
    <cfRule type="cellIs" dxfId="21771" priority="1413" operator="lessThan">
      <formula>0</formula>
    </cfRule>
    <cfRule type="cellIs" dxfId="21770" priority="1414" operator="lessThan">
      <formula>-105575</formula>
    </cfRule>
  </conditionalFormatting>
  <conditionalFormatting sqref="BB119:BB128 BB106:BB117 BB101:BB104 BB80:BB98">
    <cfRule type="cellIs" dxfId="21769" priority="1411" operator="lessThan">
      <formula>0</formula>
    </cfRule>
    <cfRule type="cellIs" dxfId="21768" priority="1412" operator="lessThan">
      <formula>-105575</formula>
    </cfRule>
  </conditionalFormatting>
  <conditionalFormatting sqref="BB130 BB132 BB134">
    <cfRule type="cellIs" dxfId="21767" priority="1409" operator="lessThan">
      <formula>0</formula>
    </cfRule>
    <cfRule type="cellIs" dxfId="21766" priority="1410" operator="lessThan">
      <formula>-105575</formula>
    </cfRule>
  </conditionalFormatting>
  <conditionalFormatting sqref="BB130 BB132 BB134">
    <cfRule type="cellIs" dxfId="21765" priority="1407" operator="lessThan">
      <formula>0</formula>
    </cfRule>
    <cfRule type="cellIs" dxfId="21764" priority="1408" operator="lessThan">
      <formula>-105575</formula>
    </cfRule>
  </conditionalFormatting>
  <conditionalFormatting sqref="BB129 BB131 BB133 BB135">
    <cfRule type="cellIs" dxfId="21763" priority="1405" operator="lessThan">
      <formula>0</formula>
    </cfRule>
    <cfRule type="cellIs" dxfId="21762" priority="1406" operator="lessThan">
      <formula>-105575</formula>
    </cfRule>
  </conditionalFormatting>
  <conditionalFormatting sqref="BB140 BB145 BB142:BB143 BB137:BB138">
    <cfRule type="cellIs" dxfId="21761" priority="1403" operator="lessThan">
      <formula>0</formula>
    </cfRule>
    <cfRule type="cellIs" dxfId="21760" priority="1404" operator="lessThan">
      <formula>-105575</formula>
    </cfRule>
  </conditionalFormatting>
  <conditionalFormatting sqref="BB149">
    <cfRule type="cellIs" dxfId="21759" priority="1401" operator="lessThan">
      <formula>0</formula>
    </cfRule>
    <cfRule type="cellIs" dxfId="21758" priority="1402" operator="lessThan">
      <formula>-105575</formula>
    </cfRule>
  </conditionalFormatting>
  <conditionalFormatting sqref="BB129:BB138 BB140:BB149">
    <cfRule type="cellIs" dxfId="21757" priority="1399" operator="lessThan">
      <formula>0</formula>
    </cfRule>
    <cfRule type="cellIs" dxfId="21756" priority="1400" operator="lessThan">
      <formula>-105575</formula>
    </cfRule>
  </conditionalFormatting>
  <conditionalFormatting sqref="BB94:BB98 BB86:BB87 BB89:BB91 BB141:BB149 BB124:BB133 BB107:BB110 BB112:BB117 BB119:BB122 BB135:BB138 BB101:BB104 BB80:BB84">
    <cfRule type="cellIs" dxfId="21755" priority="1397" operator="lessThan">
      <formula>0</formula>
    </cfRule>
    <cfRule type="cellIs" dxfId="21754" priority="1398" operator="lessThan">
      <formula>-105575</formula>
    </cfRule>
  </conditionalFormatting>
  <conditionalFormatting sqref="BB129 BB131 BB133 BB135">
    <cfRule type="cellIs" dxfId="21753" priority="1395" operator="lessThan">
      <formula>0</formula>
    </cfRule>
    <cfRule type="cellIs" dxfId="21752" priority="1396" operator="lessThan">
      <formula>-105575</formula>
    </cfRule>
  </conditionalFormatting>
  <conditionalFormatting sqref="BB146 BB144 BB141">
    <cfRule type="cellIs" dxfId="21751" priority="1393" operator="lessThan">
      <formula>0</formula>
    </cfRule>
    <cfRule type="cellIs" dxfId="21750" priority="1394" operator="lessThan">
      <formula>-105575</formula>
    </cfRule>
  </conditionalFormatting>
  <conditionalFormatting sqref="BB146 BB144 BB141">
    <cfRule type="cellIs" dxfId="21749" priority="1391" operator="lessThan">
      <formula>0</formula>
    </cfRule>
    <cfRule type="cellIs" dxfId="21748" priority="1392" operator="lessThan">
      <formula>-105575</formula>
    </cfRule>
  </conditionalFormatting>
  <conditionalFormatting sqref="BB140 BB145 BB142:BB143 BB137:BB138">
    <cfRule type="cellIs" dxfId="21747" priority="1389" operator="lessThan">
      <formula>0</formula>
    </cfRule>
    <cfRule type="cellIs" dxfId="21746" priority="1390" operator="lessThan">
      <formula>-105575</formula>
    </cfRule>
  </conditionalFormatting>
  <conditionalFormatting sqref="BB149">
    <cfRule type="cellIs" dxfId="21745" priority="1387" operator="lessThan">
      <formula>0</formula>
    </cfRule>
    <cfRule type="cellIs" dxfId="21744" priority="1388" operator="lessThan">
      <formula>-105575</formula>
    </cfRule>
  </conditionalFormatting>
  <conditionalFormatting sqref="BB94:BB98 BB86:BB87 BB89:BB91 BB141:BB149 BB124:BB133 BB107:BB110 BB112:BB117 BB119:BB122 BB135:BB138 BB101:BB104 BB80:BB84">
    <cfRule type="cellIs" dxfId="21743" priority="1385" operator="lessThan">
      <formula>0</formula>
    </cfRule>
    <cfRule type="cellIs" dxfId="21742" priority="1386" operator="lessThan">
      <formula>-105575</formula>
    </cfRule>
  </conditionalFormatting>
  <conditionalFormatting sqref="BB62:BB76 BB306:BB309 BB311:BB325 BB327:BB330 BB332:BB341 BB344:BB347 BB349:BB353 BB355:BB358 BB360:BB384 BB386:BB389 BB392:BB395 BB397:BB411 BB413:BB416 BB418:BB432 BB434:BB437 BB439:BB453 BB455:BB458 BB460:BB469 BB7:BB10 BB12:BB14 BB17:BB18 BB21:BB24 BB26:BB28 BB30:BB36 BB38 BB41:BB43 BB46:BB49 BB51:BB55 BB57:BB59 BB290:BB291 BB293:BB304">
    <cfRule type="cellIs" dxfId="21741" priority="1383" operator="lessThan">
      <formula>0</formula>
    </cfRule>
    <cfRule type="cellIs" dxfId="21740" priority="1384" operator="lessThan">
      <formula>-105575</formula>
    </cfRule>
  </conditionalFormatting>
  <conditionalFormatting sqref="BB41">
    <cfRule type="cellIs" dxfId="21739" priority="1381" operator="lessThan">
      <formula>0</formula>
    </cfRule>
    <cfRule type="cellIs" dxfId="21738" priority="1382" operator="lessThan">
      <formula>-105575</formula>
    </cfRule>
  </conditionalFormatting>
  <conditionalFormatting sqref="BB152:BB155">
    <cfRule type="cellIs" dxfId="21737" priority="1379" operator="lessThan">
      <formula>0</formula>
    </cfRule>
    <cfRule type="cellIs" dxfId="21736" priority="1380" operator="lessThan">
      <formula>-105575</formula>
    </cfRule>
  </conditionalFormatting>
  <conditionalFormatting sqref="BB152:BB155">
    <cfRule type="cellIs" dxfId="21735" priority="1377" operator="lessThan">
      <formula>0</formula>
    </cfRule>
    <cfRule type="cellIs" dxfId="21734" priority="1378" operator="lessThan">
      <formula>-105575</formula>
    </cfRule>
  </conditionalFormatting>
  <conditionalFormatting sqref="BB152:BB155">
    <cfRule type="cellIs" dxfId="21733" priority="1375" operator="lessThan">
      <formula>0</formula>
    </cfRule>
    <cfRule type="cellIs" dxfId="21732" priority="1376" operator="lessThan">
      <formula>-105575</formula>
    </cfRule>
  </conditionalFormatting>
  <conditionalFormatting sqref="BB157:BB158">
    <cfRule type="cellIs" dxfId="21731" priority="1373" operator="lessThan">
      <formula>0</formula>
    </cfRule>
    <cfRule type="cellIs" dxfId="21730" priority="1374" operator="lessThan">
      <formula>-105575</formula>
    </cfRule>
  </conditionalFormatting>
  <conditionalFormatting sqref="BB157:BB158">
    <cfRule type="cellIs" dxfId="21729" priority="1371" operator="lessThan">
      <formula>0</formula>
    </cfRule>
    <cfRule type="cellIs" dxfId="21728" priority="1372" operator="lessThan">
      <formula>-105575</formula>
    </cfRule>
  </conditionalFormatting>
  <conditionalFormatting sqref="BB157:BB158">
    <cfRule type="cellIs" dxfId="21727" priority="1369" operator="lessThan">
      <formula>0</formula>
    </cfRule>
    <cfRule type="cellIs" dxfId="21726" priority="1370" operator="lessThan">
      <formula>-105575</formula>
    </cfRule>
  </conditionalFormatting>
  <conditionalFormatting sqref="BB160:BB161">
    <cfRule type="cellIs" dxfId="21725" priority="1367" operator="lessThan">
      <formula>0</formula>
    </cfRule>
    <cfRule type="cellIs" dxfId="21724" priority="1368" operator="lessThan">
      <formula>-105575</formula>
    </cfRule>
  </conditionalFormatting>
  <conditionalFormatting sqref="BB160:BB161">
    <cfRule type="cellIs" dxfId="21723" priority="1365" operator="lessThan">
      <formula>0</formula>
    </cfRule>
    <cfRule type="cellIs" dxfId="21722" priority="1366" operator="lessThan">
      <formula>-105575</formula>
    </cfRule>
  </conditionalFormatting>
  <conditionalFormatting sqref="BB160:BB161">
    <cfRule type="cellIs" dxfId="21721" priority="1363" operator="lessThan">
      <formula>0</formula>
    </cfRule>
    <cfRule type="cellIs" dxfId="21720" priority="1364" operator="lessThan">
      <formula>-105575</formula>
    </cfRule>
  </conditionalFormatting>
  <conditionalFormatting sqref="BB164:BB167">
    <cfRule type="cellIs" dxfId="21719" priority="1361" operator="lessThan">
      <formula>0</formula>
    </cfRule>
    <cfRule type="cellIs" dxfId="21718" priority="1362" operator="lessThan">
      <formula>-105575</formula>
    </cfRule>
  </conditionalFormatting>
  <conditionalFormatting sqref="BB164:BB167">
    <cfRule type="cellIs" dxfId="21717" priority="1359" operator="lessThan">
      <formula>0</formula>
    </cfRule>
    <cfRule type="cellIs" dxfId="21716" priority="1360" operator="lessThan">
      <formula>-105575</formula>
    </cfRule>
  </conditionalFormatting>
  <conditionalFormatting sqref="BB164:BB167">
    <cfRule type="cellIs" dxfId="21715" priority="1357" operator="lessThan">
      <formula>0</formula>
    </cfRule>
    <cfRule type="cellIs" dxfId="21714" priority="1358" operator="lessThan">
      <formula>-105575</formula>
    </cfRule>
  </conditionalFormatting>
  <conditionalFormatting sqref="BB169:BB177">
    <cfRule type="cellIs" dxfId="21713" priority="1355" operator="lessThan">
      <formula>0</formula>
    </cfRule>
    <cfRule type="cellIs" dxfId="21712" priority="1356" operator="lessThan">
      <formula>-105575</formula>
    </cfRule>
  </conditionalFormatting>
  <conditionalFormatting sqref="BB169:BB177">
    <cfRule type="cellIs" dxfId="21711" priority="1353" operator="lessThan">
      <formula>0</formula>
    </cfRule>
    <cfRule type="cellIs" dxfId="21710" priority="1354" operator="lessThan">
      <formula>-105575</formula>
    </cfRule>
  </conditionalFormatting>
  <conditionalFormatting sqref="BB169:BB177">
    <cfRule type="cellIs" dxfId="21709" priority="1351" operator="lessThan">
      <formula>0</formula>
    </cfRule>
    <cfRule type="cellIs" dxfId="21708" priority="1352" operator="lessThan">
      <formula>-105575</formula>
    </cfRule>
  </conditionalFormatting>
  <conditionalFormatting sqref="BB179:BB180">
    <cfRule type="cellIs" dxfId="21707" priority="1349" operator="lessThan">
      <formula>0</formula>
    </cfRule>
    <cfRule type="cellIs" dxfId="21706" priority="1350" operator="lessThan">
      <formula>-105575</formula>
    </cfRule>
  </conditionalFormatting>
  <conditionalFormatting sqref="BB179:BB180">
    <cfRule type="cellIs" dxfId="21705" priority="1347" operator="lessThan">
      <formula>0</formula>
    </cfRule>
    <cfRule type="cellIs" dxfId="21704" priority="1348" operator="lessThan">
      <formula>-105575</formula>
    </cfRule>
  </conditionalFormatting>
  <conditionalFormatting sqref="BB179:BB180">
    <cfRule type="cellIs" dxfId="21703" priority="1345" operator="lessThan">
      <formula>0</formula>
    </cfRule>
    <cfRule type="cellIs" dxfId="21702" priority="1346" operator="lessThan">
      <formula>-105575</formula>
    </cfRule>
  </conditionalFormatting>
  <conditionalFormatting sqref="BB183:BB189">
    <cfRule type="cellIs" dxfId="21701" priority="1343" operator="lessThan">
      <formula>0</formula>
    </cfRule>
    <cfRule type="cellIs" dxfId="21700" priority="1344" operator="lessThan">
      <formula>-105575</formula>
    </cfRule>
  </conditionalFormatting>
  <conditionalFormatting sqref="BB183:BB189">
    <cfRule type="cellIs" dxfId="21699" priority="1341" operator="lessThan">
      <formula>0</formula>
    </cfRule>
    <cfRule type="cellIs" dxfId="21698" priority="1342" operator="lessThan">
      <formula>-105575</formula>
    </cfRule>
  </conditionalFormatting>
  <conditionalFormatting sqref="BB183:BB189">
    <cfRule type="cellIs" dxfId="21697" priority="1339" operator="lessThan">
      <formula>0</formula>
    </cfRule>
    <cfRule type="cellIs" dxfId="21696" priority="1340" operator="lessThan">
      <formula>-105575</formula>
    </cfRule>
  </conditionalFormatting>
  <conditionalFormatting sqref="BB191:BB192">
    <cfRule type="cellIs" dxfId="21695" priority="1337" operator="lessThan">
      <formula>0</formula>
    </cfRule>
    <cfRule type="cellIs" dxfId="21694" priority="1338" operator="lessThan">
      <formula>-105575</formula>
    </cfRule>
  </conditionalFormatting>
  <conditionalFormatting sqref="BB191:BB192">
    <cfRule type="cellIs" dxfId="21693" priority="1335" operator="lessThan">
      <formula>0</formula>
    </cfRule>
    <cfRule type="cellIs" dxfId="21692" priority="1336" operator="lessThan">
      <formula>-105575</formula>
    </cfRule>
  </conditionalFormatting>
  <conditionalFormatting sqref="BB191:BB192">
    <cfRule type="cellIs" dxfId="21691" priority="1333" operator="lessThan">
      <formula>0</formula>
    </cfRule>
    <cfRule type="cellIs" dxfId="21690" priority="1334" operator="lessThan">
      <formula>-105575</formula>
    </cfRule>
  </conditionalFormatting>
  <conditionalFormatting sqref="BB194:BB195">
    <cfRule type="cellIs" dxfId="21689" priority="1331" operator="lessThan">
      <formula>0</formula>
    </cfRule>
    <cfRule type="cellIs" dxfId="21688" priority="1332" operator="lessThan">
      <formula>-105575</formula>
    </cfRule>
  </conditionalFormatting>
  <conditionalFormatting sqref="BB194:BB195">
    <cfRule type="cellIs" dxfId="21687" priority="1329" operator="lessThan">
      <formula>0</formula>
    </cfRule>
    <cfRule type="cellIs" dxfId="21686" priority="1330" operator="lessThan">
      <formula>-105575</formula>
    </cfRule>
  </conditionalFormatting>
  <conditionalFormatting sqref="BB194:BB195">
    <cfRule type="cellIs" dxfId="21685" priority="1327" operator="lessThan">
      <formula>0</formula>
    </cfRule>
    <cfRule type="cellIs" dxfId="21684" priority="1328" operator="lessThan">
      <formula>-105575</formula>
    </cfRule>
  </conditionalFormatting>
  <conditionalFormatting sqref="BB199:BB202">
    <cfRule type="cellIs" dxfId="21683" priority="1325" operator="lessThan">
      <formula>0</formula>
    </cfRule>
    <cfRule type="cellIs" dxfId="21682" priority="1326" operator="lessThan">
      <formula>-105575</formula>
    </cfRule>
  </conditionalFormatting>
  <conditionalFormatting sqref="BB199:BB202">
    <cfRule type="cellIs" dxfId="21681" priority="1323" operator="lessThan">
      <formula>0</formula>
    </cfRule>
    <cfRule type="cellIs" dxfId="21680" priority="1324" operator="lessThan">
      <formula>-105575</formula>
    </cfRule>
  </conditionalFormatting>
  <conditionalFormatting sqref="BB199:BB202">
    <cfRule type="cellIs" dxfId="21679" priority="1321" operator="lessThan">
      <formula>0</formula>
    </cfRule>
    <cfRule type="cellIs" dxfId="21678" priority="1322" operator="lessThan">
      <formula>-105575</formula>
    </cfRule>
  </conditionalFormatting>
  <conditionalFormatting sqref="BB204:BB208">
    <cfRule type="cellIs" dxfId="21677" priority="1319" operator="lessThan">
      <formula>0</formula>
    </cfRule>
    <cfRule type="cellIs" dxfId="21676" priority="1320" operator="lessThan">
      <formula>-105575</formula>
    </cfRule>
  </conditionalFormatting>
  <conditionalFormatting sqref="BB204:BB208">
    <cfRule type="cellIs" dxfId="21675" priority="1317" operator="lessThan">
      <formula>0</formula>
    </cfRule>
    <cfRule type="cellIs" dxfId="21674" priority="1318" operator="lessThan">
      <formula>-105575</formula>
    </cfRule>
  </conditionalFormatting>
  <conditionalFormatting sqref="BB204:BB208">
    <cfRule type="cellIs" dxfId="21673" priority="1315" operator="lessThan">
      <formula>0</formula>
    </cfRule>
    <cfRule type="cellIs" dxfId="21672" priority="1316" operator="lessThan">
      <formula>-105575</formula>
    </cfRule>
  </conditionalFormatting>
  <conditionalFormatting sqref="BB210:BB211">
    <cfRule type="cellIs" dxfId="21671" priority="1313" operator="lessThan">
      <formula>0</formula>
    </cfRule>
    <cfRule type="cellIs" dxfId="21670" priority="1314" operator="lessThan">
      <formula>-105575</formula>
    </cfRule>
  </conditionalFormatting>
  <conditionalFormatting sqref="BB210:BB211">
    <cfRule type="cellIs" dxfId="21669" priority="1311" operator="lessThan">
      <formula>0</formula>
    </cfRule>
    <cfRule type="cellIs" dxfId="21668" priority="1312" operator="lessThan">
      <formula>-105575</formula>
    </cfRule>
  </conditionalFormatting>
  <conditionalFormatting sqref="BB210:BB211">
    <cfRule type="cellIs" dxfId="21667" priority="1309" operator="lessThan">
      <formula>0</formula>
    </cfRule>
    <cfRule type="cellIs" dxfId="21666" priority="1310" operator="lessThan">
      <formula>-105575</formula>
    </cfRule>
  </conditionalFormatting>
  <conditionalFormatting sqref="BB214:BB219">
    <cfRule type="cellIs" dxfId="21665" priority="1307" operator="lessThan">
      <formula>0</formula>
    </cfRule>
    <cfRule type="cellIs" dxfId="21664" priority="1308" operator="lessThan">
      <formula>-105575</formula>
    </cfRule>
  </conditionalFormatting>
  <conditionalFormatting sqref="BB214:BB219">
    <cfRule type="cellIs" dxfId="21663" priority="1305" operator="lessThan">
      <formula>0</formula>
    </cfRule>
    <cfRule type="cellIs" dxfId="21662" priority="1306" operator="lessThan">
      <formula>-105575</formula>
    </cfRule>
  </conditionalFormatting>
  <conditionalFormatting sqref="BB214:BB219">
    <cfRule type="cellIs" dxfId="21661" priority="1303" operator="lessThan">
      <formula>0</formula>
    </cfRule>
    <cfRule type="cellIs" dxfId="21660" priority="1304" operator="lessThan">
      <formula>-105575</formula>
    </cfRule>
  </conditionalFormatting>
  <conditionalFormatting sqref="BB222:BB224">
    <cfRule type="cellIs" dxfId="21659" priority="1301" operator="lessThan">
      <formula>0</formula>
    </cfRule>
    <cfRule type="cellIs" dxfId="21658" priority="1302" operator="lessThan">
      <formula>-105575</formula>
    </cfRule>
  </conditionalFormatting>
  <conditionalFormatting sqref="BB222:BB224">
    <cfRule type="cellIs" dxfId="21657" priority="1299" operator="lessThan">
      <formula>0</formula>
    </cfRule>
    <cfRule type="cellIs" dxfId="21656" priority="1300" operator="lessThan">
      <formula>-105575</formula>
    </cfRule>
  </conditionalFormatting>
  <conditionalFormatting sqref="BB222:BB224">
    <cfRule type="cellIs" dxfId="21655" priority="1297" operator="lessThan">
      <formula>0</formula>
    </cfRule>
    <cfRule type="cellIs" dxfId="21654" priority="1298" operator="lessThan">
      <formula>-105575</formula>
    </cfRule>
  </conditionalFormatting>
  <conditionalFormatting sqref="BB227:BB230">
    <cfRule type="cellIs" dxfId="21653" priority="1295" operator="lessThan">
      <formula>0</formula>
    </cfRule>
    <cfRule type="cellIs" dxfId="21652" priority="1296" operator="lessThan">
      <formula>-105575</formula>
    </cfRule>
  </conditionalFormatting>
  <conditionalFormatting sqref="BB227:BB230">
    <cfRule type="cellIs" dxfId="21651" priority="1293" operator="lessThan">
      <formula>0</formula>
    </cfRule>
    <cfRule type="cellIs" dxfId="21650" priority="1294" operator="lessThan">
      <formula>-105575</formula>
    </cfRule>
  </conditionalFormatting>
  <conditionalFormatting sqref="BB227:BB230">
    <cfRule type="cellIs" dxfId="21649" priority="1291" operator="lessThan">
      <formula>0</formula>
    </cfRule>
    <cfRule type="cellIs" dxfId="21648" priority="1292" operator="lessThan">
      <formula>-105575</formula>
    </cfRule>
  </conditionalFormatting>
  <conditionalFormatting sqref="BB246:BB249">
    <cfRule type="cellIs" dxfId="21647" priority="1289" operator="lessThan">
      <formula>0</formula>
    </cfRule>
    <cfRule type="cellIs" dxfId="21646" priority="1290" operator="lessThan">
      <formula>-105575</formula>
    </cfRule>
  </conditionalFormatting>
  <conditionalFormatting sqref="BB246:BB249">
    <cfRule type="cellIs" dxfId="21645" priority="1287" operator="lessThan">
      <formula>0</formula>
    </cfRule>
    <cfRule type="cellIs" dxfId="21644" priority="1288" operator="lessThan">
      <formula>-105575</formula>
    </cfRule>
  </conditionalFormatting>
  <conditionalFormatting sqref="BB246:BB249">
    <cfRule type="cellIs" dxfId="21643" priority="1285" operator="lessThan">
      <formula>0</formula>
    </cfRule>
    <cfRule type="cellIs" dxfId="21642" priority="1286" operator="lessThan">
      <formula>-105575</formula>
    </cfRule>
  </conditionalFormatting>
  <conditionalFormatting sqref="BB246:BB249">
    <cfRule type="cellIs" dxfId="21641" priority="1283" operator="lessThan">
      <formula>0</formula>
    </cfRule>
    <cfRule type="cellIs" dxfId="21640" priority="1284" operator="lessThan">
      <formula>-105575</formula>
    </cfRule>
  </conditionalFormatting>
  <conditionalFormatting sqref="BB246:BB249">
    <cfRule type="cellIs" dxfId="21639" priority="1281" operator="lessThan">
      <formula>0</formula>
    </cfRule>
    <cfRule type="cellIs" dxfId="21638" priority="1282" operator="lessThan">
      <formula>-105575</formula>
    </cfRule>
  </conditionalFormatting>
  <conditionalFormatting sqref="BB246:BB249">
    <cfRule type="cellIs" dxfId="21637" priority="1279" operator="lessThan">
      <formula>0</formula>
    </cfRule>
    <cfRule type="cellIs" dxfId="21636" priority="1280" operator="lessThan">
      <formula>-105575</formula>
    </cfRule>
  </conditionalFormatting>
  <conditionalFormatting sqref="BB246:BB249">
    <cfRule type="cellIs" dxfId="21635" priority="1277" operator="lessThan">
      <formula>0</formula>
    </cfRule>
    <cfRule type="cellIs" dxfId="21634" priority="1278" operator="lessThan">
      <formula>-105575</formula>
    </cfRule>
  </conditionalFormatting>
  <conditionalFormatting sqref="BB246:BB249">
    <cfRule type="cellIs" dxfId="21633" priority="1275" operator="lessThan">
      <formula>0</formula>
    </cfRule>
    <cfRule type="cellIs" dxfId="21632" priority="1276" operator="lessThan">
      <formula>-105575</formula>
    </cfRule>
  </conditionalFormatting>
  <conditionalFormatting sqref="BB246:BB249">
    <cfRule type="cellIs" dxfId="21631" priority="1273" operator="lessThan">
      <formula>0</formula>
    </cfRule>
    <cfRule type="cellIs" dxfId="21630" priority="1274" operator="lessThan">
      <formula>-105575</formula>
    </cfRule>
  </conditionalFormatting>
  <conditionalFormatting sqref="BB251:BB253">
    <cfRule type="cellIs" dxfId="21629" priority="1271" operator="lessThan">
      <formula>0</formula>
    </cfRule>
    <cfRule type="cellIs" dxfId="21628" priority="1272" operator="lessThan">
      <formula>-105575</formula>
    </cfRule>
  </conditionalFormatting>
  <conditionalFormatting sqref="BB251:BB253">
    <cfRule type="cellIs" dxfId="21627" priority="1269" operator="lessThan">
      <formula>0</formula>
    </cfRule>
    <cfRule type="cellIs" dxfId="21626" priority="1270" operator="lessThan">
      <formula>-105575</formula>
    </cfRule>
  </conditionalFormatting>
  <conditionalFormatting sqref="BB251:BB253">
    <cfRule type="cellIs" dxfId="21625" priority="1267" operator="lessThan">
      <formula>0</formula>
    </cfRule>
    <cfRule type="cellIs" dxfId="21624" priority="1268" operator="lessThan">
      <formula>-105575</formula>
    </cfRule>
  </conditionalFormatting>
  <conditionalFormatting sqref="BB251:BB253">
    <cfRule type="cellIs" dxfId="21623" priority="1265" operator="lessThan">
      <formula>0</formula>
    </cfRule>
    <cfRule type="cellIs" dxfId="21622" priority="1266" operator="lessThan">
      <formula>-105575</formula>
    </cfRule>
  </conditionalFormatting>
  <conditionalFormatting sqref="BB251:BB253">
    <cfRule type="cellIs" dxfId="21621" priority="1263" operator="lessThan">
      <formula>0</formula>
    </cfRule>
    <cfRule type="cellIs" dxfId="21620" priority="1264" operator="lessThan">
      <formula>-105575</formula>
    </cfRule>
  </conditionalFormatting>
  <conditionalFormatting sqref="BB251:BB253">
    <cfRule type="cellIs" dxfId="21619" priority="1261" operator="lessThan">
      <formula>0</formula>
    </cfRule>
    <cfRule type="cellIs" dxfId="21618" priority="1262" operator="lessThan">
      <formula>-105575</formula>
    </cfRule>
  </conditionalFormatting>
  <conditionalFormatting sqref="BB251:BB253">
    <cfRule type="cellIs" dxfId="21617" priority="1259" operator="lessThan">
      <formula>0</formula>
    </cfRule>
    <cfRule type="cellIs" dxfId="21616" priority="1260" operator="lessThan">
      <formula>-105575</formula>
    </cfRule>
  </conditionalFormatting>
  <conditionalFormatting sqref="BB251:BB253">
    <cfRule type="cellIs" dxfId="21615" priority="1257" operator="lessThan">
      <formula>0</formula>
    </cfRule>
    <cfRule type="cellIs" dxfId="21614" priority="1258" operator="lessThan">
      <formula>-105575</formula>
    </cfRule>
  </conditionalFormatting>
  <conditionalFormatting sqref="BB251:BB253">
    <cfRule type="cellIs" dxfId="21613" priority="1255" operator="lessThan">
      <formula>0</formula>
    </cfRule>
    <cfRule type="cellIs" dxfId="21612" priority="1256" operator="lessThan">
      <formula>-105575</formula>
    </cfRule>
  </conditionalFormatting>
  <conditionalFormatting sqref="BB255:BB257">
    <cfRule type="cellIs" dxfId="21611" priority="1253" operator="lessThan">
      <formula>0</formula>
    </cfRule>
    <cfRule type="cellIs" dxfId="21610" priority="1254" operator="lessThan">
      <formula>-105575</formula>
    </cfRule>
  </conditionalFormatting>
  <conditionalFormatting sqref="BB255:BB257">
    <cfRule type="cellIs" dxfId="21609" priority="1251" operator="lessThan">
      <formula>0</formula>
    </cfRule>
    <cfRule type="cellIs" dxfId="21608" priority="1252" operator="lessThan">
      <formula>-105575</formula>
    </cfRule>
  </conditionalFormatting>
  <conditionalFormatting sqref="BB255:BB257">
    <cfRule type="cellIs" dxfId="21607" priority="1249" operator="lessThan">
      <formula>0</formula>
    </cfRule>
    <cfRule type="cellIs" dxfId="21606" priority="1250" operator="lessThan">
      <formula>-105575</formula>
    </cfRule>
  </conditionalFormatting>
  <conditionalFormatting sqref="BB255:BB257">
    <cfRule type="cellIs" dxfId="21605" priority="1247" operator="lessThan">
      <formula>0</formula>
    </cfRule>
    <cfRule type="cellIs" dxfId="21604" priority="1248" operator="lessThan">
      <formula>-105575</formula>
    </cfRule>
  </conditionalFormatting>
  <conditionalFormatting sqref="BB255:BB257">
    <cfRule type="cellIs" dxfId="21603" priority="1245" operator="lessThan">
      <formula>0</formula>
    </cfRule>
    <cfRule type="cellIs" dxfId="21602" priority="1246" operator="lessThan">
      <formula>-105575</formula>
    </cfRule>
  </conditionalFormatting>
  <conditionalFormatting sqref="BB255:BB257">
    <cfRule type="cellIs" dxfId="21601" priority="1243" operator="lessThan">
      <formula>0</formula>
    </cfRule>
    <cfRule type="cellIs" dxfId="21600" priority="1244" operator="lessThan">
      <formula>-105575</formula>
    </cfRule>
  </conditionalFormatting>
  <conditionalFormatting sqref="BB255:BB257">
    <cfRule type="cellIs" dxfId="21599" priority="1241" operator="lessThan">
      <formula>0</formula>
    </cfRule>
    <cfRule type="cellIs" dxfId="21598" priority="1242" operator="lessThan">
      <formula>-105575</formula>
    </cfRule>
  </conditionalFormatting>
  <conditionalFormatting sqref="BB255:BB257">
    <cfRule type="cellIs" dxfId="21597" priority="1239" operator="lessThan">
      <formula>0</formula>
    </cfRule>
    <cfRule type="cellIs" dxfId="21596" priority="1240" operator="lessThan">
      <formula>-105575</formula>
    </cfRule>
  </conditionalFormatting>
  <conditionalFormatting sqref="BB255:BB257">
    <cfRule type="cellIs" dxfId="21595" priority="1237" operator="lessThan">
      <formula>0</formula>
    </cfRule>
    <cfRule type="cellIs" dxfId="21594" priority="1238" operator="lessThan">
      <formula>-105575</formula>
    </cfRule>
  </conditionalFormatting>
  <conditionalFormatting sqref="BB260:BB262">
    <cfRule type="cellIs" dxfId="21593" priority="1235" operator="lessThan">
      <formula>0</formula>
    </cfRule>
    <cfRule type="cellIs" dxfId="21592" priority="1236" operator="lessThan">
      <formula>-105575</formula>
    </cfRule>
  </conditionalFormatting>
  <conditionalFormatting sqref="BB260:BB262">
    <cfRule type="cellIs" dxfId="21591" priority="1233" operator="lessThan">
      <formula>0</formula>
    </cfRule>
    <cfRule type="cellIs" dxfId="21590" priority="1234" operator="lessThan">
      <formula>-105575</formula>
    </cfRule>
  </conditionalFormatting>
  <conditionalFormatting sqref="BB260:BB262">
    <cfRule type="cellIs" dxfId="21589" priority="1231" operator="lessThan">
      <formula>0</formula>
    </cfRule>
    <cfRule type="cellIs" dxfId="21588" priority="1232" operator="lessThan">
      <formula>-105575</formula>
    </cfRule>
  </conditionalFormatting>
  <conditionalFormatting sqref="BB260:BB262">
    <cfRule type="cellIs" dxfId="21587" priority="1229" operator="lessThan">
      <formula>0</formula>
    </cfRule>
    <cfRule type="cellIs" dxfId="21586" priority="1230" operator="lessThan">
      <formula>-105575</formula>
    </cfRule>
  </conditionalFormatting>
  <conditionalFormatting sqref="BB260:BB262">
    <cfRule type="cellIs" dxfId="21585" priority="1227" operator="lessThan">
      <formula>0</formula>
    </cfRule>
    <cfRule type="cellIs" dxfId="21584" priority="1228" operator="lessThan">
      <formula>-105575</formula>
    </cfRule>
  </conditionalFormatting>
  <conditionalFormatting sqref="BB260:BB262">
    <cfRule type="cellIs" dxfId="21583" priority="1225" operator="lessThan">
      <formula>0</formula>
    </cfRule>
    <cfRule type="cellIs" dxfId="21582" priority="1226" operator="lessThan">
      <formula>-105575</formula>
    </cfRule>
  </conditionalFormatting>
  <conditionalFormatting sqref="BB260:BB262">
    <cfRule type="cellIs" dxfId="21581" priority="1223" operator="lessThan">
      <formula>0</formula>
    </cfRule>
    <cfRule type="cellIs" dxfId="21580" priority="1224" operator="lessThan">
      <formula>-105575</formula>
    </cfRule>
  </conditionalFormatting>
  <conditionalFormatting sqref="BB260:BB262">
    <cfRule type="cellIs" dxfId="21579" priority="1221" operator="lessThan">
      <formula>0</formula>
    </cfRule>
    <cfRule type="cellIs" dxfId="21578" priority="1222" operator="lessThan">
      <formula>-105575</formula>
    </cfRule>
  </conditionalFormatting>
  <conditionalFormatting sqref="BB260:BB262">
    <cfRule type="cellIs" dxfId="21577" priority="1219" operator="lessThan">
      <formula>0</formula>
    </cfRule>
    <cfRule type="cellIs" dxfId="21576" priority="1220" operator="lessThan">
      <formula>-105575</formula>
    </cfRule>
  </conditionalFormatting>
  <conditionalFormatting sqref="BB264:BB267">
    <cfRule type="cellIs" dxfId="21575" priority="1217" operator="lessThan">
      <formula>0</formula>
    </cfRule>
    <cfRule type="cellIs" dxfId="21574" priority="1218" operator="lessThan">
      <formula>-105575</formula>
    </cfRule>
  </conditionalFormatting>
  <conditionalFormatting sqref="BB264:BB267">
    <cfRule type="cellIs" dxfId="21573" priority="1215" operator="lessThan">
      <formula>0</formula>
    </cfRule>
    <cfRule type="cellIs" dxfId="21572" priority="1216" operator="lessThan">
      <formula>-105575</formula>
    </cfRule>
  </conditionalFormatting>
  <conditionalFormatting sqref="BB264:BB267">
    <cfRule type="cellIs" dxfId="21571" priority="1213" operator="lessThan">
      <formula>0</formula>
    </cfRule>
    <cfRule type="cellIs" dxfId="21570" priority="1214" operator="lessThan">
      <formula>-105575</formula>
    </cfRule>
  </conditionalFormatting>
  <conditionalFormatting sqref="BB264:BB267">
    <cfRule type="cellIs" dxfId="21569" priority="1211" operator="lessThan">
      <formula>0</formula>
    </cfRule>
    <cfRule type="cellIs" dxfId="21568" priority="1212" operator="lessThan">
      <formula>-105575</formula>
    </cfRule>
  </conditionalFormatting>
  <conditionalFormatting sqref="BB264:BB267">
    <cfRule type="cellIs" dxfId="21567" priority="1209" operator="lessThan">
      <formula>0</formula>
    </cfRule>
    <cfRule type="cellIs" dxfId="21566" priority="1210" operator="lessThan">
      <formula>-105575</formula>
    </cfRule>
  </conditionalFormatting>
  <conditionalFormatting sqref="BB264:BB267">
    <cfRule type="cellIs" dxfId="21565" priority="1207" operator="lessThan">
      <formula>0</formula>
    </cfRule>
    <cfRule type="cellIs" dxfId="21564" priority="1208" operator="lessThan">
      <formula>-105575</formula>
    </cfRule>
  </conditionalFormatting>
  <conditionalFormatting sqref="BB264:BB267">
    <cfRule type="cellIs" dxfId="21563" priority="1205" operator="lessThan">
      <formula>0</formula>
    </cfRule>
    <cfRule type="cellIs" dxfId="21562" priority="1206" operator="lessThan">
      <formula>-105575</formula>
    </cfRule>
  </conditionalFormatting>
  <conditionalFormatting sqref="BB264:BB267">
    <cfRule type="cellIs" dxfId="21561" priority="1203" operator="lessThan">
      <formula>0</formula>
    </cfRule>
    <cfRule type="cellIs" dxfId="21560" priority="1204" operator="lessThan">
      <formula>-105575</formula>
    </cfRule>
  </conditionalFormatting>
  <conditionalFormatting sqref="BB264:BB267">
    <cfRule type="cellIs" dxfId="21559" priority="1201" operator="lessThan">
      <formula>0</formula>
    </cfRule>
    <cfRule type="cellIs" dxfId="21558" priority="1202" operator="lessThan">
      <formula>-105575</formula>
    </cfRule>
  </conditionalFormatting>
  <conditionalFormatting sqref="BB270:BB272">
    <cfRule type="cellIs" dxfId="21557" priority="1199" operator="lessThan">
      <formula>0</formula>
    </cfRule>
    <cfRule type="cellIs" dxfId="21556" priority="1200" operator="lessThan">
      <formula>-105575</formula>
    </cfRule>
  </conditionalFormatting>
  <conditionalFormatting sqref="BB270:BB272">
    <cfRule type="cellIs" dxfId="21555" priority="1197" operator="lessThan">
      <formula>0</formula>
    </cfRule>
    <cfRule type="cellIs" dxfId="21554" priority="1198" operator="lessThan">
      <formula>-105575</formula>
    </cfRule>
  </conditionalFormatting>
  <conditionalFormatting sqref="BB270:BB272">
    <cfRule type="cellIs" dxfId="21553" priority="1195" operator="lessThan">
      <formula>0</formula>
    </cfRule>
    <cfRule type="cellIs" dxfId="21552" priority="1196" operator="lessThan">
      <formula>-105575</formula>
    </cfRule>
  </conditionalFormatting>
  <conditionalFormatting sqref="BB270:BB272">
    <cfRule type="cellIs" dxfId="21551" priority="1193" operator="lessThan">
      <formula>0</formula>
    </cfRule>
    <cfRule type="cellIs" dxfId="21550" priority="1194" operator="lessThan">
      <formula>-105575</formula>
    </cfRule>
  </conditionalFormatting>
  <conditionalFormatting sqref="BB270:BB272">
    <cfRule type="cellIs" dxfId="21549" priority="1191" operator="lessThan">
      <formula>0</formula>
    </cfRule>
    <cfRule type="cellIs" dxfId="21548" priority="1192" operator="lessThan">
      <formula>-105575</formula>
    </cfRule>
  </conditionalFormatting>
  <conditionalFormatting sqref="BB270:BB272">
    <cfRule type="cellIs" dxfId="21547" priority="1189" operator="lessThan">
      <formula>0</formula>
    </cfRule>
    <cfRule type="cellIs" dxfId="21546" priority="1190" operator="lessThan">
      <formula>-105575</formula>
    </cfRule>
  </conditionalFormatting>
  <conditionalFormatting sqref="BB270:BB272">
    <cfRule type="cellIs" dxfId="21545" priority="1187" operator="lessThan">
      <formula>0</formula>
    </cfRule>
    <cfRule type="cellIs" dxfId="21544" priority="1188" operator="lessThan">
      <formula>-105575</formula>
    </cfRule>
  </conditionalFormatting>
  <conditionalFormatting sqref="BB270:BB272">
    <cfRule type="cellIs" dxfId="21543" priority="1185" operator="lessThan">
      <formula>0</formula>
    </cfRule>
    <cfRule type="cellIs" dxfId="21542" priority="1186" operator="lessThan">
      <formula>-105575</formula>
    </cfRule>
  </conditionalFormatting>
  <conditionalFormatting sqref="BB270:BB272">
    <cfRule type="cellIs" dxfId="21541" priority="1183" operator="lessThan">
      <formula>0</formula>
    </cfRule>
    <cfRule type="cellIs" dxfId="21540" priority="1184" operator="lessThan">
      <formula>-105575</formula>
    </cfRule>
  </conditionalFormatting>
  <conditionalFormatting sqref="BB274:BB275">
    <cfRule type="cellIs" dxfId="21539" priority="1181" operator="lessThan">
      <formula>0</formula>
    </cfRule>
    <cfRule type="cellIs" dxfId="21538" priority="1182" operator="lessThan">
      <formula>-105575</formula>
    </cfRule>
  </conditionalFormatting>
  <conditionalFormatting sqref="BB274:BB275">
    <cfRule type="cellIs" dxfId="21537" priority="1179" operator="lessThan">
      <formula>0</formula>
    </cfRule>
    <cfRule type="cellIs" dxfId="21536" priority="1180" operator="lessThan">
      <formula>-105575</formula>
    </cfRule>
  </conditionalFormatting>
  <conditionalFormatting sqref="BB274:BB275">
    <cfRule type="cellIs" dxfId="21535" priority="1177" operator="lessThan">
      <formula>0</formula>
    </cfRule>
    <cfRule type="cellIs" dxfId="21534" priority="1178" operator="lessThan">
      <formula>-105575</formula>
    </cfRule>
  </conditionalFormatting>
  <conditionalFormatting sqref="BB274:BB275">
    <cfRule type="cellIs" dxfId="21533" priority="1175" operator="lessThan">
      <formula>0</formula>
    </cfRule>
    <cfRule type="cellIs" dxfId="21532" priority="1176" operator="lessThan">
      <formula>-105575</formula>
    </cfRule>
  </conditionalFormatting>
  <conditionalFormatting sqref="BB274:BB275">
    <cfRule type="cellIs" dxfId="21531" priority="1173" operator="lessThan">
      <formula>0</formula>
    </cfRule>
    <cfRule type="cellIs" dxfId="21530" priority="1174" operator="lessThan">
      <formula>-105575</formula>
    </cfRule>
  </conditionalFormatting>
  <conditionalFormatting sqref="BB274:BB275">
    <cfRule type="cellIs" dxfId="21529" priority="1171" operator="lessThan">
      <formula>0</formula>
    </cfRule>
    <cfRule type="cellIs" dxfId="21528" priority="1172" operator="lessThan">
      <formula>-105575</formula>
    </cfRule>
  </conditionalFormatting>
  <conditionalFormatting sqref="BB274:BB275">
    <cfRule type="cellIs" dxfId="21527" priority="1169" operator="lessThan">
      <formula>0</formula>
    </cfRule>
    <cfRule type="cellIs" dxfId="21526" priority="1170" operator="lessThan">
      <formula>-105575</formula>
    </cfRule>
  </conditionalFormatting>
  <conditionalFormatting sqref="BB274:BB275">
    <cfRule type="cellIs" dxfId="21525" priority="1167" operator="lessThan">
      <formula>0</formula>
    </cfRule>
    <cfRule type="cellIs" dxfId="21524" priority="1168" operator="lessThan">
      <formula>-105575</formula>
    </cfRule>
  </conditionalFormatting>
  <conditionalFormatting sqref="BB274:BB275">
    <cfRule type="cellIs" dxfId="21523" priority="1165" operator="lessThan">
      <formula>0</formula>
    </cfRule>
    <cfRule type="cellIs" dxfId="21522" priority="1166" operator="lessThan">
      <formula>-105575</formula>
    </cfRule>
  </conditionalFormatting>
  <conditionalFormatting sqref="BB278:BB282">
    <cfRule type="cellIs" dxfId="21521" priority="1163" operator="lessThan">
      <formula>0</formula>
    </cfRule>
    <cfRule type="cellIs" dxfId="21520" priority="1164" operator="lessThan">
      <formula>-105575</formula>
    </cfRule>
  </conditionalFormatting>
  <conditionalFormatting sqref="BB278:BB282">
    <cfRule type="cellIs" dxfId="21519" priority="1161" operator="lessThan">
      <formula>0</formula>
    </cfRule>
    <cfRule type="cellIs" dxfId="21518" priority="1162" operator="lessThan">
      <formula>-105575</formula>
    </cfRule>
  </conditionalFormatting>
  <conditionalFormatting sqref="BB278:BB282">
    <cfRule type="cellIs" dxfId="21517" priority="1159" operator="lessThan">
      <formula>0</formula>
    </cfRule>
    <cfRule type="cellIs" dxfId="21516" priority="1160" operator="lessThan">
      <formula>-105575</formula>
    </cfRule>
  </conditionalFormatting>
  <conditionalFormatting sqref="BB278:BB282">
    <cfRule type="cellIs" dxfId="21515" priority="1157" operator="lessThan">
      <formula>0</formula>
    </cfRule>
    <cfRule type="cellIs" dxfId="21514" priority="1158" operator="lessThan">
      <formula>-105575</formula>
    </cfRule>
  </conditionalFormatting>
  <conditionalFormatting sqref="BB278:BB282">
    <cfRule type="cellIs" dxfId="21513" priority="1155" operator="lessThan">
      <formula>0</formula>
    </cfRule>
    <cfRule type="cellIs" dxfId="21512" priority="1156" operator="lessThan">
      <formula>-105575</formula>
    </cfRule>
  </conditionalFormatting>
  <conditionalFormatting sqref="BB278:BB282">
    <cfRule type="cellIs" dxfId="21511" priority="1153" operator="lessThan">
      <formula>0</formula>
    </cfRule>
    <cfRule type="cellIs" dxfId="21510" priority="1154" operator="lessThan">
      <formula>-105575</formula>
    </cfRule>
  </conditionalFormatting>
  <conditionalFormatting sqref="BB278:BB282">
    <cfRule type="cellIs" dxfId="21509" priority="1151" operator="lessThan">
      <formula>0</formula>
    </cfRule>
    <cfRule type="cellIs" dxfId="21508" priority="1152" operator="lessThan">
      <formula>-105575</formula>
    </cfRule>
  </conditionalFormatting>
  <conditionalFormatting sqref="BB278:BB282">
    <cfRule type="cellIs" dxfId="21507" priority="1149" operator="lessThan">
      <formula>0</formula>
    </cfRule>
    <cfRule type="cellIs" dxfId="21506" priority="1150" operator="lessThan">
      <formula>-105575</formula>
    </cfRule>
  </conditionalFormatting>
  <conditionalFormatting sqref="BB278:BB282">
    <cfRule type="cellIs" dxfId="21505" priority="1147" operator="lessThan">
      <formula>0</formula>
    </cfRule>
    <cfRule type="cellIs" dxfId="21504" priority="1148" operator="lessThan">
      <formula>-105575</formula>
    </cfRule>
  </conditionalFormatting>
  <conditionalFormatting sqref="BB285:BB288">
    <cfRule type="cellIs" dxfId="21503" priority="1145" operator="lessThan">
      <formula>0</formula>
    </cfRule>
    <cfRule type="cellIs" dxfId="21502" priority="1146" operator="lessThan">
      <formula>-105575</formula>
    </cfRule>
  </conditionalFormatting>
  <conditionalFormatting sqref="BB285:BB288">
    <cfRule type="cellIs" dxfId="21501" priority="1143" operator="lessThan">
      <formula>0</formula>
    </cfRule>
    <cfRule type="cellIs" dxfId="21500" priority="1144" operator="lessThan">
      <formula>-105575</formula>
    </cfRule>
  </conditionalFormatting>
  <conditionalFormatting sqref="BB285:BB288">
    <cfRule type="cellIs" dxfId="21499" priority="1141" operator="lessThan">
      <formula>0</formula>
    </cfRule>
    <cfRule type="cellIs" dxfId="21498" priority="1142" operator="lessThan">
      <formula>-105575</formula>
    </cfRule>
  </conditionalFormatting>
  <conditionalFormatting sqref="BB285:BB288">
    <cfRule type="cellIs" dxfId="21497" priority="1139" operator="lessThan">
      <formula>0</formula>
    </cfRule>
    <cfRule type="cellIs" dxfId="21496" priority="1140" operator="lessThan">
      <formula>-105575</formula>
    </cfRule>
  </conditionalFormatting>
  <conditionalFormatting sqref="BB285:BB288">
    <cfRule type="cellIs" dxfId="21495" priority="1137" operator="lessThan">
      <formula>0</formula>
    </cfRule>
    <cfRule type="cellIs" dxfId="21494" priority="1138" operator="lessThan">
      <formula>-105575</formula>
    </cfRule>
  </conditionalFormatting>
  <conditionalFormatting sqref="BB285:BB288">
    <cfRule type="cellIs" dxfId="21493" priority="1135" operator="lessThan">
      <formula>0</formula>
    </cfRule>
    <cfRule type="cellIs" dxfId="21492" priority="1136" operator="lessThan">
      <formula>-105575</formula>
    </cfRule>
  </conditionalFormatting>
  <conditionalFormatting sqref="BB285:BB288">
    <cfRule type="cellIs" dxfId="21491" priority="1133" operator="lessThan">
      <formula>0</formula>
    </cfRule>
    <cfRule type="cellIs" dxfId="21490" priority="1134" operator="lessThan">
      <formula>-105575</formula>
    </cfRule>
  </conditionalFormatting>
  <conditionalFormatting sqref="BB285:BB288">
    <cfRule type="cellIs" dxfId="21489" priority="1131" operator="lessThan">
      <formula>0</formula>
    </cfRule>
    <cfRule type="cellIs" dxfId="21488" priority="1132" operator="lessThan">
      <formula>-105575</formula>
    </cfRule>
  </conditionalFormatting>
  <conditionalFormatting sqref="BB285:BB288">
    <cfRule type="cellIs" dxfId="21487" priority="1129" operator="lessThan">
      <formula>0</formula>
    </cfRule>
    <cfRule type="cellIs" dxfId="21486" priority="1130" operator="lessThan">
      <formula>-105575</formula>
    </cfRule>
  </conditionalFormatting>
  <conditionalFormatting sqref="BB203 BB220:BB221 BB235:BB243 BB231:BB233 BB212:BB213 BB225:BB226">
    <cfRule type="cellIs" dxfId="21485" priority="1127" operator="lessThan">
      <formula>0</formula>
    </cfRule>
    <cfRule type="cellIs" dxfId="21484" priority="1128" operator="lessThan">
      <formula>-105575</formula>
    </cfRule>
  </conditionalFormatting>
  <conditionalFormatting sqref="BB220 BB212:BB213 BB235:BB238 BB240:BB243 BB225:BB226 BB231:BB233">
    <cfRule type="cellIs" dxfId="21483" priority="1125" operator="lessThan">
      <formula>0</formula>
    </cfRule>
    <cfRule type="cellIs" dxfId="21482" priority="1126" operator="lessThan">
      <formula>-105575</formula>
    </cfRule>
  </conditionalFormatting>
  <conditionalFormatting sqref="BB220:BB221 BB243 BB226 BB231:BB236 BB238:BB241 BB203 BB213">
    <cfRule type="cellIs" dxfId="21481" priority="1123" operator="lessThan">
      <formula>0</formula>
    </cfRule>
    <cfRule type="cellIs" dxfId="21480" priority="1124" operator="lessThan">
      <formula>-105575</formula>
    </cfRule>
  </conditionalFormatting>
  <conditionalFormatting sqref="BB235:BB243 BB231:BB233 BB220 BB212:BB213 BB225:BB226">
    <cfRule type="cellIs" dxfId="21479" priority="1121" operator="lessThan">
      <formula>0</formula>
    </cfRule>
    <cfRule type="cellIs" dxfId="21478" priority="1122" operator="lessThan">
      <formula>-105575</formula>
    </cfRule>
  </conditionalFormatting>
  <conditionalFormatting sqref="BB220:BB221 BB237:BB243 BB203 BB231:BB235 BB212:BB213 BB225:BB226">
    <cfRule type="cellIs" dxfId="21477" priority="1119" operator="lessThan">
      <formula>0</formula>
    </cfRule>
    <cfRule type="cellIs" dxfId="21476" priority="1120" operator="lessThan">
      <formula>-105575</formula>
    </cfRule>
  </conditionalFormatting>
  <conditionalFormatting sqref="BB220:BB221 BB237:BB240 BB242:BB243 BB225:BB226 BB231:BB235">
    <cfRule type="cellIs" dxfId="21475" priority="1117" operator="lessThan">
      <formula>0</formula>
    </cfRule>
    <cfRule type="cellIs" dxfId="21474" priority="1118" operator="lessThan">
      <formula>-105575</formula>
    </cfRule>
  </conditionalFormatting>
  <conditionalFormatting sqref="BB212 BB231 BB233:BB238 BB240:BB243 BB225">
    <cfRule type="cellIs" dxfId="21473" priority="1115" operator="lessThan">
      <formula>0</formula>
    </cfRule>
    <cfRule type="cellIs" dxfId="21472" priority="1116" operator="lessThan">
      <formula>-105575</formula>
    </cfRule>
  </conditionalFormatting>
  <conditionalFormatting sqref="BB237:BB243 BB231:BB235 BB220:BB221 BB225:BB226">
    <cfRule type="cellIs" dxfId="21471" priority="1113" operator="lessThan">
      <formula>0</formula>
    </cfRule>
    <cfRule type="cellIs" dxfId="21470" priority="1114" operator="lessThan">
      <formula>-105575</formula>
    </cfRule>
  </conditionalFormatting>
  <conditionalFormatting sqref="BB233:BB237 BB231 BB239:BB243">
    <cfRule type="cellIs" dxfId="21469" priority="1111" operator="lessThan">
      <formula>0</formula>
    </cfRule>
    <cfRule type="cellIs" dxfId="21468" priority="1112" operator="lessThan">
      <formula>-105575</formula>
    </cfRule>
  </conditionalFormatting>
  <conditionalFormatting sqref="BB233:BB237 BB231 BB239:BB243">
    <cfRule type="cellIs" dxfId="21467" priority="1109" operator="lessThan">
      <formula>0</formula>
    </cfRule>
    <cfRule type="cellIs" dxfId="21466" priority="1110" operator="lessThan">
      <formula>-105575</formula>
    </cfRule>
  </conditionalFormatting>
  <conditionalFormatting sqref="BB119:BB128 BB106:BB117 BB101:BB104 BB80:BB98">
    <cfRule type="cellIs" dxfId="21465" priority="1107" operator="lessThan">
      <formula>0</formula>
    </cfRule>
    <cfRule type="cellIs" dxfId="21464" priority="1108" operator="lessThan">
      <formula>-105575</formula>
    </cfRule>
  </conditionalFormatting>
  <conditionalFormatting sqref="BB130 BB132 BB134">
    <cfRule type="cellIs" dxfId="21463" priority="1105" operator="lessThan">
      <formula>0</formula>
    </cfRule>
    <cfRule type="cellIs" dxfId="21462" priority="1106" operator="lessThan">
      <formula>-105575</formula>
    </cfRule>
  </conditionalFormatting>
  <conditionalFormatting sqref="BB130 BB132 BB134">
    <cfRule type="cellIs" dxfId="21461" priority="1103" operator="lessThan">
      <formula>0</formula>
    </cfRule>
    <cfRule type="cellIs" dxfId="21460" priority="1104" operator="lessThan">
      <formula>-105575</formula>
    </cfRule>
  </conditionalFormatting>
  <conditionalFormatting sqref="BB129 BB131 BB133 BB135">
    <cfRule type="cellIs" dxfId="21459" priority="1101" operator="lessThan">
      <formula>0</formula>
    </cfRule>
    <cfRule type="cellIs" dxfId="21458" priority="1102" operator="lessThan">
      <formula>-105575</formula>
    </cfRule>
  </conditionalFormatting>
  <conditionalFormatting sqref="BB140 BB145 BB142:BB143 BB137:BB138">
    <cfRule type="cellIs" dxfId="21457" priority="1099" operator="lessThan">
      <formula>0</formula>
    </cfRule>
    <cfRule type="cellIs" dxfId="21456" priority="1100" operator="lessThan">
      <formula>-105575</formula>
    </cfRule>
  </conditionalFormatting>
  <conditionalFormatting sqref="BB149">
    <cfRule type="cellIs" dxfId="21455" priority="1097" operator="lessThan">
      <formula>0</formula>
    </cfRule>
    <cfRule type="cellIs" dxfId="21454" priority="1098" operator="lessThan">
      <formula>-105575</formula>
    </cfRule>
  </conditionalFormatting>
  <conditionalFormatting sqref="BB129:BB138 BB140:BB149">
    <cfRule type="cellIs" dxfId="21453" priority="1095" operator="lessThan">
      <formula>0</formula>
    </cfRule>
    <cfRule type="cellIs" dxfId="21452" priority="1096" operator="lessThan">
      <formula>-105575</formula>
    </cfRule>
  </conditionalFormatting>
  <conditionalFormatting sqref="BB94:BB98 BB86:BB87 BB89:BB91 BB141:BB149 BB124:BB133 BB107:BB110 BB112:BB117 BB119:BB122 BB135:BB138 BB101:BB104 BB80:BB84">
    <cfRule type="cellIs" dxfId="21451" priority="1093" operator="lessThan">
      <formula>0</formula>
    </cfRule>
    <cfRule type="cellIs" dxfId="21450" priority="1094" operator="lessThan">
      <formula>-105575</formula>
    </cfRule>
  </conditionalFormatting>
  <conditionalFormatting sqref="BB129 BB131 BB133 BB135">
    <cfRule type="cellIs" dxfId="21449" priority="1091" operator="lessThan">
      <formula>0</formula>
    </cfRule>
    <cfRule type="cellIs" dxfId="21448" priority="1092" operator="lessThan">
      <formula>-105575</formula>
    </cfRule>
  </conditionalFormatting>
  <conditionalFormatting sqref="BB146 BB144 BB141">
    <cfRule type="cellIs" dxfId="21447" priority="1089" operator="lessThan">
      <formula>0</formula>
    </cfRule>
    <cfRule type="cellIs" dxfId="21446" priority="1090" operator="lessThan">
      <formula>-105575</formula>
    </cfRule>
  </conditionalFormatting>
  <conditionalFormatting sqref="BB146 BB144 BB141">
    <cfRule type="cellIs" dxfId="21445" priority="1087" operator="lessThan">
      <formula>0</formula>
    </cfRule>
    <cfRule type="cellIs" dxfId="21444" priority="1088" operator="lessThan">
      <formula>-105575</formula>
    </cfRule>
  </conditionalFormatting>
  <conditionalFormatting sqref="BB140 BB145 BB142:BB143 BB137:BB138">
    <cfRule type="cellIs" dxfId="21443" priority="1085" operator="lessThan">
      <formula>0</formula>
    </cfRule>
    <cfRule type="cellIs" dxfId="21442" priority="1086" operator="lessThan">
      <formula>-105575</formula>
    </cfRule>
  </conditionalFormatting>
  <conditionalFormatting sqref="BB149">
    <cfRule type="cellIs" dxfId="21441" priority="1083" operator="lessThan">
      <formula>0</formula>
    </cfRule>
    <cfRule type="cellIs" dxfId="21440" priority="1084" operator="lessThan">
      <formula>-105575</formula>
    </cfRule>
  </conditionalFormatting>
  <conditionalFormatting sqref="BB94:BB98 BB86:BB87 BB89:BB91 BB141:BB149 BB124:BB133 BB107:BB110 BB112:BB117 BB119:BB122 BB135:BB138 BB101:BB104 BB80:BB84">
    <cfRule type="cellIs" dxfId="21439" priority="1081" operator="lessThan">
      <formula>0</formula>
    </cfRule>
    <cfRule type="cellIs" dxfId="21438" priority="1082" operator="lessThan">
      <formula>-105575</formula>
    </cfRule>
  </conditionalFormatting>
  <conditionalFormatting sqref="BB246:BB249 BB262 BB267 BB279:BB282 BB285:BB288 BB274:BB275 BB306:BB309 BB311:BB325 BB327:BB330 BB332:BB341 BB344:BB347 BB349:BB353 BB355:BB358 BB360:BB384 BB386:BB389 BB392:BB395 BB397:BB411 BB413:BB416 BB418:BB432 BB434:BB437 BB439:BB453 BB455:BB458 BB460:BB469 BB7:BB10 BB12:BB14 BB17:BB18 BB21:BB24 BB26:BB28 BB30:BB36 BB38 BB41:BB43 BB46:BB49 BB51:BB55 BB57:BB59 BB62:BB76 BB251:BB253 BB255:BB257 BB293:BB304 BB264:BB265 BB260 BB290:BB291 BB270:BB272">
    <cfRule type="cellIs" dxfId="21437" priority="1079" operator="lessThan">
      <formula>0</formula>
    </cfRule>
    <cfRule type="cellIs" dxfId="21436" priority="1080" operator="lessThan">
      <formula>-105575</formula>
    </cfRule>
  </conditionalFormatting>
  <conditionalFormatting sqref="BB41">
    <cfRule type="cellIs" dxfId="21435" priority="1077" operator="lessThan">
      <formula>0</formula>
    </cfRule>
    <cfRule type="cellIs" dxfId="21434" priority="1078" operator="lessThan">
      <formula>-105575</formula>
    </cfRule>
  </conditionalFormatting>
  <conditionalFormatting sqref="BB152:BB155">
    <cfRule type="cellIs" dxfId="21433" priority="1075" operator="lessThan">
      <formula>0</formula>
    </cfRule>
    <cfRule type="cellIs" dxfId="21432" priority="1076" operator="lessThan">
      <formula>-105575</formula>
    </cfRule>
  </conditionalFormatting>
  <conditionalFormatting sqref="BB152:BB155">
    <cfRule type="cellIs" dxfId="21431" priority="1073" operator="lessThan">
      <formula>0</formula>
    </cfRule>
    <cfRule type="cellIs" dxfId="21430" priority="1074" operator="lessThan">
      <formula>-105575</formula>
    </cfRule>
  </conditionalFormatting>
  <conditionalFormatting sqref="BB152:BB155">
    <cfRule type="cellIs" dxfId="21429" priority="1071" operator="lessThan">
      <formula>0</formula>
    </cfRule>
    <cfRule type="cellIs" dxfId="21428" priority="1072" operator="lessThan">
      <formula>-105575</formula>
    </cfRule>
  </conditionalFormatting>
  <conditionalFormatting sqref="BB157:BB158">
    <cfRule type="cellIs" dxfId="21427" priority="1069" operator="lessThan">
      <formula>0</formula>
    </cfRule>
    <cfRule type="cellIs" dxfId="21426" priority="1070" operator="lessThan">
      <formula>-105575</formula>
    </cfRule>
  </conditionalFormatting>
  <conditionalFormatting sqref="BB157:BB158">
    <cfRule type="cellIs" dxfId="21425" priority="1067" operator="lessThan">
      <formula>0</formula>
    </cfRule>
    <cfRule type="cellIs" dxfId="21424" priority="1068" operator="lessThan">
      <formula>-105575</formula>
    </cfRule>
  </conditionalFormatting>
  <conditionalFormatting sqref="BB157:BB158">
    <cfRule type="cellIs" dxfId="21423" priority="1065" operator="lessThan">
      <formula>0</formula>
    </cfRule>
    <cfRule type="cellIs" dxfId="21422" priority="1066" operator="lessThan">
      <formula>-105575</formula>
    </cfRule>
  </conditionalFormatting>
  <conditionalFormatting sqref="BB160:BB161">
    <cfRule type="cellIs" dxfId="21421" priority="1063" operator="lessThan">
      <formula>0</formula>
    </cfRule>
    <cfRule type="cellIs" dxfId="21420" priority="1064" operator="lessThan">
      <formula>-105575</formula>
    </cfRule>
  </conditionalFormatting>
  <conditionalFormatting sqref="BB160:BB161">
    <cfRule type="cellIs" dxfId="21419" priority="1061" operator="lessThan">
      <formula>0</formula>
    </cfRule>
    <cfRule type="cellIs" dxfId="21418" priority="1062" operator="lessThan">
      <formula>-105575</formula>
    </cfRule>
  </conditionalFormatting>
  <conditionalFormatting sqref="BB160:BB161">
    <cfRule type="cellIs" dxfId="21417" priority="1059" operator="lessThan">
      <formula>0</formula>
    </cfRule>
    <cfRule type="cellIs" dxfId="21416" priority="1060" operator="lessThan">
      <formula>-105575</formula>
    </cfRule>
  </conditionalFormatting>
  <conditionalFormatting sqref="BB164:BB167">
    <cfRule type="cellIs" dxfId="21415" priority="1057" operator="lessThan">
      <formula>0</formula>
    </cfRule>
    <cfRule type="cellIs" dxfId="21414" priority="1058" operator="lessThan">
      <formula>-105575</formula>
    </cfRule>
  </conditionalFormatting>
  <conditionalFormatting sqref="BB164:BB167">
    <cfRule type="cellIs" dxfId="21413" priority="1055" operator="lessThan">
      <formula>0</formula>
    </cfRule>
    <cfRule type="cellIs" dxfId="21412" priority="1056" operator="lessThan">
      <formula>-105575</formula>
    </cfRule>
  </conditionalFormatting>
  <conditionalFormatting sqref="BB164:BB167">
    <cfRule type="cellIs" dxfId="21411" priority="1053" operator="lessThan">
      <formula>0</formula>
    </cfRule>
    <cfRule type="cellIs" dxfId="21410" priority="1054" operator="lessThan">
      <formula>-105575</formula>
    </cfRule>
  </conditionalFormatting>
  <conditionalFormatting sqref="BB169:BB177">
    <cfRule type="cellIs" dxfId="21409" priority="1051" operator="lessThan">
      <formula>0</formula>
    </cfRule>
    <cfRule type="cellIs" dxfId="21408" priority="1052" operator="lessThan">
      <formula>-105575</formula>
    </cfRule>
  </conditionalFormatting>
  <conditionalFormatting sqref="BB169:BB177">
    <cfRule type="cellIs" dxfId="21407" priority="1049" operator="lessThan">
      <formula>0</formula>
    </cfRule>
    <cfRule type="cellIs" dxfId="21406" priority="1050" operator="lessThan">
      <formula>-105575</formula>
    </cfRule>
  </conditionalFormatting>
  <conditionalFormatting sqref="BB169:BB177">
    <cfRule type="cellIs" dxfId="21405" priority="1047" operator="lessThan">
      <formula>0</formula>
    </cfRule>
    <cfRule type="cellIs" dxfId="21404" priority="1048" operator="lessThan">
      <formula>-105575</formula>
    </cfRule>
  </conditionalFormatting>
  <conditionalFormatting sqref="BB179:BB180">
    <cfRule type="cellIs" dxfId="21403" priority="1045" operator="lessThan">
      <formula>0</formula>
    </cfRule>
    <cfRule type="cellIs" dxfId="21402" priority="1046" operator="lessThan">
      <formula>-105575</formula>
    </cfRule>
  </conditionalFormatting>
  <conditionalFormatting sqref="BB179:BB180">
    <cfRule type="cellIs" dxfId="21401" priority="1043" operator="lessThan">
      <formula>0</formula>
    </cfRule>
    <cfRule type="cellIs" dxfId="21400" priority="1044" operator="lessThan">
      <formula>-105575</formula>
    </cfRule>
  </conditionalFormatting>
  <conditionalFormatting sqref="BB179:BB180">
    <cfRule type="cellIs" dxfId="21399" priority="1041" operator="lessThan">
      <formula>0</formula>
    </cfRule>
    <cfRule type="cellIs" dxfId="21398" priority="1042" operator="lessThan">
      <formula>-105575</formula>
    </cfRule>
  </conditionalFormatting>
  <conditionalFormatting sqref="BB183:BB189">
    <cfRule type="cellIs" dxfId="21397" priority="1039" operator="lessThan">
      <formula>0</formula>
    </cfRule>
    <cfRule type="cellIs" dxfId="21396" priority="1040" operator="lessThan">
      <formula>-105575</formula>
    </cfRule>
  </conditionalFormatting>
  <conditionalFormatting sqref="BB183:BB189">
    <cfRule type="cellIs" dxfId="21395" priority="1037" operator="lessThan">
      <formula>0</formula>
    </cfRule>
    <cfRule type="cellIs" dxfId="21394" priority="1038" operator="lessThan">
      <formula>-105575</formula>
    </cfRule>
  </conditionalFormatting>
  <conditionalFormatting sqref="BB183:BB189">
    <cfRule type="cellIs" dxfId="21393" priority="1035" operator="lessThan">
      <formula>0</formula>
    </cfRule>
    <cfRule type="cellIs" dxfId="21392" priority="1036" operator="lessThan">
      <formula>-105575</formula>
    </cfRule>
  </conditionalFormatting>
  <conditionalFormatting sqref="BB191:BB192">
    <cfRule type="cellIs" dxfId="21391" priority="1033" operator="lessThan">
      <formula>0</formula>
    </cfRule>
    <cfRule type="cellIs" dxfId="21390" priority="1034" operator="lessThan">
      <formula>-105575</formula>
    </cfRule>
  </conditionalFormatting>
  <conditionalFormatting sqref="BB191:BB192">
    <cfRule type="cellIs" dxfId="21389" priority="1031" operator="lessThan">
      <formula>0</formula>
    </cfRule>
    <cfRule type="cellIs" dxfId="21388" priority="1032" operator="lessThan">
      <formula>-105575</formula>
    </cfRule>
  </conditionalFormatting>
  <conditionalFormatting sqref="BB191:BB192">
    <cfRule type="cellIs" dxfId="21387" priority="1029" operator="lessThan">
      <formula>0</formula>
    </cfRule>
    <cfRule type="cellIs" dxfId="21386" priority="1030" operator="lessThan">
      <formula>-105575</formula>
    </cfRule>
  </conditionalFormatting>
  <conditionalFormatting sqref="BB194:BB195">
    <cfRule type="cellIs" dxfId="21385" priority="1027" operator="lessThan">
      <formula>0</formula>
    </cfRule>
    <cfRule type="cellIs" dxfId="21384" priority="1028" operator="lessThan">
      <formula>-105575</formula>
    </cfRule>
  </conditionalFormatting>
  <conditionalFormatting sqref="BB194:BB195">
    <cfRule type="cellIs" dxfId="21383" priority="1025" operator="lessThan">
      <formula>0</formula>
    </cfRule>
    <cfRule type="cellIs" dxfId="21382" priority="1026" operator="lessThan">
      <formula>-105575</formula>
    </cfRule>
  </conditionalFormatting>
  <conditionalFormatting sqref="BB194:BB195">
    <cfRule type="cellIs" dxfId="21381" priority="1023" operator="lessThan">
      <formula>0</formula>
    </cfRule>
    <cfRule type="cellIs" dxfId="21380" priority="1024" operator="lessThan">
      <formula>-105575</formula>
    </cfRule>
  </conditionalFormatting>
  <conditionalFormatting sqref="BB199:BB202">
    <cfRule type="cellIs" dxfId="21379" priority="1021" operator="lessThan">
      <formula>0</formula>
    </cfRule>
    <cfRule type="cellIs" dxfId="21378" priority="1022" operator="lessThan">
      <formula>-105575</formula>
    </cfRule>
  </conditionalFormatting>
  <conditionalFormatting sqref="BB199:BB202">
    <cfRule type="cellIs" dxfId="21377" priority="1019" operator="lessThan">
      <formula>0</formula>
    </cfRule>
    <cfRule type="cellIs" dxfId="21376" priority="1020" operator="lessThan">
      <formula>-105575</formula>
    </cfRule>
  </conditionalFormatting>
  <conditionalFormatting sqref="BB199:BB202">
    <cfRule type="cellIs" dxfId="21375" priority="1017" operator="lessThan">
      <formula>0</formula>
    </cfRule>
    <cfRule type="cellIs" dxfId="21374" priority="1018" operator="lessThan">
      <formula>-105575</formula>
    </cfRule>
  </conditionalFormatting>
  <conditionalFormatting sqref="BB204:BB208">
    <cfRule type="cellIs" dxfId="21373" priority="1015" operator="lessThan">
      <formula>0</formula>
    </cfRule>
    <cfRule type="cellIs" dxfId="21372" priority="1016" operator="lessThan">
      <formula>-105575</formula>
    </cfRule>
  </conditionalFormatting>
  <conditionalFormatting sqref="BB204:BB208">
    <cfRule type="cellIs" dxfId="21371" priority="1013" operator="lessThan">
      <formula>0</formula>
    </cfRule>
    <cfRule type="cellIs" dxfId="21370" priority="1014" operator="lessThan">
      <formula>-105575</formula>
    </cfRule>
  </conditionalFormatting>
  <conditionalFormatting sqref="BB204:BB208">
    <cfRule type="cellIs" dxfId="21369" priority="1011" operator="lessThan">
      <formula>0</formula>
    </cfRule>
    <cfRule type="cellIs" dxfId="21368" priority="1012" operator="lessThan">
      <formula>-105575</formula>
    </cfRule>
  </conditionalFormatting>
  <conditionalFormatting sqref="BB210:BB211">
    <cfRule type="cellIs" dxfId="21367" priority="1009" operator="lessThan">
      <formula>0</formula>
    </cfRule>
    <cfRule type="cellIs" dxfId="21366" priority="1010" operator="lessThan">
      <formula>-105575</formula>
    </cfRule>
  </conditionalFormatting>
  <conditionalFormatting sqref="BB210:BB211">
    <cfRule type="cellIs" dxfId="21365" priority="1007" operator="lessThan">
      <formula>0</formula>
    </cfRule>
    <cfRule type="cellIs" dxfId="21364" priority="1008" operator="lessThan">
      <formula>-105575</formula>
    </cfRule>
  </conditionalFormatting>
  <conditionalFormatting sqref="BB210:BB211">
    <cfRule type="cellIs" dxfId="21363" priority="1005" operator="lessThan">
      <formula>0</formula>
    </cfRule>
    <cfRule type="cellIs" dxfId="21362" priority="1006" operator="lessThan">
      <formula>-105575</formula>
    </cfRule>
  </conditionalFormatting>
  <conditionalFormatting sqref="BB214:BB219">
    <cfRule type="cellIs" dxfId="21361" priority="1003" operator="lessThan">
      <formula>0</formula>
    </cfRule>
    <cfRule type="cellIs" dxfId="21360" priority="1004" operator="lessThan">
      <formula>-105575</formula>
    </cfRule>
  </conditionalFormatting>
  <conditionalFormatting sqref="BB214:BB219">
    <cfRule type="cellIs" dxfId="21359" priority="1001" operator="lessThan">
      <formula>0</formula>
    </cfRule>
    <cfRule type="cellIs" dxfId="21358" priority="1002" operator="lessThan">
      <formula>-105575</formula>
    </cfRule>
  </conditionalFormatting>
  <conditionalFormatting sqref="BB214:BB219">
    <cfRule type="cellIs" dxfId="21357" priority="999" operator="lessThan">
      <formula>0</formula>
    </cfRule>
    <cfRule type="cellIs" dxfId="21356" priority="1000" operator="lessThan">
      <formula>-105575</formula>
    </cfRule>
  </conditionalFormatting>
  <conditionalFormatting sqref="BB222:BB224">
    <cfRule type="cellIs" dxfId="21355" priority="997" operator="lessThan">
      <formula>0</formula>
    </cfRule>
    <cfRule type="cellIs" dxfId="21354" priority="998" operator="lessThan">
      <formula>-105575</formula>
    </cfRule>
  </conditionalFormatting>
  <conditionalFormatting sqref="BB222:BB224">
    <cfRule type="cellIs" dxfId="21353" priority="995" operator="lessThan">
      <formula>0</formula>
    </cfRule>
    <cfRule type="cellIs" dxfId="21352" priority="996" operator="lessThan">
      <formula>-105575</formula>
    </cfRule>
  </conditionalFormatting>
  <conditionalFormatting sqref="BB222:BB224">
    <cfRule type="cellIs" dxfId="21351" priority="993" operator="lessThan">
      <formula>0</formula>
    </cfRule>
    <cfRule type="cellIs" dxfId="21350" priority="994" operator="lessThan">
      <formula>-105575</formula>
    </cfRule>
  </conditionalFormatting>
  <conditionalFormatting sqref="BB227:BB230">
    <cfRule type="cellIs" dxfId="21349" priority="991" operator="lessThan">
      <formula>0</formula>
    </cfRule>
    <cfRule type="cellIs" dxfId="21348" priority="992" operator="lessThan">
      <formula>-105575</formula>
    </cfRule>
  </conditionalFormatting>
  <conditionalFormatting sqref="BB227:BB230">
    <cfRule type="cellIs" dxfId="21347" priority="989" operator="lessThan">
      <formula>0</formula>
    </cfRule>
    <cfRule type="cellIs" dxfId="21346" priority="990" operator="lessThan">
      <formula>-105575</formula>
    </cfRule>
  </conditionalFormatting>
  <conditionalFormatting sqref="BB227:BB230">
    <cfRule type="cellIs" dxfId="21345" priority="987" operator="lessThan">
      <formula>0</formula>
    </cfRule>
    <cfRule type="cellIs" dxfId="21344" priority="988" operator="lessThan">
      <formula>-105575</formula>
    </cfRule>
  </conditionalFormatting>
  <conditionalFormatting sqref="BB203 BB220:BB221 BB235:BB243 BB231:BB233 BB212:BB213 BB225:BB226">
    <cfRule type="cellIs" dxfId="21343" priority="985" operator="lessThan">
      <formula>0</formula>
    </cfRule>
    <cfRule type="cellIs" dxfId="21342" priority="986" operator="lessThan">
      <formula>-105575</formula>
    </cfRule>
  </conditionalFormatting>
  <conditionalFormatting sqref="BB220 BB212:BB213 BB235:BB238 BB240:BB243 BB225:BB226 BB231:BB233">
    <cfRule type="cellIs" dxfId="21341" priority="983" operator="lessThan">
      <formula>0</formula>
    </cfRule>
    <cfRule type="cellIs" dxfId="21340" priority="984" operator="lessThan">
      <formula>-105575</formula>
    </cfRule>
  </conditionalFormatting>
  <conditionalFormatting sqref="BB220:BB221 BB243 BB226 BB231:BB236 BB238:BB241 BB203 BB213">
    <cfRule type="cellIs" dxfId="21339" priority="981" operator="lessThan">
      <formula>0</formula>
    </cfRule>
    <cfRule type="cellIs" dxfId="21338" priority="982" operator="lessThan">
      <formula>-105575</formula>
    </cfRule>
  </conditionalFormatting>
  <conditionalFormatting sqref="BB235:BB243 BB231:BB233 BB220 BB212:BB213 BB225:BB226">
    <cfRule type="cellIs" dxfId="21337" priority="979" operator="lessThan">
      <formula>0</formula>
    </cfRule>
    <cfRule type="cellIs" dxfId="21336" priority="980" operator="lessThan">
      <formula>-105575</formula>
    </cfRule>
  </conditionalFormatting>
  <conditionalFormatting sqref="BB220:BB221 BB237:BB243 BB203 BB231:BB235 BB212:BB213 BB225:BB226">
    <cfRule type="cellIs" dxfId="21335" priority="977" operator="lessThan">
      <formula>0</formula>
    </cfRule>
    <cfRule type="cellIs" dxfId="21334" priority="978" operator="lessThan">
      <formula>-105575</formula>
    </cfRule>
  </conditionalFormatting>
  <conditionalFormatting sqref="BB220:BB221 BB237:BB240 BB242:BB243 BB225:BB226 BB231:BB235">
    <cfRule type="cellIs" dxfId="21333" priority="975" operator="lessThan">
      <formula>0</formula>
    </cfRule>
    <cfRule type="cellIs" dxfId="21332" priority="976" operator="lessThan">
      <formula>-105575</formula>
    </cfRule>
  </conditionalFormatting>
  <conditionalFormatting sqref="BB212 BB231 BB233:BB238 BB240:BB243 BB225">
    <cfRule type="cellIs" dxfId="21331" priority="973" operator="lessThan">
      <formula>0</formula>
    </cfRule>
    <cfRule type="cellIs" dxfId="21330" priority="974" operator="lessThan">
      <formula>-105575</formula>
    </cfRule>
  </conditionalFormatting>
  <conditionalFormatting sqref="BB237:BB243 BB231:BB235 BB220:BB221 BB225:BB226">
    <cfRule type="cellIs" dxfId="21329" priority="971" operator="lessThan">
      <formula>0</formula>
    </cfRule>
    <cfRule type="cellIs" dxfId="21328" priority="972" operator="lessThan">
      <formula>-105575</formula>
    </cfRule>
  </conditionalFormatting>
  <conditionalFormatting sqref="BB233:BB237 BB231 BB239:BB243">
    <cfRule type="cellIs" dxfId="21327" priority="969" operator="lessThan">
      <formula>0</formula>
    </cfRule>
    <cfRule type="cellIs" dxfId="21326" priority="970" operator="lessThan">
      <formula>-105575</formula>
    </cfRule>
  </conditionalFormatting>
  <conditionalFormatting sqref="BB233:BB237 BB231 BB239:BB243">
    <cfRule type="cellIs" dxfId="21325" priority="967" operator="lessThan">
      <formula>0</formula>
    </cfRule>
    <cfRule type="cellIs" dxfId="21324" priority="968" operator="lessThan">
      <formula>-105575</formula>
    </cfRule>
  </conditionalFormatting>
  <conditionalFormatting sqref="BB119:BB128 BB106:BB117 BB101:BB104 BB80:BB98">
    <cfRule type="cellIs" dxfId="21323" priority="965" operator="lessThan">
      <formula>0</formula>
    </cfRule>
    <cfRule type="cellIs" dxfId="21322" priority="966" operator="lessThan">
      <formula>-105575</formula>
    </cfRule>
  </conditionalFormatting>
  <conditionalFormatting sqref="BB130 BB132 BB134">
    <cfRule type="cellIs" dxfId="21321" priority="963" operator="lessThan">
      <formula>0</formula>
    </cfRule>
    <cfRule type="cellIs" dxfId="21320" priority="964" operator="lessThan">
      <formula>-105575</formula>
    </cfRule>
  </conditionalFormatting>
  <conditionalFormatting sqref="BB130 BB132 BB134">
    <cfRule type="cellIs" dxfId="21319" priority="961" operator="lessThan">
      <formula>0</formula>
    </cfRule>
    <cfRule type="cellIs" dxfId="21318" priority="962" operator="lessThan">
      <formula>-105575</formula>
    </cfRule>
  </conditionalFormatting>
  <conditionalFormatting sqref="BB129 BB131 BB133 BB135">
    <cfRule type="cellIs" dxfId="21317" priority="959" operator="lessThan">
      <formula>0</formula>
    </cfRule>
    <cfRule type="cellIs" dxfId="21316" priority="960" operator="lessThan">
      <formula>-105575</formula>
    </cfRule>
  </conditionalFormatting>
  <conditionalFormatting sqref="BB140 BB145 BB142:BB143 BB137:BB138">
    <cfRule type="cellIs" dxfId="21315" priority="957" operator="lessThan">
      <formula>0</formula>
    </cfRule>
    <cfRule type="cellIs" dxfId="21314" priority="958" operator="lessThan">
      <formula>-105575</formula>
    </cfRule>
  </conditionalFormatting>
  <conditionalFormatting sqref="BB149">
    <cfRule type="cellIs" dxfId="21313" priority="955" operator="lessThan">
      <formula>0</formula>
    </cfRule>
    <cfRule type="cellIs" dxfId="21312" priority="956" operator="lessThan">
      <formula>-105575</formula>
    </cfRule>
  </conditionalFormatting>
  <conditionalFormatting sqref="BB129:BB138 BB140:BB149">
    <cfRule type="cellIs" dxfId="21311" priority="953" operator="lessThan">
      <formula>0</formula>
    </cfRule>
    <cfRule type="cellIs" dxfId="21310" priority="954" operator="lessThan">
      <formula>-105575</formula>
    </cfRule>
  </conditionalFormatting>
  <conditionalFormatting sqref="BB94:BB98 BB86:BB87 BB89:BB91 BB141:BB149 BB124:BB133 BB107:BB110 BB112:BB117 BB119:BB122 BB135:BB138 BB101:BB104 BB80:BB84">
    <cfRule type="cellIs" dxfId="21309" priority="951" operator="lessThan">
      <formula>0</formula>
    </cfRule>
    <cfRule type="cellIs" dxfId="21308" priority="952" operator="lessThan">
      <formula>-105575</formula>
    </cfRule>
  </conditionalFormatting>
  <conditionalFormatting sqref="BB129 BB131 BB133 BB135">
    <cfRule type="cellIs" dxfId="21307" priority="949" operator="lessThan">
      <formula>0</formula>
    </cfRule>
    <cfRule type="cellIs" dxfId="21306" priority="950" operator="lessThan">
      <formula>-105575</formula>
    </cfRule>
  </conditionalFormatting>
  <conditionalFormatting sqref="BB146 BB144 BB141">
    <cfRule type="cellIs" dxfId="21305" priority="947" operator="lessThan">
      <formula>0</formula>
    </cfRule>
    <cfRule type="cellIs" dxfId="21304" priority="948" operator="lessThan">
      <formula>-105575</formula>
    </cfRule>
  </conditionalFormatting>
  <conditionalFormatting sqref="BB146 BB144 BB141">
    <cfRule type="cellIs" dxfId="21303" priority="945" operator="lessThan">
      <formula>0</formula>
    </cfRule>
    <cfRule type="cellIs" dxfId="21302" priority="946" operator="lessThan">
      <formula>-105575</formula>
    </cfRule>
  </conditionalFormatting>
  <conditionalFormatting sqref="BB140 BB145 BB142:BB143 BB137:BB138">
    <cfRule type="cellIs" dxfId="21301" priority="943" operator="lessThan">
      <formula>0</formula>
    </cfRule>
    <cfRule type="cellIs" dxfId="21300" priority="944" operator="lessThan">
      <formula>-105575</formula>
    </cfRule>
  </conditionalFormatting>
  <conditionalFormatting sqref="BB149">
    <cfRule type="cellIs" dxfId="21299" priority="941" operator="lessThan">
      <formula>0</formula>
    </cfRule>
    <cfRule type="cellIs" dxfId="21298" priority="942" operator="lessThan">
      <formula>-105575</formula>
    </cfRule>
  </conditionalFormatting>
  <conditionalFormatting sqref="BB94:BB98 BB86:BB87 BB89:BB91 BB141:BB149 BB124:BB133 BB107:BB110 BB112:BB117 BB119:BB122 BB135:BB138 BB101:BB104 BB80:BB84">
    <cfRule type="cellIs" dxfId="21297" priority="939" operator="lessThan">
      <formula>0</formula>
    </cfRule>
    <cfRule type="cellIs" dxfId="21296" priority="940" operator="lessThan">
      <formula>-105575</formula>
    </cfRule>
  </conditionalFormatting>
  <conditionalFormatting sqref="BB62:BB76 BB306:BB309 BB311:BB325 BB327:BB330 BB332:BB341 BB344:BB347 BB349:BB353 BB355:BB358 BB360:BB384 BB386:BB389 BB392:BB395 BB397:BB411 BB413:BB416 BB418:BB432 BB434:BB437 BB439:BB453 BB455:BB458 BB460:BB469 BB7:BB10 BB12:BB14 BB17:BB18 BB21:BB24 BB26:BB28 BB30:BB36 BB38 BB41:BB43 BB46:BB49 BB51:BB55 BB57:BB59 BB290:BB291 BB293:BB304">
    <cfRule type="cellIs" dxfId="21295" priority="937" operator="lessThan">
      <formula>0</formula>
    </cfRule>
    <cfRule type="cellIs" dxfId="21294" priority="938" operator="lessThan">
      <formula>-105575</formula>
    </cfRule>
  </conditionalFormatting>
  <conditionalFormatting sqref="BB41">
    <cfRule type="cellIs" dxfId="21293" priority="935" operator="lessThan">
      <formula>0</formula>
    </cfRule>
    <cfRule type="cellIs" dxfId="21292" priority="936" operator="lessThan">
      <formula>-105575</formula>
    </cfRule>
  </conditionalFormatting>
  <conditionalFormatting sqref="BB152:BB155">
    <cfRule type="cellIs" dxfId="21291" priority="933" operator="lessThan">
      <formula>0</formula>
    </cfRule>
    <cfRule type="cellIs" dxfId="21290" priority="934" operator="lessThan">
      <formula>-105575</formula>
    </cfRule>
  </conditionalFormatting>
  <conditionalFormatting sqref="BB152:BB155">
    <cfRule type="cellIs" dxfId="21289" priority="931" operator="lessThan">
      <formula>0</formula>
    </cfRule>
    <cfRule type="cellIs" dxfId="21288" priority="932" operator="lessThan">
      <formula>-105575</formula>
    </cfRule>
  </conditionalFormatting>
  <conditionalFormatting sqref="BB152:BB155">
    <cfRule type="cellIs" dxfId="21287" priority="929" operator="lessThan">
      <formula>0</formula>
    </cfRule>
    <cfRule type="cellIs" dxfId="21286" priority="930" operator="lessThan">
      <formula>-105575</formula>
    </cfRule>
  </conditionalFormatting>
  <conditionalFormatting sqref="BB157:BB158">
    <cfRule type="cellIs" dxfId="21285" priority="927" operator="lessThan">
      <formula>0</formula>
    </cfRule>
    <cfRule type="cellIs" dxfId="21284" priority="928" operator="lessThan">
      <formula>-105575</formula>
    </cfRule>
  </conditionalFormatting>
  <conditionalFormatting sqref="BB157:BB158">
    <cfRule type="cellIs" dxfId="21283" priority="925" operator="lessThan">
      <formula>0</formula>
    </cfRule>
    <cfRule type="cellIs" dxfId="21282" priority="926" operator="lessThan">
      <formula>-105575</formula>
    </cfRule>
  </conditionalFormatting>
  <conditionalFormatting sqref="BB157:BB158">
    <cfRule type="cellIs" dxfId="21281" priority="923" operator="lessThan">
      <formula>0</formula>
    </cfRule>
    <cfRule type="cellIs" dxfId="21280" priority="924" operator="lessThan">
      <formula>-105575</formula>
    </cfRule>
  </conditionalFormatting>
  <conditionalFormatting sqref="BB160:BB161">
    <cfRule type="cellIs" dxfId="21279" priority="921" operator="lessThan">
      <formula>0</formula>
    </cfRule>
    <cfRule type="cellIs" dxfId="21278" priority="922" operator="lessThan">
      <formula>-105575</formula>
    </cfRule>
  </conditionalFormatting>
  <conditionalFormatting sqref="BB160:BB161">
    <cfRule type="cellIs" dxfId="21277" priority="919" operator="lessThan">
      <formula>0</formula>
    </cfRule>
    <cfRule type="cellIs" dxfId="21276" priority="920" operator="lessThan">
      <formula>-105575</formula>
    </cfRule>
  </conditionalFormatting>
  <conditionalFormatting sqref="BB160:BB161">
    <cfRule type="cellIs" dxfId="21275" priority="917" operator="lessThan">
      <formula>0</formula>
    </cfRule>
    <cfRule type="cellIs" dxfId="21274" priority="918" operator="lessThan">
      <formula>-105575</formula>
    </cfRule>
  </conditionalFormatting>
  <conditionalFormatting sqref="BB164:BB167">
    <cfRule type="cellIs" dxfId="21273" priority="915" operator="lessThan">
      <formula>0</formula>
    </cfRule>
    <cfRule type="cellIs" dxfId="21272" priority="916" operator="lessThan">
      <formula>-105575</formula>
    </cfRule>
  </conditionalFormatting>
  <conditionalFormatting sqref="BB164:BB167">
    <cfRule type="cellIs" dxfId="21271" priority="913" operator="lessThan">
      <formula>0</formula>
    </cfRule>
    <cfRule type="cellIs" dxfId="21270" priority="914" operator="lessThan">
      <formula>-105575</formula>
    </cfRule>
  </conditionalFormatting>
  <conditionalFormatting sqref="BB164:BB167">
    <cfRule type="cellIs" dxfId="21269" priority="911" operator="lessThan">
      <formula>0</formula>
    </cfRule>
    <cfRule type="cellIs" dxfId="21268" priority="912" operator="lessThan">
      <formula>-105575</formula>
    </cfRule>
  </conditionalFormatting>
  <conditionalFormatting sqref="BB169:BB177">
    <cfRule type="cellIs" dxfId="21267" priority="909" operator="lessThan">
      <formula>0</formula>
    </cfRule>
    <cfRule type="cellIs" dxfId="21266" priority="910" operator="lessThan">
      <formula>-105575</formula>
    </cfRule>
  </conditionalFormatting>
  <conditionalFormatting sqref="BB169:BB177">
    <cfRule type="cellIs" dxfId="21265" priority="907" operator="lessThan">
      <formula>0</formula>
    </cfRule>
    <cfRule type="cellIs" dxfId="21264" priority="908" operator="lessThan">
      <formula>-105575</formula>
    </cfRule>
  </conditionalFormatting>
  <conditionalFormatting sqref="BB169:BB177">
    <cfRule type="cellIs" dxfId="21263" priority="905" operator="lessThan">
      <formula>0</formula>
    </cfRule>
    <cfRule type="cellIs" dxfId="21262" priority="906" operator="lessThan">
      <formula>-105575</formula>
    </cfRule>
  </conditionalFormatting>
  <conditionalFormatting sqref="BB179:BB180">
    <cfRule type="cellIs" dxfId="21261" priority="903" operator="lessThan">
      <formula>0</formula>
    </cfRule>
    <cfRule type="cellIs" dxfId="21260" priority="904" operator="lessThan">
      <formula>-105575</formula>
    </cfRule>
  </conditionalFormatting>
  <conditionalFormatting sqref="BB179:BB180">
    <cfRule type="cellIs" dxfId="21259" priority="901" operator="lessThan">
      <formula>0</formula>
    </cfRule>
    <cfRule type="cellIs" dxfId="21258" priority="902" operator="lessThan">
      <formula>-105575</formula>
    </cfRule>
  </conditionalFormatting>
  <conditionalFormatting sqref="BB179:BB180">
    <cfRule type="cellIs" dxfId="21257" priority="899" operator="lessThan">
      <formula>0</formula>
    </cfRule>
    <cfRule type="cellIs" dxfId="21256" priority="900" operator="lessThan">
      <formula>-105575</formula>
    </cfRule>
  </conditionalFormatting>
  <conditionalFormatting sqref="BB183:BB189">
    <cfRule type="cellIs" dxfId="21255" priority="897" operator="lessThan">
      <formula>0</formula>
    </cfRule>
    <cfRule type="cellIs" dxfId="21254" priority="898" operator="lessThan">
      <formula>-105575</formula>
    </cfRule>
  </conditionalFormatting>
  <conditionalFormatting sqref="BB183:BB189">
    <cfRule type="cellIs" dxfId="21253" priority="895" operator="lessThan">
      <formula>0</formula>
    </cfRule>
    <cfRule type="cellIs" dxfId="21252" priority="896" operator="lessThan">
      <formula>-105575</formula>
    </cfRule>
  </conditionalFormatting>
  <conditionalFormatting sqref="BB183:BB189">
    <cfRule type="cellIs" dxfId="21251" priority="893" operator="lessThan">
      <formula>0</formula>
    </cfRule>
    <cfRule type="cellIs" dxfId="21250" priority="894" operator="lessThan">
      <formula>-105575</formula>
    </cfRule>
  </conditionalFormatting>
  <conditionalFormatting sqref="BB191:BB192">
    <cfRule type="cellIs" dxfId="21249" priority="891" operator="lessThan">
      <formula>0</formula>
    </cfRule>
    <cfRule type="cellIs" dxfId="21248" priority="892" operator="lessThan">
      <formula>-105575</formula>
    </cfRule>
  </conditionalFormatting>
  <conditionalFormatting sqref="BB191:BB192">
    <cfRule type="cellIs" dxfId="21247" priority="889" operator="lessThan">
      <formula>0</formula>
    </cfRule>
    <cfRule type="cellIs" dxfId="21246" priority="890" operator="lessThan">
      <formula>-105575</formula>
    </cfRule>
  </conditionalFormatting>
  <conditionalFormatting sqref="BB191:BB192">
    <cfRule type="cellIs" dxfId="21245" priority="887" operator="lessThan">
      <formula>0</formula>
    </cfRule>
    <cfRule type="cellIs" dxfId="21244" priority="888" operator="lessThan">
      <formula>-105575</formula>
    </cfRule>
  </conditionalFormatting>
  <conditionalFormatting sqref="BB194:BB195">
    <cfRule type="cellIs" dxfId="21243" priority="885" operator="lessThan">
      <formula>0</formula>
    </cfRule>
    <cfRule type="cellIs" dxfId="21242" priority="886" operator="lessThan">
      <formula>-105575</formula>
    </cfRule>
  </conditionalFormatting>
  <conditionalFormatting sqref="BB194:BB195">
    <cfRule type="cellIs" dxfId="21241" priority="883" operator="lessThan">
      <formula>0</formula>
    </cfRule>
    <cfRule type="cellIs" dxfId="21240" priority="884" operator="lessThan">
      <formula>-105575</formula>
    </cfRule>
  </conditionalFormatting>
  <conditionalFormatting sqref="BB194:BB195">
    <cfRule type="cellIs" dxfId="21239" priority="881" operator="lessThan">
      <formula>0</formula>
    </cfRule>
    <cfRule type="cellIs" dxfId="21238" priority="882" operator="lessThan">
      <formula>-105575</formula>
    </cfRule>
  </conditionalFormatting>
  <conditionalFormatting sqref="BB199:BB202">
    <cfRule type="cellIs" dxfId="21237" priority="879" operator="lessThan">
      <formula>0</formula>
    </cfRule>
    <cfRule type="cellIs" dxfId="21236" priority="880" operator="lessThan">
      <formula>-105575</formula>
    </cfRule>
  </conditionalFormatting>
  <conditionalFormatting sqref="BB199:BB202">
    <cfRule type="cellIs" dxfId="21235" priority="877" operator="lessThan">
      <formula>0</formula>
    </cfRule>
    <cfRule type="cellIs" dxfId="21234" priority="878" operator="lessThan">
      <formula>-105575</formula>
    </cfRule>
  </conditionalFormatting>
  <conditionalFormatting sqref="BB199:BB202">
    <cfRule type="cellIs" dxfId="21233" priority="875" operator="lessThan">
      <formula>0</formula>
    </cfRule>
    <cfRule type="cellIs" dxfId="21232" priority="876" operator="lessThan">
      <formula>-105575</formula>
    </cfRule>
  </conditionalFormatting>
  <conditionalFormatting sqref="BB204:BB208">
    <cfRule type="cellIs" dxfId="21231" priority="873" operator="lessThan">
      <formula>0</formula>
    </cfRule>
    <cfRule type="cellIs" dxfId="21230" priority="874" operator="lessThan">
      <formula>-105575</formula>
    </cfRule>
  </conditionalFormatting>
  <conditionalFormatting sqref="BB204:BB208">
    <cfRule type="cellIs" dxfId="21229" priority="871" operator="lessThan">
      <formula>0</formula>
    </cfRule>
    <cfRule type="cellIs" dxfId="21228" priority="872" operator="lessThan">
      <formula>-105575</formula>
    </cfRule>
  </conditionalFormatting>
  <conditionalFormatting sqref="BB204:BB208">
    <cfRule type="cellIs" dxfId="21227" priority="869" operator="lessThan">
      <formula>0</formula>
    </cfRule>
    <cfRule type="cellIs" dxfId="21226" priority="870" operator="lessThan">
      <formula>-105575</formula>
    </cfRule>
  </conditionalFormatting>
  <conditionalFormatting sqref="BB210:BB211">
    <cfRule type="cellIs" dxfId="21225" priority="867" operator="lessThan">
      <formula>0</formula>
    </cfRule>
    <cfRule type="cellIs" dxfId="21224" priority="868" operator="lessThan">
      <formula>-105575</formula>
    </cfRule>
  </conditionalFormatting>
  <conditionalFormatting sqref="BB210:BB211">
    <cfRule type="cellIs" dxfId="21223" priority="865" operator="lessThan">
      <formula>0</formula>
    </cfRule>
    <cfRule type="cellIs" dxfId="21222" priority="866" operator="lessThan">
      <formula>-105575</formula>
    </cfRule>
  </conditionalFormatting>
  <conditionalFormatting sqref="BB210:BB211">
    <cfRule type="cellIs" dxfId="21221" priority="863" operator="lessThan">
      <formula>0</formula>
    </cfRule>
    <cfRule type="cellIs" dxfId="21220" priority="864" operator="lessThan">
      <formula>-105575</formula>
    </cfRule>
  </conditionalFormatting>
  <conditionalFormatting sqref="BB214:BB219">
    <cfRule type="cellIs" dxfId="21219" priority="861" operator="lessThan">
      <formula>0</formula>
    </cfRule>
    <cfRule type="cellIs" dxfId="21218" priority="862" operator="lessThan">
      <formula>-105575</formula>
    </cfRule>
  </conditionalFormatting>
  <conditionalFormatting sqref="BB214:BB219">
    <cfRule type="cellIs" dxfId="21217" priority="859" operator="lessThan">
      <formula>0</formula>
    </cfRule>
    <cfRule type="cellIs" dxfId="21216" priority="860" operator="lessThan">
      <formula>-105575</formula>
    </cfRule>
  </conditionalFormatting>
  <conditionalFormatting sqref="BB214:BB219">
    <cfRule type="cellIs" dxfId="21215" priority="857" operator="lessThan">
      <formula>0</formula>
    </cfRule>
    <cfRule type="cellIs" dxfId="21214" priority="858" operator="lessThan">
      <formula>-105575</formula>
    </cfRule>
  </conditionalFormatting>
  <conditionalFormatting sqref="BB222:BB224">
    <cfRule type="cellIs" dxfId="21213" priority="855" operator="lessThan">
      <formula>0</formula>
    </cfRule>
    <cfRule type="cellIs" dxfId="21212" priority="856" operator="lessThan">
      <formula>-105575</formula>
    </cfRule>
  </conditionalFormatting>
  <conditionalFormatting sqref="BB222:BB224">
    <cfRule type="cellIs" dxfId="21211" priority="853" operator="lessThan">
      <formula>0</formula>
    </cfRule>
    <cfRule type="cellIs" dxfId="21210" priority="854" operator="lessThan">
      <formula>-105575</formula>
    </cfRule>
  </conditionalFormatting>
  <conditionalFormatting sqref="BB222:BB224">
    <cfRule type="cellIs" dxfId="21209" priority="851" operator="lessThan">
      <formula>0</formula>
    </cfRule>
    <cfRule type="cellIs" dxfId="21208" priority="852" operator="lessThan">
      <formula>-105575</formula>
    </cfRule>
  </conditionalFormatting>
  <conditionalFormatting sqref="BB227:BB230">
    <cfRule type="cellIs" dxfId="21207" priority="849" operator="lessThan">
      <formula>0</formula>
    </cfRule>
    <cfRule type="cellIs" dxfId="21206" priority="850" operator="lessThan">
      <formula>-105575</formula>
    </cfRule>
  </conditionalFormatting>
  <conditionalFormatting sqref="BB227:BB230">
    <cfRule type="cellIs" dxfId="21205" priority="847" operator="lessThan">
      <formula>0</formula>
    </cfRule>
    <cfRule type="cellIs" dxfId="21204" priority="848" operator="lessThan">
      <formula>-105575</formula>
    </cfRule>
  </conditionalFormatting>
  <conditionalFormatting sqref="BB227:BB230">
    <cfRule type="cellIs" dxfId="21203" priority="845" operator="lessThan">
      <formula>0</formula>
    </cfRule>
    <cfRule type="cellIs" dxfId="21202" priority="846" operator="lessThan">
      <formula>-105575</formula>
    </cfRule>
  </conditionalFormatting>
  <conditionalFormatting sqref="BB246:BB249">
    <cfRule type="cellIs" dxfId="21201" priority="843" operator="lessThan">
      <formula>0</formula>
    </cfRule>
    <cfRule type="cellIs" dxfId="21200" priority="844" operator="lessThan">
      <formula>-105575</formula>
    </cfRule>
  </conditionalFormatting>
  <conditionalFormatting sqref="BB246:BB249">
    <cfRule type="cellIs" dxfId="21199" priority="841" operator="lessThan">
      <formula>0</formula>
    </cfRule>
    <cfRule type="cellIs" dxfId="21198" priority="842" operator="lessThan">
      <formula>-105575</formula>
    </cfRule>
  </conditionalFormatting>
  <conditionalFormatting sqref="BB246:BB249">
    <cfRule type="cellIs" dxfId="21197" priority="839" operator="lessThan">
      <formula>0</formula>
    </cfRule>
    <cfRule type="cellIs" dxfId="21196" priority="840" operator="lessThan">
      <formula>-105575</formula>
    </cfRule>
  </conditionalFormatting>
  <conditionalFormatting sqref="BB246:BB249">
    <cfRule type="cellIs" dxfId="21195" priority="837" operator="lessThan">
      <formula>0</formula>
    </cfRule>
    <cfRule type="cellIs" dxfId="21194" priority="838" operator="lessThan">
      <formula>-105575</formula>
    </cfRule>
  </conditionalFormatting>
  <conditionalFormatting sqref="BB246:BB249">
    <cfRule type="cellIs" dxfId="21193" priority="835" operator="lessThan">
      <formula>0</formula>
    </cfRule>
    <cfRule type="cellIs" dxfId="21192" priority="836" operator="lessThan">
      <formula>-105575</formula>
    </cfRule>
  </conditionalFormatting>
  <conditionalFormatting sqref="BB246:BB249">
    <cfRule type="cellIs" dxfId="21191" priority="833" operator="lessThan">
      <formula>0</formula>
    </cfRule>
    <cfRule type="cellIs" dxfId="21190" priority="834" operator="lessThan">
      <formula>-105575</formula>
    </cfRule>
  </conditionalFormatting>
  <conditionalFormatting sqref="BB246:BB249">
    <cfRule type="cellIs" dxfId="21189" priority="831" operator="lessThan">
      <formula>0</formula>
    </cfRule>
    <cfRule type="cellIs" dxfId="21188" priority="832" operator="lessThan">
      <formula>-105575</formula>
    </cfRule>
  </conditionalFormatting>
  <conditionalFormatting sqref="BB246:BB249">
    <cfRule type="cellIs" dxfId="21187" priority="829" operator="lessThan">
      <formula>0</formula>
    </cfRule>
    <cfRule type="cellIs" dxfId="21186" priority="830" operator="lessThan">
      <formula>-105575</formula>
    </cfRule>
  </conditionalFormatting>
  <conditionalFormatting sqref="BB246:BB249">
    <cfRule type="cellIs" dxfId="21185" priority="827" operator="lessThan">
      <formula>0</formula>
    </cfRule>
    <cfRule type="cellIs" dxfId="21184" priority="828" operator="lessThan">
      <formula>-105575</formula>
    </cfRule>
  </conditionalFormatting>
  <conditionalFormatting sqref="BB251:BB253">
    <cfRule type="cellIs" dxfId="21183" priority="825" operator="lessThan">
      <formula>0</formula>
    </cfRule>
    <cfRule type="cellIs" dxfId="21182" priority="826" operator="lessThan">
      <formula>-105575</formula>
    </cfRule>
  </conditionalFormatting>
  <conditionalFormatting sqref="BB251:BB253">
    <cfRule type="cellIs" dxfId="21181" priority="823" operator="lessThan">
      <formula>0</formula>
    </cfRule>
    <cfRule type="cellIs" dxfId="21180" priority="824" operator="lessThan">
      <formula>-105575</formula>
    </cfRule>
  </conditionalFormatting>
  <conditionalFormatting sqref="BB251:BB253">
    <cfRule type="cellIs" dxfId="21179" priority="821" operator="lessThan">
      <formula>0</formula>
    </cfRule>
    <cfRule type="cellIs" dxfId="21178" priority="822" operator="lessThan">
      <formula>-105575</formula>
    </cfRule>
  </conditionalFormatting>
  <conditionalFormatting sqref="BB251:BB253">
    <cfRule type="cellIs" dxfId="21177" priority="819" operator="lessThan">
      <formula>0</formula>
    </cfRule>
    <cfRule type="cellIs" dxfId="21176" priority="820" operator="lessThan">
      <formula>-105575</formula>
    </cfRule>
  </conditionalFormatting>
  <conditionalFormatting sqref="BB251:BB253">
    <cfRule type="cellIs" dxfId="21175" priority="817" operator="lessThan">
      <formula>0</formula>
    </cfRule>
    <cfRule type="cellIs" dxfId="21174" priority="818" operator="lessThan">
      <formula>-105575</formula>
    </cfRule>
  </conditionalFormatting>
  <conditionalFormatting sqref="BB251:BB253">
    <cfRule type="cellIs" dxfId="21173" priority="815" operator="lessThan">
      <formula>0</formula>
    </cfRule>
    <cfRule type="cellIs" dxfId="21172" priority="816" operator="lessThan">
      <formula>-105575</formula>
    </cfRule>
  </conditionalFormatting>
  <conditionalFormatting sqref="BB251:BB253">
    <cfRule type="cellIs" dxfId="21171" priority="813" operator="lessThan">
      <formula>0</formula>
    </cfRule>
    <cfRule type="cellIs" dxfId="21170" priority="814" operator="lessThan">
      <formula>-105575</formula>
    </cfRule>
  </conditionalFormatting>
  <conditionalFormatting sqref="BB251:BB253">
    <cfRule type="cellIs" dxfId="21169" priority="811" operator="lessThan">
      <formula>0</formula>
    </cfRule>
    <cfRule type="cellIs" dxfId="21168" priority="812" operator="lessThan">
      <formula>-105575</formula>
    </cfRule>
  </conditionalFormatting>
  <conditionalFormatting sqref="BB251:BB253">
    <cfRule type="cellIs" dxfId="21167" priority="809" operator="lessThan">
      <formula>0</formula>
    </cfRule>
    <cfRule type="cellIs" dxfId="21166" priority="810" operator="lessThan">
      <formula>-105575</formula>
    </cfRule>
  </conditionalFormatting>
  <conditionalFormatting sqref="BB255:BB257">
    <cfRule type="cellIs" dxfId="21165" priority="807" operator="lessThan">
      <formula>0</formula>
    </cfRule>
    <cfRule type="cellIs" dxfId="21164" priority="808" operator="lessThan">
      <formula>-105575</formula>
    </cfRule>
  </conditionalFormatting>
  <conditionalFormatting sqref="BB255:BB257">
    <cfRule type="cellIs" dxfId="21163" priority="805" operator="lessThan">
      <formula>0</formula>
    </cfRule>
    <cfRule type="cellIs" dxfId="21162" priority="806" operator="lessThan">
      <formula>-105575</formula>
    </cfRule>
  </conditionalFormatting>
  <conditionalFormatting sqref="BB255:BB257">
    <cfRule type="cellIs" dxfId="21161" priority="803" operator="lessThan">
      <formula>0</formula>
    </cfRule>
    <cfRule type="cellIs" dxfId="21160" priority="804" operator="lessThan">
      <formula>-105575</formula>
    </cfRule>
  </conditionalFormatting>
  <conditionalFormatting sqref="BB255:BB257">
    <cfRule type="cellIs" dxfId="21159" priority="801" operator="lessThan">
      <formula>0</formula>
    </cfRule>
    <cfRule type="cellIs" dxfId="21158" priority="802" operator="lessThan">
      <formula>-105575</formula>
    </cfRule>
  </conditionalFormatting>
  <conditionalFormatting sqref="BB255:BB257">
    <cfRule type="cellIs" dxfId="21157" priority="799" operator="lessThan">
      <formula>0</formula>
    </cfRule>
    <cfRule type="cellIs" dxfId="21156" priority="800" operator="lessThan">
      <formula>-105575</formula>
    </cfRule>
  </conditionalFormatting>
  <conditionalFormatting sqref="BB255:BB257">
    <cfRule type="cellIs" dxfId="21155" priority="797" operator="lessThan">
      <formula>0</formula>
    </cfRule>
    <cfRule type="cellIs" dxfId="21154" priority="798" operator="lessThan">
      <formula>-105575</formula>
    </cfRule>
  </conditionalFormatting>
  <conditionalFormatting sqref="BB255:BB257">
    <cfRule type="cellIs" dxfId="21153" priority="795" operator="lessThan">
      <formula>0</formula>
    </cfRule>
    <cfRule type="cellIs" dxfId="21152" priority="796" operator="lessThan">
      <formula>-105575</formula>
    </cfRule>
  </conditionalFormatting>
  <conditionalFormatting sqref="BB255:BB257">
    <cfRule type="cellIs" dxfId="21151" priority="793" operator="lessThan">
      <formula>0</formula>
    </cfRule>
    <cfRule type="cellIs" dxfId="21150" priority="794" operator="lessThan">
      <formula>-105575</formula>
    </cfRule>
  </conditionalFormatting>
  <conditionalFormatting sqref="BB255:BB257">
    <cfRule type="cellIs" dxfId="21149" priority="791" operator="lessThan">
      <formula>0</formula>
    </cfRule>
    <cfRule type="cellIs" dxfId="21148" priority="792" operator="lessThan">
      <formula>-105575</formula>
    </cfRule>
  </conditionalFormatting>
  <conditionalFormatting sqref="BB260:BB262">
    <cfRule type="cellIs" dxfId="21147" priority="789" operator="lessThan">
      <formula>0</formula>
    </cfRule>
    <cfRule type="cellIs" dxfId="21146" priority="790" operator="lessThan">
      <formula>-105575</formula>
    </cfRule>
  </conditionalFormatting>
  <conditionalFormatting sqref="BB260:BB262">
    <cfRule type="cellIs" dxfId="21145" priority="787" operator="lessThan">
      <formula>0</formula>
    </cfRule>
    <cfRule type="cellIs" dxfId="21144" priority="788" operator="lessThan">
      <formula>-105575</formula>
    </cfRule>
  </conditionalFormatting>
  <conditionalFormatting sqref="BB260:BB262">
    <cfRule type="cellIs" dxfId="21143" priority="785" operator="lessThan">
      <formula>0</formula>
    </cfRule>
    <cfRule type="cellIs" dxfId="21142" priority="786" operator="lessThan">
      <formula>-105575</formula>
    </cfRule>
  </conditionalFormatting>
  <conditionalFormatting sqref="BB260:BB262">
    <cfRule type="cellIs" dxfId="21141" priority="783" operator="lessThan">
      <formula>0</formula>
    </cfRule>
    <cfRule type="cellIs" dxfId="21140" priority="784" operator="lessThan">
      <formula>-105575</formula>
    </cfRule>
  </conditionalFormatting>
  <conditionalFormatting sqref="BB260:BB262">
    <cfRule type="cellIs" dxfId="21139" priority="781" operator="lessThan">
      <formula>0</formula>
    </cfRule>
    <cfRule type="cellIs" dxfId="21138" priority="782" operator="lessThan">
      <formula>-105575</formula>
    </cfRule>
  </conditionalFormatting>
  <conditionalFormatting sqref="BB260:BB262">
    <cfRule type="cellIs" dxfId="21137" priority="779" operator="lessThan">
      <formula>0</formula>
    </cfRule>
    <cfRule type="cellIs" dxfId="21136" priority="780" operator="lessThan">
      <formula>-105575</formula>
    </cfRule>
  </conditionalFormatting>
  <conditionalFormatting sqref="BB260:BB262">
    <cfRule type="cellIs" dxfId="21135" priority="777" operator="lessThan">
      <formula>0</formula>
    </cfRule>
    <cfRule type="cellIs" dxfId="21134" priority="778" operator="lessThan">
      <formula>-105575</formula>
    </cfRule>
  </conditionalFormatting>
  <conditionalFormatting sqref="BB260:BB262">
    <cfRule type="cellIs" dxfId="21133" priority="775" operator="lessThan">
      <formula>0</formula>
    </cfRule>
    <cfRule type="cellIs" dxfId="21132" priority="776" operator="lessThan">
      <formula>-105575</formula>
    </cfRule>
  </conditionalFormatting>
  <conditionalFormatting sqref="BB260:BB262">
    <cfRule type="cellIs" dxfId="21131" priority="773" operator="lessThan">
      <formula>0</formula>
    </cfRule>
    <cfRule type="cellIs" dxfId="21130" priority="774" operator="lessThan">
      <formula>-105575</formula>
    </cfRule>
  </conditionalFormatting>
  <conditionalFormatting sqref="BB264:BB267">
    <cfRule type="cellIs" dxfId="21129" priority="771" operator="lessThan">
      <formula>0</formula>
    </cfRule>
    <cfRule type="cellIs" dxfId="21128" priority="772" operator="lessThan">
      <formula>-105575</formula>
    </cfRule>
  </conditionalFormatting>
  <conditionalFormatting sqref="BB264:BB267">
    <cfRule type="cellIs" dxfId="21127" priority="769" operator="lessThan">
      <formula>0</formula>
    </cfRule>
    <cfRule type="cellIs" dxfId="21126" priority="770" operator="lessThan">
      <formula>-105575</formula>
    </cfRule>
  </conditionalFormatting>
  <conditionalFormatting sqref="BB264:BB267">
    <cfRule type="cellIs" dxfId="21125" priority="767" operator="lessThan">
      <formula>0</formula>
    </cfRule>
    <cfRule type="cellIs" dxfId="21124" priority="768" operator="lessThan">
      <formula>-105575</formula>
    </cfRule>
  </conditionalFormatting>
  <conditionalFormatting sqref="BB264:BB267">
    <cfRule type="cellIs" dxfId="21123" priority="765" operator="lessThan">
      <formula>0</formula>
    </cfRule>
    <cfRule type="cellIs" dxfId="21122" priority="766" operator="lessThan">
      <formula>-105575</formula>
    </cfRule>
  </conditionalFormatting>
  <conditionalFormatting sqref="BB264:BB267">
    <cfRule type="cellIs" dxfId="21121" priority="763" operator="lessThan">
      <formula>0</formula>
    </cfRule>
    <cfRule type="cellIs" dxfId="21120" priority="764" operator="lessThan">
      <formula>-105575</formula>
    </cfRule>
  </conditionalFormatting>
  <conditionalFormatting sqref="BB264:BB267">
    <cfRule type="cellIs" dxfId="21119" priority="761" operator="lessThan">
      <formula>0</formula>
    </cfRule>
    <cfRule type="cellIs" dxfId="21118" priority="762" operator="lessThan">
      <formula>-105575</formula>
    </cfRule>
  </conditionalFormatting>
  <conditionalFormatting sqref="BB264:BB267">
    <cfRule type="cellIs" dxfId="21117" priority="759" operator="lessThan">
      <formula>0</formula>
    </cfRule>
    <cfRule type="cellIs" dxfId="21116" priority="760" operator="lessThan">
      <formula>-105575</formula>
    </cfRule>
  </conditionalFormatting>
  <conditionalFormatting sqref="BB264:BB267">
    <cfRule type="cellIs" dxfId="21115" priority="757" operator="lessThan">
      <formula>0</formula>
    </cfRule>
    <cfRule type="cellIs" dxfId="21114" priority="758" operator="lessThan">
      <formula>-105575</formula>
    </cfRule>
  </conditionalFormatting>
  <conditionalFormatting sqref="BB264:BB267">
    <cfRule type="cellIs" dxfId="21113" priority="755" operator="lessThan">
      <formula>0</formula>
    </cfRule>
    <cfRule type="cellIs" dxfId="21112" priority="756" operator="lessThan">
      <formula>-105575</formula>
    </cfRule>
  </conditionalFormatting>
  <conditionalFormatting sqref="BB270:BB272">
    <cfRule type="cellIs" dxfId="21111" priority="753" operator="lessThan">
      <formula>0</formula>
    </cfRule>
    <cfRule type="cellIs" dxfId="21110" priority="754" operator="lessThan">
      <formula>-105575</formula>
    </cfRule>
  </conditionalFormatting>
  <conditionalFormatting sqref="BB270:BB272">
    <cfRule type="cellIs" dxfId="21109" priority="751" operator="lessThan">
      <formula>0</formula>
    </cfRule>
    <cfRule type="cellIs" dxfId="21108" priority="752" operator="lessThan">
      <formula>-105575</formula>
    </cfRule>
  </conditionalFormatting>
  <conditionalFormatting sqref="BB270:BB272">
    <cfRule type="cellIs" dxfId="21107" priority="749" operator="lessThan">
      <formula>0</formula>
    </cfRule>
    <cfRule type="cellIs" dxfId="21106" priority="750" operator="lessThan">
      <formula>-105575</formula>
    </cfRule>
  </conditionalFormatting>
  <conditionalFormatting sqref="BB270:BB272">
    <cfRule type="cellIs" dxfId="21105" priority="747" operator="lessThan">
      <formula>0</formula>
    </cfRule>
    <cfRule type="cellIs" dxfId="21104" priority="748" operator="lessThan">
      <formula>-105575</formula>
    </cfRule>
  </conditionalFormatting>
  <conditionalFormatting sqref="BB270:BB272">
    <cfRule type="cellIs" dxfId="21103" priority="745" operator="lessThan">
      <formula>0</formula>
    </cfRule>
    <cfRule type="cellIs" dxfId="21102" priority="746" operator="lessThan">
      <formula>-105575</formula>
    </cfRule>
  </conditionalFormatting>
  <conditionalFormatting sqref="BB270:BB272">
    <cfRule type="cellIs" dxfId="21101" priority="743" operator="lessThan">
      <formula>0</formula>
    </cfRule>
    <cfRule type="cellIs" dxfId="21100" priority="744" operator="lessThan">
      <formula>-105575</formula>
    </cfRule>
  </conditionalFormatting>
  <conditionalFormatting sqref="BB270:BB272">
    <cfRule type="cellIs" dxfId="21099" priority="741" operator="lessThan">
      <formula>0</formula>
    </cfRule>
    <cfRule type="cellIs" dxfId="21098" priority="742" operator="lessThan">
      <formula>-105575</formula>
    </cfRule>
  </conditionalFormatting>
  <conditionalFormatting sqref="BB270:BB272">
    <cfRule type="cellIs" dxfId="21097" priority="739" operator="lessThan">
      <formula>0</formula>
    </cfRule>
    <cfRule type="cellIs" dxfId="21096" priority="740" operator="lessThan">
      <formula>-105575</formula>
    </cfRule>
  </conditionalFormatting>
  <conditionalFormatting sqref="BB270:BB272">
    <cfRule type="cellIs" dxfId="21095" priority="737" operator="lessThan">
      <formula>0</formula>
    </cfRule>
    <cfRule type="cellIs" dxfId="21094" priority="738" operator="lessThan">
      <formula>-105575</formula>
    </cfRule>
  </conditionalFormatting>
  <conditionalFormatting sqref="BB274:BB275">
    <cfRule type="cellIs" dxfId="21093" priority="735" operator="lessThan">
      <formula>0</formula>
    </cfRule>
    <cfRule type="cellIs" dxfId="21092" priority="736" operator="lessThan">
      <formula>-105575</formula>
    </cfRule>
  </conditionalFormatting>
  <conditionalFormatting sqref="BB274:BB275">
    <cfRule type="cellIs" dxfId="21091" priority="733" operator="lessThan">
      <formula>0</formula>
    </cfRule>
    <cfRule type="cellIs" dxfId="21090" priority="734" operator="lessThan">
      <formula>-105575</formula>
    </cfRule>
  </conditionalFormatting>
  <conditionalFormatting sqref="BB274:BB275">
    <cfRule type="cellIs" dxfId="21089" priority="731" operator="lessThan">
      <formula>0</formula>
    </cfRule>
    <cfRule type="cellIs" dxfId="21088" priority="732" operator="lessThan">
      <formula>-105575</formula>
    </cfRule>
  </conditionalFormatting>
  <conditionalFormatting sqref="BB274:BB275">
    <cfRule type="cellIs" dxfId="21087" priority="729" operator="lessThan">
      <formula>0</formula>
    </cfRule>
    <cfRule type="cellIs" dxfId="21086" priority="730" operator="lessThan">
      <formula>-105575</formula>
    </cfRule>
  </conditionalFormatting>
  <conditionalFormatting sqref="BB274:BB275">
    <cfRule type="cellIs" dxfId="21085" priority="727" operator="lessThan">
      <formula>0</formula>
    </cfRule>
    <cfRule type="cellIs" dxfId="21084" priority="728" operator="lessThan">
      <formula>-105575</formula>
    </cfRule>
  </conditionalFormatting>
  <conditionalFormatting sqref="BB274:BB275">
    <cfRule type="cellIs" dxfId="21083" priority="725" operator="lessThan">
      <formula>0</formula>
    </cfRule>
    <cfRule type="cellIs" dxfId="21082" priority="726" operator="lessThan">
      <formula>-105575</formula>
    </cfRule>
  </conditionalFormatting>
  <conditionalFormatting sqref="BB274:BB275">
    <cfRule type="cellIs" dxfId="21081" priority="723" operator="lessThan">
      <formula>0</formula>
    </cfRule>
    <cfRule type="cellIs" dxfId="21080" priority="724" operator="lessThan">
      <formula>-105575</formula>
    </cfRule>
  </conditionalFormatting>
  <conditionalFormatting sqref="BB274:BB275">
    <cfRule type="cellIs" dxfId="21079" priority="721" operator="lessThan">
      <formula>0</formula>
    </cfRule>
    <cfRule type="cellIs" dxfId="21078" priority="722" operator="lessThan">
      <formula>-105575</formula>
    </cfRule>
  </conditionalFormatting>
  <conditionalFormatting sqref="BB274:BB275">
    <cfRule type="cellIs" dxfId="21077" priority="719" operator="lessThan">
      <formula>0</formula>
    </cfRule>
    <cfRule type="cellIs" dxfId="21076" priority="720" operator="lessThan">
      <formula>-105575</formula>
    </cfRule>
  </conditionalFormatting>
  <conditionalFormatting sqref="BB278:BB282">
    <cfRule type="cellIs" dxfId="21075" priority="717" operator="lessThan">
      <formula>0</formula>
    </cfRule>
    <cfRule type="cellIs" dxfId="21074" priority="718" operator="lessThan">
      <formula>-105575</formula>
    </cfRule>
  </conditionalFormatting>
  <conditionalFormatting sqref="BB278:BB282">
    <cfRule type="cellIs" dxfId="21073" priority="715" operator="lessThan">
      <formula>0</formula>
    </cfRule>
    <cfRule type="cellIs" dxfId="21072" priority="716" operator="lessThan">
      <formula>-105575</formula>
    </cfRule>
  </conditionalFormatting>
  <conditionalFormatting sqref="BB278:BB282">
    <cfRule type="cellIs" dxfId="21071" priority="713" operator="lessThan">
      <formula>0</formula>
    </cfRule>
    <cfRule type="cellIs" dxfId="21070" priority="714" operator="lessThan">
      <formula>-105575</formula>
    </cfRule>
  </conditionalFormatting>
  <conditionalFormatting sqref="BB278:BB282">
    <cfRule type="cellIs" dxfId="21069" priority="711" operator="lessThan">
      <formula>0</formula>
    </cfRule>
    <cfRule type="cellIs" dxfId="21068" priority="712" operator="lessThan">
      <formula>-105575</formula>
    </cfRule>
  </conditionalFormatting>
  <conditionalFormatting sqref="BB278:BB282">
    <cfRule type="cellIs" dxfId="21067" priority="709" operator="lessThan">
      <formula>0</formula>
    </cfRule>
    <cfRule type="cellIs" dxfId="21066" priority="710" operator="lessThan">
      <formula>-105575</formula>
    </cfRule>
  </conditionalFormatting>
  <conditionalFormatting sqref="BB278:BB282">
    <cfRule type="cellIs" dxfId="21065" priority="707" operator="lessThan">
      <formula>0</formula>
    </cfRule>
    <cfRule type="cellIs" dxfId="21064" priority="708" operator="lessThan">
      <formula>-105575</formula>
    </cfRule>
  </conditionalFormatting>
  <conditionalFormatting sqref="BB278:BB282">
    <cfRule type="cellIs" dxfId="21063" priority="705" operator="lessThan">
      <formula>0</formula>
    </cfRule>
    <cfRule type="cellIs" dxfId="21062" priority="706" operator="lessThan">
      <formula>-105575</formula>
    </cfRule>
  </conditionalFormatting>
  <conditionalFormatting sqref="BB278:BB282">
    <cfRule type="cellIs" dxfId="21061" priority="703" operator="lessThan">
      <formula>0</formula>
    </cfRule>
    <cfRule type="cellIs" dxfId="21060" priority="704" operator="lessThan">
      <formula>-105575</formula>
    </cfRule>
  </conditionalFormatting>
  <conditionalFormatting sqref="BB278:BB282">
    <cfRule type="cellIs" dxfId="21059" priority="701" operator="lessThan">
      <formula>0</formula>
    </cfRule>
    <cfRule type="cellIs" dxfId="21058" priority="702" operator="lessThan">
      <formula>-105575</formula>
    </cfRule>
  </conditionalFormatting>
  <conditionalFormatting sqref="BB285:BB288">
    <cfRule type="cellIs" dxfId="21057" priority="699" operator="lessThan">
      <formula>0</formula>
    </cfRule>
    <cfRule type="cellIs" dxfId="21056" priority="700" operator="lessThan">
      <formula>-105575</formula>
    </cfRule>
  </conditionalFormatting>
  <conditionalFormatting sqref="BB285:BB288">
    <cfRule type="cellIs" dxfId="21055" priority="697" operator="lessThan">
      <formula>0</formula>
    </cfRule>
    <cfRule type="cellIs" dxfId="21054" priority="698" operator="lessThan">
      <formula>-105575</formula>
    </cfRule>
  </conditionalFormatting>
  <conditionalFormatting sqref="BB285:BB288">
    <cfRule type="cellIs" dxfId="21053" priority="695" operator="lessThan">
      <formula>0</formula>
    </cfRule>
    <cfRule type="cellIs" dxfId="21052" priority="696" operator="lessThan">
      <formula>-105575</formula>
    </cfRule>
  </conditionalFormatting>
  <conditionalFormatting sqref="BB285:BB288">
    <cfRule type="cellIs" dxfId="21051" priority="693" operator="lessThan">
      <formula>0</formula>
    </cfRule>
    <cfRule type="cellIs" dxfId="21050" priority="694" operator="lessThan">
      <formula>-105575</formula>
    </cfRule>
  </conditionalFormatting>
  <conditionalFormatting sqref="BB285:BB288">
    <cfRule type="cellIs" dxfId="21049" priority="691" operator="lessThan">
      <formula>0</formula>
    </cfRule>
    <cfRule type="cellIs" dxfId="21048" priority="692" operator="lessThan">
      <formula>-105575</formula>
    </cfRule>
  </conditionalFormatting>
  <conditionalFormatting sqref="BB285:BB288">
    <cfRule type="cellIs" dxfId="21047" priority="689" operator="lessThan">
      <formula>0</formula>
    </cfRule>
    <cfRule type="cellIs" dxfId="21046" priority="690" operator="lessThan">
      <formula>-105575</formula>
    </cfRule>
  </conditionalFormatting>
  <conditionalFormatting sqref="BB285:BB288">
    <cfRule type="cellIs" dxfId="21045" priority="687" operator="lessThan">
      <formula>0</formula>
    </cfRule>
    <cfRule type="cellIs" dxfId="21044" priority="688" operator="lessThan">
      <formula>-105575</formula>
    </cfRule>
  </conditionalFormatting>
  <conditionalFormatting sqref="BB285:BB288">
    <cfRule type="cellIs" dxfId="21043" priority="685" operator="lessThan">
      <formula>0</formula>
    </cfRule>
    <cfRule type="cellIs" dxfId="21042" priority="686" operator="lessThan">
      <formula>-105575</formula>
    </cfRule>
  </conditionalFormatting>
  <conditionalFormatting sqref="BB285:BB288">
    <cfRule type="cellIs" dxfId="21041" priority="683" operator="lessThan">
      <formula>0</formula>
    </cfRule>
    <cfRule type="cellIs" dxfId="21040" priority="684" operator="lessThan">
      <formula>-105575</formula>
    </cfRule>
  </conditionalFormatting>
  <conditionalFormatting sqref="BB203 BB220:BB221 BB235:BB243 BB231:BB233 BB212:BB213 BB225:BB226">
    <cfRule type="cellIs" dxfId="21039" priority="681" operator="lessThan">
      <formula>0</formula>
    </cfRule>
    <cfRule type="cellIs" dxfId="21038" priority="682" operator="lessThan">
      <formula>-105575</formula>
    </cfRule>
  </conditionalFormatting>
  <conditionalFormatting sqref="BB220 BB212:BB213 BB235:BB238 BB240:BB243 BB225:BB226 BB231:BB233">
    <cfRule type="cellIs" dxfId="21037" priority="679" operator="lessThan">
      <formula>0</formula>
    </cfRule>
    <cfRule type="cellIs" dxfId="21036" priority="680" operator="lessThan">
      <formula>-105575</formula>
    </cfRule>
  </conditionalFormatting>
  <conditionalFormatting sqref="BB220:BB221 BB243 BB226 BB231:BB236 BB238:BB241 BB203 BB213">
    <cfRule type="cellIs" dxfId="21035" priority="677" operator="lessThan">
      <formula>0</formula>
    </cfRule>
    <cfRule type="cellIs" dxfId="21034" priority="678" operator="lessThan">
      <formula>-105575</formula>
    </cfRule>
  </conditionalFormatting>
  <conditionalFormatting sqref="BB235:BB243 BB231:BB233 BB220 BB212:BB213 BB225:BB226">
    <cfRule type="cellIs" dxfId="21033" priority="675" operator="lessThan">
      <formula>0</formula>
    </cfRule>
    <cfRule type="cellIs" dxfId="21032" priority="676" operator="lessThan">
      <formula>-105575</formula>
    </cfRule>
  </conditionalFormatting>
  <conditionalFormatting sqref="BB220:BB221 BB237:BB243 BB203 BB231:BB235 BB212:BB213 BB225:BB226">
    <cfRule type="cellIs" dxfId="21031" priority="673" operator="lessThan">
      <formula>0</formula>
    </cfRule>
    <cfRule type="cellIs" dxfId="21030" priority="674" operator="lessThan">
      <formula>-105575</formula>
    </cfRule>
  </conditionalFormatting>
  <conditionalFormatting sqref="BB220:BB221 BB237:BB240 BB242:BB243 BB225:BB226 BB231:BB235">
    <cfRule type="cellIs" dxfId="21029" priority="671" operator="lessThan">
      <formula>0</formula>
    </cfRule>
    <cfRule type="cellIs" dxfId="21028" priority="672" operator="lessThan">
      <formula>-105575</formula>
    </cfRule>
  </conditionalFormatting>
  <conditionalFormatting sqref="BB212 BB231 BB233:BB238 BB240:BB243 BB225">
    <cfRule type="cellIs" dxfId="21027" priority="669" operator="lessThan">
      <formula>0</formula>
    </cfRule>
    <cfRule type="cellIs" dxfId="21026" priority="670" operator="lessThan">
      <formula>-105575</formula>
    </cfRule>
  </conditionalFormatting>
  <conditionalFormatting sqref="BB237:BB243 BB231:BB235 BB220:BB221 BB225:BB226">
    <cfRule type="cellIs" dxfId="21025" priority="667" operator="lessThan">
      <formula>0</formula>
    </cfRule>
    <cfRule type="cellIs" dxfId="21024" priority="668" operator="lessThan">
      <formula>-105575</formula>
    </cfRule>
  </conditionalFormatting>
  <conditionalFormatting sqref="BB233:BB237 BB231 BB239:BB243">
    <cfRule type="cellIs" dxfId="21023" priority="665" operator="lessThan">
      <formula>0</formula>
    </cfRule>
    <cfRule type="cellIs" dxfId="21022" priority="666" operator="lessThan">
      <formula>-105575</formula>
    </cfRule>
  </conditionalFormatting>
  <conditionalFormatting sqref="BB233:BB237 BB231 BB239:BB243">
    <cfRule type="cellIs" dxfId="21021" priority="663" operator="lessThan">
      <formula>0</formula>
    </cfRule>
    <cfRule type="cellIs" dxfId="21020" priority="664" operator="lessThan">
      <formula>-105575</formula>
    </cfRule>
  </conditionalFormatting>
  <conditionalFormatting sqref="BB119:BB128 BB106:BB117 BB101:BB104 BB80:BB98">
    <cfRule type="cellIs" dxfId="21019" priority="661" operator="lessThan">
      <formula>0</formula>
    </cfRule>
    <cfRule type="cellIs" dxfId="21018" priority="662" operator="lessThan">
      <formula>-105575</formula>
    </cfRule>
  </conditionalFormatting>
  <conditionalFormatting sqref="BB130 BB132 BB134">
    <cfRule type="cellIs" dxfId="21017" priority="659" operator="lessThan">
      <formula>0</formula>
    </cfRule>
    <cfRule type="cellIs" dxfId="21016" priority="660" operator="lessThan">
      <formula>-105575</formula>
    </cfRule>
  </conditionalFormatting>
  <conditionalFormatting sqref="BB130 BB132 BB134">
    <cfRule type="cellIs" dxfId="21015" priority="657" operator="lessThan">
      <formula>0</formula>
    </cfRule>
    <cfRule type="cellIs" dxfId="21014" priority="658" operator="lessThan">
      <formula>-105575</formula>
    </cfRule>
  </conditionalFormatting>
  <conditionalFormatting sqref="BB129 BB131 BB133 BB135">
    <cfRule type="cellIs" dxfId="21013" priority="655" operator="lessThan">
      <formula>0</formula>
    </cfRule>
    <cfRule type="cellIs" dxfId="21012" priority="656" operator="lessThan">
      <formula>-105575</formula>
    </cfRule>
  </conditionalFormatting>
  <conditionalFormatting sqref="BB140 BB145 BB142:BB143 BB137:BB138">
    <cfRule type="cellIs" dxfId="21011" priority="653" operator="lessThan">
      <formula>0</formula>
    </cfRule>
    <cfRule type="cellIs" dxfId="21010" priority="654" operator="lessThan">
      <formula>-105575</formula>
    </cfRule>
  </conditionalFormatting>
  <conditionalFormatting sqref="BB149">
    <cfRule type="cellIs" dxfId="21009" priority="651" operator="lessThan">
      <formula>0</formula>
    </cfRule>
    <cfRule type="cellIs" dxfId="21008" priority="652" operator="lessThan">
      <formula>-105575</formula>
    </cfRule>
  </conditionalFormatting>
  <conditionalFormatting sqref="BB129:BB138 BB140:BB149">
    <cfRule type="cellIs" dxfId="21007" priority="649" operator="lessThan">
      <formula>0</formula>
    </cfRule>
    <cfRule type="cellIs" dxfId="21006" priority="650" operator="lessThan">
      <formula>-105575</formula>
    </cfRule>
  </conditionalFormatting>
  <conditionalFormatting sqref="BB94:BB98 BB86:BB87 BB89:BB91 BB141:BB149 BB124:BB133 BB107:BB110 BB112:BB117 BB119:BB122 BB135:BB138 BB101:BB104 BB80:BB84">
    <cfRule type="cellIs" dxfId="21005" priority="647" operator="lessThan">
      <formula>0</formula>
    </cfRule>
    <cfRule type="cellIs" dxfId="21004" priority="648" operator="lessThan">
      <formula>-105575</formula>
    </cfRule>
  </conditionalFormatting>
  <conditionalFormatting sqref="BB129 BB131 BB133 BB135">
    <cfRule type="cellIs" dxfId="21003" priority="645" operator="lessThan">
      <formula>0</formula>
    </cfRule>
    <cfRule type="cellIs" dxfId="21002" priority="646" operator="lessThan">
      <formula>-105575</formula>
    </cfRule>
  </conditionalFormatting>
  <conditionalFormatting sqref="BB146 BB144 BB141">
    <cfRule type="cellIs" dxfId="21001" priority="643" operator="lessThan">
      <formula>0</formula>
    </cfRule>
    <cfRule type="cellIs" dxfId="21000" priority="644" operator="lessThan">
      <formula>-105575</formula>
    </cfRule>
  </conditionalFormatting>
  <conditionalFormatting sqref="BB146 BB144 BB141">
    <cfRule type="cellIs" dxfId="20999" priority="641" operator="lessThan">
      <formula>0</formula>
    </cfRule>
    <cfRule type="cellIs" dxfId="20998" priority="642" operator="lessThan">
      <formula>-105575</formula>
    </cfRule>
  </conditionalFormatting>
  <conditionalFormatting sqref="BB140 BB145 BB142:BB143 BB137:BB138">
    <cfRule type="cellIs" dxfId="20997" priority="639" operator="lessThan">
      <formula>0</formula>
    </cfRule>
    <cfRule type="cellIs" dxfId="20996" priority="640" operator="lessThan">
      <formula>-105575</formula>
    </cfRule>
  </conditionalFormatting>
  <conditionalFormatting sqref="BB149">
    <cfRule type="cellIs" dxfId="20995" priority="637" operator="lessThan">
      <formula>0</formula>
    </cfRule>
    <cfRule type="cellIs" dxfId="20994" priority="638" operator="lessThan">
      <formula>-105575</formula>
    </cfRule>
  </conditionalFormatting>
  <conditionalFormatting sqref="BB94:BB98 BB86:BB87 BB89:BB91 BB141:BB149 BB124:BB133 BB107:BB110 BB112:BB117 BB119:BB122 BB135:BB138 BB101:BB104 BB80:BB84">
    <cfRule type="cellIs" dxfId="20993" priority="635" operator="lessThan">
      <formula>0</formula>
    </cfRule>
    <cfRule type="cellIs" dxfId="20992" priority="636" operator="lessThan">
      <formula>-105575</formula>
    </cfRule>
  </conditionalFormatting>
  <conditionalFormatting sqref="BB62:BB76 BB306:BB309 BB311:BB325 BB327:BB330 BB332:BB341 BB344:BB347 BB349:BB353 BB355:BB358 BB360:BB384 BB386:BB389 BB392:BB395 BB397:BB411 BB413:BB416 BB418:BB432 BB434:BB437 BB439:BB453 BB455:BB458 BB460:BB469 BB7:BB10 BB12:BB14 BB17:BB18 BB21:BB24 BB26:BB28 BB30:BB36 BB38 BB41:BB43 BB46:BB49 BB51:BB55 BB57:BB59 BB290:BB291 BB293:BB304">
    <cfRule type="cellIs" dxfId="20991" priority="633" operator="lessThan">
      <formula>0</formula>
    </cfRule>
    <cfRule type="cellIs" dxfId="20990" priority="634" operator="lessThan">
      <formula>-105575</formula>
    </cfRule>
  </conditionalFormatting>
  <conditionalFormatting sqref="BB41">
    <cfRule type="cellIs" dxfId="20989" priority="631" operator="lessThan">
      <formula>0</formula>
    </cfRule>
    <cfRule type="cellIs" dxfId="20988" priority="632" operator="lessThan">
      <formula>-105575</formula>
    </cfRule>
  </conditionalFormatting>
  <conditionalFormatting sqref="BB152:BB155">
    <cfRule type="cellIs" dxfId="20987" priority="629" operator="lessThan">
      <formula>0</formula>
    </cfRule>
    <cfRule type="cellIs" dxfId="20986" priority="630" operator="lessThan">
      <formula>-105575</formula>
    </cfRule>
  </conditionalFormatting>
  <conditionalFormatting sqref="BB152:BB155">
    <cfRule type="cellIs" dxfId="20985" priority="627" operator="lessThan">
      <formula>0</formula>
    </cfRule>
    <cfRule type="cellIs" dxfId="20984" priority="628" operator="lessThan">
      <formula>-105575</formula>
    </cfRule>
  </conditionalFormatting>
  <conditionalFormatting sqref="BB152:BB155">
    <cfRule type="cellIs" dxfId="20983" priority="625" operator="lessThan">
      <formula>0</formula>
    </cfRule>
    <cfRule type="cellIs" dxfId="20982" priority="626" operator="lessThan">
      <formula>-105575</formula>
    </cfRule>
  </conditionalFormatting>
  <conditionalFormatting sqref="BB157:BB158">
    <cfRule type="cellIs" dxfId="20981" priority="623" operator="lessThan">
      <formula>0</formula>
    </cfRule>
    <cfRule type="cellIs" dxfId="20980" priority="624" operator="lessThan">
      <formula>-105575</formula>
    </cfRule>
  </conditionalFormatting>
  <conditionalFormatting sqref="BB157:BB158">
    <cfRule type="cellIs" dxfId="20979" priority="621" operator="lessThan">
      <formula>0</formula>
    </cfRule>
    <cfRule type="cellIs" dxfId="20978" priority="622" operator="lessThan">
      <formula>-105575</formula>
    </cfRule>
  </conditionalFormatting>
  <conditionalFormatting sqref="BB157:BB158">
    <cfRule type="cellIs" dxfId="20977" priority="619" operator="lessThan">
      <formula>0</formula>
    </cfRule>
    <cfRule type="cellIs" dxfId="20976" priority="620" operator="lessThan">
      <formula>-105575</formula>
    </cfRule>
  </conditionalFormatting>
  <conditionalFormatting sqref="BB160:BB161">
    <cfRule type="cellIs" dxfId="20975" priority="617" operator="lessThan">
      <formula>0</formula>
    </cfRule>
    <cfRule type="cellIs" dxfId="20974" priority="618" operator="lessThan">
      <formula>-105575</formula>
    </cfRule>
  </conditionalFormatting>
  <conditionalFormatting sqref="BB160:BB161">
    <cfRule type="cellIs" dxfId="20973" priority="615" operator="lessThan">
      <formula>0</formula>
    </cfRule>
    <cfRule type="cellIs" dxfId="20972" priority="616" operator="lessThan">
      <formula>-105575</formula>
    </cfRule>
  </conditionalFormatting>
  <conditionalFormatting sqref="BB160:BB161">
    <cfRule type="cellIs" dxfId="20971" priority="613" operator="lessThan">
      <formula>0</formula>
    </cfRule>
    <cfRule type="cellIs" dxfId="20970" priority="614" operator="lessThan">
      <formula>-105575</formula>
    </cfRule>
  </conditionalFormatting>
  <conditionalFormatting sqref="BB164:BB167">
    <cfRule type="cellIs" dxfId="20969" priority="611" operator="lessThan">
      <formula>0</formula>
    </cfRule>
    <cfRule type="cellIs" dxfId="20968" priority="612" operator="lessThan">
      <formula>-105575</formula>
    </cfRule>
  </conditionalFormatting>
  <conditionalFormatting sqref="BB164:BB167">
    <cfRule type="cellIs" dxfId="20967" priority="609" operator="lessThan">
      <formula>0</formula>
    </cfRule>
    <cfRule type="cellIs" dxfId="20966" priority="610" operator="lessThan">
      <formula>-105575</formula>
    </cfRule>
  </conditionalFormatting>
  <conditionalFormatting sqref="BB164:BB167">
    <cfRule type="cellIs" dxfId="20965" priority="607" operator="lessThan">
      <formula>0</formula>
    </cfRule>
    <cfRule type="cellIs" dxfId="20964" priority="608" operator="lessThan">
      <formula>-105575</formula>
    </cfRule>
  </conditionalFormatting>
  <conditionalFormatting sqref="BB169:BB177">
    <cfRule type="cellIs" dxfId="20963" priority="605" operator="lessThan">
      <formula>0</formula>
    </cfRule>
    <cfRule type="cellIs" dxfId="20962" priority="606" operator="lessThan">
      <formula>-105575</formula>
    </cfRule>
  </conditionalFormatting>
  <conditionalFormatting sqref="BB169:BB177">
    <cfRule type="cellIs" dxfId="20961" priority="603" operator="lessThan">
      <formula>0</formula>
    </cfRule>
    <cfRule type="cellIs" dxfId="20960" priority="604" operator="lessThan">
      <formula>-105575</formula>
    </cfRule>
  </conditionalFormatting>
  <conditionalFormatting sqref="BB169:BB177">
    <cfRule type="cellIs" dxfId="20959" priority="601" operator="lessThan">
      <formula>0</formula>
    </cfRule>
    <cfRule type="cellIs" dxfId="20958" priority="602" operator="lessThan">
      <formula>-105575</formula>
    </cfRule>
  </conditionalFormatting>
  <conditionalFormatting sqref="BB179:BB180">
    <cfRule type="cellIs" dxfId="20957" priority="599" operator="lessThan">
      <formula>0</formula>
    </cfRule>
    <cfRule type="cellIs" dxfId="20956" priority="600" operator="lessThan">
      <formula>-105575</formula>
    </cfRule>
  </conditionalFormatting>
  <conditionalFormatting sqref="BB179:BB180">
    <cfRule type="cellIs" dxfId="20955" priority="597" operator="lessThan">
      <formula>0</formula>
    </cfRule>
    <cfRule type="cellIs" dxfId="20954" priority="598" operator="lessThan">
      <formula>-105575</formula>
    </cfRule>
  </conditionalFormatting>
  <conditionalFormatting sqref="BB179:BB180">
    <cfRule type="cellIs" dxfId="20953" priority="595" operator="lessThan">
      <formula>0</formula>
    </cfRule>
    <cfRule type="cellIs" dxfId="20952" priority="596" operator="lessThan">
      <formula>-105575</formula>
    </cfRule>
  </conditionalFormatting>
  <conditionalFormatting sqref="BB183:BB189">
    <cfRule type="cellIs" dxfId="20951" priority="593" operator="lessThan">
      <formula>0</formula>
    </cfRule>
    <cfRule type="cellIs" dxfId="20950" priority="594" operator="lessThan">
      <formula>-105575</formula>
    </cfRule>
  </conditionalFormatting>
  <conditionalFormatting sqref="BB183:BB189">
    <cfRule type="cellIs" dxfId="20949" priority="591" operator="lessThan">
      <formula>0</formula>
    </cfRule>
    <cfRule type="cellIs" dxfId="20948" priority="592" operator="lessThan">
      <formula>-105575</formula>
    </cfRule>
  </conditionalFormatting>
  <conditionalFormatting sqref="BB183:BB189">
    <cfRule type="cellIs" dxfId="20947" priority="589" operator="lessThan">
      <formula>0</formula>
    </cfRule>
    <cfRule type="cellIs" dxfId="20946" priority="590" operator="lessThan">
      <formula>-105575</formula>
    </cfRule>
  </conditionalFormatting>
  <conditionalFormatting sqref="BB191:BB192">
    <cfRule type="cellIs" dxfId="20945" priority="587" operator="lessThan">
      <formula>0</formula>
    </cfRule>
    <cfRule type="cellIs" dxfId="20944" priority="588" operator="lessThan">
      <formula>-105575</formula>
    </cfRule>
  </conditionalFormatting>
  <conditionalFormatting sqref="BB191:BB192">
    <cfRule type="cellIs" dxfId="20943" priority="585" operator="lessThan">
      <formula>0</formula>
    </cfRule>
    <cfRule type="cellIs" dxfId="20942" priority="586" operator="lessThan">
      <formula>-105575</formula>
    </cfRule>
  </conditionalFormatting>
  <conditionalFormatting sqref="BB191:BB192">
    <cfRule type="cellIs" dxfId="20941" priority="583" operator="lessThan">
      <formula>0</formula>
    </cfRule>
    <cfRule type="cellIs" dxfId="20940" priority="584" operator="lessThan">
      <formula>-105575</formula>
    </cfRule>
  </conditionalFormatting>
  <conditionalFormatting sqref="BB194:BB195">
    <cfRule type="cellIs" dxfId="20939" priority="581" operator="lessThan">
      <formula>0</formula>
    </cfRule>
    <cfRule type="cellIs" dxfId="20938" priority="582" operator="lessThan">
      <formula>-105575</formula>
    </cfRule>
  </conditionalFormatting>
  <conditionalFormatting sqref="BB194:BB195">
    <cfRule type="cellIs" dxfId="20937" priority="579" operator="lessThan">
      <formula>0</formula>
    </cfRule>
    <cfRule type="cellIs" dxfId="20936" priority="580" operator="lessThan">
      <formula>-105575</formula>
    </cfRule>
  </conditionalFormatting>
  <conditionalFormatting sqref="BB194:BB195">
    <cfRule type="cellIs" dxfId="20935" priority="577" operator="lessThan">
      <formula>0</formula>
    </cfRule>
    <cfRule type="cellIs" dxfId="20934" priority="578" operator="lessThan">
      <formula>-105575</formula>
    </cfRule>
  </conditionalFormatting>
  <conditionalFormatting sqref="BB199:BB202">
    <cfRule type="cellIs" dxfId="20933" priority="575" operator="lessThan">
      <formula>0</formula>
    </cfRule>
    <cfRule type="cellIs" dxfId="20932" priority="576" operator="lessThan">
      <formula>-105575</formula>
    </cfRule>
  </conditionalFormatting>
  <conditionalFormatting sqref="BB199:BB202">
    <cfRule type="cellIs" dxfId="20931" priority="573" operator="lessThan">
      <formula>0</formula>
    </cfRule>
    <cfRule type="cellIs" dxfId="20930" priority="574" operator="lessThan">
      <formula>-105575</formula>
    </cfRule>
  </conditionalFormatting>
  <conditionalFormatting sqref="BB199:BB202">
    <cfRule type="cellIs" dxfId="20929" priority="571" operator="lessThan">
      <formula>0</formula>
    </cfRule>
    <cfRule type="cellIs" dxfId="20928" priority="572" operator="lessThan">
      <formula>-105575</formula>
    </cfRule>
  </conditionalFormatting>
  <conditionalFormatting sqref="BB204:BB208">
    <cfRule type="cellIs" dxfId="20927" priority="569" operator="lessThan">
      <formula>0</formula>
    </cfRule>
    <cfRule type="cellIs" dxfId="20926" priority="570" operator="lessThan">
      <formula>-105575</formula>
    </cfRule>
  </conditionalFormatting>
  <conditionalFormatting sqref="BB204:BB208">
    <cfRule type="cellIs" dxfId="20925" priority="567" operator="lessThan">
      <formula>0</formula>
    </cfRule>
    <cfRule type="cellIs" dxfId="20924" priority="568" operator="lessThan">
      <formula>-105575</formula>
    </cfRule>
  </conditionalFormatting>
  <conditionalFormatting sqref="BB204:BB208">
    <cfRule type="cellIs" dxfId="20923" priority="565" operator="lessThan">
      <formula>0</formula>
    </cfRule>
    <cfRule type="cellIs" dxfId="20922" priority="566" operator="lessThan">
      <formula>-105575</formula>
    </cfRule>
  </conditionalFormatting>
  <conditionalFormatting sqref="BB210:BB211">
    <cfRule type="cellIs" dxfId="20921" priority="563" operator="lessThan">
      <formula>0</formula>
    </cfRule>
    <cfRule type="cellIs" dxfId="20920" priority="564" operator="lessThan">
      <formula>-105575</formula>
    </cfRule>
  </conditionalFormatting>
  <conditionalFormatting sqref="BB210:BB211">
    <cfRule type="cellIs" dxfId="20919" priority="561" operator="lessThan">
      <formula>0</formula>
    </cfRule>
    <cfRule type="cellIs" dxfId="20918" priority="562" operator="lessThan">
      <formula>-105575</formula>
    </cfRule>
  </conditionalFormatting>
  <conditionalFormatting sqref="BB210:BB211">
    <cfRule type="cellIs" dxfId="20917" priority="559" operator="lessThan">
      <formula>0</formula>
    </cfRule>
    <cfRule type="cellIs" dxfId="20916" priority="560" operator="lessThan">
      <formula>-105575</formula>
    </cfRule>
  </conditionalFormatting>
  <conditionalFormatting sqref="BB214:BB219">
    <cfRule type="cellIs" dxfId="20915" priority="557" operator="lessThan">
      <formula>0</formula>
    </cfRule>
    <cfRule type="cellIs" dxfId="20914" priority="558" operator="lessThan">
      <formula>-105575</formula>
    </cfRule>
  </conditionalFormatting>
  <conditionalFormatting sqref="BB214:BB219">
    <cfRule type="cellIs" dxfId="20913" priority="555" operator="lessThan">
      <formula>0</formula>
    </cfRule>
    <cfRule type="cellIs" dxfId="20912" priority="556" operator="lessThan">
      <formula>-105575</formula>
    </cfRule>
  </conditionalFormatting>
  <conditionalFormatting sqref="BB214:BB219">
    <cfRule type="cellIs" dxfId="20911" priority="553" operator="lessThan">
      <formula>0</formula>
    </cfRule>
    <cfRule type="cellIs" dxfId="20910" priority="554" operator="lessThan">
      <formula>-105575</formula>
    </cfRule>
  </conditionalFormatting>
  <conditionalFormatting sqref="BB222:BB224">
    <cfRule type="cellIs" dxfId="20909" priority="551" operator="lessThan">
      <formula>0</formula>
    </cfRule>
    <cfRule type="cellIs" dxfId="20908" priority="552" operator="lessThan">
      <formula>-105575</formula>
    </cfRule>
  </conditionalFormatting>
  <conditionalFormatting sqref="BB222:BB224">
    <cfRule type="cellIs" dxfId="20907" priority="549" operator="lessThan">
      <formula>0</formula>
    </cfRule>
    <cfRule type="cellIs" dxfId="20906" priority="550" operator="lessThan">
      <formula>-105575</formula>
    </cfRule>
  </conditionalFormatting>
  <conditionalFormatting sqref="BB222:BB224">
    <cfRule type="cellIs" dxfId="20905" priority="547" operator="lessThan">
      <formula>0</formula>
    </cfRule>
    <cfRule type="cellIs" dxfId="20904" priority="548" operator="lessThan">
      <formula>-105575</formula>
    </cfRule>
  </conditionalFormatting>
  <conditionalFormatting sqref="BB227:BB230">
    <cfRule type="cellIs" dxfId="20903" priority="545" operator="lessThan">
      <formula>0</formula>
    </cfRule>
    <cfRule type="cellIs" dxfId="20902" priority="546" operator="lessThan">
      <formula>-105575</formula>
    </cfRule>
  </conditionalFormatting>
  <conditionalFormatting sqref="BB227:BB230">
    <cfRule type="cellIs" dxfId="20901" priority="543" operator="lessThan">
      <formula>0</formula>
    </cfRule>
    <cfRule type="cellIs" dxfId="20900" priority="544" operator="lessThan">
      <formula>-105575</formula>
    </cfRule>
  </conditionalFormatting>
  <conditionalFormatting sqref="BB227:BB230">
    <cfRule type="cellIs" dxfId="20899" priority="541" operator="lessThan">
      <formula>0</formula>
    </cfRule>
    <cfRule type="cellIs" dxfId="20898" priority="542" operator="lessThan">
      <formula>-105575</formula>
    </cfRule>
  </conditionalFormatting>
  <conditionalFormatting sqref="BB246:BB249">
    <cfRule type="cellIs" dxfId="20897" priority="539" operator="lessThan">
      <formula>0</formula>
    </cfRule>
    <cfRule type="cellIs" dxfId="20896" priority="540" operator="lessThan">
      <formula>-105575</formula>
    </cfRule>
  </conditionalFormatting>
  <conditionalFormatting sqref="BB246:BB249">
    <cfRule type="cellIs" dxfId="20895" priority="537" operator="lessThan">
      <formula>0</formula>
    </cfRule>
    <cfRule type="cellIs" dxfId="20894" priority="538" operator="lessThan">
      <formula>-105575</formula>
    </cfRule>
  </conditionalFormatting>
  <conditionalFormatting sqref="BB246:BB249">
    <cfRule type="cellIs" dxfId="20893" priority="535" operator="lessThan">
      <formula>0</formula>
    </cfRule>
    <cfRule type="cellIs" dxfId="20892" priority="536" operator="lessThan">
      <formula>-105575</formula>
    </cfRule>
  </conditionalFormatting>
  <conditionalFormatting sqref="BB246:BB249">
    <cfRule type="cellIs" dxfId="20891" priority="533" operator="lessThan">
      <formula>0</formula>
    </cfRule>
    <cfRule type="cellIs" dxfId="20890" priority="534" operator="lessThan">
      <formula>-105575</formula>
    </cfRule>
  </conditionalFormatting>
  <conditionalFormatting sqref="BB246:BB249">
    <cfRule type="cellIs" dxfId="20889" priority="531" operator="lessThan">
      <formula>0</formula>
    </cfRule>
    <cfRule type="cellIs" dxfId="20888" priority="532" operator="lessThan">
      <formula>-105575</formula>
    </cfRule>
  </conditionalFormatting>
  <conditionalFormatting sqref="BB246:BB249">
    <cfRule type="cellIs" dxfId="20887" priority="529" operator="lessThan">
      <formula>0</formula>
    </cfRule>
    <cfRule type="cellIs" dxfId="20886" priority="530" operator="lessThan">
      <formula>-105575</formula>
    </cfRule>
  </conditionalFormatting>
  <conditionalFormatting sqref="BB246:BB249">
    <cfRule type="cellIs" dxfId="20885" priority="527" operator="lessThan">
      <formula>0</formula>
    </cfRule>
    <cfRule type="cellIs" dxfId="20884" priority="528" operator="lessThan">
      <formula>-105575</formula>
    </cfRule>
  </conditionalFormatting>
  <conditionalFormatting sqref="BB246:BB249">
    <cfRule type="cellIs" dxfId="20883" priority="525" operator="lessThan">
      <formula>0</formula>
    </cfRule>
    <cfRule type="cellIs" dxfId="20882" priority="526" operator="lessThan">
      <formula>-105575</formula>
    </cfRule>
  </conditionalFormatting>
  <conditionalFormatting sqref="BB246:BB249">
    <cfRule type="cellIs" dxfId="20881" priority="523" operator="lessThan">
      <formula>0</formula>
    </cfRule>
    <cfRule type="cellIs" dxfId="20880" priority="524" operator="lessThan">
      <formula>-105575</formula>
    </cfRule>
  </conditionalFormatting>
  <conditionalFormatting sqref="BB251:BB253">
    <cfRule type="cellIs" dxfId="20879" priority="521" operator="lessThan">
      <formula>0</formula>
    </cfRule>
    <cfRule type="cellIs" dxfId="20878" priority="522" operator="lessThan">
      <formula>-105575</formula>
    </cfRule>
  </conditionalFormatting>
  <conditionalFormatting sqref="BB251:BB253">
    <cfRule type="cellIs" dxfId="20877" priority="519" operator="lessThan">
      <formula>0</formula>
    </cfRule>
    <cfRule type="cellIs" dxfId="20876" priority="520" operator="lessThan">
      <formula>-105575</formula>
    </cfRule>
  </conditionalFormatting>
  <conditionalFormatting sqref="BB251:BB253">
    <cfRule type="cellIs" dxfId="20875" priority="517" operator="lessThan">
      <formula>0</formula>
    </cfRule>
    <cfRule type="cellIs" dxfId="20874" priority="518" operator="lessThan">
      <formula>-105575</formula>
    </cfRule>
  </conditionalFormatting>
  <conditionalFormatting sqref="BB251:BB253">
    <cfRule type="cellIs" dxfId="20873" priority="515" operator="lessThan">
      <formula>0</formula>
    </cfRule>
    <cfRule type="cellIs" dxfId="20872" priority="516" operator="lessThan">
      <formula>-105575</formula>
    </cfRule>
  </conditionalFormatting>
  <conditionalFormatting sqref="BB251:BB253">
    <cfRule type="cellIs" dxfId="20871" priority="513" operator="lessThan">
      <formula>0</formula>
    </cfRule>
    <cfRule type="cellIs" dxfId="20870" priority="514" operator="lessThan">
      <formula>-105575</formula>
    </cfRule>
  </conditionalFormatting>
  <conditionalFormatting sqref="BB251:BB253">
    <cfRule type="cellIs" dxfId="20869" priority="511" operator="lessThan">
      <formula>0</formula>
    </cfRule>
    <cfRule type="cellIs" dxfId="20868" priority="512" operator="lessThan">
      <formula>-105575</formula>
    </cfRule>
  </conditionalFormatting>
  <conditionalFormatting sqref="BB251:BB253">
    <cfRule type="cellIs" dxfId="20867" priority="509" operator="lessThan">
      <formula>0</formula>
    </cfRule>
    <cfRule type="cellIs" dxfId="20866" priority="510" operator="lessThan">
      <formula>-105575</formula>
    </cfRule>
  </conditionalFormatting>
  <conditionalFormatting sqref="BB251:BB253">
    <cfRule type="cellIs" dxfId="20865" priority="507" operator="lessThan">
      <formula>0</formula>
    </cfRule>
    <cfRule type="cellIs" dxfId="20864" priority="508" operator="lessThan">
      <formula>-105575</formula>
    </cfRule>
  </conditionalFormatting>
  <conditionalFormatting sqref="BB251:BB253">
    <cfRule type="cellIs" dxfId="20863" priority="505" operator="lessThan">
      <formula>0</formula>
    </cfRule>
    <cfRule type="cellIs" dxfId="20862" priority="506" operator="lessThan">
      <formula>-105575</formula>
    </cfRule>
  </conditionalFormatting>
  <conditionalFormatting sqref="BB255:BB257">
    <cfRule type="cellIs" dxfId="20861" priority="503" operator="lessThan">
      <formula>0</formula>
    </cfRule>
    <cfRule type="cellIs" dxfId="20860" priority="504" operator="lessThan">
      <formula>-105575</formula>
    </cfRule>
  </conditionalFormatting>
  <conditionalFormatting sqref="BB255:BB257">
    <cfRule type="cellIs" dxfId="20859" priority="501" operator="lessThan">
      <formula>0</formula>
    </cfRule>
    <cfRule type="cellIs" dxfId="20858" priority="502" operator="lessThan">
      <formula>-105575</formula>
    </cfRule>
  </conditionalFormatting>
  <conditionalFormatting sqref="BB255:BB257">
    <cfRule type="cellIs" dxfId="20857" priority="499" operator="lessThan">
      <formula>0</formula>
    </cfRule>
    <cfRule type="cellIs" dxfId="20856" priority="500" operator="lessThan">
      <formula>-105575</formula>
    </cfRule>
  </conditionalFormatting>
  <conditionalFormatting sqref="BB255:BB257">
    <cfRule type="cellIs" dxfId="20855" priority="497" operator="lessThan">
      <formula>0</formula>
    </cfRule>
    <cfRule type="cellIs" dxfId="20854" priority="498" operator="lessThan">
      <formula>-105575</formula>
    </cfRule>
  </conditionalFormatting>
  <conditionalFormatting sqref="BB255:BB257">
    <cfRule type="cellIs" dxfId="20853" priority="495" operator="lessThan">
      <formula>0</formula>
    </cfRule>
    <cfRule type="cellIs" dxfId="20852" priority="496" operator="lessThan">
      <formula>-105575</formula>
    </cfRule>
  </conditionalFormatting>
  <conditionalFormatting sqref="BB255:BB257">
    <cfRule type="cellIs" dxfId="20851" priority="493" operator="lessThan">
      <formula>0</formula>
    </cfRule>
    <cfRule type="cellIs" dxfId="20850" priority="494" operator="lessThan">
      <formula>-105575</formula>
    </cfRule>
  </conditionalFormatting>
  <conditionalFormatting sqref="BB255:BB257">
    <cfRule type="cellIs" dxfId="20849" priority="491" operator="lessThan">
      <formula>0</formula>
    </cfRule>
    <cfRule type="cellIs" dxfId="20848" priority="492" operator="lessThan">
      <formula>-105575</formula>
    </cfRule>
  </conditionalFormatting>
  <conditionalFormatting sqref="BB255:BB257">
    <cfRule type="cellIs" dxfId="20847" priority="489" operator="lessThan">
      <formula>0</formula>
    </cfRule>
    <cfRule type="cellIs" dxfId="20846" priority="490" operator="lessThan">
      <formula>-105575</formula>
    </cfRule>
  </conditionalFormatting>
  <conditionalFormatting sqref="BB255:BB257">
    <cfRule type="cellIs" dxfId="20845" priority="487" operator="lessThan">
      <formula>0</formula>
    </cfRule>
    <cfRule type="cellIs" dxfId="20844" priority="488" operator="lessThan">
      <formula>-105575</formula>
    </cfRule>
  </conditionalFormatting>
  <conditionalFormatting sqref="BB260:BB262">
    <cfRule type="cellIs" dxfId="20843" priority="485" operator="lessThan">
      <formula>0</formula>
    </cfRule>
    <cfRule type="cellIs" dxfId="20842" priority="486" operator="lessThan">
      <formula>-105575</formula>
    </cfRule>
  </conditionalFormatting>
  <conditionalFormatting sqref="BB260:BB262">
    <cfRule type="cellIs" dxfId="20841" priority="483" operator="lessThan">
      <formula>0</formula>
    </cfRule>
    <cfRule type="cellIs" dxfId="20840" priority="484" operator="lessThan">
      <formula>-105575</formula>
    </cfRule>
  </conditionalFormatting>
  <conditionalFormatting sqref="BB260:BB262">
    <cfRule type="cellIs" dxfId="20839" priority="481" operator="lessThan">
      <formula>0</formula>
    </cfRule>
    <cfRule type="cellIs" dxfId="20838" priority="482" operator="lessThan">
      <formula>-105575</formula>
    </cfRule>
  </conditionalFormatting>
  <conditionalFormatting sqref="BB260:BB262">
    <cfRule type="cellIs" dxfId="20837" priority="479" operator="lessThan">
      <formula>0</formula>
    </cfRule>
    <cfRule type="cellIs" dxfId="20836" priority="480" operator="lessThan">
      <formula>-105575</formula>
    </cfRule>
  </conditionalFormatting>
  <conditionalFormatting sqref="BB260:BB262">
    <cfRule type="cellIs" dxfId="20835" priority="477" operator="lessThan">
      <formula>0</formula>
    </cfRule>
    <cfRule type="cellIs" dxfId="20834" priority="478" operator="lessThan">
      <formula>-105575</formula>
    </cfRule>
  </conditionalFormatting>
  <conditionalFormatting sqref="BB260:BB262">
    <cfRule type="cellIs" dxfId="20833" priority="475" operator="lessThan">
      <formula>0</formula>
    </cfRule>
    <cfRule type="cellIs" dxfId="20832" priority="476" operator="lessThan">
      <formula>-105575</formula>
    </cfRule>
  </conditionalFormatting>
  <conditionalFormatting sqref="BB260:BB262">
    <cfRule type="cellIs" dxfId="20831" priority="473" operator="lessThan">
      <formula>0</formula>
    </cfRule>
    <cfRule type="cellIs" dxfId="20830" priority="474" operator="lessThan">
      <formula>-105575</formula>
    </cfRule>
  </conditionalFormatting>
  <conditionalFormatting sqref="BB260:BB262">
    <cfRule type="cellIs" dxfId="20829" priority="471" operator="lessThan">
      <formula>0</formula>
    </cfRule>
    <cfRule type="cellIs" dxfId="20828" priority="472" operator="lessThan">
      <formula>-105575</formula>
    </cfRule>
  </conditionalFormatting>
  <conditionalFormatting sqref="BB260:BB262">
    <cfRule type="cellIs" dxfId="20827" priority="469" operator="lessThan">
      <formula>0</formula>
    </cfRule>
    <cfRule type="cellIs" dxfId="20826" priority="470" operator="lessThan">
      <formula>-105575</formula>
    </cfRule>
  </conditionalFormatting>
  <conditionalFormatting sqref="BB264:BB267">
    <cfRule type="cellIs" dxfId="20825" priority="467" operator="lessThan">
      <formula>0</formula>
    </cfRule>
    <cfRule type="cellIs" dxfId="20824" priority="468" operator="lessThan">
      <formula>-105575</formula>
    </cfRule>
  </conditionalFormatting>
  <conditionalFormatting sqref="BB264:BB267">
    <cfRule type="cellIs" dxfId="20823" priority="465" operator="lessThan">
      <formula>0</formula>
    </cfRule>
    <cfRule type="cellIs" dxfId="20822" priority="466" operator="lessThan">
      <formula>-105575</formula>
    </cfRule>
  </conditionalFormatting>
  <conditionalFormatting sqref="BB264:BB267">
    <cfRule type="cellIs" dxfId="20821" priority="463" operator="lessThan">
      <formula>0</formula>
    </cfRule>
    <cfRule type="cellIs" dxfId="20820" priority="464" operator="lessThan">
      <formula>-105575</formula>
    </cfRule>
  </conditionalFormatting>
  <conditionalFormatting sqref="BB264:BB267">
    <cfRule type="cellIs" dxfId="20819" priority="461" operator="lessThan">
      <formula>0</formula>
    </cfRule>
    <cfRule type="cellIs" dxfId="20818" priority="462" operator="lessThan">
      <formula>-105575</formula>
    </cfRule>
  </conditionalFormatting>
  <conditionalFormatting sqref="BB264:BB267">
    <cfRule type="cellIs" dxfId="20817" priority="459" operator="lessThan">
      <formula>0</formula>
    </cfRule>
    <cfRule type="cellIs" dxfId="20816" priority="460" operator="lessThan">
      <formula>-105575</formula>
    </cfRule>
  </conditionalFormatting>
  <conditionalFormatting sqref="BB264:BB267">
    <cfRule type="cellIs" dxfId="20815" priority="457" operator="lessThan">
      <formula>0</formula>
    </cfRule>
    <cfRule type="cellIs" dxfId="20814" priority="458" operator="lessThan">
      <formula>-105575</formula>
    </cfRule>
  </conditionalFormatting>
  <conditionalFormatting sqref="BB264:BB267">
    <cfRule type="cellIs" dxfId="20813" priority="455" operator="lessThan">
      <formula>0</formula>
    </cfRule>
    <cfRule type="cellIs" dxfId="20812" priority="456" operator="lessThan">
      <formula>-105575</formula>
    </cfRule>
  </conditionalFormatting>
  <conditionalFormatting sqref="BB264:BB267">
    <cfRule type="cellIs" dxfId="20811" priority="453" operator="lessThan">
      <formula>0</formula>
    </cfRule>
    <cfRule type="cellIs" dxfId="20810" priority="454" operator="lessThan">
      <formula>-105575</formula>
    </cfRule>
  </conditionalFormatting>
  <conditionalFormatting sqref="BB264:BB267">
    <cfRule type="cellIs" dxfId="20809" priority="451" operator="lessThan">
      <formula>0</formula>
    </cfRule>
    <cfRule type="cellIs" dxfId="20808" priority="452" operator="lessThan">
      <formula>-105575</formula>
    </cfRule>
  </conditionalFormatting>
  <conditionalFormatting sqref="BB270:BB272">
    <cfRule type="cellIs" dxfId="20807" priority="449" operator="lessThan">
      <formula>0</formula>
    </cfRule>
    <cfRule type="cellIs" dxfId="20806" priority="450" operator="lessThan">
      <formula>-105575</formula>
    </cfRule>
  </conditionalFormatting>
  <conditionalFormatting sqref="BB270:BB272">
    <cfRule type="cellIs" dxfId="20805" priority="447" operator="lessThan">
      <formula>0</formula>
    </cfRule>
    <cfRule type="cellIs" dxfId="20804" priority="448" operator="lessThan">
      <formula>-105575</formula>
    </cfRule>
  </conditionalFormatting>
  <conditionalFormatting sqref="BB270:BB272">
    <cfRule type="cellIs" dxfId="20803" priority="445" operator="lessThan">
      <formula>0</formula>
    </cfRule>
    <cfRule type="cellIs" dxfId="20802" priority="446" operator="lessThan">
      <formula>-105575</formula>
    </cfRule>
  </conditionalFormatting>
  <conditionalFormatting sqref="BB270:BB272">
    <cfRule type="cellIs" dxfId="20801" priority="443" operator="lessThan">
      <formula>0</formula>
    </cfRule>
    <cfRule type="cellIs" dxfId="20800" priority="444" operator="lessThan">
      <formula>-105575</formula>
    </cfRule>
  </conditionalFormatting>
  <conditionalFormatting sqref="BB270:BB272">
    <cfRule type="cellIs" dxfId="20799" priority="441" operator="lessThan">
      <formula>0</formula>
    </cfRule>
    <cfRule type="cellIs" dxfId="20798" priority="442" operator="lessThan">
      <formula>-105575</formula>
    </cfRule>
  </conditionalFormatting>
  <conditionalFormatting sqref="BB270:BB272">
    <cfRule type="cellIs" dxfId="20797" priority="439" operator="lessThan">
      <formula>0</formula>
    </cfRule>
    <cfRule type="cellIs" dxfId="20796" priority="440" operator="lessThan">
      <formula>-105575</formula>
    </cfRule>
  </conditionalFormatting>
  <conditionalFormatting sqref="BB270:BB272">
    <cfRule type="cellIs" dxfId="20795" priority="437" operator="lessThan">
      <formula>0</formula>
    </cfRule>
    <cfRule type="cellIs" dxfId="20794" priority="438" operator="lessThan">
      <formula>-105575</formula>
    </cfRule>
  </conditionalFormatting>
  <conditionalFormatting sqref="BB270:BB272">
    <cfRule type="cellIs" dxfId="20793" priority="435" operator="lessThan">
      <formula>0</formula>
    </cfRule>
    <cfRule type="cellIs" dxfId="20792" priority="436" operator="lessThan">
      <formula>-105575</formula>
    </cfRule>
  </conditionalFormatting>
  <conditionalFormatting sqref="BB270:BB272">
    <cfRule type="cellIs" dxfId="20791" priority="433" operator="lessThan">
      <formula>0</formula>
    </cfRule>
    <cfRule type="cellIs" dxfId="20790" priority="434" operator="lessThan">
      <formula>-105575</formula>
    </cfRule>
  </conditionalFormatting>
  <conditionalFormatting sqref="BB274:BB275">
    <cfRule type="cellIs" dxfId="20789" priority="431" operator="lessThan">
      <formula>0</formula>
    </cfRule>
    <cfRule type="cellIs" dxfId="20788" priority="432" operator="lessThan">
      <formula>-105575</formula>
    </cfRule>
  </conditionalFormatting>
  <conditionalFormatting sqref="BB274:BB275">
    <cfRule type="cellIs" dxfId="20787" priority="429" operator="lessThan">
      <formula>0</formula>
    </cfRule>
    <cfRule type="cellIs" dxfId="20786" priority="430" operator="lessThan">
      <formula>-105575</formula>
    </cfRule>
  </conditionalFormatting>
  <conditionalFormatting sqref="BB274:BB275">
    <cfRule type="cellIs" dxfId="20785" priority="427" operator="lessThan">
      <formula>0</formula>
    </cfRule>
    <cfRule type="cellIs" dxfId="20784" priority="428" operator="lessThan">
      <formula>-105575</formula>
    </cfRule>
  </conditionalFormatting>
  <conditionalFormatting sqref="BB274:BB275">
    <cfRule type="cellIs" dxfId="20783" priority="425" operator="lessThan">
      <formula>0</formula>
    </cfRule>
    <cfRule type="cellIs" dxfId="20782" priority="426" operator="lessThan">
      <formula>-105575</formula>
    </cfRule>
  </conditionalFormatting>
  <conditionalFormatting sqref="BB274:BB275">
    <cfRule type="cellIs" dxfId="20781" priority="423" operator="lessThan">
      <formula>0</formula>
    </cfRule>
    <cfRule type="cellIs" dxfId="20780" priority="424" operator="lessThan">
      <formula>-105575</formula>
    </cfRule>
  </conditionalFormatting>
  <conditionalFormatting sqref="BB274:BB275">
    <cfRule type="cellIs" dxfId="20779" priority="421" operator="lessThan">
      <formula>0</formula>
    </cfRule>
    <cfRule type="cellIs" dxfId="20778" priority="422" operator="lessThan">
      <formula>-105575</formula>
    </cfRule>
  </conditionalFormatting>
  <conditionalFormatting sqref="BB274:BB275">
    <cfRule type="cellIs" dxfId="20777" priority="419" operator="lessThan">
      <formula>0</formula>
    </cfRule>
    <cfRule type="cellIs" dxfId="20776" priority="420" operator="lessThan">
      <formula>-105575</formula>
    </cfRule>
  </conditionalFormatting>
  <conditionalFormatting sqref="BB274:BB275">
    <cfRule type="cellIs" dxfId="20775" priority="417" operator="lessThan">
      <formula>0</formula>
    </cfRule>
    <cfRule type="cellIs" dxfId="20774" priority="418" operator="lessThan">
      <formula>-105575</formula>
    </cfRule>
  </conditionalFormatting>
  <conditionalFormatting sqref="BB274:BB275">
    <cfRule type="cellIs" dxfId="20773" priority="415" operator="lessThan">
      <formula>0</formula>
    </cfRule>
    <cfRule type="cellIs" dxfId="20772" priority="416" operator="lessThan">
      <formula>-105575</formula>
    </cfRule>
  </conditionalFormatting>
  <conditionalFormatting sqref="BB278:BB282">
    <cfRule type="cellIs" dxfId="20771" priority="413" operator="lessThan">
      <formula>0</formula>
    </cfRule>
    <cfRule type="cellIs" dxfId="20770" priority="414" operator="lessThan">
      <formula>-105575</formula>
    </cfRule>
  </conditionalFormatting>
  <conditionalFormatting sqref="BB278:BB282">
    <cfRule type="cellIs" dxfId="20769" priority="411" operator="lessThan">
      <formula>0</formula>
    </cfRule>
    <cfRule type="cellIs" dxfId="20768" priority="412" operator="lessThan">
      <formula>-105575</formula>
    </cfRule>
  </conditionalFormatting>
  <conditionalFormatting sqref="BB278:BB282">
    <cfRule type="cellIs" dxfId="20767" priority="409" operator="lessThan">
      <formula>0</formula>
    </cfRule>
    <cfRule type="cellIs" dxfId="20766" priority="410" operator="lessThan">
      <formula>-105575</formula>
    </cfRule>
  </conditionalFormatting>
  <conditionalFormatting sqref="BB278:BB282">
    <cfRule type="cellIs" dxfId="20765" priority="407" operator="lessThan">
      <formula>0</formula>
    </cfRule>
    <cfRule type="cellIs" dxfId="20764" priority="408" operator="lessThan">
      <formula>-105575</formula>
    </cfRule>
  </conditionalFormatting>
  <conditionalFormatting sqref="BB278:BB282">
    <cfRule type="cellIs" dxfId="20763" priority="405" operator="lessThan">
      <formula>0</formula>
    </cfRule>
    <cfRule type="cellIs" dxfId="20762" priority="406" operator="lessThan">
      <formula>-105575</formula>
    </cfRule>
  </conditionalFormatting>
  <conditionalFormatting sqref="BB278:BB282">
    <cfRule type="cellIs" dxfId="20761" priority="403" operator="lessThan">
      <formula>0</formula>
    </cfRule>
    <cfRule type="cellIs" dxfId="20760" priority="404" operator="lessThan">
      <formula>-105575</formula>
    </cfRule>
  </conditionalFormatting>
  <conditionalFormatting sqref="BB278:BB282">
    <cfRule type="cellIs" dxfId="20759" priority="401" operator="lessThan">
      <formula>0</formula>
    </cfRule>
    <cfRule type="cellIs" dxfId="20758" priority="402" operator="lessThan">
      <formula>-105575</formula>
    </cfRule>
  </conditionalFormatting>
  <conditionalFormatting sqref="BB278:BB282">
    <cfRule type="cellIs" dxfId="20757" priority="399" operator="lessThan">
      <formula>0</formula>
    </cfRule>
    <cfRule type="cellIs" dxfId="20756" priority="400" operator="lessThan">
      <formula>-105575</formula>
    </cfRule>
  </conditionalFormatting>
  <conditionalFormatting sqref="BB278:BB282">
    <cfRule type="cellIs" dxfId="20755" priority="397" operator="lessThan">
      <formula>0</formula>
    </cfRule>
    <cfRule type="cellIs" dxfId="20754" priority="398" operator="lessThan">
      <formula>-105575</formula>
    </cfRule>
  </conditionalFormatting>
  <conditionalFormatting sqref="BB285:BB288">
    <cfRule type="cellIs" dxfId="20753" priority="395" operator="lessThan">
      <formula>0</formula>
    </cfRule>
    <cfRule type="cellIs" dxfId="20752" priority="396" operator="lessThan">
      <formula>-105575</formula>
    </cfRule>
  </conditionalFormatting>
  <conditionalFormatting sqref="BB285:BB288">
    <cfRule type="cellIs" dxfId="20751" priority="393" operator="lessThan">
      <formula>0</formula>
    </cfRule>
    <cfRule type="cellIs" dxfId="20750" priority="394" operator="lessThan">
      <formula>-105575</formula>
    </cfRule>
  </conditionalFormatting>
  <conditionalFormatting sqref="BB285:BB288">
    <cfRule type="cellIs" dxfId="20749" priority="391" operator="lessThan">
      <formula>0</formula>
    </cfRule>
    <cfRule type="cellIs" dxfId="20748" priority="392" operator="lessThan">
      <formula>-105575</formula>
    </cfRule>
  </conditionalFormatting>
  <conditionalFormatting sqref="BB285:BB288">
    <cfRule type="cellIs" dxfId="20747" priority="389" operator="lessThan">
      <formula>0</formula>
    </cfRule>
    <cfRule type="cellIs" dxfId="20746" priority="390" operator="lessThan">
      <formula>-105575</formula>
    </cfRule>
  </conditionalFormatting>
  <conditionalFormatting sqref="BB285:BB288">
    <cfRule type="cellIs" dxfId="20745" priority="387" operator="lessThan">
      <formula>0</formula>
    </cfRule>
    <cfRule type="cellIs" dxfId="20744" priority="388" operator="lessThan">
      <formula>-105575</formula>
    </cfRule>
  </conditionalFormatting>
  <conditionalFormatting sqref="BB285:BB288">
    <cfRule type="cellIs" dxfId="20743" priority="385" operator="lessThan">
      <formula>0</formula>
    </cfRule>
    <cfRule type="cellIs" dxfId="20742" priority="386" operator="lessThan">
      <formula>-105575</formula>
    </cfRule>
  </conditionalFormatting>
  <conditionalFormatting sqref="BB285:BB288">
    <cfRule type="cellIs" dxfId="20741" priority="383" operator="lessThan">
      <formula>0</formula>
    </cfRule>
    <cfRule type="cellIs" dxfId="20740" priority="384" operator="lessThan">
      <formula>-105575</formula>
    </cfRule>
  </conditionalFormatting>
  <conditionalFormatting sqref="BB285:BB288">
    <cfRule type="cellIs" dxfId="20739" priority="381" operator="lessThan">
      <formula>0</formula>
    </cfRule>
    <cfRule type="cellIs" dxfId="20738" priority="382" operator="lessThan">
      <formula>-105575</formula>
    </cfRule>
  </conditionalFormatting>
  <conditionalFormatting sqref="BB285:BB288">
    <cfRule type="cellIs" dxfId="20737" priority="379" operator="lessThan">
      <formula>0</formula>
    </cfRule>
    <cfRule type="cellIs" dxfId="20736" priority="380" operator="lessThan">
      <formula>-105575</formula>
    </cfRule>
  </conditionalFormatting>
  <conditionalFormatting sqref="BB203 BB220:BB221 BB235:BB243 BB231:BB233 BB212:BB213 BB225:BB226">
    <cfRule type="cellIs" dxfId="20735" priority="377" operator="lessThan">
      <formula>0</formula>
    </cfRule>
    <cfRule type="cellIs" dxfId="20734" priority="378" operator="lessThan">
      <formula>-105575</formula>
    </cfRule>
  </conditionalFormatting>
  <conditionalFormatting sqref="BB220 BB212:BB213 BB235:BB238 BB240:BB243 BB225:BB226 BB231:BB233">
    <cfRule type="cellIs" dxfId="20733" priority="375" operator="lessThan">
      <formula>0</formula>
    </cfRule>
    <cfRule type="cellIs" dxfId="20732" priority="376" operator="lessThan">
      <formula>-105575</formula>
    </cfRule>
  </conditionalFormatting>
  <conditionalFormatting sqref="BB220:BB221 BB243 BB226 BB231:BB236 BB238:BB241 BB203 BB213">
    <cfRule type="cellIs" dxfId="20731" priority="373" operator="lessThan">
      <formula>0</formula>
    </cfRule>
    <cfRule type="cellIs" dxfId="20730" priority="374" operator="lessThan">
      <formula>-105575</formula>
    </cfRule>
  </conditionalFormatting>
  <conditionalFormatting sqref="BB235:BB243 BB231:BB233 BB220 BB212:BB213 BB225:BB226">
    <cfRule type="cellIs" dxfId="20729" priority="371" operator="lessThan">
      <formula>0</formula>
    </cfRule>
    <cfRule type="cellIs" dxfId="20728" priority="372" operator="lessThan">
      <formula>-105575</formula>
    </cfRule>
  </conditionalFormatting>
  <conditionalFormatting sqref="BB220:BB221 BB237:BB243 BB203 BB231:BB235 BB212:BB213 BB225:BB226">
    <cfRule type="cellIs" dxfId="20727" priority="369" operator="lessThan">
      <formula>0</formula>
    </cfRule>
    <cfRule type="cellIs" dxfId="20726" priority="370" operator="lessThan">
      <formula>-105575</formula>
    </cfRule>
  </conditionalFormatting>
  <conditionalFormatting sqref="BB220:BB221 BB237:BB240 BB242:BB243 BB225:BB226 BB231:BB235">
    <cfRule type="cellIs" dxfId="20725" priority="367" operator="lessThan">
      <formula>0</formula>
    </cfRule>
    <cfRule type="cellIs" dxfId="20724" priority="368" operator="lessThan">
      <formula>-105575</formula>
    </cfRule>
  </conditionalFormatting>
  <conditionalFormatting sqref="BB212 BB231 BB233:BB238 BB240:BB243 BB225">
    <cfRule type="cellIs" dxfId="20723" priority="365" operator="lessThan">
      <formula>0</formula>
    </cfRule>
    <cfRule type="cellIs" dxfId="20722" priority="366" operator="lessThan">
      <formula>-105575</formula>
    </cfRule>
  </conditionalFormatting>
  <conditionalFormatting sqref="BB237:BB243 BB231:BB235 BB220:BB221 BB225:BB226">
    <cfRule type="cellIs" dxfId="20721" priority="363" operator="lessThan">
      <formula>0</formula>
    </cfRule>
    <cfRule type="cellIs" dxfId="20720" priority="364" operator="lessThan">
      <formula>-105575</formula>
    </cfRule>
  </conditionalFormatting>
  <conditionalFormatting sqref="BB233:BB237 BB231 BB239:BB243">
    <cfRule type="cellIs" dxfId="20719" priority="361" operator="lessThan">
      <formula>0</formula>
    </cfRule>
    <cfRule type="cellIs" dxfId="20718" priority="362" operator="lessThan">
      <formula>-105575</formula>
    </cfRule>
  </conditionalFormatting>
  <conditionalFormatting sqref="BB233:BB237 BB231 BB239:BB243">
    <cfRule type="cellIs" dxfId="20717" priority="359" operator="lessThan">
      <formula>0</formula>
    </cfRule>
    <cfRule type="cellIs" dxfId="20716" priority="360" operator="lessThan">
      <formula>-105575</formula>
    </cfRule>
  </conditionalFormatting>
  <conditionalFormatting sqref="BB119:BB128 BB106:BB117 BB101:BB104 BB80:BB99">
    <cfRule type="cellIs" dxfId="20715" priority="357" operator="lessThan">
      <formula>0</formula>
    </cfRule>
    <cfRule type="cellIs" dxfId="20714" priority="358" operator="lessThan">
      <formula>-105575</formula>
    </cfRule>
  </conditionalFormatting>
  <conditionalFormatting sqref="BB130 BB132 BB134">
    <cfRule type="cellIs" dxfId="20713" priority="355" operator="lessThan">
      <formula>0</formula>
    </cfRule>
    <cfRule type="cellIs" dxfId="20712" priority="356" operator="lessThan">
      <formula>-105575</formula>
    </cfRule>
  </conditionalFormatting>
  <conditionalFormatting sqref="BB130 BB132 BB134">
    <cfRule type="cellIs" dxfId="20711" priority="353" operator="lessThan">
      <formula>0</formula>
    </cfRule>
    <cfRule type="cellIs" dxfId="20710" priority="354" operator="lessThan">
      <formula>-105575</formula>
    </cfRule>
  </conditionalFormatting>
  <conditionalFormatting sqref="BB129 BB131 BB133 BB135">
    <cfRule type="cellIs" dxfId="20709" priority="351" operator="lessThan">
      <formula>0</formula>
    </cfRule>
    <cfRule type="cellIs" dxfId="20708" priority="352" operator="lessThan">
      <formula>-105575</formula>
    </cfRule>
  </conditionalFormatting>
  <conditionalFormatting sqref="BB140 BB145 BB142:BB143 BB137:BB138">
    <cfRule type="cellIs" dxfId="20707" priority="349" operator="lessThan">
      <formula>0</formula>
    </cfRule>
    <cfRule type="cellIs" dxfId="20706" priority="350" operator="lessThan">
      <formula>-105575</formula>
    </cfRule>
  </conditionalFormatting>
  <conditionalFormatting sqref="BB149">
    <cfRule type="cellIs" dxfId="20705" priority="347" operator="lessThan">
      <formula>0</formula>
    </cfRule>
    <cfRule type="cellIs" dxfId="20704" priority="348" operator="lessThan">
      <formula>-105575</formula>
    </cfRule>
  </conditionalFormatting>
  <conditionalFormatting sqref="BB129:BB138 BB140:BB149">
    <cfRule type="cellIs" dxfId="20703" priority="345" operator="lessThan">
      <formula>0</formula>
    </cfRule>
    <cfRule type="cellIs" dxfId="20702" priority="346" operator="lessThan">
      <formula>-105575</formula>
    </cfRule>
  </conditionalFormatting>
  <conditionalFormatting sqref="BB86:BB87 BB89:BB91 BB141:BB149 BB124:BB133 BB107:BB110 BB112:BB117 BB119:BB122 BB135:BB138 BB101:BB104 BB80:BB84 BB94:BB99">
    <cfRule type="cellIs" dxfId="20701" priority="343" operator="lessThan">
      <formula>0</formula>
    </cfRule>
    <cfRule type="cellIs" dxfId="20700" priority="344" operator="lessThan">
      <formula>-105575</formula>
    </cfRule>
  </conditionalFormatting>
  <conditionalFormatting sqref="BB129 BB131 BB133 BB135">
    <cfRule type="cellIs" dxfId="20699" priority="341" operator="lessThan">
      <formula>0</formula>
    </cfRule>
    <cfRule type="cellIs" dxfId="20698" priority="342" operator="lessThan">
      <formula>-105575</formula>
    </cfRule>
  </conditionalFormatting>
  <conditionalFormatting sqref="BB146 BB144 BB141">
    <cfRule type="cellIs" dxfId="20697" priority="339" operator="lessThan">
      <formula>0</formula>
    </cfRule>
    <cfRule type="cellIs" dxfId="20696" priority="340" operator="lessThan">
      <formula>-105575</formula>
    </cfRule>
  </conditionalFormatting>
  <conditionalFormatting sqref="BB146 BB144 BB141">
    <cfRule type="cellIs" dxfId="20695" priority="337" operator="lessThan">
      <formula>0</formula>
    </cfRule>
    <cfRule type="cellIs" dxfId="20694" priority="338" operator="lessThan">
      <formula>-105575</formula>
    </cfRule>
  </conditionalFormatting>
  <conditionalFormatting sqref="BB140 BB145 BB142:BB143 BB137:BB138">
    <cfRule type="cellIs" dxfId="20693" priority="335" operator="lessThan">
      <formula>0</formula>
    </cfRule>
    <cfRule type="cellIs" dxfId="20692" priority="336" operator="lessThan">
      <formula>-105575</formula>
    </cfRule>
  </conditionalFormatting>
  <conditionalFormatting sqref="BB149">
    <cfRule type="cellIs" dxfId="20691" priority="333" operator="lessThan">
      <formula>0</formula>
    </cfRule>
    <cfRule type="cellIs" dxfId="20690" priority="334" operator="lessThan">
      <formula>-105575</formula>
    </cfRule>
  </conditionalFormatting>
  <conditionalFormatting sqref="BB86:BB87 BB89:BB91 BB141:BB149 BB124:BB133 BB107:BB110 BB112:BB117 BB119:BB122 BB135:BB138 BB101:BB104 BB80:BB84 BB94:BB99">
    <cfRule type="cellIs" dxfId="20689" priority="331" operator="lessThan">
      <formula>0</formula>
    </cfRule>
    <cfRule type="cellIs" dxfId="20688" priority="332" operator="lessThan">
      <formula>-105575</formula>
    </cfRule>
  </conditionalFormatting>
  <conditionalFormatting sqref="BB306:BB309 BB311:BB325 BB327:BB330 BB332:BB341 BB344:BB347 BB349:BB353 BB355:BB358 BB360:BB384 BB386:BB389 BB392:BB395 BB397:BB411 BB413:BB416 BB418:BB432 BB434:BB437 BB439:BB453 BB455:BB458 BB460:BB469 BB290:BB291 BB293:BB304 BB7:BB10 BB12:BB14 BB17:BB18 BB21:BB24 BB26:BB28 BB30:BB36 BB38 BB41:BB43 BB46:BB49 BB51:BB55 BB57:BB59 BB62:BB76">
    <cfRule type="cellIs" dxfId="20687" priority="329" operator="lessThan">
      <formula>0</formula>
    </cfRule>
    <cfRule type="cellIs" dxfId="20686" priority="330" operator="lessThan">
      <formula>-105575</formula>
    </cfRule>
  </conditionalFormatting>
  <conditionalFormatting sqref="BB41">
    <cfRule type="cellIs" dxfId="20685" priority="327" operator="lessThan">
      <formula>0</formula>
    </cfRule>
    <cfRule type="cellIs" dxfId="20684" priority="328" operator="lessThan">
      <formula>-105575</formula>
    </cfRule>
  </conditionalFormatting>
  <conditionalFormatting sqref="BB152:BB155">
    <cfRule type="cellIs" dxfId="20683" priority="325" operator="lessThan">
      <formula>0</formula>
    </cfRule>
    <cfRule type="cellIs" dxfId="20682" priority="326" operator="lessThan">
      <formula>-105575</formula>
    </cfRule>
  </conditionalFormatting>
  <conditionalFormatting sqref="BB152:BB155">
    <cfRule type="cellIs" dxfId="20681" priority="323" operator="lessThan">
      <formula>0</formula>
    </cfRule>
    <cfRule type="cellIs" dxfId="20680" priority="324" operator="lessThan">
      <formula>-105575</formula>
    </cfRule>
  </conditionalFormatting>
  <conditionalFormatting sqref="BB152:BB155">
    <cfRule type="cellIs" dxfId="20679" priority="321" operator="lessThan">
      <formula>0</formula>
    </cfRule>
    <cfRule type="cellIs" dxfId="20678" priority="322" operator="lessThan">
      <formula>-105575</formula>
    </cfRule>
  </conditionalFormatting>
  <conditionalFormatting sqref="BB157:BB158">
    <cfRule type="cellIs" dxfId="20677" priority="319" operator="lessThan">
      <formula>0</formula>
    </cfRule>
    <cfRule type="cellIs" dxfId="20676" priority="320" operator="lessThan">
      <formula>-105575</formula>
    </cfRule>
  </conditionalFormatting>
  <conditionalFormatting sqref="BB157:BB158">
    <cfRule type="cellIs" dxfId="20675" priority="317" operator="lessThan">
      <formula>0</formula>
    </cfRule>
    <cfRule type="cellIs" dxfId="20674" priority="318" operator="lessThan">
      <formula>-105575</formula>
    </cfRule>
  </conditionalFormatting>
  <conditionalFormatting sqref="BB157:BB158">
    <cfRule type="cellIs" dxfId="20673" priority="315" operator="lessThan">
      <formula>0</formula>
    </cfRule>
    <cfRule type="cellIs" dxfId="20672" priority="316" operator="lessThan">
      <formula>-105575</formula>
    </cfRule>
  </conditionalFormatting>
  <conditionalFormatting sqref="BB160:BB161">
    <cfRule type="cellIs" dxfId="20671" priority="313" operator="lessThan">
      <formula>0</formula>
    </cfRule>
    <cfRule type="cellIs" dxfId="20670" priority="314" operator="lessThan">
      <formula>-105575</formula>
    </cfRule>
  </conditionalFormatting>
  <conditionalFormatting sqref="BB160:BB161">
    <cfRule type="cellIs" dxfId="20669" priority="311" operator="lessThan">
      <formula>0</formula>
    </cfRule>
    <cfRule type="cellIs" dxfId="20668" priority="312" operator="lessThan">
      <formula>-105575</formula>
    </cfRule>
  </conditionalFormatting>
  <conditionalFormatting sqref="BB160:BB161">
    <cfRule type="cellIs" dxfId="20667" priority="309" operator="lessThan">
      <formula>0</formula>
    </cfRule>
    <cfRule type="cellIs" dxfId="20666" priority="310" operator="lessThan">
      <formula>-105575</formula>
    </cfRule>
  </conditionalFormatting>
  <conditionalFormatting sqref="BB164:BB167">
    <cfRule type="cellIs" dxfId="20665" priority="307" operator="lessThan">
      <formula>0</formula>
    </cfRule>
    <cfRule type="cellIs" dxfId="20664" priority="308" operator="lessThan">
      <formula>-105575</formula>
    </cfRule>
  </conditionalFormatting>
  <conditionalFormatting sqref="BB164:BB167">
    <cfRule type="cellIs" dxfId="20663" priority="305" operator="lessThan">
      <formula>0</formula>
    </cfRule>
    <cfRule type="cellIs" dxfId="20662" priority="306" operator="lessThan">
      <formula>-105575</formula>
    </cfRule>
  </conditionalFormatting>
  <conditionalFormatting sqref="BB164:BB167">
    <cfRule type="cellIs" dxfId="20661" priority="303" operator="lessThan">
      <formula>0</formula>
    </cfRule>
    <cfRule type="cellIs" dxfId="20660" priority="304" operator="lessThan">
      <formula>-105575</formula>
    </cfRule>
  </conditionalFormatting>
  <conditionalFormatting sqref="BB169:BB177">
    <cfRule type="cellIs" dxfId="20659" priority="301" operator="lessThan">
      <formula>0</formula>
    </cfRule>
    <cfRule type="cellIs" dxfId="20658" priority="302" operator="lessThan">
      <formula>-105575</formula>
    </cfRule>
  </conditionalFormatting>
  <conditionalFormatting sqref="BB169:BB177">
    <cfRule type="cellIs" dxfId="20657" priority="299" operator="lessThan">
      <formula>0</formula>
    </cfRule>
    <cfRule type="cellIs" dxfId="20656" priority="300" operator="lessThan">
      <formula>-105575</formula>
    </cfRule>
  </conditionalFormatting>
  <conditionalFormatting sqref="BB169:BB177">
    <cfRule type="cellIs" dxfId="20655" priority="297" operator="lessThan">
      <formula>0</formula>
    </cfRule>
    <cfRule type="cellIs" dxfId="20654" priority="298" operator="lessThan">
      <formula>-105575</formula>
    </cfRule>
  </conditionalFormatting>
  <conditionalFormatting sqref="BB179:BB180">
    <cfRule type="cellIs" dxfId="20653" priority="295" operator="lessThan">
      <formula>0</formula>
    </cfRule>
    <cfRule type="cellIs" dxfId="20652" priority="296" operator="lessThan">
      <formula>-105575</formula>
    </cfRule>
  </conditionalFormatting>
  <conditionalFormatting sqref="BB179:BB180">
    <cfRule type="cellIs" dxfId="20651" priority="293" operator="lessThan">
      <formula>0</formula>
    </cfRule>
    <cfRule type="cellIs" dxfId="20650" priority="294" operator="lessThan">
      <formula>-105575</formula>
    </cfRule>
  </conditionalFormatting>
  <conditionalFormatting sqref="BB179:BB180">
    <cfRule type="cellIs" dxfId="20649" priority="291" operator="lessThan">
      <formula>0</formula>
    </cfRule>
    <cfRule type="cellIs" dxfId="20648" priority="292" operator="lessThan">
      <formula>-105575</formula>
    </cfRule>
  </conditionalFormatting>
  <conditionalFormatting sqref="BB183:BB189">
    <cfRule type="cellIs" dxfId="20647" priority="289" operator="lessThan">
      <formula>0</formula>
    </cfRule>
    <cfRule type="cellIs" dxfId="20646" priority="290" operator="lessThan">
      <formula>-105575</formula>
    </cfRule>
  </conditionalFormatting>
  <conditionalFormatting sqref="BB183:BB189">
    <cfRule type="cellIs" dxfId="20645" priority="287" operator="lessThan">
      <formula>0</formula>
    </cfRule>
    <cfRule type="cellIs" dxfId="20644" priority="288" operator="lessThan">
      <formula>-105575</formula>
    </cfRule>
  </conditionalFormatting>
  <conditionalFormatting sqref="BB183:BB189">
    <cfRule type="cellIs" dxfId="20643" priority="285" operator="lessThan">
      <formula>0</formula>
    </cfRule>
    <cfRule type="cellIs" dxfId="20642" priority="286" operator="lessThan">
      <formula>-105575</formula>
    </cfRule>
  </conditionalFormatting>
  <conditionalFormatting sqref="BB191:BB192">
    <cfRule type="cellIs" dxfId="20641" priority="283" operator="lessThan">
      <formula>0</formula>
    </cfRule>
    <cfRule type="cellIs" dxfId="20640" priority="284" operator="lessThan">
      <formula>-105575</formula>
    </cfRule>
  </conditionalFormatting>
  <conditionalFormatting sqref="BB191:BB192">
    <cfRule type="cellIs" dxfId="20639" priority="281" operator="lessThan">
      <formula>0</formula>
    </cfRule>
    <cfRule type="cellIs" dxfId="20638" priority="282" operator="lessThan">
      <formula>-105575</formula>
    </cfRule>
  </conditionalFormatting>
  <conditionalFormatting sqref="BB191:BB192">
    <cfRule type="cellIs" dxfId="20637" priority="279" operator="lessThan">
      <formula>0</formula>
    </cfRule>
    <cfRule type="cellIs" dxfId="20636" priority="280" operator="lessThan">
      <formula>-105575</formula>
    </cfRule>
  </conditionalFormatting>
  <conditionalFormatting sqref="BB194:BB195">
    <cfRule type="cellIs" dxfId="20635" priority="277" operator="lessThan">
      <formula>0</formula>
    </cfRule>
    <cfRule type="cellIs" dxfId="20634" priority="278" operator="lessThan">
      <formula>-105575</formula>
    </cfRule>
  </conditionalFormatting>
  <conditionalFormatting sqref="BB194:BB195">
    <cfRule type="cellIs" dxfId="20633" priority="275" operator="lessThan">
      <formula>0</formula>
    </cfRule>
    <cfRule type="cellIs" dxfId="20632" priority="276" operator="lessThan">
      <formula>-105575</formula>
    </cfRule>
  </conditionalFormatting>
  <conditionalFormatting sqref="BB194:BB195">
    <cfRule type="cellIs" dxfId="20631" priority="273" operator="lessThan">
      <formula>0</formula>
    </cfRule>
    <cfRule type="cellIs" dxfId="20630" priority="274" operator="lessThan">
      <formula>-105575</formula>
    </cfRule>
  </conditionalFormatting>
  <conditionalFormatting sqref="BB199:BB202">
    <cfRule type="cellIs" dxfId="20629" priority="271" operator="lessThan">
      <formula>0</formula>
    </cfRule>
    <cfRule type="cellIs" dxfId="20628" priority="272" operator="lessThan">
      <formula>-105575</formula>
    </cfRule>
  </conditionalFormatting>
  <conditionalFormatting sqref="BB199:BB202">
    <cfRule type="cellIs" dxfId="20627" priority="269" operator="lessThan">
      <formula>0</formula>
    </cfRule>
    <cfRule type="cellIs" dxfId="20626" priority="270" operator="lessThan">
      <formula>-105575</formula>
    </cfRule>
  </conditionalFormatting>
  <conditionalFormatting sqref="BB199:BB202">
    <cfRule type="cellIs" dxfId="20625" priority="267" operator="lessThan">
      <formula>0</formula>
    </cfRule>
    <cfRule type="cellIs" dxfId="20624" priority="268" operator="lessThan">
      <formula>-105575</formula>
    </cfRule>
  </conditionalFormatting>
  <conditionalFormatting sqref="BB204:BB208">
    <cfRule type="cellIs" dxfId="20623" priority="265" operator="lessThan">
      <formula>0</formula>
    </cfRule>
    <cfRule type="cellIs" dxfId="20622" priority="266" operator="lessThan">
      <formula>-105575</formula>
    </cfRule>
  </conditionalFormatting>
  <conditionalFormatting sqref="BB204:BB208">
    <cfRule type="cellIs" dxfId="20621" priority="263" operator="lessThan">
      <formula>0</formula>
    </cfRule>
    <cfRule type="cellIs" dxfId="20620" priority="264" operator="lessThan">
      <formula>-105575</formula>
    </cfRule>
  </conditionalFormatting>
  <conditionalFormatting sqref="BB204:BB208">
    <cfRule type="cellIs" dxfId="20619" priority="261" operator="lessThan">
      <formula>0</formula>
    </cfRule>
    <cfRule type="cellIs" dxfId="20618" priority="262" operator="lessThan">
      <formula>-105575</formula>
    </cfRule>
  </conditionalFormatting>
  <conditionalFormatting sqref="BB210:BB211">
    <cfRule type="cellIs" dxfId="20617" priority="259" operator="lessThan">
      <formula>0</formula>
    </cfRule>
    <cfRule type="cellIs" dxfId="20616" priority="260" operator="lessThan">
      <formula>-105575</formula>
    </cfRule>
  </conditionalFormatting>
  <conditionalFormatting sqref="BB210:BB211">
    <cfRule type="cellIs" dxfId="20615" priority="257" operator="lessThan">
      <formula>0</formula>
    </cfRule>
    <cfRule type="cellIs" dxfId="20614" priority="258" operator="lessThan">
      <formula>-105575</formula>
    </cfRule>
  </conditionalFormatting>
  <conditionalFormatting sqref="BB210:BB211">
    <cfRule type="cellIs" dxfId="20613" priority="255" operator="lessThan">
      <formula>0</formula>
    </cfRule>
    <cfRule type="cellIs" dxfId="20612" priority="256" operator="lessThan">
      <formula>-105575</formula>
    </cfRule>
  </conditionalFormatting>
  <conditionalFormatting sqref="BB214:BB219">
    <cfRule type="cellIs" dxfId="20611" priority="253" operator="lessThan">
      <formula>0</formula>
    </cfRule>
    <cfRule type="cellIs" dxfId="20610" priority="254" operator="lessThan">
      <formula>-105575</formula>
    </cfRule>
  </conditionalFormatting>
  <conditionalFormatting sqref="BB214:BB219">
    <cfRule type="cellIs" dxfId="20609" priority="251" operator="lessThan">
      <formula>0</formula>
    </cfRule>
    <cfRule type="cellIs" dxfId="20608" priority="252" operator="lessThan">
      <formula>-105575</formula>
    </cfRule>
  </conditionalFormatting>
  <conditionalFormatting sqref="BB214:BB219">
    <cfRule type="cellIs" dxfId="20607" priority="249" operator="lessThan">
      <formula>0</formula>
    </cfRule>
    <cfRule type="cellIs" dxfId="20606" priority="250" operator="lessThan">
      <formula>-105575</formula>
    </cfRule>
  </conditionalFormatting>
  <conditionalFormatting sqref="BB222:BB224">
    <cfRule type="cellIs" dxfId="20605" priority="247" operator="lessThan">
      <formula>0</formula>
    </cfRule>
    <cfRule type="cellIs" dxfId="20604" priority="248" operator="lessThan">
      <formula>-105575</formula>
    </cfRule>
  </conditionalFormatting>
  <conditionalFormatting sqref="BB222:BB224">
    <cfRule type="cellIs" dxfId="20603" priority="245" operator="lessThan">
      <formula>0</formula>
    </cfRule>
    <cfRule type="cellIs" dxfId="20602" priority="246" operator="lessThan">
      <formula>-105575</formula>
    </cfRule>
  </conditionalFormatting>
  <conditionalFormatting sqref="BB222:BB224">
    <cfRule type="cellIs" dxfId="20601" priority="243" operator="lessThan">
      <formula>0</formula>
    </cfRule>
    <cfRule type="cellIs" dxfId="20600" priority="244" operator="lessThan">
      <formula>-105575</formula>
    </cfRule>
  </conditionalFormatting>
  <conditionalFormatting sqref="BB227:BB230">
    <cfRule type="cellIs" dxfId="20599" priority="241" operator="lessThan">
      <formula>0</formula>
    </cfRule>
    <cfRule type="cellIs" dxfId="20598" priority="242" operator="lessThan">
      <formula>-105575</formula>
    </cfRule>
  </conditionalFormatting>
  <conditionalFormatting sqref="BB227:BB230">
    <cfRule type="cellIs" dxfId="20597" priority="239" operator="lessThan">
      <formula>0</formula>
    </cfRule>
    <cfRule type="cellIs" dxfId="20596" priority="240" operator="lessThan">
      <formula>-105575</formula>
    </cfRule>
  </conditionalFormatting>
  <conditionalFormatting sqref="BB227:BB230">
    <cfRule type="cellIs" dxfId="20595" priority="237" operator="lessThan">
      <formula>0</formula>
    </cfRule>
    <cfRule type="cellIs" dxfId="20594" priority="238" operator="lessThan">
      <formula>-105575</formula>
    </cfRule>
  </conditionalFormatting>
  <conditionalFormatting sqref="BB246:BB249">
    <cfRule type="cellIs" dxfId="20593" priority="235" operator="lessThan">
      <formula>0</formula>
    </cfRule>
    <cfRule type="cellIs" dxfId="20592" priority="236" operator="lessThan">
      <formula>-105575</formula>
    </cfRule>
  </conditionalFormatting>
  <conditionalFormatting sqref="BB246:BB249">
    <cfRule type="cellIs" dxfId="20591" priority="233" operator="lessThan">
      <formula>0</formula>
    </cfRule>
    <cfRule type="cellIs" dxfId="20590" priority="234" operator="lessThan">
      <formula>-105575</formula>
    </cfRule>
  </conditionalFormatting>
  <conditionalFormatting sqref="BB246:BB249">
    <cfRule type="cellIs" dxfId="20589" priority="231" operator="lessThan">
      <formula>0</formula>
    </cfRule>
    <cfRule type="cellIs" dxfId="20588" priority="232" operator="lessThan">
      <formula>-105575</formula>
    </cfRule>
  </conditionalFormatting>
  <conditionalFormatting sqref="BB246:BB249">
    <cfRule type="cellIs" dxfId="20587" priority="229" operator="lessThan">
      <formula>0</formula>
    </cfRule>
    <cfRule type="cellIs" dxfId="20586" priority="230" operator="lessThan">
      <formula>-105575</formula>
    </cfRule>
  </conditionalFormatting>
  <conditionalFormatting sqref="BB246:BB249">
    <cfRule type="cellIs" dxfId="20585" priority="227" operator="lessThan">
      <formula>0</formula>
    </cfRule>
    <cfRule type="cellIs" dxfId="20584" priority="228" operator="lessThan">
      <formula>-105575</formula>
    </cfRule>
  </conditionalFormatting>
  <conditionalFormatting sqref="BB246:BB249">
    <cfRule type="cellIs" dxfId="20583" priority="225" operator="lessThan">
      <formula>0</formula>
    </cfRule>
    <cfRule type="cellIs" dxfId="20582" priority="226" operator="lessThan">
      <formula>-105575</formula>
    </cfRule>
  </conditionalFormatting>
  <conditionalFormatting sqref="BB246:BB249">
    <cfRule type="cellIs" dxfId="20581" priority="223" operator="lessThan">
      <formula>0</formula>
    </cfRule>
    <cfRule type="cellIs" dxfId="20580" priority="224" operator="lessThan">
      <formula>-105575</formula>
    </cfRule>
  </conditionalFormatting>
  <conditionalFormatting sqref="BB246:BB249">
    <cfRule type="cellIs" dxfId="20579" priority="221" operator="lessThan">
      <formula>0</formula>
    </cfRule>
    <cfRule type="cellIs" dxfId="20578" priority="222" operator="lessThan">
      <formula>-105575</formula>
    </cfRule>
  </conditionalFormatting>
  <conditionalFormatting sqref="BB246:BB249">
    <cfRule type="cellIs" dxfId="20577" priority="219" operator="lessThan">
      <formula>0</formula>
    </cfRule>
    <cfRule type="cellIs" dxfId="20576" priority="220" operator="lessThan">
      <formula>-105575</formula>
    </cfRule>
  </conditionalFormatting>
  <conditionalFormatting sqref="BB251:BB253">
    <cfRule type="cellIs" dxfId="20575" priority="217" operator="lessThan">
      <formula>0</formula>
    </cfRule>
    <cfRule type="cellIs" dxfId="20574" priority="218" operator="lessThan">
      <formula>-105575</formula>
    </cfRule>
  </conditionalFormatting>
  <conditionalFormatting sqref="BB251:BB253">
    <cfRule type="cellIs" dxfId="20573" priority="215" operator="lessThan">
      <formula>0</formula>
    </cfRule>
    <cfRule type="cellIs" dxfId="20572" priority="216" operator="lessThan">
      <formula>-105575</formula>
    </cfRule>
  </conditionalFormatting>
  <conditionalFormatting sqref="BB251:BB253">
    <cfRule type="cellIs" dxfId="20571" priority="213" operator="lessThan">
      <formula>0</formula>
    </cfRule>
    <cfRule type="cellIs" dxfId="20570" priority="214" operator="lessThan">
      <formula>-105575</formula>
    </cfRule>
  </conditionalFormatting>
  <conditionalFormatting sqref="BB251:BB253">
    <cfRule type="cellIs" dxfId="20569" priority="211" operator="lessThan">
      <formula>0</formula>
    </cfRule>
    <cfRule type="cellIs" dxfId="20568" priority="212" operator="lessThan">
      <formula>-105575</formula>
    </cfRule>
  </conditionalFormatting>
  <conditionalFormatting sqref="BB251:BB253">
    <cfRule type="cellIs" dxfId="20567" priority="209" operator="lessThan">
      <formula>0</formula>
    </cfRule>
    <cfRule type="cellIs" dxfId="20566" priority="210" operator="lessThan">
      <formula>-105575</formula>
    </cfRule>
  </conditionalFormatting>
  <conditionalFormatting sqref="BB251:BB253">
    <cfRule type="cellIs" dxfId="20565" priority="207" operator="lessThan">
      <formula>0</formula>
    </cfRule>
    <cfRule type="cellIs" dxfId="20564" priority="208" operator="lessThan">
      <formula>-105575</formula>
    </cfRule>
  </conditionalFormatting>
  <conditionalFormatting sqref="BB251:BB253">
    <cfRule type="cellIs" dxfId="20563" priority="205" operator="lessThan">
      <formula>0</formula>
    </cfRule>
    <cfRule type="cellIs" dxfId="20562" priority="206" operator="lessThan">
      <formula>-105575</formula>
    </cfRule>
  </conditionalFormatting>
  <conditionalFormatting sqref="BB251:BB253">
    <cfRule type="cellIs" dxfId="20561" priority="203" operator="lessThan">
      <formula>0</formula>
    </cfRule>
    <cfRule type="cellIs" dxfId="20560" priority="204" operator="lessThan">
      <formula>-105575</formula>
    </cfRule>
  </conditionalFormatting>
  <conditionalFormatting sqref="BB251:BB253">
    <cfRule type="cellIs" dxfId="20559" priority="201" operator="lessThan">
      <formula>0</formula>
    </cfRule>
    <cfRule type="cellIs" dxfId="20558" priority="202" operator="lessThan">
      <formula>-105575</formula>
    </cfRule>
  </conditionalFormatting>
  <conditionalFormatting sqref="BB255:BB257">
    <cfRule type="cellIs" dxfId="20557" priority="199" operator="lessThan">
      <formula>0</formula>
    </cfRule>
    <cfRule type="cellIs" dxfId="20556" priority="200" operator="lessThan">
      <formula>-105575</formula>
    </cfRule>
  </conditionalFormatting>
  <conditionalFormatting sqref="BB255:BB257">
    <cfRule type="cellIs" dxfId="20555" priority="197" operator="lessThan">
      <formula>0</formula>
    </cfRule>
    <cfRule type="cellIs" dxfId="20554" priority="198" operator="lessThan">
      <formula>-105575</formula>
    </cfRule>
  </conditionalFormatting>
  <conditionalFormatting sqref="BB255:BB257">
    <cfRule type="cellIs" dxfId="20553" priority="195" operator="lessThan">
      <formula>0</formula>
    </cfRule>
    <cfRule type="cellIs" dxfId="20552" priority="196" operator="lessThan">
      <formula>-105575</formula>
    </cfRule>
  </conditionalFormatting>
  <conditionalFormatting sqref="BB255:BB257">
    <cfRule type="cellIs" dxfId="20551" priority="193" operator="lessThan">
      <formula>0</formula>
    </cfRule>
    <cfRule type="cellIs" dxfId="20550" priority="194" operator="lessThan">
      <formula>-105575</formula>
    </cfRule>
  </conditionalFormatting>
  <conditionalFormatting sqref="BB255:BB257">
    <cfRule type="cellIs" dxfId="20549" priority="191" operator="lessThan">
      <formula>0</formula>
    </cfRule>
    <cfRule type="cellIs" dxfId="20548" priority="192" operator="lessThan">
      <formula>-105575</formula>
    </cfRule>
  </conditionalFormatting>
  <conditionalFormatting sqref="BB255:BB257">
    <cfRule type="cellIs" dxfId="20547" priority="189" operator="lessThan">
      <formula>0</formula>
    </cfRule>
    <cfRule type="cellIs" dxfId="20546" priority="190" operator="lessThan">
      <formula>-105575</formula>
    </cfRule>
  </conditionalFormatting>
  <conditionalFormatting sqref="BB255:BB257">
    <cfRule type="cellIs" dxfId="20545" priority="187" operator="lessThan">
      <formula>0</formula>
    </cfRule>
    <cfRule type="cellIs" dxfId="20544" priority="188" operator="lessThan">
      <formula>-105575</formula>
    </cfRule>
  </conditionalFormatting>
  <conditionalFormatting sqref="BB255:BB257">
    <cfRule type="cellIs" dxfId="20543" priority="185" operator="lessThan">
      <formula>0</formula>
    </cfRule>
    <cfRule type="cellIs" dxfId="20542" priority="186" operator="lessThan">
      <formula>-105575</formula>
    </cfRule>
  </conditionalFormatting>
  <conditionalFormatting sqref="BB255:BB257">
    <cfRule type="cellIs" dxfId="20541" priority="183" operator="lessThan">
      <formula>0</formula>
    </cfRule>
    <cfRule type="cellIs" dxfId="20540" priority="184" operator="lessThan">
      <formula>-105575</formula>
    </cfRule>
  </conditionalFormatting>
  <conditionalFormatting sqref="BB260:BB262">
    <cfRule type="cellIs" dxfId="20539" priority="181" operator="lessThan">
      <formula>0</formula>
    </cfRule>
    <cfRule type="cellIs" dxfId="20538" priority="182" operator="lessThan">
      <formula>-105575</formula>
    </cfRule>
  </conditionalFormatting>
  <conditionalFormatting sqref="BB260:BB262">
    <cfRule type="cellIs" dxfId="20537" priority="179" operator="lessThan">
      <formula>0</formula>
    </cfRule>
    <cfRule type="cellIs" dxfId="20536" priority="180" operator="lessThan">
      <formula>-105575</formula>
    </cfRule>
  </conditionalFormatting>
  <conditionalFormatting sqref="BB260:BB262">
    <cfRule type="cellIs" dxfId="20535" priority="177" operator="lessThan">
      <formula>0</formula>
    </cfRule>
    <cfRule type="cellIs" dxfId="20534" priority="178" operator="lessThan">
      <formula>-105575</formula>
    </cfRule>
  </conditionalFormatting>
  <conditionalFormatting sqref="BB260:BB262">
    <cfRule type="cellIs" dxfId="20533" priority="175" operator="lessThan">
      <formula>0</formula>
    </cfRule>
    <cfRule type="cellIs" dxfId="20532" priority="176" operator="lessThan">
      <formula>-105575</formula>
    </cfRule>
  </conditionalFormatting>
  <conditionalFormatting sqref="BB260:BB262">
    <cfRule type="cellIs" dxfId="20531" priority="173" operator="lessThan">
      <formula>0</formula>
    </cfRule>
    <cfRule type="cellIs" dxfId="20530" priority="174" operator="lessThan">
      <formula>-105575</formula>
    </cfRule>
  </conditionalFormatting>
  <conditionalFormatting sqref="BB260:BB262">
    <cfRule type="cellIs" dxfId="20529" priority="171" operator="lessThan">
      <formula>0</formula>
    </cfRule>
    <cfRule type="cellIs" dxfId="20528" priority="172" operator="lessThan">
      <formula>-105575</formula>
    </cfRule>
  </conditionalFormatting>
  <conditionalFormatting sqref="BB260:BB262">
    <cfRule type="cellIs" dxfId="20527" priority="169" operator="lessThan">
      <formula>0</formula>
    </cfRule>
    <cfRule type="cellIs" dxfId="20526" priority="170" operator="lessThan">
      <formula>-105575</formula>
    </cfRule>
  </conditionalFormatting>
  <conditionalFormatting sqref="BB260:BB262">
    <cfRule type="cellIs" dxfId="20525" priority="167" operator="lessThan">
      <formula>0</formula>
    </cfRule>
    <cfRule type="cellIs" dxfId="20524" priority="168" operator="lessThan">
      <formula>-105575</formula>
    </cfRule>
  </conditionalFormatting>
  <conditionalFormatting sqref="BB260:BB262">
    <cfRule type="cellIs" dxfId="20523" priority="165" operator="lessThan">
      <formula>0</formula>
    </cfRule>
    <cfRule type="cellIs" dxfId="20522" priority="166" operator="lessThan">
      <formula>-105575</formula>
    </cfRule>
  </conditionalFormatting>
  <conditionalFormatting sqref="BB264:BB267">
    <cfRule type="cellIs" dxfId="20521" priority="163" operator="lessThan">
      <formula>0</formula>
    </cfRule>
    <cfRule type="cellIs" dxfId="20520" priority="164" operator="lessThan">
      <formula>-105575</formula>
    </cfRule>
  </conditionalFormatting>
  <conditionalFormatting sqref="BB264:BB267">
    <cfRule type="cellIs" dxfId="20519" priority="161" operator="lessThan">
      <formula>0</formula>
    </cfRule>
    <cfRule type="cellIs" dxfId="20518" priority="162" operator="lessThan">
      <formula>-105575</formula>
    </cfRule>
  </conditionalFormatting>
  <conditionalFormatting sqref="BB264:BB267">
    <cfRule type="cellIs" dxfId="20517" priority="159" operator="lessThan">
      <formula>0</formula>
    </cfRule>
    <cfRule type="cellIs" dxfId="20516" priority="160" operator="lessThan">
      <formula>-105575</formula>
    </cfRule>
  </conditionalFormatting>
  <conditionalFormatting sqref="BB264:BB267">
    <cfRule type="cellIs" dxfId="20515" priority="157" operator="lessThan">
      <formula>0</formula>
    </cfRule>
    <cfRule type="cellIs" dxfId="20514" priority="158" operator="lessThan">
      <formula>-105575</formula>
    </cfRule>
  </conditionalFormatting>
  <conditionalFormatting sqref="BB264:BB267">
    <cfRule type="cellIs" dxfId="20513" priority="155" operator="lessThan">
      <formula>0</formula>
    </cfRule>
    <cfRule type="cellIs" dxfId="20512" priority="156" operator="lessThan">
      <formula>-105575</formula>
    </cfRule>
  </conditionalFormatting>
  <conditionalFormatting sqref="BB264:BB267">
    <cfRule type="cellIs" dxfId="20511" priority="153" operator="lessThan">
      <formula>0</formula>
    </cfRule>
    <cfRule type="cellIs" dxfId="20510" priority="154" operator="lessThan">
      <formula>-105575</formula>
    </cfRule>
  </conditionalFormatting>
  <conditionalFormatting sqref="BB264:BB267">
    <cfRule type="cellIs" dxfId="20509" priority="151" operator="lessThan">
      <formula>0</formula>
    </cfRule>
    <cfRule type="cellIs" dxfId="20508" priority="152" operator="lessThan">
      <formula>-105575</formula>
    </cfRule>
  </conditionalFormatting>
  <conditionalFormatting sqref="BB264:BB267">
    <cfRule type="cellIs" dxfId="20507" priority="149" operator="lessThan">
      <formula>0</formula>
    </cfRule>
    <cfRule type="cellIs" dxfId="20506" priority="150" operator="lessThan">
      <formula>-105575</formula>
    </cfRule>
  </conditionalFormatting>
  <conditionalFormatting sqref="BB264:BB267">
    <cfRule type="cellIs" dxfId="20505" priority="147" operator="lessThan">
      <formula>0</formula>
    </cfRule>
    <cfRule type="cellIs" dxfId="20504" priority="148" operator="lessThan">
      <formula>-105575</formula>
    </cfRule>
  </conditionalFormatting>
  <conditionalFormatting sqref="BB270:BB272">
    <cfRule type="cellIs" dxfId="20503" priority="145" operator="lessThan">
      <formula>0</formula>
    </cfRule>
    <cfRule type="cellIs" dxfId="20502" priority="146" operator="lessThan">
      <formula>-105575</formula>
    </cfRule>
  </conditionalFormatting>
  <conditionalFormatting sqref="BB270:BB272">
    <cfRule type="cellIs" dxfId="20501" priority="143" operator="lessThan">
      <formula>0</formula>
    </cfRule>
    <cfRule type="cellIs" dxfId="20500" priority="144" operator="lessThan">
      <formula>-105575</formula>
    </cfRule>
  </conditionalFormatting>
  <conditionalFormatting sqref="BB270:BB272">
    <cfRule type="cellIs" dxfId="20499" priority="141" operator="lessThan">
      <formula>0</formula>
    </cfRule>
    <cfRule type="cellIs" dxfId="20498" priority="142" operator="lessThan">
      <formula>-105575</formula>
    </cfRule>
  </conditionalFormatting>
  <conditionalFormatting sqref="BB270:BB272">
    <cfRule type="cellIs" dxfId="20497" priority="139" operator="lessThan">
      <formula>0</formula>
    </cfRule>
    <cfRule type="cellIs" dxfId="20496" priority="140" operator="lessThan">
      <formula>-105575</formula>
    </cfRule>
  </conditionalFormatting>
  <conditionalFormatting sqref="BB270:BB272">
    <cfRule type="cellIs" dxfId="20495" priority="137" operator="lessThan">
      <formula>0</formula>
    </cfRule>
    <cfRule type="cellIs" dxfId="20494" priority="138" operator="lessThan">
      <formula>-105575</formula>
    </cfRule>
  </conditionalFormatting>
  <conditionalFormatting sqref="BB270:BB272">
    <cfRule type="cellIs" dxfId="20493" priority="135" operator="lessThan">
      <formula>0</formula>
    </cfRule>
    <cfRule type="cellIs" dxfId="20492" priority="136" operator="lessThan">
      <formula>-105575</formula>
    </cfRule>
  </conditionalFormatting>
  <conditionalFormatting sqref="BB270:BB272">
    <cfRule type="cellIs" dxfId="20491" priority="133" operator="lessThan">
      <formula>0</formula>
    </cfRule>
    <cfRule type="cellIs" dxfId="20490" priority="134" operator="lessThan">
      <formula>-105575</formula>
    </cfRule>
  </conditionalFormatting>
  <conditionalFormatting sqref="BB270:BB272">
    <cfRule type="cellIs" dxfId="20489" priority="131" operator="lessThan">
      <formula>0</formula>
    </cfRule>
    <cfRule type="cellIs" dxfId="20488" priority="132" operator="lessThan">
      <formula>-105575</formula>
    </cfRule>
  </conditionalFormatting>
  <conditionalFormatting sqref="BB270:BB272">
    <cfRule type="cellIs" dxfId="20487" priority="129" operator="lessThan">
      <formula>0</formula>
    </cfRule>
    <cfRule type="cellIs" dxfId="20486" priority="130" operator="lessThan">
      <formula>-105575</formula>
    </cfRule>
  </conditionalFormatting>
  <conditionalFormatting sqref="BB274:BB275">
    <cfRule type="cellIs" dxfId="20485" priority="127" operator="lessThan">
      <formula>0</formula>
    </cfRule>
    <cfRule type="cellIs" dxfId="20484" priority="128" operator="lessThan">
      <formula>-105575</formula>
    </cfRule>
  </conditionalFormatting>
  <conditionalFormatting sqref="BB274:BB275">
    <cfRule type="cellIs" dxfId="20483" priority="125" operator="lessThan">
      <formula>0</formula>
    </cfRule>
    <cfRule type="cellIs" dxfId="20482" priority="126" operator="lessThan">
      <formula>-105575</formula>
    </cfRule>
  </conditionalFormatting>
  <conditionalFormatting sqref="BB274:BB275">
    <cfRule type="cellIs" dxfId="20481" priority="123" operator="lessThan">
      <formula>0</formula>
    </cfRule>
    <cfRule type="cellIs" dxfId="20480" priority="124" operator="lessThan">
      <formula>-105575</formula>
    </cfRule>
  </conditionalFormatting>
  <conditionalFormatting sqref="BB274:BB275">
    <cfRule type="cellIs" dxfId="20479" priority="121" operator="lessThan">
      <formula>0</formula>
    </cfRule>
    <cfRule type="cellIs" dxfId="20478" priority="122" operator="lessThan">
      <formula>-105575</formula>
    </cfRule>
  </conditionalFormatting>
  <conditionalFormatting sqref="BB274:BB275">
    <cfRule type="cellIs" dxfId="20477" priority="119" operator="lessThan">
      <formula>0</formula>
    </cfRule>
    <cfRule type="cellIs" dxfId="20476" priority="120" operator="lessThan">
      <formula>-105575</formula>
    </cfRule>
  </conditionalFormatting>
  <conditionalFormatting sqref="BB274:BB275">
    <cfRule type="cellIs" dxfId="20475" priority="117" operator="lessThan">
      <formula>0</formula>
    </cfRule>
    <cfRule type="cellIs" dxfId="20474" priority="118" operator="lessThan">
      <formula>-105575</formula>
    </cfRule>
  </conditionalFormatting>
  <conditionalFormatting sqref="BB274:BB275">
    <cfRule type="cellIs" dxfId="20473" priority="115" operator="lessThan">
      <formula>0</formula>
    </cfRule>
    <cfRule type="cellIs" dxfId="20472" priority="116" operator="lessThan">
      <formula>-105575</formula>
    </cfRule>
  </conditionalFormatting>
  <conditionalFormatting sqref="BB274:BB275">
    <cfRule type="cellIs" dxfId="20471" priority="113" operator="lessThan">
      <formula>0</formula>
    </cfRule>
    <cfRule type="cellIs" dxfId="20470" priority="114" operator="lessThan">
      <formula>-105575</formula>
    </cfRule>
  </conditionalFormatting>
  <conditionalFormatting sqref="BB274:BB275">
    <cfRule type="cellIs" dxfId="20469" priority="111" operator="lessThan">
      <formula>0</formula>
    </cfRule>
    <cfRule type="cellIs" dxfId="20468" priority="112" operator="lessThan">
      <formula>-105575</formula>
    </cfRule>
  </conditionalFormatting>
  <conditionalFormatting sqref="BB278:BB282">
    <cfRule type="cellIs" dxfId="20467" priority="109" operator="lessThan">
      <formula>0</formula>
    </cfRule>
    <cfRule type="cellIs" dxfId="20466" priority="110" operator="lessThan">
      <formula>-105575</formula>
    </cfRule>
  </conditionalFormatting>
  <conditionalFormatting sqref="BB278:BB282">
    <cfRule type="cellIs" dxfId="20465" priority="107" operator="lessThan">
      <formula>0</formula>
    </cfRule>
    <cfRule type="cellIs" dxfId="20464" priority="108" operator="lessThan">
      <formula>-105575</formula>
    </cfRule>
  </conditionalFormatting>
  <conditionalFormatting sqref="BB278:BB282">
    <cfRule type="cellIs" dxfId="20463" priority="105" operator="lessThan">
      <formula>0</formula>
    </cfRule>
    <cfRule type="cellIs" dxfId="20462" priority="106" operator="lessThan">
      <formula>-105575</formula>
    </cfRule>
  </conditionalFormatting>
  <conditionalFormatting sqref="BB278:BB282">
    <cfRule type="cellIs" dxfId="20461" priority="103" operator="lessThan">
      <formula>0</formula>
    </cfRule>
    <cfRule type="cellIs" dxfId="20460" priority="104" operator="lessThan">
      <formula>-105575</formula>
    </cfRule>
  </conditionalFormatting>
  <conditionalFormatting sqref="BB278:BB282">
    <cfRule type="cellIs" dxfId="20459" priority="101" operator="lessThan">
      <formula>0</formula>
    </cfRule>
    <cfRule type="cellIs" dxfId="20458" priority="102" operator="lessThan">
      <formula>-105575</formula>
    </cfRule>
  </conditionalFormatting>
  <conditionalFormatting sqref="BB278:BB282">
    <cfRule type="cellIs" dxfId="20457" priority="99" operator="lessThan">
      <formula>0</formula>
    </cfRule>
    <cfRule type="cellIs" dxfId="20456" priority="100" operator="lessThan">
      <formula>-105575</formula>
    </cfRule>
  </conditionalFormatting>
  <conditionalFormatting sqref="BB278:BB282">
    <cfRule type="cellIs" dxfId="20455" priority="97" operator="lessThan">
      <formula>0</formula>
    </cfRule>
    <cfRule type="cellIs" dxfId="20454" priority="98" operator="lessThan">
      <formula>-105575</formula>
    </cfRule>
  </conditionalFormatting>
  <conditionalFormatting sqref="BB278:BB282">
    <cfRule type="cellIs" dxfId="20453" priority="95" operator="lessThan">
      <formula>0</formula>
    </cfRule>
    <cfRule type="cellIs" dxfId="20452" priority="96" operator="lessThan">
      <formula>-105575</formula>
    </cfRule>
  </conditionalFormatting>
  <conditionalFormatting sqref="BB278:BB282">
    <cfRule type="cellIs" dxfId="20451" priority="93" operator="lessThan">
      <formula>0</formula>
    </cfRule>
    <cfRule type="cellIs" dxfId="20450" priority="94" operator="lessThan">
      <formula>-105575</formula>
    </cfRule>
  </conditionalFormatting>
  <conditionalFormatting sqref="BB285:BB288">
    <cfRule type="cellIs" dxfId="20449" priority="91" operator="lessThan">
      <formula>0</formula>
    </cfRule>
    <cfRule type="cellIs" dxfId="20448" priority="92" operator="lessThan">
      <formula>-105575</formula>
    </cfRule>
  </conditionalFormatting>
  <conditionalFormatting sqref="BB285:BB288">
    <cfRule type="cellIs" dxfId="20447" priority="89" operator="lessThan">
      <formula>0</formula>
    </cfRule>
    <cfRule type="cellIs" dxfId="20446" priority="90" operator="lessThan">
      <formula>-105575</formula>
    </cfRule>
  </conditionalFormatting>
  <conditionalFormatting sqref="BB285:BB288">
    <cfRule type="cellIs" dxfId="20445" priority="87" operator="lessThan">
      <formula>0</formula>
    </cfRule>
    <cfRule type="cellIs" dxfId="20444" priority="88" operator="lessThan">
      <formula>-105575</formula>
    </cfRule>
  </conditionalFormatting>
  <conditionalFormatting sqref="BB285:BB288">
    <cfRule type="cellIs" dxfId="20443" priority="85" operator="lessThan">
      <formula>0</formula>
    </cfRule>
    <cfRule type="cellIs" dxfId="20442" priority="86" operator="lessThan">
      <formula>-105575</formula>
    </cfRule>
  </conditionalFormatting>
  <conditionalFormatting sqref="BB285:BB288">
    <cfRule type="cellIs" dxfId="20441" priority="83" operator="lessThan">
      <formula>0</formula>
    </cfRule>
    <cfRule type="cellIs" dxfId="20440" priority="84" operator="lessThan">
      <formula>-105575</formula>
    </cfRule>
  </conditionalFormatting>
  <conditionalFormatting sqref="BB285:BB288">
    <cfRule type="cellIs" dxfId="20439" priority="81" operator="lessThan">
      <formula>0</formula>
    </cfRule>
    <cfRule type="cellIs" dxfId="20438" priority="82" operator="lessThan">
      <formula>-105575</formula>
    </cfRule>
  </conditionalFormatting>
  <conditionalFormatting sqref="BB285:BB288">
    <cfRule type="cellIs" dxfId="20437" priority="79" operator="lessThan">
      <formula>0</formula>
    </cfRule>
    <cfRule type="cellIs" dxfId="20436" priority="80" operator="lessThan">
      <formula>-105575</formula>
    </cfRule>
  </conditionalFormatting>
  <conditionalFormatting sqref="BB285:BB288">
    <cfRule type="cellIs" dxfId="20435" priority="77" operator="lessThan">
      <formula>0</formula>
    </cfRule>
    <cfRule type="cellIs" dxfId="20434" priority="78" operator="lessThan">
      <formula>-105575</formula>
    </cfRule>
  </conditionalFormatting>
  <conditionalFormatting sqref="BB285:BB288">
    <cfRule type="cellIs" dxfId="20433" priority="75" operator="lessThan">
      <formula>0</formula>
    </cfRule>
    <cfRule type="cellIs" dxfId="20432" priority="76" operator="lessThan">
      <formula>-105575</formula>
    </cfRule>
  </conditionalFormatting>
  <conditionalFormatting sqref="BB80:BB84">
    <cfRule type="cellIs" dxfId="20431" priority="73" operator="lessThan">
      <formula>0</formula>
    </cfRule>
    <cfRule type="cellIs" dxfId="20430" priority="74" operator="lessThan">
      <formula>-105575</formula>
    </cfRule>
  </conditionalFormatting>
  <conditionalFormatting sqref="BB86:BB87">
    <cfRule type="cellIs" dxfId="20429" priority="71" operator="lessThan">
      <formula>0</formula>
    </cfRule>
    <cfRule type="cellIs" dxfId="20428" priority="72" operator="lessThan">
      <formula>-105575</formula>
    </cfRule>
  </conditionalFormatting>
  <conditionalFormatting sqref="BB89:BB91">
    <cfRule type="cellIs" dxfId="20427" priority="69" operator="lessThan">
      <formula>0</formula>
    </cfRule>
    <cfRule type="cellIs" dxfId="20426" priority="70" operator="lessThan">
      <formula>-105575</formula>
    </cfRule>
  </conditionalFormatting>
  <conditionalFormatting sqref="BB94:BB98">
    <cfRule type="cellIs" dxfId="20425" priority="67" operator="lessThan">
      <formula>0</formula>
    </cfRule>
    <cfRule type="cellIs" dxfId="20424" priority="68" operator="lessThan">
      <formula>-105575</formula>
    </cfRule>
  </conditionalFormatting>
  <conditionalFormatting sqref="BB101:BB104">
    <cfRule type="cellIs" dxfId="20423" priority="65" operator="lessThan">
      <formula>0</formula>
    </cfRule>
    <cfRule type="cellIs" dxfId="20422" priority="66" operator="lessThan">
      <formula>-105575</formula>
    </cfRule>
  </conditionalFormatting>
  <conditionalFormatting sqref="BB107:BB109">
    <cfRule type="cellIs" dxfId="20421" priority="63" operator="lessThan">
      <formula>0</formula>
    </cfRule>
    <cfRule type="cellIs" dxfId="20420" priority="64" operator="lessThan">
      <formula>-105575</formula>
    </cfRule>
  </conditionalFormatting>
  <conditionalFormatting sqref="BB112:BB116">
    <cfRule type="cellIs" dxfId="20419" priority="61" operator="lessThan">
      <formula>0</formula>
    </cfRule>
    <cfRule type="cellIs" dxfId="20418" priority="62" operator="lessThan">
      <formula>-105575</formula>
    </cfRule>
  </conditionalFormatting>
  <conditionalFormatting sqref="BB119:BB121">
    <cfRule type="cellIs" dxfId="20417" priority="59" operator="lessThan">
      <formula>0</formula>
    </cfRule>
    <cfRule type="cellIs" dxfId="20416" priority="60" operator="lessThan">
      <formula>-105575</formula>
    </cfRule>
  </conditionalFormatting>
  <conditionalFormatting sqref="BB124:BB132">
    <cfRule type="cellIs" dxfId="20415" priority="57" operator="lessThan">
      <formula>0</formula>
    </cfRule>
    <cfRule type="cellIs" dxfId="20414" priority="58" operator="lessThan">
      <formula>-105575</formula>
    </cfRule>
  </conditionalFormatting>
  <conditionalFormatting sqref="BB135:BB138">
    <cfRule type="cellIs" dxfId="20413" priority="55" operator="lessThan">
      <formula>0</formula>
    </cfRule>
    <cfRule type="cellIs" dxfId="20412" priority="56" operator="lessThan">
      <formula>-105575</formula>
    </cfRule>
  </conditionalFormatting>
  <conditionalFormatting sqref="BB141:BB148">
    <cfRule type="cellIs" dxfId="20411" priority="53" operator="lessThan">
      <formula>0</formula>
    </cfRule>
    <cfRule type="cellIs" dxfId="20410" priority="54" operator="lessThan">
      <formula>-105575</formula>
    </cfRule>
  </conditionalFormatting>
  <conditionalFormatting sqref="BB152:BB155">
    <cfRule type="cellIs" dxfId="20409" priority="51" operator="lessThan">
      <formula>0</formula>
    </cfRule>
    <cfRule type="cellIs" dxfId="20408" priority="52" operator="lessThan">
      <formula>-105575</formula>
    </cfRule>
  </conditionalFormatting>
  <conditionalFormatting sqref="BB157:BB158">
    <cfRule type="cellIs" dxfId="20407" priority="49" operator="lessThan">
      <formula>0</formula>
    </cfRule>
    <cfRule type="cellIs" dxfId="20406" priority="50" operator="lessThan">
      <formula>-105575</formula>
    </cfRule>
  </conditionalFormatting>
  <conditionalFormatting sqref="BB160:BB161">
    <cfRule type="cellIs" dxfId="20405" priority="47" operator="lessThan">
      <formula>0</formula>
    </cfRule>
    <cfRule type="cellIs" dxfId="20404" priority="48" operator="lessThan">
      <formula>-105575</formula>
    </cfRule>
  </conditionalFormatting>
  <conditionalFormatting sqref="BB164:BB167">
    <cfRule type="cellIs" dxfId="20403" priority="45" operator="lessThan">
      <formula>0</formula>
    </cfRule>
    <cfRule type="cellIs" dxfId="20402" priority="46" operator="lessThan">
      <formula>-105575</formula>
    </cfRule>
  </conditionalFormatting>
  <conditionalFormatting sqref="BB169:BB177">
    <cfRule type="cellIs" dxfId="20401" priority="43" operator="lessThan">
      <formula>0</formula>
    </cfRule>
    <cfRule type="cellIs" dxfId="20400" priority="44" operator="lessThan">
      <formula>-105575</formula>
    </cfRule>
  </conditionalFormatting>
  <conditionalFormatting sqref="BB179:BB180">
    <cfRule type="cellIs" dxfId="20399" priority="41" operator="lessThan">
      <formula>0</formula>
    </cfRule>
    <cfRule type="cellIs" dxfId="20398" priority="42" operator="lessThan">
      <formula>-105575</formula>
    </cfRule>
  </conditionalFormatting>
  <conditionalFormatting sqref="BB183:BB189">
    <cfRule type="cellIs" dxfId="20397" priority="39" operator="lessThan">
      <formula>0</formula>
    </cfRule>
    <cfRule type="cellIs" dxfId="20396" priority="40" operator="lessThan">
      <formula>-105575</formula>
    </cfRule>
  </conditionalFormatting>
  <conditionalFormatting sqref="BB191:BB192">
    <cfRule type="cellIs" dxfId="20395" priority="37" operator="lessThan">
      <formula>0</formula>
    </cfRule>
    <cfRule type="cellIs" dxfId="20394" priority="38" operator="lessThan">
      <formula>-105575</formula>
    </cfRule>
  </conditionalFormatting>
  <conditionalFormatting sqref="BB194:BB195">
    <cfRule type="cellIs" dxfId="20393" priority="35" operator="lessThan">
      <formula>0</formula>
    </cfRule>
    <cfRule type="cellIs" dxfId="20392" priority="36" operator="lessThan">
      <formula>-105575</formula>
    </cfRule>
  </conditionalFormatting>
  <conditionalFormatting sqref="BB199:BB202">
    <cfRule type="cellIs" dxfId="20391" priority="33" operator="lessThan">
      <formula>0</formula>
    </cfRule>
    <cfRule type="cellIs" dxfId="20390" priority="34" operator="lessThan">
      <formula>-105575</formula>
    </cfRule>
  </conditionalFormatting>
  <conditionalFormatting sqref="BB204:BB208">
    <cfRule type="cellIs" dxfId="20389" priority="31" operator="lessThan">
      <formula>0</formula>
    </cfRule>
    <cfRule type="cellIs" dxfId="20388" priority="32" operator="lessThan">
      <formula>-105575</formula>
    </cfRule>
  </conditionalFormatting>
  <conditionalFormatting sqref="BB210:BB211">
    <cfRule type="cellIs" dxfId="20387" priority="29" operator="lessThan">
      <formula>0</formula>
    </cfRule>
    <cfRule type="cellIs" dxfId="20386" priority="30" operator="lessThan">
      <formula>-105575</formula>
    </cfRule>
  </conditionalFormatting>
  <conditionalFormatting sqref="BB214:BB219">
    <cfRule type="cellIs" dxfId="20385" priority="27" operator="lessThan">
      <formula>0</formula>
    </cfRule>
    <cfRule type="cellIs" dxfId="20384" priority="28" operator="lessThan">
      <formula>-105575</formula>
    </cfRule>
  </conditionalFormatting>
  <conditionalFormatting sqref="BB222:BB224">
    <cfRule type="cellIs" dxfId="20383" priority="25" operator="lessThan">
      <formula>0</formula>
    </cfRule>
    <cfRule type="cellIs" dxfId="20382" priority="26" operator="lessThan">
      <formula>-105575</formula>
    </cfRule>
  </conditionalFormatting>
  <conditionalFormatting sqref="BB227:BB230">
    <cfRule type="cellIs" dxfId="20381" priority="23" operator="lessThan">
      <formula>0</formula>
    </cfRule>
    <cfRule type="cellIs" dxfId="20380" priority="24" operator="lessThan">
      <formula>-105575</formula>
    </cfRule>
  </conditionalFormatting>
  <conditionalFormatting sqref="BB233:BB236">
    <cfRule type="cellIs" dxfId="20379" priority="21" operator="lessThan">
      <formula>0</formula>
    </cfRule>
    <cfRule type="cellIs" dxfId="20378" priority="22" operator="lessThan">
      <formula>-105575</formula>
    </cfRule>
  </conditionalFormatting>
  <conditionalFormatting sqref="BB239:BB242">
    <cfRule type="cellIs" dxfId="20377" priority="19" operator="lessThan">
      <formula>0</formula>
    </cfRule>
    <cfRule type="cellIs" dxfId="20376" priority="20" operator="lessThan">
      <formula>-105575</formula>
    </cfRule>
  </conditionalFormatting>
  <conditionalFormatting sqref="BB246:BB249">
    <cfRule type="cellIs" dxfId="20375" priority="17" operator="lessThan">
      <formula>0</formula>
    </cfRule>
    <cfRule type="cellIs" dxfId="20374" priority="18" operator="lessThan">
      <formula>-105575</formula>
    </cfRule>
  </conditionalFormatting>
  <conditionalFormatting sqref="BB251:BB253">
    <cfRule type="cellIs" dxfId="20373" priority="15" operator="lessThan">
      <formula>0</formula>
    </cfRule>
    <cfRule type="cellIs" dxfId="20372" priority="16" operator="lessThan">
      <formula>-105575</formula>
    </cfRule>
  </conditionalFormatting>
  <conditionalFormatting sqref="BB255:BB257">
    <cfRule type="cellIs" dxfId="20371" priority="13" operator="lessThan">
      <formula>0</formula>
    </cfRule>
    <cfRule type="cellIs" dxfId="20370" priority="14" operator="lessThan">
      <formula>-105575</formula>
    </cfRule>
  </conditionalFormatting>
  <conditionalFormatting sqref="BB260:BB262">
    <cfRule type="cellIs" dxfId="20369" priority="11" operator="lessThan">
      <formula>0</formula>
    </cfRule>
    <cfRule type="cellIs" dxfId="20368" priority="12" operator="lessThan">
      <formula>-105575</formula>
    </cfRule>
  </conditionalFormatting>
  <conditionalFormatting sqref="BB264:BB267">
    <cfRule type="cellIs" dxfId="20367" priority="9" operator="lessThan">
      <formula>0</formula>
    </cfRule>
    <cfRule type="cellIs" dxfId="20366" priority="10" operator="lessThan">
      <formula>-105575</formula>
    </cfRule>
  </conditionalFormatting>
  <conditionalFormatting sqref="BB270:BB272">
    <cfRule type="cellIs" dxfId="20365" priority="7" operator="lessThan">
      <formula>0</formula>
    </cfRule>
    <cfRule type="cellIs" dxfId="20364" priority="8" operator="lessThan">
      <formula>-105575</formula>
    </cfRule>
  </conditionalFormatting>
  <conditionalFormatting sqref="BB274:BB275">
    <cfRule type="cellIs" dxfId="20363" priority="5" operator="lessThan">
      <formula>0</formula>
    </cfRule>
    <cfRule type="cellIs" dxfId="20362" priority="6" operator="lessThan">
      <formula>-105575</formula>
    </cfRule>
  </conditionalFormatting>
  <conditionalFormatting sqref="BB278:BB282">
    <cfRule type="cellIs" dxfId="20361" priority="3" operator="lessThan">
      <formula>0</formula>
    </cfRule>
    <cfRule type="cellIs" dxfId="20360" priority="4" operator="lessThan">
      <formula>-105575</formula>
    </cfRule>
  </conditionalFormatting>
  <conditionalFormatting sqref="BB285:BB288">
    <cfRule type="cellIs" dxfId="20359" priority="1" operator="lessThan">
      <formula>0</formula>
    </cfRule>
    <cfRule type="cellIs" dxfId="20358" priority="2" operator="lessThan">
      <formula>-105575</formula>
    </cfRule>
  </conditionalFormatting>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BF292"/>
  <sheetViews>
    <sheetView topLeftCell="AK1" zoomScale="57" zoomScaleNormal="57" workbookViewId="0">
      <selection activeCell="AQ3" sqref="AQ3:BB4"/>
    </sheetView>
  </sheetViews>
  <sheetFormatPr defaultColWidth="25.5703125" defaultRowHeight="15" outlineLevelRow="2" outlineLevelCol="2" x14ac:dyDescent="0.25"/>
  <cols>
    <col min="1" max="1" width="4.140625" style="183" bestFit="1" customWidth="1"/>
    <col min="2" max="2" width="3.28515625" style="183" customWidth="1"/>
    <col min="3" max="3" width="2.42578125" style="101" customWidth="1"/>
    <col min="4" max="4" width="24.7109375" style="101" customWidth="1"/>
    <col min="5" max="5" width="41.42578125" style="102" customWidth="1" outlineLevel="1"/>
    <col min="6" max="6" width="12.140625" style="101" customWidth="1" outlineLevel="1"/>
    <col min="7" max="7" width="12.7109375" style="101" customWidth="1" outlineLevel="1"/>
    <col min="8" max="8" width="97.85546875" style="101" customWidth="1" outlineLevel="2"/>
    <col min="9" max="11" width="25.5703125" style="239" outlineLevel="2"/>
    <col min="12" max="13" width="25.5703125" style="239" outlineLevel="1"/>
    <col min="14" max="24" width="25.5703125" style="239" outlineLevel="2"/>
    <col min="25" max="25" width="25.5703125" style="239" outlineLevel="1"/>
    <col min="26" max="27" width="25.5703125" style="239" outlineLevel="2"/>
    <col min="28" max="29" width="25.5703125" style="239" outlineLevel="1"/>
    <col min="30" max="31" width="25.5703125" style="239" outlineLevel="2"/>
    <col min="32" max="32" width="25.5703125" style="239" outlineLevel="1"/>
    <col min="33" max="38" width="25.5703125" style="239" outlineLevel="2"/>
    <col min="39" max="40" width="25.5703125" style="239" outlineLevel="1"/>
    <col min="41" max="41" width="39.85546875" style="239" customWidth="1" outlineLevel="2"/>
    <col min="42" max="46" width="25.5703125" style="239"/>
    <col min="47" max="53" width="25.5703125" style="235"/>
    <col min="54" max="54" width="24.42578125" style="235" customWidth="1"/>
    <col min="55" max="58" width="25.5703125" style="167"/>
    <col min="59" max="16384" width="25.5703125" style="169"/>
  </cols>
  <sheetData>
    <row r="1" spans="1:58" s="183" customFormat="1" ht="36.6" customHeight="1" x14ac:dyDescent="0.25">
      <c r="A1" s="115"/>
      <c r="B1" s="395" t="s">
        <v>155</v>
      </c>
      <c r="C1" s="395"/>
      <c r="D1" s="395"/>
      <c r="E1" s="395"/>
      <c r="F1" s="395"/>
      <c r="G1" s="395"/>
      <c r="H1" s="395"/>
      <c r="I1" s="292"/>
      <c r="J1" s="292"/>
      <c r="K1" s="283"/>
      <c r="L1" s="283"/>
      <c r="M1" s="232"/>
      <c r="N1" s="233"/>
      <c r="O1" s="233"/>
      <c r="P1" s="233"/>
      <c r="Q1" s="233"/>
      <c r="R1" s="233"/>
      <c r="S1" s="233"/>
      <c r="T1" s="233"/>
      <c r="U1" s="233"/>
      <c r="V1" s="233"/>
      <c r="W1" s="233"/>
      <c r="X1" s="233"/>
      <c r="Y1" s="233"/>
      <c r="Z1" s="233"/>
      <c r="AA1" s="233"/>
      <c r="AB1" s="233"/>
      <c r="AC1" s="233"/>
      <c r="AD1" s="233"/>
      <c r="AE1" s="233"/>
      <c r="AF1" s="233"/>
      <c r="AG1" s="233"/>
      <c r="AH1" s="233"/>
      <c r="AI1" s="233"/>
      <c r="AJ1" s="233"/>
      <c r="AK1" s="233"/>
      <c r="AL1" s="233"/>
      <c r="AM1" s="233"/>
      <c r="AN1" s="233"/>
      <c r="AO1" s="233"/>
      <c r="AP1" s="234"/>
      <c r="AQ1" s="234"/>
      <c r="AR1" s="234"/>
      <c r="AS1" s="234"/>
      <c r="AT1" s="234"/>
      <c r="AU1" s="235"/>
      <c r="AV1" s="235"/>
      <c r="AW1" s="235"/>
      <c r="AX1" s="235"/>
      <c r="AY1" s="235"/>
      <c r="AZ1" s="235"/>
      <c r="BA1" s="235"/>
      <c r="BB1" s="235"/>
    </row>
    <row r="2" spans="1:58" ht="78.75" customHeight="1" x14ac:dyDescent="0.25">
      <c r="A2" s="115" t="s">
        <v>55</v>
      </c>
      <c r="B2" s="385" t="s">
        <v>120</v>
      </c>
      <c r="C2" s="386"/>
      <c r="D2" s="386"/>
      <c r="E2" s="387"/>
      <c r="F2" s="296" t="s">
        <v>133</v>
      </c>
      <c r="G2" s="296" t="s">
        <v>134</v>
      </c>
      <c r="H2" s="116" t="s">
        <v>54</v>
      </c>
      <c r="I2" s="236" t="s">
        <v>0</v>
      </c>
      <c r="J2" s="236" t="s">
        <v>14</v>
      </c>
      <c r="K2" s="236" t="s">
        <v>15</v>
      </c>
      <c r="L2" s="237" t="s">
        <v>11</v>
      </c>
      <c r="M2" s="237" t="s">
        <v>82</v>
      </c>
      <c r="N2" s="236" t="s">
        <v>16</v>
      </c>
      <c r="O2" s="236" t="s">
        <v>7</v>
      </c>
      <c r="P2" s="236" t="s">
        <v>6</v>
      </c>
      <c r="Q2" s="236" t="s">
        <v>8</v>
      </c>
      <c r="R2" s="237" t="s">
        <v>57</v>
      </c>
      <c r="S2" s="237" t="s">
        <v>65</v>
      </c>
      <c r="T2" s="237" t="s">
        <v>64</v>
      </c>
      <c r="U2" s="237" t="s">
        <v>63</v>
      </c>
      <c r="V2" s="236" t="s">
        <v>17</v>
      </c>
      <c r="W2" s="236" t="s">
        <v>67</v>
      </c>
      <c r="X2" s="236" t="s">
        <v>6</v>
      </c>
      <c r="Y2" s="237" t="s">
        <v>71</v>
      </c>
      <c r="Z2" s="236" t="s">
        <v>10</v>
      </c>
      <c r="AA2" s="236" t="s">
        <v>9</v>
      </c>
      <c r="AB2" s="237" t="s">
        <v>70</v>
      </c>
      <c r="AC2" s="238" t="s">
        <v>18</v>
      </c>
      <c r="AD2" s="237" t="s">
        <v>79</v>
      </c>
      <c r="AE2" s="237" t="s">
        <v>23</v>
      </c>
      <c r="AF2" s="237" t="s">
        <v>80</v>
      </c>
      <c r="AG2" s="236" t="s">
        <v>20</v>
      </c>
      <c r="AH2" s="236" t="s">
        <v>21</v>
      </c>
      <c r="AI2" s="236" t="s">
        <v>22</v>
      </c>
      <c r="AJ2" s="236" t="s">
        <v>99</v>
      </c>
      <c r="AK2" s="236" t="s">
        <v>101</v>
      </c>
      <c r="AL2" s="236" t="s">
        <v>90</v>
      </c>
      <c r="AM2" s="237" t="s">
        <v>92</v>
      </c>
      <c r="AN2" s="237" t="s">
        <v>13</v>
      </c>
      <c r="AO2" s="236"/>
      <c r="AQ2" s="402" t="s">
        <v>531</v>
      </c>
      <c r="AR2" s="403"/>
      <c r="AS2" s="403"/>
      <c r="AT2" s="403"/>
      <c r="AU2" s="403"/>
      <c r="AV2" s="403"/>
      <c r="AW2" s="403"/>
      <c r="AX2" s="403"/>
      <c r="AY2" s="403"/>
      <c r="AZ2" s="403"/>
      <c r="BA2" s="403"/>
      <c r="BB2" s="404"/>
      <c r="BC2" s="169"/>
      <c r="BD2" s="169"/>
      <c r="BE2" s="169"/>
      <c r="BF2" s="169"/>
    </row>
    <row r="3" spans="1:58" s="79" customFormat="1" ht="110.25" customHeight="1" x14ac:dyDescent="0.25">
      <c r="A3" s="118" t="s">
        <v>56</v>
      </c>
      <c r="B3" s="385" t="s">
        <v>121</v>
      </c>
      <c r="C3" s="386"/>
      <c r="D3" s="386"/>
      <c r="E3" s="387"/>
      <c r="F3" s="296" t="s">
        <v>135</v>
      </c>
      <c r="G3" s="296" t="s">
        <v>135</v>
      </c>
      <c r="H3" s="119" t="s">
        <v>45</v>
      </c>
      <c r="I3" s="236" t="s">
        <v>51</v>
      </c>
      <c r="J3" s="236" t="s">
        <v>52</v>
      </c>
      <c r="K3" s="236" t="s">
        <v>53</v>
      </c>
      <c r="L3" s="237" t="s">
        <v>117</v>
      </c>
      <c r="M3" s="237" t="s">
        <v>116</v>
      </c>
      <c r="N3" s="236" t="s">
        <v>73</v>
      </c>
      <c r="O3" s="236" t="s">
        <v>72</v>
      </c>
      <c r="P3" s="236" t="s">
        <v>74</v>
      </c>
      <c r="Q3" s="236" t="s">
        <v>75</v>
      </c>
      <c r="R3" s="237" t="s">
        <v>115</v>
      </c>
      <c r="S3" s="237" t="s">
        <v>114</v>
      </c>
      <c r="T3" s="237" t="s">
        <v>113</v>
      </c>
      <c r="U3" s="237" t="s">
        <v>112</v>
      </c>
      <c r="V3" s="236" t="s">
        <v>76</v>
      </c>
      <c r="W3" s="236" t="s">
        <v>77</v>
      </c>
      <c r="X3" s="236" t="s">
        <v>78</v>
      </c>
      <c r="Y3" s="237" t="s">
        <v>111</v>
      </c>
      <c r="Z3" s="236" t="s">
        <v>68</v>
      </c>
      <c r="AA3" s="236" t="s">
        <v>69</v>
      </c>
      <c r="AB3" s="237" t="s">
        <v>110</v>
      </c>
      <c r="AC3" s="238" t="s">
        <v>109</v>
      </c>
      <c r="AD3" s="237" t="s">
        <v>108</v>
      </c>
      <c r="AE3" s="237" t="s">
        <v>107</v>
      </c>
      <c r="AF3" s="237" t="s">
        <v>106</v>
      </c>
      <c r="AG3" s="236" t="s">
        <v>87</v>
      </c>
      <c r="AH3" s="236" t="s">
        <v>89</v>
      </c>
      <c r="AI3" s="236" t="s">
        <v>88</v>
      </c>
      <c r="AJ3" s="237" t="s">
        <v>100</v>
      </c>
      <c r="AK3" s="237" t="s">
        <v>102</v>
      </c>
      <c r="AL3" s="237" t="s">
        <v>96</v>
      </c>
      <c r="AM3" s="237" t="s">
        <v>104</v>
      </c>
      <c r="AN3" s="237" t="s">
        <v>105</v>
      </c>
      <c r="AO3" s="236"/>
      <c r="AP3" s="240"/>
      <c r="AQ3" s="370" t="s">
        <v>123</v>
      </c>
      <c r="AR3" s="370" t="s">
        <v>24</v>
      </c>
      <c r="AS3" s="370" t="s">
        <v>12</v>
      </c>
      <c r="AT3" s="370" t="s">
        <v>19</v>
      </c>
      <c r="AU3" s="371" t="s">
        <v>124</v>
      </c>
      <c r="AV3" s="371" t="s">
        <v>125</v>
      </c>
      <c r="AW3" s="371" t="s">
        <v>222</v>
      </c>
      <c r="AX3" s="371" t="s">
        <v>136</v>
      </c>
      <c r="AY3" s="371" t="s">
        <v>546</v>
      </c>
      <c r="AZ3" s="371" t="s">
        <v>565</v>
      </c>
      <c r="BA3" s="372" t="s">
        <v>126</v>
      </c>
      <c r="BB3" s="371" t="s">
        <v>25</v>
      </c>
    </row>
    <row r="4" spans="1:58" s="81" customFormat="1" ht="47.25" x14ac:dyDescent="0.25">
      <c r="A4" s="120"/>
      <c r="B4" s="121"/>
      <c r="C4" s="122"/>
      <c r="D4" s="122"/>
      <c r="E4" s="123"/>
      <c r="F4" s="123" t="s">
        <v>131</v>
      </c>
      <c r="G4" s="123" t="s">
        <v>132</v>
      </c>
      <c r="H4" s="116" t="s">
        <v>119</v>
      </c>
      <c r="I4" s="241" t="s">
        <v>118</v>
      </c>
      <c r="J4" s="241">
        <v>2</v>
      </c>
      <c r="K4" s="241">
        <v>3</v>
      </c>
      <c r="L4" s="241" t="s">
        <v>81</v>
      </c>
      <c r="M4" s="241" t="s">
        <v>83</v>
      </c>
      <c r="N4" s="241">
        <v>6</v>
      </c>
      <c r="O4" s="241">
        <v>7</v>
      </c>
      <c r="P4" s="241">
        <v>8</v>
      </c>
      <c r="Q4" s="241">
        <v>9</v>
      </c>
      <c r="R4" s="241" t="s">
        <v>26</v>
      </c>
      <c r="S4" s="241" t="s">
        <v>27</v>
      </c>
      <c r="T4" s="241" t="s">
        <v>28</v>
      </c>
      <c r="U4" s="241" t="s">
        <v>29</v>
      </c>
      <c r="V4" s="241">
        <v>14</v>
      </c>
      <c r="W4" s="241">
        <v>15</v>
      </c>
      <c r="X4" s="241">
        <v>16</v>
      </c>
      <c r="Y4" s="241" t="s">
        <v>84</v>
      </c>
      <c r="Z4" s="241">
        <v>18</v>
      </c>
      <c r="AA4" s="241">
        <v>19</v>
      </c>
      <c r="AB4" s="241" t="s">
        <v>85</v>
      </c>
      <c r="AC4" s="241">
        <v>21</v>
      </c>
      <c r="AD4" s="241">
        <v>22</v>
      </c>
      <c r="AE4" s="241" t="s">
        <v>94</v>
      </c>
      <c r="AF4" s="241" t="s">
        <v>86</v>
      </c>
      <c r="AG4" s="241">
        <v>25</v>
      </c>
      <c r="AH4" s="241">
        <v>26</v>
      </c>
      <c r="AI4" s="241">
        <v>27</v>
      </c>
      <c r="AJ4" s="241">
        <v>28</v>
      </c>
      <c r="AK4" s="241">
        <v>29</v>
      </c>
      <c r="AL4" s="241">
        <v>30</v>
      </c>
      <c r="AM4" s="241" t="s">
        <v>95</v>
      </c>
      <c r="AN4" s="241" t="s">
        <v>103</v>
      </c>
      <c r="AO4" s="241"/>
      <c r="AP4" s="242"/>
      <c r="AQ4" s="241" t="s">
        <v>127</v>
      </c>
      <c r="AR4" s="241" t="s">
        <v>128</v>
      </c>
      <c r="AS4" s="241" t="s">
        <v>129</v>
      </c>
      <c r="AT4" s="241" t="s">
        <v>130</v>
      </c>
      <c r="AU4" s="377">
        <v>37</v>
      </c>
      <c r="AV4" s="377">
        <v>38</v>
      </c>
      <c r="AW4" s="377">
        <v>39</v>
      </c>
      <c r="AX4" s="377">
        <v>40</v>
      </c>
      <c r="AY4" s="377"/>
      <c r="AZ4" s="377">
        <v>41</v>
      </c>
      <c r="BA4" s="377">
        <v>42</v>
      </c>
      <c r="BB4" s="377" t="s">
        <v>142</v>
      </c>
    </row>
    <row r="5" spans="1:58" s="170" customFormat="1" ht="15.75" customHeight="1" x14ac:dyDescent="0.25">
      <c r="A5" s="120"/>
      <c r="B5" s="388" t="s">
        <v>312</v>
      </c>
      <c r="C5" s="389"/>
      <c r="D5" s="389"/>
      <c r="E5" s="390"/>
      <c r="F5" s="339"/>
      <c r="G5" s="339"/>
      <c r="H5" s="113" t="s">
        <v>58</v>
      </c>
      <c r="I5" s="243"/>
      <c r="J5" s="243"/>
      <c r="K5" s="243"/>
      <c r="L5" s="243">
        <f>SUM(L6+L16+L20+L40+L45+L61)</f>
        <v>2005272068.5714285</v>
      </c>
      <c r="M5" s="243">
        <f>SUM(M6+M16+M20+M40+M45+M61)</f>
        <v>334880435.45142853</v>
      </c>
      <c r="N5" s="243"/>
      <c r="O5" s="243"/>
      <c r="P5" s="243"/>
      <c r="Q5" s="243"/>
      <c r="R5" s="243">
        <f>SUM(R6+R16+R20+R40+R45+R61)</f>
        <v>930000</v>
      </c>
      <c r="S5" s="243">
        <f>SUM(S6+S16+S20+S40+S45+S61)</f>
        <v>907500</v>
      </c>
      <c r="T5" s="243">
        <f>SUM(T6+T16+T20+T40+T45+T61)</f>
        <v>0</v>
      </c>
      <c r="U5" s="243">
        <f>SUM(U6+U16+U20+U40+U45+U61)</f>
        <v>1160000</v>
      </c>
      <c r="V5" s="243"/>
      <c r="W5" s="243"/>
      <c r="X5" s="243"/>
      <c r="Y5" s="243">
        <f>SUM(Y6+Y16+Y20+Y40+Y45+Y61)</f>
        <v>0</v>
      </c>
      <c r="Z5" s="243">
        <f t="shared" ref="Z5:AF5" si="0">SUM(Z6+Z16+Z20+Z40+Z45+Z61)</f>
        <v>0</v>
      </c>
      <c r="AA5" s="243">
        <f t="shared" si="0"/>
        <v>0</v>
      </c>
      <c r="AB5" s="243">
        <f t="shared" si="0"/>
        <v>1643000</v>
      </c>
      <c r="AC5" s="243">
        <f t="shared" si="0"/>
        <v>1567977933</v>
      </c>
      <c r="AD5" s="243">
        <f t="shared" si="0"/>
        <v>0</v>
      </c>
      <c r="AE5" s="243">
        <f t="shared" si="0"/>
        <v>85303400</v>
      </c>
      <c r="AF5" s="243">
        <f t="shared" si="0"/>
        <v>1657921833</v>
      </c>
      <c r="AG5" s="243"/>
      <c r="AH5" s="243"/>
      <c r="AI5" s="243"/>
      <c r="AJ5" s="243">
        <f>SUM(AJ6+AJ16+AJ20+AJ40+AJ45+AJ61)</f>
        <v>0</v>
      </c>
      <c r="AK5" s="243">
        <f>SUM(AK6+AK16+AK20+AK40+AK45+AK61)</f>
        <v>0</v>
      </c>
      <c r="AL5" s="243">
        <f>SUM(AL6+AL16+AL20+AL40+AL45+AL61)</f>
        <v>0</v>
      </c>
      <c r="AM5" s="243">
        <f>SUM(AM6+AM16+AM20+AM40+AM45+AM61)</f>
        <v>0</v>
      </c>
      <c r="AN5" s="243">
        <f>SUM(AN6+AN16+AN20+AN40+AN45+AN61)</f>
        <v>0</v>
      </c>
      <c r="AO5" s="243"/>
      <c r="AP5" s="244"/>
      <c r="AQ5" s="245">
        <f>SUM(AQ6+AQ16+AQ20+AQ40+AQ45+AQ61)</f>
        <v>2340152504.0228567</v>
      </c>
      <c r="AR5" s="245">
        <f>SUM(AR6+AR16+AR20+AR40+AR45+AR61)</f>
        <v>1657921833</v>
      </c>
      <c r="AS5" s="245">
        <f>SUM(AS6+AS16+AS20+AS40+AS45+AS61)</f>
        <v>0</v>
      </c>
      <c r="AT5" s="245">
        <f>SUM(AT6+AT16+AT20+AT40+AT45+AT61)</f>
        <v>3998074337.0228572</v>
      </c>
      <c r="AU5" s="245">
        <f t="shared" ref="AU5:BB5" si="1">SUM(AU6+AU16+AU20+AU40+AU45+AU61)</f>
        <v>3989236337.0228572</v>
      </c>
      <c r="AV5" s="245">
        <f t="shared" si="1"/>
        <v>0</v>
      </c>
      <c r="AW5" s="245">
        <f>SUM(AW6+AW16+AW20+AW40+AW45+AW61)</f>
        <v>0</v>
      </c>
      <c r="AX5" s="245">
        <f t="shared" si="1"/>
        <v>0</v>
      </c>
      <c r="AY5" s="245">
        <f t="shared" si="1"/>
        <v>2346000</v>
      </c>
      <c r="AZ5" s="245">
        <f t="shared" si="1"/>
        <v>0</v>
      </c>
      <c r="BA5" s="245">
        <f t="shared" si="1"/>
        <v>0</v>
      </c>
      <c r="BB5" s="245">
        <f t="shared" si="1"/>
        <v>-6492000</v>
      </c>
    </row>
    <row r="6" spans="1:58" s="170" customFormat="1" ht="15.75" customHeight="1" x14ac:dyDescent="0.25">
      <c r="A6" s="120"/>
      <c r="B6" s="290"/>
      <c r="C6" s="391" t="s">
        <v>191</v>
      </c>
      <c r="D6" s="391"/>
      <c r="E6" s="392"/>
      <c r="F6" s="289"/>
      <c r="G6" s="288"/>
      <c r="H6" s="114" t="s">
        <v>59</v>
      </c>
      <c r="I6" s="246"/>
      <c r="J6" s="246"/>
      <c r="K6" s="246"/>
      <c r="L6" s="247">
        <f>SUM(L11+L15)</f>
        <v>151200</v>
      </c>
      <c r="M6" s="247">
        <f>SUM(M11+M15)</f>
        <v>25250.400000000001</v>
      </c>
      <c r="N6" s="247"/>
      <c r="O6" s="247"/>
      <c r="P6" s="247"/>
      <c r="Q6" s="247"/>
      <c r="R6" s="247">
        <f>SUM(R11+R15)</f>
        <v>150000</v>
      </c>
      <c r="S6" s="247">
        <f>SUM(S11+S15)</f>
        <v>112500</v>
      </c>
      <c r="T6" s="247">
        <f>SUM(T11+T15)</f>
        <v>0</v>
      </c>
      <c r="U6" s="247">
        <f>SUM(U11+U15)</f>
        <v>200000</v>
      </c>
      <c r="V6" s="247"/>
      <c r="W6" s="247"/>
      <c r="X6" s="247"/>
      <c r="Y6" s="247">
        <f>SUM(Y11+Y15)</f>
        <v>0</v>
      </c>
      <c r="Z6" s="247">
        <f t="shared" ref="Z6:AF6" si="2">SUM(Z11+Z15)</f>
        <v>0</v>
      </c>
      <c r="AA6" s="247">
        <f t="shared" si="2"/>
        <v>0</v>
      </c>
      <c r="AB6" s="247">
        <f t="shared" si="2"/>
        <v>114000</v>
      </c>
      <c r="AC6" s="247">
        <f t="shared" si="2"/>
        <v>247500</v>
      </c>
      <c r="AD6" s="247">
        <f t="shared" si="2"/>
        <v>0</v>
      </c>
      <c r="AE6" s="247">
        <f t="shared" si="2"/>
        <v>164800</v>
      </c>
      <c r="AF6" s="247">
        <f t="shared" si="2"/>
        <v>988800</v>
      </c>
      <c r="AG6" s="247"/>
      <c r="AH6" s="247"/>
      <c r="AI6" s="247"/>
      <c r="AJ6" s="247">
        <f>SUM(AJ11+AJ15)</f>
        <v>0</v>
      </c>
      <c r="AK6" s="247">
        <f>SUM(AK11+AK15)</f>
        <v>0</v>
      </c>
      <c r="AL6" s="247">
        <f>SUM(AL11+AL15)</f>
        <v>0</v>
      </c>
      <c r="AM6" s="247">
        <f>SUM(AM11+AM15)</f>
        <v>0</v>
      </c>
      <c r="AN6" s="247">
        <f>SUM(AN11+AN15)</f>
        <v>0</v>
      </c>
      <c r="AO6" s="247"/>
      <c r="AP6" s="244"/>
      <c r="AQ6" s="248">
        <f>SUM(AQ11+AQ15)</f>
        <v>176450.4</v>
      </c>
      <c r="AR6" s="248">
        <f>SUM(AR11+AR15)</f>
        <v>988800</v>
      </c>
      <c r="AS6" s="248">
        <f>SUM(AS11+AS15)</f>
        <v>0</v>
      </c>
      <c r="AT6" s="248">
        <f>SUM(AT11+AT15)</f>
        <v>1165250.3999999999</v>
      </c>
      <c r="AU6" s="248">
        <f t="shared" ref="AU6:BB6" si="3">SUM(AU11+AU15)</f>
        <v>176450.4</v>
      </c>
      <c r="AV6" s="248">
        <f t="shared" si="3"/>
        <v>0</v>
      </c>
      <c r="AW6" s="248">
        <f>SUM(AW11+AW15)</f>
        <v>0</v>
      </c>
      <c r="AX6" s="248">
        <f t="shared" si="3"/>
        <v>0</v>
      </c>
      <c r="AY6" s="248">
        <f t="shared" si="3"/>
        <v>0</v>
      </c>
      <c r="AZ6" s="248">
        <f t="shared" si="3"/>
        <v>0</v>
      </c>
      <c r="BA6" s="248">
        <f t="shared" si="3"/>
        <v>0</v>
      </c>
      <c r="BB6" s="248">
        <f t="shared" si="3"/>
        <v>-988799.99999999988</v>
      </c>
    </row>
    <row r="7" spans="1:58" ht="78.75" outlineLevel="2" x14ac:dyDescent="0.25">
      <c r="A7" s="115"/>
      <c r="B7" s="200"/>
      <c r="C7" s="201"/>
      <c r="D7" s="138"/>
      <c r="E7" s="295"/>
      <c r="F7" s="295"/>
      <c r="G7" s="296"/>
      <c r="H7" s="199" t="s">
        <v>369</v>
      </c>
      <c r="I7" s="130"/>
      <c r="J7" s="126"/>
      <c r="K7" s="126"/>
      <c r="L7" s="125" t="str">
        <f>IF(I7&lt;&gt;0,((VLOOKUP(I7,'1. Standard_Cost'!$B$4:$D$11,2)+VLOOKUP(I7,'1. Standard_Cost'!$B$4:$D$11,3))*J7*K7),"0")</f>
        <v>0</v>
      </c>
      <c r="M7" s="125">
        <f>L7*'1. Standard_Cost'!$F$4</f>
        <v>0</v>
      </c>
      <c r="N7" s="126"/>
      <c r="O7" s="126"/>
      <c r="P7" s="126"/>
      <c r="Q7" s="126"/>
      <c r="R7" s="127">
        <f>'1. Standard_Cost'!$B$15*N7*P7</f>
        <v>0</v>
      </c>
      <c r="S7" s="127">
        <f>N7*O7*P7*'1. Standard_Cost'!$C$15</f>
        <v>0</v>
      </c>
      <c r="T7" s="127">
        <f>N7*P7*Q7*'1. Standard_Cost'!$D$15</f>
        <v>0</v>
      </c>
      <c r="U7" s="127">
        <f>N7*O7*'1. Standard_Cost'!$E$15</f>
        <v>0</v>
      </c>
      <c r="V7" s="126"/>
      <c r="W7" s="126"/>
      <c r="X7" s="126"/>
      <c r="Y7" s="127">
        <f>+V7*((X7*'1. Standard_Cost'!$B$19)+(W7*X7*'1. Standard_Cost'!$C$19))</f>
        <v>0</v>
      </c>
      <c r="Z7" s="126"/>
      <c r="AA7" s="126"/>
      <c r="AB7" s="127">
        <f>+Z7*'1. Standard_Cost'!$B$23+AA7*'1. Standard_Cost'!$C$23</f>
        <v>0</v>
      </c>
      <c r="AC7" s="128"/>
      <c r="AD7" s="129"/>
      <c r="AE7" s="127">
        <f>SUM(AD7,AC7,AB7,Y7,U7,T7,S7,R7)*'1. Standard_Cost'!$B$31</f>
        <v>0</v>
      </c>
      <c r="AF7" s="127">
        <f>SUM(AE7,AD7,AC7,AB7,Y7,U7,T7,S7,R7)</f>
        <v>0</v>
      </c>
      <c r="AG7" s="126"/>
      <c r="AH7" s="126"/>
      <c r="AI7" s="126"/>
      <c r="AJ7" s="130"/>
      <c r="AK7" s="130"/>
      <c r="AL7" s="130"/>
      <c r="AM7" s="127">
        <f>AG7*'1. Standard_Cost'!$B$27+'Incremental_Cost Year 7'!AH7*'1. Standard_Cost'!$C$27+'Incremental_Cost Year 7'!AI7*'1. Standard_Cost'!$D$27+'Incremental_Cost Year 7'!AJ7+'Incremental_Cost Year 7'!AL7+AK7</f>
        <v>0</v>
      </c>
      <c r="AN7" s="127">
        <f>AM7*'1. Standard_Cost'!$C$31</f>
        <v>0</v>
      </c>
      <c r="AO7" s="249"/>
      <c r="AQ7" s="171">
        <f>L7+M7</f>
        <v>0</v>
      </c>
      <c r="AR7" s="171">
        <f>AF7</f>
        <v>0</v>
      </c>
      <c r="AS7" s="171">
        <f>AM7+AN7</f>
        <v>0</v>
      </c>
      <c r="AT7" s="171">
        <f>SUM(AQ7,AR7,AS7)</f>
        <v>0</v>
      </c>
      <c r="AU7" s="250">
        <f>AQ7</f>
        <v>0</v>
      </c>
      <c r="AV7" s="250"/>
      <c r="AW7" s="250"/>
      <c r="AX7" s="250"/>
      <c r="AY7" s="250"/>
      <c r="AZ7" s="250"/>
      <c r="BA7" s="250"/>
      <c r="BB7" s="251">
        <f>SUM(AU7:BA7)-AT7</f>
        <v>0</v>
      </c>
      <c r="BC7" s="169"/>
      <c r="BD7" s="169"/>
      <c r="BE7" s="169"/>
      <c r="BF7" s="169"/>
    </row>
    <row r="8" spans="1:58" ht="126" outlineLevel="2" x14ac:dyDescent="0.25">
      <c r="A8" s="115"/>
      <c r="B8" s="200"/>
      <c r="C8" s="201"/>
      <c r="D8" s="135"/>
      <c r="E8" s="219"/>
      <c r="F8" s="219"/>
      <c r="G8" s="313"/>
      <c r="H8" s="199" t="s">
        <v>370</v>
      </c>
      <c r="I8" s="130"/>
      <c r="J8" s="126"/>
      <c r="K8" s="126"/>
      <c r="L8" s="125" t="str">
        <f>IF(I8&lt;&gt;0,((VLOOKUP(I8,'1. Standard_Cost'!$B$4:$D$11,2)+VLOOKUP(I8,'1. Standard_Cost'!$B$4:$D$11,3))*J8*K8),"0")</f>
        <v>0</v>
      </c>
      <c r="M8" s="125">
        <f>L8*'1. Standard_Cost'!$F$4</f>
        <v>0</v>
      </c>
      <c r="N8" s="126"/>
      <c r="O8" s="126"/>
      <c r="P8" s="126"/>
      <c r="Q8" s="126"/>
      <c r="R8" s="127">
        <f>'1. Standard_Cost'!$B$15*N8*P8</f>
        <v>0</v>
      </c>
      <c r="S8" s="127">
        <f>N8*O8*P8*'1. Standard_Cost'!$C$15</f>
        <v>0</v>
      </c>
      <c r="T8" s="127">
        <f>N8*P8*Q8*'1. Standard_Cost'!$D$15</f>
        <v>0</v>
      </c>
      <c r="U8" s="127">
        <f>N8*O8*'1. Standard_Cost'!$E$15</f>
        <v>0</v>
      </c>
      <c r="V8" s="126"/>
      <c r="W8" s="126"/>
      <c r="X8" s="126"/>
      <c r="Y8" s="127">
        <f>+V8*((X8*'1. Standard_Cost'!$B$19)+(W8*X8*'1. Standard_Cost'!$C$19))</f>
        <v>0</v>
      </c>
      <c r="Z8" s="126"/>
      <c r="AA8" s="126"/>
      <c r="AB8" s="127">
        <f>+Z8*'1. Standard_Cost'!$B$23+AA8*'1. Standard_Cost'!$C$23</f>
        <v>0</v>
      </c>
      <c r="AC8" s="128"/>
      <c r="AD8" s="129"/>
      <c r="AE8" s="127">
        <f>SUM(AD8,AC8,AB8,Y8,U8,T8,S8,R8)*'1. Standard_Cost'!$B$31</f>
        <v>0</v>
      </c>
      <c r="AF8" s="127">
        <f>SUM(AE8,AD8,AC8,AB8,Y8,U8,T8,S8,R8)</f>
        <v>0</v>
      </c>
      <c r="AG8" s="126"/>
      <c r="AH8" s="126"/>
      <c r="AI8" s="126"/>
      <c r="AJ8" s="130"/>
      <c r="AK8" s="130"/>
      <c r="AL8" s="130"/>
      <c r="AM8" s="127">
        <f>AG8*'1. Standard_Cost'!$B$27+'Incremental_Cost Year 7'!AH8*'1. Standard_Cost'!$C$27+'Incremental_Cost Year 7'!AI8*'1. Standard_Cost'!$D$27+'Incremental_Cost Year 7'!AJ8+'Incremental_Cost Year 7'!AL8+AK8</f>
        <v>0</v>
      </c>
      <c r="AN8" s="127">
        <f>AM8*'1. Standard_Cost'!$C$31</f>
        <v>0</v>
      </c>
      <c r="AO8" s="130"/>
      <c r="AQ8" s="171">
        <f>L8+M8</f>
        <v>0</v>
      </c>
      <c r="AR8" s="171">
        <f>AF8</f>
        <v>0</v>
      </c>
      <c r="AS8" s="171">
        <f>AM8+AN8</f>
        <v>0</v>
      </c>
      <c r="AT8" s="171">
        <f>SUM(AQ8,AR8,AS8)</f>
        <v>0</v>
      </c>
      <c r="AU8" s="250">
        <f>AQ8</f>
        <v>0</v>
      </c>
      <c r="AV8" s="250"/>
      <c r="AW8" s="250"/>
      <c r="AX8" s="250"/>
      <c r="AY8" s="250"/>
      <c r="AZ8" s="250"/>
      <c r="BA8" s="250"/>
      <c r="BB8" s="251">
        <f t="shared" ref="BB8:BB14" si="4">SUM(AU8:BA8)-AT8</f>
        <v>0</v>
      </c>
      <c r="BC8" s="169"/>
      <c r="BD8" s="169"/>
      <c r="BE8" s="169"/>
      <c r="BF8" s="169"/>
    </row>
    <row r="9" spans="1:58" ht="141.75" outlineLevel="2" x14ac:dyDescent="0.25">
      <c r="A9" s="115"/>
      <c r="B9" s="200"/>
      <c r="C9" s="201"/>
      <c r="D9" s="135"/>
      <c r="E9" s="219"/>
      <c r="F9" s="219"/>
      <c r="G9" s="313"/>
      <c r="H9" s="199" t="s">
        <v>371</v>
      </c>
      <c r="I9" s="130"/>
      <c r="J9" s="126"/>
      <c r="K9" s="126"/>
      <c r="L9" s="125" t="str">
        <f>IF(I9&lt;&gt;0,((VLOOKUP(I9,'1. Standard_Cost'!$B$4:$D$11,2)+VLOOKUP(I9,'1. Standard_Cost'!$B$4:$D$11,3))*J9*K9),"0")</f>
        <v>0</v>
      </c>
      <c r="M9" s="125">
        <f>L9*'1. Standard_Cost'!$F$4</f>
        <v>0</v>
      </c>
      <c r="N9" s="126"/>
      <c r="O9" s="126"/>
      <c r="P9" s="126"/>
      <c r="Q9" s="126"/>
      <c r="R9" s="127">
        <f>'1. Standard_Cost'!$B$15*N9*P9</f>
        <v>0</v>
      </c>
      <c r="S9" s="127">
        <f>N9*O9*P9*'1. Standard_Cost'!$C$15</f>
        <v>0</v>
      </c>
      <c r="T9" s="127">
        <f>N9*P9*Q9*'1. Standard_Cost'!$D$15</f>
        <v>0</v>
      </c>
      <c r="U9" s="127">
        <f>N9*O9*'1. Standard_Cost'!$E$15</f>
        <v>0</v>
      </c>
      <c r="V9" s="126"/>
      <c r="W9" s="126"/>
      <c r="X9" s="126"/>
      <c r="Y9" s="127">
        <f>+V9*((X9*'1. Standard_Cost'!$B$19)+(W9*X9*'1. Standard_Cost'!$C$19))</f>
        <v>0</v>
      </c>
      <c r="Z9" s="126"/>
      <c r="AA9" s="126">
        <v>0</v>
      </c>
      <c r="AB9" s="127">
        <f>+Z9*'1. Standard_Cost'!$B$23+AA9*'1. Standard_Cost'!$C$23</f>
        <v>0</v>
      </c>
      <c r="AC9" s="128">
        <v>0</v>
      </c>
      <c r="AD9" s="129"/>
      <c r="AE9" s="127">
        <f>SUM(AD9,AC9,AB9,Y9,U9,T9,S9,R9)*'1. Standard_Cost'!$B$31</f>
        <v>0</v>
      </c>
      <c r="AF9" s="127">
        <f>SUM(AE9,AD9,AC9,AB9,Y9,U9,T9,S9,R9)</f>
        <v>0</v>
      </c>
      <c r="AG9" s="126"/>
      <c r="AH9" s="126"/>
      <c r="AI9" s="126"/>
      <c r="AJ9" s="130"/>
      <c r="AK9" s="130"/>
      <c r="AL9" s="130"/>
      <c r="AM9" s="127">
        <f>AG9*'1. Standard_Cost'!$B$27+'Incremental_Cost Year 7'!AH9*'1. Standard_Cost'!$C$27+'Incremental_Cost Year 7'!AI9*'1. Standard_Cost'!$D$27+'Incremental_Cost Year 7'!AJ9+'Incremental_Cost Year 7'!AL9+AK9</f>
        <v>0</v>
      </c>
      <c r="AN9" s="127">
        <f>AM9*'1. Standard_Cost'!$C$31</f>
        <v>0</v>
      </c>
      <c r="AO9" s="130"/>
      <c r="AQ9" s="171">
        <f>L9+M9</f>
        <v>0</v>
      </c>
      <c r="AR9" s="171">
        <f>AF9</f>
        <v>0</v>
      </c>
      <c r="AS9" s="171">
        <f>AM9+AN9</f>
        <v>0</v>
      </c>
      <c r="AT9" s="171">
        <f>SUM(AQ9,AR9,AS9)</f>
        <v>0</v>
      </c>
      <c r="AU9" s="250">
        <f>AQ9</f>
        <v>0</v>
      </c>
      <c r="AV9" s="250"/>
      <c r="AW9" s="250"/>
      <c r="AX9" s="250"/>
      <c r="AY9" s="250"/>
      <c r="AZ9" s="250"/>
      <c r="BA9" s="250"/>
      <c r="BB9" s="251">
        <f t="shared" si="4"/>
        <v>0</v>
      </c>
      <c r="BC9" s="169"/>
      <c r="BD9" s="169"/>
      <c r="BE9" s="169"/>
      <c r="BF9" s="169"/>
    </row>
    <row r="10" spans="1:58" ht="141.75" outlineLevel="2" x14ac:dyDescent="0.25">
      <c r="A10" s="115"/>
      <c r="B10" s="200"/>
      <c r="C10" s="201"/>
      <c r="D10" s="223"/>
      <c r="E10" s="219"/>
      <c r="F10" s="122"/>
      <c r="G10" s="123"/>
      <c r="H10" s="199" t="s">
        <v>372</v>
      </c>
      <c r="I10" s="130"/>
      <c r="J10" s="126"/>
      <c r="K10" s="126"/>
      <c r="L10" s="125" t="str">
        <f>IF(I10&lt;&gt;0,((VLOOKUP(I10,'1. Standard_Cost'!$B$4:$D$11,2)+VLOOKUP(I10,'1. Standard_Cost'!$B$4:$D$11,3))*J10*K10),"0")</f>
        <v>0</v>
      </c>
      <c r="M10" s="125">
        <f>L10*'1. Standard_Cost'!$F$4</f>
        <v>0</v>
      </c>
      <c r="N10" s="126"/>
      <c r="O10" s="126"/>
      <c r="P10" s="126"/>
      <c r="Q10" s="126"/>
      <c r="R10" s="127">
        <f>'1. Standard_Cost'!$B$15*N10*P10</f>
        <v>0</v>
      </c>
      <c r="S10" s="127">
        <f>N10*O10*P10*'1. Standard_Cost'!$C$15</f>
        <v>0</v>
      </c>
      <c r="T10" s="127">
        <f>N10*P10*Q10*'1. Standard_Cost'!$D$15</f>
        <v>0</v>
      </c>
      <c r="U10" s="127">
        <f>N10*O10*'1. Standard_Cost'!$E$15</f>
        <v>0</v>
      </c>
      <c r="V10" s="126"/>
      <c r="W10" s="126"/>
      <c r="X10" s="126"/>
      <c r="Y10" s="127">
        <f>+V10*((X10*'1. Standard_Cost'!$B$19)+(W10*X10*'1. Standard_Cost'!$C$19))</f>
        <v>0</v>
      </c>
      <c r="Z10" s="126"/>
      <c r="AA10" s="126"/>
      <c r="AB10" s="127">
        <f>+Z10*'1. Standard_Cost'!$B$23+AA10*'1. Standard_Cost'!$C$23</f>
        <v>0</v>
      </c>
      <c r="AC10" s="128"/>
      <c r="AD10" s="129"/>
      <c r="AE10" s="127">
        <f>SUM(AD10,AC10,AB10,Y10,U10,T10,S10,R10)*'1. Standard_Cost'!$B$31</f>
        <v>0</v>
      </c>
      <c r="AF10" s="127">
        <f>SUM(AE10,AD10,AC10,AB10,Y10,U10,T10,S10,R10)</f>
        <v>0</v>
      </c>
      <c r="AG10" s="126"/>
      <c r="AH10" s="126"/>
      <c r="AI10" s="126"/>
      <c r="AJ10" s="130"/>
      <c r="AK10" s="130"/>
      <c r="AL10" s="130"/>
      <c r="AM10" s="127">
        <f>AG10*'1. Standard_Cost'!$B$27+'Incremental_Cost Year 7'!AH10*'1. Standard_Cost'!$C$27+'Incremental_Cost Year 7'!AI10*'1. Standard_Cost'!$D$27+'Incremental_Cost Year 7'!AJ10+'Incremental_Cost Year 7'!AL10+AK10</f>
        <v>0</v>
      </c>
      <c r="AN10" s="127">
        <f>AM10*'1. Standard_Cost'!$C$31</f>
        <v>0</v>
      </c>
      <c r="AO10" s="130"/>
      <c r="AQ10" s="171">
        <f>L10+M10</f>
        <v>0</v>
      </c>
      <c r="AR10" s="171">
        <f>AF10</f>
        <v>0</v>
      </c>
      <c r="AS10" s="171">
        <f>AM10+AN10</f>
        <v>0</v>
      </c>
      <c r="AT10" s="171">
        <f>SUM(AQ10,AR10,AS10)</f>
        <v>0</v>
      </c>
      <c r="AU10" s="250">
        <f>AQ10</f>
        <v>0</v>
      </c>
      <c r="AV10" s="250"/>
      <c r="AW10" s="250"/>
      <c r="AX10" s="250"/>
      <c r="AY10" s="250"/>
      <c r="AZ10" s="250"/>
      <c r="BA10" s="250"/>
      <c r="BB10" s="251">
        <f t="shared" si="4"/>
        <v>0</v>
      </c>
      <c r="BC10" s="169"/>
      <c r="BD10" s="169"/>
      <c r="BE10" s="169"/>
      <c r="BF10" s="169"/>
    </row>
    <row r="11" spans="1:58" ht="78.75" outlineLevel="1" x14ac:dyDescent="0.25">
      <c r="A11" s="115"/>
      <c r="B11" s="142"/>
      <c r="C11" s="297"/>
      <c r="D11" s="116" t="s">
        <v>373</v>
      </c>
      <c r="E11" s="209" t="s">
        <v>374</v>
      </c>
      <c r="F11" s="117">
        <v>2022</v>
      </c>
      <c r="G11" s="117">
        <v>2024</v>
      </c>
      <c r="H11" s="298" t="s">
        <v>46</v>
      </c>
      <c r="I11" s="252"/>
      <c r="J11" s="252"/>
      <c r="K11" s="252"/>
      <c r="L11" s="127">
        <f>SUM(L7:L10)</f>
        <v>0</v>
      </c>
      <c r="M11" s="127">
        <f>SUM(M7:M10)</f>
        <v>0</v>
      </c>
      <c r="N11" s="127"/>
      <c r="O11" s="252"/>
      <c r="P11" s="252"/>
      <c r="Q11" s="252"/>
      <c r="R11" s="127">
        <f>SUM(R7:R10)</f>
        <v>0</v>
      </c>
      <c r="S11" s="127">
        <f>SUM(S7:S10)</f>
        <v>0</v>
      </c>
      <c r="T11" s="127">
        <f>SUM(T7:T10)</f>
        <v>0</v>
      </c>
      <c r="U11" s="127">
        <f>SUM(U7:U10)</f>
        <v>0</v>
      </c>
      <c r="V11" s="252"/>
      <c r="W11" s="252"/>
      <c r="X11" s="252"/>
      <c r="Y11" s="127">
        <f>SUM(Y7:Y10)</f>
        <v>0</v>
      </c>
      <c r="Z11" s="252"/>
      <c r="AA11" s="252"/>
      <c r="AB11" s="127">
        <f>SUM(AB7:AB10)</f>
        <v>0</v>
      </c>
      <c r="AC11" s="127">
        <f>SUM(AC7:AC9)</f>
        <v>0</v>
      </c>
      <c r="AD11" s="127">
        <f>SUM(AD7:AD9)</f>
        <v>0</v>
      </c>
      <c r="AE11" s="127">
        <f>SUM(AE7:AE9)</f>
        <v>0</v>
      </c>
      <c r="AF11" s="127">
        <f>SUM(AF7:AF9)</f>
        <v>0</v>
      </c>
      <c r="AG11" s="252"/>
      <c r="AH11" s="252"/>
      <c r="AI11" s="252"/>
      <c r="AJ11" s="127">
        <f>SUM(AJ7:AJ9)</f>
        <v>0</v>
      </c>
      <c r="AK11" s="127">
        <f>SUM(AK7:AK9)</f>
        <v>0</v>
      </c>
      <c r="AL11" s="127">
        <f>SUM(AL7:AL9)</f>
        <v>0</v>
      </c>
      <c r="AM11" s="127">
        <f>SUM(AM7:AM9)</f>
        <v>0</v>
      </c>
      <c r="AN11" s="127">
        <f>SUM(AN7:AN9)</f>
        <v>0</v>
      </c>
      <c r="AO11" s="253"/>
      <c r="AP11" s="254"/>
      <c r="AQ11" s="175">
        <f>SUM(AQ7:AQ10)</f>
        <v>0</v>
      </c>
      <c r="AR11" s="175">
        <f>SUM(AR7:AR10)</f>
        <v>0</v>
      </c>
      <c r="AS11" s="175">
        <f>SUM(AS7:AS10)</f>
        <v>0</v>
      </c>
      <c r="AT11" s="175">
        <f>SUM(AT7:AT10)</f>
        <v>0</v>
      </c>
      <c r="AU11" s="175">
        <f t="shared" ref="AU11:BA11" si="5">SUM(AU7:AU9)</f>
        <v>0</v>
      </c>
      <c r="AV11" s="175">
        <f t="shared" si="5"/>
        <v>0</v>
      </c>
      <c r="AW11" s="175">
        <f>SUM(AW7:AW9)</f>
        <v>0</v>
      </c>
      <c r="AX11" s="175">
        <f t="shared" si="5"/>
        <v>0</v>
      </c>
      <c r="AY11" s="175">
        <f t="shared" si="5"/>
        <v>0</v>
      </c>
      <c r="AZ11" s="175">
        <f t="shared" si="5"/>
        <v>0</v>
      </c>
      <c r="BA11" s="175">
        <f t="shared" si="5"/>
        <v>0</v>
      </c>
      <c r="BB11" s="175">
        <f>SUM(BB7:BB10)</f>
        <v>0</v>
      </c>
      <c r="BC11" s="169"/>
      <c r="BD11" s="169"/>
      <c r="BE11" s="169"/>
      <c r="BF11" s="169"/>
    </row>
    <row r="12" spans="1:58" ht="189" outlineLevel="2" x14ac:dyDescent="0.25">
      <c r="A12" s="115"/>
      <c r="B12" s="200"/>
      <c r="C12" s="201"/>
      <c r="D12" s="138"/>
      <c r="E12" s="295"/>
      <c r="F12" s="295"/>
      <c r="G12" s="296"/>
      <c r="H12" s="299" t="s">
        <v>375</v>
      </c>
      <c r="I12" s="130"/>
      <c r="J12" s="126"/>
      <c r="K12" s="126"/>
      <c r="L12" s="125" t="str">
        <f>IF(I12&lt;&gt;0,((VLOOKUP(I12,'1. Standard_Cost'!$B$4:$D$11,2)+VLOOKUP(I12,'1. Standard_Cost'!$B$4:$D$11,3))*J12*K12),"0")</f>
        <v>0</v>
      </c>
      <c r="M12" s="125">
        <f>L12*'1. Standard_Cost'!$F$4</f>
        <v>0</v>
      </c>
      <c r="N12" s="126"/>
      <c r="O12" s="126"/>
      <c r="P12" s="126"/>
      <c r="Q12" s="126"/>
      <c r="R12" s="127">
        <f>'1. Standard_Cost'!$B$15*N12*P12</f>
        <v>0</v>
      </c>
      <c r="S12" s="127">
        <f>N12*O12*P12*'1. Standard_Cost'!$C$15</f>
        <v>0</v>
      </c>
      <c r="T12" s="127">
        <f>N12*P12*Q12*'1. Standard_Cost'!$D$15</f>
        <v>0</v>
      </c>
      <c r="U12" s="127">
        <f>N12*O12*'1. Standard_Cost'!$E$15</f>
        <v>0</v>
      </c>
      <c r="V12" s="126"/>
      <c r="W12" s="126"/>
      <c r="X12" s="126"/>
      <c r="Y12" s="127">
        <f>+V12*((X12*'1. Standard_Cost'!$B$19)+(W12*X12*'1. Standard_Cost'!$C$19))</f>
        <v>0</v>
      </c>
      <c r="Z12" s="126"/>
      <c r="AA12" s="126"/>
      <c r="AB12" s="127">
        <f>+Z12*'1. Standard_Cost'!$B$23+AA12*'1. Standard_Cost'!$C$23</f>
        <v>0</v>
      </c>
      <c r="AC12" s="128"/>
      <c r="AD12" s="129"/>
      <c r="AE12" s="127">
        <f>SUM(AD12,AC12,AB12,Y12,U12,T12,S12,R12)*'1. Standard_Cost'!$B$31</f>
        <v>0</v>
      </c>
      <c r="AF12" s="127">
        <f>SUM(AE12,AD12,AC12,AB12,Y12,U12,T12,S12,R12)</f>
        <v>0</v>
      </c>
      <c r="AG12" s="126"/>
      <c r="AH12" s="126"/>
      <c r="AI12" s="126"/>
      <c r="AJ12" s="130"/>
      <c r="AK12" s="130"/>
      <c r="AL12" s="130"/>
      <c r="AM12" s="127">
        <f>AG12*'1. Standard_Cost'!$B$27+'Incremental_Cost Year 7'!AH12*'1. Standard_Cost'!$C$27+'Incremental_Cost Year 7'!AI12*'1. Standard_Cost'!$D$27+'Incremental_Cost Year 7'!AJ12+'Incremental_Cost Year 7'!AL12+AK12</f>
        <v>0</v>
      </c>
      <c r="AN12" s="127">
        <f>AM12*'1. Standard_Cost'!$C$31</f>
        <v>0</v>
      </c>
      <c r="AO12" s="130"/>
      <c r="AQ12" s="171">
        <f>L12+M12</f>
        <v>0</v>
      </c>
      <c r="AR12" s="171">
        <f>AF12</f>
        <v>0</v>
      </c>
      <c r="AS12" s="171">
        <f>AM12+AN12</f>
        <v>0</v>
      </c>
      <c r="AT12" s="171">
        <f>SUM(AQ12,AR12,AS12)</f>
        <v>0</v>
      </c>
      <c r="AU12" s="250">
        <f>AQ12</f>
        <v>0</v>
      </c>
      <c r="AV12" s="250"/>
      <c r="AW12" s="250"/>
      <c r="AX12" s="250"/>
      <c r="AY12" s="250"/>
      <c r="AZ12" s="250"/>
      <c r="BA12" s="250"/>
      <c r="BB12" s="251">
        <f t="shared" si="4"/>
        <v>0</v>
      </c>
      <c r="BC12" s="169"/>
      <c r="BD12" s="169"/>
      <c r="BE12" s="169"/>
      <c r="BF12" s="169"/>
    </row>
    <row r="13" spans="1:58" ht="94.5" outlineLevel="2" x14ac:dyDescent="0.25">
      <c r="A13" s="115"/>
      <c r="B13" s="200"/>
      <c r="C13" s="201"/>
      <c r="D13" s="135"/>
      <c r="E13" s="219"/>
      <c r="F13" s="219"/>
      <c r="G13" s="313"/>
      <c r="H13" s="213" t="s">
        <v>376</v>
      </c>
      <c r="I13" s="130"/>
      <c r="J13" s="126"/>
      <c r="K13" s="126"/>
      <c r="L13" s="125" t="str">
        <f>IF(I13&lt;&gt;0,((VLOOKUP(I13,'1. Standard_Cost'!$B$4:$D$11,2)+VLOOKUP(I13,'1. Standard_Cost'!$B$4:$D$11,3))*J13*K13),"0")</f>
        <v>0</v>
      </c>
      <c r="M13" s="125">
        <f>L13*'1. Standard_Cost'!$F$4</f>
        <v>0</v>
      </c>
      <c r="N13" s="126"/>
      <c r="O13" s="126"/>
      <c r="P13" s="126"/>
      <c r="Q13" s="126"/>
      <c r="R13" s="127">
        <f>'1. Standard_Cost'!$B$15*N13*P13</f>
        <v>0</v>
      </c>
      <c r="S13" s="127">
        <f>N13*O13*P13*'1. Standard_Cost'!$C$15</f>
        <v>0</v>
      </c>
      <c r="T13" s="127">
        <f>N13*P13*Q13*'1. Standard_Cost'!$D$15</f>
        <v>0</v>
      </c>
      <c r="U13" s="127">
        <f>N13*O13*'1. Standard_Cost'!$E$15</f>
        <v>0</v>
      </c>
      <c r="V13" s="126"/>
      <c r="W13" s="126"/>
      <c r="X13" s="126"/>
      <c r="Y13" s="127">
        <f>+V13*((X13*'1. Standard_Cost'!$B$19)+(W13*X13*'1. Standard_Cost'!$C$19))</f>
        <v>0</v>
      </c>
      <c r="Z13" s="126">
        <v>0</v>
      </c>
      <c r="AA13" s="126">
        <v>0</v>
      </c>
      <c r="AB13" s="127">
        <f>+Z13*'1. Standard_Cost'!$B$23+AA13*'1. Standard_Cost'!$C$23</f>
        <v>0</v>
      </c>
      <c r="AC13" s="128">
        <v>0</v>
      </c>
      <c r="AD13" s="129"/>
      <c r="AE13" s="127">
        <f>SUM(AD13,AC13,AB13,Y13,U13,T13,S13,R13)*'1. Standard_Cost'!$B$31</f>
        <v>0</v>
      </c>
      <c r="AF13" s="127">
        <f>SUM(AE13,AD13,AC13,AB13,Y13,U13,T13,S13,R13)</f>
        <v>0</v>
      </c>
      <c r="AG13" s="126"/>
      <c r="AH13" s="126"/>
      <c r="AI13" s="126"/>
      <c r="AJ13" s="130"/>
      <c r="AK13" s="130"/>
      <c r="AL13" s="130"/>
      <c r="AM13" s="127">
        <f>AG13*'1. Standard_Cost'!$B$27+'Incremental_Cost Year 7'!AH13*'1. Standard_Cost'!$C$27+'Incremental_Cost Year 7'!AI13*'1. Standard_Cost'!$D$27+'Incremental_Cost Year 7'!AJ13+'Incremental_Cost Year 7'!AL13+AK13</f>
        <v>0</v>
      </c>
      <c r="AN13" s="127">
        <f>AM13*'1. Standard_Cost'!$C$31</f>
        <v>0</v>
      </c>
      <c r="AO13" s="130"/>
      <c r="AQ13" s="171">
        <f>L13+M13</f>
        <v>0</v>
      </c>
      <c r="AR13" s="171">
        <f>AF13</f>
        <v>0</v>
      </c>
      <c r="AS13" s="171">
        <f>AM13+AN13</f>
        <v>0</v>
      </c>
      <c r="AT13" s="171">
        <f>SUM(AQ13,AR13,AS13)</f>
        <v>0</v>
      </c>
      <c r="AU13" s="250">
        <f>AQ13</f>
        <v>0</v>
      </c>
      <c r="AV13" s="250"/>
      <c r="AW13" s="250"/>
      <c r="AX13" s="250"/>
      <c r="AY13" s="250"/>
      <c r="AZ13" s="250"/>
      <c r="BA13" s="250"/>
      <c r="BB13" s="251">
        <f t="shared" si="4"/>
        <v>0</v>
      </c>
      <c r="BC13" s="169"/>
      <c r="BD13" s="169"/>
      <c r="BE13" s="169"/>
      <c r="BF13" s="169"/>
    </row>
    <row r="14" spans="1:58" ht="141.75" outlineLevel="2" x14ac:dyDescent="0.25">
      <c r="A14" s="115"/>
      <c r="B14" s="200"/>
      <c r="C14" s="201"/>
      <c r="D14" s="223"/>
      <c r="E14" s="219"/>
      <c r="F14" s="219"/>
      <c r="G14" s="313"/>
      <c r="H14" s="213" t="s">
        <v>377</v>
      </c>
      <c r="I14" s="130" t="s">
        <v>3</v>
      </c>
      <c r="J14" s="126">
        <v>0.5</v>
      </c>
      <c r="K14" s="126">
        <v>3</v>
      </c>
      <c r="L14" s="125">
        <f>IF(I14&lt;&gt;0,((VLOOKUP(I14,'1. Standard_Cost'!$B$4:$D$11,2)+VLOOKUP(I14,'1. Standard_Cost'!$B$4:$D$11,3))*J14*K14),"0")</f>
        <v>151200</v>
      </c>
      <c r="M14" s="125">
        <f>L14*'1. Standard_Cost'!$F$4</f>
        <v>25250.400000000001</v>
      </c>
      <c r="N14" s="126">
        <v>5</v>
      </c>
      <c r="O14" s="126">
        <v>1</v>
      </c>
      <c r="P14" s="126">
        <v>15</v>
      </c>
      <c r="Q14" s="126"/>
      <c r="R14" s="127">
        <f>'1. Standard_Cost'!$B$15*N14*P14</f>
        <v>150000</v>
      </c>
      <c r="S14" s="127">
        <f>N14*O14*P14*'1. Standard_Cost'!$C$15</f>
        <v>112500</v>
      </c>
      <c r="T14" s="127">
        <f>N14*P14*Q14*'1. Standard_Cost'!$D$15</f>
        <v>0</v>
      </c>
      <c r="U14" s="127">
        <f>N14*O14*'1. Standard_Cost'!$E$15</f>
        <v>200000</v>
      </c>
      <c r="V14" s="126"/>
      <c r="W14" s="126"/>
      <c r="X14" s="126"/>
      <c r="Y14" s="127">
        <f>+V14*((X14*'1. Standard_Cost'!$B$19)+(W14*X14*'1. Standard_Cost'!$C$19))</f>
        <v>0</v>
      </c>
      <c r="Z14" s="126"/>
      <c r="AA14" s="126">
        <v>6</v>
      </c>
      <c r="AB14" s="127">
        <f>+Z14*'1. Standard_Cost'!$B$23+AA14*'1. Standard_Cost'!$C$23</f>
        <v>114000</v>
      </c>
      <c r="AC14" s="128">
        <f>75*3300</f>
        <v>247500</v>
      </c>
      <c r="AD14" s="129"/>
      <c r="AE14" s="127">
        <f>SUM(AD14,AC14,AB14,Y14,U14,T14,S14,R14)*'1. Standard_Cost'!$B$31</f>
        <v>164800</v>
      </c>
      <c r="AF14" s="127">
        <f>SUM(AE14,AD14,AC14,AB14,Y14,U14,T14,S14,R14)</f>
        <v>988800</v>
      </c>
      <c r="AG14" s="126"/>
      <c r="AH14" s="126"/>
      <c r="AI14" s="126"/>
      <c r="AJ14" s="130"/>
      <c r="AK14" s="130"/>
      <c r="AL14" s="130"/>
      <c r="AM14" s="127">
        <f>AG14*'1. Standard_Cost'!$B$27+'Incremental_Cost Year 7'!AH14*'1. Standard_Cost'!$C$27+'Incremental_Cost Year 7'!AI14*'1. Standard_Cost'!$D$27+'Incremental_Cost Year 7'!AJ14+'Incremental_Cost Year 7'!AL14+AK14</f>
        <v>0</v>
      </c>
      <c r="AN14" s="127">
        <f>AM14*'1. Standard_Cost'!$C$31</f>
        <v>0</v>
      </c>
      <c r="AO14" s="130"/>
      <c r="AQ14" s="171">
        <f>L14+M14</f>
        <v>176450.4</v>
      </c>
      <c r="AR14" s="171">
        <f>AF14</f>
        <v>988800</v>
      </c>
      <c r="AS14" s="171">
        <f>AM14+AN14</f>
        <v>0</v>
      </c>
      <c r="AT14" s="171">
        <f>SUM(AQ14,AR14,AS14)</f>
        <v>1165250.3999999999</v>
      </c>
      <c r="AU14" s="250">
        <f>AQ14</f>
        <v>176450.4</v>
      </c>
      <c r="AV14" s="250"/>
      <c r="AW14" s="250"/>
      <c r="AX14" s="250"/>
      <c r="AY14" s="250"/>
      <c r="AZ14" s="250"/>
      <c r="BA14" s="250"/>
      <c r="BB14" s="251">
        <f t="shared" si="4"/>
        <v>-988799.99999999988</v>
      </c>
      <c r="BC14" s="169"/>
      <c r="BD14" s="169"/>
      <c r="BE14" s="169"/>
      <c r="BF14" s="169"/>
    </row>
    <row r="15" spans="1:58" ht="63" outlineLevel="1" x14ac:dyDescent="0.25">
      <c r="A15" s="115"/>
      <c r="B15" s="165"/>
      <c r="C15" s="166"/>
      <c r="D15" s="110" t="s">
        <v>378</v>
      </c>
      <c r="E15" s="116" t="s">
        <v>379</v>
      </c>
      <c r="F15" s="209">
        <v>2021</v>
      </c>
      <c r="G15" s="117">
        <v>2030</v>
      </c>
      <c r="H15" s="110" t="s">
        <v>47</v>
      </c>
      <c r="I15" s="252"/>
      <c r="J15" s="252"/>
      <c r="K15" s="252"/>
      <c r="L15" s="127">
        <f>SUM(L12:L14)</f>
        <v>151200</v>
      </c>
      <c r="M15" s="127">
        <f>SUM(M12:M14)</f>
        <v>25250.400000000001</v>
      </c>
      <c r="N15" s="252"/>
      <c r="O15" s="252"/>
      <c r="P15" s="252"/>
      <c r="Q15" s="252"/>
      <c r="R15" s="127">
        <f>SUM(R12:R14)</f>
        <v>150000</v>
      </c>
      <c r="S15" s="127">
        <f>SUM(S12:S14)</f>
        <v>112500</v>
      </c>
      <c r="T15" s="127">
        <f>SUM(T12:T14)</f>
        <v>0</v>
      </c>
      <c r="U15" s="127">
        <f>SUM(U12:U14)</f>
        <v>200000</v>
      </c>
      <c r="V15" s="252"/>
      <c r="W15" s="252"/>
      <c r="X15" s="252"/>
      <c r="Y15" s="127">
        <f>SUM(Y12:Y14)</f>
        <v>0</v>
      </c>
      <c r="Z15" s="252"/>
      <c r="AA15" s="252"/>
      <c r="AB15" s="127">
        <f>SUM(AB12:AB14)</f>
        <v>114000</v>
      </c>
      <c r="AC15" s="127">
        <f>SUM(AC12:AC14)</f>
        <v>247500</v>
      </c>
      <c r="AD15" s="127">
        <f>SUM(AD12:AD14)</f>
        <v>0</v>
      </c>
      <c r="AE15" s="127">
        <f>SUM(AE12:AE14)</f>
        <v>164800</v>
      </c>
      <c r="AF15" s="127">
        <f>SUM(AF12:AF14)</f>
        <v>988800</v>
      </c>
      <c r="AG15" s="252"/>
      <c r="AH15" s="252"/>
      <c r="AI15" s="252"/>
      <c r="AJ15" s="127">
        <f>SUM(AJ12:AJ12)</f>
        <v>0</v>
      </c>
      <c r="AK15" s="127">
        <f>SUM(AK12:AK14)</f>
        <v>0</v>
      </c>
      <c r="AL15" s="127">
        <f>SUM(AL12:AL14)</f>
        <v>0</v>
      </c>
      <c r="AM15" s="127">
        <f>SUM(AM12:AM14)</f>
        <v>0</v>
      </c>
      <c r="AN15" s="127">
        <f>SUM(AN12:AN14)</f>
        <v>0</v>
      </c>
      <c r="AO15" s="253"/>
      <c r="AP15" s="254"/>
      <c r="AQ15" s="175">
        <f>SUM(AQ12:AQ14)</f>
        <v>176450.4</v>
      </c>
      <c r="AR15" s="175">
        <f>SUM(AR12:AR14)</f>
        <v>988800</v>
      </c>
      <c r="AS15" s="175">
        <f>SUM(AS12:AS14)</f>
        <v>0</v>
      </c>
      <c r="AT15" s="175">
        <f>SUM(AT12:AT14)</f>
        <v>1165250.3999999999</v>
      </c>
      <c r="AU15" s="175">
        <f t="shared" ref="AU15:BB15" si="6">SUM(AU12:AU14)</f>
        <v>176450.4</v>
      </c>
      <c r="AV15" s="175">
        <f t="shared" si="6"/>
        <v>0</v>
      </c>
      <c r="AW15" s="175">
        <f>SUM(AW12:AW14)</f>
        <v>0</v>
      </c>
      <c r="AX15" s="175">
        <f t="shared" si="6"/>
        <v>0</v>
      </c>
      <c r="AY15" s="175">
        <f t="shared" si="6"/>
        <v>0</v>
      </c>
      <c r="AZ15" s="175">
        <f t="shared" si="6"/>
        <v>0</v>
      </c>
      <c r="BA15" s="175">
        <f t="shared" si="6"/>
        <v>0</v>
      </c>
      <c r="BB15" s="175">
        <f t="shared" si="6"/>
        <v>-988799.99999999988</v>
      </c>
      <c r="BC15" s="169"/>
      <c r="BD15" s="169"/>
      <c r="BE15" s="169"/>
      <c r="BF15" s="169"/>
    </row>
    <row r="16" spans="1:58" s="170" customFormat="1" ht="15.75" customHeight="1" x14ac:dyDescent="0.25">
      <c r="A16" s="120"/>
      <c r="B16" s="290"/>
      <c r="C16" s="391" t="s">
        <v>192</v>
      </c>
      <c r="D16" s="391"/>
      <c r="E16" s="392"/>
      <c r="F16" s="288"/>
      <c r="G16" s="288"/>
      <c r="H16" s="114" t="s">
        <v>209</v>
      </c>
      <c r="I16" s="246"/>
      <c r="J16" s="246"/>
      <c r="K16" s="246"/>
      <c r="L16" s="247">
        <f>SUM(L19)</f>
        <v>3230000</v>
      </c>
      <c r="M16" s="247">
        <f>SUM(M19)</f>
        <v>539410</v>
      </c>
      <c r="N16" s="247"/>
      <c r="O16" s="247"/>
      <c r="P16" s="247"/>
      <c r="Q16" s="247"/>
      <c r="R16" s="247">
        <f>SUM(R19)</f>
        <v>0</v>
      </c>
      <c r="S16" s="247">
        <f>SUM(S19)</f>
        <v>0</v>
      </c>
      <c r="T16" s="247">
        <f>SUM(T19)</f>
        <v>0</v>
      </c>
      <c r="U16" s="247">
        <f>SUM(U19)</f>
        <v>0</v>
      </c>
      <c r="V16" s="247"/>
      <c r="W16" s="247"/>
      <c r="X16" s="247"/>
      <c r="Y16" s="247">
        <f>SUM(Y19)</f>
        <v>0</v>
      </c>
      <c r="Z16" s="247">
        <f t="shared" ref="Z16:AA16" si="7">SUM(Z19)</f>
        <v>0</v>
      </c>
      <c r="AA16" s="247">
        <f t="shared" si="7"/>
        <v>0</v>
      </c>
      <c r="AB16" s="247">
        <f t="shared" ref="AB16:AF16" si="8">SUM(AB19)</f>
        <v>1130000</v>
      </c>
      <c r="AC16" s="247">
        <f t="shared" si="8"/>
        <v>228000</v>
      </c>
      <c r="AD16" s="247">
        <f t="shared" si="8"/>
        <v>0</v>
      </c>
      <c r="AE16" s="247">
        <f t="shared" si="8"/>
        <v>271600</v>
      </c>
      <c r="AF16" s="247">
        <f t="shared" si="8"/>
        <v>1629600</v>
      </c>
      <c r="AG16" s="247"/>
      <c r="AH16" s="247"/>
      <c r="AI16" s="247"/>
      <c r="AJ16" s="247">
        <f>SUM(AJ19)</f>
        <v>0</v>
      </c>
      <c r="AK16" s="247">
        <f>SUM(AK19)</f>
        <v>0</v>
      </c>
      <c r="AL16" s="247">
        <f>SUM(AL19)</f>
        <v>0</v>
      </c>
      <c r="AM16" s="247">
        <f>SUM(AM19)</f>
        <v>0</v>
      </c>
      <c r="AN16" s="247">
        <f>SUM(AN19)</f>
        <v>0</v>
      </c>
      <c r="AO16" s="247"/>
      <c r="AP16" s="244"/>
      <c r="AQ16" s="248">
        <f>SUM(AQ19)</f>
        <v>3769410</v>
      </c>
      <c r="AR16" s="248">
        <f>SUM(AR19)</f>
        <v>1629600</v>
      </c>
      <c r="AS16" s="248">
        <f>SUM(AS19)</f>
        <v>0</v>
      </c>
      <c r="AT16" s="248">
        <f>SUM(AT19)</f>
        <v>5399010</v>
      </c>
      <c r="AU16" s="248">
        <f t="shared" ref="AU16:BB16" si="9">SUM(AU19)</f>
        <v>3769410</v>
      </c>
      <c r="AV16" s="248">
        <f t="shared" si="9"/>
        <v>0</v>
      </c>
      <c r="AW16" s="248">
        <f>SUM(AW19)</f>
        <v>0</v>
      </c>
      <c r="AX16" s="248">
        <f t="shared" si="9"/>
        <v>0</v>
      </c>
      <c r="AY16" s="248">
        <f t="shared" si="9"/>
        <v>0</v>
      </c>
      <c r="AZ16" s="248">
        <f t="shared" si="9"/>
        <v>0</v>
      </c>
      <c r="BA16" s="248">
        <f t="shared" si="9"/>
        <v>0</v>
      </c>
      <c r="BB16" s="248">
        <f t="shared" si="9"/>
        <v>-1629600</v>
      </c>
    </row>
    <row r="17" spans="1:58" ht="110.25" outlineLevel="2" x14ac:dyDescent="0.25">
      <c r="A17" s="115"/>
      <c r="B17" s="200"/>
      <c r="C17" s="201"/>
      <c r="D17" s="220"/>
      <c r="E17" s="294"/>
      <c r="F17" s="295"/>
      <c r="G17" s="296"/>
      <c r="H17" s="199" t="s">
        <v>380</v>
      </c>
      <c r="I17" s="130"/>
      <c r="J17" s="126"/>
      <c r="K17" s="126"/>
      <c r="L17" s="125" t="str">
        <f>IF(I17&lt;&gt;0,((VLOOKUP(I17,'1. Standard_Cost'!$B$4:$D$11,2)+VLOOKUP(I17,'1. Standard_Cost'!$B$4:$D$11,3))*J17*K17),"0")</f>
        <v>0</v>
      </c>
      <c r="M17" s="125">
        <f>L17*'1. Standard_Cost'!$F$4</f>
        <v>0</v>
      </c>
      <c r="N17" s="126"/>
      <c r="O17" s="126"/>
      <c r="P17" s="126"/>
      <c r="Q17" s="126"/>
      <c r="R17" s="127">
        <f>'1. Standard_Cost'!$B$15*N17*P17</f>
        <v>0</v>
      </c>
      <c r="S17" s="127">
        <f>N17*O17*P17*'1. Standard_Cost'!$C$15</f>
        <v>0</v>
      </c>
      <c r="T17" s="127">
        <f>N17*P17*Q17*'1. Standard_Cost'!$D$15</f>
        <v>0</v>
      </c>
      <c r="U17" s="127">
        <f>N17*O17*'1. Standard_Cost'!$E$15</f>
        <v>0</v>
      </c>
      <c r="V17" s="126"/>
      <c r="W17" s="126"/>
      <c r="X17" s="126"/>
      <c r="Y17" s="127">
        <f>+V17*((X17*'1. Standard_Cost'!$B$19)+(W17*X17*'1. Standard_Cost'!$C$19))</f>
        <v>0</v>
      </c>
      <c r="Z17" s="126"/>
      <c r="AA17" s="126"/>
      <c r="AB17" s="127">
        <f>+Z17*'1. Standard_Cost'!$B$23+AA17*'1. Standard_Cost'!$C$23</f>
        <v>0</v>
      </c>
      <c r="AC17" s="128"/>
      <c r="AD17" s="129"/>
      <c r="AE17" s="127">
        <f>SUM(AD17,AC17,AB17,Y17,U17,T17,S17,R17)*'1. Standard_Cost'!$B$31</f>
        <v>0</v>
      </c>
      <c r="AF17" s="127">
        <f>SUM(AE17,AD17,AC17,AB17,Y17,U17,T17,S17,R17)</f>
        <v>0</v>
      </c>
      <c r="AG17" s="126"/>
      <c r="AH17" s="126"/>
      <c r="AI17" s="126"/>
      <c r="AJ17" s="130"/>
      <c r="AK17" s="130"/>
      <c r="AL17" s="130"/>
      <c r="AM17" s="127">
        <f>AG17*'1. Standard_Cost'!$B$27+'Incremental_Cost Year 7'!AH17*'1. Standard_Cost'!$C$27+'Incremental_Cost Year 7'!AI17*'1. Standard_Cost'!$D$27+'Incremental_Cost Year 7'!AJ17+'Incremental_Cost Year 7'!AL17+AK17</f>
        <v>0</v>
      </c>
      <c r="AN17" s="127">
        <f>AM17*'1. Standard_Cost'!$C$31</f>
        <v>0</v>
      </c>
      <c r="AO17" s="249"/>
      <c r="AQ17" s="171">
        <f>L17+M17</f>
        <v>0</v>
      </c>
      <c r="AR17" s="171">
        <f>AF17</f>
        <v>0</v>
      </c>
      <c r="AS17" s="171">
        <f>AM17+AN17</f>
        <v>0</v>
      </c>
      <c r="AT17" s="171">
        <f>SUM(AQ17,AR17,AS17)</f>
        <v>0</v>
      </c>
      <c r="AU17" s="250"/>
      <c r="AV17" s="250"/>
      <c r="AW17" s="250"/>
      <c r="AX17" s="250"/>
      <c r="AY17" s="250"/>
      <c r="AZ17" s="250"/>
      <c r="BA17" s="250"/>
      <c r="BB17" s="251">
        <f t="shared" ref="BB17:BB18" si="10">SUM(AU17:BA17)-AT17</f>
        <v>0</v>
      </c>
      <c r="BC17" s="169"/>
      <c r="BD17" s="169"/>
      <c r="BE17" s="169"/>
      <c r="BF17" s="169"/>
    </row>
    <row r="18" spans="1:58" ht="109.15" customHeight="1" outlineLevel="2" x14ac:dyDescent="0.25">
      <c r="A18" s="115"/>
      <c r="B18" s="200"/>
      <c r="C18" s="201"/>
      <c r="D18" s="221"/>
      <c r="E18" s="121"/>
      <c r="F18" s="122"/>
      <c r="G18" s="123"/>
      <c r="H18" s="199" t="s">
        <v>381</v>
      </c>
      <c r="I18" s="130" t="s">
        <v>4</v>
      </c>
      <c r="J18" s="126">
        <v>2</v>
      </c>
      <c r="K18" s="126">
        <v>20</v>
      </c>
      <c r="L18" s="125">
        <f>IF(I18&lt;&gt;0,((VLOOKUP(I18,'1. Standard_Cost'!$B$4:$D$11,2)+VLOOKUP(I18,'1. Standard_Cost'!$B$4:$D$11,3))*J18*K18),"0")</f>
        <v>3230000</v>
      </c>
      <c r="M18" s="125">
        <f>L18*'1. Standard_Cost'!$F$4</f>
        <v>539410</v>
      </c>
      <c r="N18" s="126"/>
      <c r="O18" s="126"/>
      <c r="P18" s="126"/>
      <c r="Q18" s="126"/>
      <c r="R18" s="127">
        <f>'1. Standard_Cost'!$B$15*N18*P18</f>
        <v>0</v>
      </c>
      <c r="S18" s="127">
        <f>N18*O18*P18*'1. Standard_Cost'!$C$15</f>
        <v>0</v>
      </c>
      <c r="T18" s="127">
        <f>N18*P18*Q18*'1. Standard_Cost'!$D$15</f>
        <v>0</v>
      </c>
      <c r="U18" s="127">
        <f>N18*O18*'1. Standard_Cost'!$E$15</f>
        <v>0</v>
      </c>
      <c r="V18" s="126"/>
      <c r="W18" s="126"/>
      <c r="X18" s="126"/>
      <c r="Y18" s="127">
        <f>+V18*((X18*'1. Standard_Cost'!$B$19)+(W18*X18*'1. Standard_Cost'!$C$19))</f>
        <v>0</v>
      </c>
      <c r="Z18" s="126">
        <v>5</v>
      </c>
      <c r="AA18" s="126">
        <v>40</v>
      </c>
      <c r="AB18" s="127">
        <f>+Z18*'1. Standard_Cost'!$B$23+AA18*'1. Standard_Cost'!$C$23</f>
        <v>1130000</v>
      </c>
      <c r="AC18" s="128">
        <f>60*300+300*700</f>
        <v>228000</v>
      </c>
      <c r="AD18" s="129"/>
      <c r="AE18" s="127">
        <f>SUM(AD18,AC18,AB18,Y18,U18,T18,S18,R18)*'1. Standard_Cost'!$B$31</f>
        <v>271600</v>
      </c>
      <c r="AF18" s="127">
        <f>SUM(AE18,AD18,AC18,AB18,Y18,U18,T18,S18,R18)</f>
        <v>1629600</v>
      </c>
      <c r="AG18" s="126"/>
      <c r="AH18" s="126"/>
      <c r="AI18" s="126"/>
      <c r="AJ18" s="130"/>
      <c r="AK18" s="130"/>
      <c r="AL18" s="130"/>
      <c r="AM18" s="127">
        <f>AG18*'1. Standard_Cost'!$B$27+'Incremental_Cost Year 7'!AH18*'1. Standard_Cost'!$C$27+'Incremental_Cost Year 7'!AI18*'1. Standard_Cost'!$D$27+'Incremental_Cost Year 7'!AJ18+'Incremental_Cost Year 7'!AL18+AK18</f>
        <v>0</v>
      </c>
      <c r="AN18" s="127">
        <f>AM18*'1. Standard_Cost'!$C$31</f>
        <v>0</v>
      </c>
      <c r="AO18" s="130"/>
      <c r="AQ18" s="171">
        <f>L18+M18</f>
        <v>3769410</v>
      </c>
      <c r="AR18" s="171">
        <f>AF18</f>
        <v>1629600</v>
      </c>
      <c r="AS18" s="171">
        <f>AM18+AN18</f>
        <v>0</v>
      </c>
      <c r="AT18" s="171">
        <f>SUM(AQ18,AR18,AS18)</f>
        <v>5399010</v>
      </c>
      <c r="AU18" s="250">
        <f>AQ18</f>
        <v>3769410</v>
      </c>
      <c r="AV18" s="250"/>
      <c r="AW18" s="250"/>
      <c r="AX18" s="250"/>
      <c r="AY18" s="250"/>
      <c r="AZ18" s="250"/>
      <c r="BA18" s="250"/>
      <c r="BB18" s="251">
        <f t="shared" si="10"/>
        <v>-1629600</v>
      </c>
      <c r="BC18" s="169"/>
      <c r="BD18" s="169"/>
      <c r="BE18" s="169"/>
      <c r="BF18" s="169"/>
    </row>
    <row r="19" spans="1:58" ht="63" customHeight="1" outlineLevel="1" x14ac:dyDescent="0.25">
      <c r="A19" s="115"/>
      <c r="B19" s="200"/>
      <c r="C19" s="201"/>
      <c r="D19" s="107" t="s">
        <v>240</v>
      </c>
      <c r="E19" s="139" t="s">
        <v>193</v>
      </c>
      <c r="F19" s="136">
        <v>2024</v>
      </c>
      <c r="G19" s="117">
        <v>2027</v>
      </c>
      <c r="H19" s="134" t="s">
        <v>194</v>
      </c>
      <c r="I19" s="252"/>
      <c r="J19" s="252"/>
      <c r="K19" s="252"/>
      <c r="L19" s="127">
        <f>SUM(L17:L18)</f>
        <v>3230000</v>
      </c>
      <c r="M19" s="127">
        <f>SUM(M17:M18)</f>
        <v>539410</v>
      </c>
      <c r="N19" s="127"/>
      <c r="O19" s="252"/>
      <c r="P19" s="252"/>
      <c r="Q19" s="252"/>
      <c r="R19" s="127">
        <f>SUM(R17:R18)</f>
        <v>0</v>
      </c>
      <c r="S19" s="127">
        <f>SUM(S17:S18)</f>
        <v>0</v>
      </c>
      <c r="T19" s="127">
        <f>SUM(T17:T18)</f>
        <v>0</v>
      </c>
      <c r="U19" s="127">
        <f>SUM(U17:U18)</f>
        <v>0</v>
      </c>
      <c r="V19" s="252"/>
      <c r="W19" s="252"/>
      <c r="X19" s="252"/>
      <c r="Y19" s="127">
        <f>SUM(Y17:Y18)</f>
        <v>0</v>
      </c>
      <c r="Z19" s="252"/>
      <c r="AA19" s="252"/>
      <c r="AB19" s="127">
        <f>SUM(AB17:AB18)</f>
        <v>1130000</v>
      </c>
      <c r="AC19" s="127">
        <f>SUM(AC17:AC18)</f>
        <v>228000</v>
      </c>
      <c r="AD19" s="127">
        <f>SUM(AD17:AD18)</f>
        <v>0</v>
      </c>
      <c r="AE19" s="127">
        <f>SUM(AE17:AE18)</f>
        <v>271600</v>
      </c>
      <c r="AF19" s="127">
        <f>SUM(AF17:AF18)</f>
        <v>1629600</v>
      </c>
      <c r="AG19" s="252"/>
      <c r="AH19" s="252"/>
      <c r="AI19" s="252"/>
      <c r="AJ19" s="127">
        <f>SUM(AJ17:AJ18)</f>
        <v>0</v>
      </c>
      <c r="AK19" s="127">
        <f>SUM(AK17:AK18)</f>
        <v>0</v>
      </c>
      <c r="AL19" s="127">
        <f>SUM(AL17:AL18)</f>
        <v>0</v>
      </c>
      <c r="AM19" s="127">
        <f>SUM(AM17:AM18)</f>
        <v>0</v>
      </c>
      <c r="AN19" s="127">
        <f>SUM(AN17:AN18)</f>
        <v>0</v>
      </c>
      <c r="AO19" s="253"/>
      <c r="AP19" s="254"/>
      <c r="AQ19" s="175">
        <f>SUM(AQ17:AQ18)</f>
        <v>3769410</v>
      </c>
      <c r="AR19" s="175">
        <f>SUM(AR17:AR18)</f>
        <v>1629600</v>
      </c>
      <c r="AS19" s="175">
        <f>SUM(AS17:AS18)</f>
        <v>0</v>
      </c>
      <c r="AT19" s="175">
        <f>SUM(AT17:AT18)</f>
        <v>5399010</v>
      </c>
      <c r="AU19" s="175">
        <f t="shared" ref="AU19:BB19" si="11">SUM(AU17:AU18)</f>
        <v>3769410</v>
      </c>
      <c r="AV19" s="175">
        <f t="shared" si="11"/>
        <v>0</v>
      </c>
      <c r="AW19" s="175">
        <f>SUM(AW17:AW18)</f>
        <v>0</v>
      </c>
      <c r="AX19" s="175">
        <f t="shared" si="11"/>
        <v>0</v>
      </c>
      <c r="AY19" s="175">
        <f t="shared" si="11"/>
        <v>0</v>
      </c>
      <c r="AZ19" s="175">
        <f t="shared" si="11"/>
        <v>0</v>
      </c>
      <c r="BA19" s="175">
        <f t="shared" si="11"/>
        <v>0</v>
      </c>
      <c r="BB19" s="175">
        <f t="shared" si="11"/>
        <v>-1629600</v>
      </c>
      <c r="BC19" s="169"/>
      <c r="BD19" s="169"/>
      <c r="BE19" s="169"/>
      <c r="BF19" s="169"/>
    </row>
    <row r="20" spans="1:58" s="170" customFormat="1" ht="15.75" customHeight="1" x14ac:dyDescent="0.25">
      <c r="A20" s="120"/>
      <c r="B20" s="290"/>
      <c r="C20" s="391" t="s">
        <v>195</v>
      </c>
      <c r="D20" s="391"/>
      <c r="E20" s="392"/>
      <c r="F20" s="288"/>
      <c r="G20" s="288"/>
      <c r="H20" s="114" t="s">
        <v>208</v>
      </c>
      <c r="I20" s="246"/>
      <c r="J20" s="246"/>
      <c r="K20" s="246"/>
      <c r="L20" s="247">
        <f>SUM(L25+L29+L37+L39)</f>
        <v>279312600</v>
      </c>
      <c r="M20" s="247">
        <f>SUM(M25+M29+M37+M39)</f>
        <v>46645204.200000003</v>
      </c>
      <c r="N20" s="247"/>
      <c r="O20" s="247"/>
      <c r="P20" s="247"/>
      <c r="Q20" s="247"/>
      <c r="R20" s="247">
        <f>SUM(R25+R29+R37+R39)</f>
        <v>0</v>
      </c>
      <c r="S20" s="247">
        <f>SUM(S25+S29+S37+S39)</f>
        <v>0</v>
      </c>
      <c r="T20" s="247">
        <f>SUM(T25+T29+T37+T39)</f>
        <v>0</v>
      </c>
      <c r="U20" s="247">
        <f>SUM(U25+U29+U37+U39)</f>
        <v>0</v>
      </c>
      <c r="V20" s="247"/>
      <c r="W20" s="247"/>
      <c r="X20" s="247"/>
      <c r="Y20" s="247">
        <f>SUM(Y25+Y29+Y37+Y39)</f>
        <v>0</v>
      </c>
      <c r="Z20" s="247">
        <f t="shared" ref="Z20:AA20" si="12">SUM(Z25+Z29+Z37+Z39)</f>
        <v>0</v>
      </c>
      <c r="AA20" s="247">
        <f t="shared" si="12"/>
        <v>0</v>
      </c>
      <c r="AB20" s="247">
        <f t="shared" ref="AB20:AF20" si="13">SUM(AB25+AB29+AB37+AB39)</f>
        <v>0</v>
      </c>
      <c r="AC20" s="247">
        <f t="shared" si="13"/>
        <v>1006751433</v>
      </c>
      <c r="AD20" s="247">
        <f t="shared" si="13"/>
        <v>0</v>
      </c>
      <c r="AE20" s="247">
        <f t="shared" si="13"/>
        <v>570000</v>
      </c>
      <c r="AF20" s="247">
        <f t="shared" si="13"/>
        <v>1007321433</v>
      </c>
      <c r="AG20" s="247"/>
      <c r="AH20" s="247"/>
      <c r="AI20" s="247"/>
      <c r="AJ20" s="247">
        <f>SUM(AJ25+AJ29+AJ37+AJ39)</f>
        <v>0</v>
      </c>
      <c r="AK20" s="247">
        <f>SUM(AK25+AK29+AK37+AK39)</f>
        <v>0</v>
      </c>
      <c r="AL20" s="247">
        <f>SUM(AL25+AL29+AL37+AL39)</f>
        <v>0</v>
      </c>
      <c r="AM20" s="247">
        <f>SUM(AM25+AM29+AM37+AM39)</f>
        <v>0</v>
      </c>
      <c r="AN20" s="247">
        <f>SUM(AN25+AN29+AN37+AN39)</f>
        <v>0</v>
      </c>
      <c r="AO20" s="247"/>
      <c r="AP20" s="244"/>
      <c r="AQ20" s="248">
        <f>SUM(AQ25+AQ29+AQ37+AQ39)</f>
        <v>325957804.19999999</v>
      </c>
      <c r="AR20" s="248">
        <f>SUM(AR25+AR29+AR37+AR39)</f>
        <v>1007321433</v>
      </c>
      <c r="AS20" s="248">
        <f>SUM(AS25+AS29+AS37+AS39)</f>
        <v>0</v>
      </c>
      <c r="AT20" s="248">
        <f>SUM(AT25+AT29+AT37+AT39)</f>
        <v>1333279237.1999998</v>
      </c>
      <c r="AU20" s="248">
        <f t="shared" ref="AU20:BB20" si="14">SUM(AU25+AU29+AU37+AU39)</f>
        <v>1333279237.1999998</v>
      </c>
      <c r="AV20" s="248">
        <f t="shared" si="14"/>
        <v>0</v>
      </c>
      <c r="AW20" s="248">
        <f>SUM(AW25+AW29+AW37+AW39)</f>
        <v>0</v>
      </c>
      <c r="AX20" s="248">
        <f t="shared" si="14"/>
        <v>0</v>
      </c>
      <c r="AY20" s="248">
        <f t="shared" si="14"/>
        <v>0</v>
      </c>
      <c r="AZ20" s="248">
        <f t="shared" si="14"/>
        <v>0</v>
      </c>
      <c r="BA20" s="248">
        <f t="shared" si="14"/>
        <v>0</v>
      </c>
      <c r="BB20" s="248">
        <f t="shared" si="14"/>
        <v>0</v>
      </c>
    </row>
    <row r="21" spans="1:58" ht="189" customHeight="1" outlineLevel="2" x14ac:dyDescent="0.25">
      <c r="A21" s="115"/>
      <c r="B21" s="200"/>
      <c r="C21" s="201"/>
      <c r="D21" s="135"/>
      <c r="E21" s="219"/>
      <c r="F21" s="219"/>
      <c r="G21" s="313"/>
      <c r="H21" s="199" t="s">
        <v>382</v>
      </c>
      <c r="I21" s="130"/>
      <c r="J21" s="126"/>
      <c r="K21" s="126"/>
      <c r="L21" s="125" t="str">
        <f>IF(I21&lt;&gt;0,((VLOOKUP(I21,'1. Standard_Cost'!$B$4:$D$11,2)+VLOOKUP(I21,'1. Standard_Cost'!$B$4:$D$11,3))*J21*K21),"0")</f>
        <v>0</v>
      </c>
      <c r="M21" s="125">
        <f>L21*'1. Standard_Cost'!$F$4</f>
        <v>0</v>
      </c>
      <c r="N21" s="126"/>
      <c r="O21" s="126"/>
      <c r="P21" s="126"/>
      <c r="Q21" s="126"/>
      <c r="R21" s="127">
        <f>'1. Standard_Cost'!$B$15*N21*P21</f>
        <v>0</v>
      </c>
      <c r="S21" s="127">
        <f>N21*O21*P21*'1. Standard_Cost'!$C$15</f>
        <v>0</v>
      </c>
      <c r="T21" s="127">
        <f>N21*P21*Q21*'1. Standard_Cost'!$D$15</f>
        <v>0</v>
      </c>
      <c r="U21" s="127">
        <f>N21*O21*'1. Standard_Cost'!$E$15</f>
        <v>0</v>
      </c>
      <c r="V21" s="126"/>
      <c r="W21" s="126"/>
      <c r="X21" s="126"/>
      <c r="Y21" s="127">
        <f>+V21*((X21*'1. Standard_Cost'!$B$19)+(W21*X21*'1. Standard_Cost'!$C$19))</f>
        <v>0</v>
      </c>
      <c r="Z21" s="126"/>
      <c r="AA21" s="126"/>
      <c r="AB21" s="127">
        <f>+Z21*'1. Standard_Cost'!$B$23+AA21*'1. Standard_Cost'!$C$23</f>
        <v>0</v>
      </c>
      <c r="AC21" s="128">
        <v>285577061</v>
      </c>
      <c r="AD21" s="129"/>
      <c r="AE21" s="127">
        <v>0</v>
      </c>
      <c r="AF21" s="127">
        <f>SUM(AE21,AD21,AC21,AB21,Y21,U21,T21,S21,R21)</f>
        <v>285577061</v>
      </c>
      <c r="AG21" s="126"/>
      <c r="AH21" s="126"/>
      <c r="AI21" s="126"/>
      <c r="AJ21" s="130"/>
      <c r="AK21" s="130"/>
      <c r="AL21" s="130"/>
      <c r="AM21" s="127">
        <f>AG21*'1. Standard_Cost'!$B$27+'Incremental_Cost Year 7'!AH21*'1. Standard_Cost'!$C$27+'Incremental_Cost Year 7'!AI21*'1. Standard_Cost'!$D$27+'Incremental_Cost Year 7'!AJ21+'Incremental_Cost Year 7'!AL21+AK21</f>
        <v>0</v>
      </c>
      <c r="AN21" s="127">
        <f>AM21*'1. Standard_Cost'!$C$31</f>
        <v>0</v>
      </c>
      <c r="AO21" s="249"/>
      <c r="AQ21" s="171">
        <f>L21+M21</f>
        <v>0</v>
      </c>
      <c r="AR21" s="171">
        <f>AF21</f>
        <v>285577061</v>
      </c>
      <c r="AS21" s="171">
        <f>AM21+AN21</f>
        <v>0</v>
      </c>
      <c r="AT21" s="171">
        <f>SUM(AQ21,AR21,AS21)</f>
        <v>285577061</v>
      </c>
      <c r="AU21" s="250">
        <f>AT21</f>
        <v>285577061</v>
      </c>
      <c r="AV21" s="250"/>
      <c r="AW21" s="250"/>
      <c r="AX21" s="250"/>
      <c r="AY21" s="250"/>
      <c r="AZ21" s="250"/>
      <c r="BA21" s="250"/>
      <c r="BB21" s="251">
        <f t="shared" ref="BB21:BB24" si="15">SUM(AU21:BA21)-AT21</f>
        <v>0</v>
      </c>
      <c r="BC21" s="169"/>
      <c r="BD21" s="169"/>
      <c r="BE21" s="169"/>
      <c r="BF21" s="169"/>
    </row>
    <row r="22" spans="1:58" ht="47.25" outlineLevel="2" x14ac:dyDescent="0.25">
      <c r="A22" s="115"/>
      <c r="B22" s="200"/>
      <c r="C22" s="201"/>
      <c r="D22" s="135"/>
      <c r="E22" s="219"/>
      <c r="F22" s="219"/>
      <c r="G22" s="313"/>
      <c r="H22" s="199" t="s">
        <v>225</v>
      </c>
      <c r="I22" s="130" t="s">
        <v>3</v>
      </c>
      <c r="J22" s="126">
        <v>12</v>
      </c>
      <c r="K22" s="126">
        <v>10</v>
      </c>
      <c r="L22" s="125">
        <f>IF(I22&lt;&gt;0,((VLOOKUP(I22,'1. Standard_Cost'!$B$4:$D$11,2)+VLOOKUP(I22,'1. Standard_Cost'!$B$4:$D$11,3))*J22*K22),"0")</f>
        <v>12096000</v>
      </c>
      <c r="M22" s="125">
        <f>L22*'1. Standard_Cost'!$F$4</f>
        <v>2020032</v>
      </c>
      <c r="N22" s="126"/>
      <c r="O22" s="126"/>
      <c r="P22" s="126"/>
      <c r="Q22" s="126"/>
      <c r="R22" s="127">
        <f>'1. Standard_Cost'!$B$15*N22*P22</f>
        <v>0</v>
      </c>
      <c r="S22" s="127">
        <f>N22*O22*P22*'1. Standard_Cost'!$C$15</f>
        <v>0</v>
      </c>
      <c r="T22" s="127">
        <f>N22*P22*Q22*'1. Standard_Cost'!$D$15</f>
        <v>0</v>
      </c>
      <c r="U22" s="127">
        <f>N22*O22*'1. Standard_Cost'!$E$15</f>
        <v>0</v>
      </c>
      <c r="V22" s="126"/>
      <c r="W22" s="126"/>
      <c r="X22" s="126"/>
      <c r="Y22" s="127">
        <f>+V22*((X22*'1. Standard_Cost'!$B$19)+(W22*X22*'1. Standard_Cost'!$C$19))</f>
        <v>0</v>
      </c>
      <c r="Z22" s="126"/>
      <c r="AA22" s="126"/>
      <c r="AB22" s="127">
        <f>+Z22*'1. Standard_Cost'!$B$23+AA22*'1. Standard_Cost'!$C$23</f>
        <v>0</v>
      </c>
      <c r="AC22" s="128">
        <v>50000</v>
      </c>
      <c r="AD22" s="129"/>
      <c r="AE22" s="127">
        <f>SUM(AD22,AC22,AB22,Y22,U22,T22,S22,R22)*'1. Standard_Cost'!$B$31</f>
        <v>10000</v>
      </c>
      <c r="AF22" s="127">
        <f>SUM(AE22,AD22,AC22,AB22,Y22,U22,T22,S22,R22)</f>
        <v>60000</v>
      </c>
      <c r="AG22" s="126"/>
      <c r="AH22" s="126"/>
      <c r="AI22" s="126"/>
      <c r="AJ22" s="130"/>
      <c r="AK22" s="130"/>
      <c r="AL22" s="130"/>
      <c r="AM22" s="127">
        <f>AG22*'1. Standard_Cost'!$B$27+'Incremental_Cost Year 7'!AH22*'1. Standard_Cost'!$C$27+'Incremental_Cost Year 7'!AI22*'1. Standard_Cost'!$D$27+'Incremental_Cost Year 7'!AJ22+'Incremental_Cost Year 7'!AL22+AK22</f>
        <v>0</v>
      </c>
      <c r="AN22" s="127">
        <f>AM22*'1. Standard_Cost'!$C$31</f>
        <v>0</v>
      </c>
      <c r="AO22" s="249"/>
      <c r="AQ22" s="171">
        <f>L22+M22</f>
        <v>14116032</v>
      </c>
      <c r="AR22" s="171">
        <f>AF22</f>
        <v>60000</v>
      </c>
      <c r="AS22" s="171">
        <f>AM22+AN22</f>
        <v>0</v>
      </c>
      <c r="AT22" s="171">
        <f>SUM(AQ22,AR22,AS22)</f>
        <v>14176032</v>
      </c>
      <c r="AU22" s="250">
        <f>AT22</f>
        <v>14176032</v>
      </c>
      <c r="AV22" s="250"/>
      <c r="AW22" s="250"/>
      <c r="AX22" s="250"/>
      <c r="AY22" s="250"/>
      <c r="AZ22" s="250"/>
      <c r="BA22" s="250"/>
      <c r="BB22" s="251">
        <f t="shared" si="15"/>
        <v>0</v>
      </c>
      <c r="BC22" s="169"/>
      <c r="BD22" s="169"/>
      <c r="BE22" s="169"/>
      <c r="BF22" s="169"/>
    </row>
    <row r="23" spans="1:58" ht="47.25" outlineLevel="2" x14ac:dyDescent="0.25">
      <c r="A23" s="115"/>
      <c r="B23" s="200"/>
      <c r="C23" s="201"/>
      <c r="D23" s="135"/>
      <c r="E23" s="219"/>
      <c r="F23" s="219"/>
      <c r="G23" s="313"/>
      <c r="H23" s="199" t="s">
        <v>383</v>
      </c>
      <c r="I23" s="130" t="s">
        <v>5</v>
      </c>
      <c r="J23" s="126">
        <v>12</v>
      </c>
      <c r="K23" s="126">
        <v>36</v>
      </c>
      <c r="L23" s="125">
        <f>IF(I23&lt;&gt;0,((VLOOKUP(I23,'1. Standard_Cost'!$B$4:$D$11,2)+VLOOKUP(I23,'1. Standard_Cost'!$B$4:$D$11,3))*J23*K23),"0")</f>
        <v>30542400</v>
      </c>
      <c r="M23" s="125">
        <f>L23*'1. Standard_Cost'!$F$4</f>
        <v>5100580.8000000007</v>
      </c>
      <c r="N23" s="126"/>
      <c r="O23" s="126"/>
      <c r="P23" s="126"/>
      <c r="Q23" s="126"/>
      <c r="R23" s="127">
        <f>'1. Standard_Cost'!$B$15*N23*P23</f>
        <v>0</v>
      </c>
      <c r="S23" s="127">
        <f>N23*O23*P23*'1. Standard_Cost'!$C$15</f>
        <v>0</v>
      </c>
      <c r="T23" s="127">
        <f>N23*P23*Q23*'1. Standard_Cost'!$D$15</f>
        <v>0</v>
      </c>
      <c r="U23" s="127">
        <f>N23*O23*'1. Standard_Cost'!$E$15</f>
        <v>0</v>
      </c>
      <c r="V23" s="126"/>
      <c r="W23" s="126"/>
      <c r="X23" s="126"/>
      <c r="Y23" s="127">
        <f>+V23*((X23*'1. Standard_Cost'!$B$19)+(W23*X23*'1. Standard_Cost'!$C$19))</f>
        <v>0</v>
      </c>
      <c r="Z23" s="126"/>
      <c r="AA23" s="126"/>
      <c r="AB23" s="127">
        <f>+Z23*'1. Standard_Cost'!$B$23+AA23*'1. Standard_Cost'!$C$23</f>
        <v>0</v>
      </c>
      <c r="AC23" s="128">
        <f>50000*36</f>
        <v>1800000</v>
      </c>
      <c r="AD23" s="129"/>
      <c r="AE23" s="127">
        <f>SUM(AD23,AC23,AB23,Y23,U23,T23,S23,R23)*'1. Standard_Cost'!$B$31</f>
        <v>360000</v>
      </c>
      <c r="AF23" s="127">
        <f>SUM(AE23,AD23,AC23,AB23,Y23,U23,T23,S23,R23)</f>
        <v>2160000</v>
      </c>
      <c r="AG23" s="126"/>
      <c r="AH23" s="126"/>
      <c r="AI23" s="126"/>
      <c r="AJ23" s="130"/>
      <c r="AK23" s="130"/>
      <c r="AL23" s="130"/>
      <c r="AM23" s="127">
        <f>AG23*'1. Standard_Cost'!$B$27+'Incremental_Cost Year 7'!AH23*'1. Standard_Cost'!$C$27+'Incremental_Cost Year 7'!AI23*'1. Standard_Cost'!$D$27+'Incremental_Cost Year 7'!AJ23+'Incremental_Cost Year 7'!AL23+AK23</f>
        <v>0</v>
      </c>
      <c r="AN23" s="127">
        <f>AM23*'1. Standard_Cost'!$C$31</f>
        <v>0</v>
      </c>
      <c r="AO23" s="249"/>
      <c r="AQ23" s="171">
        <f>L23+M23</f>
        <v>35642980.799999997</v>
      </c>
      <c r="AR23" s="171">
        <f>AF23</f>
        <v>2160000</v>
      </c>
      <c r="AS23" s="171">
        <f>AM23+AN23</f>
        <v>0</v>
      </c>
      <c r="AT23" s="171">
        <f>SUM(AQ23,AR23,AS23)</f>
        <v>37802980.799999997</v>
      </c>
      <c r="AU23" s="250">
        <f>AT23</f>
        <v>37802980.799999997</v>
      </c>
      <c r="AV23" s="250"/>
      <c r="AW23" s="250"/>
      <c r="AX23" s="250"/>
      <c r="AY23" s="250"/>
      <c r="AZ23" s="250"/>
      <c r="BA23" s="250"/>
      <c r="BB23" s="251">
        <f t="shared" si="15"/>
        <v>0</v>
      </c>
      <c r="BC23" s="169"/>
      <c r="BD23" s="169"/>
      <c r="BE23" s="169"/>
      <c r="BF23" s="169"/>
    </row>
    <row r="24" spans="1:58" ht="15.75" outlineLevel="2" x14ac:dyDescent="0.25">
      <c r="A24" s="115"/>
      <c r="B24" s="200"/>
      <c r="C24" s="201"/>
      <c r="D24" s="211"/>
      <c r="E24" s="124"/>
      <c r="F24" s="140"/>
      <c r="G24" s="351"/>
      <c r="H24" s="199"/>
      <c r="I24" s="130"/>
      <c r="J24" s="126"/>
      <c r="K24" s="126"/>
      <c r="L24" s="125" t="str">
        <f>IF(I24&lt;&gt;0,((VLOOKUP(I24,'1. Standard_Cost'!$B$4:$D$11,2)+VLOOKUP(I24,'1. Standard_Cost'!$B$4:$D$11,3))*J24*K24),"0")</f>
        <v>0</v>
      </c>
      <c r="M24" s="125">
        <f>L24*'1. Standard_Cost'!$F$4</f>
        <v>0</v>
      </c>
      <c r="N24" s="126"/>
      <c r="O24" s="126"/>
      <c r="P24" s="126"/>
      <c r="Q24" s="126"/>
      <c r="R24" s="127">
        <f>'1. Standard_Cost'!$B$15*N24*P24</f>
        <v>0</v>
      </c>
      <c r="S24" s="127">
        <f>N24*O24*P24*'1. Standard_Cost'!$C$15</f>
        <v>0</v>
      </c>
      <c r="T24" s="127">
        <f>N24*P24*Q24*'1. Standard_Cost'!$D$15</f>
        <v>0</v>
      </c>
      <c r="U24" s="127">
        <f>N24*O24*'1. Standard_Cost'!$E$15</f>
        <v>0</v>
      </c>
      <c r="V24" s="126"/>
      <c r="W24" s="126"/>
      <c r="X24" s="126"/>
      <c r="Y24" s="127">
        <f>+V24*((X24*'1. Standard_Cost'!$B$19)+(W24*X24*'1. Standard_Cost'!$C$19))</f>
        <v>0</v>
      </c>
      <c r="Z24" s="126"/>
      <c r="AA24" s="126"/>
      <c r="AB24" s="127">
        <f>+Z24*'1. Standard_Cost'!$B$23+AA24*'1. Standard_Cost'!$C$23</f>
        <v>0</v>
      </c>
      <c r="AC24" s="128"/>
      <c r="AD24" s="129"/>
      <c r="AE24" s="127">
        <f>SUM(AD24,AC24,AB24,Y24,U24,T24,S24,R24)*'1. Standard_Cost'!$B$31</f>
        <v>0</v>
      </c>
      <c r="AF24" s="127">
        <f>SUM(AE24,AD24,AC24,AB24,Y24,U24,T24,S24,R24)</f>
        <v>0</v>
      </c>
      <c r="AG24" s="126"/>
      <c r="AH24" s="126"/>
      <c r="AI24" s="126"/>
      <c r="AJ24" s="130"/>
      <c r="AK24" s="130"/>
      <c r="AL24" s="130"/>
      <c r="AM24" s="127">
        <f>AG24*'1. Standard_Cost'!$B$27+'Incremental_Cost Year 7'!AH24*'1. Standard_Cost'!$C$27+'Incremental_Cost Year 7'!AI24*'1. Standard_Cost'!$D$27+'Incremental_Cost Year 7'!AJ24+'Incremental_Cost Year 7'!AL24+AK24</f>
        <v>0</v>
      </c>
      <c r="AN24" s="127">
        <f>AM24*'1. Standard_Cost'!$C$31</f>
        <v>0</v>
      </c>
      <c r="AO24" s="130"/>
      <c r="AQ24" s="171">
        <f>L24+M24</f>
        <v>0</v>
      </c>
      <c r="AR24" s="171">
        <f>AF24</f>
        <v>0</v>
      </c>
      <c r="AS24" s="171">
        <f>AM24+AN24</f>
        <v>0</v>
      </c>
      <c r="AT24" s="171">
        <f>SUM(AQ24,AR24,AS24)</f>
        <v>0</v>
      </c>
      <c r="AU24" s="250">
        <f>AT24</f>
        <v>0</v>
      </c>
      <c r="AV24" s="250"/>
      <c r="AW24" s="250"/>
      <c r="AX24" s="250"/>
      <c r="AY24" s="250"/>
      <c r="AZ24" s="250"/>
      <c r="BA24" s="250"/>
      <c r="BB24" s="251">
        <f t="shared" si="15"/>
        <v>0</v>
      </c>
      <c r="BC24" s="169"/>
      <c r="BD24" s="169"/>
      <c r="BE24" s="169"/>
      <c r="BF24" s="169"/>
    </row>
    <row r="25" spans="1:58" ht="63" outlineLevel="1" x14ac:dyDescent="0.25">
      <c r="A25" s="115"/>
      <c r="B25" s="165"/>
      <c r="C25" s="166"/>
      <c r="D25" s="150" t="s">
        <v>384</v>
      </c>
      <c r="E25" s="139" t="s">
        <v>196</v>
      </c>
      <c r="F25" s="222">
        <v>2021</v>
      </c>
      <c r="G25" s="117">
        <v>2030</v>
      </c>
      <c r="H25" s="134" t="s">
        <v>197</v>
      </c>
      <c r="I25" s="252"/>
      <c r="J25" s="252"/>
      <c r="K25" s="252"/>
      <c r="L25" s="127">
        <f>SUM(L21:L24)</f>
        <v>42638400</v>
      </c>
      <c r="M25" s="127">
        <f>SUM(M21:M24)</f>
        <v>7120612.8000000007</v>
      </c>
      <c r="N25" s="127"/>
      <c r="O25" s="252"/>
      <c r="P25" s="252"/>
      <c r="Q25" s="252"/>
      <c r="R25" s="127">
        <f>SUM(R21:R24)</f>
        <v>0</v>
      </c>
      <c r="S25" s="127">
        <f>SUM(S21:S24)</f>
        <v>0</v>
      </c>
      <c r="T25" s="127">
        <f>SUM(T21:T24)</f>
        <v>0</v>
      </c>
      <c r="U25" s="127">
        <f>SUM(U21:U24)</f>
        <v>0</v>
      </c>
      <c r="V25" s="252"/>
      <c r="W25" s="252"/>
      <c r="X25" s="252"/>
      <c r="Y25" s="127">
        <f>SUM(Y21:Y24)</f>
        <v>0</v>
      </c>
      <c r="Z25" s="252"/>
      <c r="AA25" s="252"/>
      <c r="AB25" s="127">
        <f>SUM(AB21:AB24)</f>
        <v>0</v>
      </c>
      <c r="AC25" s="127">
        <f>SUM(AC21:AC24)</f>
        <v>287427061</v>
      </c>
      <c r="AD25" s="127">
        <f>SUM(AD21:AD24)</f>
        <v>0</v>
      </c>
      <c r="AE25" s="127">
        <f>SUM(AE21:AE24)</f>
        <v>370000</v>
      </c>
      <c r="AF25" s="127">
        <f>SUM(AF21:AF24)</f>
        <v>287797061</v>
      </c>
      <c r="AG25" s="252"/>
      <c r="AH25" s="252"/>
      <c r="AI25" s="252"/>
      <c r="AJ25" s="127">
        <f>SUM(AJ21:AJ24)</f>
        <v>0</v>
      </c>
      <c r="AK25" s="127">
        <f>SUM(AK21:AK24)</f>
        <v>0</v>
      </c>
      <c r="AL25" s="127">
        <f>SUM(AL21:AL24)</f>
        <v>0</v>
      </c>
      <c r="AM25" s="127">
        <f>SUM(AM21:AM24)</f>
        <v>0</v>
      </c>
      <c r="AN25" s="127">
        <f>SUM(AN21:AN24)</f>
        <v>0</v>
      </c>
      <c r="AO25" s="253"/>
      <c r="AP25" s="254"/>
      <c r="AQ25" s="175">
        <f>SUM(AQ21:AQ24)</f>
        <v>49759012.799999997</v>
      </c>
      <c r="AR25" s="175">
        <f>SUM(AR21:AR24)</f>
        <v>287797061</v>
      </c>
      <c r="AS25" s="175">
        <f>SUM(AS21:AS24)</f>
        <v>0</v>
      </c>
      <c r="AT25" s="175">
        <f>SUM(AT21:AT24)</f>
        <v>337556073.80000001</v>
      </c>
      <c r="AU25" s="175">
        <f t="shared" ref="AU25:BB25" si="16">SUM(AU21:AU24)</f>
        <v>337556073.80000001</v>
      </c>
      <c r="AV25" s="175">
        <f t="shared" si="16"/>
        <v>0</v>
      </c>
      <c r="AW25" s="175">
        <f>SUM(AW21:AW24)</f>
        <v>0</v>
      </c>
      <c r="AX25" s="175">
        <f t="shared" si="16"/>
        <v>0</v>
      </c>
      <c r="AY25" s="175">
        <f t="shared" si="16"/>
        <v>0</v>
      </c>
      <c r="AZ25" s="175">
        <f t="shared" si="16"/>
        <v>0</v>
      </c>
      <c r="BA25" s="175">
        <f t="shared" si="16"/>
        <v>0</v>
      </c>
      <c r="BB25" s="175">
        <f t="shared" si="16"/>
        <v>0</v>
      </c>
      <c r="BC25" s="169"/>
      <c r="BD25" s="169"/>
      <c r="BE25" s="169"/>
      <c r="BF25" s="169"/>
    </row>
    <row r="26" spans="1:58" ht="157.5" outlineLevel="2" x14ac:dyDescent="0.25">
      <c r="A26" s="115"/>
      <c r="B26" s="200"/>
      <c r="C26" s="201"/>
      <c r="D26" s="138"/>
      <c r="E26" s="219"/>
      <c r="F26" s="219"/>
      <c r="G26" s="313"/>
      <c r="H26" s="199" t="s">
        <v>385</v>
      </c>
      <c r="I26" s="130"/>
      <c r="J26" s="126"/>
      <c r="K26" s="126"/>
      <c r="L26" s="125" t="str">
        <f>IF(I26&lt;&gt;0,((VLOOKUP(I26,'1. Standard_Cost'!$B$4:$D$11,2)+VLOOKUP(I26,'1. Standard_Cost'!$B$4:$D$11,3))*J26*K26),"0")</f>
        <v>0</v>
      </c>
      <c r="M26" s="125">
        <f>L26*'1. Standard_Cost'!$F$4</f>
        <v>0</v>
      </c>
      <c r="N26" s="126"/>
      <c r="O26" s="126"/>
      <c r="P26" s="126"/>
      <c r="Q26" s="126"/>
      <c r="R26" s="127">
        <f>'1. Standard_Cost'!$B$15*N26*P26</f>
        <v>0</v>
      </c>
      <c r="S26" s="127">
        <f>N26*O26*P26*'1. Standard_Cost'!$C$15</f>
        <v>0</v>
      </c>
      <c r="T26" s="127">
        <f>N26*P26*Q26*'1. Standard_Cost'!$D$15</f>
        <v>0</v>
      </c>
      <c r="U26" s="127">
        <f>N26*O26*'1. Standard_Cost'!$E$15</f>
        <v>0</v>
      </c>
      <c r="V26" s="126"/>
      <c r="W26" s="126"/>
      <c r="X26" s="126"/>
      <c r="Y26" s="127">
        <f>+V26*((X26*'1. Standard_Cost'!$B$19)+(W26*X26*'1. Standard_Cost'!$C$19))</f>
        <v>0</v>
      </c>
      <c r="Z26" s="126"/>
      <c r="AA26" s="126"/>
      <c r="AB26" s="127">
        <f>+Z26*'1. Standard_Cost'!$B$23+AA26*'1. Standard_Cost'!$C$23</f>
        <v>0</v>
      </c>
      <c r="AC26" s="128">
        <v>240456772</v>
      </c>
      <c r="AD26" s="129"/>
      <c r="AE26" s="127">
        <v>0</v>
      </c>
      <c r="AF26" s="127">
        <f>SUM(AE26,AD26,AC26,AB26,Y26,U26,T26,S26,R26)</f>
        <v>240456772</v>
      </c>
      <c r="AG26" s="126"/>
      <c r="AH26" s="126"/>
      <c r="AI26" s="126"/>
      <c r="AJ26" s="130"/>
      <c r="AK26" s="130"/>
      <c r="AL26" s="130"/>
      <c r="AM26" s="127">
        <f>AG26*'1. Standard_Cost'!$B$27+'Incremental_Cost Year 7'!AH26*'1. Standard_Cost'!$C$27+'Incremental_Cost Year 7'!AI26*'1. Standard_Cost'!$D$27+'Incremental_Cost Year 7'!AJ26+'Incremental_Cost Year 7'!AL26+AK26</f>
        <v>0</v>
      </c>
      <c r="AN26" s="127">
        <f>AM26*'1. Standard_Cost'!$C$31</f>
        <v>0</v>
      </c>
      <c r="AO26" s="249"/>
      <c r="AQ26" s="171">
        <f>L26+M26</f>
        <v>0</v>
      </c>
      <c r="AR26" s="171">
        <f>AF26</f>
        <v>240456772</v>
      </c>
      <c r="AS26" s="171">
        <f>AM26+AN26</f>
        <v>0</v>
      </c>
      <c r="AT26" s="171">
        <f>SUM(AQ26,AR26,AS26)</f>
        <v>240456772</v>
      </c>
      <c r="AU26" s="250">
        <f>AT26</f>
        <v>240456772</v>
      </c>
      <c r="AV26" s="250"/>
      <c r="AW26" s="250"/>
      <c r="AX26" s="250"/>
      <c r="AY26" s="250"/>
      <c r="AZ26" s="250"/>
      <c r="BA26" s="250"/>
      <c r="BB26" s="251">
        <f t="shared" ref="BB26:BB28" si="17">SUM(AU26:BA26)-AT26</f>
        <v>0</v>
      </c>
      <c r="BC26" s="169"/>
      <c r="BD26" s="169"/>
      <c r="BE26" s="169"/>
      <c r="BF26" s="169"/>
    </row>
    <row r="27" spans="1:58" ht="141.75" outlineLevel="2" x14ac:dyDescent="0.25">
      <c r="A27" s="115"/>
      <c r="B27" s="200"/>
      <c r="C27" s="201"/>
      <c r="D27" s="135"/>
      <c r="E27" s="219"/>
      <c r="F27" s="219"/>
      <c r="G27" s="313"/>
      <c r="H27" s="199" t="s">
        <v>386</v>
      </c>
      <c r="I27" s="130"/>
      <c r="J27" s="126"/>
      <c r="K27" s="126"/>
      <c r="L27" s="125" t="str">
        <f>IF(I27&lt;&gt;0,((VLOOKUP(I27,'1. Standard_Cost'!$B$4:$D$11,2)+VLOOKUP(I27,'1. Standard_Cost'!$B$4:$D$11,3))*J27*K27),"0")</f>
        <v>0</v>
      </c>
      <c r="M27" s="125">
        <f>L27*'1. Standard_Cost'!$F$4</f>
        <v>0</v>
      </c>
      <c r="N27" s="126"/>
      <c r="O27" s="126"/>
      <c r="P27" s="126"/>
      <c r="Q27" s="126"/>
      <c r="R27" s="127">
        <f>'1. Standard_Cost'!$B$15*N27*P27</f>
        <v>0</v>
      </c>
      <c r="S27" s="127">
        <f>N27*O27*P27*'1. Standard_Cost'!$C$15</f>
        <v>0</v>
      </c>
      <c r="T27" s="127">
        <f>N27*P27*Q27*'1. Standard_Cost'!$D$15</f>
        <v>0</v>
      </c>
      <c r="U27" s="127">
        <f>N27*O27*'1. Standard_Cost'!$E$15</f>
        <v>0</v>
      </c>
      <c r="V27" s="126"/>
      <c r="W27" s="126"/>
      <c r="X27" s="126"/>
      <c r="Y27" s="127">
        <f>+V27*((X27*'1. Standard_Cost'!$B$19)+(W27*X27*'1. Standard_Cost'!$C$19))</f>
        <v>0</v>
      </c>
      <c r="Z27" s="126"/>
      <c r="AA27" s="126"/>
      <c r="AB27" s="127">
        <f>+Z27*'1. Standard_Cost'!$B$23+AA27*'1. Standard_Cost'!$C$23</f>
        <v>0</v>
      </c>
      <c r="AC27" s="128">
        <v>159520725</v>
      </c>
      <c r="AD27" s="129"/>
      <c r="AE27" s="127">
        <v>0</v>
      </c>
      <c r="AF27" s="127">
        <f>SUM(AE27,AD27,AC27,AB27,Y27,U27,T27,S27,R27)</f>
        <v>159520725</v>
      </c>
      <c r="AG27" s="126"/>
      <c r="AH27" s="126"/>
      <c r="AI27" s="126"/>
      <c r="AJ27" s="130"/>
      <c r="AK27" s="130"/>
      <c r="AL27" s="130"/>
      <c r="AM27" s="127">
        <f>AG27*'1. Standard_Cost'!$B$27+'Incremental_Cost Year 7'!AH27*'1. Standard_Cost'!$C$27+'Incremental_Cost Year 7'!AI27*'1. Standard_Cost'!$D$27+'Incremental_Cost Year 7'!AJ27+'Incremental_Cost Year 7'!AL27+AK27</f>
        <v>0</v>
      </c>
      <c r="AN27" s="127">
        <f>AM27*'1. Standard_Cost'!$C$31</f>
        <v>0</v>
      </c>
      <c r="AO27" s="130"/>
      <c r="AQ27" s="171">
        <f>L27+M27</f>
        <v>0</v>
      </c>
      <c r="AR27" s="171">
        <f>AF27</f>
        <v>159520725</v>
      </c>
      <c r="AS27" s="171">
        <f>AM27+AN27</f>
        <v>0</v>
      </c>
      <c r="AT27" s="171">
        <f>SUM(AQ27,AR27,AS27)</f>
        <v>159520725</v>
      </c>
      <c r="AU27" s="250">
        <f>AT27</f>
        <v>159520725</v>
      </c>
      <c r="AV27" s="250"/>
      <c r="AW27" s="250"/>
      <c r="AX27" s="250"/>
      <c r="AY27" s="250"/>
      <c r="AZ27" s="250"/>
      <c r="BA27" s="250"/>
      <c r="BB27" s="251">
        <f t="shared" si="17"/>
        <v>0</v>
      </c>
      <c r="BC27" s="169"/>
      <c r="BD27" s="169"/>
      <c r="BE27" s="169"/>
      <c r="BF27" s="169"/>
    </row>
    <row r="28" spans="1:58" ht="189" outlineLevel="2" x14ac:dyDescent="0.25">
      <c r="A28" s="115"/>
      <c r="B28" s="200"/>
      <c r="C28" s="201"/>
      <c r="D28" s="223"/>
      <c r="E28" s="219"/>
      <c r="F28" s="219"/>
      <c r="G28" s="313"/>
      <c r="H28" s="103" t="s">
        <v>387</v>
      </c>
      <c r="I28" s="130"/>
      <c r="J28" s="126"/>
      <c r="K28" s="126"/>
      <c r="L28" s="125" t="str">
        <f>IF(I28&lt;&gt;0,((VLOOKUP(I28,'1. Standard_Cost'!$B$4:$D$11,2)+VLOOKUP(I28,'1. Standard_Cost'!$B$4:$D$11,3))*J28*K28),"0")</f>
        <v>0</v>
      </c>
      <c r="M28" s="125">
        <f>L28*'1. Standard_Cost'!$F$4</f>
        <v>0</v>
      </c>
      <c r="N28" s="126"/>
      <c r="O28" s="126"/>
      <c r="P28" s="126"/>
      <c r="Q28" s="126"/>
      <c r="R28" s="127">
        <f>'1. Standard_Cost'!$B$15*N28*P28</f>
        <v>0</v>
      </c>
      <c r="S28" s="127">
        <f>N28*O28*P28*'1. Standard_Cost'!$C$15</f>
        <v>0</v>
      </c>
      <c r="T28" s="127">
        <f>N28*P28*Q28*'1. Standard_Cost'!$D$15</f>
        <v>0</v>
      </c>
      <c r="U28" s="127">
        <f>N28*O28*'1. Standard_Cost'!$E$15</f>
        <v>0</v>
      </c>
      <c r="V28" s="126"/>
      <c r="W28" s="126"/>
      <c r="X28" s="126"/>
      <c r="Y28" s="127">
        <f>+V28*((X28*'1. Standard_Cost'!$B$19)+(W28*X28*'1. Standard_Cost'!$C$19))</f>
        <v>0</v>
      </c>
      <c r="Z28" s="126"/>
      <c r="AA28" s="126"/>
      <c r="AB28" s="127">
        <f>+Z28*'1. Standard_Cost'!$B$23+AA28*'1. Standard_Cost'!$C$23</f>
        <v>0</v>
      </c>
      <c r="AC28" s="128">
        <v>318346875</v>
      </c>
      <c r="AD28" s="129"/>
      <c r="AE28" s="127">
        <v>0</v>
      </c>
      <c r="AF28" s="127">
        <f>SUM(AE28,AD28,AC28,AB28,Y28,U28,T28,S28,R28)</f>
        <v>318346875</v>
      </c>
      <c r="AG28" s="126"/>
      <c r="AH28" s="126"/>
      <c r="AI28" s="126"/>
      <c r="AJ28" s="130"/>
      <c r="AK28" s="130"/>
      <c r="AL28" s="130"/>
      <c r="AM28" s="127">
        <f>AG28*'1. Standard_Cost'!$B$27+'Incremental_Cost Year 7'!AH28*'1. Standard_Cost'!$C$27+'Incremental_Cost Year 7'!AI28*'1. Standard_Cost'!$D$27+'Incremental_Cost Year 7'!AJ28+'Incremental_Cost Year 7'!AL28+AK28</f>
        <v>0</v>
      </c>
      <c r="AN28" s="127">
        <f>AM28*'1. Standard_Cost'!$C$31</f>
        <v>0</v>
      </c>
      <c r="AO28" s="130"/>
      <c r="AQ28" s="171">
        <f>L28+M28</f>
        <v>0</v>
      </c>
      <c r="AR28" s="171">
        <f>AF28</f>
        <v>318346875</v>
      </c>
      <c r="AS28" s="171">
        <f>AM28+AN28</f>
        <v>0</v>
      </c>
      <c r="AT28" s="171">
        <f>SUM(AQ28,AR28,AS28)</f>
        <v>318346875</v>
      </c>
      <c r="AU28" s="250">
        <f>AT28</f>
        <v>318346875</v>
      </c>
      <c r="AV28" s="250"/>
      <c r="AW28" s="250"/>
      <c r="AX28" s="250"/>
      <c r="AY28" s="250"/>
      <c r="AZ28" s="250"/>
      <c r="BA28" s="250"/>
      <c r="BB28" s="251">
        <f t="shared" si="17"/>
        <v>0</v>
      </c>
      <c r="BC28" s="169"/>
      <c r="BD28" s="169"/>
      <c r="BE28" s="169"/>
      <c r="BF28" s="169"/>
    </row>
    <row r="29" spans="1:58" ht="63" outlineLevel="1" x14ac:dyDescent="0.25">
      <c r="A29" s="115"/>
      <c r="B29" s="165"/>
      <c r="C29" s="301"/>
      <c r="D29" s="150" t="s">
        <v>388</v>
      </c>
      <c r="E29" s="139" t="s">
        <v>198</v>
      </c>
      <c r="F29" s="300">
        <v>2021</v>
      </c>
      <c r="G29" s="209">
        <v>2030</v>
      </c>
      <c r="H29" s="134" t="s">
        <v>199</v>
      </c>
      <c r="I29" s="252"/>
      <c r="J29" s="252"/>
      <c r="K29" s="252"/>
      <c r="L29" s="127">
        <f>SUM(L26:L28)</f>
        <v>0</v>
      </c>
      <c r="M29" s="127">
        <f>SUM(M26:M28)</f>
        <v>0</v>
      </c>
      <c r="N29" s="127"/>
      <c r="O29" s="252"/>
      <c r="P29" s="252"/>
      <c r="Q29" s="252"/>
      <c r="R29" s="127">
        <f>SUM(R26:R28)</f>
        <v>0</v>
      </c>
      <c r="S29" s="127">
        <f>SUM(S26:S28)</f>
        <v>0</v>
      </c>
      <c r="T29" s="127">
        <f>SUM(T26:T28)</f>
        <v>0</v>
      </c>
      <c r="U29" s="127">
        <f>SUM(U26:U28)</f>
        <v>0</v>
      </c>
      <c r="V29" s="252"/>
      <c r="W29" s="252"/>
      <c r="X29" s="252"/>
      <c r="Y29" s="127">
        <f>SUM(Y26:Y28)</f>
        <v>0</v>
      </c>
      <c r="Z29" s="252"/>
      <c r="AA29" s="252"/>
      <c r="AB29" s="127">
        <f>SUM(AB26:AB28)</f>
        <v>0</v>
      </c>
      <c r="AC29" s="127">
        <f>SUM(AC26:AC28)</f>
        <v>718324372</v>
      </c>
      <c r="AD29" s="127">
        <f>SUM(AD26:AD28)</f>
        <v>0</v>
      </c>
      <c r="AE29" s="127">
        <f>SUM(AE26:AE28)</f>
        <v>0</v>
      </c>
      <c r="AF29" s="127">
        <f>SUM(AF26:AF28)</f>
        <v>718324372</v>
      </c>
      <c r="AG29" s="252"/>
      <c r="AH29" s="252"/>
      <c r="AI29" s="252"/>
      <c r="AJ29" s="127">
        <f>SUM(AJ26:AJ28)</f>
        <v>0</v>
      </c>
      <c r="AK29" s="127">
        <f>SUM(AK26:AK28)</f>
        <v>0</v>
      </c>
      <c r="AL29" s="127">
        <f>SUM(AL26:AL28)</f>
        <v>0</v>
      </c>
      <c r="AM29" s="127">
        <f>SUM(AM26:AM28)</f>
        <v>0</v>
      </c>
      <c r="AN29" s="127">
        <f>SUM(AN26:AN28)</f>
        <v>0</v>
      </c>
      <c r="AO29" s="253"/>
      <c r="AP29" s="254"/>
      <c r="AQ29" s="175">
        <f>SUM(AQ26:AQ28)</f>
        <v>0</v>
      </c>
      <c r="AR29" s="175">
        <f>SUM(AR26:AR28)</f>
        <v>718324372</v>
      </c>
      <c r="AS29" s="175">
        <f>SUM(AS26:AS28)</f>
        <v>0</v>
      </c>
      <c r="AT29" s="175">
        <f>SUM(AT26:AT28)</f>
        <v>718324372</v>
      </c>
      <c r="AU29" s="175">
        <f t="shared" ref="AU29:BB29" si="18">SUM(AU26:AU28)</f>
        <v>718324372</v>
      </c>
      <c r="AV29" s="175">
        <f t="shared" si="18"/>
        <v>0</v>
      </c>
      <c r="AW29" s="175">
        <f t="shared" si="18"/>
        <v>0</v>
      </c>
      <c r="AX29" s="175">
        <f t="shared" si="18"/>
        <v>0</v>
      </c>
      <c r="AY29" s="175">
        <f t="shared" si="18"/>
        <v>0</v>
      </c>
      <c r="AZ29" s="175">
        <f t="shared" si="18"/>
        <v>0</v>
      </c>
      <c r="BA29" s="175">
        <f t="shared" si="18"/>
        <v>0</v>
      </c>
      <c r="BB29" s="175">
        <f t="shared" si="18"/>
        <v>0</v>
      </c>
      <c r="BC29" s="169"/>
      <c r="BD29" s="169"/>
      <c r="BE29" s="169"/>
      <c r="BF29" s="169"/>
    </row>
    <row r="30" spans="1:58" ht="78.75" outlineLevel="2" x14ac:dyDescent="0.25">
      <c r="A30" s="115"/>
      <c r="B30" s="200"/>
      <c r="C30" s="201"/>
      <c r="D30" s="138"/>
      <c r="E30" s="295"/>
      <c r="F30" s="295"/>
      <c r="G30" s="296"/>
      <c r="H30" s="299" t="s">
        <v>305</v>
      </c>
      <c r="I30" s="130" t="s">
        <v>3</v>
      </c>
      <c r="J30" s="126">
        <v>12</v>
      </c>
      <c r="K30" s="126">
        <v>4</v>
      </c>
      <c r="L30" s="125">
        <f>IF(I30&lt;&gt;0,((VLOOKUP(I30,'1. Standard_Cost'!$B$4:$D$11,2)+VLOOKUP(I30,'1. Standard_Cost'!$B$4:$D$11,3))*J30*K30),"0")</f>
        <v>4838400</v>
      </c>
      <c r="M30" s="125">
        <f>L30*'1. Standard_Cost'!$F$4</f>
        <v>808012.80000000005</v>
      </c>
      <c r="N30" s="126"/>
      <c r="O30" s="126"/>
      <c r="P30" s="126"/>
      <c r="Q30" s="126"/>
      <c r="R30" s="127">
        <f>'1. Standard_Cost'!$B$15*N30*P30</f>
        <v>0</v>
      </c>
      <c r="S30" s="127">
        <f>N30*O30*P30*'1. Standard_Cost'!$C$15</f>
        <v>0</v>
      </c>
      <c r="T30" s="127">
        <f>N30*P30*Q30*'1. Standard_Cost'!$D$15</f>
        <v>0</v>
      </c>
      <c r="U30" s="127">
        <f>N30*O30*'1. Standard_Cost'!$E$15</f>
        <v>0</v>
      </c>
      <c r="V30" s="126"/>
      <c r="W30" s="126"/>
      <c r="X30" s="126"/>
      <c r="Y30" s="127">
        <f>+V30*((X30*'1. Standard_Cost'!$B$19)+(W30*X30*'1. Standard_Cost'!$C$19))</f>
        <v>0</v>
      </c>
      <c r="Z30" s="126"/>
      <c r="AA30" s="126"/>
      <c r="AB30" s="127">
        <f>+Z30*'1. Standard_Cost'!$B$23+AA30*'1. Standard_Cost'!$C$23</f>
        <v>0</v>
      </c>
      <c r="AC30" s="128"/>
      <c r="AD30" s="129"/>
      <c r="AE30" s="127">
        <f>SUM(AD30,AC30,AB30,Y30,U30,T30,S30,R30)*'1. Standard_Cost'!$B$31</f>
        <v>0</v>
      </c>
      <c r="AF30" s="127">
        <f t="shared" ref="AF30:AF36" si="19">SUM(AE30,AD30,AC30,AB30,Y30,U30,T30,S30,R30)</f>
        <v>0</v>
      </c>
      <c r="AG30" s="126"/>
      <c r="AH30" s="126"/>
      <c r="AI30" s="126"/>
      <c r="AJ30" s="130"/>
      <c r="AK30" s="130"/>
      <c r="AL30" s="130"/>
      <c r="AM30" s="127">
        <f>AG30*'1. Standard_Cost'!$B$27+'Incremental_Cost Year 7'!AH30*'1. Standard_Cost'!$C$27+'Incremental_Cost Year 7'!AI30*'1. Standard_Cost'!$D$27+'Incremental_Cost Year 7'!AJ30+'Incremental_Cost Year 7'!AL30+AK30</f>
        <v>0</v>
      </c>
      <c r="AN30" s="127">
        <f>AM30*'1. Standard_Cost'!$C$31</f>
        <v>0</v>
      </c>
      <c r="AO30" s="249"/>
      <c r="AQ30" s="171">
        <f t="shared" ref="AQ30:AQ36" si="20">L30+M30</f>
        <v>5646412.7999999998</v>
      </c>
      <c r="AR30" s="171">
        <f t="shared" ref="AR30:AR36" si="21">AF30</f>
        <v>0</v>
      </c>
      <c r="AS30" s="171">
        <f t="shared" ref="AS30:AS36" si="22">AM30+AN30</f>
        <v>0</v>
      </c>
      <c r="AT30" s="171">
        <f t="shared" ref="AT30:AT36" si="23">SUM(AQ30,AR30,AS30)</f>
        <v>5646412.7999999998</v>
      </c>
      <c r="AU30" s="250">
        <f>AT30</f>
        <v>5646412.7999999998</v>
      </c>
      <c r="AV30" s="250"/>
      <c r="AW30" s="250"/>
      <c r="AX30" s="250"/>
      <c r="AY30" s="250"/>
      <c r="AZ30" s="250"/>
      <c r="BA30" s="250"/>
      <c r="BB30" s="251">
        <f t="shared" ref="BB30" si="24">SUM(AU30:BA30)-AT30</f>
        <v>0</v>
      </c>
      <c r="BC30" s="169"/>
      <c r="BD30" s="169"/>
      <c r="BE30" s="169"/>
      <c r="BF30" s="169"/>
    </row>
    <row r="31" spans="1:58" ht="78.75" outlineLevel="2" x14ac:dyDescent="0.25">
      <c r="A31" s="115"/>
      <c r="B31" s="200"/>
      <c r="C31" s="201"/>
      <c r="D31" s="135"/>
      <c r="E31" s="219"/>
      <c r="F31" s="219"/>
      <c r="G31" s="313"/>
      <c r="H31" s="213" t="s">
        <v>226</v>
      </c>
      <c r="I31" s="130" t="s">
        <v>5</v>
      </c>
      <c r="J31" s="126">
        <v>6</v>
      </c>
      <c r="K31" s="126">
        <v>420</v>
      </c>
      <c r="L31" s="125">
        <f>IF(I31&lt;&gt;0,((VLOOKUP(I31,'1. Standard_Cost'!$B$4:$D$11,2)+VLOOKUP(I31,'1. Standard_Cost'!$B$4:$D$11,3))*J31*K31),"0")</f>
        <v>178164000</v>
      </c>
      <c r="M31" s="125">
        <f>L31*'1. Standard_Cost'!$F$4</f>
        <v>29753388</v>
      </c>
      <c r="N31" s="126"/>
      <c r="O31" s="126"/>
      <c r="P31" s="126"/>
      <c r="Q31" s="126"/>
      <c r="R31" s="127">
        <f>'1. Standard_Cost'!$B$15*N31*P31</f>
        <v>0</v>
      </c>
      <c r="S31" s="127">
        <f>N31*O31*P31*'1. Standard_Cost'!$C$15</f>
        <v>0</v>
      </c>
      <c r="T31" s="127">
        <f>N31*P31*Q31*'1. Standard_Cost'!$D$15</f>
        <v>0</v>
      </c>
      <c r="U31" s="127">
        <f>N31*O31*'1. Standard_Cost'!$E$15</f>
        <v>0</v>
      </c>
      <c r="V31" s="126"/>
      <c r="W31" s="126"/>
      <c r="X31" s="126"/>
      <c r="Y31" s="127">
        <f>+V31*((X31*'1. Standard_Cost'!$B$19)+(W31*X31*'1. Standard_Cost'!$C$19))</f>
        <v>0</v>
      </c>
      <c r="Z31" s="126"/>
      <c r="AA31" s="126"/>
      <c r="AB31" s="127">
        <f>+Z31*'1. Standard_Cost'!$B$23+AA31*'1. Standard_Cost'!$C$23</f>
        <v>0</v>
      </c>
      <c r="AC31" s="128"/>
      <c r="AD31" s="129"/>
      <c r="AE31" s="127">
        <f>SUM(AD31,AC31,AB31,Y31,U31,T31,S31,R31)*'1. Standard_Cost'!$B$31</f>
        <v>0</v>
      </c>
      <c r="AF31" s="127">
        <f t="shared" si="19"/>
        <v>0</v>
      </c>
      <c r="AG31" s="126"/>
      <c r="AH31" s="126"/>
      <c r="AI31" s="126"/>
      <c r="AJ31" s="130"/>
      <c r="AK31" s="130"/>
      <c r="AL31" s="130"/>
      <c r="AM31" s="127">
        <f>AG31*'1. Standard_Cost'!$B$27+'Incremental_Cost Year 7'!AH31*'1. Standard_Cost'!$C$27+'Incremental_Cost Year 7'!AI31*'1. Standard_Cost'!$D$27+'Incremental_Cost Year 7'!AJ31+'Incremental_Cost Year 7'!AL31+AK31</f>
        <v>0</v>
      </c>
      <c r="AN31" s="127">
        <f>AM31*'1. Standard_Cost'!$C$31</f>
        <v>0</v>
      </c>
      <c r="AO31" s="249"/>
      <c r="AQ31" s="171">
        <f t="shared" si="20"/>
        <v>207917388</v>
      </c>
      <c r="AR31" s="171">
        <f t="shared" si="21"/>
        <v>0</v>
      </c>
      <c r="AS31" s="171">
        <f t="shared" si="22"/>
        <v>0</v>
      </c>
      <c r="AT31" s="171">
        <f t="shared" si="23"/>
        <v>207917388</v>
      </c>
      <c r="AU31" s="250">
        <f>AT31</f>
        <v>207917388</v>
      </c>
      <c r="AV31" s="250"/>
      <c r="AW31" s="250"/>
      <c r="AX31" s="250"/>
      <c r="AY31" s="250"/>
      <c r="AZ31" s="250"/>
      <c r="BA31" s="250"/>
      <c r="BB31" s="251">
        <f t="shared" ref="BB31:BB36" si="25">SUM(AU31:BA31)-AT31</f>
        <v>0</v>
      </c>
      <c r="BC31" s="169"/>
      <c r="BD31" s="169"/>
      <c r="BE31" s="169"/>
      <c r="BF31" s="169"/>
    </row>
    <row r="32" spans="1:58" ht="78.75" outlineLevel="2" x14ac:dyDescent="0.25">
      <c r="A32" s="115"/>
      <c r="B32" s="200"/>
      <c r="C32" s="201"/>
      <c r="D32" s="135"/>
      <c r="E32" s="219"/>
      <c r="F32" s="219"/>
      <c r="G32" s="313"/>
      <c r="H32" s="213" t="s">
        <v>306</v>
      </c>
      <c r="I32" s="130" t="s">
        <v>4</v>
      </c>
      <c r="J32" s="126">
        <v>6</v>
      </c>
      <c r="K32" s="126">
        <v>36</v>
      </c>
      <c r="L32" s="125">
        <f>IF(I32&lt;&gt;0,((VLOOKUP(I32,'1. Standard_Cost'!$B$4:$D$11,2)+VLOOKUP(I32,'1. Standard_Cost'!$B$4:$D$11,3))*J32*K32),"0")</f>
        <v>17442000</v>
      </c>
      <c r="M32" s="125">
        <f>L32*'1. Standard_Cost'!$F$4</f>
        <v>2912814</v>
      </c>
      <c r="N32" s="126"/>
      <c r="O32" s="126"/>
      <c r="P32" s="126"/>
      <c r="Q32" s="126"/>
      <c r="R32" s="127">
        <f>'1. Standard_Cost'!$B$15*N32*P32</f>
        <v>0</v>
      </c>
      <c r="S32" s="127">
        <f>N32*O32*P32*'1. Standard_Cost'!$C$15</f>
        <v>0</v>
      </c>
      <c r="T32" s="127">
        <f>N32*P32*Q32*'1. Standard_Cost'!$D$15</f>
        <v>0</v>
      </c>
      <c r="U32" s="127">
        <f>N32*O32*'1. Standard_Cost'!$E$15</f>
        <v>0</v>
      </c>
      <c r="V32" s="126"/>
      <c r="W32" s="126"/>
      <c r="X32" s="126"/>
      <c r="Y32" s="127">
        <f>+V32*((X32*'1. Standard_Cost'!$B$19)+(W32*X32*'1. Standard_Cost'!$C$19))</f>
        <v>0</v>
      </c>
      <c r="Z32" s="126"/>
      <c r="AA32" s="126"/>
      <c r="AB32" s="127">
        <f>+Z32*'1. Standard_Cost'!$B$23+AA32*'1. Standard_Cost'!$C$23</f>
        <v>0</v>
      </c>
      <c r="AC32" s="128"/>
      <c r="AD32" s="129"/>
      <c r="AE32" s="127">
        <f>SUM(AD32,AC32,AB32,Y32,U32,T32,S32,R32)*'1. Standard_Cost'!$B$31</f>
        <v>0</v>
      </c>
      <c r="AF32" s="127">
        <f t="shared" si="19"/>
        <v>0</v>
      </c>
      <c r="AG32" s="126"/>
      <c r="AH32" s="126"/>
      <c r="AI32" s="126"/>
      <c r="AJ32" s="130"/>
      <c r="AK32" s="130"/>
      <c r="AL32" s="130"/>
      <c r="AM32" s="127">
        <f>AG32*'1. Standard_Cost'!$B$27+'Incremental_Cost Year 7'!AH32*'1. Standard_Cost'!$C$27+'Incremental_Cost Year 7'!AI32*'1. Standard_Cost'!$D$27+'Incremental_Cost Year 7'!AJ32+'Incremental_Cost Year 7'!AL32+AK32</f>
        <v>0</v>
      </c>
      <c r="AN32" s="127">
        <f>AM32*'1. Standard_Cost'!$C$31</f>
        <v>0</v>
      </c>
      <c r="AO32" s="249"/>
      <c r="AQ32" s="171">
        <f t="shared" si="20"/>
        <v>20354814</v>
      </c>
      <c r="AR32" s="171">
        <f t="shared" si="21"/>
        <v>0</v>
      </c>
      <c r="AS32" s="171">
        <f t="shared" si="22"/>
        <v>0</v>
      </c>
      <c r="AT32" s="171">
        <f t="shared" si="23"/>
        <v>20354814</v>
      </c>
      <c r="AU32" s="250">
        <f>AT32</f>
        <v>20354814</v>
      </c>
      <c r="AV32" s="250"/>
      <c r="AW32" s="250"/>
      <c r="AX32" s="250"/>
      <c r="AY32" s="250"/>
      <c r="AZ32" s="250"/>
      <c r="BA32" s="250"/>
      <c r="BB32" s="251">
        <f t="shared" si="25"/>
        <v>0</v>
      </c>
      <c r="BC32" s="169"/>
      <c r="BD32" s="169"/>
      <c r="BE32" s="169"/>
      <c r="BF32" s="169"/>
    </row>
    <row r="33" spans="1:58" ht="63" outlineLevel="2" x14ac:dyDescent="0.25">
      <c r="A33" s="115"/>
      <c r="B33" s="200"/>
      <c r="C33" s="201"/>
      <c r="D33" s="135"/>
      <c r="E33" s="219"/>
      <c r="F33" s="219"/>
      <c r="G33" s="313"/>
      <c r="H33" s="213" t="s">
        <v>389</v>
      </c>
      <c r="I33" s="130"/>
      <c r="J33" s="126"/>
      <c r="K33" s="126"/>
      <c r="L33" s="125" t="str">
        <f>IF(I33&lt;&gt;0,((VLOOKUP(I33,'1. Standard_Cost'!$B$4:$D$11,2)+VLOOKUP(I33,'1. Standard_Cost'!$B$4:$D$11,3))*J33*K33),"0")</f>
        <v>0</v>
      </c>
      <c r="M33" s="125">
        <f>L33*'1. Standard_Cost'!$F$4</f>
        <v>0</v>
      </c>
      <c r="N33" s="126"/>
      <c r="O33" s="126"/>
      <c r="P33" s="126"/>
      <c r="Q33" s="126"/>
      <c r="R33" s="127">
        <f>'1. Standard_Cost'!$B$15*N33*P33</f>
        <v>0</v>
      </c>
      <c r="S33" s="127">
        <f>N33*O33*P33*'1. Standard_Cost'!$C$15</f>
        <v>0</v>
      </c>
      <c r="T33" s="127">
        <f>N33*P33*Q33*'1. Standard_Cost'!$D$15</f>
        <v>0</v>
      </c>
      <c r="U33" s="127">
        <f>N33*O33*'1. Standard_Cost'!$E$15</f>
        <v>0</v>
      </c>
      <c r="V33" s="126"/>
      <c r="W33" s="126"/>
      <c r="X33" s="126"/>
      <c r="Y33" s="127">
        <f>+V33*((X33*'1. Standard_Cost'!$B$19)+(W33*X33*'1. Standard_Cost'!$C$19))</f>
        <v>0</v>
      </c>
      <c r="Z33" s="126"/>
      <c r="AA33" s="126"/>
      <c r="AB33" s="127">
        <f>+Z33*'1. Standard_Cost'!$B$23+AA33*'1. Standard_Cost'!$C$23</f>
        <v>0</v>
      </c>
      <c r="AC33" s="128"/>
      <c r="AD33" s="129"/>
      <c r="AE33" s="127">
        <f>SUM(AD33,AC33,AB33,Y33,U33,T33,S33,R33)*'1. Standard_Cost'!$B$31</f>
        <v>0</v>
      </c>
      <c r="AF33" s="127">
        <f t="shared" si="19"/>
        <v>0</v>
      </c>
      <c r="AG33" s="126"/>
      <c r="AH33" s="126"/>
      <c r="AI33" s="126"/>
      <c r="AJ33" s="130"/>
      <c r="AK33" s="130"/>
      <c r="AL33" s="130"/>
      <c r="AM33" s="127">
        <f>AG33*'1. Standard_Cost'!$B$27+'Incremental_Cost Year 7'!AH33*'1. Standard_Cost'!$C$27+'Incremental_Cost Year 7'!AI33*'1. Standard_Cost'!$D$27+'Incremental_Cost Year 7'!AJ33+'Incremental_Cost Year 7'!AL33+AK33</f>
        <v>0</v>
      </c>
      <c r="AN33" s="127">
        <f>AM33*'1. Standard_Cost'!$C$31</f>
        <v>0</v>
      </c>
      <c r="AO33" s="130"/>
      <c r="AQ33" s="171">
        <f t="shared" si="20"/>
        <v>0</v>
      </c>
      <c r="AR33" s="171">
        <f t="shared" si="21"/>
        <v>0</v>
      </c>
      <c r="AS33" s="171">
        <f t="shared" si="22"/>
        <v>0</v>
      </c>
      <c r="AT33" s="171">
        <f t="shared" si="23"/>
        <v>0</v>
      </c>
      <c r="AU33" s="250"/>
      <c r="AV33" s="250"/>
      <c r="AW33" s="250"/>
      <c r="AX33" s="250"/>
      <c r="AY33" s="250"/>
      <c r="AZ33" s="250"/>
      <c r="BA33" s="250"/>
      <c r="BB33" s="251">
        <f t="shared" si="25"/>
        <v>0</v>
      </c>
      <c r="BC33" s="169"/>
      <c r="BD33" s="169"/>
      <c r="BE33" s="169"/>
      <c r="BF33" s="169"/>
    </row>
    <row r="34" spans="1:58" ht="110.25" outlineLevel="2" x14ac:dyDescent="0.25">
      <c r="A34" s="115"/>
      <c r="B34" s="200"/>
      <c r="C34" s="201"/>
      <c r="D34" s="135"/>
      <c r="E34" s="219"/>
      <c r="F34" s="219"/>
      <c r="G34" s="313"/>
      <c r="H34" s="213" t="s">
        <v>390</v>
      </c>
      <c r="I34" s="130" t="s">
        <v>3</v>
      </c>
      <c r="J34" s="126">
        <v>12</v>
      </c>
      <c r="K34" s="126">
        <v>3</v>
      </c>
      <c r="L34" s="125">
        <f>IF(I34&lt;&gt;0,((VLOOKUP(I34,'1. Standard_Cost'!$B$4:$D$11,2)+VLOOKUP(I34,'1. Standard_Cost'!$B$4:$D$11,3))*J34*K34),"0")</f>
        <v>3628800</v>
      </c>
      <c r="M34" s="125">
        <f>L34*'1. Standard_Cost'!$F$4</f>
        <v>606009.59999999998</v>
      </c>
      <c r="N34" s="126"/>
      <c r="O34" s="126"/>
      <c r="P34" s="126"/>
      <c r="Q34" s="126"/>
      <c r="R34" s="127">
        <f>'1. Standard_Cost'!$B$15*N34*P34</f>
        <v>0</v>
      </c>
      <c r="S34" s="127">
        <f>N34*O34*P34*'1. Standard_Cost'!$C$15</f>
        <v>0</v>
      </c>
      <c r="T34" s="127">
        <f>N34*P34*Q34*'1. Standard_Cost'!$D$15</f>
        <v>0</v>
      </c>
      <c r="U34" s="127">
        <f>N34*O34*'1. Standard_Cost'!$E$15</f>
        <v>0</v>
      </c>
      <c r="V34" s="126"/>
      <c r="W34" s="126"/>
      <c r="X34" s="126"/>
      <c r="Y34" s="127">
        <f>+V34*((X34*'1. Standard_Cost'!$B$19)+(W34*X34*'1. Standard_Cost'!$C$19))</f>
        <v>0</v>
      </c>
      <c r="Z34" s="126"/>
      <c r="AA34" s="126"/>
      <c r="AB34" s="127">
        <f>+Z34*'1. Standard_Cost'!$B$23+AA34*'1. Standard_Cost'!$C$23</f>
        <v>0</v>
      </c>
      <c r="AC34" s="128">
        <v>1000000</v>
      </c>
      <c r="AD34" s="129"/>
      <c r="AE34" s="127">
        <f>SUM(AD34,AC34,AB34,Y34,U34,T34,S34,R34)*'1. Standard_Cost'!$B$31</f>
        <v>200000</v>
      </c>
      <c r="AF34" s="127">
        <f t="shared" si="19"/>
        <v>1200000</v>
      </c>
      <c r="AG34" s="126"/>
      <c r="AH34" s="126"/>
      <c r="AI34" s="126"/>
      <c r="AJ34" s="130"/>
      <c r="AK34" s="130"/>
      <c r="AL34" s="130"/>
      <c r="AM34" s="127">
        <f>AG34*'1. Standard_Cost'!$B$27+'Incremental_Cost Year 7'!AH34*'1. Standard_Cost'!$C$27+'Incremental_Cost Year 7'!AI34*'1. Standard_Cost'!$D$27+'Incremental_Cost Year 7'!AJ34+'Incremental_Cost Year 7'!AL34+AK34</f>
        <v>0</v>
      </c>
      <c r="AN34" s="127">
        <f>AM34*'1. Standard_Cost'!$C$31</f>
        <v>0</v>
      </c>
      <c r="AO34" s="130"/>
      <c r="AQ34" s="171">
        <f t="shared" si="20"/>
        <v>4234809.5999999996</v>
      </c>
      <c r="AR34" s="171">
        <f t="shared" si="21"/>
        <v>1200000</v>
      </c>
      <c r="AS34" s="171">
        <f t="shared" si="22"/>
        <v>0</v>
      </c>
      <c r="AT34" s="171">
        <f t="shared" si="23"/>
        <v>5434809.5999999996</v>
      </c>
      <c r="AU34" s="250">
        <f>AT34</f>
        <v>5434809.5999999996</v>
      </c>
      <c r="AV34" s="250"/>
      <c r="AW34" s="250"/>
      <c r="AX34" s="250"/>
      <c r="AY34" s="250"/>
      <c r="AZ34" s="250"/>
      <c r="BA34" s="250"/>
      <c r="BB34" s="251">
        <f t="shared" si="25"/>
        <v>0</v>
      </c>
      <c r="BC34" s="169"/>
      <c r="BD34" s="169"/>
      <c r="BE34" s="169"/>
      <c r="BF34" s="169"/>
    </row>
    <row r="35" spans="1:58" ht="78.75" outlineLevel="2" x14ac:dyDescent="0.25">
      <c r="A35" s="115"/>
      <c r="B35" s="200"/>
      <c r="C35" s="201"/>
      <c r="D35" s="135"/>
      <c r="E35" s="219"/>
      <c r="F35" s="219"/>
      <c r="G35" s="313"/>
      <c r="H35" s="213" t="s">
        <v>391</v>
      </c>
      <c r="I35" s="130" t="s">
        <v>5</v>
      </c>
      <c r="J35" s="126">
        <v>1</v>
      </c>
      <c r="K35" s="126">
        <v>420</v>
      </c>
      <c r="L35" s="125">
        <f>IF(I35&lt;&gt;0,((VLOOKUP(I35,'1. Standard_Cost'!$B$4:$D$11,2)+VLOOKUP(I35,'1. Standard_Cost'!$B$4:$D$11,3))*J35*K35),"0")</f>
        <v>29694000</v>
      </c>
      <c r="M35" s="125">
        <f>L35*'1. Standard_Cost'!$F$4</f>
        <v>4958898</v>
      </c>
      <c r="N35" s="126"/>
      <c r="O35" s="126"/>
      <c r="P35" s="126"/>
      <c r="Q35" s="126"/>
      <c r="R35" s="127">
        <f>'1. Standard_Cost'!$B$15*N35*P35</f>
        <v>0</v>
      </c>
      <c r="S35" s="127">
        <f>N35*O35*P35*'1. Standard_Cost'!$C$15</f>
        <v>0</v>
      </c>
      <c r="T35" s="127">
        <f>N35*P35*Q35*'1. Standard_Cost'!$D$15</f>
        <v>0</v>
      </c>
      <c r="U35" s="127">
        <f>N35*O35*'1. Standard_Cost'!$E$15</f>
        <v>0</v>
      </c>
      <c r="V35" s="126"/>
      <c r="W35" s="126"/>
      <c r="X35" s="126"/>
      <c r="Y35" s="127">
        <f>+V35*((X35*'1. Standard_Cost'!$B$19)+(W35*X35*'1. Standard_Cost'!$C$19))</f>
        <v>0</v>
      </c>
      <c r="Z35" s="126"/>
      <c r="AA35" s="126"/>
      <c r="AB35" s="127">
        <f>+Z35*'1. Standard_Cost'!$B$23+AA35*'1. Standard_Cost'!$C$23</f>
        <v>0</v>
      </c>
      <c r="AC35" s="128"/>
      <c r="AD35" s="129"/>
      <c r="AE35" s="127">
        <f>SUM(AD35,AC35,AB35,Y35,U35,T35,S35,R35)*'1. Standard_Cost'!$B$31</f>
        <v>0</v>
      </c>
      <c r="AF35" s="127">
        <f t="shared" si="19"/>
        <v>0</v>
      </c>
      <c r="AG35" s="126"/>
      <c r="AH35" s="126"/>
      <c r="AI35" s="126"/>
      <c r="AJ35" s="130"/>
      <c r="AK35" s="130"/>
      <c r="AL35" s="130"/>
      <c r="AM35" s="127">
        <f>AG35*'1. Standard_Cost'!$B$27+'Incremental_Cost Year 7'!AH35*'1. Standard_Cost'!$C$27+'Incremental_Cost Year 7'!AI35*'1. Standard_Cost'!$D$27+'Incremental_Cost Year 7'!AJ35+'Incremental_Cost Year 7'!AL35+AK35</f>
        <v>0</v>
      </c>
      <c r="AN35" s="127">
        <f>AM35*'1. Standard_Cost'!$C$31</f>
        <v>0</v>
      </c>
      <c r="AO35" s="130"/>
      <c r="AQ35" s="171">
        <f t="shared" si="20"/>
        <v>34652898</v>
      </c>
      <c r="AR35" s="171">
        <f t="shared" si="21"/>
        <v>0</v>
      </c>
      <c r="AS35" s="171">
        <f t="shared" si="22"/>
        <v>0</v>
      </c>
      <c r="AT35" s="171">
        <f t="shared" si="23"/>
        <v>34652898</v>
      </c>
      <c r="AU35" s="250">
        <f>AT35</f>
        <v>34652898</v>
      </c>
      <c r="AV35" s="250"/>
      <c r="AW35" s="250"/>
      <c r="AX35" s="250"/>
      <c r="AY35" s="250"/>
      <c r="AZ35" s="250"/>
      <c r="BA35" s="250"/>
      <c r="BB35" s="251">
        <f t="shared" si="25"/>
        <v>0</v>
      </c>
      <c r="BC35" s="169"/>
      <c r="BD35" s="169"/>
      <c r="BE35" s="169"/>
      <c r="BF35" s="169"/>
    </row>
    <row r="36" spans="1:58" ht="78.75" outlineLevel="2" x14ac:dyDescent="0.25">
      <c r="A36" s="115"/>
      <c r="B36" s="200"/>
      <c r="C36" s="201"/>
      <c r="D36" s="223"/>
      <c r="E36" s="122"/>
      <c r="F36" s="122"/>
      <c r="G36" s="123"/>
      <c r="H36" s="213" t="s">
        <v>392</v>
      </c>
      <c r="I36" s="130" t="s">
        <v>4</v>
      </c>
      <c r="J36" s="126">
        <v>1</v>
      </c>
      <c r="K36" s="126">
        <v>36</v>
      </c>
      <c r="L36" s="125">
        <f>IF(I36&lt;&gt;0,((VLOOKUP(I36,'1. Standard_Cost'!$B$4:$D$11,2)+VLOOKUP(I36,'1. Standard_Cost'!$B$4:$D$11,3))*J36*K36),"0")</f>
        <v>2907000</v>
      </c>
      <c r="M36" s="125">
        <f>L36*'1. Standard_Cost'!$F$4</f>
        <v>485469</v>
      </c>
      <c r="N36" s="126"/>
      <c r="O36" s="126"/>
      <c r="P36" s="126"/>
      <c r="Q36" s="126"/>
      <c r="R36" s="127">
        <f>'1. Standard_Cost'!$B$15*N36*P36</f>
        <v>0</v>
      </c>
      <c r="S36" s="127">
        <f>N36*O36*P36*'1. Standard_Cost'!$C$15</f>
        <v>0</v>
      </c>
      <c r="T36" s="127">
        <f>N36*P36*Q36*'1. Standard_Cost'!$D$15</f>
        <v>0</v>
      </c>
      <c r="U36" s="127">
        <f>N36*O36*'1. Standard_Cost'!$E$15</f>
        <v>0</v>
      </c>
      <c r="V36" s="126"/>
      <c r="W36" s="126"/>
      <c r="X36" s="126"/>
      <c r="Y36" s="127">
        <f>+V36*((X36*'1. Standard_Cost'!$B$19)+(W36*X36*'1. Standard_Cost'!$C$19))</f>
        <v>0</v>
      </c>
      <c r="Z36" s="126"/>
      <c r="AA36" s="126"/>
      <c r="AB36" s="127">
        <f>+Z36*'1. Standard_Cost'!$B$23+AA36*'1. Standard_Cost'!$C$23</f>
        <v>0</v>
      </c>
      <c r="AC36" s="128"/>
      <c r="AD36" s="129"/>
      <c r="AE36" s="127">
        <f>SUM(AD36,AC36,AB36,Y36,U36,T36,S36,R36)*'1. Standard_Cost'!$B$31</f>
        <v>0</v>
      </c>
      <c r="AF36" s="127">
        <f t="shared" si="19"/>
        <v>0</v>
      </c>
      <c r="AG36" s="126"/>
      <c r="AH36" s="126"/>
      <c r="AI36" s="126"/>
      <c r="AJ36" s="130"/>
      <c r="AK36" s="130"/>
      <c r="AL36" s="130"/>
      <c r="AM36" s="127">
        <f>AG36*'1. Standard_Cost'!$B$27+'Incremental_Cost Year 7'!AH36*'1. Standard_Cost'!$C$27+'Incremental_Cost Year 7'!AI36*'1. Standard_Cost'!$D$27+'Incremental_Cost Year 7'!AJ36+'Incremental_Cost Year 7'!AL36+AK36</f>
        <v>0</v>
      </c>
      <c r="AN36" s="127">
        <f>AM36*'1. Standard_Cost'!$C$31</f>
        <v>0</v>
      </c>
      <c r="AO36" s="130"/>
      <c r="AQ36" s="171">
        <f t="shared" si="20"/>
        <v>3392469</v>
      </c>
      <c r="AR36" s="171">
        <f t="shared" si="21"/>
        <v>0</v>
      </c>
      <c r="AS36" s="171">
        <f t="shared" si="22"/>
        <v>0</v>
      </c>
      <c r="AT36" s="171">
        <f t="shared" si="23"/>
        <v>3392469</v>
      </c>
      <c r="AU36" s="250">
        <f>AT36</f>
        <v>3392469</v>
      </c>
      <c r="AV36" s="250"/>
      <c r="AW36" s="250"/>
      <c r="AX36" s="250"/>
      <c r="AY36" s="250"/>
      <c r="AZ36" s="250"/>
      <c r="BA36" s="250"/>
      <c r="BB36" s="251">
        <f t="shared" si="25"/>
        <v>0</v>
      </c>
      <c r="BC36" s="169"/>
      <c r="BD36" s="169"/>
      <c r="BE36" s="169"/>
      <c r="BF36" s="169"/>
    </row>
    <row r="37" spans="1:58" ht="63" outlineLevel="1" x14ac:dyDescent="0.25">
      <c r="A37" s="115"/>
      <c r="B37" s="165"/>
      <c r="C37" s="166"/>
      <c r="D37" s="150" t="s">
        <v>384</v>
      </c>
      <c r="E37" s="139" t="s">
        <v>200</v>
      </c>
      <c r="F37" s="222">
        <v>2021</v>
      </c>
      <c r="G37" s="117">
        <v>2030</v>
      </c>
      <c r="H37" s="134" t="s">
        <v>201</v>
      </c>
      <c r="I37" s="252"/>
      <c r="J37" s="252"/>
      <c r="K37" s="252"/>
      <c r="L37" s="127">
        <f>SUM(L30:L36)</f>
        <v>236674200</v>
      </c>
      <c r="M37" s="127">
        <f>SUM(M30:M36)</f>
        <v>39524591.399999999</v>
      </c>
      <c r="N37" s="127"/>
      <c r="O37" s="252"/>
      <c r="P37" s="252"/>
      <c r="Q37" s="252"/>
      <c r="R37" s="127">
        <f>SUM(R30:R36)</f>
        <v>0</v>
      </c>
      <c r="S37" s="127">
        <f>SUM(S30:S36)</f>
        <v>0</v>
      </c>
      <c r="T37" s="127">
        <f>SUM(T30:T36)</f>
        <v>0</v>
      </c>
      <c r="U37" s="127">
        <f>SUM(U30:U36)</f>
        <v>0</v>
      </c>
      <c r="V37" s="252"/>
      <c r="W37" s="252"/>
      <c r="X37" s="252"/>
      <c r="Y37" s="127">
        <f>SUM(Y30:Y36)</f>
        <v>0</v>
      </c>
      <c r="Z37" s="252"/>
      <c r="AA37" s="252"/>
      <c r="AB37" s="127">
        <f>SUM(AB30:AB36)</f>
        <v>0</v>
      </c>
      <c r="AC37" s="127">
        <f>SUM(AC30:AC36)</f>
        <v>1000000</v>
      </c>
      <c r="AD37" s="127">
        <f>SUM(AD30:AD36)</f>
        <v>0</v>
      </c>
      <c r="AE37" s="127">
        <f>SUM(AE30:AE36)</f>
        <v>200000</v>
      </c>
      <c r="AF37" s="127">
        <f>SUM(AF30:AF36)</f>
        <v>1200000</v>
      </c>
      <c r="AG37" s="252"/>
      <c r="AH37" s="252"/>
      <c r="AI37" s="252"/>
      <c r="AJ37" s="127">
        <f>SUM(AJ30:AJ36)</f>
        <v>0</v>
      </c>
      <c r="AK37" s="127">
        <f>SUM(AK30:AK36)</f>
        <v>0</v>
      </c>
      <c r="AL37" s="127">
        <f>SUM(AL30:AL36)</f>
        <v>0</v>
      </c>
      <c r="AM37" s="127">
        <f>SUM(AM30:AM36)</f>
        <v>0</v>
      </c>
      <c r="AN37" s="127">
        <f>SUM(AN30:AN36)</f>
        <v>0</v>
      </c>
      <c r="AO37" s="253"/>
      <c r="AP37" s="254"/>
      <c r="AQ37" s="175">
        <f>SUM(AQ30:AQ36)</f>
        <v>276198791.39999998</v>
      </c>
      <c r="AR37" s="175">
        <f>SUM(AR30:AR36)</f>
        <v>1200000</v>
      </c>
      <c r="AS37" s="175">
        <f>SUM(AS30:AS36)</f>
        <v>0</v>
      </c>
      <c r="AT37" s="175">
        <f>SUM(AT30:AT36)</f>
        <v>277398791.39999998</v>
      </c>
      <c r="AU37" s="175">
        <f t="shared" ref="AU37:BB37" si="26">SUM(AU30:AU36)</f>
        <v>277398791.39999998</v>
      </c>
      <c r="AV37" s="175">
        <f t="shared" si="26"/>
        <v>0</v>
      </c>
      <c r="AW37" s="175">
        <f t="shared" si="26"/>
        <v>0</v>
      </c>
      <c r="AX37" s="175">
        <f t="shared" si="26"/>
        <v>0</v>
      </c>
      <c r="AY37" s="175">
        <f t="shared" si="26"/>
        <v>0</v>
      </c>
      <c r="AZ37" s="175">
        <f t="shared" si="26"/>
        <v>0</v>
      </c>
      <c r="BA37" s="175">
        <f t="shared" si="26"/>
        <v>0</v>
      </c>
      <c r="BB37" s="175">
        <f t="shared" si="26"/>
        <v>0</v>
      </c>
      <c r="BC37" s="169"/>
      <c r="BD37" s="169"/>
      <c r="BE37" s="169"/>
      <c r="BF37" s="169"/>
    </row>
    <row r="38" spans="1:58" ht="63" outlineLevel="2" x14ac:dyDescent="0.25">
      <c r="A38" s="115"/>
      <c r="B38" s="200"/>
      <c r="C38" s="201"/>
      <c r="D38" s="224"/>
      <c r="E38" s="135" t="s">
        <v>393</v>
      </c>
      <c r="F38" s="302">
        <v>2021</v>
      </c>
      <c r="G38" s="302">
        <v>2023</v>
      </c>
      <c r="H38" s="199" t="s">
        <v>394</v>
      </c>
      <c r="I38" s="130"/>
      <c r="J38" s="126"/>
      <c r="K38" s="126"/>
      <c r="L38" s="125" t="str">
        <f>IF(I38&lt;&gt;0,((VLOOKUP(I38,'1. Standard_Cost'!$B$4:$D$11,2)+VLOOKUP(I38,'1. Standard_Cost'!$B$4:$D$11,3))*J38*K38),"0")</f>
        <v>0</v>
      </c>
      <c r="M38" s="125">
        <f>L38*'1. Standard_Cost'!$F$4</f>
        <v>0</v>
      </c>
      <c r="N38" s="126"/>
      <c r="O38" s="126"/>
      <c r="P38" s="126"/>
      <c r="Q38" s="126"/>
      <c r="R38" s="127">
        <f>'1. Standard_Cost'!$B$15*N38*P38</f>
        <v>0</v>
      </c>
      <c r="S38" s="127">
        <f>N38*O38*P38*'1. Standard_Cost'!$C$15</f>
        <v>0</v>
      </c>
      <c r="T38" s="127">
        <f>N38*P38*Q38*'1. Standard_Cost'!$D$15</f>
        <v>0</v>
      </c>
      <c r="U38" s="127">
        <f>N38*O38*'1. Standard_Cost'!$E$15</f>
        <v>0</v>
      </c>
      <c r="V38" s="126"/>
      <c r="W38" s="126"/>
      <c r="X38" s="126"/>
      <c r="Y38" s="127">
        <f>+V38*((X38*'1. Standard_Cost'!$B$19)+(W38*X38*'1. Standard_Cost'!$C$19))</f>
        <v>0</v>
      </c>
      <c r="Z38" s="126"/>
      <c r="AA38" s="126"/>
      <c r="AB38" s="127">
        <f>+Z38*'1. Standard_Cost'!$B$23+AA38*'1. Standard_Cost'!$C$23</f>
        <v>0</v>
      </c>
      <c r="AC38" s="128"/>
      <c r="AD38" s="129"/>
      <c r="AE38" s="127"/>
      <c r="AF38" s="127">
        <f>SUM(AE38,AD38,AC38,AB38,Y38,U38,T38,S38,R38)</f>
        <v>0</v>
      </c>
      <c r="AG38" s="126"/>
      <c r="AH38" s="126"/>
      <c r="AI38" s="126"/>
      <c r="AJ38" s="130"/>
      <c r="AK38" s="130"/>
      <c r="AL38" s="130"/>
      <c r="AM38" s="127">
        <f>AG38*'1. Standard_Cost'!$B$27+'Incremental_Cost Year 7'!AH38*'1. Standard_Cost'!$C$27+'Incremental_Cost Year 7'!AI38*'1. Standard_Cost'!$D$27+'Incremental_Cost Year 7'!AJ38+'Incremental_Cost Year 7'!AL38+AK38</f>
        <v>0</v>
      </c>
      <c r="AN38" s="127">
        <f>AM38*'1. Standard_Cost'!$C$31</f>
        <v>0</v>
      </c>
      <c r="AO38" s="249"/>
      <c r="AQ38" s="171">
        <f>L38+M38</f>
        <v>0</v>
      </c>
      <c r="AR38" s="171">
        <f>AF38</f>
        <v>0</v>
      </c>
      <c r="AS38" s="171">
        <f>AM38+AN38</f>
        <v>0</v>
      </c>
      <c r="AT38" s="171">
        <f>SUM(AQ38,AR38,AS38)</f>
        <v>0</v>
      </c>
      <c r="AU38" s="250">
        <f>AT38</f>
        <v>0</v>
      </c>
      <c r="AV38" s="250"/>
      <c r="AW38" s="250"/>
      <c r="AX38" s="250"/>
      <c r="AY38" s="250"/>
      <c r="AZ38" s="250"/>
      <c r="BA38" s="250"/>
      <c r="BB38" s="251">
        <f t="shared" ref="BB38" si="27">SUM(AU38:BA38)-AT38</f>
        <v>0</v>
      </c>
      <c r="BC38" s="169"/>
      <c r="BD38" s="169"/>
      <c r="BE38" s="169"/>
      <c r="BF38" s="169"/>
    </row>
    <row r="39" spans="1:58" ht="31.5" outlineLevel="1" x14ac:dyDescent="0.25">
      <c r="A39" s="115"/>
      <c r="B39" s="303"/>
      <c r="C39" s="304"/>
      <c r="D39" s="107" t="s">
        <v>388</v>
      </c>
      <c r="E39" s="139" t="s">
        <v>202</v>
      </c>
      <c r="F39" s="122">
        <v>2021</v>
      </c>
      <c r="G39" s="223">
        <v>2030</v>
      </c>
      <c r="H39" s="134" t="s">
        <v>203</v>
      </c>
      <c r="I39" s="252"/>
      <c r="J39" s="252"/>
      <c r="K39" s="252"/>
      <c r="L39" s="127">
        <f>SUM(L38:L38)</f>
        <v>0</v>
      </c>
      <c r="M39" s="127">
        <f>SUM(M38:M38)</f>
        <v>0</v>
      </c>
      <c r="N39" s="127"/>
      <c r="O39" s="252"/>
      <c r="P39" s="252"/>
      <c r="Q39" s="252"/>
      <c r="R39" s="127">
        <f>SUM(R38:R38)</f>
        <v>0</v>
      </c>
      <c r="S39" s="127">
        <f>SUM(S38:S38)</f>
        <v>0</v>
      </c>
      <c r="T39" s="127">
        <f>SUM(T38:T38)</f>
        <v>0</v>
      </c>
      <c r="U39" s="127">
        <f>SUM(U38:U38)</f>
        <v>0</v>
      </c>
      <c r="V39" s="252"/>
      <c r="W39" s="252"/>
      <c r="X39" s="252"/>
      <c r="Y39" s="127">
        <f>SUM(Y38:Y38)</f>
        <v>0</v>
      </c>
      <c r="Z39" s="252"/>
      <c r="AA39" s="252"/>
      <c r="AB39" s="127">
        <f>SUM(AB38:AB38)</f>
        <v>0</v>
      </c>
      <c r="AC39" s="127">
        <f>SUM(AC38:AC38)</f>
        <v>0</v>
      </c>
      <c r="AD39" s="127">
        <f>SUM(AD38:AD38)</f>
        <v>0</v>
      </c>
      <c r="AE39" s="127">
        <f>SUM(AE38:AE38)</f>
        <v>0</v>
      </c>
      <c r="AF39" s="127">
        <f>SUM(AF38:AF38)</f>
        <v>0</v>
      </c>
      <c r="AG39" s="252"/>
      <c r="AH39" s="252"/>
      <c r="AI39" s="252"/>
      <c r="AJ39" s="127">
        <f>SUM(AJ38:AJ38)</f>
        <v>0</v>
      </c>
      <c r="AK39" s="127">
        <f>SUM(AK38:AK38)</f>
        <v>0</v>
      </c>
      <c r="AL39" s="127">
        <f>SUM(AL38:AL38)</f>
        <v>0</v>
      </c>
      <c r="AM39" s="127">
        <f>SUM(AM38:AM38)</f>
        <v>0</v>
      </c>
      <c r="AN39" s="127">
        <f>SUM(AN38:AN38)</f>
        <v>0</v>
      </c>
      <c r="AO39" s="253"/>
      <c r="AP39" s="254"/>
      <c r="AQ39" s="175">
        <f>SUM(AQ38:AQ38)</f>
        <v>0</v>
      </c>
      <c r="AR39" s="175">
        <f>SUM(AR38:AR38)</f>
        <v>0</v>
      </c>
      <c r="AS39" s="175">
        <f>SUM(AS38:AS38)</f>
        <v>0</v>
      </c>
      <c r="AT39" s="175">
        <f>SUM(AT38:AT38)</f>
        <v>0</v>
      </c>
      <c r="AU39" s="175">
        <f t="shared" ref="AU39:BB39" si="28">SUM(AU38:AU38)</f>
        <v>0</v>
      </c>
      <c r="AV39" s="175">
        <f t="shared" si="28"/>
        <v>0</v>
      </c>
      <c r="AW39" s="175">
        <f t="shared" si="28"/>
        <v>0</v>
      </c>
      <c r="AX39" s="175">
        <f t="shared" si="28"/>
        <v>0</v>
      </c>
      <c r="AY39" s="175">
        <f t="shared" si="28"/>
        <v>0</v>
      </c>
      <c r="AZ39" s="175">
        <f t="shared" si="28"/>
        <v>0</v>
      </c>
      <c r="BA39" s="175">
        <f t="shared" si="28"/>
        <v>0</v>
      </c>
      <c r="BB39" s="175">
        <f t="shared" si="28"/>
        <v>0</v>
      </c>
      <c r="BC39" s="169"/>
      <c r="BD39" s="169"/>
      <c r="BE39" s="169"/>
      <c r="BF39" s="169"/>
    </row>
    <row r="40" spans="1:58" s="170" customFormat="1" ht="15.75" customHeight="1" x14ac:dyDescent="0.25">
      <c r="A40" s="120"/>
      <c r="B40" s="290"/>
      <c r="C40" s="391" t="s">
        <v>204</v>
      </c>
      <c r="D40" s="391"/>
      <c r="E40" s="392"/>
      <c r="F40" s="289"/>
      <c r="G40" s="288"/>
      <c r="H40" s="114" t="s">
        <v>207</v>
      </c>
      <c r="I40" s="246"/>
      <c r="J40" s="246"/>
      <c r="K40" s="246"/>
      <c r="L40" s="247">
        <f>SUM(L44)</f>
        <v>201875</v>
      </c>
      <c r="M40" s="247">
        <f>SUM(M44)</f>
        <v>33713.125</v>
      </c>
      <c r="N40" s="247"/>
      <c r="O40" s="247"/>
      <c r="P40" s="247"/>
      <c r="Q40" s="247"/>
      <c r="R40" s="247">
        <f>SUM(R44)</f>
        <v>500000</v>
      </c>
      <c r="S40" s="247">
        <f>SUM(S44)</f>
        <v>375000</v>
      </c>
      <c r="T40" s="247">
        <f>SUM(T44)</f>
        <v>0</v>
      </c>
      <c r="U40" s="247">
        <f>SUM(U44)</f>
        <v>400000</v>
      </c>
      <c r="V40" s="247"/>
      <c r="W40" s="247"/>
      <c r="X40" s="247"/>
      <c r="Y40" s="247">
        <f>SUM(Y44)</f>
        <v>0</v>
      </c>
      <c r="Z40" s="247">
        <f t="shared" ref="Z40:AA40" si="29">SUM(Z44)</f>
        <v>0</v>
      </c>
      <c r="AA40" s="247">
        <f t="shared" si="29"/>
        <v>0</v>
      </c>
      <c r="AB40" s="247">
        <f t="shared" ref="AB40:AF40" si="30">SUM(AB44)</f>
        <v>228000</v>
      </c>
      <c r="AC40" s="247">
        <f t="shared" si="30"/>
        <v>825000</v>
      </c>
      <c r="AD40" s="247">
        <f t="shared" si="30"/>
        <v>0</v>
      </c>
      <c r="AE40" s="247">
        <f t="shared" si="30"/>
        <v>465600</v>
      </c>
      <c r="AF40" s="247">
        <f t="shared" si="30"/>
        <v>2793600</v>
      </c>
      <c r="AG40" s="247"/>
      <c r="AH40" s="247"/>
      <c r="AI40" s="247"/>
      <c r="AJ40" s="247">
        <f>SUM(AJ44)</f>
        <v>0</v>
      </c>
      <c r="AK40" s="247">
        <f>SUM(AK44)</f>
        <v>0</v>
      </c>
      <c r="AL40" s="247">
        <f>SUM(AL44)</f>
        <v>0</v>
      </c>
      <c r="AM40" s="247">
        <f>SUM(AM44)</f>
        <v>0</v>
      </c>
      <c r="AN40" s="247">
        <f>SUM(AN44)</f>
        <v>0</v>
      </c>
      <c r="AO40" s="247"/>
      <c r="AP40" s="244"/>
      <c r="AQ40" s="248">
        <f>SUM(AQ44)</f>
        <v>235588.125</v>
      </c>
      <c r="AR40" s="248">
        <f>SUM(AR44)</f>
        <v>2793600</v>
      </c>
      <c r="AS40" s="248">
        <f>SUM(AS44)</f>
        <v>0</v>
      </c>
      <c r="AT40" s="248">
        <f>SUM(AT44)</f>
        <v>3029188.125</v>
      </c>
      <c r="AU40" s="248">
        <f t="shared" ref="AU40:BB40" si="31">SUM(AU44)</f>
        <v>235588.125</v>
      </c>
      <c r="AV40" s="248">
        <f t="shared" si="31"/>
        <v>0</v>
      </c>
      <c r="AW40" s="248">
        <f t="shared" si="31"/>
        <v>0</v>
      </c>
      <c r="AX40" s="248">
        <f t="shared" si="31"/>
        <v>0</v>
      </c>
      <c r="AY40" s="248">
        <f t="shared" si="31"/>
        <v>0</v>
      </c>
      <c r="AZ40" s="248">
        <f t="shared" si="31"/>
        <v>0</v>
      </c>
      <c r="BA40" s="248">
        <f t="shared" si="31"/>
        <v>0</v>
      </c>
      <c r="BB40" s="248">
        <f t="shared" si="31"/>
        <v>-2793600</v>
      </c>
    </row>
    <row r="41" spans="1:58" ht="94.5" outlineLevel="2" x14ac:dyDescent="0.25">
      <c r="A41" s="115"/>
      <c r="B41" s="200"/>
      <c r="C41" s="201"/>
      <c r="D41" s="138"/>
      <c r="E41" s="295"/>
      <c r="F41" s="295"/>
      <c r="G41" s="296"/>
      <c r="H41" s="213" t="s">
        <v>395</v>
      </c>
      <c r="I41" s="130"/>
      <c r="J41" s="126"/>
      <c r="K41" s="126"/>
      <c r="L41" s="125" t="str">
        <f>IF(I41&lt;&gt;0,((VLOOKUP(I41,'1. Standard_Cost'!$B$4:$D$11,2)+VLOOKUP(I41,'1. Standard_Cost'!$B$4:$D$11,3))*J41*K41),"0")</f>
        <v>0</v>
      </c>
      <c r="M41" s="125">
        <f>L41*'1. Standard_Cost'!$F$4</f>
        <v>0</v>
      </c>
      <c r="N41" s="126"/>
      <c r="O41" s="126"/>
      <c r="P41" s="126"/>
      <c r="Q41" s="126"/>
      <c r="R41" s="127">
        <f>'1. Standard_Cost'!$B$15*N41*P41</f>
        <v>0</v>
      </c>
      <c r="S41" s="127">
        <f>N41*O41*P41*'1. Standard_Cost'!$C$15</f>
        <v>0</v>
      </c>
      <c r="T41" s="127">
        <f>N41*P41*Q41*'1. Standard_Cost'!$D$15</f>
        <v>0</v>
      </c>
      <c r="U41" s="127">
        <f>N41*O41*'1. Standard_Cost'!$E$15</f>
        <v>0</v>
      </c>
      <c r="V41" s="126"/>
      <c r="W41" s="126"/>
      <c r="X41" s="126"/>
      <c r="Y41" s="127">
        <f>+V41*((X41*'1. Standard_Cost'!$B$19)+(W41*X41*'1. Standard_Cost'!$C$19))</f>
        <v>0</v>
      </c>
      <c r="Z41" s="126"/>
      <c r="AA41" s="126"/>
      <c r="AB41" s="127">
        <f>+Z41*'1. Standard_Cost'!$B$23+AA41*'1. Standard_Cost'!$C$23</f>
        <v>0</v>
      </c>
      <c r="AC41" s="128">
        <v>0</v>
      </c>
      <c r="AD41" s="129"/>
      <c r="AE41" s="127"/>
      <c r="AF41" s="127">
        <f>SUM(AE41,AD41,AC41,AB41,Y41,U41,T41,S41,R41)</f>
        <v>0</v>
      </c>
      <c r="AG41" s="126"/>
      <c r="AH41" s="126"/>
      <c r="AI41" s="126"/>
      <c r="AJ41" s="130"/>
      <c r="AK41" s="130"/>
      <c r="AL41" s="130"/>
      <c r="AM41" s="127">
        <f>AG41*'1. Standard_Cost'!$B$27+'Incremental_Cost Year 7'!AH41*'1. Standard_Cost'!$C$27+'Incremental_Cost Year 7'!AI41*'1. Standard_Cost'!$D$27+'Incremental_Cost Year 7'!AJ41+'Incremental_Cost Year 7'!AL41+AK41</f>
        <v>0</v>
      </c>
      <c r="AN41" s="127">
        <f>AM41*'1. Standard_Cost'!$C$31</f>
        <v>0</v>
      </c>
      <c r="AO41" s="249"/>
      <c r="AQ41" s="171">
        <f>L41+M41</f>
        <v>0</v>
      </c>
      <c r="AR41" s="171">
        <f>AF41</f>
        <v>0</v>
      </c>
      <c r="AS41" s="171">
        <f>AM41+AN41</f>
        <v>0</v>
      </c>
      <c r="AT41" s="171">
        <f>SUM(AQ41,AR41,AS41)</f>
        <v>0</v>
      </c>
      <c r="AU41" s="250">
        <f>AQ41</f>
        <v>0</v>
      </c>
      <c r="AV41" s="250"/>
      <c r="AW41" s="250"/>
      <c r="AX41" s="250">
        <v>0</v>
      </c>
      <c r="AY41" s="250"/>
      <c r="AZ41" s="250">
        <f>AT41</f>
        <v>0</v>
      </c>
      <c r="BA41" s="250"/>
      <c r="BB41" s="251">
        <f t="shared" ref="BB41:BB43" si="32">SUM(AU41:BA41)-AT41</f>
        <v>0</v>
      </c>
      <c r="BC41" s="169"/>
      <c r="BD41" s="169"/>
      <c r="BE41" s="169"/>
      <c r="BF41" s="169"/>
    </row>
    <row r="42" spans="1:58" ht="157.5" outlineLevel="2" x14ac:dyDescent="0.25">
      <c r="A42" s="115"/>
      <c r="B42" s="200"/>
      <c r="C42" s="201"/>
      <c r="D42" s="135"/>
      <c r="E42" s="219"/>
      <c r="F42" s="219"/>
      <c r="G42" s="313"/>
      <c r="H42" s="213" t="s">
        <v>538</v>
      </c>
      <c r="I42" s="130" t="s">
        <v>4</v>
      </c>
      <c r="J42" s="126">
        <v>0.5</v>
      </c>
      <c r="K42" s="126">
        <v>5</v>
      </c>
      <c r="L42" s="125">
        <f>IF(I42&lt;&gt;0,((VLOOKUP(I42,'1. Standard_Cost'!$B$4:$D$11,2)+VLOOKUP(I42,'1. Standard_Cost'!$B$4:$D$11,3))*J42*K42),"0")</f>
        <v>201875</v>
      </c>
      <c r="M42" s="125">
        <f>L42*'1. Standard_Cost'!$F$4</f>
        <v>33713.125</v>
      </c>
      <c r="N42" s="126">
        <v>10</v>
      </c>
      <c r="O42" s="126">
        <v>1</v>
      </c>
      <c r="P42" s="126">
        <v>25</v>
      </c>
      <c r="Q42" s="126"/>
      <c r="R42" s="127">
        <f>'1. Standard_Cost'!$B$15*N42*P42</f>
        <v>500000</v>
      </c>
      <c r="S42" s="127">
        <f>N42*O42*P42*'1. Standard_Cost'!$C$15</f>
        <v>375000</v>
      </c>
      <c r="T42" s="127">
        <f>N42*P42*Q42*'1. Standard_Cost'!$D$15</f>
        <v>0</v>
      </c>
      <c r="U42" s="127">
        <f>N42*O42*'1. Standard_Cost'!$E$15</f>
        <v>400000</v>
      </c>
      <c r="V42" s="126"/>
      <c r="W42" s="126"/>
      <c r="X42" s="126"/>
      <c r="Y42" s="127">
        <f>+V42*((X42*'1. Standard_Cost'!$B$19)+(W42*X42*'1. Standard_Cost'!$C$19))</f>
        <v>0</v>
      </c>
      <c r="Z42" s="126"/>
      <c r="AA42" s="126">
        <v>12</v>
      </c>
      <c r="AB42" s="127">
        <f>+Z42*'1. Standard_Cost'!$B$23+AA42*'1. Standard_Cost'!$C$23</f>
        <v>228000</v>
      </c>
      <c r="AC42" s="128">
        <f>250*300+250*3000</f>
        <v>825000</v>
      </c>
      <c r="AD42" s="129"/>
      <c r="AE42" s="127">
        <f>SUM(AD42,AC42,AB42,Y42,U42,T42,S42,R42)*'1. Standard_Cost'!$B$31</f>
        <v>465600</v>
      </c>
      <c r="AF42" s="127">
        <f>SUM(AE42,AD42,AC42,AB42,Y42,U42,T42,S42,R42)</f>
        <v>2793600</v>
      </c>
      <c r="AG42" s="126"/>
      <c r="AH42" s="126"/>
      <c r="AI42" s="126"/>
      <c r="AJ42" s="130"/>
      <c r="AK42" s="130"/>
      <c r="AL42" s="130"/>
      <c r="AM42" s="127">
        <f>AG42*'1. Standard_Cost'!$B$27+'Incremental_Cost Year 7'!AH42*'1. Standard_Cost'!$C$27+'Incremental_Cost Year 7'!AI42*'1. Standard_Cost'!$D$27+'Incremental_Cost Year 7'!AJ42+'Incremental_Cost Year 7'!AL42+AK42</f>
        <v>0</v>
      </c>
      <c r="AN42" s="127">
        <f>AM42*'1. Standard_Cost'!$C$31</f>
        <v>0</v>
      </c>
      <c r="AO42" s="130"/>
      <c r="AQ42" s="171">
        <f>L42+M42</f>
        <v>235588.125</v>
      </c>
      <c r="AR42" s="171">
        <f>AF42</f>
        <v>2793600</v>
      </c>
      <c r="AS42" s="171">
        <f>AM42+AN42</f>
        <v>0</v>
      </c>
      <c r="AT42" s="171">
        <f>SUM(AQ42,AR42,AS42)</f>
        <v>3029188.125</v>
      </c>
      <c r="AU42" s="250">
        <f>AQ42</f>
        <v>235588.125</v>
      </c>
      <c r="AV42" s="250"/>
      <c r="AW42" s="250"/>
      <c r="AX42" s="250"/>
      <c r="AY42" s="250"/>
      <c r="AZ42" s="250"/>
      <c r="BA42" s="250"/>
      <c r="BB42" s="251">
        <f t="shared" si="32"/>
        <v>-2793600</v>
      </c>
      <c r="BC42" s="169"/>
      <c r="BD42" s="169"/>
      <c r="BE42" s="169"/>
      <c r="BF42" s="169"/>
    </row>
    <row r="43" spans="1:58" ht="47.25" outlineLevel="2" x14ac:dyDescent="0.25">
      <c r="A43" s="115"/>
      <c r="B43" s="200"/>
      <c r="C43" s="201"/>
      <c r="D43" s="223"/>
      <c r="E43" s="219"/>
      <c r="F43" s="219"/>
      <c r="G43" s="313"/>
      <c r="H43" s="199" t="s">
        <v>223</v>
      </c>
      <c r="I43" s="130"/>
      <c r="J43" s="126"/>
      <c r="K43" s="126"/>
      <c r="L43" s="125" t="str">
        <f>IF(I43&lt;&gt;0,((VLOOKUP(I43,'1. Standard_Cost'!$B$4:$D$11,2)+VLOOKUP(I43,'1. Standard_Cost'!$B$4:$D$11,3))*J43*K43),"0")</f>
        <v>0</v>
      </c>
      <c r="M43" s="125">
        <f>L43*'1. Standard_Cost'!$F$4</f>
        <v>0</v>
      </c>
      <c r="N43" s="126"/>
      <c r="O43" s="126"/>
      <c r="P43" s="126"/>
      <c r="Q43" s="126"/>
      <c r="R43" s="127">
        <f>'1. Standard_Cost'!$B$15*N43*P43</f>
        <v>0</v>
      </c>
      <c r="S43" s="127">
        <f>N43*O43*P43*'1. Standard_Cost'!$C$15</f>
        <v>0</v>
      </c>
      <c r="T43" s="127">
        <f>N43*P43*Q43*'1. Standard_Cost'!$D$15</f>
        <v>0</v>
      </c>
      <c r="U43" s="127">
        <f>N43*O43*'1. Standard_Cost'!$E$15</f>
        <v>0</v>
      </c>
      <c r="V43" s="126"/>
      <c r="W43" s="126"/>
      <c r="X43" s="126"/>
      <c r="Y43" s="127">
        <f>+V43*((X43*'1. Standard_Cost'!$B$19)+(W43*X43*'1. Standard_Cost'!$C$19))</f>
        <v>0</v>
      </c>
      <c r="Z43" s="126"/>
      <c r="AA43" s="126"/>
      <c r="AB43" s="127">
        <f>+Z43*'1. Standard_Cost'!$B$23+AA43*'1. Standard_Cost'!$C$23</f>
        <v>0</v>
      </c>
      <c r="AC43" s="128"/>
      <c r="AD43" s="129"/>
      <c r="AE43" s="127">
        <v>0</v>
      </c>
      <c r="AF43" s="127">
        <f>SUM(AE43,AD43,AC43,AB43,Y43,U43,T43,S43,R43)</f>
        <v>0</v>
      </c>
      <c r="AG43" s="126"/>
      <c r="AH43" s="126"/>
      <c r="AI43" s="126"/>
      <c r="AJ43" s="130"/>
      <c r="AK43" s="130"/>
      <c r="AL43" s="130"/>
      <c r="AM43" s="127">
        <f>AG43*'1. Standard_Cost'!$B$27+'Incremental_Cost Year 7'!AH43*'1. Standard_Cost'!$C$27+'Incremental_Cost Year 7'!AI43*'1. Standard_Cost'!$D$27+'Incremental_Cost Year 7'!AJ43+'Incremental_Cost Year 7'!AL43+AK43</f>
        <v>0</v>
      </c>
      <c r="AN43" s="127">
        <f>AM43*'1. Standard_Cost'!$C$31</f>
        <v>0</v>
      </c>
      <c r="AO43" s="130"/>
      <c r="AQ43" s="171">
        <f>L43+M43</f>
        <v>0</v>
      </c>
      <c r="AR43" s="171">
        <f>AF43</f>
        <v>0</v>
      </c>
      <c r="AS43" s="171">
        <f>AM43+AN43</f>
        <v>0</v>
      </c>
      <c r="AT43" s="171">
        <f>SUM(AQ43,AR43,AS43)</f>
        <v>0</v>
      </c>
      <c r="AU43" s="250"/>
      <c r="AV43" s="250"/>
      <c r="AW43" s="250"/>
      <c r="AX43" s="250"/>
      <c r="AY43" s="250"/>
      <c r="AZ43" s="250"/>
      <c r="BA43" s="250"/>
      <c r="BB43" s="251">
        <f t="shared" si="32"/>
        <v>0</v>
      </c>
      <c r="BC43" s="169"/>
      <c r="BD43" s="169"/>
      <c r="BE43" s="169"/>
      <c r="BF43" s="169"/>
    </row>
    <row r="44" spans="1:58" ht="63" outlineLevel="1" x14ac:dyDescent="0.25">
      <c r="A44" s="115"/>
      <c r="B44" s="165"/>
      <c r="C44" s="166"/>
      <c r="D44" s="150" t="s">
        <v>396</v>
      </c>
      <c r="E44" s="139" t="s">
        <v>205</v>
      </c>
      <c r="F44" s="222">
        <v>2022</v>
      </c>
      <c r="G44" s="117">
        <v>2030</v>
      </c>
      <c r="H44" s="134" t="s">
        <v>206</v>
      </c>
      <c r="I44" s="252"/>
      <c r="J44" s="252"/>
      <c r="K44" s="252"/>
      <c r="L44" s="127">
        <f>SUM(L41:L43)</f>
        <v>201875</v>
      </c>
      <c r="M44" s="127">
        <f>SUM(M41:M43)</f>
        <v>33713.125</v>
      </c>
      <c r="N44" s="127"/>
      <c r="O44" s="252"/>
      <c r="P44" s="252"/>
      <c r="Q44" s="252"/>
      <c r="R44" s="127">
        <f>SUM(R41:R43)</f>
        <v>500000</v>
      </c>
      <c r="S44" s="127">
        <f>SUM(S41:S43)</f>
        <v>375000</v>
      </c>
      <c r="T44" s="127">
        <f>SUM(T41:T43)</f>
        <v>0</v>
      </c>
      <c r="U44" s="127">
        <f>SUM(U41:U43)</f>
        <v>400000</v>
      </c>
      <c r="V44" s="252"/>
      <c r="W44" s="252"/>
      <c r="X44" s="252"/>
      <c r="Y44" s="127">
        <f>SUM(Y41:Y43)</f>
        <v>0</v>
      </c>
      <c r="Z44" s="252"/>
      <c r="AA44" s="252"/>
      <c r="AB44" s="127">
        <f>SUM(AB41:AB43)</f>
        <v>228000</v>
      </c>
      <c r="AC44" s="127">
        <f>SUM(AC41:AC43)</f>
        <v>825000</v>
      </c>
      <c r="AD44" s="127">
        <f>SUM(AD41:AD43)</f>
        <v>0</v>
      </c>
      <c r="AE44" s="127">
        <f>SUM(AE41:AE43)</f>
        <v>465600</v>
      </c>
      <c r="AF44" s="127">
        <f>SUM(AF41:AF43)</f>
        <v>2793600</v>
      </c>
      <c r="AG44" s="252"/>
      <c r="AH44" s="252"/>
      <c r="AI44" s="252"/>
      <c r="AJ44" s="127">
        <f>SUM(AJ41:AJ43)</f>
        <v>0</v>
      </c>
      <c r="AK44" s="127">
        <f>SUM(AK41:AK43)</f>
        <v>0</v>
      </c>
      <c r="AL44" s="127">
        <f>SUM(AL41:AL43)</f>
        <v>0</v>
      </c>
      <c r="AM44" s="127">
        <f>SUM(AM41:AM43)</f>
        <v>0</v>
      </c>
      <c r="AN44" s="127">
        <f>SUM(AN41:AN43)</f>
        <v>0</v>
      </c>
      <c r="AO44" s="253"/>
      <c r="AP44" s="254"/>
      <c r="AQ44" s="175">
        <f>SUM(AQ41:AQ43)</f>
        <v>235588.125</v>
      </c>
      <c r="AR44" s="175">
        <f>SUM(AR41:AR43)</f>
        <v>2793600</v>
      </c>
      <c r="AS44" s="175">
        <f>SUM(AS41:AS43)</f>
        <v>0</v>
      </c>
      <c r="AT44" s="175">
        <f>SUM(AT41:AT43)</f>
        <v>3029188.125</v>
      </c>
      <c r="AU44" s="175">
        <f t="shared" ref="AU44:BB44" si="33">SUM(AU41:AU43)</f>
        <v>235588.125</v>
      </c>
      <c r="AV44" s="175">
        <f t="shared" si="33"/>
        <v>0</v>
      </c>
      <c r="AW44" s="175">
        <f t="shared" si="33"/>
        <v>0</v>
      </c>
      <c r="AX44" s="175">
        <f t="shared" si="33"/>
        <v>0</v>
      </c>
      <c r="AY44" s="175">
        <f t="shared" si="33"/>
        <v>0</v>
      </c>
      <c r="AZ44" s="175">
        <f t="shared" si="33"/>
        <v>0</v>
      </c>
      <c r="BA44" s="175">
        <f t="shared" si="33"/>
        <v>0</v>
      </c>
      <c r="BB44" s="175">
        <f t="shared" si="33"/>
        <v>-2793600</v>
      </c>
      <c r="BC44" s="169"/>
      <c r="BD44" s="169"/>
      <c r="BE44" s="169"/>
      <c r="BF44" s="169"/>
    </row>
    <row r="45" spans="1:58" s="170" customFormat="1" ht="15.75" customHeight="1" x14ac:dyDescent="0.25">
      <c r="A45" s="120"/>
      <c r="B45" s="290"/>
      <c r="C45" s="391" t="s">
        <v>210</v>
      </c>
      <c r="D45" s="391"/>
      <c r="E45" s="392"/>
      <c r="F45" s="289"/>
      <c r="G45" s="288"/>
      <c r="H45" s="114" t="s">
        <v>213</v>
      </c>
      <c r="I45" s="246"/>
      <c r="J45" s="246"/>
      <c r="K45" s="246"/>
      <c r="L45" s="247">
        <f>SUM(L50+L56+L60)</f>
        <v>1075889568.5714285</v>
      </c>
      <c r="M45" s="247">
        <f>SUM(M50+M56+M60)</f>
        <v>179673557.95142856</v>
      </c>
      <c r="N45" s="247"/>
      <c r="O45" s="247"/>
      <c r="P45" s="247"/>
      <c r="Q45" s="247"/>
      <c r="R45" s="247">
        <f>SUM(R50+R56+R60)</f>
        <v>0</v>
      </c>
      <c r="S45" s="247">
        <f>SUM(S50+S56+S60)</f>
        <v>0</v>
      </c>
      <c r="T45" s="247">
        <f>SUM(T50+T56+T60)</f>
        <v>0</v>
      </c>
      <c r="U45" s="247">
        <f>SUM(U50+U56+U60)</f>
        <v>0</v>
      </c>
      <c r="V45" s="247"/>
      <c r="W45" s="247"/>
      <c r="X45" s="247"/>
      <c r="Y45" s="247">
        <f>SUM(Y50+Y56+Y60)</f>
        <v>0</v>
      </c>
      <c r="Z45" s="247">
        <f t="shared" ref="Z45:AA45" si="34">SUM(Z50+Z56+Z60)</f>
        <v>0</v>
      </c>
      <c r="AA45" s="247">
        <f t="shared" si="34"/>
        <v>0</v>
      </c>
      <c r="AB45" s="247">
        <f t="shared" ref="AB45:AF45" si="35">SUM(AB50+AB56+AB60)</f>
        <v>0</v>
      </c>
      <c r="AC45" s="247">
        <f t="shared" si="35"/>
        <v>10050000</v>
      </c>
      <c r="AD45" s="247">
        <f t="shared" si="35"/>
        <v>0</v>
      </c>
      <c r="AE45" s="247">
        <f t="shared" si="35"/>
        <v>2010000</v>
      </c>
      <c r="AF45" s="247">
        <f t="shared" si="35"/>
        <v>12060000</v>
      </c>
      <c r="AG45" s="247"/>
      <c r="AH45" s="247"/>
      <c r="AI45" s="247"/>
      <c r="AJ45" s="247">
        <f>SUM(AJ50+AJ56+AJ60)</f>
        <v>0</v>
      </c>
      <c r="AK45" s="247">
        <f>SUM(AK50+AK56+AK60)</f>
        <v>0</v>
      </c>
      <c r="AL45" s="247">
        <f>SUM(AL50+AL56+AL60)</f>
        <v>0</v>
      </c>
      <c r="AM45" s="247">
        <f>SUM(AM50+AM56+AM60)</f>
        <v>0</v>
      </c>
      <c r="AN45" s="247">
        <f>SUM(AN50+AN56+AN60)</f>
        <v>0</v>
      </c>
      <c r="AO45" s="247"/>
      <c r="AP45" s="244"/>
      <c r="AQ45" s="248">
        <f>SUM(AQ50+AQ56+AQ60)</f>
        <v>1255563126.522857</v>
      </c>
      <c r="AR45" s="248">
        <f>SUM(AR50+AR56+AR60)</f>
        <v>12060000</v>
      </c>
      <c r="AS45" s="248">
        <f>SUM(AS50+AS56+AS60)</f>
        <v>0</v>
      </c>
      <c r="AT45" s="248">
        <f>SUM(AT50+AT56+AT60)</f>
        <v>1267623126.522857</v>
      </c>
      <c r="AU45" s="248">
        <f t="shared" ref="AU45:BB45" si="36">SUM(AU50+AU56+AU60)</f>
        <v>1267623126.522857</v>
      </c>
      <c r="AV45" s="248">
        <f t="shared" si="36"/>
        <v>0</v>
      </c>
      <c r="AW45" s="248">
        <f t="shared" si="36"/>
        <v>0</v>
      </c>
      <c r="AX45" s="248">
        <f t="shared" si="36"/>
        <v>0</v>
      </c>
      <c r="AY45" s="248">
        <f t="shared" si="36"/>
        <v>0</v>
      </c>
      <c r="AZ45" s="248">
        <f t="shared" si="36"/>
        <v>0</v>
      </c>
      <c r="BA45" s="248">
        <f t="shared" si="36"/>
        <v>0</v>
      </c>
      <c r="BB45" s="248">
        <f t="shared" si="36"/>
        <v>0</v>
      </c>
    </row>
    <row r="46" spans="1:58" ht="78.75" outlineLevel="2" x14ac:dyDescent="0.25">
      <c r="A46" s="115"/>
      <c r="B46" s="200"/>
      <c r="C46" s="201"/>
      <c r="D46" s="138"/>
      <c r="E46" s="295"/>
      <c r="F46" s="295"/>
      <c r="G46" s="296"/>
      <c r="H46" s="199" t="s">
        <v>397</v>
      </c>
      <c r="I46" s="130"/>
      <c r="J46" s="126"/>
      <c r="K46" s="126"/>
      <c r="L46" s="125" t="str">
        <f>IF(I46&lt;&gt;0,((VLOOKUP(I46,'1. Standard_Cost'!$B$4:$D$11,2)+VLOOKUP(I46,'1. Standard_Cost'!$B$4:$D$11,3))*J46*K46),"0")</f>
        <v>0</v>
      </c>
      <c r="M46" s="125">
        <f>L46*'1. Standard_Cost'!$F$4</f>
        <v>0</v>
      </c>
      <c r="N46" s="126"/>
      <c r="O46" s="126"/>
      <c r="P46" s="126"/>
      <c r="Q46" s="126"/>
      <c r="R46" s="127">
        <f>'1. Standard_Cost'!$B$15*N46*P46</f>
        <v>0</v>
      </c>
      <c r="S46" s="127">
        <f>N46*O46*P46*'1. Standard_Cost'!$C$15</f>
        <v>0</v>
      </c>
      <c r="T46" s="127">
        <f>N46*P46*Q46*'1. Standard_Cost'!$D$15</f>
        <v>0</v>
      </c>
      <c r="U46" s="127">
        <f>N46*O46*'1. Standard_Cost'!$E$15</f>
        <v>0</v>
      </c>
      <c r="V46" s="126"/>
      <c r="W46" s="126"/>
      <c r="X46" s="126"/>
      <c r="Y46" s="127">
        <f>+V46*((X46*'1. Standard_Cost'!$B$19)+(W46*X46*'1. Standard_Cost'!$C$19))</f>
        <v>0</v>
      </c>
      <c r="Z46" s="126"/>
      <c r="AA46" s="126"/>
      <c r="AB46" s="127">
        <f>+Z46*'1. Standard_Cost'!$B$23+AA46*'1. Standard_Cost'!$C$23</f>
        <v>0</v>
      </c>
      <c r="AC46" s="128"/>
      <c r="AD46" s="129"/>
      <c r="AE46" s="127">
        <f>SUM(AD46,AC46,AB46,Y46,U46,T46,S46,R46)*'1. Standard_Cost'!$B$31</f>
        <v>0</v>
      </c>
      <c r="AF46" s="127">
        <f>SUM(AE46,AD46,AC46,AB46,Y46,U46,T46,S46,R46)</f>
        <v>0</v>
      </c>
      <c r="AG46" s="126"/>
      <c r="AH46" s="126"/>
      <c r="AI46" s="126"/>
      <c r="AJ46" s="130"/>
      <c r="AK46" s="130"/>
      <c r="AL46" s="130"/>
      <c r="AM46" s="127">
        <f>AG46*'1. Standard_Cost'!$B$27+'Incremental_Cost Year 7'!AH46*'1. Standard_Cost'!$C$27+'Incremental_Cost Year 7'!AI46*'1. Standard_Cost'!$D$27+'Incremental_Cost Year 7'!AJ46+'Incremental_Cost Year 7'!AL46+AK46</f>
        <v>0</v>
      </c>
      <c r="AN46" s="127">
        <f>AM46*'1. Standard_Cost'!$C$31</f>
        <v>0</v>
      </c>
      <c r="AO46" s="249"/>
      <c r="AQ46" s="171">
        <f>L46+M46</f>
        <v>0</v>
      </c>
      <c r="AR46" s="171">
        <f>AF46</f>
        <v>0</v>
      </c>
      <c r="AS46" s="171">
        <f>AM46+AN46</f>
        <v>0</v>
      </c>
      <c r="AT46" s="171">
        <f>SUM(AQ46,AR46,AS46)</f>
        <v>0</v>
      </c>
      <c r="AU46" s="250">
        <f>AQ46</f>
        <v>0</v>
      </c>
      <c r="AV46" s="250"/>
      <c r="AW46" s="250"/>
      <c r="AX46" s="250"/>
      <c r="AY46" s="250"/>
      <c r="AZ46" s="250"/>
      <c r="BA46" s="250"/>
      <c r="BB46" s="251">
        <f t="shared" ref="BB46:BB49" si="37">SUM(AU46:BA46)-AT46</f>
        <v>0</v>
      </c>
      <c r="BC46" s="169"/>
      <c r="BD46" s="169"/>
      <c r="BE46" s="169"/>
      <c r="BF46" s="169"/>
    </row>
    <row r="47" spans="1:58" ht="47.25" outlineLevel="2" x14ac:dyDescent="0.25">
      <c r="A47" s="115"/>
      <c r="B47" s="200"/>
      <c r="C47" s="201"/>
      <c r="D47" s="135"/>
      <c r="E47" s="219"/>
      <c r="F47" s="219"/>
      <c r="G47" s="313"/>
      <c r="H47" s="199" t="s">
        <v>307</v>
      </c>
      <c r="I47" s="130"/>
      <c r="J47" s="126"/>
      <c r="K47" s="126"/>
      <c r="L47" s="125" t="str">
        <f>IF(I47&lt;&gt;0,((VLOOKUP(I47,'1. Standard_Cost'!$B$4:$D$11,2)+VLOOKUP(I47,'1. Standard_Cost'!$B$4:$D$11,3))*J47*K47),"0")</f>
        <v>0</v>
      </c>
      <c r="M47" s="125">
        <f>L47*'1. Standard_Cost'!$F$4</f>
        <v>0</v>
      </c>
      <c r="N47" s="126"/>
      <c r="O47" s="126"/>
      <c r="P47" s="126"/>
      <c r="Q47" s="126"/>
      <c r="R47" s="127">
        <f>'1. Standard_Cost'!$B$15*N47*P47</f>
        <v>0</v>
      </c>
      <c r="S47" s="127">
        <f>N47*O47*P47*'1. Standard_Cost'!$C$15</f>
        <v>0</v>
      </c>
      <c r="T47" s="127">
        <f>N47*P47*Q47*'1. Standard_Cost'!$D$15</f>
        <v>0</v>
      </c>
      <c r="U47" s="127">
        <f>N47*O47*'1. Standard_Cost'!$E$15</f>
        <v>0</v>
      </c>
      <c r="V47" s="126"/>
      <c r="W47" s="126"/>
      <c r="X47" s="126"/>
      <c r="Y47" s="127">
        <f>+V47*((X47*'1. Standard_Cost'!$B$19)+(W47*X47*'1. Standard_Cost'!$C$19))</f>
        <v>0</v>
      </c>
      <c r="Z47" s="126"/>
      <c r="AA47" s="126"/>
      <c r="AB47" s="127">
        <f>+Z47*'1. Standard_Cost'!$B$23+AA47*'1. Standard_Cost'!$C$23</f>
        <v>0</v>
      </c>
      <c r="AC47" s="128"/>
      <c r="AD47" s="129"/>
      <c r="AE47" s="127">
        <f>SUM(AD47,AC47,AB47,Y47,U47,T47,S47,R47)*'1. Standard_Cost'!$B$31</f>
        <v>0</v>
      </c>
      <c r="AF47" s="127">
        <f>SUM(AE47,AD47,AC47,AB47,Y47,U47,T47,S47,R47)</f>
        <v>0</v>
      </c>
      <c r="AG47" s="126"/>
      <c r="AH47" s="126"/>
      <c r="AI47" s="126"/>
      <c r="AJ47" s="130"/>
      <c r="AK47" s="130"/>
      <c r="AL47" s="130"/>
      <c r="AM47" s="127">
        <f>AG47*'1. Standard_Cost'!$B$27+'Incremental_Cost Year 7'!AH47*'1. Standard_Cost'!$C$27+'Incremental_Cost Year 7'!AI47*'1. Standard_Cost'!$D$27+'Incremental_Cost Year 7'!AJ47+'Incremental_Cost Year 7'!AL47+AK47</f>
        <v>0</v>
      </c>
      <c r="AN47" s="127">
        <f>AM47*'1. Standard_Cost'!$C$31</f>
        <v>0</v>
      </c>
      <c r="AO47" s="130"/>
      <c r="AQ47" s="171">
        <f>L47+M47</f>
        <v>0</v>
      </c>
      <c r="AR47" s="171">
        <f>AF47</f>
        <v>0</v>
      </c>
      <c r="AS47" s="171">
        <f>AM47+AN47</f>
        <v>0</v>
      </c>
      <c r="AT47" s="171">
        <f>SUM(AQ47,AR47,AS47)</f>
        <v>0</v>
      </c>
      <c r="AU47" s="250"/>
      <c r="AV47" s="250"/>
      <c r="AW47" s="250"/>
      <c r="AX47" s="250"/>
      <c r="AY47" s="250"/>
      <c r="AZ47" s="250"/>
      <c r="BA47" s="250"/>
      <c r="BB47" s="251">
        <f t="shared" si="37"/>
        <v>0</v>
      </c>
      <c r="BC47" s="169"/>
      <c r="BD47" s="169"/>
      <c r="BE47" s="169"/>
      <c r="BF47" s="169"/>
    </row>
    <row r="48" spans="1:58" ht="63" outlineLevel="2" x14ac:dyDescent="0.25">
      <c r="A48" s="115"/>
      <c r="B48" s="200"/>
      <c r="C48" s="201"/>
      <c r="D48" s="135"/>
      <c r="E48" s="219"/>
      <c r="F48" s="219"/>
      <c r="G48" s="313"/>
      <c r="H48" s="199" t="s">
        <v>308</v>
      </c>
      <c r="I48" s="130"/>
      <c r="J48" s="126"/>
      <c r="K48" s="126"/>
      <c r="L48" s="125" t="str">
        <f>IF(I48&lt;&gt;0,((VLOOKUP(I48,'1. Standard_Cost'!$B$4:$D$11,2)+VLOOKUP(I48,'1. Standard_Cost'!$B$4:$D$11,3))*J48*K48),"0")</f>
        <v>0</v>
      </c>
      <c r="M48" s="125">
        <f>L48*'1. Standard_Cost'!$F$4</f>
        <v>0</v>
      </c>
      <c r="N48" s="126"/>
      <c r="O48" s="126"/>
      <c r="P48" s="126"/>
      <c r="Q48" s="126"/>
      <c r="R48" s="127">
        <f>'1. Standard_Cost'!$B$15*N48*P48</f>
        <v>0</v>
      </c>
      <c r="S48" s="127">
        <f>N48*O48*P48*'1. Standard_Cost'!$C$15</f>
        <v>0</v>
      </c>
      <c r="T48" s="127">
        <f>N48*P48*Q48*'1. Standard_Cost'!$D$15</f>
        <v>0</v>
      </c>
      <c r="U48" s="127">
        <f>N48*O48*'1. Standard_Cost'!$E$15</f>
        <v>0</v>
      </c>
      <c r="V48" s="126"/>
      <c r="W48" s="126"/>
      <c r="X48" s="126"/>
      <c r="Y48" s="127">
        <f>+V48*((X48*'1. Standard_Cost'!$B$19)+(W48*X48*'1. Standard_Cost'!$C$19))</f>
        <v>0</v>
      </c>
      <c r="Z48" s="126"/>
      <c r="AA48" s="126"/>
      <c r="AB48" s="127">
        <f>+Z48*'1. Standard_Cost'!$B$23+AA48*'1. Standard_Cost'!$C$23</f>
        <v>0</v>
      </c>
      <c r="AC48" s="128"/>
      <c r="AD48" s="129"/>
      <c r="AE48" s="127">
        <f>SUM(AD48,AC48,AB48,Y48,U48,T48,S48,R48)*'1. Standard_Cost'!$B$31</f>
        <v>0</v>
      </c>
      <c r="AF48" s="127">
        <f>SUM(AE48,AD48,AC48,AB48,Y48,U48,T48,S48,R48)</f>
        <v>0</v>
      </c>
      <c r="AG48" s="126"/>
      <c r="AH48" s="126"/>
      <c r="AI48" s="126"/>
      <c r="AJ48" s="130"/>
      <c r="AK48" s="130"/>
      <c r="AL48" s="130"/>
      <c r="AM48" s="127">
        <f>AG48*'1. Standard_Cost'!$B$27+'Incremental_Cost Year 7'!AH48*'1. Standard_Cost'!$C$27+'Incremental_Cost Year 7'!AI48*'1. Standard_Cost'!$D$27+'Incremental_Cost Year 7'!AJ48+'Incremental_Cost Year 7'!AL48+AK48</f>
        <v>0</v>
      </c>
      <c r="AN48" s="127">
        <f>AM48*'1. Standard_Cost'!$C$31</f>
        <v>0</v>
      </c>
      <c r="AO48" s="249"/>
      <c r="AQ48" s="171">
        <f>L48+M48</f>
        <v>0</v>
      </c>
      <c r="AR48" s="171">
        <f>AF48</f>
        <v>0</v>
      </c>
      <c r="AS48" s="171">
        <f>AM48+AN48</f>
        <v>0</v>
      </c>
      <c r="AT48" s="171">
        <f>SUM(AQ48,AR48,AS48)</f>
        <v>0</v>
      </c>
      <c r="AU48" s="250"/>
      <c r="AV48" s="250"/>
      <c r="AW48" s="250"/>
      <c r="AX48" s="250"/>
      <c r="AY48" s="250"/>
      <c r="AZ48" s="250"/>
      <c r="BA48" s="250"/>
      <c r="BB48" s="251">
        <f t="shared" si="37"/>
        <v>0</v>
      </c>
      <c r="BC48" s="169"/>
      <c r="BD48" s="169"/>
      <c r="BE48" s="169"/>
      <c r="BF48" s="169"/>
    </row>
    <row r="49" spans="1:58" ht="94.5" outlineLevel="2" x14ac:dyDescent="0.25">
      <c r="A49" s="115"/>
      <c r="B49" s="200"/>
      <c r="C49" s="201"/>
      <c r="D49" s="223"/>
      <c r="E49" s="219"/>
      <c r="F49" s="219"/>
      <c r="G49" s="313"/>
      <c r="H49" s="199" t="s">
        <v>398</v>
      </c>
      <c r="I49" s="130"/>
      <c r="J49" s="126"/>
      <c r="K49" s="126"/>
      <c r="L49" s="125" t="str">
        <f>IF(I49&lt;&gt;0,((VLOOKUP(I49,'1. Standard_Cost'!$B$4:$D$11,2)+VLOOKUP(I49,'1. Standard_Cost'!$B$4:$D$11,3))*J49*K49),"0")</f>
        <v>0</v>
      </c>
      <c r="M49" s="125">
        <f>L49*'1. Standard_Cost'!$F$4</f>
        <v>0</v>
      </c>
      <c r="N49" s="126"/>
      <c r="O49" s="126"/>
      <c r="P49" s="126"/>
      <c r="Q49" s="126"/>
      <c r="R49" s="127">
        <f>'1. Standard_Cost'!$B$15*N49*P49</f>
        <v>0</v>
      </c>
      <c r="S49" s="127">
        <f>N49*O49*P49*'1. Standard_Cost'!$C$15</f>
        <v>0</v>
      </c>
      <c r="T49" s="127">
        <f>N49*P49*Q49*'1. Standard_Cost'!$D$15</f>
        <v>0</v>
      </c>
      <c r="U49" s="127">
        <f>N49*O49*'1. Standard_Cost'!$E$15</f>
        <v>0</v>
      </c>
      <c r="V49" s="126"/>
      <c r="W49" s="126"/>
      <c r="X49" s="126"/>
      <c r="Y49" s="127">
        <f>+V49*((X49*'1. Standard_Cost'!$B$19)+(W49*X49*'1. Standard_Cost'!$C$19))</f>
        <v>0</v>
      </c>
      <c r="Z49" s="126"/>
      <c r="AA49" s="126"/>
      <c r="AB49" s="127">
        <f>+Z49*'1. Standard_Cost'!$B$23+AA49*'1. Standard_Cost'!$C$23</f>
        <v>0</v>
      </c>
      <c r="AC49" s="128">
        <v>0</v>
      </c>
      <c r="AD49" s="129"/>
      <c r="AE49" s="127">
        <f>SUM(AD49,AC49,AB49,Y49,U49,T49,S49,R49)*'1. Standard_Cost'!$B$31</f>
        <v>0</v>
      </c>
      <c r="AF49" s="127">
        <f>SUM(AE49,AD49,AC49,AB49,Y49,U49,T49,S49,R49)</f>
        <v>0</v>
      </c>
      <c r="AG49" s="126"/>
      <c r="AH49" s="126"/>
      <c r="AI49" s="126"/>
      <c r="AJ49" s="130"/>
      <c r="AK49" s="130"/>
      <c r="AL49" s="130"/>
      <c r="AM49" s="127">
        <f>AG49*'1. Standard_Cost'!$B$27+'Incremental_Cost Year 7'!AH49*'1. Standard_Cost'!$C$27+'Incremental_Cost Year 7'!AI49*'1. Standard_Cost'!$D$27+'Incremental_Cost Year 7'!AJ49+'Incremental_Cost Year 7'!AL49+AK49</f>
        <v>0</v>
      </c>
      <c r="AN49" s="127">
        <f>AM49*'1. Standard_Cost'!$C$31</f>
        <v>0</v>
      </c>
      <c r="AO49" s="130"/>
      <c r="AQ49" s="171">
        <f>L49+M49</f>
        <v>0</v>
      </c>
      <c r="AR49" s="171">
        <f>AF49</f>
        <v>0</v>
      </c>
      <c r="AS49" s="171">
        <f>AM49+AN49</f>
        <v>0</v>
      </c>
      <c r="AT49" s="171">
        <f>SUM(AQ49,AR49,AS49)</f>
        <v>0</v>
      </c>
      <c r="AU49" s="250"/>
      <c r="AV49" s="250"/>
      <c r="AW49" s="250"/>
      <c r="AX49" s="250"/>
      <c r="AY49" s="250"/>
      <c r="AZ49" s="250"/>
      <c r="BA49" s="250"/>
      <c r="BB49" s="251">
        <f t="shared" si="37"/>
        <v>0</v>
      </c>
      <c r="BC49" s="169"/>
      <c r="BD49" s="169"/>
      <c r="BE49" s="169"/>
      <c r="BF49" s="169"/>
    </row>
    <row r="50" spans="1:58" ht="47.25" outlineLevel="1" x14ac:dyDescent="0.25">
      <c r="A50" s="115"/>
      <c r="B50" s="165"/>
      <c r="C50" s="166"/>
      <c r="D50" s="107" t="s">
        <v>388</v>
      </c>
      <c r="E50" s="139" t="s">
        <v>211</v>
      </c>
      <c r="F50" s="222">
        <v>2021</v>
      </c>
      <c r="G50" s="117">
        <v>2023</v>
      </c>
      <c r="H50" s="134" t="s">
        <v>212</v>
      </c>
      <c r="I50" s="252"/>
      <c r="J50" s="252"/>
      <c r="K50" s="252"/>
      <c r="L50" s="127">
        <f>SUM(L46:L49)</f>
        <v>0</v>
      </c>
      <c r="M50" s="127">
        <f>SUM(M46:M49)</f>
        <v>0</v>
      </c>
      <c r="N50" s="127"/>
      <c r="O50" s="252"/>
      <c r="P50" s="252"/>
      <c r="Q50" s="252"/>
      <c r="R50" s="127">
        <f>SUM(R46:R49)</f>
        <v>0</v>
      </c>
      <c r="S50" s="127">
        <f>SUM(S46:S49)</f>
        <v>0</v>
      </c>
      <c r="T50" s="127">
        <f>SUM(T46:T49)</f>
        <v>0</v>
      </c>
      <c r="U50" s="127">
        <f>SUM(U46:U49)</f>
        <v>0</v>
      </c>
      <c r="V50" s="252"/>
      <c r="W50" s="252"/>
      <c r="X50" s="252"/>
      <c r="Y50" s="127">
        <f>SUM(Y46:Y49)</f>
        <v>0</v>
      </c>
      <c r="Z50" s="252"/>
      <c r="AA50" s="252"/>
      <c r="AB50" s="127">
        <f>SUM(AB46:AB49)</f>
        <v>0</v>
      </c>
      <c r="AC50" s="127">
        <f>SUM(AC46:AC49)</f>
        <v>0</v>
      </c>
      <c r="AD50" s="127">
        <f>SUM(AD46:AD49)</f>
        <v>0</v>
      </c>
      <c r="AE50" s="127">
        <f>SUM(AE46:AE49)</f>
        <v>0</v>
      </c>
      <c r="AF50" s="127">
        <f>SUM(AF46:AF49)</f>
        <v>0</v>
      </c>
      <c r="AG50" s="252"/>
      <c r="AH50" s="252"/>
      <c r="AI50" s="252"/>
      <c r="AJ50" s="127">
        <f>SUM(AJ46:AJ49)</f>
        <v>0</v>
      </c>
      <c r="AK50" s="127">
        <f>SUM(AK46:AK49)</f>
        <v>0</v>
      </c>
      <c r="AL50" s="127">
        <f>SUM(AL46:AL49)</f>
        <v>0</v>
      </c>
      <c r="AM50" s="127">
        <f>SUM(AM46:AM49)</f>
        <v>0</v>
      </c>
      <c r="AN50" s="127">
        <f>SUM(AN46:AN49)</f>
        <v>0</v>
      </c>
      <c r="AO50" s="253"/>
      <c r="AP50" s="254"/>
      <c r="AQ50" s="175">
        <f>SUM(AQ46:AQ49)</f>
        <v>0</v>
      </c>
      <c r="AR50" s="175">
        <f>SUM(AR46:AR49)</f>
        <v>0</v>
      </c>
      <c r="AS50" s="175">
        <f>SUM(AS46:AS49)</f>
        <v>0</v>
      </c>
      <c r="AT50" s="175">
        <f>SUM(AT46:AT49)</f>
        <v>0</v>
      </c>
      <c r="AU50" s="175">
        <f t="shared" ref="AU50:BB50" si="38">SUM(AU46:AU49)</f>
        <v>0</v>
      </c>
      <c r="AV50" s="175">
        <f t="shared" si="38"/>
        <v>0</v>
      </c>
      <c r="AW50" s="175">
        <f t="shared" si="38"/>
        <v>0</v>
      </c>
      <c r="AX50" s="175">
        <f t="shared" si="38"/>
        <v>0</v>
      </c>
      <c r="AY50" s="175">
        <f t="shared" si="38"/>
        <v>0</v>
      </c>
      <c r="AZ50" s="175">
        <f t="shared" si="38"/>
        <v>0</v>
      </c>
      <c r="BA50" s="175">
        <f t="shared" si="38"/>
        <v>0</v>
      </c>
      <c r="BB50" s="175">
        <f t="shared" si="38"/>
        <v>0</v>
      </c>
      <c r="BC50" s="169"/>
      <c r="BD50" s="169"/>
      <c r="BE50" s="169"/>
      <c r="BF50" s="169"/>
    </row>
    <row r="51" spans="1:58" ht="94.5" outlineLevel="2" x14ac:dyDescent="0.25">
      <c r="A51" s="115"/>
      <c r="B51" s="200"/>
      <c r="C51" s="201"/>
      <c r="D51" s="138"/>
      <c r="E51" s="295"/>
      <c r="F51" s="295"/>
      <c r="G51" s="296"/>
      <c r="H51" s="199" t="s">
        <v>399</v>
      </c>
      <c r="I51" s="130"/>
      <c r="J51" s="126"/>
      <c r="K51" s="126"/>
      <c r="L51" s="125" t="str">
        <f>IF(I51&lt;&gt;0,((VLOOKUP(I51,'1. Standard_Cost'!$B$4:$D$11,2)+VLOOKUP(I51,'1. Standard_Cost'!$B$4:$D$11,3))*J51*K51),"0")</f>
        <v>0</v>
      </c>
      <c r="M51" s="125">
        <f>L51*'1. Standard_Cost'!$F$4</f>
        <v>0</v>
      </c>
      <c r="N51" s="126"/>
      <c r="O51" s="126"/>
      <c r="P51" s="126"/>
      <c r="Q51" s="126"/>
      <c r="R51" s="127">
        <f>'1. Standard_Cost'!$B$15*N51*P51</f>
        <v>0</v>
      </c>
      <c r="S51" s="127">
        <f>N51*O51*P51*'1. Standard_Cost'!$C$15</f>
        <v>0</v>
      </c>
      <c r="T51" s="127">
        <f>N51*P51*Q51*'1. Standard_Cost'!$D$15</f>
        <v>0</v>
      </c>
      <c r="U51" s="127">
        <f>N51*O51*'1. Standard_Cost'!$E$15</f>
        <v>0</v>
      </c>
      <c r="V51" s="126"/>
      <c r="W51" s="126"/>
      <c r="X51" s="126"/>
      <c r="Y51" s="127">
        <f>+V51*((X51*'1. Standard_Cost'!$B$19)+(W51*X51*'1. Standard_Cost'!$C$19))</f>
        <v>0</v>
      </c>
      <c r="Z51" s="126"/>
      <c r="AA51" s="126"/>
      <c r="AB51" s="127">
        <f>+Z51*'1. Standard_Cost'!$B$23+AA51*'1. Standard_Cost'!$C$23</f>
        <v>0</v>
      </c>
      <c r="AC51" s="128"/>
      <c r="AD51" s="129"/>
      <c r="AE51" s="127">
        <f>SUM(AD51,AC51,AB51,Y51,U51,T51,S51,R51)*'1. Standard_Cost'!$B$31</f>
        <v>0</v>
      </c>
      <c r="AF51" s="127">
        <f>SUM(AE51,AD51,AC51,AB51,Y51,U51,T51,S51,R51)</f>
        <v>0</v>
      </c>
      <c r="AG51" s="126"/>
      <c r="AH51" s="126"/>
      <c r="AI51" s="126"/>
      <c r="AJ51" s="130"/>
      <c r="AK51" s="130"/>
      <c r="AL51" s="130"/>
      <c r="AM51" s="127">
        <f>AG51*'1. Standard_Cost'!$B$27+'Incremental_Cost Year 7'!AH51*'1. Standard_Cost'!$C$27+'Incremental_Cost Year 7'!AI51*'1. Standard_Cost'!$D$27+'Incremental_Cost Year 7'!AJ51+'Incremental_Cost Year 7'!AL51+AK51</f>
        <v>0</v>
      </c>
      <c r="AN51" s="127">
        <f>AM51*'1. Standard_Cost'!$C$31</f>
        <v>0</v>
      </c>
      <c r="AO51" s="249"/>
      <c r="AQ51" s="171">
        <f>L51+M51</f>
        <v>0</v>
      </c>
      <c r="AR51" s="171">
        <f>AF51</f>
        <v>0</v>
      </c>
      <c r="AS51" s="171">
        <f>AM51+AN51</f>
        <v>0</v>
      </c>
      <c r="AT51" s="171">
        <f>SUM(AQ51,AR51,AS51)</f>
        <v>0</v>
      </c>
      <c r="AU51" s="250">
        <f>AQ51</f>
        <v>0</v>
      </c>
      <c r="AV51" s="250"/>
      <c r="AW51" s="250"/>
      <c r="AX51" s="250"/>
      <c r="AY51" s="250">
        <f>AR51</f>
        <v>0</v>
      </c>
      <c r="AZ51" s="250"/>
      <c r="BA51" s="250"/>
      <c r="BB51" s="251">
        <f t="shared" ref="BB51:BB55" si="39">SUM(AU51:BA51)-AT51</f>
        <v>0</v>
      </c>
      <c r="BC51" s="169"/>
      <c r="BD51" s="169"/>
      <c r="BE51" s="169"/>
      <c r="BF51" s="169"/>
    </row>
    <row r="52" spans="1:58" ht="63" outlineLevel="2" x14ac:dyDescent="0.25">
      <c r="A52" s="115"/>
      <c r="B52" s="200"/>
      <c r="C52" s="201"/>
      <c r="D52" s="135"/>
      <c r="E52" s="219"/>
      <c r="F52" s="219"/>
      <c r="G52" s="313"/>
      <c r="H52" s="213" t="s">
        <v>400</v>
      </c>
      <c r="I52" s="130" t="s">
        <v>1</v>
      </c>
      <c r="J52" s="126">
        <v>12</v>
      </c>
      <c r="K52" s="126">
        <f>416*3</f>
        <v>1248</v>
      </c>
      <c r="L52" s="125">
        <f>IF(I52&lt;&gt;0,((VLOOKUP(I52,'1. Standard_Cost'!$B$4:$D$11,2)+VLOOKUP(I52,'1. Standard_Cost'!$B$4:$D$11,3))*J52*K52),"0")</f>
        <v>1075169828.5714285</v>
      </c>
      <c r="M52" s="125">
        <f>L52*'1. Standard_Cost'!$F$4</f>
        <v>179553361.37142858</v>
      </c>
      <c r="N52" s="126"/>
      <c r="O52" s="126"/>
      <c r="P52" s="126"/>
      <c r="Q52" s="126"/>
      <c r="R52" s="127">
        <f>'1. Standard_Cost'!$B$15*N52*P52</f>
        <v>0</v>
      </c>
      <c r="S52" s="127">
        <f>N52*O52*P52*'1. Standard_Cost'!$C$15</f>
        <v>0</v>
      </c>
      <c r="T52" s="127">
        <f>N52*P52*Q52*'1. Standard_Cost'!$D$15</f>
        <v>0</v>
      </c>
      <c r="U52" s="127">
        <f>N52*O52*'1. Standard_Cost'!$E$15</f>
        <v>0</v>
      </c>
      <c r="V52" s="126"/>
      <c r="W52" s="126"/>
      <c r="X52" s="126"/>
      <c r="Y52" s="127">
        <f>+V52*((X52*'1. Standard_Cost'!$B$19)+(W52*X52*'1. Standard_Cost'!$C$19))</f>
        <v>0</v>
      </c>
      <c r="Z52" s="126"/>
      <c r="AA52" s="126"/>
      <c r="AB52" s="127">
        <f>+Z52*'1. Standard_Cost'!$B$23+AA52*'1. Standard_Cost'!$C$23</f>
        <v>0</v>
      </c>
      <c r="AC52" s="128">
        <f>100000/12*3*402</f>
        <v>10050000</v>
      </c>
      <c r="AD52" s="129"/>
      <c r="AE52" s="127">
        <f>SUM(AD52,AC52,AB52,Y52,U52,T52,S52,R52)*'1. Standard_Cost'!$B$31</f>
        <v>2010000</v>
      </c>
      <c r="AF52" s="127">
        <f>SUM(AE52,AD52,AC52,AB52,Y52,U52,T52,S52,R52)</f>
        <v>12060000</v>
      </c>
      <c r="AG52" s="126"/>
      <c r="AH52" s="126"/>
      <c r="AI52" s="126"/>
      <c r="AJ52" s="130"/>
      <c r="AK52" s="130"/>
      <c r="AL52" s="130"/>
      <c r="AM52" s="127">
        <f>AG52*'1. Standard_Cost'!$B$27+'Incremental_Cost Year 7'!AH52*'1. Standard_Cost'!$C$27+'Incremental_Cost Year 7'!AI52*'1. Standard_Cost'!$D$27+'Incremental_Cost Year 7'!AJ52+'Incremental_Cost Year 7'!AL52+AK52</f>
        <v>0</v>
      </c>
      <c r="AN52" s="127">
        <f>AM52*'1. Standard_Cost'!$C$31</f>
        <v>0</v>
      </c>
      <c r="AO52" s="130"/>
      <c r="AQ52" s="171">
        <f>L52+M52</f>
        <v>1254723189.942857</v>
      </c>
      <c r="AR52" s="171">
        <f>AF52</f>
        <v>12060000</v>
      </c>
      <c r="AS52" s="171">
        <f>AM52+AN52</f>
        <v>0</v>
      </c>
      <c r="AT52" s="171">
        <f>SUM(AQ52,AR52,AS52)</f>
        <v>1266783189.942857</v>
      </c>
      <c r="AU52" s="250">
        <f>AT52</f>
        <v>1266783189.942857</v>
      </c>
      <c r="AV52" s="250"/>
      <c r="AW52" s="250"/>
      <c r="AX52" s="250"/>
      <c r="AY52" s="250"/>
      <c r="AZ52" s="250"/>
      <c r="BA52" s="250"/>
      <c r="BB52" s="251">
        <f t="shared" si="39"/>
        <v>0</v>
      </c>
      <c r="BC52" s="169"/>
      <c r="BD52" s="169"/>
      <c r="BE52" s="169"/>
      <c r="BF52" s="169"/>
    </row>
    <row r="53" spans="1:58" ht="94.5" outlineLevel="2" x14ac:dyDescent="0.25">
      <c r="A53" s="115"/>
      <c r="B53" s="200"/>
      <c r="C53" s="201"/>
      <c r="D53" s="135"/>
      <c r="E53" s="219"/>
      <c r="F53" s="219"/>
      <c r="G53" s="313"/>
      <c r="H53" s="199" t="s">
        <v>227</v>
      </c>
      <c r="I53" s="130" t="s">
        <v>3</v>
      </c>
      <c r="J53" s="126">
        <v>6</v>
      </c>
      <c r="K53" s="126">
        <v>1</v>
      </c>
      <c r="L53" s="125">
        <f>IF(I53&lt;&gt;0,((VLOOKUP(I53,'1. Standard_Cost'!$B$4:$D$11,2)+VLOOKUP(I53,'1. Standard_Cost'!$B$4:$D$11,3))*J53*K53),"0")</f>
        <v>604800</v>
      </c>
      <c r="M53" s="125">
        <f>L53*'1. Standard_Cost'!$F$4</f>
        <v>101001.60000000001</v>
      </c>
      <c r="N53" s="126"/>
      <c r="O53" s="126"/>
      <c r="P53" s="126"/>
      <c r="Q53" s="126"/>
      <c r="R53" s="127">
        <f>'1. Standard_Cost'!$B$15*N53*P53</f>
        <v>0</v>
      </c>
      <c r="S53" s="127">
        <f>N53*O53*P53*'1. Standard_Cost'!$C$15</f>
        <v>0</v>
      </c>
      <c r="T53" s="127">
        <f>N53*P53*Q53*'1. Standard_Cost'!$D$15</f>
        <v>0</v>
      </c>
      <c r="U53" s="127">
        <f>N53*O53*'1. Standard_Cost'!$E$15</f>
        <v>0</v>
      </c>
      <c r="V53" s="126"/>
      <c r="W53" s="126"/>
      <c r="X53" s="126"/>
      <c r="Y53" s="127">
        <f>+V53*((X53*'1. Standard_Cost'!$B$19)+(W53*X53*'1. Standard_Cost'!$C$19))</f>
        <v>0</v>
      </c>
      <c r="Z53" s="126"/>
      <c r="AA53" s="126"/>
      <c r="AB53" s="127">
        <f>+Z53*'1. Standard_Cost'!$B$23+AA53*'1. Standard_Cost'!$C$23</f>
        <v>0</v>
      </c>
      <c r="AC53" s="128"/>
      <c r="AD53" s="129"/>
      <c r="AE53" s="127">
        <f>SUM(AD53,AC53,AB53,Y53,U53,T53,S53,R53)*'1. Standard_Cost'!$B$31</f>
        <v>0</v>
      </c>
      <c r="AF53" s="127">
        <f>SUM(AE53,AD53,AC53,AB53,Y53,U53,T53,S53,R53)</f>
        <v>0</v>
      </c>
      <c r="AG53" s="126"/>
      <c r="AH53" s="126"/>
      <c r="AI53" s="126"/>
      <c r="AJ53" s="130"/>
      <c r="AK53" s="130"/>
      <c r="AL53" s="130"/>
      <c r="AM53" s="127">
        <f>AG53*'1. Standard_Cost'!$B$27+'Incremental_Cost Year 7'!AH53*'1. Standard_Cost'!$C$27+'Incremental_Cost Year 7'!AI53*'1. Standard_Cost'!$D$27+'Incremental_Cost Year 7'!AJ53+'Incremental_Cost Year 7'!AL53+AK53</f>
        <v>0</v>
      </c>
      <c r="AN53" s="127">
        <f>AM53*'1. Standard_Cost'!$C$31</f>
        <v>0</v>
      </c>
      <c r="AO53" s="130"/>
      <c r="AQ53" s="171">
        <f>L53+M53</f>
        <v>705801.6</v>
      </c>
      <c r="AR53" s="171">
        <f>AF53</f>
        <v>0</v>
      </c>
      <c r="AS53" s="171">
        <f>AM53+AN53</f>
        <v>0</v>
      </c>
      <c r="AT53" s="171">
        <f>SUM(AQ53,AR53,AS53)</f>
        <v>705801.6</v>
      </c>
      <c r="AU53" s="250">
        <f>AQ53</f>
        <v>705801.6</v>
      </c>
      <c r="AV53" s="250"/>
      <c r="AW53" s="250"/>
      <c r="AX53" s="250"/>
      <c r="AY53" s="250"/>
      <c r="AZ53" s="250"/>
      <c r="BA53" s="250"/>
      <c r="BB53" s="251">
        <f t="shared" si="39"/>
        <v>0</v>
      </c>
      <c r="BC53" s="169"/>
      <c r="BD53" s="169"/>
      <c r="BE53" s="169"/>
      <c r="BF53" s="169"/>
    </row>
    <row r="54" spans="1:58" ht="78.75" outlineLevel="2" x14ac:dyDescent="0.25">
      <c r="A54" s="115"/>
      <c r="B54" s="200"/>
      <c r="C54" s="201"/>
      <c r="D54" s="135"/>
      <c r="E54" s="219"/>
      <c r="F54" s="219"/>
      <c r="G54" s="313"/>
      <c r="H54" s="199" t="s">
        <v>228</v>
      </c>
      <c r="I54" s="130" t="s">
        <v>5</v>
      </c>
      <c r="J54" s="126">
        <v>0.2</v>
      </c>
      <c r="K54" s="126">
        <v>1</v>
      </c>
      <c r="L54" s="125">
        <f>IF(I54&lt;&gt;0,((VLOOKUP(I54,'1. Standard_Cost'!$B$4:$D$11,2)+VLOOKUP(I54,'1. Standard_Cost'!$B$4:$D$11,3))*J54*K54),"0")</f>
        <v>14140</v>
      </c>
      <c r="M54" s="125">
        <f>L54*'1. Standard_Cost'!$F$4</f>
        <v>2361.38</v>
      </c>
      <c r="N54" s="126"/>
      <c r="O54" s="126"/>
      <c r="P54" s="126"/>
      <c r="Q54" s="126"/>
      <c r="R54" s="127">
        <f>'1. Standard_Cost'!$B$15*N54*P54</f>
        <v>0</v>
      </c>
      <c r="S54" s="127">
        <f>N54*O54*P54*'1. Standard_Cost'!$C$15</f>
        <v>0</v>
      </c>
      <c r="T54" s="127">
        <f>N54*P54*Q54*'1. Standard_Cost'!$D$15</f>
        <v>0</v>
      </c>
      <c r="U54" s="127">
        <f>N54*O54*'1. Standard_Cost'!$E$15</f>
        <v>0</v>
      </c>
      <c r="V54" s="126"/>
      <c r="W54" s="126"/>
      <c r="X54" s="126"/>
      <c r="Y54" s="127">
        <f>+V54*((X54*'1. Standard_Cost'!$B$19)+(W54*X54*'1. Standard_Cost'!$C$19))</f>
        <v>0</v>
      </c>
      <c r="Z54" s="126"/>
      <c r="AA54" s="126"/>
      <c r="AB54" s="127">
        <f>+Z54*'1. Standard_Cost'!$B$23+AA54*'1. Standard_Cost'!$C$23</f>
        <v>0</v>
      </c>
      <c r="AC54" s="128"/>
      <c r="AD54" s="129"/>
      <c r="AE54" s="127">
        <f>SUM(AD54,AC54,AB54,Y54,U54,T54,S54,R54)*'1. Standard_Cost'!$B$31</f>
        <v>0</v>
      </c>
      <c r="AF54" s="127">
        <f>SUM(AE54,AD54,AC54,AB54,Y54,U54,T54,S54,R54)</f>
        <v>0</v>
      </c>
      <c r="AG54" s="126"/>
      <c r="AH54" s="126"/>
      <c r="AI54" s="126"/>
      <c r="AJ54" s="130"/>
      <c r="AK54" s="130"/>
      <c r="AL54" s="130"/>
      <c r="AM54" s="127">
        <f>AG54*'1. Standard_Cost'!$B$27+'Incremental_Cost Year 7'!AH54*'1. Standard_Cost'!$C$27+'Incremental_Cost Year 7'!AI54*'1. Standard_Cost'!$D$27+'Incremental_Cost Year 7'!AJ54+'Incremental_Cost Year 7'!AL54+AK54</f>
        <v>0</v>
      </c>
      <c r="AN54" s="127">
        <f>AM54*'1. Standard_Cost'!$C$31</f>
        <v>0</v>
      </c>
      <c r="AO54" s="130"/>
      <c r="AQ54" s="171">
        <f>L54+M54</f>
        <v>16501.38</v>
      </c>
      <c r="AR54" s="171">
        <f>AF54</f>
        <v>0</v>
      </c>
      <c r="AS54" s="171">
        <f>AM54+AN54</f>
        <v>0</v>
      </c>
      <c r="AT54" s="171">
        <f>SUM(AQ54,AR54,AS54)</f>
        <v>16501.38</v>
      </c>
      <c r="AU54" s="250">
        <f>AQ54</f>
        <v>16501.38</v>
      </c>
      <c r="AV54" s="250"/>
      <c r="AW54" s="250"/>
      <c r="AX54" s="250"/>
      <c r="AY54" s="250"/>
      <c r="AZ54" s="250"/>
      <c r="BA54" s="250"/>
      <c r="BB54" s="251">
        <f t="shared" si="39"/>
        <v>0</v>
      </c>
      <c r="BC54" s="169"/>
      <c r="BD54" s="169"/>
      <c r="BE54" s="169"/>
      <c r="BF54" s="169"/>
    </row>
    <row r="55" spans="1:58" ht="63" outlineLevel="2" x14ac:dyDescent="0.25">
      <c r="A55" s="115"/>
      <c r="B55" s="200"/>
      <c r="C55" s="201"/>
      <c r="D55" s="223"/>
      <c r="E55" s="219"/>
      <c r="F55" s="219"/>
      <c r="G55" s="313"/>
      <c r="H55" s="199" t="s">
        <v>229</v>
      </c>
      <c r="I55" s="130" t="s">
        <v>3</v>
      </c>
      <c r="J55" s="126">
        <v>1</v>
      </c>
      <c r="K55" s="126">
        <v>1</v>
      </c>
      <c r="L55" s="125">
        <f>IF(I55&lt;&gt;0,((VLOOKUP(I55,'1. Standard_Cost'!$B$4:$D$11,2)+VLOOKUP(I55,'1. Standard_Cost'!$B$4:$D$11,3))*J55*K55),"0")</f>
        <v>100800</v>
      </c>
      <c r="M55" s="125">
        <f>L55*'1. Standard_Cost'!$F$4</f>
        <v>16833.600000000002</v>
      </c>
      <c r="N55" s="126"/>
      <c r="O55" s="126"/>
      <c r="P55" s="126"/>
      <c r="Q55" s="126"/>
      <c r="R55" s="127">
        <f>'1. Standard_Cost'!$B$15*N55*P55</f>
        <v>0</v>
      </c>
      <c r="S55" s="127">
        <f>N55*O55*P55*'1. Standard_Cost'!$C$15</f>
        <v>0</v>
      </c>
      <c r="T55" s="127">
        <f>N55*P55*Q55*'1. Standard_Cost'!$D$15</f>
        <v>0</v>
      </c>
      <c r="U55" s="127">
        <f>N55*O55*'1. Standard_Cost'!$E$15</f>
        <v>0</v>
      </c>
      <c r="V55" s="126"/>
      <c r="W55" s="126"/>
      <c r="X55" s="126"/>
      <c r="Y55" s="127">
        <f>+V55*((X55*'1. Standard_Cost'!$B$19)+(W55*X55*'1. Standard_Cost'!$C$19))</f>
        <v>0</v>
      </c>
      <c r="Z55" s="126"/>
      <c r="AA55" s="126"/>
      <c r="AB55" s="127">
        <f>+Z55*'1. Standard_Cost'!$B$23+AA55*'1. Standard_Cost'!$C$23</f>
        <v>0</v>
      </c>
      <c r="AC55" s="128"/>
      <c r="AD55" s="129"/>
      <c r="AE55" s="127">
        <f>SUM(AD55,AC55,AB55,Y55,U55,T55,S55,R55)*'1. Standard_Cost'!$B$31</f>
        <v>0</v>
      </c>
      <c r="AF55" s="127">
        <f>SUM(AE55,AD55,AC55,AB55,Y55,U55,T55,S55,R55)</f>
        <v>0</v>
      </c>
      <c r="AG55" s="126"/>
      <c r="AH55" s="126"/>
      <c r="AI55" s="126"/>
      <c r="AJ55" s="130"/>
      <c r="AK55" s="130"/>
      <c r="AL55" s="130"/>
      <c r="AM55" s="127">
        <f>AG55*'1. Standard_Cost'!$B$27+'Incremental_Cost Year 7'!AH55*'1. Standard_Cost'!$C$27+'Incremental_Cost Year 7'!AI55*'1. Standard_Cost'!$D$27+'Incremental_Cost Year 7'!AJ55+'Incremental_Cost Year 7'!AL55+AK55</f>
        <v>0</v>
      </c>
      <c r="AN55" s="127">
        <f>AM55*'1. Standard_Cost'!$C$31</f>
        <v>0</v>
      </c>
      <c r="AO55" s="130"/>
      <c r="AQ55" s="171">
        <f>L55+M55</f>
        <v>117633.60000000001</v>
      </c>
      <c r="AR55" s="171">
        <f>AF55</f>
        <v>0</v>
      </c>
      <c r="AS55" s="171">
        <f>AM55+AN55</f>
        <v>0</v>
      </c>
      <c r="AT55" s="171">
        <f>SUM(AQ55,AR55,AS55)</f>
        <v>117633.60000000001</v>
      </c>
      <c r="AU55" s="250">
        <f>AQ55</f>
        <v>117633.60000000001</v>
      </c>
      <c r="AV55" s="250"/>
      <c r="AW55" s="250"/>
      <c r="AX55" s="250"/>
      <c r="AY55" s="250"/>
      <c r="AZ55" s="250"/>
      <c r="BA55" s="250"/>
      <c r="BB55" s="251">
        <f t="shared" si="39"/>
        <v>0</v>
      </c>
      <c r="BC55" s="169"/>
      <c r="BD55" s="169"/>
      <c r="BE55" s="169"/>
      <c r="BF55" s="169"/>
    </row>
    <row r="56" spans="1:58" ht="94.5" outlineLevel="1" x14ac:dyDescent="0.25">
      <c r="A56" s="115"/>
      <c r="B56" s="165"/>
      <c r="C56" s="166"/>
      <c r="D56" s="107" t="s">
        <v>401</v>
      </c>
      <c r="E56" s="139" t="s">
        <v>214</v>
      </c>
      <c r="F56" s="222">
        <v>2021</v>
      </c>
      <c r="G56" s="117">
        <v>2030</v>
      </c>
      <c r="H56" s="134" t="s">
        <v>215</v>
      </c>
      <c r="I56" s="252"/>
      <c r="J56" s="252"/>
      <c r="K56" s="252"/>
      <c r="L56" s="127">
        <f>SUM(L51:L55)</f>
        <v>1075889568.5714285</v>
      </c>
      <c r="M56" s="127">
        <f>SUM(M51:M55)</f>
        <v>179673557.95142856</v>
      </c>
      <c r="N56" s="127"/>
      <c r="O56" s="252"/>
      <c r="P56" s="252"/>
      <c r="Q56" s="252"/>
      <c r="R56" s="127">
        <f>SUM(R51:R55)</f>
        <v>0</v>
      </c>
      <c r="S56" s="127">
        <f>SUM(S51:S55)</f>
        <v>0</v>
      </c>
      <c r="T56" s="127">
        <f>SUM(T51:T55)</f>
        <v>0</v>
      </c>
      <c r="U56" s="127">
        <f>SUM(U51:U55)</f>
        <v>0</v>
      </c>
      <c r="V56" s="252"/>
      <c r="W56" s="252"/>
      <c r="X56" s="252"/>
      <c r="Y56" s="127">
        <f>SUM(Y51:Y55)</f>
        <v>0</v>
      </c>
      <c r="Z56" s="252"/>
      <c r="AA56" s="252"/>
      <c r="AB56" s="127">
        <f>SUM(AB51:AB55)</f>
        <v>0</v>
      </c>
      <c r="AC56" s="127">
        <f>SUM(AC51:AC55)</f>
        <v>10050000</v>
      </c>
      <c r="AD56" s="127">
        <f>SUM(AD51:AD55)</f>
        <v>0</v>
      </c>
      <c r="AE56" s="127">
        <f>SUM(AE51:AE55)</f>
        <v>2010000</v>
      </c>
      <c r="AF56" s="127">
        <f>SUM(AF51:AF55)</f>
        <v>12060000</v>
      </c>
      <c r="AG56" s="252"/>
      <c r="AH56" s="252"/>
      <c r="AI56" s="252"/>
      <c r="AJ56" s="127">
        <f>SUM(AJ51:AJ55)</f>
        <v>0</v>
      </c>
      <c r="AK56" s="127">
        <f>SUM(AK51:AK55)</f>
        <v>0</v>
      </c>
      <c r="AL56" s="127">
        <f>SUM(AL51:AL55)</f>
        <v>0</v>
      </c>
      <c r="AM56" s="127">
        <f>SUM(AM51:AM55)</f>
        <v>0</v>
      </c>
      <c r="AN56" s="127">
        <f>SUM(AN51:AN55)</f>
        <v>0</v>
      </c>
      <c r="AO56" s="253"/>
      <c r="AP56" s="254"/>
      <c r="AQ56" s="175">
        <f>SUM(AQ51:AQ55)</f>
        <v>1255563126.522857</v>
      </c>
      <c r="AR56" s="175">
        <f>SUM(AR51:AR55)</f>
        <v>12060000</v>
      </c>
      <c r="AS56" s="175">
        <f>SUM(AS51:AS55)</f>
        <v>0</v>
      </c>
      <c r="AT56" s="175">
        <f>SUM(AT51:AT55)</f>
        <v>1267623126.522857</v>
      </c>
      <c r="AU56" s="175">
        <f t="shared" ref="AU56:BB56" si="40">SUM(AU51:AU55)</f>
        <v>1267623126.522857</v>
      </c>
      <c r="AV56" s="175">
        <f t="shared" si="40"/>
        <v>0</v>
      </c>
      <c r="AW56" s="175">
        <f t="shared" si="40"/>
        <v>0</v>
      </c>
      <c r="AX56" s="175">
        <f t="shared" si="40"/>
        <v>0</v>
      </c>
      <c r="AY56" s="175">
        <f t="shared" si="40"/>
        <v>0</v>
      </c>
      <c r="AZ56" s="175">
        <f t="shared" si="40"/>
        <v>0</v>
      </c>
      <c r="BA56" s="175">
        <f t="shared" si="40"/>
        <v>0</v>
      </c>
      <c r="BB56" s="175">
        <f t="shared" si="40"/>
        <v>0</v>
      </c>
      <c r="BC56" s="169"/>
      <c r="BD56" s="169"/>
      <c r="BE56" s="169"/>
      <c r="BF56" s="169"/>
    </row>
    <row r="57" spans="1:58" ht="110.25" outlineLevel="2" x14ac:dyDescent="0.25">
      <c r="A57" s="115"/>
      <c r="B57" s="200"/>
      <c r="C57" s="201"/>
      <c r="D57" s="138"/>
      <c r="E57" s="219"/>
      <c r="F57" s="219"/>
      <c r="G57" s="313"/>
      <c r="H57" s="199" t="s">
        <v>402</v>
      </c>
      <c r="I57" s="130"/>
      <c r="J57" s="126"/>
      <c r="K57" s="126"/>
      <c r="L57" s="125" t="str">
        <f>IF(I57&lt;&gt;0,((VLOOKUP(I57,'1. Standard_Cost'!$B$4:$D$11,2)+VLOOKUP(I57,'1. Standard_Cost'!$B$4:$D$11,3))*J57*K57),"0")</f>
        <v>0</v>
      </c>
      <c r="M57" s="125">
        <f>L57*'1. Standard_Cost'!$F$4</f>
        <v>0</v>
      </c>
      <c r="N57" s="126"/>
      <c r="O57" s="126"/>
      <c r="P57" s="126"/>
      <c r="Q57" s="126"/>
      <c r="R57" s="127">
        <f>'1. Standard_Cost'!$B$15*N57*P57</f>
        <v>0</v>
      </c>
      <c r="S57" s="127">
        <f>N57*O57*P57*'1. Standard_Cost'!$C$15</f>
        <v>0</v>
      </c>
      <c r="T57" s="127">
        <f>N57*P57*Q57*'1. Standard_Cost'!$D$15</f>
        <v>0</v>
      </c>
      <c r="U57" s="127">
        <f>N57*O57*'1. Standard_Cost'!$E$15</f>
        <v>0</v>
      </c>
      <c r="V57" s="126"/>
      <c r="W57" s="126"/>
      <c r="X57" s="126"/>
      <c r="Y57" s="127">
        <f>+V57*((X57*'1. Standard_Cost'!$B$19)+(W57*X57*'1. Standard_Cost'!$C$19))</f>
        <v>0</v>
      </c>
      <c r="Z57" s="126"/>
      <c r="AA57" s="126"/>
      <c r="AB57" s="127">
        <f>+Z57*'1. Standard_Cost'!$B$23+AA57*'1. Standard_Cost'!$C$23</f>
        <v>0</v>
      </c>
      <c r="AC57" s="128"/>
      <c r="AD57" s="129"/>
      <c r="AE57" s="127">
        <f>SUM(AD57,AC57,AB57,Y57,U57,T57,S57,R57)*'1. Standard_Cost'!$B$31</f>
        <v>0</v>
      </c>
      <c r="AF57" s="127">
        <f>SUM(AE57,AD57,AC57,AB57,Y57,U57,T57,S57,R57)</f>
        <v>0</v>
      </c>
      <c r="AG57" s="126"/>
      <c r="AH57" s="126"/>
      <c r="AI57" s="126"/>
      <c r="AJ57" s="130"/>
      <c r="AK57" s="130"/>
      <c r="AL57" s="130"/>
      <c r="AM57" s="127">
        <f>AG57*'1. Standard_Cost'!$B$27+'Incremental_Cost Year 7'!AH57*'1. Standard_Cost'!$C$27+'Incremental_Cost Year 7'!AI57*'1. Standard_Cost'!$D$27+'Incremental_Cost Year 7'!AJ57+'Incremental_Cost Year 7'!AL57+AK57</f>
        <v>0</v>
      </c>
      <c r="AN57" s="127">
        <f>AM57*'1. Standard_Cost'!$C$31</f>
        <v>0</v>
      </c>
      <c r="AO57" s="249"/>
      <c r="AQ57" s="171">
        <f>L57+M57</f>
        <v>0</v>
      </c>
      <c r="AR57" s="171">
        <f>AF57</f>
        <v>0</v>
      </c>
      <c r="AS57" s="171">
        <f>AM57+AN57</f>
        <v>0</v>
      </c>
      <c r="AT57" s="171">
        <f>SUM(AQ57,AR57,AS57)</f>
        <v>0</v>
      </c>
      <c r="AU57" s="250"/>
      <c r="AV57" s="250"/>
      <c r="AW57" s="250"/>
      <c r="AX57" s="250"/>
      <c r="AY57" s="250"/>
      <c r="AZ57" s="250"/>
      <c r="BA57" s="250"/>
      <c r="BB57" s="251">
        <f t="shared" ref="BB57:BB59" si="41">SUM(AU57:BA57)-AT57</f>
        <v>0</v>
      </c>
      <c r="BC57" s="169"/>
      <c r="BD57" s="169"/>
      <c r="BE57" s="169"/>
      <c r="BF57" s="169"/>
    </row>
    <row r="58" spans="1:58" ht="63" outlineLevel="2" x14ac:dyDescent="0.25">
      <c r="A58" s="115"/>
      <c r="B58" s="200"/>
      <c r="C58" s="201"/>
      <c r="D58" s="135"/>
      <c r="E58" s="219"/>
      <c r="F58" s="219"/>
      <c r="G58" s="313"/>
      <c r="H58" s="199" t="s">
        <v>403</v>
      </c>
      <c r="I58" s="130"/>
      <c r="J58" s="126"/>
      <c r="K58" s="126"/>
      <c r="L58" s="125" t="str">
        <f>IF(I58&lt;&gt;0,((VLOOKUP(I58,'1. Standard_Cost'!$B$4:$D$11,2)+VLOOKUP(I58,'1. Standard_Cost'!$B$4:$D$11,3))*J58*K58),"0")</f>
        <v>0</v>
      </c>
      <c r="M58" s="125">
        <f>L58*'1. Standard_Cost'!$F$4</f>
        <v>0</v>
      </c>
      <c r="N58" s="126"/>
      <c r="O58" s="126"/>
      <c r="P58" s="126"/>
      <c r="Q58" s="126"/>
      <c r="R58" s="127">
        <f>'1. Standard_Cost'!$B$15*N58*P58</f>
        <v>0</v>
      </c>
      <c r="S58" s="127">
        <f>N58*O58*P58*'1. Standard_Cost'!$C$15</f>
        <v>0</v>
      </c>
      <c r="T58" s="127">
        <f>N58*P58*Q58*'1. Standard_Cost'!$D$15</f>
        <v>0</v>
      </c>
      <c r="U58" s="127">
        <f>N58*O58*'1. Standard_Cost'!$E$15</f>
        <v>0</v>
      </c>
      <c r="V58" s="126"/>
      <c r="W58" s="126"/>
      <c r="X58" s="126"/>
      <c r="Y58" s="127">
        <f>+V58*((X58*'1. Standard_Cost'!$B$19)+(W58*X58*'1. Standard_Cost'!$C$19))</f>
        <v>0</v>
      </c>
      <c r="Z58" s="126"/>
      <c r="AA58" s="126"/>
      <c r="AB58" s="127">
        <f>+Z58*'1. Standard_Cost'!$B$23+AA58*'1. Standard_Cost'!$C$23</f>
        <v>0</v>
      </c>
      <c r="AC58" s="128"/>
      <c r="AD58" s="129"/>
      <c r="AE58" s="127">
        <f>SUM(AD58,AC58,AB58,Y58,U58,T58,S58,R58)*'1. Standard_Cost'!$B$31</f>
        <v>0</v>
      </c>
      <c r="AF58" s="127">
        <f>SUM(AE58,AD58,AC58,AB58,Y58,U58,T58,S58,R58)</f>
        <v>0</v>
      </c>
      <c r="AG58" s="126"/>
      <c r="AH58" s="126"/>
      <c r="AI58" s="126"/>
      <c r="AJ58" s="130"/>
      <c r="AK58" s="130"/>
      <c r="AL58" s="130"/>
      <c r="AM58" s="127">
        <f>AG58*'1. Standard_Cost'!$B$27+'Incremental_Cost Year 7'!AH58*'1. Standard_Cost'!$C$27+'Incremental_Cost Year 7'!AI58*'1. Standard_Cost'!$D$27+'Incremental_Cost Year 7'!AJ58+'Incremental_Cost Year 7'!AL58+AK58</f>
        <v>0</v>
      </c>
      <c r="AN58" s="127">
        <f>AM58*'1. Standard_Cost'!$C$31</f>
        <v>0</v>
      </c>
      <c r="AO58" s="130"/>
      <c r="AQ58" s="171">
        <f>L58+M58</f>
        <v>0</v>
      </c>
      <c r="AR58" s="171">
        <f>AF58</f>
        <v>0</v>
      </c>
      <c r="AS58" s="171">
        <f>AM58+AN58</f>
        <v>0</v>
      </c>
      <c r="AT58" s="171">
        <f>SUM(AQ58,AR58,AS58)</f>
        <v>0</v>
      </c>
      <c r="AU58" s="250"/>
      <c r="AV58" s="250"/>
      <c r="AW58" s="250"/>
      <c r="AX58" s="250"/>
      <c r="AY58" s="250"/>
      <c r="AZ58" s="250"/>
      <c r="BA58" s="250"/>
      <c r="BB58" s="251">
        <f t="shared" si="41"/>
        <v>0</v>
      </c>
      <c r="BC58" s="169"/>
      <c r="BD58" s="169"/>
      <c r="BE58" s="169"/>
      <c r="BF58" s="169"/>
    </row>
    <row r="59" spans="1:58" ht="78.75" outlineLevel="2" x14ac:dyDescent="0.25">
      <c r="A59" s="115"/>
      <c r="B59" s="147"/>
      <c r="C59" s="314"/>
      <c r="D59" s="223"/>
      <c r="E59" s="122"/>
      <c r="F59" s="122"/>
      <c r="G59" s="123"/>
      <c r="H59" s="199" t="s">
        <v>309</v>
      </c>
      <c r="I59" s="130"/>
      <c r="J59" s="126"/>
      <c r="K59" s="126"/>
      <c r="L59" s="125" t="str">
        <f>IF(I59&lt;&gt;0,((VLOOKUP(I59,'1. Standard_Cost'!$B$4:$D$11,2)+VLOOKUP(I59,'1. Standard_Cost'!$B$4:$D$11,3))*J59*K59),"0")</f>
        <v>0</v>
      </c>
      <c r="M59" s="125">
        <f>L59*'1. Standard_Cost'!$F$4</f>
        <v>0</v>
      </c>
      <c r="N59" s="126"/>
      <c r="O59" s="126"/>
      <c r="P59" s="126"/>
      <c r="Q59" s="126"/>
      <c r="R59" s="127">
        <f>'1. Standard_Cost'!$B$15*N59*P59</f>
        <v>0</v>
      </c>
      <c r="S59" s="127">
        <f>N59*O59*P59*'1. Standard_Cost'!$C$15</f>
        <v>0</v>
      </c>
      <c r="T59" s="127">
        <f>N59*P59*Q59*'1. Standard_Cost'!$D$15</f>
        <v>0</v>
      </c>
      <c r="U59" s="127">
        <f>N59*O59*'1. Standard_Cost'!$E$15</f>
        <v>0</v>
      </c>
      <c r="V59" s="126"/>
      <c r="W59" s="126"/>
      <c r="X59" s="126"/>
      <c r="Y59" s="127">
        <f>+V59*((X59*'1. Standard_Cost'!$B$19)+(W59*X59*'1. Standard_Cost'!$C$19))</f>
        <v>0</v>
      </c>
      <c r="Z59" s="126"/>
      <c r="AA59" s="126"/>
      <c r="AB59" s="127">
        <f>+Z59*'1. Standard_Cost'!$B$23+AA59*'1. Standard_Cost'!$C$23</f>
        <v>0</v>
      </c>
      <c r="AC59" s="128"/>
      <c r="AD59" s="129"/>
      <c r="AE59" s="127">
        <f>SUM(AD59,AC59,AB59,Y59,U59,T59,S59,R59)*'1. Standard_Cost'!$B$31</f>
        <v>0</v>
      </c>
      <c r="AF59" s="127">
        <f>SUM(AE59,AD59,AC59,AB59,Y59,U59,T59,S59,R59)</f>
        <v>0</v>
      </c>
      <c r="AG59" s="126"/>
      <c r="AH59" s="126"/>
      <c r="AI59" s="126"/>
      <c r="AJ59" s="130"/>
      <c r="AK59" s="130"/>
      <c r="AL59" s="130"/>
      <c r="AM59" s="127">
        <f>AG59*'1. Standard_Cost'!$B$27+'Incremental_Cost Year 7'!AH59*'1. Standard_Cost'!$C$27+'Incremental_Cost Year 7'!AI59*'1. Standard_Cost'!$D$27+'Incremental_Cost Year 7'!AJ59+'Incremental_Cost Year 7'!AL59+AK59</f>
        <v>0</v>
      </c>
      <c r="AN59" s="127">
        <f>AM59*'1. Standard_Cost'!$C$31</f>
        <v>0</v>
      </c>
      <c r="AO59" s="130"/>
      <c r="AQ59" s="171">
        <f>L59+M59</f>
        <v>0</v>
      </c>
      <c r="AR59" s="171">
        <f>AF59</f>
        <v>0</v>
      </c>
      <c r="AS59" s="171">
        <f>AM59+AN59</f>
        <v>0</v>
      </c>
      <c r="AT59" s="171">
        <f>SUM(AQ59,AR59,AS59)</f>
        <v>0</v>
      </c>
      <c r="AU59" s="250"/>
      <c r="AV59" s="250"/>
      <c r="AW59" s="250"/>
      <c r="AX59" s="250"/>
      <c r="AY59" s="250"/>
      <c r="AZ59" s="250"/>
      <c r="BA59" s="250"/>
      <c r="BB59" s="251">
        <f t="shared" si="41"/>
        <v>0</v>
      </c>
      <c r="BC59" s="169"/>
      <c r="BD59" s="169"/>
      <c r="BE59" s="169"/>
      <c r="BF59" s="169"/>
    </row>
    <row r="60" spans="1:58" ht="31.5" outlineLevel="1" x14ac:dyDescent="0.25">
      <c r="A60" s="115"/>
      <c r="B60" s="200"/>
      <c r="C60" s="201"/>
      <c r="D60" s="132" t="s">
        <v>388</v>
      </c>
      <c r="E60" s="133" t="s">
        <v>216</v>
      </c>
      <c r="F60" s="122">
        <v>2021</v>
      </c>
      <c r="G60" s="223">
        <v>2030</v>
      </c>
      <c r="H60" s="134" t="s">
        <v>217</v>
      </c>
      <c r="I60" s="252"/>
      <c r="J60" s="252"/>
      <c r="K60" s="252"/>
      <c r="L60" s="127">
        <f>SUM(L57:L59)</f>
        <v>0</v>
      </c>
      <c r="M60" s="127">
        <f>SUM(M57:M59)</f>
        <v>0</v>
      </c>
      <c r="N60" s="127"/>
      <c r="O60" s="252"/>
      <c r="P60" s="252"/>
      <c r="Q60" s="252"/>
      <c r="R60" s="127">
        <f>SUM(R57:R59)</f>
        <v>0</v>
      </c>
      <c r="S60" s="127">
        <f>SUM(S57:S59)</f>
        <v>0</v>
      </c>
      <c r="T60" s="127">
        <f>SUM(T57:T59)</f>
        <v>0</v>
      </c>
      <c r="U60" s="127">
        <f>SUM(U57:U59)</f>
        <v>0</v>
      </c>
      <c r="V60" s="252"/>
      <c r="W60" s="252"/>
      <c r="X60" s="252"/>
      <c r="Y60" s="127">
        <f>SUM(Y57:Y59)</f>
        <v>0</v>
      </c>
      <c r="Z60" s="252"/>
      <c r="AA60" s="252"/>
      <c r="AB60" s="127">
        <f>SUM(AB57:AB59)</f>
        <v>0</v>
      </c>
      <c r="AC60" s="127">
        <f>SUM(AC57:AC59)</f>
        <v>0</v>
      </c>
      <c r="AD60" s="127">
        <f>SUM(AD57:AD59)</f>
        <v>0</v>
      </c>
      <c r="AE60" s="127">
        <f>SUM(AE57:AE59)</f>
        <v>0</v>
      </c>
      <c r="AF60" s="127">
        <f>SUM(AF57:AF59)</f>
        <v>0</v>
      </c>
      <c r="AG60" s="252"/>
      <c r="AH60" s="252"/>
      <c r="AI60" s="252"/>
      <c r="AJ60" s="127">
        <f>SUM(AJ57:AJ59)</f>
        <v>0</v>
      </c>
      <c r="AK60" s="127">
        <f>SUM(AK57:AK59)</f>
        <v>0</v>
      </c>
      <c r="AL60" s="127">
        <f>SUM(AL57:AL59)</f>
        <v>0</v>
      </c>
      <c r="AM60" s="127">
        <f>SUM(AM57:AM59)</f>
        <v>0</v>
      </c>
      <c r="AN60" s="127">
        <f>SUM(AN57:AN59)</f>
        <v>0</v>
      </c>
      <c r="AO60" s="253"/>
      <c r="AP60" s="254"/>
      <c r="AQ60" s="175">
        <f>SUM(AQ57:AQ59)</f>
        <v>0</v>
      </c>
      <c r="AR60" s="175">
        <f>SUM(AR57:AR59)</f>
        <v>0</v>
      </c>
      <c r="AS60" s="175">
        <f>SUM(AS57:AS59)</f>
        <v>0</v>
      </c>
      <c r="AT60" s="175">
        <f>SUM(AT57:AT59)</f>
        <v>0</v>
      </c>
      <c r="AU60" s="175">
        <f t="shared" ref="AU60:BB60" si="42">SUM(AU57:AU59)</f>
        <v>0</v>
      </c>
      <c r="AV60" s="175">
        <f t="shared" si="42"/>
        <v>0</v>
      </c>
      <c r="AW60" s="175">
        <f t="shared" si="42"/>
        <v>0</v>
      </c>
      <c r="AX60" s="175">
        <f t="shared" si="42"/>
        <v>0</v>
      </c>
      <c r="AY60" s="175">
        <f t="shared" si="42"/>
        <v>0</v>
      </c>
      <c r="AZ60" s="175">
        <f t="shared" si="42"/>
        <v>0</v>
      </c>
      <c r="BA60" s="175">
        <f t="shared" si="42"/>
        <v>0</v>
      </c>
      <c r="BB60" s="175">
        <f t="shared" si="42"/>
        <v>0</v>
      </c>
      <c r="BC60" s="169"/>
      <c r="BD60" s="169"/>
      <c r="BE60" s="169"/>
      <c r="BF60" s="169"/>
    </row>
    <row r="61" spans="1:58" s="170" customFormat="1" ht="15.75" customHeight="1" x14ac:dyDescent="0.25">
      <c r="A61" s="120"/>
      <c r="B61" s="290"/>
      <c r="C61" s="391" t="s">
        <v>218</v>
      </c>
      <c r="D61" s="391"/>
      <c r="E61" s="392"/>
      <c r="F61" s="289"/>
      <c r="G61" s="288"/>
      <c r="H61" s="114" t="s">
        <v>219</v>
      </c>
      <c r="I61" s="246"/>
      <c r="J61" s="246"/>
      <c r="K61" s="246"/>
      <c r="L61" s="247">
        <f>SUM(L77)</f>
        <v>646486825</v>
      </c>
      <c r="M61" s="247">
        <f>SUM(M77)</f>
        <v>107963299.77500001</v>
      </c>
      <c r="N61" s="247"/>
      <c r="O61" s="247"/>
      <c r="P61" s="247"/>
      <c r="Q61" s="247"/>
      <c r="R61" s="247">
        <f>SUM(R77)</f>
        <v>280000</v>
      </c>
      <c r="S61" s="247">
        <f>SUM(S77)</f>
        <v>420000</v>
      </c>
      <c r="T61" s="247">
        <f>SUM(T77)</f>
        <v>0</v>
      </c>
      <c r="U61" s="247">
        <f>SUM(U77)</f>
        <v>560000</v>
      </c>
      <c r="V61" s="247"/>
      <c r="W61" s="247"/>
      <c r="X61" s="247"/>
      <c r="Y61" s="247">
        <f>SUM(Y77)</f>
        <v>0</v>
      </c>
      <c r="Z61" s="247">
        <f t="shared" ref="Z61:AA61" si="43">SUM(Z77)</f>
        <v>0</v>
      </c>
      <c r="AA61" s="247">
        <f t="shared" si="43"/>
        <v>0</v>
      </c>
      <c r="AB61" s="247">
        <f t="shared" ref="AB61:AF61" si="44">SUM(AB77)</f>
        <v>171000</v>
      </c>
      <c r="AC61" s="247">
        <f t="shared" si="44"/>
        <v>549876000</v>
      </c>
      <c r="AD61" s="247">
        <f t="shared" si="44"/>
        <v>0</v>
      </c>
      <c r="AE61" s="247">
        <f t="shared" si="44"/>
        <v>81821400</v>
      </c>
      <c r="AF61" s="247">
        <f t="shared" si="44"/>
        <v>633128400</v>
      </c>
      <c r="AG61" s="247"/>
      <c r="AH61" s="247"/>
      <c r="AI61" s="247"/>
      <c r="AJ61" s="247">
        <f>SUM(AJ77)</f>
        <v>0</v>
      </c>
      <c r="AK61" s="247">
        <f>SUM(AK77)</f>
        <v>0</v>
      </c>
      <c r="AL61" s="247">
        <f>SUM(AL77)</f>
        <v>0</v>
      </c>
      <c r="AM61" s="247">
        <f>SUM(AM77)</f>
        <v>0</v>
      </c>
      <c r="AN61" s="247">
        <f>SUM(AN77)</f>
        <v>0</v>
      </c>
      <c r="AO61" s="247"/>
      <c r="AP61" s="244"/>
      <c r="AQ61" s="248">
        <f>SUM(AQ77)</f>
        <v>754450124.77499998</v>
      </c>
      <c r="AR61" s="248">
        <f>SUM(AR77)</f>
        <v>633128400</v>
      </c>
      <c r="AS61" s="248">
        <f>SUM(AS77)</f>
        <v>0</v>
      </c>
      <c r="AT61" s="248">
        <f>SUM(AT77)</f>
        <v>1387578524.7750001</v>
      </c>
      <c r="AU61" s="248">
        <f t="shared" ref="AU61:BB61" si="45">SUM(AU77)</f>
        <v>1384152524.7750001</v>
      </c>
      <c r="AV61" s="248">
        <f t="shared" si="45"/>
        <v>0</v>
      </c>
      <c r="AW61" s="248">
        <f t="shared" si="45"/>
        <v>0</v>
      </c>
      <c r="AX61" s="248">
        <f t="shared" si="45"/>
        <v>0</v>
      </c>
      <c r="AY61" s="248">
        <f t="shared" si="45"/>
        <v>2346000</v>
      </c>
      <c r="AZ61" s="248">
        <f t="shared" si="45"/>
        <v>0</v>
      </c>
      <c r="BA61" s="248">
        <f t="shared" si="45"/>
        <v>0</v>
      </c>
      <c r="BB61" s="248">
        <f t="shared" si="45"/>
        <v>-1080000</v>
      </c>
    </row>
    <row r="62" spans="1:58" ht="126" outlineLevel="2" x14ac:dyDescent="0.25">
      <c r="A62" s="115"/>
      <c r="B62" s="200"/>
      <c r="C62" s="201"/>
      <c r="D62" s="350"/>
      <c r="E62" s="315"/>
      <c r="F62" s="316"/>
      <c r="G62" s="317"/>
      <c r="H62" s="199" t="s">
        <v>404</v>
      </c>
      <c r="I62" s="130"/>
      <c r="J62" s="126"/>
      <c r="K62" s="126"/>
      <c r="L62" s="125" t="str">
        <f>IF(I62&lt;&gt;0,((VLOOKUP(I62,'1. Standard_Cost'!$B$4:$D$11,2)+VLOOKUP(I62,'1. Standard_Cost'!$B$4:$D$11,3))*J62*K62),"0")</f>
        <v>0</v>
      </c>
      <c r="M62" s="125">
        <f>L62*'1. Standard_Cost'!$F$4</f>
        <v>0</v>
      </c>
      <c r="N62" s="126"/>
      <c r="O62" s="126"/>
      <c r="P62" s="126"/>
      <c r="Q62" s="126"/>
      <c r="R62" s="127">
        <f>'1. Standard_Cost'!$B$15*N62*P62</f>
        <v>0</v>
      </c>
      <c r="S62" s="127">
        <f>N62*O62*P62*'1. Standard_Cost'!$C$15</f>
        <v>0</v>
      </c>
      <c r="T62" s="127">
        <f>N62*P62*Q62*'1. Standard_Cost'!$D$15</f>
        <v>0</v>
      </c>
      <c r="U62" s="127">
        <f>N62*O62*'1. Standard_Cost'!$E$15</f>
        <v>0</v>
      </c>
      <c r="V62" s="126"/>
      <c r="W62" s="126"/>
      <c r="X62" s="126"/>
      <c r="Y62" s="127">
        <f>+V62*((X62*'1. Standard_Cost'!$B$19)+(W62*X62*'1. Standard_Cost'!$C$19))</f>
        <v>0</v>
      </c>
      <c r="Z62" s="126"/>
      <c r="AA62" s="126"/>
      <c r="AB62" s="127">
        <f>+Z62*'1. Standard_Cost'!$B$23+AA62*'1. Standard_Cost'!$C$23</f>
        <v>0</v>
      </c>
      <c r="AC62" s="128"/>
      <c r="AD62" s="129"/>
      <c r="AE62" s="127">
        <f>SUM(AD62,AC62,AB62,Y62,U62,T62,S62,R62)*'1. Standard_Cost'!$B$31</f>
        <v>0</v>
      </c>
      <c r="AF62" s="127">
        <f t="shared" ref="AF62:AF67" si="46">SUM(AE62,AD62,AC62,AB62,Y62,U62,T62,S62,R62)</f>
        <v>0</v>
      </c>
      <c r="AG62" s="126"/>
      <c r="AH62" s="126"/>
      <c r="AI62" s="126"/>
      <c r="AJ62" s="130"/>
      <c r="AK62" s="130"/>
      <c r="AL62" s="130"/>
      <c r="AM62" s="127">
        <f>AG62*'1. Standard_Cost'!$B$27+'Incremental_Cost Year 7'!AH62*'1. Standard_Cost'!$C$27+'Incremental_Cost Year 7'!AI62*'1. Standard_Cost'!$D$27+'Incremental_Cost Year 7'!AJ62+'Incremental_Cost Year 7'!AL62+AK62</f>
        <v>0</v>
      </c>
      <c r="AN62" s="127">
        <f>AM62*'1. Standard_Cost'!$C$31</f>
        <v>0</v>
      </c>
      <c r="AO62" s="249"/>
      <c r="AQ62" s="171">
        <f t="shared" ref="AQ62:AQ76" si="47">L62+M62</f>
        <v>0</v>
      </c>
      <c r="AR62" s="171">
        <f t="shared" ref="AR62:AR76" si="48">AF62</f>
        <v>0</v>
      </c>
      <c r="AS62" s="171">
        <f t="shared" ref="AS62:AS76" si="49">AM62+AN62</f>
        <v>0</v>
      </c>
      <c r="AT62" s="171">
        <f t="shared" ref="AT62:AT76" si="50">SUM(AQ62,AR62,AS62)</f>
        <v>0</v>
      </c>
      <c r="AU62" s="250">
        <f>AQ62</f>
        <v>0</v>
      </c>
      <c r="AV62" s="250"/>
      <c r="AW62" s="250"/>
      <c r="AX62" s="250"/>
      <c r="AY62" s="250">
        <f>AR62</f>
        <v>0</v>
      </c>
      <c r="AZ62" s="250"/>
      <c r="BA62" s="250"/>
      <c r="BB62" s="251">
        <f t="shared" ref="BB62" si="51">SUM(AU62:BA62)-AT62</f>
        <v>0</v>
      </c>
      <c r="BC62" s="169"/>
      <c r="BD62" s="169"/>
      <c r="BE62" s="169"/>
      <c r="BF62" s="169"/>
    </row>
    <row r="63" spans="1:58" ht="141.75" outlineLevel="2" x14ac:dyDescent="0.25">
      <c r="A63" s="115"/>
      <c r="B63" s="200"/>
      <c r="C63" s="201"/>
      <c r="D63" s="141"/>
      <c r="E63" s="318"/>
      <c r="F63" s="219"/>
      <c r="G63" s="313"/>
      <c r="H63" s="199" t="s">
        <v>405</v>
      </c>
      <c r="I63" s="130"/>
      <c r="J63" s="126"/>
      <c r="K63" s="126"/>
      <c r="L63" s="125" t="str">
        <f>IF(I63&lt;&gt;0,((VLOOKUP(I63,'1. Standard_Cost'!$B$4:$D$11,2)+VLOOKUP(I63,'1. Standard_Cost'!$B$4:$D$11,3))*J63*K63),"0")</f>
        <v>0</v>
      </c>
      <c r="M63" s="125">
        <f>L63*'1. Standard_Cost'!$F$4</f>
        <v>0</v>
      </c>
      <c r="N63" s="126"/>
      <c r="O63" s="126"/>
      <c r="P63" s="126"/>
      <c r="Q63" s="126"/>
      <c r="R63" s="127">
        <f>'1. Standard_Cost'!$B$15*N63*P63</f>
        <v>0</v>
      </c>
      <c r="S63" s="127">
        <f>N63*O63*P63*'1. Standard_Cost'!$C$15</f>
        <v>0</v>
      </c>
      <c r="T63" s="127">
        <f>N63*P63*Q63*'1. Standard_Cost'!$D$15</f>
        <v>0</v>
      </c>
      <c r="U63" s="127">
        <f>N63*O63*'1. Standard_Cost'!$E$15</f>
        <v>0</v>
      </c>
      <c r="V63" s="126"/>
      <c r="W63" s="126"/>
      <c r="X63" s="126"/>
      <c r="Y63" s="127">
        <f>+V63*((X63*'1. Standard_Cost'!$B$19)+(W63*X63*'1. Standard_Cost'!$C$19))</f>
        <v>0</v>
      </c>
      <c r="Z63" s="126"/>
      <c r="AA63" s="126"/>
      <c r="AB63" s="127">
        <f>+Z63*'1. Standard_Cost'!$B$23+AA63*'1. Standard_Cost'!$C$23</f>
        <v>0</v>
      </c>
      <c r="AC63" s="128"/>
      <c r="AD63" s="129"/>
      <c r="AE63" s="127">
        <f>SUM(AD63,AC63,AB63,Y63,U63,T63,S63,R63)*'1. Standard_Cost'!$B$31</f>
        <v>0</v>
      </c>
      <c r="AF63" s="127">
        <f t="shared" si="46"/>
        <v>0</v>
      </c>
      <c r="AG63" s="126"/>
      <c r="AH63" s="126"/>
      <c r="AI63" s="126"/>
      <c r="AJ63" s="130"/>
      <c r="AK63" s="130"/>
      <c r="AL63" s="130"/>
      <c r="AM63" s="127">
        <f>AG63*'1. Standard_Cost'!$B$27+'Incremental_Cost Year 7'!AH63*'1. Standard_Cost'!$C$27+'Incremental_Cost Year 7'!AI63*'1. Standard_Cost'!$D$27+'Incremental_Cost Year 7'!AJ63+'Incremental_Cost Year 7'!AL63+AK63</f>
        <v>0</v>
      </c>
      <c r="AN63" s="127">
        <f>AM63*'1. Standard_Cost'!$C$31</f>
        <v>0</v>
      </c>
      <c r="AO63" s="249"/>
      <c r="AQ63" s="171">
        <f t="shared" si="47"/>
        <v>0</v>
      </c>
      <c r="AR63" s="171">
        <f t="shared" si="48"/>
        <v>0</v>
      </c>
      <c r="AS63" s="171">
        <f t="shared" si="49"/>
        <v>0</v>
      </c>
      <c r="AT63" s="171">
        <f t="shared" si="50"/>
        <v>0</v>
      </c>
      <c r="AU63" s="250"/>
      <c r="AV63" s="250"/>
      <c r="AW63" s="250"/>
      <c r="AX63" s="250"/>
      <c r="AY63" s="250"/>
      <c r="AZ63" s="250"/>
      <c r="BA63" s="250"/>
      <c r="BB63" s="251">
        <f t="shared" ref="BB63:BB76" si="52">SUM(AU63:BA63)-AT63</f>
        <v>0</v>
      </c>
      <c r="BC63" s="169"/>
      <c r="BD63" s="169"/>
      <c r="BE63" s="169"/>
      <c r="BF63" s="169"/>
    </row>
    <row r="64" spans="1:58" ht="63" outlineLevel="2" x14ac:dyDescent="0.25">
      <c r="A64" s="115"/>
      <c r="B64" s="200"/>
      <c r="C64" s="201"/>
      <c r="D64" s="131"/>
      <c r="E64" s="319"/>
      <c r="F64" s="219"/>
      <c r="G64" s="313"/>
      <c r="H64" s="199" t="s">
        <v>406</v>
      </c>
      <c r="I64" s="130" t="s">
        <v>1</v>
      </c>
      <c r="J64" s="126">
        <v>12</v>
      </c>
      <c r="K64" s="126">
        <v>130</v>
      </c>
      <c r="L64" s="125">
        <f>IF(I64&lt;&gt;0,((VLOOKUP(I64,'1. Standard_Cost'!$B$4:$D$11,2)+VLOOKUP(I64,'1. Standard_Cost'!$B$4:$D$11,3))*J64*K64),"0")</f>
        <v>111996857.14285713</v>
      </c>
      <c r="M64" s="125">
        <f>L64*'1. Standard_Cost'!$F$4</f>
        <v>18703475.142857142</v>
      </c>
      <c r="N64" s="126"/>
      <c r="O64" s="126"/>
      <c r="P64" s="126"/>
      <c r="Q64" s="126"/>
      <c r="R64" s="127">
        <f>'1. Standard_Cost'!$B$15*N64*P64</f>
        <v>0</v>
      </c>
      <c r="S64" s="127">
        <f>N64*O64*P64*'1. Standard_Cost'!$C$15</f>
        <v>0</v>
      </c>
      <c r="T64" s="127">
        <f>N64*P64*Q64*'1. Standard_Cost'!$D$15</f>
        <v>0</v>
      </c>
      <c r="U64" s="127">
        <f>N64*O64*'1. Standard_Cost'!$E$15</f>
        <v>0</v>
      </c>
      <c r="V64" s="126"/>
      <c r="W64" s="126"/>
      <c r="X64" s="126"/>
      <c r="Y64" s="127">
        <f>+V64*((X64*'1. Standard_Cost'!$B$19)+(W64*X64*'1. Standard_Cost'!$C$19))</f>
        <v>0</v>
      </c>
      <c r="Z64" s="126"/>
      <c r="AA64" s="126"/>
      <c r="AB64" s="127">
        <f>+Z64*'1. Standard_Cost'!$B$23+AA64*'1. Standard_Cost'!$C$23</f>
        <v>0</v>
      </c>
      <c r="AC64" s="128">
        <f>10*500000</f>
        <v>5000000</v>
      </c>
      <c r="AD64" s="129"/>
      <c r="AE64" s="127">
        <v>0</v>
      </c>
      <c r="AF64" s="127">
        <f t="shared" si="46"/>
        <v>5000000</v>
      </c>
      <c r="AG64" s="126"/>
      <c r="AH64" s="126"/>
      <c r="AI64" s="126"/>
      <c r="AJ64" s="130"/>
      <c r="AK64" s="130"/>
      <c r="AL64" s="130"/>
      <c r="AM64" s="127">
        <f>AG64*'1. Standard_Cost'!$B$27+'Incremental_Cost Year 7'!AH64*'1. Standard_Cost'!$C$27+'Incremental_Cost Year 7'!AI64*'1. Standard_Cost'!$D$27+'Incremental_Cost Year 7'!AJ64+'Incremental_Cost Year 7'!AL64+AK64</f>
        <v>0</v>
      </c>
      <c r="AN64" s="127">
        <f>AM64*'1. Standard_Cost'!$C$31</f>
        <v>0</v>
      </c>
      <c r="AO64" s="130"/>
      <c r="AQ64" s="171">
        <f t="shared" si="47"/>
        <v>130700332.28571427</v>
      </c>
      <c r="AR64" s="171">
        <f t="shared" si="48"/>
        <v>5000000</v>
      </c>
      <c r="AS64" s="171">
        <f t="shared" si="49"/>
        <v>0</v>
      </c>
      <c r="AT64" s="171">
        <f t="shared" si="50"/>
        <v>135700332.28571427</v>
      </c>
      <c r="AU64" s="250">
        <f>AT64</f>
        <v>135700332.28571427</v>
      </c>
      <c r="AV64" s="250"/>
      <c r="AW64" s="250"/>
      <c r="AX64" s="250"/>
      <c r="AY64" s="250"/>
      <c r="AZ64" s="250"/>
      <c r="BA64" s="250"/>
      <c r="BB64" s="251">
        <f t="shared" si="52"/>
        <v>0</v>
      </c>
      <c r="BC64" s="169"/>
      <c r="BD64" s="169"/>
      <c r="BE64" s="169"/>
      <c r="BF64" s="169"/>
    </row>
    <row r="65" spans="1:58" ht="31.5" outlineLevel="2" x14ac:dyDescent="0.25">
      <c r="A65" s="115"/>
      <c r="B65" s="200"/>
      <c r="C65" s="201"/>
      <c r="D65" s="131"/>
      <c r="E65" s="318"/>
      <c r="F65" s="219"/>
      <c r="G65" s="313"/>
      <c r="H65" s="199" t="s">
        <v>407</v>
      </c>
      <c r="I65" s="130" t="s">
        <v>1</v>
      </c>
      <c r="J65" s="126">
        <v>12</v>
      </c>
      <c r="K65" s="126">
        <v>93</v>
      </c>
      <c r="L65" s="125">
        <f>IF(I65&lt;&gt;0,((VLOOKUP(I65,'1. Standard_Cost'!$B$4:$D$11,2)+VLOOKUP(I65,'1. Standard_Cost'!$B$4:$D$11,3))*J65*K65),"0")</f>
        <v>80120828.571428567</v>
      </c>
      <c r="M65" s="125">
        <f>L65*'1. Standard_Cost'!$F$4</f>
        <v>13380178.371428572</v>
      </c>
      <c r="N65" s="126"/>
      <c r="O65" s="126"/>
      <c r="P65" s="126"/>
      <c r="Q65" s="126"/>
      <c r="R65" s="127">
        <f>'1. Standard_Cost'!$B$15*N65*P65</f>
        <v>0</v>
      </c>
      <c r="S65" s="127">
        <f>N65*O65*P65*'1. Standard_Cost'!$C$15</f>
        <v>0</v>
      </c>
      <c r="T65" s="127">
        <f>N65*P65*Q65*'1. Standard_Cost'!$D$15</f>
        <v>0</v>
      </c>
      <c r="U65" s="127">
        <f>N65*O65*'1. Standard_Cost'!$E$15</f>
        <v>0</v>
      </c>
      <c r="V65" s="126"/>
      <c r="W65" s="126"/>
      <c r="X65" s="126"/>
      <c r="Y65" s="127">
        <f>+V65*((X65*'1. Standard_Cost'!$B$19)+(W65*X65*'1. Standard_Cost'!$C$19))</f>
        <v>0</v>
      </c>
      <c r="Z65" s="126"/>
      <c r="AA65" s="126"/>
      <c r="AB65" s="127">
        <f>+Z65*'1. Standard_Cost'!$B$23+AA65*'1. Standard_Cost'!$C$23</f>
        <v>0</v>
      </c>
      <c r="AC65" s="128">
        <f>300000*14</f>
        <v>4200000</v>
      </c>
      <c r="AD65" s="129"/>
      <c r="AE65" s="127">
        <v>0</v>
      </c>
      <c r="AF65" s="127">
        <f t="shared" si="46"/>
        <v>4200000</v>
      </c>
      <c r="AG65" s="126"/>
      <c r="AH65" s="126"/>
      <c r="AI65" s="126"/>
      <c r="AJ65" s="130"/>
      <c r="AK65" s="130"/>
      <c r="AL65" s="130"/>
      <c r="AM65" s="127">
        <f>AG65*'1. Standard_Cost'!$B$27+'Incremental_Cost Year 7'!AH65*'1. Standard_Cost'!$C$27+'Incremental_Cost Year 7'!AI65*'1. Standard_Cost'!$D$27+'Incremental_Cost Year 7'!AJ65+'Incremental_Cost Year 7'!AL65+AK65</f>
        <v>0</v>
      </c>
      <c r="AN65" s="127">
        <f>AM65*'1. Standard_Cost'!$C$31</f>
        <v>0</v>
      </c>
      <c r="AO65" s="130"/>
      <c r="AQ65" s="171">
        <f t="shared" si="47"/>
        <v>93501006.942857146</v>
      </c>
      <c r="AR65" s="171">
        <f t="shared" si="48"/>
        <v>4200000</v>
      </c>
      <c r="AS65" s="171">
        <f t="shared" si="49"/>
        <v>0</v>
      </c>
      <c r="AT65" s="171">
        <f t="shared" si="50"/>
        <v>97701006.942857146</v>
      </c>
      <c r="AU65" s="250">
        <f>AT65</f>
        <v>97701006.942857146</v>
      </c>
      <c r="AV65" s="250"/>
      <c r="AW65" s="250"/>
      <c r="AX65" s="250"/>
      <c r="AY65" s="250"/>
      <c r="AZ65" s="250"/>
      <c r="BA65" s="250"/>
      <c r="BB65" s="251">
        <f t="shared" si="52"/>
        <v>0</v>
      </c>
      <c r="BC65" s="169"/>
      <c r="BD65" s="169"/>
      <c r="BE65" s="169"/>
      <c r="BF65" s="169"/>
    </row>
    <row r="66" spans="1:58" ht="94.5" outlineLevel="2" x14ac:dyDescent="0.25">
      <c r="A66" s="115"/>
      <c r="B66" s="200"/>
      <c r="C66" s="201"/>
      <c r="D66" s="131"/>
      <c r="E66" s="318"/>
      <c r="F66" s="219"/>
      <c r="G66" s="313"/>
      <c r="H66" s="199" t="s">
        <v>548</v>
      </c>
      <c r="I66" s="130" t="s">
        <v>1</v>
      </c>
      <c r="J66" s="126">
        <v>12</v>
      </c>
      <c r="K66" s="126">
        <f>14*2+14*2</f>
        <v>56</v>
      </c>
      <c r="L66" s="125">
        <f>IF(I66&lt;&gt;0,((VLOOKUP(I66,'1. Standard_Cost'!$B$4:$D$11,2)+VLOOKUP(I66,'1. Standard_Cost'!$B$4:$D$11,3))*J66*K66),"0")</f>
        <v>48244800</v>
      </c>
      <c r="M66" s="125">
        <f>L66*'1. Standard_Cost'!$F$4</f>
        <v>8056881.6000000006</v>
      </c>
      <c r="N66" s="126"/>
      <c r="O66" s="126"/>
      <c r="P66" s="126"/>
      <c r="Q66" s="126"/>
      <c r="R66" s="127">
        <f>'1. Standard_Cost'!$B$15*N66*P66</f>
        <v>0</v>
      </c>
      <c r="S66" s="127">
        <f>N66*O66*P66*'1. Standard_Cost'!$C$15</f>
        <v>0</v>
      </c>
      <c r="T66" s="127">
        <f>N66*P66*Q66*'1. Standard_Cost'!$D$15</f>
        <v>0</v>
      </c>
      <c r="U66" s="127">
        <f>N66*O66*'1. Standard_Cost'!$E$15</f>
        <v>0</v>
      </c>
      <c r="V66" s="126"/>
      <c r="W66" s="126"/>
      <c r="X66" s="126"/>
      <c r="Y66" s="127">
        <f>+V66*((X66*'1. Standard_Cost'!$B$19)+(W66*X66*'1. Standard_Cost'!$C$19))</f>
        <v>0</v>
      </c>
      <c r="Z66" s="126"/>
      <c r="AA66" s="126"/>
      <c r="AB66" s="127">
        <f>+Z66*'1. Standard_Cost'!$B$23+AA66*'1. Standard_Cost'!$C$23</f>
        <v>0</v>
      </c>
      <c r="AC66" s="128">
        <f>30000000*4</f>
        <v>120000000</v>
      </c>
      <c r="AD66" s="129"/>
      <c r="AE66" s="127"/>
      <c r="AF66" s="127">
        <f t="shared" si="46"/>
        <v>120000000</v>
      </c>
      <c r="AG66" s="126"/>
      <c r="AH66" s="126"/>
      <c r="AI66" s="126"/>
      <c r="AJ66" s="130"/>
      <c r="AK66" s="130"/>
      <c r="AL66" s="130"/>
      <c r="AM66" s="127">
        <f>AG66*'1. Standard_Cost'!$B$27+'Incremental_Cost Year 7'!AH66*'1. Standard_Cost'!$C$27+'Incremental_Cost Year 7'!AI66*'1. Standard_Cost'!$D$27+'Incremental_Cost Year 7'!AJ66+'Incremental_Cost Year 7'!AL66+AK66</f>
        <v>0</v>
      </c>
      <c r="AN66" s="127">
        <f>AM66*'1. Standard_Cost'!$C$31</f>
        <v>0</v>
      </c>
      <c r="AO66" s="130"/>
      <c r="AQ66" s="171">
        <f t="shared" si="47"/>
        <v>56301681.600000001</v>
      </c>
      <c r="AR66" s="171">
        <f t="shared" si="48"/>
        <v>120000000</v>
      </c>
      <c r="AS66" s="171">
        <f t="shared" si="49"/>
        <v>0</v>
      </c>
      <c r="AT66" s="171">
        <f t="shared" si="50"/>
        <v>176301681.59999999</v>
      </c>
      <c r="AU66" s="250">
        <f>AT66</f>
        <v>176301681.59999999</v>
      </c>
      <c r="AV66" s="250"/>
      <c r="AW66" s="250"/>
      <c r="AX66" s="250"/>
      <c r="AY66" s="250"/>
      <c r="AZ66" s="250"/>
      <c r="BA66" s="250"/>
      <c r="BB66" s="251">
        <f t="shared" si="52"/>
        <v>0</v>
      </c>
      <c r="BC66" s="169"/>
      <c r="BD66" s="169"/>
      <c r="BE66" s="169"/>
      <c r="BF66" s="169"/>
    </row>
    <row r="67" spans="1:58" ht="31.5" outlineLevel="2" x14ac:dyDescent="0.25">
      <c r="A67" s="115"/>
      <c r="B67" s="200"/>
      <c r="C67" s="201"/>
      <c r="D67" s="131"/>
      <c r="E67" s="318"/>
      <c r="F67" s="219"/>
      <c r="G67" s="313"/>
      <c r="H67" s="199" t="s">
        <v>408</v>
      </c>
      <c r="I67" s="130" t="s">
        <v>1</v>
      </c>
      <c r="J67" s="126">
        <v>12</v>
      </c>
      <c r="K67" s="126">
        <v>400</v>
      </c>
      <c r="L67" s="125">
        <f>IF(I67&lt;&gt;0,((VLOOKUP(I67,'1. Standard_Cost'!$B$4:$D$11,2)+VLOOKUP(I67,'1. Standard_Cost'!$B$4:$D$11,3))*J67*K67),"0")</f>
        <v>344605714.28571427</v>
      </c>
      <c r="M67" s="125">
        <f>L67*'1. Standard_Cost'!$F$4</f>
        <v>57549154.285714284</v>
      </c>
      <c r="N67" s="126"/>
      <c r="O67" s="126"/>
      <c r="P67" s="126"/>
      <c r="Q67" s="126"/>
      <c r="R67" s="127">
        <f>'1. Standard_Cost'!$B$15*N67*P67</f>
        <v>0</v>
      </c>
      <c r="S67" s="127">
        <f>N67*O67*P67*'1. Standard_Cost'!$C$15</f>
        <v>0</v>
      </c>
      <c r="T67" s="127">
        <f>N67*P67*Q67*'1. Standard_Cost'!$D$15</f>
        <v>0</v>
      </c>
      <c r="U67" s="127">
        <f>N67*O67*'1. Standard_Cost'!$E$15</f>
        <v>0</v>
      </c>
      <c r="V67" s="126"/>
      <c r="W67" s="126"/>
      <c r="X67" s="126"/>
      <c r="Y67" s="127">
        <f>+V67*((X67*'1. Standard_Cost'!$B$19)+(W67*X67*'1. Standard_Cost'!$C$19))</f>
        <v>0</v>
      </c>
      <c r="Z67" s="126"/>
      <c r="AA67" s="126"/>
      <c r="AB67" s="127">
        <f>+Z67*'1. Standard_Cost'!$B$23+AA67*'1. Standard_Cost'!$C$23</f>
        <v>0</v>
      </c>
      <c r="AC67" s="128">
        <v>406252000</v>
      </c>
      <c r="AD67" s="129"/>
      <c r="AE67" s="127">
        <f>SUM(AD67,AC67,AB67,Y67,U67,T67,S67,R67)*'1. Standard_Cost'!$B$31</f>
        <v>81250400</v>
      </c>
      <c r="AF67" s="127">
        <f t="shared" si="46"/>
        <v>487502400</v>
      </c>
      <c r="AG67" s="126"/>
      <c r="AH67" s="126"/>
      <c r="AI67" s="126"/>
      <c r="AJ67" s="130"/>
      <c r="AK67" s="130"/>
      <c r="AL67" s="130"/>
      <c r="AM67" s="127">
        <f>AG67*'1. Standard_Cost'!$B$27+'Incremental_Cost Year 7'!AH67*'1. Standard_Cost'!$C$27+'Incremental_Cost Year 7'!AI67*'1. Standard_Cost'!$D$27+'Incremental_Cost Year 7'!AJ67+'Incremental_Cost Year 7'!AL67+AK67</f>
        <v>0</v>
      </c>
      <c r="AN67" s="127">
        <f>AM67*'1. Standard_Cost'!$C$31</f>
        <v>0</v>
      </c>
      <c r="AO67" s="130"/>
      <c r="AQ67" s="171">
        <f t="shared" si="47"/>
        <v>402154868.57142854</v>
      </c>
      <c r="AR67" s="171">
        <f t="shared" si="48"/>
        <v>487502400</v>
      </c>
      <c r="AS67" s="171">
        <f t="shared" si="49"/>
        <v>0</v>
      </c>
      <c r="AT67" s="171">
        <f t="shared" si="50"/>
        <v>889657268.57142854</v>
      </c>
      <c r="AU67" s="250">
        <f>AT67</f>
        <v>889657268.57142854</v>
      </c>
      <c r="AV67" s="250"/>
      <c r="AW67" s="250"/>
      <c r="AX67" s="250"/>
      <c r="AY67" s="250"/>
      <c r="AZ67" s="250"/>
      <c r="BA67" s="250"/>
      <c r="BB67" s="251">
        <f t="shared" si="52"/>
        <v>0</v>
      </c>
      <c r="BC67" s="169"/>
      <c r="BD67" s="169"/>
      <c r="BE67" s="169"/>
      <c r="BF67" s="169"/>
    </row>
    <row r="68" spans="1:58" ht="94.5" outlineLevel="2" x14ac:dyDescent="0.25">
      <c r="A68" s="115"/>
      <c r="B68" s="200"/>
      <c r="C68" s="201"/>
      <c r="D68" s="131"/>
      <c r="E68" s="318"/>
      <c r="F68" s="219"/>
      <c r="G68" s="313"/>
      <c r="H68" s="199" t="s">
        <v>409</v>
      </c>
      <c r="I68" s="130"/>
      <c r="J68" s="126"/>
      <c r="K68" s="126"/>
      <c r="L68" s="125" t="str">
        <f>IF(I68&lt;&gt;0,((VLOOKUP(I68,'1. Standard_Cost'!$B$4:$D$11,2)+VLOOKUP(I68,'1. Standard_Cost'!$B$4:$D$11,3))*J68*K68),"0")</f>
        <v>0</v>
      </c>
      <c r="M68" s="125">
        <f>L68*'1. Standard_Cost'!$F$4</f>
        <v>0</v>
      </c>
      <c r="N68" s="126"/>
      <c r="O68" s="126"/>
      <c r="P68" s="126"/>
      <c r="Q68" s="126"/>
      <c r="R68" s="127">
        <f>'1. Standard_Cost'!$B$15*N68*P68</f>
        <v>0</v>
      </c>
      <c r="S68" s="127">
        <f>N68*O68*P68*'1. Standard_Cost'!$C$15</f>
        <v>0</v>
      </c>
      <c r="T68" s="127">
        <f>N68*P68*Q68*'1. Standard_Cost'!$D$15</f>
        <v>0</v>
      </c>
      <c r="U68" s="127">
        <f>N68*O68*'1. Standard_Cost'!$E$15</f>
        <v>0</v>
      </c>
      <c r="V68" s="126"/>
      <c r="W68" s="126"/>
      <c r="X68" s="126"/>
      <c r="Y68" s="127">
        <f>+V68*((X68*'1. Standard_Cost'!$B$19)+(W68*X68*'1. Standard_Cost'!$C$19))</f>
        <v>0</v>
      </c>
      <c r="Z68" s="126"/>
      <c r="AA68" s="126"/>
      <c r="AB68" s="127">
        <f>+Z68*'1. Standard_Cost'!$B$23+AA68*'1. Standard_Cost'!$C$23</f>
        <v>0</v>
      </c>
      <c r="AC68" s="128"/>
      <c r="AD68" s="129"/>
      <c r="AE68" s="127">
        <f>SUM(AD68,AC68,AB68,Y68,U68,T68,S68,R68)*'1. Standard_Cost'!$B$31</f>
        <v>0</v>
      </c>
      <c r="AF68" s="127">
        <f>SUM(AE68,AD68,AC68,AB68,Y68,U68,T68,S68,R68)</f>
        <v>0</v>
      </c>
      <c r="AG68" s="126"/>
      <c r="AH68" s="126"/>
      <c r="AI68" s="126"/>
      <c r="AJ68" s="130"/>
      <c r="AK68" s="130"/>
      <c r="AL68" s="130"/>
      <c r="AM68" s="127">
        <f>AG68*'1. Standard_Cost'!$B$27+'Incremental_Cost Year 7'!AH68*'1. Standard_Cost'!$C$27+'Incremental_Cost Year 7'!AI68*'1. Standard_Cost'!$D$27+'Incremental_Cost Year 7'!AJ68+'Incremental_Cost Year 7'!AL68+AK68</f>
        <v>0</v>
      </c>
      <c r="AN68" s="127">
        <f>AM68*'1. Standard_Cost'!$C$31</f>
        <v>0</v>
      </c>
      <c r="AO68" s="130"/>
      <c r="AQ68" s="171">
        <f t="shared" si="47"/>
        <v>0</v>
      </c>
      <c r="AR68" s="171">
        <f t="shared" si="48"/>
        <v>0</v>
      </c>
      <c r="AS68" s="171">
        <f t="shared" si="49"/>
        <v>0</v>
      </c>
      <c r="AT68" s="171">
        <f t="shared" si="50"/>
        <v>0</v>
      </c>
      <c r="AU68" s="250">
        <f>AT68</f>
        <v>0</v>
      </c>
      <c r="AV68" s="250">
        <f>AQ68</f>
        <v>0</v>
      </c>
      <c r="AW68" s="250"/>
      <c r="AX68" s="250"/>
      <c r="AY68" s="250"/>
      <c r="AZ68" s="250"/>
      <c r="BA68" s="250"/>
      <c r="BB68" s="251">
        <f t="shared" si="52"/>
        <v>0</v>
      </c>
      <c r="BC68" s="169"/>
      <c r="BD68" s="169"/>
      <c r="BE68" s="169"/>
      <c r="BF68" s="169"/>
    </row>
    <row r="69" spans="1:58" ht="47.25" outlineLevel="2" x14ac:dyDescent="0.25">
      <c r="A69" s="115"/>
      <c r="B69" s="200"/>
      <c r="C69" s="201"/>
      <c r="D69" s="131"/>
      <c r="E69" s="318"/>
      <c r="F69" s="219"/>
      <c r="G69" s="313"/>
      <c r="H69" s="199" t="s">
        <v>224</v>
      </c>
      <c r="I69" s="130"/>
      <c r="J69" s="126"/>
      <c r="K69" s="126"/>
      <c r="L69" s="125" t="str">
        <f>IF(I69&lt;&gt;0,((VLOOKUP(I69,'1. Standard_Cost'!$B$4:$D$11,2)+VLOOKUP(I69,'1. Standard_Cost'!$B$4:$D$11,3))*J69*K69),"0")</f>
        <v>0</v>
      </c>
      <c r="M69" s="125">
        <f>L69*'1. Standard_Cost'!$F$4</f>
        <v>0</v>
      </c>
      <c r="N69" s="126"/>
      <c r="O69" s="126"/>
      <c r="P69" s="126"/>
      <c r="Q69" s="126"/>
      <c r="R69" s="127">
        <f>'1. Standard_Cost'!$B$15*N69*P69</f>
        <v>0</v>
      </c>
      <c r="S69" s="127">
        <f>N69*O69*P69*'1. Standard_Cost'!$C$15</f>
        <v>0</v>
      </c>
      <c r="T69" s="127">
        <f>N69*P69*Q69*'1. Standard_Cost'!$D$15</f>
        <v>0</v>
      </c>
      <c r="U69" s="127">
        <f>N69*O69*'1. Standard_Cost'!$E$15</f>
        <v>0</v>
      </c>
      <c r="V69" s="126"/>
      <c r="W69" s="126"/>
      <c r="X69" s="126"/>
      <c r="Y69" s="127">
        <f>+V69*((X69*'1. Standard_Cost'!$B$19)+(W69*X69*'1. Standard_Cost'!$C$19))</f>
        <v>0</v>
      </c>
      <c r="Z69" s="126"/>
      <c r="AA69" s="126"/>
      <c r="AB69" s="127">
        <f>+Z69*'1. Standard_Cost'!$B$23+AA69*'1. Standard_Cost'!$C$23</f>
        <v>0</v>
      </c>
      <c r="AC69" s="128"/>
      <c r="AD69" s="129"/>
      <c r="AE69" s="127"/>
      <c r="AF69" s="127"/>
      <c r="AG69" s="126"/>
      <c r="AH69" s="126"/>
      <c r="AI69" s="126"/>
      <c r="AJ69" s="130"/>
      <c r="AK69" s="130"/>
      <c r="AL69" s="130"/>
      <c r="AM69" s="127">
        <f>AG69*'1. Standard_Cost'!$B$27+'Incremental_Cost Year 7'!AH69*'1. Standard_Cost'!$C$27+'Incremental_Cost Year 7'!AI69*'1. Standard_Cost'!$D$27+'Incremental_Cost Year 7'!AJ69+'Incremental_Cost Year 7'!AL69+AK69</f>
        <v>0</v>
      </c>
      <c r="AN69" s="127">
        <f>AM69*'1. Standard_Cost'!$C$31</f>
        <v>0</v>
      </c>
      <c r="AO69" s="130"/>
      <c r="AQ69" s="171">
        <f t="shared" si="47"/>
        <v>0</v>
      </c>
      <c r="AR69" s="171">
        <f t="shared" si="48"/>
        <v>0</v>
      </c>
      <c r="AS69" s="171">
        <f t="shared" si="49"/>
        <v>0</v>
      </c>
      <c r="AT69" s="171">
        <f t="shared" si="50"/>
        <v>0</v>
      </c>
      <c r="AU69" s="250"/>
      <c r="AV69" s="250"/>
      <c r="AW69" s="250"/>
      <c r="AX69" s="250"/>
      <c r="AY69" s="250"/>
      <c r="AZ69" s="250"/>
      <c r="BA69" s="250"/>
      <c r="BB69" s="251">
        <f t="shared" si="52"/>
        <v>0</v>
      </c>
      <c r="BC69" s="169"/>
      <c r="BD69" s="169"/>
      <c r="BE69" s="169"/>
      <c r="BF69" s="169"/>
    </row>
    <row r="70" spans="1:58" ht="189" outlineLevel="2" x14ac:dyDescent="0.25">
      <c r="A70" s="115"/>
      <c r="B70" s="200"/>
      <c r="C70" s="201"/>
      <c r="D70" s="131"/>
      <c r="E70" s="318"/>
      <c r="F70" s="219"/>
      <c r="G70" s="313"/>
      <c r="H70" s="111" t="s">
        <v>410</v>
      </c>
      <c r="I70" s="130"/>
      <c r="J70" s="126"/>
      <c r="K70" s="126"/>
      <c r="L70" s="125" t="str">
        <f>IF(I70&lt;&gt;0,((VLOOKUP(I70,'1. Standard_Cost'!$B$4:$D$11,2)+VLOOKUP(I70,'1. Standard_Cost'!$B$4:$D$11,3))*J70*K70),"0")</f>
        <v>0</v>
      </c>
      <c r="M70" s="125">
        <f>L70*'1. Standard_Cost'!$F$4</f>
        <v>0</v>
      </c>
      <c r="N70" s="126"/>
      <c r="O70" s="126"/>
      <c r="P70" s="126"/>
      <c r="Q70" s="126"/>
      <c r="R70" s="127">
        <f>'1. Standard_Cost'!$B$15*N70*P70</f>
        <v>0</v>
      </c>
      <c r="S70" s="127">
        <f>N70*O70*P70*'1. Standard_Cost'!$C$15</f>
        <v>0</v>
      </c>
      <c r="T70" s="127">
        <f>N70*P70*Q70*'1. Standard_Cost'!$D$15</f>
        <v>0</v>
      </c>
      <c r="U70" s="127">
        <f>N70*O70*'1. Standard_Cost'!$E$15</f>
        <v>0</v>
      </c>
      <c r="V70" s="126"/>
      <c r="W70" s="126"/>
      <c r="X70" s="126"/>
      <c r="Y70" s="127">
        <f>+V70*((X70*'1. Standard_Cost'!$B$19)+(W70*X70*'1. Standard_Cost'!$C$19))</f>
        <v>0</v>
      </c>
      <c r="Z70" s="126"/>
      <c r="AA70" s="126"/>
      <c r="AB70" s="127">
        <f>+Z70*'1. Standard_Cost'!$B$23+AA70*'1. Standard_Cost'!$C$23</f>
        <v>0</v>
      </c>
      <c r="AC70" s="128"/>
      <c r="AD70" s="129"/>
      <c r="AE70" s="127">
        <f>SUM(AD70,AC70,AB70,Y70,U70,T70,S70,R70)*'1. Standard_Cost'!$B$31</f>
        <v>0</v>
      </c>
      <c r="AF70" s="127">
        <f t="shared" ref="AF70:AF76" si="53">SUM(AE70,AD70,AC70,AB70,Y70,U70,T70,S70,R70)</f>
        <v>0</v>
      </c>
      <c r="AG70" s="126"/>
      <c r="AH70" s="126"/>
      <c r="AI70" s="126"/>
      <c r="AJ70" s="130"/>
      <c r="AK70" s="130"/>
      <c r="AL70" s="130"/>
      <c r="AM70" s="127">
        <f>AG70*'1. Standard_Cost'!$B$27+'Incremental_Cost Year 7'!AH70*'1. Standard_Cost'!$C$27+'Incremental_Cost Year 7'!AI70*'1. Standard_Cost'!$D$27+'Incremental_Cost Year 7'!AJ70+'Incremental_Cost Year 7'!AL70+AK70</f>
        <v>0</v>
      </c>
      <c r="AN70" s="127">
        <f>AM70*'1. Standard_Cost'!$C$31</f>
        <v>0</v>
      </c>
      <c r="AO70" s="130"/>
      <c r="AQ70" s="171">
        <f t="shared" si="47"/>
        <v>0</v>
      </c>
      <c r="AR70" s="171">
        <f t="shared" si="48"/>
        <v>0</v>
      </c>
      <c r="AS70" s="171">
        <f t="shared" si="49"/>
        <v>0</v>
      </c>
      <c r="AT70" s="171">
        <f t="shared" si="50"/>
        <v>0</v>
      </c>
      <c r="AU70" s="250">
        <f>AQ70</f>
        <v>0</v>
      </c>
      <c r="AV70" s="250"/>
      <c r="AW70" s="250"/>
      <c r="AX70" s="250"/>
      <c r="AY70" s="250">
        <f>AR70</f>
        <v>0</v>
      </c>
      <c r="AZ70" s="250"/>
      <c r="BA70" s="250"/>
      <c r="BB70" s="251">
        <f t="shared" si="52"/>
        <v>0</v>
      </c>
      <c r="BC70" s="169"/>
      <c r="BD70" s="169"/>
      <c r="BE70" s="169"/>
      <c r="BF70" s="169"/>
    </row>
    <row r="71" spans="1:58" ht="157.5" outlineLevel="2" x14ac:dyDescent="0.25">
      <c r="A71" s="115"/>
      <c r="B71" s="200"/>
      <c r="C71" s="201"/>
      <c r="D71" s="131"/>
      <c r="E71" s="318"/>
      <c r="F71" s="219"/>
      <c r="G71" s="313"/>
      <c r="H71" s="111" t="s">
        <v>411</v>
      </c>
      <c r="I71" s="130"/>
      <c r="J71" s="126"/>
      <c r="K71" s="126"/>
      <c r="L71" s="125" t="str">
        <f>IF(I71&lt;&gt;0,((VLOOKUP(I71,'1. Standard_Cost'!$B$4:$D$11,2)+VLOOKUP(I71,'1. Standard_Cost'!$B$4:$D$11,3))*J71*K71),"0")</f>
        <v>0</v>
      </c>
      <c r="M71" s="125">
        <f>L71*'1. Standard_Cost'!$F$4</f>
        <v>0</v>
      </c>
      <c r="N71" s="126"/>
      <c r="O71" s="126"/>
      <c r="P71" s="126"/>
      <c r="Q71" s="126"/>
      <c r="R71" s="127">
        <f>'1. Standard_Cost'!$B$15*N71*P71</f>
        <v>0</v>
      </c>
      <c r="S71" s="127">
        <f>N71*O71*P71*'1. Standard_Cost'!$C$15</f>
        <v>0</v>
      </c>
      <c r="T71" s="127">
        <f>N71*P71*Q71*'1. Standard_Cost'!$D$15</f>
        <v>0</v>
      </c>
      <c r="U71" s="127">
        <f>N71*O71*'1. Standard_Cost'!$E$15</f>
        <v>0</v>
      </c>
      <c r="V71" s="126"/>
      <c r="W71" s="126"/>
      <c r="X71" s="126"/>
      <c r="Y71" s="127">
        <f>+V71*((X71*'1. Standard_Cost'!$B$19)+(W71*X71*'1. Standard_Cost'!$C$19))</f>
        <v>0</v>
      </c>
      <c r="Z71" s="126"/>
      <c r="AA71" s="126"/>
      <c r="AB71" s="127">
        <f>+Z71*'1. Standard_Cost'!$B$23+AA71*'1. Standard_Cost'!$C$23</f>
        <v>0</v>
      </c>
      <c r="AC71" s="128"/>
      <c r="AD71" s="129"/>
      <c r="AE71" s="127">
        <f>SUM(AD71,AC71,AB71,Y71,U71,T71,S71,R71)*'1. Standard_Cost'!$B$31</f>
        <v>0</v>
      </c>
      <c r="AF71" s="127">
        <f t="shared" si="53"/>
        <v>0</v>
      </c>
      <c r="AG71" s="126"/>
      <c r="AH71" s="126"/>
      <c r="AI71" s="126"/>
      <c r="AJ71" s="130"/>
      <c r="AK71" s="130"/>
      <c r="AL71" s="130"/>
      <c r="AM71" s="127">
        <f>AG71*'1. Standard_Cost'!$B$27+'Incremental_Cost Year 7'!AH71*'1. Standard_Cost'!$C$27+'Incremental_Cost Year 7'!AI71*'1. Standard_Cost'!$D$27+'Incremental_Cost Year 7'!AJ71+'Incremental_Cost Year 7'!AL71+AK71</f>
        <v>0</v>
      </c>
      <c r="AN71" s="127">
        <f>AM71*'1. Standard_Cost'!$C$31</f>
        <v>0</v>
      </c>
      <c r="AO71" s="130"/>
      <c r="AQ71" s="171">
        <f t="shared" si="47"/>
        <v>0</v>
      </c>
      <c r="AR71" s="171">
        <f t="shared" si="48"/>
        <v>0</v>
      </c>
      <c r="AS71" s="171">
        <f t="shared" si="49"/>
        <v>0</v>
      </c>
      <c r="AT71" s="171">
        <f t="shared" si="50"/>
        <v>0</v>
      </c>
      <c r="AU71" s="250">
        <f>AQ71</f>
        <v>0</v>
      </c>
      <c r="AV71" s="250"/>
      <c r="AW71" s="250"/>
      <c r="AX71" s="250"/>
      <c r="AY71" s="250"/>
      <c r="AZ71" s="250"/>
      <c r="BA71" s="250"/>
      <c r="BB71" s="251">
        <f t="shared" si="52"/>
        <v>0</v>
      </c>
      <c r="BC71" s="169"/>
      <c r="BD71" s="169"/>
      <c r="BE71" s="169"/>
      <c r="BF71" s="169"/>
    </row>
    <row r="72" spans="1:58" ht="173.25" outlineLevel="2" x14ac:dyDescent="0.25">
      <c r="A72" s="115"/>
      <c r="B72" s="200"/>
      <c r="C72" s="201"/>
      <c r="D72" s="131"/>
      <c r="E72" s="318"/>
      <c r="F72" s="219"/>
      <c r="G72" s="313"/>
      <c r="H72" s="199" t="s">
        <v>412</v>
      </c>
      <c r="I72" s="130" t="s">
        <v>4</v>
      </c>
      <c r="J72" s="126">
        <v>0.5</v>
      </c>
      <c r="K72" s="126">
        <v>5</v>
      </c>
      <c r="L72" s="125">
        <f>IF(I72&lt;&gt;0,((VLOOKUP(I72,'1. Standard_Cost'!$B$4:$D$11,2)+VLOOKUP(I72,'1. Standard_Cost'!$B$4:$D$11,3))*J72*K72),"0")</f>
        <v>201875</v>
      </c>
      <c r="M72" s="125">
        <f>L72*'1. Standard_Cost'!$F$4</f>
        <v>33713.125</v>
      </c>
      <c r="N72" s="126">
        <v>5</v>
      </c>
      <c r="O72" s="126">
        <v>2</v>
      </c>
      <c r="P72" s="126">
        <v>20</v>
      </c>
      <c r="Q72" s="126"/>
      <c r="R72" s="127">
        <f>'1. Standard_Cost'!$B$15*N72*P72</f>
        <v>200000</v>
      </c>
      <c r="S72" s="127">
        <f>N72*O72*P72*'1. Standard_Cost'!$C$15</f>
        <v>300000</v>
      </c>
      <c r="T72" s="127">
        <f>N72*P72*Q72*'1. Standard_Cost'!$D$15</f>
        <v>0</v>
      </c>
      <c r="U72" s="127">
        <f>N72*O72*'1. Standard_Cost'!$E$15</f>
        <v>400000</v>
      </c>
      <c r="V72" s="126"/>
      <c r="W72" s="126"/>
      <c r="X72" s="126"/>
      <c r="Y72" s="127">
        <f>+V72*((X72*'1. Standard_Cost'!$B$19)+(W72*X72*'1. Standard_Cost'!$C$19))</f>
        <v>0</v>
      </c>
      <c r="Z72" s="126"/>
      <c r="AA72" s="126">
        <v>6</v>
      </c>
      <c r="AB72" s="127">
        <f>+Z72*'1. Standard_Cost'!$B$23+AA72*'1. Standard_Cost'!$C$23</f>
        <v>114000</v>
      </c>
      <c r="AC72" s="128">
        <f>100*300*2+100*3000*2</f>
        <v>660000</v>
      </c>
      <c r="AD72" s="129"/>
      <c r="AE72" s="127">
        <f>SUM(AD72,AC72,AB72,Y72,U72,T72,S72,R72)*'1. Standard_Cost'!$B$31</f>
        <v>334800</v>
      </c>
      <c r="AF72" s="127">
        <f t="shared" si="53"/>
        <v>2008800</v>
      </c>
      <c r="AG72" s="126"/>
      <c r="AH72" s="126"/>
      <c r="AI72" s="126"/>
      <c r="AJ72" s="130"/>
      <c r="AK72" s="130"/>
      <c r="AL72" s="130"/>
      <c r="AM72" s="127">
        <f>AG72*'1. Standard_Cost'!$B$27+'Incremental_Cost Year 7'!AH72*'1. Standard_Cost'!$C$27+'Incremental_Cost Year 7'!AI72*'1. Standard_Cost'!$D$27+'Incremental_Cost Year 7'!AJ72+'Incremental_Cost Year 7'!AL72+AK72</f>
        <v>0</v>
      </c>
      <c r="AN72" s="127">
        <f>AM72*'1. Standard_Cost'!$C$31</f>
        <v>0</v>
      </c>
      <c r="AO72" s="249"/>
      <c r="AQ72" s="171">
        <f t="shared" si="47"/>
        <v>235588.125</v>
      </c>
      <c r="AR72" s="171">
        <f t="shared" si="48"/>
        <v>2008800</v>
      </c>
      <c r="AS72" s="171">
        <f t="shared" si="49"/>
        <v>0</v>
      </c>
      <c r="AT72" s="171">
        <f t="shared" si="50"/>
        <v>2244388.125</v>
      </c>
      <c r="AU72" s="250">
        <f>AQ72</f>
        <v>235588.125</v>
      </c>
      <c r="AV72" s="250"/>
      <c r="AW72" s="250"/>
      <c r="AX72" s="250"/>
      <c r="AY72" s="250">
        <f>928800</f>
        <v>928800</v>
      </c>
      <c r="AZ72" s="250"/>
      <c r="BA72" s="250"/>
      <c r="BB72" s="251">
        <f t="shared" si="52"/>
        <v>-1080000</v>
      </c>
      <c r="BC72" s="169"/>
      <c r="BD72" s="169"/>
      <c r="BE72" s="169"/>
      <c r="BF72" s="169"/>
    </row>
    <row r="73" spans="1:58" ht="157.5" outlineLevel="2" x14ac:dyDescent="0.25">
      <c r="A73" s="115"/>
      <c r="B73" s="200"/>
      <c r="C73" s="201"/>
      <c r="D73" s="131"/>
      <c r="E73" s="318"/>
      <c r="F73" s="219"/>
      <c r="G73" s="313"/>
      <c r="H73" s="199" t="s">
        <v>413</v>
      </c>
      <c r="I73" s="130" t="s">
        <v>4</v>
      </c>
      <c r="J73" s="126">
        <v>0.2</v>
      </c>
      <c r="K73" s="126">
        <v>5</v>
      </c>
      <c r="L73" s="125">
        <f>IF(I73&lt;&gt;0,((VLOOKUP(I73,'1. Standard_Cost'!$B$4:$D$11,2)+VLOOKUP(I73,'1. Standard_Cost'!$B$4:$D$11,3))*J73*K73),"0")</f>
        <v>80750</v>
      </c>
      <c r="M73" s="125">
        <f>L73*'1. Standard_Cost'!$F$4</f>
        <v>13485.25</v>
      </c>
      <c r="N73" s="126">
        <v>2</v>
      </c>
      <c r="O73" s="126">
        <v>2</v>
      </c>
      <c r="P73" s="126">
        <v>20</v>
      </c>
      <c r="Q73" s="126"/>
      <c r="R73" s="127">
        <f>'1. Standard_Cost'!$B$15*N73*P73</f>
        <v>80000</v>
      </c>
      <c r="S73" s="127">
        <f>N73*O73*P73*'1. Standard_Cost'!$C$15</f>
        <v>120000</v>
      </c>
      <c r="T73" s="127">
        <f>N73*P73*Q73*'1. Standard_Cost'!$D$15</f>
        <v>0</v>
      </c>
      <c r="U73" s="127">
        <f>N73*O73*'1. Standard_Cost'!$E$15</f>
        <v>160000</v>
      </c>
      <c r="V73" s="126"/>
      <c r="W73" s="126"/>
      <c r="X73" s="126"/>
      <c r="Y73" s="127">
        <f>+V73*((X73*'1. Standard_Cost'!$B$19)+(W73*X73*'1. Standard_Cost'!$C$19))</f>
        <v>0</v>
      </c>
      <c r="Z73" s="126"/>
      <c r="AA73" s="126">
        <v>3</v>
      </c>
      <c r="AB73" s="127">
        <f>+Z73*'1. Standard_Cost'!$B$23+AA73*'1. Standard_Cost'!$C$23</f>
        <v>57000</v>
      </c>
      <c r="AC73" s="128">
        <f>40*3300*2</f>
        <v>264000</v>
      </c>
      <c r="AD73" s="129"/>
      <c r="AE73" s="127">
        <f>SUM(AD73,AC73,AB73,Y73,U73,T73,S73,R73)*'1. Standard_Cost'!$B$31</f>
        <v>136200</v>
      </c>
      <c r="AF73" s="127">
        <f t="shared" si="53"/>
        <v>817200</v>
      </c>
      <c r="AG73" s="126"/>
      <c r="AH73" s="126"/>
      <c r="AI73" s="126"/>
      <c r="AJ73" s="130"/>
      <c r="AK73" s="130"/>
      <c r="AL73" s="130"/>
      <c r="AM73" s="127">
        <f>AG73*'1. Standard_Cost'!$B$27+'Incremental_Cost Year 7'!AH73*'1. Standard_Cost'!$C$27+'Incremental_Cost Year 7'!AI73*'1. Standard_Cost'!$D$27+'Incremental_Cost Year 7'!AJ73+'Incremental_Cost Year 7'!AL73+AK73</f>
        <v>0</v>
      </c>
      <c r="AN73" s="127">
        <f>AM73*'1. Standard_Cost'!$C$31</f>
        <v>0</v>
      </c>
      <c r="AO73" s="249"/>
      <c r="AQ73" s="171">
        <f t="shared" si="47"/>
        <v>94235.25</v>
      </c>
      <c r="AR73" s="171">
        <f t="shared" si="48"/>
        <v>817200</v>
      </c>
      <c r="AS73" s="171">
        <f t="shared" si="49"/>
        <v>0</v>
      </c>
      <c r="AT73" s="171">
        <f t="shared" si="50"/>
        <v>911435.25</v>
      </c>
      <c r="AU73" s="250">
        <f>AQ73</f>
        <v>94235.25</v>
      </c>
      <c r="AV73" s="250"/>
      <c r="AW73" s="250"/>
      <c r="AX73" s="250"/>
      <c r="AY73" s="250">
        <f>AR73</f>
        <v>817200</v>
      </c>
      <c r="AZ73" s="250"/>
      <c r="BA73" s="250"/>
      <c r="BB73" s="251">
        <f t="shared" si="52"/>
        <v>0</v>
      </c>
      <c r="BC73" s="169"/>
      <c r="BD73" s="169"/>
      <c r="BE73" s="169"/>
      <c r="BF73" s="169"/>
    </row>
    <row r="74" spans="1:58" ht="47.25" outlineLevel="2" x14ac:dyDescent="0.25">
      <c r="A74" s="115"/>
      <c r="B74" s="200"/>
      <c r="C74" s="201"/>
      <c r="D74" s="131"/>
      <c r="E74" s="318"/>
      <c r="F74" s="219"/>
      <c r="G74" s="313"/>
      <c r="H74" s="199" t="s">
        <v>310</v>
      </c>
      <c r="I74" s="130"/>
      <c r="J74" s="126"/>
      <c r="K74" s="126"/>
      <c r="L74" s="125" t="str">
        <f>IF(I74&lt;&gt;0,((VLOOKUP(I74,'1. Standard_Cost'!$B$4:$D$11,2)+VLOOKUP(I74,'1. Standard_Cost'!$B$4:$D$11,3))*J74*K74),"0")</f>
        <v>0</v>
      </c>
      <c r="M74" s="125">
        <f>L74*'1. Standard_Cost'!$F$4</f>
        <v>0</v>
      </c>
      <c r="N74" s="126"/>
      <c r="O74" s="126"/>
      <c r="P74" s="126"/>
      <c r="Q74" s="126"/>
      <c r="R74" s="127">
        <f>'1. Standard_Cost'!$B$15*N74*P74</f>
        <v>0</v>
      </c>
      <c r="S74" s="127">
        <f>N74*O74*P74*'1. Standard_Cost'!$C$15</f>
        <v>0</v>
      </c>
      <c r="T74" s="127">
        <f>N74*P74*Q74*'1. Standard_Cost'!$D$15</f>
        <v>0</v>
      </c>
      <c r="U74" s="127">
        <f>N74*O74*'1. Standard_Cost'!$E$15</f>
        <v>0</v>
      </c>
      <c r="V74" s="126"/>
      <c r="W74" s="126"/>
      <c r="X74" s="126"/>
      <c r="Y74" s="127">
        <f>+V74*((X74*'1. Standard_Cost'!$B$19)+(W74*X74*'1. Standard_Cost'!$C$19))</f>
        <v>0</v>
      </c>
      <c r="Z74" s="126"/>
      <c r="AA74" s="126"/>
      <c r="AB74" s="127">
        <f>+Z74*'1. Standard_Cost'!$B$23+AA74*'1. Standard_Cost'!$C$23</f>
        <v>0</v>
      </c>
      <c r="AC74" s="128"/>
      <c r="AD74" s="129"/>
      <c r="AE74" s="127">
        <f>SUM(AD74,AC74,AB74,Y74,U74,T74,S74,R74)*'1. Standard_Cost'!$B$31</f>
        <v>0</v>
      </c>
      <c r="AF74" s="127">
        <f t="shared" si="53"/>
        <v>0</v>
      </c>
      <c r="AG74" s="126"/>
      <c r="AH74" s="126"/>
      <c r="AI74" s="126"/>
      <c r="AJ74" s="130"/>
      <c r="AK74" s="130"/>
      <c r="AL74" s="130"/>
      <c r="AM74" s="127">
        <f>AG74*'1. Standard_Cost'!$B$27+'Incremental_Cost Year 7'!AH74*'1. Standard_Cost'!$C$27+'Incremental_Cost Year 7'!AI74*'1. Standard_Cost'!$D$27+'Incremental_Cost Year 7'!AJ74+'Incremental_Cost Year 7'!AL74+AK74</f>
        <v>0</v>
      </c>
      <c r="AN74" s="127">
        <f>AM74*'1. Standard_Cost'!$C$31</f>
        <v>0</v>
      </c>
      <c r="AO74" s="130"/>
      <c r="AQ74" s="171">
        <f t="shared" si="47"/>
        <v>0</v>
      </c>
      <c r="AR74" s="171">
        <f t="shared" si="48"/>
        <v>0</v>
      </c>
      <c r="AS74" s="171">
        <f t="shared" si="49"/>
        <v>0</v>
      </c>
      <c r="AT74" s="171">
        <f t="shared" si="50"/>
        <v>0</v>
      </c>
      <c r="AU74" s="250"/>
      <c r="AV74" s="250"/>
      <c r="AW74" s="250"/>
      <c r="AX74" s="250"/>
      <c r="AY74" s="250"/>
      <c r="AZ74" s="250"/>
      <c r="BA74" s="250"/>
      <c r="BB74" s="251">
        <f t="shared" si="52"/>
        <v>0</v>
      </c>
      <c r="BC74" s="169"/>
      <c r="BD74" s="169"/>
      <c r="BE74" s="169"/>
      <c r="BF74" s="169"/>
    </row>
    <row r="75" spans="1:58" ht="126" outlineLevel="2" x14ac:dyDescent="0.25">
      <c r="A75" s="115"/>
      <c r="B75" s="200"/>
      <c r="C75" s="201"/>
      <c r="D75" s="131"/>
      <c r="E75" s="219"/>
      <c r="F75" s="219"/>
      <c r="G75" s="313"/>
      <c r="H75" s="112" t="s">
        <v>414</v>
      </c>
      <c r="I75" s="130" t="s">
        <v>5</v>
      </c>
      <c r="J75" s="126">
        <v>12</v>
      </c>
      <c r="K75" s="126">
        <v>72</v>
      </c>
      <c r="L75" s="125">
        <f>IF(I75&lt;&gt;0,((VLOOKUP(I75,'1. Standard_Cost'!$B$4:$D$11,2)+VLOOKUP(I75,'1. Standard_Cost'!$B$4:$D$11,3))*J75*K75),"0")</f>
        <v>61084800</v>
      </c>
      <c r="M75" s="125">
        <f>L75*'1. Standard_Cost'!$F$4</f>
        <v>10201161.600000001</v>
      </c>
      <c r="N75" s="126"/>
      <c r="O75" s="126"/>
      <c r="P75" s="126"/>
      <c r="Q75" s="126"/>
      <c r="R75" s="127">
        <f>'1. Standard_Cost'!$B$15*N75*P75</f>
        <v>0</v>
      </c>
      <c r="S75" s="127">
        <f>N75*O75*P75*'1. Standard_Cost'!$C$15</f>
        <v>0</v>
      </c>
      <c r="T75" s="127">
        <f>N75*P75*Q75*'1. Standard_Cost'!$D$15</f>
        <v>0</v>
      </c>
      <c r="U75" s="127">
        <f>N75*O75*'1. Standard_Cost'!$E$15</f>
        <v>0</v>
      </c>
      <c r="V75" s="126"/>
      <c r="W75" s="126"/>
      <c r="X75" s="126"/>
      <c r="Y75" s="127">
        <f>+V75*((X75*'1. Standard_Cost'!$B$19)+(W75*X75*'1. Standard_Cost'!$C$19))</f>
        <v>0</v>
      </c>
      <c r="Z75" s="126"/>
      <c r="AA75" s="126"/>
      <c r="AB75" s="127">
        <f>+Z75*'1. Standard_Cost'!$B$23+AA75*'1. Standard_Cost'!$C$23</f>
        <v>0</v>
      </c>
      <c r="AC75" s="128">
        <v>13000000</v>
      </c>
      <c r="AD75" s="129"/>
      <c r="AE75" s="127"/>
      <c r="AF75" s="127">
        <f t="shared" si="53"/>
        <v>13000000</v>
      </c>
      <c r="AG75" s="126"/>
      <c r="AH75" s="126"/>
      <c r="AI75" s="126"/>
      <c r="AJ75" s="130"/>
      <c r="AK75" s="130"/>
      <c r="AL75" s="130"/>
      <c r="AM75" s="127">
        <f>AG75*'1. Standard_Cost'!$B$27+'Incremental_Cost Year 7'!AH75*'1. Standard_Cost'!$C$27+'Incremental_Cost Year 7'!AI75*'1. Standard_Cost'!$D$27+'Incremental_Cost Year 7'!AJ75+'Incremental_Cost Year 7'!AL75+AK75</f>
        <v>0</v>
      </c>
      <c r="AN75" s="127">
        <f>AM75*'1. Standard_Cost'!$C$31</f>
        <v>0</v>
      </c>
      <c r="AO75" s="130"/>
      <c r="AQ75" s="171">
        <f t="shared" si="47"/>
        <v>71285961.599999994</v>
      </c>
      <c r="AR75" s="171">
        <f t="shared" si="48"/>
        <v>13000000</v>
      </c>
      <c r="AS75" s="171">
        <f t="shared" si="49"/>
        <v>0</v>
      </c>
      <c r="AT75" s="171">
        <f t="shared" si="50"/>
        <v>84285961.599999994</v>
      </c>
      <c r="AU75" s="250">
        <f>AT75</f>
        <v>84285961.599999994</v>
      </c>
      <c r="AV75" s="250"/>
      <c r="AW75" s="250"/>
      <c r="AX75" s="250"/>
      <c r="AY75" s="250"/>
      <c r="AZ75" s="250"/>
      <c r="BA75" s="250"/>
      <c r="BB75" s="251">
        <f t="shared" si="52"/>
        <v>0</v>
      </c>
      <c r="BC75" s="169"/>
      <c r="BD75" s="169"/>
      <c r="BE75" s="169"/>
      <c r="BF75" s="169"/>
    </row>
    <row r="76" spans="1:58" ht="78.75" outlineLevel="2" x14ac:dyDescent="0.25">
      <c r="A76" s="115"/>
      <c r="B76" s="200"/>
      <c r="C76" s="201"/>
      <c r="D76" s="305"/>
      <c r="E76" s="320"/>
      <c r="F76" s="122"/>
      <c r="G76" s="123"/>
      <c r="H76" s="199" t="s">
        <v>415</v>
      </c>
      <c r="I76" s="130" t="s">
        <v>3</v>
      </c>
      <c r="J76" s="126">
        <v>0.5</v>
      </c>
      <c r="K76" s="126">
        <v>3</v>
      </c>
      <c r="L76" s="125">
        <f>IF(I76&lt;&gt;0,((VLOOKUP(I76,'1. Standard_Cost'!$B$4:$D$11,2)+VLOOKUP(I76,'1. Standard_Cost'!$B$4:$D$11,3))*J76*K76),"0")</f>
        <v>151200</v>
      </c>
      <c r="M76" s="125">
        <f>L76*'1. Standard_Cost'!$F$4</f>
        <v>25250.400000000001</v>
      </c>
      <c r="N76" s="126"/>
      <c r="O76" s="126"/>
      <c r="P76" s="126"/>
      <c r="Q76" s="126"/>
      <c r="R76" s="127">
        <f>'1. Standard_Cost'!$B$15*N76*P76</f>
        <v>0</v>
      </c>
      <c r="S76" s="127">
        <f>N76*O76*P76*'1. Standard_Cost'!$C$15</f>
        <v>0</v>
      </c>
      <c r="T76" s="127">
        <f>N76*P76*Q76*'1. Standard_Cost'!$D$15</f>
        <v>0</v>
      </c>
      <c r="U76" s="127">
        <f>N76*O76*'1. Standard_Cost'!$E$15</f>
        <v>0</v>
      </c>
      <c r="V76" s="126"/>
      <c r="W76" s="126"/>
      <c r="X76" s="126"/>
      <c r="Y76" s="127">
        <f>+V76*((X76*'1. Standard_Cost'!$B$19)+(W76*X76*'1. Standard_Cost'!$C$19))</f>
        <v>0</v>
      </c>
      <c r="Z76" s="126"/>
      <c r="AA76" s="126"/>
      <c r="AB76" s="127">
        <f>+Z76*'1. Standard_Cost'!$B$23+AA76*'1. Standard_Cost'!$C$23</f>
        <v>0</v>
      </c>
      <c r="AC76" s="128">
        <v>500000</v>
      </c>
      <c r="AD76" s="129"/>
      <c r="AE76" s="127">
        <f>SUM(AD76,AC76,AB76,Y76,U76,T76,S76,R76)*'1. Standard_Cost'!$B$31</f>
        <v>100000</v>
      </c>
      <c r="AF76" s="127">
        <f t="shared" si="53"/>
        <v>600000</v>
      </c>
      <c r="AG76" s="126"/>
      <c r="AH76" s="126"/>
      <c r="AI76" s="126"/>
      <c r="AJ76" s="130"/>
      <c r="AK76" s="130"/>
      <c r="AL76" s="130"/>
      <c r="AM76" s="127">
        <f>AG76*'1. Standard_Cost'!$B$27+'Incremental_Cost Year 7'!AH76*'1. Standard_Cost'!$C$27+'Incremental_Cost Year 7'!AI76*'1. Standard_Cost'!$D$27+'Incremental_Cost Year 7'!AJ76+'Incremental_Cost Year 7'!AL76+AK76</f>
        <v>0</v>
      </c>
      <c r="AN76" s="127">
        <f>AM76*'1. Standard_Cost'!$C$31</f>
        <v>0</v>
      </c>
      <c r="AO76" s="130"/>
      <c r="AQ76" s="171">
        <f t="shared" si="47"/>
        <v>176450.4</v>
      </c>
      <c r="AR76" s="171">
        <f t="shared" si="48"/>
        <v>600000</v>
      </c>
      <c r="AS76" s="171">
        <f t="shared" si="49"/>
        <v>0</v>
      </c>
      <c r="AT76" s="171">
        <f t="shared" si="50"/>
        <v>776450.4</v>
      </c>
      <c r="AU76" s="250">
        <f>AQ76</f>
        <v>176450.4</v>
      </c>
      <c r="AV76" s="250"/>
      <c r="AW76" s="250"/>
      <c r="AX76" s="250"/>
      <c r="AY76" s="250">
        <v>600000</v>
      </c>
      <c r="AZ76" s="250"/>
      <c r="BA76" s="250"/>
      <c r="BB76" s="251">
        <f t="shared" si="52"/>
        <v>0</v>
      </c>
      <c r="BC76" s="169"/>
      <c r="BD76" s="169"/>
      <c r="BE76" s="169"/>
      <c r="BF76" s="169"/>
    </row>
    <row r="77" spans="1:58" ht="141.75" outlineLevel="1" x14ac:dyDescent="0.25">
      <c r="A77" s="115"/>
      <c r="B77" s="165"/>
      <c r="C77" s="166"/>
      <c r="D77" s="107" t="s">
        <v>416</v>
      </c>
      <c r="E77" s="139" t="s">
        <v>221</v>
      </c>
      <c r="F77" s="222">
        <v>2021</v>
      </c>
      <c r="G77" s="117">
        <v>2030</v>
      </c>
      <c r="H77" s="134" t="s">
        <v>220</v>
      </c>
      <c r="I77" s="252"/>
      <c r="J77" s="252"/>
      <c r="K77" s="252"/>
      <c r="L77" s="127">
        <f>SUM(L62:L76)</f>
        <v>646486825</v>
      </c>
      <c r="M77" s="127">
        <f>SUM(M62:M76)</f>
        <v>107963299.77500001</v>
      </c>
      <c r="N77" s="127"/>
      <c r="O77" s="252"/>
      <c r="P77" s="252"/>
      <c r="Q77" s="252"/>
      <c r="R77" s="127">
        <f>SUM(R62:R76)</f>
        <v>280000</v>
      </c>
      <c r="S77" s="127">
        <f>SUM(S62:S76)</f>
        <v>420000</v>
      </c>
      <c r="T77" s="127">
        <f>SUM(T62:T76)</f>
        <v>0</v>
      </c>
      <c r="U77" s="127">
        <f>SUM(U62:U76)</f>
        <v>560000</v>
      </c>
      <c r="V77" s="252"/>
      <c r="W77" s="252"/>
      <c r="X77" s="252"/>
      <c r="Y77" s="127">
        <f>SUM(Y62:Y76)</f>
        <v>0</v>
      </c>
      <c r="Z77" s="252"/>
      <c r="AA77" s="252"/>
      <c r="AB77" s="127">
        <f>SUM(AB62:AB76)</f>
        <v>171000</v>
      </c>
      <c r="AC77" s="127">
        <f>SUM(AC62:AC76)</f>
        <v>549876000</v>
      </c>
      <c r="AD77" s="127">
        <f>SUM(AD62:AD76)</f>
        <v>0</v>
      </c>
      <c r="AE77" s="127">
        <f>SUM(AE62:AE76)</f>
        <v>81821400</v>
      </c>
      <c r="AF77" s="127">
        <f>SUM(AF62:AF76)</f>
        <v>633128400</v>
      </c>
      <c r="AG77" s="252"/>
      <c r="AH77" s="252"/>
      <c r="AI77" s="252"/>
      <c r="AJ77" s="127">
        <f>SUM(AJ62:AJ76)</f>
        <v>0</v>
      </c>
      <c r="AK77" s="127">
        <f>SUM(AK62:AK76)</f>
        <v>0</v>
      </c>
      <c r="AL77" s="127">
        <f>SUM(AL62:AL76)</f>
        <v>0</v>
      </c>
      <c r="AM77" s="127">
        <f>SUM(AM62:AM76)</f>
        <v>0</v>
      </c>
      <c r="AN77" s="127">
        <f>SUM(AN62:AN76)</f>
        <v>0</v>
      </c>
      <c r="AO77" s="253"/>
      <c r="AP77" s="254"/>
      <c r="AQ77" s="175">
        <f>SUM(AQ62:AQ76)</f>
        <v>754450124.77499998</v>
      </c>
      <c r="AR77" s="175">
        <f>SUM(AR62:AR76)</f>
        <v>633128400</v>
      </c>
      <c r="AS77" s="175">
        <f>SUM(AS62:AS76)</f>
        <v>0</v>
      </c>
      <c r="AT77" s="175">
        <f>SUM(AT62:AT76)</f>
        <v>1387578524.7750001</v>
      </c>
      <c r="AU77" s="175">
        <f t="shared" ref="AU77:BB77" si="54">SUM(AU62:AU76)</f>
        <v>1384152524.7750001</v>
      </c>
      <c r="AV77" s="175">
        <f t="shared" si="54"/>
        <v>0</v>
      </c>
      <c r="AW77" s="175">
        <f t="shared" si="54"/>
        <v>0</v>
      </c>
      <c r="AX77" s="175">
        <f t="shared" si="54"/>
        <v>0</v>
      </c>
      <c r="AY77" s="175">
        <f t="shared" si="54"/>
        <v>2346000</v>
      </c>
      <c r="AZ77" s="175">
        <f t="shared" si="54"/>
        <v>0</v>
      </c>
      <c r="BA77" s="175">
        <f t="shared" si="54"/>
        <v>0</v>
      </c>
      <c r="BB77" s="175">
        <f t="shared" si="54"/>
        <v>-1080000</v>
      </c>
      <c r="BC77" s="169"/>
      <c r="BD77" s="169"/>
      <c r="BE77" s="169"/>
      <c r="BF77" s="169"/>
    </row>
    <row r="78" spans="1:58" s="170" customFormat="1" ht="15.75" customHeight="1" x14ac:dyDescent="0.25">
      <c r="A78" s="120"/>
      <c r="B78" s="396" t="s">
        <v>298</v>
      </c>
      <c r="C78" s="389"/>
      <c r="D78" s="389"/>
      <c r="E78" s="390"/>
      <c r="F78" s="339"/>
      <c r="G78" s="339"/>
      <c r="H78" s="113" t="s">
        <v>60</v>
      </c>
      <c r="I78" s="243"/>
      <c r="J78" s="243"/>
      <c r="K78" s="243"/>
      <c r="L78" s="243">
        <f>SUM(L79,L93,L100,L106,L111,L118,L123,L134,L140)</f>
        <v>97868532.857142866</v>
      </c>
      <c r="M78" s="243">
        <f>SUM(M79,M93,M100,M106,M111,M118,M123,M134,M140)</f>
        <v>16344044.987142857</v>
      </c>
      <c r="N78" s="243"/>
      <c r="O78" s="243"/>
      <c r="P78" s="243"/>
      <c r="Q78" s="243"/>
      <c r="R78" s="243">
        <f>SUM(R79,R93,R100,R106,R111,R118,R123,R134,R140)</f>
        <v>400000</v>
      </c>
      <c r="S78" s="243">
        <f>SUM(S79,S93,S100,S106,S111,S118,S123,S134,S140)</f>
        <v>300000</v>
      </c>
      <c r="T78" s="243">
        <f>SUM(T79,T93,T100,T106,T111,T118,T123,T134,T140)</f>
        <v>0</v>
      </c>
      <c r="U78" s="243">
        <f>SUM(U79,U93,U100,U106,U111,U118,U123,U134,U140)</f>
        <v>400000</v>
      </c>
      <c r="V78" s="243"/>
      <c r="W78" s="243"/>
      <c r="X78" s="243"/>
      <c r="Y78" s="243">
        <f>SUM(Y79,Y93,Y100,Y106,Y111,Y118,Y123,Y134,Y140)</f>
        <v>510000</v>
      </c>
      <c r="Z78" s="243"/>
      <c r="AA78" s="243"/>
      <c r="AB78" s="243">
        <f>SUM(AB79,AB93,AB100,AB106,AB111,AB118,AB123,AB134,AB140)</f>
        <v>4199000</v>
      </c>
      <c r="AC78" s="243">
        <f>SUM(AC79,AC93,AC100,AC106,AC111,AC118,AC123,AC134,AC140)</f>
        <v>14679586006</v>
      </c>
      <c r="AD78" s="243">
        <f>SUM(AD79,AD93,AD100,AD106,AD111,AD118,AD123,AD134,AD140)</f>
        <v>0</v>
      </c>
      <c r="AE78" s="243">
        <f>SUM(AE79,AE93,AE100,AE106,AE111,AE118,AE123,AE134,AE140)</f>
        <v>320032001.19999999</v>
      </c>
      <c r="AF78" s="243">
        <f>SUM(AF79,AF93,AF100,AF106,AF111,AF118,AF123,AF134,AF140)</f>
        <v>15005427007.200001</v>
      </c>
      <c r="AG78" s="243"/>
      <c r="AH78" s="243"/>
      <c r="AI78" s="243"/>
      <c r="AJ78" s="243">
        <f>SUM(AJ79,AJ93,AJ100,AJ106,AJ111,AJ118,AJ123,AJ134,AJ140)</f>
        <v>0</v>
      </c>
      <c r="AK78" s="243">
        <f>SUM(AK79,AK93,AK100,AK106,AK111,AK118,AK123,AK134,AK140)</f>
        <v>0</v>
      </c>
      <c r="AL78" s="243">
        <f>SUM(AL79,AL93,AL100,AL106,AL111,AL118,AL123,AL134,AL140)</f>
        <v>10000000</v>
      </c>
      <c r="AM78" s="243">
        <f>SUM(AM79,AM93,AM100,AM106,AM111,AM118,AM123,AM134,AM140)</f>
        <v>10000000</v>
      </c>
      <c r="AN78" s="243">
        <f>SUM(AN79,AN93,AN100,AN106,AN111,AN118,AN123,AN134,AN140)</f>
        <v>1500000</v>
      </c>
      <c r="AO78" s="243"/>
      <c r="AP78" s="244"/>
      <c r="AQ78" s="245">
        <f>SUM(AQ79,AQ93,AQ100,AQ106,AQ111,AQ118,AQ123,AQ134,AQ140)</f>
        <v>114212577.84428573</v>
      </c>
      <c r="AR78" s="245">
        <f>SUM(AR79,AR93,AR100,AR106,AR111,AR118,AR123,AR134,AR140)</f>
        <v>15005427007.200001</v>
      </c>
      <c r="AS78" s="245">
        <f>SUM(AS79,AS93,AS100,AS106,AS111,AS118,AS123,AS134,AS140)</f>
        <v>11500000</v>
      </c>
      <c r="AT78" s="245">
        <f>SUM(AT79,AT93,AT100,AT106,AT111,AT118,AT123,AT134,AT140)</f>
        <v>15131139585.044285</v>
      </c>
      <c r="AU78" s="245">
        <f t="shared" ref="AU78:BB78" si="55">SUM(AU79,AU93,AU100,AU106,AU111,AU118,AU123,AU134,AU140)</f>
        <v>14798814785.5</v>
      </c>
      <c r="AV78" s="245">
        <f t="shared" si="55"/>
        <v>0</v>
      </c>
      <c r="AW78" s="245">
        <f t="shared" si="55"/>
        <v>0</v>
      </c>
      <c r="AX78" s="245">
        <f t="shared" si="55"/>
        <v>0</v>
      </c>
      <c r="AY78" s="245">
        <f t="shared" si="55"/>
        <v>0</v>
      </c>
      <c r="AZ78" s="245">
        <f t="shared" si="55"/>
        <v>0</v>
      </c>
      <c r="BA78" s="245">
        <f t="shared" si="55"/>
        <v>0</v>
      </c>
      <c r="BB78" s="245">
        <f t="shared" si="55"/>
        <v>-332324799.54428577</v>
      </c>
    </row>
    <row r="79" spans="1:58" s="170" customFormat="1" ht="15.75" customHeight="1" x14ac:dyDescent="0.25">
      <c r="A79" s="120"/>
      <c r="B79" s="290"/>
      <c r="C79" s="391" t="s">
        <v>313</v>
      </c>
      <c r="D79" s="391"/>
      <c r="E79" s="392"/>
      <c r="F79" s="293"/>
      <c r="G79" s="293"/>
      <c r="H79" s="114" t="s">
        <v>163</v>
      </c>
      <c r="I79" s="246"/>
      <c r="J79" s="246"/>
      <c r="K79" s="246"/>
      <c r="L79" s="247">
        <f>SUM(L85,L88,L92)</f>
        <v>7309440</v>
      </c>
      <c r="M79" s="247">
        <f>SUM(M85,M88,M92)</f>
        <v>1220676.48</v>
      </c>
      <c r="N79" s="247"/>
      <c r="O79" s="247"/>
      <c r="P79" s="247"/>
      <c r="Q79" s="247"/>
      <c r="R79" s="247">
        <f>SUM(R85,R88,R92)</f>
        <v>0</v>
      </c>
      <c r="S79" s="247">
        <f>SUM(S85,S88,S92)</f>
        <v>0</v>
      </c>
      <c r="T79" s="247">
        <f>SUM(T85,T88,T92)</f>
        <v>0</v>
      </c>
      <c r="U79" s="247">
        <f>SUM(U85,U88,U92)</f>
        <v>0</v>
      </c>
      <c r="V79" s="247"/>
      <c r="W79" s="247"/>
      <c r="X79" s="247"/>
      <c r="Y79" s="247">
        <f>SUM(Y85,Y88,Y92)</f>
        <v>255000</v>
      </c>
      <c r="Z79" s="247"/>
      <c r="AA79" s="247"/>
      <c r="AB79" s="247">
        <f>SUM(AB85,AB88,AB92)</f>
        <v>1235000</v>
      </c>
      <c r="AC79" s="247">
        <f>SUM(AC85,AC88,AC92)</f>
        <v>2513515516</v>
      </c>
      <c r="AD79" s="247">
        <f>SUM(AD85,AD88,AD92)</f>
        <v>0</v>
      </c>
      <c r="AE79" s="247">
        <f>SUM(AE85,AE88,AE92)</f>
        <v>313954103.19999999</v>
      </c>
      <c r="AF79" s="247">
        <f>SUM(AF85,AF88,AF92)</f>
        <v>2828959619.1999998</v>
      </c>
      <c r="AG79" s="247"/>
      <c r="AH79" s="247"/>
      <c r="AI79" s="247"/>
      <c r="AJ79" s="247">
        <f>SUM(AJ85,AJ88,AJ92)</f>
        <v>0</v>
      </c>
      <c r="AK79" s="247">
        <f>SUM(AK85,AK88,AK92)</f>
        <v>0</v>
      </c>
      <c r="AL79" s="247">
        <f>SUM(AL85,AL88,AL92)</f>
        <v>0</v>
      </c>
      <c r="AM79" s="247">
        <f>SUM(AM85,AM88,AM92)</f>
        <v>0</v>
      </c>
      <c r="AN79" s="247">
        <f>SUM(AN85,AN88,AN92)</f>
        <v>0</v>
      </c>
      <c r="AO79" s="247"/>
      <c r="AP79" s="255"/>
      <c r="AQ79" s="248">
        <f>SUM(AQ85,AQ88,AQ92)</f>
        <v>8530116.4800000004</v>
      </c>
      <c r="AR79" s="248">
        <f>SUM(AR85,AR88,AR92)</f>
        <v>2828959619.1999998</v>
      </c>
      <c r="AS79" s="248">
        <f>SUM(AS85,AS88,AS92)</f>
        <v>0</v>
      </c>
      <c r="AT79" s="248">
        <f>SUM(AT85,AT88,AT92)</f>
        <v>2837489735.6799998</v>
      </c>
      <c r="AU79" s="248">
        <f t="shared" ref="AU79:BB79" si="56">SUM(AU85,AU88,AU92)</f>
        <v>2522561735</v>
      </c>
      <c r="AV79" s="248">
        <f t="shared" si="56"/>
        <v>0</v>
      </c>
      <c r="AW79" s="248">
        <f t="shared" si="56"/>
        <v>0</v>
      </c>
      <c r="AX79" s="248">
        <f t="shared" si="56"/>
        <v>0</v>
      </c>
      <c r="AY79" s="248">
        <f t="shared" si="56"/>
        <v>0</v>
      </c>
      <c r="AZ79" s="248">
        <f t="shared" si="56"/>
        <v>0</v>
      </c>
      <c r="BA79" s="248">
        <f t="shared" si="56"/>
        <v>0</v>
      </c>
      <c r="BB79" s="248">
        <f t="shared" si="56"/>
        <v>-314928000.68000001</v>
      </c>
    </row>
    <row r="80" spans="1:58" ht="31.5" outlineLevel="2" x14ac:dyDescent="0.25">
      <c r="A80" s="115"/>
      <c r="B80" s="200"/>
      <c r="C80" s="201"/>
      <c r="D80" s="202"/>
      <c r="E80" s="226"/>
      <c r="F80" s="306"/>
      <c r="G80" s="307"/>
      <c r="H80" s="164" t="s">
        <v>417</v>
      </c>
      <c r="I80" s="130"/>
      <c r="J80" s="126"/>
      <c r="K80" s="126"/>
      <c r="L80" s="125" t="str">
        <f>IF(I80&lt;&gt;0,((VLOOKUP(I80,'1. Standard_Cost'!$B$4:$D$11,2)+VLOOKUP(I80,'1. Standard_Cost'!$B$4:$D$11,3))*J80*K80),"0")</f>
        <v>0</v>
      </c>
      <c r="M80" s="125">
        <f>L80*'1. Standard_Cost'!$F$4</f>
        <v>0</v>
      </c>
      <c r="N80" s="126"/>
      <c r="O80" s="126"/>
      <c r="P80" s="126"/>
      <c r="Q80" s="126"/>
      <c r="R80" s="127">
        <f>'1. Standard_Cost'!$B$15*N80*P80</f>
        <v>0</v>
      </c>
      <c r="S80" s="127">
        <f>N80*O80*P80*'1. Standard_Cost'!$C$15</f>
        <v>0</v>
      </c>
      <c r="T80" s="127">
        <f>N80*P80*Q80*'1. Standard_Cost'!$D$15</f>
        <v>0</v>
      </c>
      <c r="U80" s="127">
        <f>N80*O80*'1. Standard_Cost'!$E$15</f>
        <v>0</v>
      </c>
      <c r="V80" s="126"/>
      <c r="W80" s="126"/>
      <c r="X80" s="126"/>
      <c r="Y80" s="127">
        <f>+V80*((X80*'1. Standard_Cost'!$B$19)+(W80*X80*'1. Standard_Cost'!$C$19))</f>
        <v>0</v>
      </c>
      <c r="Z80" s="126"/>
      <c r="AA80" s="126"/>
      <c r="AB80" s="127">
        <f>+Z80*'1. Standard_Cost'!$B$23+AA80*'1. Standard_Cost'!$C$23</f>
        <v>0</v>
      </c>
      <c r="AC80" s="128">
        <v>876090000</v>
      </c>
      <c r="AD80" s="129"/>
      <c r="AE80" s="127">
        <f>0</f>
        <v>0</v>
      </c>
      <c r="AF80" s="127">
        <f>SUM(AE80,AD80,AC80,AB80,Y80,U80,T80,S80,R80)</f>
        <v>876090000</v>
      </c>
      <c r="AG80" s="126"/>
      <c r="AH80" s="126"/>
      <c r="AI80" s="126"/>
      <c r="AJ80" s="130"/>
      <c r="AK80" s="130"/>
      <c r="AL80" s="130"/>
      <c r="AM80" s="127">
        <f>AG80*'1. Standard_Cost'!$B$27+'Incremental_Cost Year 7'!AH80*'1. Standard_Cost'!$C$27+'Incremental_Cost Year 7'!AI80*'1. Standard_Cost'!$D$27+'Incremental_Cost Year 7'!AJ80+'Incremental_Cost Year 7'!AL80+AK80</f>
        <v>0</v>
      </c>
      <c r="AN80" s="127">
        <f>AM80*'1. Standard_Cost'!$C$31</f>
        <v>0</v>
      </c>
      <c r="AO80" s="130"/>
      <c r="AP80" s="256"/>
      <c r="AQ80" s="171">
        <f>L80+M80</f>
        <v>0</v>
      </c>
      <c r="AR80" s="171">
        <f>AF80</f>
        <v>876090000</v>
      </c>
      <c r="AS80" s="171">
        <f>AM80+AN80</f>
        <v>0</v>
      </c>
      <c r="AT80" s="171">
        <f>SUM(AQ80,AR80,AS80)</f>
        <v>876090000</v>
      </c>
      <c r="AU80" s="250">
        <v>876090000</v>
      </c>
      <c r="AV80" s="250"/>
      <c r="AW80" s="250"/>
      <c r="AX80" s="250"/>
      <c r="AY80" s="250"/>
      <c r="AZ80" s="250"/>
      <c r="BA80" s="250"/>
      <c r="BB80" s="251">
        <f t="shared" ref="BB80:BB84" si="57">SUM(AU80:BA80)-AT80</f>
        <v>0</v>
      </c>
      <c r="BC80" s="169"/>
      <c r="BD80" s="169"/>
      <c r="BE80" s="169"/>
      <c r="BF80" s="169"/>
    </row>
    <row r="81" spans="1:58" ht="31.5" outlineLevel="2" x14ac:dyDescent="0.25">
      <c r="A81" s="115"/>
      <c r="B81" s="200"/>
      <c r="C81" s="201"/>
      <c r="D81" s="202"/>
      <c r="E81" s="202"/>
      <c r="F81" s="308"/>
      <c r="G81" s="309"/>
      <c r="H81" s="164" t="s">
        <v>418</v>
      </c>
      <c r="I81" s="130"/>
      <c r="J81" s="126"/>
      <c r="K81" s="126"/>
      <c r="L81" s="125" t="str">
        <f>IF(I81&lt;&gt;0,((VLOOKUP(I81,'1. Standard_Cost'!$B$4:$D$11,2)+VLOOKUP(I81,'1. Standard_Cost'!$B$4:$D$11,3))*J81*K81),"0")</f>
        <v>0</v>
      </c>
      <c r="M81" s="125">
        <f>L81*'1. Standard_Cost'!$F$4</f>
        <v>0</v>
      </c>
      <c r="N81" s="126"/>
      <c r="O81" s="126"/>
      <c r="P81" s="126"/>
      <c r="Q81" s="126"/>
      <c r="R81" s="127">
        <f>'1. Standard_Cost'!$B$15*N81*P81</f>
        <v>0</v>
      </c>
      <c r="S81" s="127">
        <f>N81*O81*P81*'1. Standard_Cost'!$C$15</f>
        <v>0</v>
      </c>
      <c r="T81" s="127">
        <f>N81*P81*Q81*'1. Standard_Cost'!$D$15</f>
        <v>0</v>
      </c>
      <c r="U81" s="127">
        <f>N81*O81*'1. Standard_Cost'!$E$15</f>
        <v>0</v>
      </c>
      <c r="V81" s="126"/>
      <c r="W81" s="126"/>
      <c r="X81" s="126"/>
      <c r="Y81" s="127">
        <f>+V81*((X81*'1. Standard_Cost'!$B$19)+(W81*X81*'1. Standard_Cost'!$C$19))</f>
        <v>0</v>
      </c>
      <c r="Z81" s="126"/>
      <c r="AA81" s="126"/>
      <c r="AB81" s="127">
        <f>+Z81*'1. Standard_Cost'!$B$23+AA81*'1. Standard_Cost'!$C$23</f>
        <v>0</v>
      </c>
      <c r="AC81" s="128">
        <v>56520000</v>
      </c>
      <c r="AD81" s="129"/>
      <c r="AE81" s="127">
        <f>0</f>
        <v>0</v>
      </c>
      <c r="AF81" s="127">
        <f>SUM(AE81,AD81,AC81,AB81,Y81,U81,T81,S81,R81)</f>
        <v>56520000</v>
      </c>
      <c r="AG81" s="126"/>
      <c r="AH81" s="126"/>
      <c r="AI81" s="126"/>
      <c r="AJ81" s="130"/>
      <c r="AK81" s="130"/>
      <c r="AL81" s="130"/>
      <c r="AM81" s="127">
        <f>AG81*'1. Standard_Cost'!$B$27+'Incremental_Cost Year 7'!AH81*'1. Standard_Cost'!$C$27+'Incremental_Cost Year 7'!AI81*'1. Standard_Cost'!$D$27+'Incremental_Cost Year 7'!AJ81+'Incremental_Cost Year 7'!AL81+AK81</f>
        <v>0</v>
      </c>
      <c r="AN81" s="127">
        <f>AM81*'1. Standard_Cost'!$C$31</f>
        <v>0</v>
      </c>
      <c r="AO81" s="130"/>
      <c r="AP81" s="256"/>
      <c r="AQ81" s="171">
        <f>L81+M81</f>
        <v>0</v>
      </c>
      <c r="AR81" s="171">
        <f>AF81</f>
        <v>56520000</v>
      </c>
      <c r="AS81" s="171">
        <f>AM81+AN81</f>
        <v>0</v>
      </c>
      <c r="AT81" s="171">
        <f>SUM(AQ81,AR81,AS81)</f>
        <v>56520000</v>
      </c>
      <c r="AU81" s="250">
        <v>56520000</v>
      </c>
      <c r="AV81" s="250"/>
      <c r="AW81" s="250"/>
      <c r="AX81" s="250"/>
      <c r="AY81" s="250"/>
      <c r="AZ81" s="250"/>
      <c r="BA81" s="250"/>
      <c r="BB81" s="251">
        <f t="shared" si="57"/>
        <v>0</v>
      </c>
      <c r="BC81" s="169"/>
      <c r="BD81" s="169"/>
      <c r="BE81" s="169"/>
      <c r="BF81" s="169"/>
    </row>
    <row r="82" spans="1:58" ht="31.5" outlineLevel="2" x14ac:dyDescent="0.25">
      <c r="A82" s="115"/>
      <c r="B82" s="200"/>
      <c r="C82" s="201"/>
      <c r="D82" s="202"/>
      <c r="E82" s="202"/>
      <c r="F82" s="308"/>
      <c r="G82" s="309"/>
      <c r="H82" s="164" t="s">
        <v>419</v>
      </c>
      <c r="I82" s="130"/>
      <c r="J82" s="126"/>
      <c r="K82" s="126"/>
      <c r="L82" s="125" t="str">
        <f>IF(I82&lt;&gt;0,((VLOOKUP(I82,'1. Standard_Cost'!$B$4:$D$11,2)+VLOOKUP(I82,'1. Standard_Cost'!$B$4:$D$11,3))*J82*K82),"0")</f>
        <v>0</v>
      </c>
      <c r="M82" s="125">
        <f>L82*'1. Standard_Cost'!$F$4</f>
        <v>0</v>
      </c>
      <c r="N82" s="126"/>
      <c r="O82" s="126"/>
      <c r="P82" s="126"/>
      <c r="Q82" s="126"/>
      <c r="R82" s="127">
        <f>'1. Standard_Cost'!$B$15*N82*P82</f>
        <v>0</v>
      </c>
      <c r="S82" s="127">
        <f>N82*O82*P82*'1. Standard_Cost'!$C$15</f>
        <v>0</v>
      </c>
      <c r="T82" s="127">
        <f>N82*P82*Q82*'1. Standard_Cost'!$D$15</f>
        <v>0</v>
      </c>
      <c r="U82" s="127">
        <f>N82*O82*'1. Standard_Cost'!$E$15</f>
        <v>0</v>
      </c>
      <c r="V82" s="126"/>
      <c r="W82" s="126"/>
      <c r="X82" s="126"/>
      <c r="Y82" s="127">
        <f>+V82*((X82*'1. Standard_Cost'!$B$19)+(W82*X82*'1. Standard_Cost'!$C$19))</f>
        <v>0</v>
      </c>
      <c r="Z82" s="126"/>
      <c r="AA82" s="126"/>
      <c r="AB82" s="127">
        <f>+Z82*'1. Standard_Cost'!$B$23+AA82*'1. Standard_Cost'!$C$23</f>
        <v>0</v>
      </c>
      <c r="AC82" s="128">
        <v>12625000</v>
      </c>
      <c r="AD82" s="129"/>
      <c r="AE82" s="127">
        <f>0</f>
        <v>0</v>
      </c>
      <c r="AF82" s="127">
        <f>SUM(AE82,AD82,AC82,AB82,Y82,U82,T82,S82,R82)</f>
        <v>12625000</v>
      </c>
      <c r="AG82" s="126"/>
      <c r="AH82" s="126"/>
      <c r="AI82" s="126"/>
      <c r="AJ82" s="130"/>
      <c r="AK82" s="130"/>
      <c r="AL82" s="130"/>
      <c r="AM82" s="127">
        <f>AG82*'1. Standard_Cost'!$B$27+'Incremental_Cost Year 7'!AH82*'1. Standard_Cost'!$C$27+'Incremental_Cost Year 7'!AI82*'1. Standard_Cost'!$D$27+'Incremental_Cost Year 7'!AJ82+'Incremental_Cost Year 7'!AL82+AK82</f>
        <v>0</v>
      </c>
      <c r="AN82" s="127">
        <f>AM82*'1. Standard_Cost'!$C$31</f>
        <v>0</v>
      </c>
      <c r="AO82" s="130"/>
      <c r="AP82" s="256"/>
      <c r="AQ82" s="171">
        <f>L82+M82</f>
        <v>0</v>
      </c>
      <c r="AR82" s="171">
        <f>AF82</f>
        <v>12625000</v>
      </c>
      <c r="AS82" s="171">
        <f>AM82+AN82</f>
        <v>0</v>
      </c>
      <c r="AT82" s="171">
        <f>SUM(AQ82,AR82,AS82)</f>
        <v>12625000</v>
      </c>
      <c r="AU82" s="250">
        <v>12625000</v>
      </c>
      <c r="AV82" s="250"/>
      <c r="AW82" s="250"/>
      <c r="AX82" s="250"/>
      <c r="AY82" s="250"/>
      <c r="AZ82" s="250"/>
      <c r="BA82" s="250"/>
      <c r="BB82" s="251">
        <f t="shared" si="57"/>
        <v>0</v>
      </c>
      <c r="BC82" s="169"/>
      <c r="BD82" s="169"/>
      <c r="BE82" s="169"/>
      <c r="BF82" s="169"/>
    </row>
    <row r="83" spans="1:58" ht="78.75" outlineLevel="2" x14ac:dyDescent="0.25">
      <c r="A83" s="115"/>
      <c r="B83" s="200"/>
      <c r="C83" s="201"/>
      <c r="D83" s="137"/>
      <c r="E83" s="105"/>
      <c r="F83" s="308"/>
      <c r="G83" s="309"/>
      <c r="H83" s="199" t="s">
        <v>539</v>
      </c>
      <c r="I83" s="130"/>
      <c r="J83" s="126"/>
      <c r="K83" s="126"/>
      <c r="L83" s="125" t="str">
        <f>IF(I83&lt;&gt;0,((VLOOKUP(I83,'1. Standard_Cost'!$B$4:$D$11,2)+VLOOKUP(I83,'1. Standard_Cost'!$B$4:$D$11,3))*J83*K83),"0")</f>
        <v>0</v>
      </c>
      <c r="M83" s="125">
        <f>L83*'1. Standard_Cost'!$F$4</f>
        <v>0</v>
      </c>
      <c r="N83" s="126"/>
      <c r="O83" s="126"/>
      <c r="P83" s="126"/>
      <c r="Q83" s="126"/>
      <c r="R83" s="127">
        <f>'1. Standard_Cost'!$B$15*N83*P83</f>
        <v>0</v>
      </c>
      <c r="S83" s="127">
        <f>N83*O83*P83*'1. Standard_Cost'!$C$15</f>
        <v>0</v>
      </c>
      <c r="T83" s="127">
        <f>N83*P83*Q83*'1. Standard_Cost'!$D$15</f>
        <v>0</v>
      </c>
      <c r="U83" s="127">
        <f>N83*O83*'1. Standard_Cost'!$E$15</f>
        <v>0</v>
      </c>
      <c r="V83" s="126"/>
      <c r="W83" s="126"/>
      <c r="X83" s="126"/>
      <c r="Y83" s="127">
        <f>+V83*((X83*'1. Standard_Cost'!$B$19)+(W83*X83*'1. Standard_Cost'!$C$19))</f>
        <v>0</v>
      </c>
      <c r="Z83" s="126"/>
      <c r="AA83" s="126"/>
      <c r="AB83" s="127">
        <f>+Z83*'1. Standard_Cost'!$B$23+AA83*'1. Standard_Cost'!$C$23</f>
        <v>0</v>
      </c>
      <c r="AC83" s="128">
        <v>1567230000</v>
      </c>
      <c r="AD83" s="129"/>
      <c r="AE83" s="127">
        <f>SUM(AD83,AC83,AB83,Y83,U83,T83,S83,R83)*'1. Standard_Cost'!$B$31</f>
        <v>313446000</v>
      </c>
      <c r="AF83" s="127">
        <f>SUM(AE83,AD83,AC83,AB83,Y83,U83,T83,S83,R83)</f>
        <v>1880676000</v>
      </c>
      <c r="AG83" s="126"/>
      <c r="AH83" s="126"/>
      <c r="AI83" s="126"/>
      <c r="AJ83" s="130"/>
      <c r="AK83" s="130"/>
      <c r="AL83" s="130"/>
      <c r="AM83" s="127">
        <f>AG83*'1. Standard_Cost'!$B$27+'Incremental_Cost Year 7'!AH83*'1. Standard_Cost'!$C$27+'Incremental_Cost Year 7'!AI83*'1. Standard_Cost'!$D$27+'Incremental_Cost Year 7'!AJ83+'Incremental_Cost Year 7'!AL83+AK83</f>
        <v>0</v>
      </c>
      <c r="AN83" s="127">
        <f>AM83*'1. Standard_Cost'!$C$31</f>
        <v>0</v>
      </c>
      <c r="AO83" s="130"/>
      <c r="AP83" s="256"/>
      <c r="AQ83" s="171">
        <f>L83+M83</f>
        <v>0</v>
      </c>
      <c r="AR83" s="171">
        <f>AF83</f>
        <v>1880676000</v>
      </c>
      <c r="AS83" s="171">
        <f>AM83+AN83</f>
        <v>0</v>
      </c>
      <c r="AT83" s="171">
        <f>SUM(AQ83,AR83,AS83)</f>
        <v>1880676000</v>
      </c>
      <c r="AU83" s="128">
        <v>1567230000</v>
      </c>
      <c r="AV83" s="250"/>
      <c r="AW83" s="250"/>
      <c r="AX83" s="250"/>
      <c r="AY83" s="250"/>
      <c r="AZ83" s="250"/>
      <c r="BA83" s="250"/>
      <c r="BB83" s="251">
        <f t="shared" si="57"/>
        <v>-313446000</v>
      </c>
      <c r="BC83" s="169"/>
      <c r="BD83" s="169"/>
      <c r="BE83" s="169"/>
      <c r="BF83" s="169"/>
    </row>
    <row r="84" spans="1:58" ht="31.5" outlineLevel="2" x14ac:dyDescent="0.25">
      <c r="A84" s="115"/>
      <c r="B84" s="200"/>
      <c r="C84" s="201"/>
      <c r="D84" s="137"/>
      <c r="E84" s="202"/>
      <c r="F84" s="308"/>
      <c r="G84" s="309"/>
      <c r="H84" s="164" t="s">
        <v>420</v>
      </c>
      <c r="I84" s="130"/>
      <c r="J84" s="126"/>
      <c r="K84" s="126"/>
      <c r="L84" s="125" t="str">
        <f>IF(I84&lt;&gt;0,((VLOOKUP(I84,'1. Standard_Cost'!$B$4:$D$11,2)+VLOOKUP(I84,'1. Standard_Cost'!$B$4:$D$11,3))*J84*K84),"0")</f>
        <v>0</v>
      </c>
      <c r="M84" s="125">
        <f>L84*'1. Standard_Cost'!$F$4</f>
        <v>0</v>
      </c>
      <c r="N84" s="126"/>
      <c r="O84" s="126"/>
      <c r="P84" s="126"/>
      <c r="Q84" s="126"/>
      <c r="R84" s="127">
        <f>'1. Standard_Cost'!$B$15*N84*P84</f>
        <v>0</v>
      </c>
      <c r="S84" s="127">
        <f>N84*O84*P84*'1. Standard_Cost'!$C$15</f>
        <v>0</v>
      </c>
      <c r="T84" s="127">
        <f>N84*P84*Q84*'1. Standard_Cost'!$D$15</f>
        <v>0</v>
      </c>
      <c r="U84" s="127">
        <f>N84*O84*'1. Standard_Cost'!$E$15</f>
        <v>0</v>
      </c>
      <c r="V84" s="126"/>
      <c r="W84" s="126"/>
      <c r="X84" s="126"/>
      <c r="Y84" s="127">
        <f>+V84*((X84*'1. Standard_Cost'!$B$19)+(W84*X84*'1. Standard_Cost'!$C$19))</f>
        <v>0</v>
      </c>
      <c r="Z84" s="126"/>
      <c r="AA84" s="126"/>
      <c r="AB84" s="127">
        <f>+Z84*'1. Standard_Cost'!$B$23+AA84*'1. Standard_Cost'!$C$23</f>
        <v>0</v>
      </c>
      <c r="AC84" s="128"/>
      <c r="AD84" s="129"/>
      <c r="AE84" s="127">
        <f>SUM(AD84,AC84,AB84,Y84,U84,T84,S84,R84)*'1. Standard_Cost'!$B$31</f>
        <v>0</v>
      </c>
      <c r="AF84" s="127">
        <f>SUM(AE84,AD84,AC84,AB84,Y84,U84,T84,S84,R84)</f>
        <v>0</v>
      </c>
      <c r="AG84" s="126"/>
      <c r="AH84" s="126"/>
      <c r="AI84" s="126"/>
      <c r="AJ84" s="130"/>
      <c r="AK84" s="130"/>
      <c r="AL84" s="130"/>
      <c r="AM84" s="127">
        <f>AG84*'1. Standard_Cost'!$B$27+'Incremental_Cost Year 7'!AH84*'1. Standard_Cost'!$C$27+'Incremental_Cost Year 7'!AI84*'1. Standard_Cost'!$D$27+'Incremental_Cost Year 7'!AJ84+'Incremental_Cost Year 7'!AL84+AK84</f>
        <v>0</v>
      </c>
      <c r="AN84" s="127">
        <f>AM84*'1. Standard_Cost'!$C$31</f>
        <v>0</v>
      </c>
      <c r="AO84" s="130"/>
      <c r="AP84" s="256"/>
      <c r="AQ84" s="171">
        <f>L84+M84</f>
        <v>0</v>
      </c>
      <c r="AR84" s="171">
        <f>AF84</f>
        <v>0</v>
      </c>
      <c r="AS84" s="171">
        <f>AM84+AN84</f>
        <v>0</v>
      </c>
      <c r="AT84" s="171">
        <f>SUM(AQ84,AR84,AS84)</f>
        <v>0</v>
      </c>
      <c r="AU84" s="250"/>
      <c r="AV84" s="250"/>
      <c r="AW84" s="250"/>
      <c r="AX84" s="250"/>
      <c r="AY84" s="250"/>
      <c r="AZ84" s="250"/>
      <c r="BA84" s="250"/>
      <c r="BB84" s="251">
        <f t="shared" si="57"/>
        <v>0</v>
      </c>
      <c r="BC84" s="169"/>
      <c r="BD84" s="169"/>
      <c r="BE84" s="169"/>
      <c r="BF84" s="169"/>
    </row>
    <row r="85" spans="1:58" ht="110.25" outlineLevel="1" x14ac:dyDescent="0.25">
      <c r="A85" s="115"/>
      <c r="B85" s="165"/>
      <c r="C85" s="166"/>
      <c r="D85" s="139" t="s">
        <v>421</v>
      </c>
      <c r="E85" s="212" t="s">
        <v>273</v>
      </c>
      <c r="F85" s="136">
        <v>2021</v>
      </c>
      <c r="G85" s="117">
        <v>2030</v>
      </c>
      <c r="H85" s="110" t="s">
        <v>175</v>
      </c>
      <c r="I85" s="252"/>
      <c r="J85" s="252"/>
      <c r="K85" s="252"/>
      <c r="L85" s="127">
        <f>SUM(L80:L84)</f>
        <v>0</v>
      </c>
      <c r="M85" s="127">
        <f>SUM(M80:M84)</f>
        <v>0</v>
      </c>
      <c r="N85" s="252"/>
      <c r="O85" s="252"/>
      <c r="P85" s="252"/>
      <c r="Q85" s="252"/>
      <c r="R85" s="127">
        <f>SUM(R80:R84)</f>
        <v>0</v>
      </c>
      <c r="S85" s="127">
        <f>SUM(S80:S84)</f>
        <v>0</v>
      </c>
      <c r="T85" s="127">
        <f>SUM(T80:T84)</f>
        <v>0</v>
      </c>
      <c r="U85" s="127">
        <f>SUM(U80:U84)</f>
        <v>0</v>
      </c>
      <c r="V85" s="252"/>
      <c r="W85" s="252"/>
      <c r="X85" s="252"/>
      <c r="Y85" s="127">
        <f>SUM(Y80:Y84)</f>
        <v>0</v>
      </c>
      <c r="Z85" s="252"/>
      <c r="AA85" s="252"/>
      <c r="AB85" s="127">
        <f>SUM(AB80:AB84)</f>
        <v>0</v>
      </c>
      <c r="AC85" s="127">
        <f>SUM(AC80:AC84)</f>
        <v>2512465000</v>
      </c>
      <c r="AD85" s="127">
        <f>SUM(AD80:AD84)</f>
        <v>0</v>
      </c>
      <c r="AE85" s="127">
        <f>SUM(AE80:AE84)</f>
        <v>313446000</v>
      </c>
      <c r="AF85" s="127">
        <f>SUM(AF80:AF84)</f>
        <v>2825911000</v>
      </c>
      <c r="AG85" s="252"/>
      <c r="AH85" s="252"/>
      <c r="AI85" s="252"/>
      <c r="AJ85" s="127">
        <f>SUM(AJ80:AJ84)</f>
        <v>0</v>
      </c>
      <c r="AK85" s="127">
        <f>SUM(AK80:AK84)</f>
        <v>0</v>
      </c>
      <c r="AL85" s="127">
        <f>SUM(AL80:AL84)</f>
        <v>0</v>
      </c>
      <c r="AM85" s="127">
        <f>SUM(AM80:AM84)</f>
        <v>0</v>
      </c>
      <c r="AN85" s="127">
        <f>SUM(AN80:AN84)</f>
        <v>0</v>
      </c>
      <c r="AO85" s="253"/>
      <c r="AP85" s="254"/>
      <c r="AQ85" s="175">
        <f>SUM(AQ80:AQ84)</f>
        <v>0</v>
      </c>
      <c r="AR85" s="175">
        <f>SUM(AR80:AR84)</f>
        <v>2825911000</v>
      </c>
      <c r="AS85" s="175">
        <f>SUM(AS80:AS84)</f>
        <v>0</v>
      </c>
      <c r="AT85" s="175">
        <f>SUM(AT80:AT84)</f>
        <v>2825911000</v>
      </c>
      <c r="AU85" s="175">
        <f t="shared" ref="AU85:BB85" si="58">SUM(AU80:AU84)</f>
        <v>2512465000</v>
      </c>
      <c r="AV85" s="175">
        <f t="shared" si="58"/>
        <v>0</v>
      </c>
      <c r="AW85" s="175">
        <f t="shared" si="58"/>
        <v>0</v>
      </c>
      <c r="AX85" s="175">
        <f t="shared" si="58"/>
        <v>0</v>
      </c>
      <c r="AY85" s="175">
        <f t="shared" si="58"/>
        <v>0</v>
      </c>
      <c r="AZ85" s="175">
        <f t="shared" si="58"/>
        <v>0</v>
      </c>
      <c r="BA85" s="175">
        <f t="shared" si="58"/>
        <v>0</v>
      </c>
      <c r="BB85" s="175">
        <f t="shared" si="58"/>
        <v>-313446000</v>
      </c>
      <c r="BC85" s="169"/>
      <c r="BD85" s="169"/>
      <c r="BE85" s="169"/>
      <c r="BF85" s="169"/>
    </row>
    <row r="86" spans="1:58" ht="94.5" customHeight="1" outlineLevel="2" x14ac:dyDescent="0.25">
      <c r="A86" s="115"/>
      <c r="B86" s="200"/>
      <c r="C86" s="201"/>
      <c r="D86" s="346"/>
      <c r="E86" s="321"/>
      <c r="F86" s="295"/>
      <c r="G86" s="296"/>
      <c r="H86" s="164" t="s">
        <v>422</v>
      </c>
      <c r="I86" s="130" t="s">
        <v>3</v>
      </c>
      <c r="J86" s="126">
        <v>0.7</v>
      </c>
      <c r="K86" s="126">
        <v>9</v>
      </c>
      <c r="L86" s="125">
        <f>IF(I86&lt;&gt;0,((VLOOKUP(I86,'1. Standard_Cost'!$B$4:$D$11,2)+VLOOKUP(I86,'1. Standard_Cost'!$B$4:$D$11,3))*J86*K86),"0")</f>
        <v>635040</v>
      </c>
      <c r="M86" s="125">
        <f>L86*'1. Standard_Cost'!$F$4</f>
        <v>106051.68000000001</v>
      </c>
      <c r="N86" s="126"/>
      <c r="O86" s="126"/>
      <c r="P86" s="126"/>
      <c r="Q86" s="126"/>
      <c r="R86" s="127">
        <f>'1. Standard_Cost'!$B$15*N86*P86</f>
        <v>0</v>
      </c>
      <c r="S86" s="127">
        <f>N86*O86*P86*'1. Standard_Cost'!$C$15</f>
        <v>0</v>
      </c>
      <c r="T86" s="127">
        <f>N86*P86*Q86*'1. Standard_Cost'!$D$15</f>
        <v>0</v>
      </c>
      <c r="U86" s="127">
        <f>N86*O86*'1. Standard_Cost'!$E$15</f>
        <v>0</v>
      </c>
      <c r="V86" s="126"/>
      <c r="W86" s="126"/>
      <c r="X86" s="126"/>
      <c r="Y86" s="127">
        <f>+V86*((X86*'1. Standard_Cost'!$B$19)+(W86*X86*'1. Standard_Cost'!$C$19))</f>
        <v>0</v>
      </c>
      <c r="Z86" s="126"/>
      <c r="AA86" s="126"/>
      <c r="AB86" s="127">
        <f>+Z86*'1. Standard_Cost'!$B$23+AA86*'1. Standard_Cost'!$C$23</f>
        <v>0</v>
      </c>
      <c r="AC86" s="128">
        <v>102430</v>
      </c>
      <c r="AD86" s="129"/>
      <c r="AE86" s="127">
        <f>SUM(AD86,AC86,AB86,Y86,U86,T86,S86,R86)*'1. Standard_Cost'!$B$31</f>
        <v>20486</v>
      </c>
      <c r="AF86" s="127">
        <f>SUM(AE86,AD86,AC86,AB86,Y86,U86,T86,S86,R86)</f>
        <v>122916</v>
      </c>
      <c r="AG86" s="126"/>
      <c r="AH86" s="126"/>
      <c r="AI86" s="126"/>
      <c r="AJ86" s="130"/>
      <c r="AK86" s="130"/>
      <c r="AL86" s="130"/>
      <c r="AM86" s="127">
        <f>AG86*'1. Standard_Cost'!$B$27+'Incremental_Cost Year 7'!AH86*'1. Standard_Cost'!$C$27+'Incremental_Cost Year 7'!AI86*'1. Standard_Cost'!$D$27+'Incremental_Cost Year 7'!AJ86+'Incremental_Cost Year 7'!AL86+AK86</f>
        <v>0</v>
      </c>
      <c r="AN86" s="127">
        <f>AM86*'1. Standard_Cost'!$C$31</f>
        <v>0</v>
      </c>
      <c r="AO86" s="130"/>
      <c r="AQ86" s="171">
        <f>L86+M86</f>
        <v>741091.68</v>
      </c>
      <c r="AR86" s="171">
        <f>AF86</f>
        <v>122916</v>
      </c>
      <c r="AS86" s="171">
        <f>AM86+AN86</f>
        <v>0</v>
      </c>
      <c r="AT86" s="171">
        <f>SUM(AQ86,AR86,AS86)</f>
        <v>864007.68000000005</v>
      </c>
      <c r="AU86" s="250">
        <v>864008</v>
      </c>
      <c r="AV86" s="250"/>
      <c r="AW86" s="250"/>
      <c r="AX86" s="250"/>
      <c r="AY86" s="250"/>
      <c r="AZ86" s="250"/>
      <c r="BA86" s="250"/>
      <c r="BB86" s="251">
        <f t="shared" ref="BB86:BB87" si="59">SUM(AU86:BA86)-AT86</f>
        <v>0.31999999994877726</v>
      </c>
      <c r="BC86" s="169"/>
      <c r="BD86" s="169"/>
      <c r="BE86" s="169"/>
      <c r="BF86" s="169"/>
    </row>
    <row r="87" spans="1:58" ht="189" outlineLevel="2" x14ac:dyDescent="0.25">
      <c r="A87" s="115"/>
      <c r="B87" s="200"/>
      <c r="C87" s="201"/>
      <c r="D87" s="133"/>
      <c r="E87" s="322"/>
      <c r="F87" s="122"/>
      <c r="G87" s="123"/>
      <c r="H87" s="199" t="s">
        <v>423</v>
      </c>
      <c r="I87" s="130" t="s">
        <v>3</v>
      </c>
      <c r="J87" s="126">
        <v>2</v>
      </c>
      <c r="K87" s="126">
        <v>7</v>
      </c>
      <c r="L87" s="125">
        <f>IF(I87&lt;&gt;0,((VLOOKUP(I87,'1. Standard_Cost'!$B$4:$D$11,2)+VLOOKUP(I87,'1. Standard_Cost'!$B$4:$D$11,3))*J87*K87),"0")</f>
        <v>1411200</v>
      </c>
      <c r="M87" s="125">
        <f>L87*'1. Standard_Cost'!$F$4</f>
        <v>235670.40000000002</v>
      </c>
      <c r="N87" s="126"/>
      <c r="O87" s="126"/>
      <c r="P87" s="126"/>
      <c r="Q87" s="126"/>
      <c r="R87" s="127">
        <f>'1. Standard_Cost'!$B$15*N87*P87</f>
        <v>0</v>
      </c>
      <c r="S87" s="127">
        <f>N87*O87*P87*'1. Standard_Cost'!$C$15</f>
        <v>0</v>
      </c>
      <c r="T87" s="127">
        <f>N87*P87*Q87*'1. Standard_Cost'!$D$15</f>
        <v>0</v>
      </c>
      <c r="U87" s="127">
        <f>N87*O87*'1. Standard_Cost'!$E$15</f>
        <v>0</v>
      </c>
      <c r="V87" s="126"/>
      <c r="W87" s="126"/>
      <c r="X87" s="126"/>
      <c r="Y87" s="127">
        <f>+V87*((X87*'1. Standard_Cost'!$B$19)+(W87*X87*'1. Standard_Cost'!$C$19))</f>
        <v>0</v>
      </c>
      <c r="Z87" s="126"/>
      <c r="AA87" s="126">
        <v>40</v>
      </c>
      <c r="AB87" s="127">
        <f>+Z87*'1. Standard_Cost'!$B$23+AA87*'1. Standard_Cost'!$C$23</f>
        <v>760000</v>
      </c>
      <c r="AC87" s="128">
        <v>211125</v>
      </c>
      <c r="AD87" s="129"/>
      <c r="AE87" s="127">
        <f>SUM(AD87,AC87,AB87,Y87,U87,T87,S87,R87)*'1. Standard_Cost'!$B$31</f>
        <v>194225</v>
      </c>
      <c r="AF87" s="127">
        <f>SUM(AE87,AD87,AC87,AB87,Y87,U87,T87,S87,R87)</f>
        <v>1165350</v>
      </c>
      <c r="AG87" s="126"/>
      <c r="AH87" s="126"/>
      <c r="AI87" s="126"/>
      <c r="AJ87" s="130"/>
      <c r="AK87" s="130"/>
      <c r="AL87" s="130"/>
      <c r="AM87" s="127">
        <f>AG87*'1. Standard_Cost'!$B$27+'Incremental_Cost Year 7'!AH87*'1. Standard_Cost'!$C$27+'Incremental_Cost Year 7'!AI87*'1. Standard_Cost'!$D$27+'Incremental_Cost Year 7'!AJ87+'Incremental_Cost Year 7'!AL87+AK87</f>
        <v>0</v>
      </c>
      <c r="AN87" s="127">
        <f>AM87*'1. Standard_Cost'!$C$31</f>
        <v>0</v>
      </c>
      <c r="AO87" s="130"/>
      <c r="AQ87" s="171">
        <f>L87+M87</f>
        <v>1646870.4</v>
      </c>
      <c r="AR87" s="171">
        <f>AF87</f>
        <v>1165350</v>
      </c>
      <c r="AS87" s="171">
        <f>AM87+AN87</f>
        <v>0</v>
      </c>
      <c r="AT87" s="171">
        <f>SUM(AQ87,AR87,AS87)</f>
        <v>2812220.4</v>
      </c>
      <c r="AU87" s="250">
        <v>1900220</v>
      </c>
      <c r="AV87" s="250"/>
      <c r="AW87" s="250"/>
      <c r="AX87" s="250"/>
      <c r="AY87" s="250"/>
      <c r="AZ87" s="250"/>
      <c r="BA87" s="250"/>
      <c r="BB87" s="251">
        <f t="shared" si="59"/>
        <v>-912000.39999999991</v>
      </c>
      <c r="BC87" s="169"/>
      <c r="BD87" s="169"/>
      <c r="BE87" s="169"/>
      <c r="BF87" s="169"/>
    </row>
    <row r="88" spans="1:58" ht="63" outlineLevel="1" x14ac:dyDescent="0.25">
      <c r="A88" s="115"/>
      <c r="B88" s="165"/>
      <c r="C88" s="166"/>
      <c r="D88" s="212" t="s">
        <v>240</v>
      </c>
      <c r="E88" s="212" t="s">
        <v>269</v>
      </c>
      <c r="F88" s="117">
        <v>2024</v>
      </c>
      <c r="G88" s="117">
        <v>2030</v>
      </c>
      <c r="H88" s="110" t="s">
        <v>270</v>
      </c>
      <c r="I88" s="252"/>
      <c r="J88" s="252"/>
      <c r="K88" s="252"/>
      <c r="L88" s="127">
        <f>SUM(L86:L87)</f>
        <v>2046240</v>
      </c>
      <c r="M88" s="127">
        <f>SUM(M86:M87)</f>
        <v>341722.08</v>
      </c>
      <c r="N88" s="252"/>
      <c r="O88" s="252"/>
      <c r="P88" s="252"/>
      <c r="Q88" s="252"/>
      <c r="R88" s="127">
        <f>SUM(R86:R87)</f>
        <v>0</v>
      </c>
      <c r="S88" s="127">
        <f>SUM(S86:S87)</f>
        <v>0</v>
      </c>
      <c r="T88" s="127">
        <f>SUM(T86:T87)</f>
        <v>0</v>
      </c>
      <c r="U88" s="127">
        <f>SUM(U86:U87)</f>
        <v>0</v>
      </c>
      <c r="V88" s="252"/>
      <c r="W88" s="252"/>
      <c r="X88" s="252"/>
      <c r="Y88" s="127">
        <f>SUM(Y86:Y87)</f>
        <v>0</v>
      </c>
      <c r="Z88" s="252"/>
      <c r="AA88" s="252"/>
      <c r="AB88" s="127">
        <f>SUM(AB86:AB87)</f>
        <v>760000</v>
      </c>
      <c r="AC88" s="127">
        <f>SUM(AC86:AC87)</f>
        <v>313555</v>
      </c>
      <c r="AD88" s="127">
        <f>SUM(AD86:AD87)</f>
        <v>0</v>
      </c>
      <c r="AE88" s="127">
        <f>SUM(AE86:AE87)</f>
        <v>214711</v>
      </c>
      <c r="AF88" s="127">
        <f>SUM(AF86:AF87)</f>
        <v>1288266</v>
      </c>
      <c r="AG88" s="252"/>
      <c r="AH88" s="252"/>
      <c r="AI88" s="252"/>
      <c r="AJ88" s="127">
        <f>SUM(AJ86:AJ87)</f>
        <v>0</v>
      </c>
      <c r="AK88" s="127">
        <f>SUM(AK86:AK87)</f>
        <v>0</v>
      </c>
      <c r="AL88" s="127">
        <f>SUM(AL86:AL87)</f>
        <v>0</v>
      </c>
      <c r="AM88" s="127">
        <f>SUM(AM86:AM87)</f>
        <v>0</v>
      </c>
      <c r="AN88" s="127">
        <f>SUM(AN86:AN87)</f>
        <v>0</v>
      </c>
      <c r="AO88" s="253"/>
      <c r="AP88" s="254"/>
      <c r="AQ88" s="175">
        <f>SUM(AQ86:AQ87)</f>
        <v>2387962.08</v>
      </c>
      <c r="AR88" s="175">
        <f>SUM(AR86:AR87)</f>
        <v>1288266</v>
      </c>
      <c r="AS88" s="175">
        <f>SUM(AS86:AS87)</f>
        <v>0</v>
      </c>
      <c r="AT88" s="175">
        <f>SUM(AT86:AT87)</f>
        <v>3676228.08</v>
      </c>
      <c r="AU88" s="175">
        <f t="shared" ref="AU88:BB88" si="60">SUM(AU86:AU87)</f>
        <v>2764228</v>
      </c>
      <c r="AV88" s="175">
        <f t="shared" si="60"/>
        <v>0</v>
      </c>
      <c r="AW88" s="175">
        <f t="shared" si="60"/>
        <v>0</v>
      </c>
      <c r="AX88" s="175">
        <f t="shared" si="60"/>
        <v>0</v>
      </c>
      <c r="AY88" s="175">
        <f t="shared" si="60"/>
        <v>0</v>
      </c>
      <c r="AZ88" s="175">
        <f t="shared" si="60"/>
        <v>0</v>
      </c>
      <c r="BA88" s="175">
        <f t="shared" si="60"/>
        <v>0</v>
      </c>
      <c r="BB88" s="175">
        <f t="shared" si="60"/>
        <v>-912000.08</v>
      </c>
      <c r="BC88" s="169"/>
      <c r="BD88" s="169"/>
      <c r="BE88" s="169"/>
      <c r="BF88" s="169"/>
    </row>
    <row r="89" spans="1:58" ht="63" outlineLevel="2" x14ac:dyDescent="0.25">
      <c r="A89" s="115"/>
      <c r="B89" s="200"/>
      <c r="C89" s="201"/>
      <c r="D89" s="346"/>
      <c r="E89" s="321"/>
      <c r="F89" s="306"/>
      <c r="G89" s="307"/>
      <c r="H89" s="199" t="s">
        <v>424</v>
      </c>
      <c r="I89" s="130" t="s">
        <v>2</v>
      </c>
      <c r="J89" s="126">
        <v>12</v>
      </c>
      <c r="K89" s="126">
        <v>2</v>
      </c>
      <c r="L89" s="125">
        <f>IF(I89&lt;&gt;0,((VLOOKUP(I89,'1. Standard_Cost'!$B$4:$D$11,2)+VLOOKUP(I89,'1. Standard_Cost'!$B$4:$D$11,3))*J89*K89),"0")</f>
        <v>2904000</v>
      </c>
      <c r="M89" s="125">
        <f>L89*'1. Standard_Cost'!$F$4</f>
        <v>484968</v>
      </c>
      <c r="N89" s="126"/>
      <c r="O89" s="126"/>
      <c r="P89" s="126"/>
      <c r="Q89" s="126"/>
      <c r="R89" s="127">
        <f>'1. Standard_Cost'!$B$15*N89*P89</f>
        <v>0</v>
      </c>
      <c r="S89" s="127">
        <f>N89*O89*P89*'1. Standard_Cost'!$C$15</f>
        <v>0</v>
      </c>
      <c r="T89" s="127">
        <f>N89*P89*Q89*'1. Standard_Cost'!$D$15</f>
        <v>0</v>
      </c>
      <c r="U89" s="127">
        <f>N89*O89*'1. Standard_Cost'!$E$15</f>
        <v>0</v>
      </c>
      <c r="V89" s="126"/>
      <c r="W89" s="126"/>
      <c r="X89" s="126"/>
      <c r="Y89" s="127">
        <f>+V89*((X89*'1. Standard_Cost'!$B$19)+(W89*X89*'1. Standard_Cost'!$C$19))</f>
        <v>0</v>
      </c>
      <c r="Z89" s="126"/>
      <c r="AA89" s="126"/>
      <c r="AB89" s="127">
        <f>+Z89*'1. Standard_Cost'!$B$23+AA89*'1. Standard_Cost'!$C$23</f>
        <v>0</v>
      </c>
      <c r="AC89" s="128">
        <v>406676</v>
      </c>
      <c r="AD89" s="129"/>
      <c r="AE89" s="127">
        <f>SUM(AD89,AC89,AB89,Y89,U89,T89,S89,R89)*'1. Standard_Cost'!$B$31</f>
        <v>81335.200000000012</v>
      </c>
      <c r="AF89" s="127">
        <f>SUM(AE89,AD89,AC89,AB89,Y89,U89,T89,S89,R89)</f>
        <v>488011.2</v>
      </c>
      <c r="AG89" s="126"/>
      <c r="AH89" s="126"/>
      <c r="AI89" s="126"/>
      <c r="AJ89" s="130"/>
      <c r="AK89" s="130"/>
      <c r="AL89" s="130"/>
      <c r="AM89" s="127">
        <f>AG89*'1. Standard_Cost'!$B$27+'Incremental_Cost Year 7'!AH89*'1. Standard_Cost'!$C$27+'Incremental_Cost Year 7'!AI89*'1. Standard_Cost'!$D$27+'Incremental_Cost Year 7'!AJ89+'Incremental_Cost Year 7'!AL89+AK89</f>
        <v>0</v>
      </c>
      <c r="AN89" s="127">
        <f>AM89*'1. Standard_Cost'!$C$31</f>
        <v>0</v>
      </c>
      <c r="AO89" s="130"/>
      <c r="AQ89" s="171">
        <f>L89+M89</f>
        <v>3388968</v>
      </c>
      <c r="AR89" s="171">
        <f>AF89</f>
        <v>488011.2</v>
      </c>
      <c r="AS89" s="171">
        <f>AM89+AN89</f>
        <v>0</v>
      </c>
      <c r="AT89" s="171">
        <f>SUM(AQ89,AR89,AS89)</f>
        <v>3876979.2</v>
      </c>
      <c r="AU89" s="250">
        <v>3876979</v>
      </c>
      <c r="AV89" s="250"/>
      <c r="AW89" s="250"/>
      <c r="AX89" s="250"/>
      <c r="AY89" s="250"/>
      <c r="AZ89" s="250"/>
      <c r="BA89" s="250"/>
      <c r="BB89" s="251">
        <f t="shared" ref="BB89:BB91" si="61">SUM(AU89:BA89)-AT89</f>
        <v>-0.20000000018626451</v>
      </c>
      <c r="BC89" s="169"/>
      <c r="BD89" s="169"/>
      <c r="BE89" s="169"/>
      <c r="BF89" s="169"/>
    </row>
    <row r="90" spans="1:58" ht="94.5" outlineLevel="2" x14ac:dyDescent="0.25">
      <c r="A90" s="115"/>
      <c r="B90" s="200"/>
      <c r="C90" s="201"/>
      <c r="D90" s="203"/>
      <c r="E90" s="323"/>
      <c r="F90" s="308"/>
      <c r="G90" s="309"/>
      <c r="H90" s="199" t="s">
        <v>425</v>
      </c>
      <c r="I90" s="130" t="s">
        <v>2</v>
      </c>
      <c r="J90" s="126">
        <v>12</v>
      </c>
      <c r="K90" s="126">
        <v>1</v>
      </c>
      <c r="L90" s="125">
        <f>IF(I90&lt;&gt;0,((VLOOKUP(I90,'1. Standard_Cost'!$B$4:$D$11,2)+VLOOKUP(I90,'1. Standard_Cost'!$B$4:$D$11,3))*J90*K90),"0")</f>
        <v>1452000</v>
      </c>
      <c r="M90" s="125">
        <f>L90*'1. Standard_Cost'!$F$4</f>
        <v>242484</v>
      </c>
      <c r="N90" s="126"/>
      <c r="O90" s="126"/>
      <c r="P90" s="126"/>
      <c r="Q90" s="126"/>
      <c r="R90" s="127">
        <f>'1. Standard_Cost'!$B$15*N90*P90</f>
        <v>0</v>
      </c>
      <c r="S90" s="127">
        <f>N90*O90*P90*'1. Standard_Cost'!$C$15</f>
        <v>0</v>
      </c>
      <c r="T90" s="127">
        <f>N90*P90*Q90*'1. Standard_Cost'!$D$15</f>
        <v>0</v>
      </c>
      <c r="U90" s="127">
        <f>N90*O90*'1. Standard_Cost'!$E$15</f>
        <v>0</v>
      </c>
      <c r="V90" s="126"/>
      <c r="W90" s="126"/>
      <c r="X90" s="126"/>
      <c r="Y90" s="127">
        <f>+V90*((X90*'1. Standard_Cost'!$B$19)+(W90*X90*'1. Standard_Cost'!$C$19))</f>
        <v>0</v>
      </c>
      <c r="Z90" s="126"/>
      <c r="AA90" s="126">
        <v>25</v>
      </c>
      <c r="AB90" s="127">
        <f>+Z90*'1. Standard_Cost'!$B$23+AA90*'1. Standard_Cost'!$C$23</f>
        <v>475000</v>
      </c>
      <c r="AC90" s="128">
        <v>203240</v>
      </c>
      <c r="AD90" s="129"/>
      <c r="AE90" s="127">
        <f>SUM(AD90,AC90,AB90,Y90,U90,T90,S90,R90)*'1. Standard_Cost'!$B$31</f>
        <v>135648</v>
      </c>
      <c r="AF90" s="127">
        <f>SUM(AE90,AD90,AC90,AB90,Y90,U90,T90,S90,R90)</f>
        <v>813888</v>
      </c>
      <c r="AG90" s="126"/>
      <c r="AH90" s="126"/>
      <c r="AI90" s="126"/>
      <c r="AJ90" s="130"/>
      <c r="AK90" s="130"/>
      <c r="AL90" s="130"/>
      <c r="AM90" s="127">
        <f>AG90*'1. Standard_Cost'!$B$27+'Incremental_Cost Year 7'!AH90*'1. Standard_Cost'!$C$27+'Incremental_Cost Year 7'!AI90*'1. Standard_Cost'!$D$27+'Incremental_Cost Year 7'!AJ90+'Incremental_Cost Year 7'!AL90+AK90</f>
        <v>0</v>
      </c>
      <c r="AN90" s="127">
        <f>AM90*'1. Standard_Cost'!$C$31</f>
        <v>0</v>
      </c>
      <c r="AO90" s="130"/>
      <c r="AQ90" s="171">
        <f>L90+M90</f>
        <v>1694484</v>
      </c>
      <c r="AR90" s="171">
        <f>AF90</f>
        <v>813888</v>
      </c>
      <c r="AS90" s="171">
        <f>AM90+AN90</f>
        <v>0</v>
      </c>
      <c r="AT90" s="171">
        <f>SUM(AQ90,AR90,AS90)</f>
        <v>2508372</v>
      </c>
      <c r="AU90" s="250">
        <v>1938372</v>
      </c>
      <c r="AV90" s="250"/>
      <c r="AW90" s="250"/>
      <c r="AX90" s="250"/>
      <c r="AY90" s="250"/>
      <c r="AZ90" s="250"/>
      <c r="BA90" s="250"/>
      <c r="BB90" s="251">
        <f t="shared" si="61"/>
        <v>-570000</v>
      </c>
      <c r="BC90" s="169"/>
      <c r="BD90" s="169"/>
      <c r="BE90" s="169"/>
      <c r="BF90" s="169"/>
    </row>
    <row r="91" spans="1:58" ht="78.75" outlineLevel="2" x14ac:dyDescent="0.25">
      <c r="A91" s="115"/>
      <c r="B91" s="200"/>
      <c r="C91" s="201"/>
      <c r="D91" s="133"/>
      <c r="E91" s="322"/>
      <c r="F91" s="324"/>
      <c r="G91" s="325"/>
      <c r="H91" s="109" t="s">
        <v>426</v>
      </c>
      <c r="I91" s="130" t="s">
        <v>3</v>
      </c>
      <c r="J91" s="126">
        <v>3</v>
      </c>
      <c r="K91" s="126">
        <v>3</v>
      </c>
      <c r="L91" s="125">
        <f>IF(I91&lt;&gt;0,((VLOOKUP(I91,'1. Standard_Cost'!$B$4:$D$11,2)+VLOOKUP(I91,'1. Standard_Cost'!$B$4:$D$11,3))*J91*K91),"0")</f>
        <v>907200</v>
      </c>
      <c r="M91" s="125">
        <f>L91*'1. Standard_Cost'!$F$4</f>
        <v>151502.39999999999</v>
      </c>
      <c r="N91" s="126"/>
      <c r="O91" s="126"/>
      <c r="P91" s="126"/>
      <c r="Q91" s="126"/>
      <c r="R91" s="127">
        <f>'1. Standard_Cost'!$B$15*N91*P91</f>
        <v>0</v>
      </c>
      <c r="S91" s="127">
        <f>N91*O91*P91*'1. Standard_Cost'!$C$15</f>
        <v>0</v>
      </c>
      <c r="T91" s="127">
        <f>N91*P91*Q91*'1. Standard_Cost'!$D$15</f>
        <v>0</v>
      </c>
      <c r="U91" s="127">
        <f>N91*O91*'1. Standard_Cost'!$E$15</f>
        <v>0</v>
      </c>
      <c r="V91" s="126">
        <v>1</v>
      </c>
      <c r="W91" s="126">
        <v>5</v>
      </c>
      <c r="X91" s="126">
        <v>3</v>
      </c>
      <c r="Y91" s="127">
        <f>+V91*((X91*'1. Standard_Cost'!$B$19)+(W91*X91*'1. Standard_Cost'!$C$19))</f>
        <v>255000</v>
      </c>
      <c r="Z91" s="126"/>
      <c r="AA91" s="126"/>
      <c r="AB91" s="127">
        <f>+Z91*'1. Standard_Cost'!$B$23+AA91*'1. Standard_Cost'!$C$23</f>
        <v>0</v>
      </c>
      <c r="AC91" s="128">
        <v>127045</v>
      </c>
      <c r="AD91" s="129"/>
      <c r="AE91" s="127">
        <f>SUM(AD91,AC91,AB91,Y91,U91,T91,S91,R91)*'1. Standard_Cost'!$B$31</f>
        <v>76409</v>
      </c>
      <c r="AF91" s="127">
        <f>SUM(AE91,AD91,AC91,AB91,Y91,U91,T91,S91,R91)</f>
        <v>458454</v>
      </c>
      <c r="AG91" s="126"/>
      <c r="AH91" s="126"/>
      <c r="AI91" s="126"/>
      <c r="AJ91" s="130"/>
      <c r="AK91" s="130"/>
      <c r="AL91" s="130"/>
      <c r="AM91" s="127">
        <f>AG91*'1. Standard_Cost'!$B$27+'Incremental_Cost Year 7'!AH91*'1. Standard_Cost'!$C$27+'Incremental_Cost Year 7'!AI91*'1. Standard_Cost'!$D$27+'Incremental_Cost Year 7'!AJ91+'Incremental_Cost Year 7'!AL91+AK91</f>
        <v>0</v>
      </c>
      <c r="AN91" s="127">
        <f>AM91*'1. Standard_Cost'!$C$31</f>
        <v>0</v>
      </c>
      <c r="AO91" s="130"/>
      <c r="AQ91" s="171">
        <f>L91+M91</f>
        <v>1058702.3999999999</v>
      </c>
      <c r="AR91" s="171">
        <f>AF91</f>
        <v>458454</v>
      </c>
      <c r="AS91" s="171">
        <f>AM91+AN91</f>
        <v>0</v>
      </c>
      <c r="AT91" s="171">
        <f>SUM(AQ91,AR91,AS91)</f>
        <v>1517156.4</v>
      </c>
      <c r="AU91" s="250">
        <v>1517156</v>
      </c>
      <c r="AV91" s="250"/>
      <c r="AW91" s="250"/>
      <c r="AX91" s="250"/>
      <c r="AY91" s="250"/>
      <c r="AZ91" s="250"/>
      <c r="BA91" s="250"/>
      <c r="BB91" s="251">
        <f t="shared" si="61"/>
        <v>-0.39999999990686774</v>
      </c>
      <c r="BC91" s="169"/>
      <c r="BD91" s="169"/>
      <c r="BE91" s="169"/>
      <c r="BF91" s="169"/>
    </row>
    <row r="92" spans="1:58" ht="78.75" outlineLevel="1" x14ac:dyDescent="0.25">
      <c r="A92" s="115"/>
      <c r="B92" s="165"/>
      <c r="C92" s="166"/>
      <c r="D92" s="150" t="s">
        <v>240</v>
      </c>
      <c r="E92" s="212" t="s">
        <v>271</v>
      </c>
      <c r="F92" s="104">
        <v>2021</v>
      </c>
      <c r="G92" s="104">
        <v>2030</v>
      </c>
      <c r="H92" s="110" t="s">
        <v>272</v>
      </c>
      <c r="I92" s="252"/>
      <c r="J92" s="252"/>
      <c r="K92" s="252"/>
      <c r="L92" s="127">
        <f>SUM(L89:L91)</f>
        <v>5263200</v>
      </c>
      <c r="M92" s="127">
        <f>SUM(M89:M91)</f>
        <v>878954.4</v>
      </c>
      <c r="N92" s="252"/>
      <c r="O92" s="252"/>
      <c r="P92" s="252"/>
      <c r="Q92" s="252"/>
      <c r="R92" s="127">
        <f>SUM(R89:R91)</f>
        <v>0</v>
      </c>
      <c r="S92" s="127">
        <f>SUM(S89:S91)</f>
        <v>0</v>
      </c>
      <c r="T92" s="127">
        <f>SUM(T89:T91)</f>
        <v>0</v>
      </c>
      <c r="U92" s="127">
        <f>SUM(U89:U91)</f>
        <v>0</v>
      </c>
      <c r="V92" s="252"/>
      <c r="W92" s="252"/>
      <c r="X92" s="252"/>
      <c r="Y92" s="127">
        <f>SUM(Y89:Y91)</f>
        <v>255000</v>
      </c>
      <c r="Z92" s="252"/>
      <c r="AA92" s="252"/>
      <c r="AB92" s="127">
        <f>SUM(AB89:AB91)</f>
        <v>475000</v>
      </c>
      <c r="AC92" s="127">
        <f>SUM(AC89:AC91)</f>
        <v>736961</v>
      </c>
      <c r="AD92" s="127">
        <f>SUM(AD89:AD91)</f>
        <v>0</v>
      </c>
      <c r="AE92" s="127">
        <f>SUM(AE89:AE91)</f>
        <v>293392.2</v>
      </c>
      <c r="AF92" s="127">
        <f>SUM(AF89:AF91)</f>
        <v>1760353.2</v>
      </c>
      <c r="AG92" s="252"/>
      <c r="AH92" s="252"/>
      <c r="AI92" s="252"/>
      <c r="AJ92" s="127">
        <f>SUM(AJ89:AJ91)</f>
        <v>0</v>
      </c>
      <c r="AK92" s="127">
        <f>SUM(AK89:AK91)</f>
        <v>0</v>
      </c>
      <c r="AL92" s="127">
        <f>SUM(AL89:AL91)</f>
        <v>0</v>
      </c>
      <c r="AM92" s="127">
        <f>SUM(AM89:AM91)</f>
        <v>0</v>
      </c>
      <c r="AN92" s="127">
        <f>SUM(AN89:AN91)</f>
        <v>0</v>
      </c>
      <c r="AO92" s="253"/>
      <c r="AP92" s="254"/>
      <c r="AQ92" s="175">
        <f>SUM(AQ89:AQ91)</f>
        <v>6142154.4000000004</v>
      </c>
      <c r="AR92" s="175">
        <f>SUM(AR89:AR91)</f>
        <v>1760353.2</v>
      </c>
      <c r="AS92" s="175">
        <f>SUM(AS89:AS91)</f>
        <v>0</v>
      </c>
      <c r="AT92" s="175">
        <f>SUM(AT89:AT91)</f>
        <v>7902507.5999999996</v>
      </c>
      <c r="AU92" s="175">
        <f t="shared" ref="AU92:BB92" si="62">SUM(AU89:AU91)</f>
        <v>7332507</v>
      </c>
      <c r="AV92" s="175">
        <f t="shared" si="62"/>
        <v>0</v>
      </c>
      <c r="AW92" s="175">
        <f t="shared" si="62"/>
        <v>0</v>
      </c>
      <c r="AX92" s="175">
        <f t="shared" si="62"/>
        <v>0</v>
      </c>
      <c r="AY92" s="175">
        <f t="shared" si="62"/>
        <v>0</v>
      </c>
      <c r="AZ92" s="175">
        <f t="shared" si="62"/>
        <v>0</v>
      </c>
      <c r="BA92" s="175">
        <f t="shared" si="62"/>
        <v>0</v>
      </c>
      <c r="BB92" s="175">
        <f t="shared" si="62"/>
        <v>-570000.60000000009</v>
      </c>
      <c r="BC92" s="169"/>
      <c r="BD92" s="169"/>
      <c r="BE92" s="169"/>
      <c r="BF92" s="169"/>
    </row>
    <row r="93" spans="1:58" s="184" customFormat="1" ht="15.75" customHeight="1" x14ac:dyDescent="0.25">
      <c r="A93" s="143"/>
      <c r="B93" s="290"/>
      <c r="C93" s="391" t="s">
        <v>537</v>
      </c>
      <c r="D93" s="391"/>
      <c r="E93" s="392"/>
      <c r="F93" s="291"/>
      <c r="G93" s="291"/>
      <c r="H93" s="144" t="s">
        <v>165</v>
      </c>
      <c r="I93" s="257"/>
      <c r="J93" s="257"/>
      <c r="K93" s="257"/>
      <c r="L93" s="258">
        <f>SUM(L99)</f>
        <v>1850850</v>
      </c>
      <c r="M93" s="258">
        <f>SUM(M99)</f>
        <v>309091.95</v>
      </c>
      <c r="N93" s="257"/>
      <c r="O93" s="257"/>
      <c r="P93" s="257"/>
      <c r="Q93" s="257"/>
      <c r="R93" s="258">
        <f>SUM(R99)</f>
        <v>0</v>
      </c>
      <c r="S93" s="258">
        <f>SUM(S99)</f>
        <v>0</v>
      </c>
      <c r="T93" s="258">
        <f>SUM(T99)</f>
        <v>0</v>
      </c>
      <c r="U93" s="258">
        <f>SUM(U99)</f>
        <v>0</v>
      </c>
      <c r="V93" s="257"/>
      <c r="W93" s="257"/>
      <c r="X93" s="257"/>
      <c r="Y93" s="258">
        <f>SUM(Y99)</f>
        <v>0</v>
      </c>
      <c r="Z93" s="257"/>
      <c r="AA93" s="257"/>
      <c r="AB93" s="258">
        <f>SUM(AB99)</f>
        <v>570000</v>
      </c>
      <c r="AC93" s="258">
        <f>SUM(AC99)</f>
        <v>284282</v>
      </c>
      <c r="AD93" s="258">
        <f>SUM(AD99)</f>
        <v>0</v>
      </c>
      <c r="AE93" s="258">
        <f>SUM(AE99)</f>
        <v>170856.4</v>
      </c>
      <c r="AF93" s="258">
        <f>SUM(AF99)</f>
        <v>1025138.4</v>
      </c>
      <c r="AG93" s="257"/>
      <c r="AH93" s="257"/>
      <c r="AI93" s="257"/>
      <c r="AJ93" s="258">
        <f>SUM(AJ99)</f>
        <v>0</v>
      </c>
      <c r="AK93" s="258">
        <f>SUM(AK99)</f>
        <v>0</v>
      </c>
      <c r="AL93" s="258">
        <f>SUM(AL99)</f>
        <v>0</v>
      </c>
      <c r="AM93" s="258">
        <f>SUM(AM99)</f>
        <v>0</v>
      </c>
      <c r="AN93" s="258">
        <f>SUM(AN99)</f>
        <v>0</v>
      </c>
      <c r="AO93" s="259"/>
      <c r="AP93" s="260"/>
      <c r="AQ93" s="261">
        <f>SUM(AQ99)</f>
        <v>2159941.9500000002</v>
      </c>
      <c r="AR93" s="261">
        <f>SUM(AR99)</f>
        <v>1025138.4</v>
      </c>
      <c r="AS93" s="261">
        <f>SUM(AS99)</f>
        <v>0</v>
      </c>
      <c r="AT93" s="261">
        <f>SUM(AT99)</f>
        <v>3185080.35</v>
      </c>
      <c r="AU93" s="261">
        <f t="shared" ref="AU93:BA93" si="63">SUM(AU99)</f>
        <v>2387080</v>
      </c>
      <c r="AV93" s="261">
        <f t="shared" si="63"/>
        <v>0</v>
      </c>
      <c r="AW93" s="261">
        <f t="shared" si="63"/>
        <v>0</v>
      </c>
      <c r="AX93" s="261">
        <f t="shared" si="63"/>
        <v>0</v>
      </c>
      <c r="AY93" s="261">
        <f t="shared" si="63"/>
        <v>0</v>
      </c>
      <c r="AZ93" s="261">
        <f t="shared" si="63"/>
        <v>0</v>
      </c>
      <c r="BA93" s="261">
        <f t="shared" si="63"/>
        <v>0</v>
      </c>
      <c r="BB93" s="261">
        <f>SUM(BB99)</f>
        <v>-798000.35000000009</v>
      </c>
    </row>
    <row r="94" spans="1:58" ht="94.5" outlineLevel="2" x14ac:dyDescent="0.25">
      <c r="A94" s="115"/>
      <c r="B94" s="200"/>
      <c r="C94" s="201"/>
      <c r="D94" s="346"/>
      <c r="E94" s="321"/>
      <c r="F94" s="306"/>
      <c r="G94" s="307"/>
      <c r="H94" s="109" t="s">
        <v>427</v>
      </c>
      <c r="I94" s="130"/>
      <c r="J94" s="126"/>
      <c r="K94" s="126"/>
      <c r="L94" s="125" t="str">
        <f>IF(I94&lt;&gt;0,((VLOOKUP(I94,'1. Standard_Cost'!$B$4:$D$11,2)+VLOOKUP(I94,'1. Standard_Cost'!$B$4:$D$11,3))*J94*K94),"0")</f>
        <v>0</v>
      </c>
      <c r="M94" s="125">
        <f>L94*'1. Standard_Cost'!$F$4</f>
        <v>0</v>
      </c>
      <c r="N94" s="126"/>
      <c r="O94" s="126"/>
      <c r="P94" s="126"/>
      <c r="Q94" s="126"/>
      <c r="R94" s="127">
        <f>'1. Standard_Cost'!$B$15*N94*P94</f>
        <v>0</v>
      </c>
      <c r="S94" s="127">
        <f>N94*O94*P94*'1. Standard_Cost'!$C$15</f>
        <v>0</v>
      </c>
      <c r="T94" s="127">
        <f>N94*P94*Q94*'1. Standard_Cost'!$D$15</f>
        <v>0</v>
      </c>
      <c r="U94" s="127">
        <f>N94*O94*'1. Standard_Cost'!$E$15</f>
        <v>0</v>
      </c>
      <c r="V94" s="126"/>
      <c r="W94" s="126"/>
      <c r="X94" s="126"/>
      <c r="Y94" s="127">
        <f>+V94*((X94*'1. Standard_Cost'!$B$19)+(W94*X94*'1. Standard_Cost'!$C$19))</f>
        <v>0</v>
      </c>
      <c r="Z94" s="126"/>
      <c r="AA94" s="126"/>
      <c r="AB94" s="127">
        <f>+Z94*'1. Standard_Cost'!$B$23+AA94*'1. Standard_Cost'!$C$23</f>
        <v>0</v>
      </c>
      <c r="AC94" s="128"/>
      <c r="AD94" s="129"/>
      <c r="AE94" s="127">
        <f>SUM(AD94,AC94,AB94,Y94,U94,T94,S94,R94)*'1. Standard_Cost'!$B$31</f>
        <v>0</v>
      </c>
      <c r="AF94" s="127">
        <f>SUM(AE94,AD94,AC94,AB94,Y94,U94,T94,S94,R94)</f>
        <v>0</v>
      </c>
      <c r="AG94" s="126"/>
      <c r="AH94" s="126"/>
      <c r="AI94" s="126"/>
      <c r="AJ94" s="130"/>
      <c r="AK94" s="130"/>
      <c r="AL94" s="130"/>
      <c r="AM94" s="127">
        <f>AG94*'1. Standard_Cost'!$B$27+'Incremental_Cost Year 7'!AH94*'1. Standard_Cost'!$C$27+'Incremental_Cost Year 7'!AI94*'1. Standard_Cost'!$D$27+'Incremental_Cost Year 7'!AJ94+'Incremental_Cost Year 7'!AL94+AK94</f>
        <v>0</v>
      </c>
      <c r="AN94" s="127">
        <f>AM94*'1. Standard_Cost'!$C$31</f>
        <v>0</v>
      </c>
      <c r="AO94" s="130"/>
      <c r="AQ94" s="171">
        <f>L94+M94</f>
        <v>0</v>
      </c>
      <c r="AR94" s="171">
        <f>AF94</f>
        <v>0</v>
      </c>
      <c r="AS94" s="171">
        <f>AM94+AN94</f>
        <v>0</v>
      </c>
      <c r="AT94" s="171">
        <f>SUM(AQ94,AR94,AS94)</f>
        <v>0</v>
      </c>
      <c r="AU94" s="250"/>
      <c r="AV94" s="250"/>
      <c r="AW94" s="250"/>
      <c r="AX94" s="250"/>
      <c r="AY94" s="250"/>
      <c r="AZ94" s="250"/>
      <c r="BA94" s="250"/>
      <c r="BB94" s="251">
        <f t="shared" ref="BB94:BB98" si="64">SUM(AU94:BA94)-AT94</f>
        <v>0</v>
      </c>
      <c r="BC94" s="169"/>
      <c r="BD94" s="169"/>
      <c r="BE94" s="169"/>
      <c r="BF94" s="169"/>
    </row>
    <row r="95" spans="1:58" ht="63" outlineLevel="2" x14ac:dyDescent="0.25">
      <c r="A95" s="115"/>
      <c r="B95" s="200"/>
      <c r="C95" s="201"/>
      <c r="D95" s="203"/>
      <c r="E95" s="323"/>
      <c r="F95" s="308"/>
      <c r="G95" s="309"/>
      <c r="H95" s="109" t="s">
        <v>428</v>
      </c>
      <c r="I95" s="130" t="s">
        <v>3</v>
      </c>
      <c r="J95" s="126">
        <v>2</v>
      </c>
      <c r="K95" s="126">
        <v>5</v>
      </c>
      <c r="L95" s="125">
        <f>IF(I95&lt;&gt;0,((VLOOKUP(I95,'1. Standard_Cost'!$B$4:$D$11,2)+VLOOKUP(I95,'1. Standard_Cost'!$B$4:$D$11,3))*J95*K95),"0")</f>
        <v>1008000</v>
      </c>
      <c r="M95" s="125">
        <f>L95*'1. Standard_Cost'!$F$4</f>
        <v>168336</v>
      </c>
      <c r="N95" s="126"/>
      <c r="O95" s="126"/>
      <c r="P95" s="126"/>
      <c r="Q95" s="126"/>
      <c r="R95" s="127">
        <f>'1. Standard_Cost'!$B$15*N95*P95</f>
        <v>0</v>
      </c>
      <c r="S95" s="127">
        <f>N95*O95*P95*'1. Standard_Cost'!$C$15</f>
        <v>0</v>
      </c>
      <c r="T95" s="127">
        <f>N95*P95*Q95*'1. Standard_Cost'!$D$15</f>
        <v>0</v>
      </c>
      <c r="U95" s="127">
        <f>N95*O95*'1. Standard_Cost'!$E$15</f>
        <v>0</v>
      </c>
      <c r="V95" s="126"/>
      <c r="W95" s="126"/>
      <c r="X95" s="126"/>
      <c r="Y95" s="127">
        <f>+V95*((X95*'1. Standard_Cost'!$B$19)+(W95*X95*'1. Standard_Cost'!$C$19))</f>
        <v>0</v>
      </c>
      <c r="Z95" s="126"/>
      <c r="AA95" s="126"/>
      <c r="AB95" s="127">
        <f>+Z95*'1. Standard_Cost'!$B$23+AA95*'1. Standard_Cost'!$C$23</f>
        <v>0</v>
      </c>
      <c r="AC95" s="128">
        <v>141200</v>
      </c>
      <c r="AD95" s="129"/>
      <c r="AE95" s="127">
        <f>SUM(AD95,AC95,AB95,Y95,U95,T95,S95,R95)*'1. Standard_Cost'!$B$31</f>
        <v>28240</v>
      </c>
      <c r="AF95" s="127">
        <f>SUM(AE95,AD95,AC95,AB95,Y95,U95,T95,S95,R95)</f>
        <v>169440</v>
      </c>
      <c r="AG95" s="126"/>
      <c r="AH95" s="126"/>
      <c r="AI95" s="126"/>
      <c r="AJ95" s="130"/>
      <c r="AK95" s="130"/>
      <c r="AL95" s="130"/>
      <c r="AM95" s="127">
        <f>AG95*'1. Standard_Cost'!$B$27+'Incremental_Cost Year 7'!AH95*'1. Standard_Cost'!$C$27+'Incremental_Cost Year 7'!AI95*'1. Standard_Cost'!$D$27+'Incremental_Cost Year 7'!AJ95+'Incremental_Cost Year 7'!AL95+AK95</f>
        <v>0</v>
      </c>
      <c r="AN95" s="127">
        <f>AM95*'1. Standard_Cost'!$C$31</f>
        <v>0</v>
      </c>
      <c r="AO95" s="130"/>
      <c r="AQ95" s="171">
        <f>L95+M95</f>
        <v>1176336</v>
      </c>
      <c r="AR95" s="171">
        <f>AF95</f>
        <v>169440</v>
      </c>
      <c r="AS95" s="171">
        <f>AM95+AN95</f>
        <v>0</v>
      </c>
      <c r="AT95" s="171">
        <f>SUM(AQ95,AR95,AS95)</f>
        <v>1345776</v>
      </c>
      <c r="AU95" s="250">
        <v>1345776</v>
      </c>
      <c r="AV95" s="250"/>
      <c r="AW95" s="250"/>
      <c r="AX95" s="250"/>
      <c r="AY95" s="250"/>
      <c r="AZ95" s="250"/>
      <c r="BA95" s="250"/>
      <c r="BB95" s="251">
        <f t="shared" si="64"/>
        <v>0</v>
      </c>
      <c r="BC95" s="169"/>
      <c r="BD95" s="169"/>
      <c r="BE95" s="169"/>
      <c r="BF95" s="169"/>
    </row>
    <row r="96" spans="1:58" ht="78.75" outlineLevel="2" x14ac:dyDescent="0.25">
      <c r="A96" s="115"/>
      <c r="B96" s="200"/>
      <c r="C96" s="201"/>
      <c r="D96" s="203"/>
      <c r="E96" s="323"/>
      <c r="F96" s="326"/>
      <c r="G96" s="327"/>
      <c r="H96" s="109" t="s">
        <v>429</v>
      </c>
      <c r="I96" s="130"/>
      <c r="J96" s="126"/>
      <c r="K96" s="126"/>
      <c r="L96" s="125" t="str">
        <f>IF(I96&lt;&gt;0,((VLOOKUP(I96,'1. Standard_Cost'!$B$4:$D$11,2)+VLOOKUP(I96,'1. Standard_Cost'!$B$4:$D$11,3))*J96*K96),"0")</f>
        <v>0</v>
      </c>
      <c r="M96" s="125">
        <f>L96*'1. Standard_Cost'!$F$4</f>
        <v>0</v>
      </c>
      <c r="N96" s="126"/>
      <c r="O96" s="126"/>
      <c r="P96" s="126"/>
      <c r="Q96" s="126"/>
      <c r="R96" s="127">
        <f>'1. Standard_Cost'!$B$15*N96*P96</f>
        <v>0</v>
      </c>
      <c r="S96" s="127">
        <f>N96*O96*P96*'1. Standard_Cost'!$C$15</f>
        <v>0</v>
      </c>
      <c r="T96" s="127">
        <f>N96*P96*Q96*'1. Standard_Cost'!$D$15</f>
        <v>0</v>
      </c>
      <c r="U96" s="127">
        <f>N96*O96*'1. Standard_Cost'!$E$15</f>
        <v>0</v>
      </c>
      <c r="V96" s="126"/>
      <c r="W96" s="126"/>
      <c r="X96" s="126"/>
      <c r="Y96" s="127">
        <f>+V96*((X96*'1. Standard_Cost'!$B$19)+(W96*X96*'1. Standard_Cost'!$C$19))</f>
        <v>0</v>
      </c>
      <c r="Z96" s="126"/>
      <c r="AA96" s="126"/>
      <c r="AB96" s="127">
        <f>+Z96*'1. Standard_Cost'!$B$23+AA96*'1. Standard_Cost'!$C$23</f>
        <v>0</v>
      </c>
      <c r="AC96" s="128"/>
      <c r="AD96" s="129"/>
      <c r="AE96" s="127">
        <f>SUM(AD96,AC96,AB96,Y96,U96,T96,S96,R96)*'1. Standard_Cost'!$B$31</f>
        <v>0</v>
      </c>
      <c r="AF96" s="127">
        <f>SUM(AE96,AD96,AC96,AB96,Y96,U96,T96,S96,R96)</f>
        <v>0</v>
      </c>
      <c r="AG96" s="126"/>
      <c r="AH96" s="126"/>
      <c r="AI96" s="126"/>
      <c r="AJ96" s="130"/>
      <c r="AK96" s="130"/>
      <c r="AL96" s="130"/>
      <c r="AM96" s="127">
        <f>AG96*'1. Standard_Cost'!$B$27+'Incremental_Cost Year 7'!AH96*'1. Standard_Cost'!$C$27+'Incremental_Cost Year 7'!AI96*'1. Standard_Cost'!$D$27+'Incremental_Cost Year 7'!AJ96+'Incremental_Cost Year 7'!AL96+AK96</f>
        <v>0</v>
      </c>
      <c r="AN96" s="127">
        <f>AM96*'1. Standard_Cost'!$C$31</f>
        <v>0</v>
      </c>
      <c r="AO96" s="130"/>
      <c r="AQ96" s="171">
        <f>L96+M96</f>
        <v>0</v>
      </c>
      <c r="AR96" s="171">
        <f>AF96</f>
        <v>0</v>
      </c>
      <c r="AS96" s="171">
        <f>AM96+AN96</f>
        <v>0</v>
      </c>
      <c r="AT96" s="171">
        <f>SUM(AQ96,AR96,AS96)</f>
        <v>0</v>
      </c>
      <c r="AU96" s="250"/>
      <c r="AV96" s="250"/>
      <c r="AW96" s="250"/>
      <c r="AX96" s="250"/>
      <c r="AY96" s="250"/>
      <c r="AZ96" s="250"/>
      <c r="BA96" s="250"/>
      <c r="BB96" s="251">
        <f t="shared" si="64"/>
        <v>0</v>
      </c>
      <c r="BC96" s="169"/>
      <c r="BD96" s="169"/>
      <c r="BE96" s="169"/>
      <c r="BF96" s="169"/>
    </row>
    <row r="97" spans="1:58" ht="126" outlineLevel="2" x14ac:dyDescent="0.25">
      <c r="A97" s="115"/>
      <c r="B97" s="200"/>
      <c r="C97" s="201"/>
      <c r="D97" s="203"/>
      <c r="E97" s="323"/>
      <c r="F97" s="308"/>
      <c r="G97" s="309"/>
      <c r="H97" s="225" t="s">
        <v>430</v>
      </c>
      <c r="I97" s="130" t="s">
        <v>4</v>
      </c>
      <c r="J97" s="126">
        <v>2</v>
      </c>
      <c r="K97" s="126">
        <v>5</v>
      </c>
      <c r="L97" s="125">
        <f>IF(I97&lt;&gt;0,((VLOOKUP(I97,'1. Standard_Cost'!$B$4:$D$11,2)+VLOOKUP(I97,'1. Standard_Cost'!$B$4:$D$11,3))*J97*K97),"0")</f>
        <v>807500</v>
      </c>
      <c r="M97" s="125">
        <f>L97*'1. Standard_Cost'!$F$4</f>
        <v>134852.5</v>
      </c>
      <c r="N97" s="126"/>
      <c r="O97" s="126"/>
      <c r="P97" s="126"/>
      <c r="Q97" s="126"/>
      <c r="R97" s="127">
        <f>'1. Standard_Cost'!$B$15*N97*P97</f>
        <v>0</v>
      </c>
      <c r="S97" s="127">
        <f>N97*O97*P97*'1. Standard_Cost'!$C$15</f>
        <v>0</v>
      </c>
      <c r="T97" s="127">
        <f>N97*P97*Q97*'1. Standard_Cost'!$D$15</f>
        <v>0</v>
      </c>
      <c r="U97" s="127">
        <f>N97*O97*'1. Standard_Cost'!$E$15</f>
        <v>0</v>
      </c>
      <c r="V97" s="126"/>
      <c r="W97" s="126"/>
      <c r="X97" s="126"/>
      <c r="Y97" s="127">
        <f>+V97*((X97*'1. Standard_Cost'!$B$19)+(W97*X97*'1. Standard_Cost'!$C$19))</f>
        <v>0</v>
      </c>
      <c r="Z97" s="126"/>
      <c r="AA97" s="126">
        <v>30</v>
      </c>
      <c r="AB97" s="127">
        <f>+Z97*'1. Standard_Cost'!$B$23+AA97*'1. Standard_Cost'!$C$23</f>
        <v>570000</v>
      </c>
      <c r="AC97" s="128">
        <v>113082</v>
      </c>
      <c r="AD97" s="129"/>
      <c r="AE97" s="127">
        <f>SUM(AD97,AC97,AB97,Y97,U97,T97,S97,R97)*'1. Standard_Cost'!$B$31</f>
        <v>136616.4</v>
      </c>
      <c r="AF97" s="127">
        <f>SUM(AE97,AD97,AC97,AB97,Y97,U97,T97,S97,R97)</f>
        <v>819698.4</v>
      </c>
      <c r="AG97" s="126"/>
      <c r="AH97" s="126"/>
      <c r="AI97" s="126"/>
      <c r="AJ97" s="130"/>
      <c r="AK97" s="130"/>
      <c r="AL97" s="130"/>
      <c r="AM97" s="127">
        <f>AG97*'1. Standard_Cost'!$B$27+'Incremental_Cost Year 7'!AH97*'1. Standard_Cost'!$C$27+'Incremental_Cost Year 7'!AI97*'1. Standard_Cost'!$D$27+'Incremental_Cost Year 7'!AJ97+'Incremental_Cost Year 7'!AL97+AK97</f>
        <v>0</v>
      </c>
      <c r="AN97" s="127">
        <f>AM97*'1. Standard_Cost'!$C$31</f>
        <v>0</v>
      </c>
      <c r="AO97" s="130"/>
      <c r="AQ97" s="171">
        <f>L97+M97</f>
        <v>942352.5</v>
      </c>
      <c r="AR97" s="171">
        <f>AF97</f>
        <v>819698.4</v>
      </c>
      <c r="AS97" s="171">
        <f>AM97+AN97</f>
        <v>0</v>
      </c>
      <c r="AT97" s="171">
        <f>SUM(AQ97,AR97,AS97)</f>
        <v>1762050.9</v>
      </c>
      <c r="AU97" s="250">
        <v>964051</v>
      </c>
      <c r="AV97" s="250"/>
      <c r="AW97" s="250"/>
      <c r="AX97" s="250"/>
      <c r="AY97" s="250"/>
      <c r="AZ97" s="250"/>
      <c r="BA97" s="250"/>
      <c r="BB97" s="251">
        <f t="shared" si="64"/>
        <v>-797999.89999999991</v>
      </c>
      <c r="BC97" s="169"/>
      <c r="BD97" s="169"/>
      <c r="BE97" s="169"/>
      <c r="BF97" s="169"/>
    </row>
    <row r="98" spans="1:58" ht="78.75" outlineLevel="2" x14ac:dyDescent="0.25">
      <c r="A98" s="115"/>
      <c r="B98" s="200"/>
      <c r="C98" s="201"/>
      <c r="D98" s="133"/>
      <c r="E98" s="323"/>
      <c r="F98" s="308"/>
      <c r="G98" s="309"/>
      <c r="H98" s="109" t="s">
        <v>431</v>
      </c>
      <c r="I98" s="130" t="s">
        <v>5</v>
      </c>
      <c r="J98" s="126">
        <v>0.5</v>
      </c>
      <c r="K98" s="126">
        <v>1</v>
      </c>
      <c r="L98" s="125">
        <f>IF(I98&lt;&gt;0,((VLOOKUP(I98,'1. Standard_Cost'!$B$4:$D$11,2)+VLOOKUP(I98,'1. Standard_Cost'!$B$4:$D$11,3))*J98*K98),"0")</f>
        <v>35350</v>
      </c>
      <c r="M98" s="125">
        <f>L98*'1. Standard_Cost'!$F$4</f>
        <v>5903.4500000000007</v>
      </c>
      <c r="N98" s="126"/>
      <c r="O98" s="126"/>
      <c r="P98" s="126"/>
      <c r="Q98" s="126"/>
      <c r="R98" s="127">
        <f>'1. Standard_Cost'!$B$15*N98*P98</f>
        <v>0</v>
      </c>
      <c r="S98" s="127">
        <f>N98*O98*P98*'1. Standard_Cost'!$C$15</f>
        <v>0</v>
      </c>
      <c r="T98" s="127">
        <f>N98*P98*Q98*'1. Standard_Cost'!$D$15</f>
        <v>0</v>
      </c>
      <c r="U98" s="127">
        <f>N98*O98*'1. Standard_Cost'!$E$15</f>
        <v>0</v>
      </c>
      <c r="V98" s="126"/>
      <c r="W98" s="126"/>
      <c r="X98" s="126"/>
      <c r="Y98" s="127">
        <f>+V98*((X98*'1. Standard_Cost'!$B$19)+(W98*X98*'1. Standard_Cost'!$C$19))</f>
        <v>0</v>
      </c>
      <c r="Z98" s="126"/>
      <c r="AA98" s="145"/>
      <c r="AB98" s="127">
        <f>+Z98*'1. Standard_Cost'!$B$23+AA98*'1. Standard_Cost'!$C$23</f>
        <v>0</v>
      </c>
      <c r="AC98" s="128">
        <v>30000</v>
      </c>
      <c r="AD98" s="129"/>
      <c r="AE98" s="127">
        <f>SUM(AD98,AC98,AB98,Y98,U98,T98,S98,R98)*'1. Standard_Cost'!$B$31</f>
        <v>6000</v>
      </c>
      <c r="AF98" s="127">
        <f>SUM(AE98,AD98,AC98,AB98,Y98,U98,T98,S98,R98)</f>
        <v>36000</v>
      </c>
      <c r="AG98" s="126"/>
      <c r="AH98" s="126"/>
      <c r="AI98" s="126"/>
      <c r="AJ98" s="130"/>
      <c r="AK98" s="130"/>
      <c r="AL98" s="130"/>
      <c r="AM98" s="127">
        <f>AG98*'1. Standard_Cost'!$B$27+'Incremental_Cost Year 7'!AH98*'1. Standard_Cost'!$C$27+'Incremental_Cost Year 7'!AI98*'1. Standard_Cost'!$D$27+'Incremental_Cost Year 7'!AJ98+'Incremental_Cost Year 7'!AL98+AK98</f>
        <v>0</v>
      </c>
      <c r="AN98" s="127">
        <f>AM98*'1. Standard_Cost'!$C$31</f>
        <v>0</v>
      </c>
      <c r="AO98" s="262"/>
      <c r="AQ98" s="171">
        <f>L98+M98</f>
        <v>41253.449999999997</v>
      </c>
      <c r="AR98" s="171">
        <f>AF98</f>
        <v>36000</v>
      </c>
      <c r="AS98" s="171">
        <f>AM98+AN98</f>
        <v>0</v>
      </c>
      <c r="AT98" s="171">
        <f>SUM(AQ98,AR98,AS98)</f>
        <v>77253.45</v>
      </c>
      <c r="AU98" s="250">
        <v>77253</v>
      </c>
      <c r="AV98" s="250"/>
      <c r="AW98" s="250"/>
      <c r="AX98" s="250"/>
      <c r="AY98" s="250"/>
      <c r="AZ98" s="250"/>
      <c r="BA98" s="250"/>
      <c r="BB98" s="251">
        <f t="shared" si="64"/>
        <v>-0.44999999999708962</v>
      </c>
      <c r="BC98" s="169"/>
      <c r="BD98" s="169"/>
      <c r="BE98" s="169"/>
      <c r="BF98" s="169"/>
    </row>
    <row r="99" spans="1:58" ht="94.5" outlineLevel="1" x14ac:dyDescent="0.25">
      <c r="A99" s="115"/>
      <c r="B99" s="165"/>
      <c r="C99" s="166"/>
      <c r="D99" s="212" t="s">
        <v>432</v>
      </c>
      <c r="E99" s="212" t="s">
        <v>274</v>
      </c>
      <c r="F99" s="136">
        <v>2022</v>
      </c>
      <c r="G99" s="117">
        <v>2030</v>
      </c>
      <c r="H99" s="110" t="s">
        <v>164</v>
      </c>
      <c r="I99" s="252"/>
      <c r="J99" s="252"/>
      <c r="K99" s="252"/>
      <c r="L99" s="127">
        <f>SUM(L94:L98)</f>
        <v>1850850</v>
      </c>
      <c r="M99" s="127">
        <f>SUM(M94:M98)</f>
        <v>309091.95</v>
      </c>
      <c r="N99" s="252"/>
      <c r="O99" s="252"/>
      <c r="P99" s="252"/>
      <c r="Q99" s="252"/>
      <c r="R99" s="127">
        <f>SUM(R94:R98)</f>
        <v>0</v>
      </c>
      <c r="S99" s="127">
        <f>SUM(S94:S98)</f>
        <v>0</v>
      </c>
      <c r="T99" s="127">
        <f>SUM(T94:T98)</f>
        <v>0</v>
      </c>
      <c r="U99" s="127">
        <f>SUM(U94:U98)</f>
        <v>0</v>
      </c>
      <c r="V99" s="252"/>
      <c r="W99" s="252"/>
      <c r="X99" s="252"/>
      <c r="Y99" s="127">
        <f>SUM(Y94:Y98)</f>
        <v>0</v>
      </c>
      <c r="Z99" s="127"/>
      <c r="AA99" s="252"/>
      <c r="AB99" s="127">
        <f>SUM(AB94:AB98)</f>
        <v>570000</v>
      </c>
      <c r="AC99" s="127">
        <f>SUM(AC94:AC98)</f>
        <v>284282</v>
      </c>
      <c r="AD99" s="127">
        <f>SUM(AD94:AD98)</f>
        <v>0</v>
      </c>
      <c r="AE99" s="127">
        <f>SUM(AE94:AE98)</f>
        <v>170856.4</v>
      </c>
      <c r="AF99" s="127">
        <f>SUM(AF94:AF98)</f>
        <v>1025138.4</v>
      </c>
      <c r="AG99" s="252"/>
      <c r="AH99" s="252"/>
      <c r="AI99" s="252"/>
      <c r="AJ99" s="127">
        <f>SUM(AJ94:AJ98)</f>
        <v>0</v>
      </c>
      <c r="AK99" s="127">
        <f>SUM(AK94:AK98)</f>
        <v>0</v>
      </c>
      <c r="AL99" s="127">
        <f>SUM(AL94:AL98)</f>
        <v>0</v>
      </c>
      <c r="AM99" s="127">
        <f>SUM(AM94:AM98)</f>
        <v>0</v>
      </c>
      <c r="AN99" s="127">
        <f>SUM(AN94:AN98)</f>
        <v>0</v>
      </c>
      <c r="AO99" s="253"/>
      <c r="AP99" s="254"/>
      <c r="AQ99" s="175">
        <f>SUM(AQ94:AQ98)</f>
        <v>2159941.9500000002</v>
      </c>
      <c r="AR99" s="175">
        <f>SUM(AR94:AR98)</f>
        <v>1025138.4</v>
      </c>
      <c r="AS99" s="175">
        <f>SUM(AS94:AS98)</f>
        <v>0</v>
      </c>
      <c r="AT99" s="175">
        <f>SUM(AT94:AT98)</f>
        <v>3185080.35</v>
      </c>
      <c r="AU99" s="175">
        <f t="shared" ref="AU99:BA99" si="65">SUM(AU94:AU98)</f>
        <v>2387080</v>
      </c>
      <c r="AV99" s="175">
        <f t="shared" si="65"/>
        <v>0</v>
      </c>
      <c r="AW99" s="175">
        <f t="shared" si="65"/>
        <v>0</v>
      </c>
      <c r="AX99" s="175">
        <f t="shared" si="65"/>
        <v>0</v>
      </c>
      <c r="AY99" s="175">
        <f t="shared" si="65"/>
        <v>0</v>
      </c>
      <c r="AZ99" s="175">
        <f t="shared" si="65"/>
        <v>0</v>
      </c>
      <c r="BA99" s="175">
        <f t="shared" si="65"/>
        <v>0</v>
      </c>
      <c r="BB99" s="251">
        <f t="shared" ref="BB99" si="66">SUM(AU99:BA99)-AT99</f>
        <v>-798000.35000000009</v>
      </c>
      <c r="BC99" s="169"/>
      <c r="BD99" s="169"/>
      <c r="BE99" s="169"/>
      <c r="BF99" s="169"/>
    </row>
    <row r="100" spans="1:58" s="184" customFormat="1" ht="15.75" customHeight="1" x14ac:dyDescent="0.25">
      <c r="A100" s="143"/>
      <c r="B100" s="290"/>
      <c r="C100" s="391" t="s">
        <v>176</v>
      </c>
      <c r="D100" s="391"/>
      <c r="E100" s="392"/>
      <c r="F100" s="291"/>
      <c r="G100" s="291"/>
      <c r="H100" s="144" t="s">
        <v>178</v>
      </c>
      <c r="I100" s="257"/>
      <c r="J100" s="257"/>
      <c r="K100" s="257"/>
      <c r="L100" s="258">
        <f>SUM(L105)</f>
        <v>2520000</v>
      </c>
      <c r="M100" s="258">
        <f>SUM(M105)</f>
        <v>420840</v>
      </c>
      <c r="N100" s="257"/>
      <c r="O100" s="257"/>
      <c r="P100" s="257"/>
      <c r="Q100" s="257"/>
      <c r="R100" s="258">
        <f>SUM(R105)</f>
        <v>0</v>
      </c>
      <c r="S100" s="258">
        <f>SUM(S105)</f>
        <v>0</v>
      </c>
      <c r="T100" s="258">
        <f>SUM(T105)</f>
        <v>0</v>
      </c>
      <c r="U100" s="258">
        <f>SUM(U105)</f>
        <v>0</v>
      </c>
      <c r="V100" s="257"/>
      <c r="W100" s="257"/>
      <c r="X100" s="257"/>
      <c r="Y100" s="258">
        <f>SUM(Y105)</f>
        <v>0</v>
      </c>
      <c r="Z100" s="257"/>
      <c r="AA100" s="257"/>
      <c r="AB100" s="258">
        <f>SUM(AB105)</f>
        <v>0</v>
      </c>
      <c r="AC100" s="258">
        <f>SUM(AC105)</f>
        <v>359425</v>
      </c>
      <c r="AD100" s="258">
        <f>SUM(AD105)</f>
        <v>0</v>
      </c>
      <c r="AE100" s="258">
        <f>SUM(AE105)</f>
        <v>71885</v>
      </c>
      <c r="AF100" s="258">
        <f>SUM(AF105)</f>
        <v>431310</v>
      </c>
      <c r="AG100" s="257"/>
      <c r="AH100" s="257"/>
      <c r="AI100" s="257"/>
      <c r="AJ100" s="258">
        <f>SUM(AJ105)</f>
        <v>0</v>
      </c>
      <c r="AK100" s="258">
        <f>SUM(AK105)</f>
        <v>0</v>
      </c>
      <c r="AL100" s="258">
        <f>SUM(AL105)</f>
        <v>0</v>
      </c>
      <c r="AM100" s="258">
        <f>SUM(AM105)</f>
        <v>0</v>
      </c>
      <c r="AN100" s="258">
        <f>SUM(AN105)</f>
        <v>0</v>
      </c>
      <c r="AO100" s="259"/>
      <c r="AP100" s="260"/>
      <c r="AQ100" s="261">
        <f>SUM(AQ105)</f>
        <v>2940840</v>
      </c>
      <c r="AR100" s="261">
        <f>SUM(AR105)</f>
        <v>431310</v>
      </c>
      <c r="AS100" s="261">
        <f>SUM(AS105)</f>
        <v>0</v>
      </c>
      <c r="AT100" s="261">
        <f>SUM(AT105)</f>
        <v>3372150</v>
      </c>
      <c r="AU100" s="261">
        <f t="shared" ref="AU100:BA100" si="67">SUM(AU105)</f>
        <v>3372149</v>
      </c>
      <c r="AV100" s="261">
        <f t="shared" si="67"/>
        <v>0</v>
      </c>
      <c r="AW100" s="261">
        <f t="shared" si="67"/>
        <v>0</v>
      </c>
      <c r="AX100" s="261">
        <f t="shared" si="67"/>
        <v>0</v>
      </c>
      <c r="AY100" s="261">
        <f t="shared" si="67"/>
        <v>0</v>
      </c>
      <c r="AZ100" s="261">
        <f t="shared" si="67"/>
        <v>0</v>
      </c>
      <c r="BA100" s="261">
        <f t="shared" si="67"/>
        <v>0</v>
      </c>
      <c r="BB100" s="261">
        <f>SUM(BB105)</f>
        <v>-0.99999999982537702</v>
      </c>
    </row>
    <row r="101" spans="1:58" ht="47.25" outlineLevel="2" x14ac:dyDescent="0.25">
      <c r="A101" s="115"/>
      <c r="B101" s="303"/>
      <c r="C101" s="329"/>
      <c r="D101" s="342"/>
      <c r="E101" s="328"/>
      <c r="F101" s="328"/>
      <c r="G101" s="328"/>
      <c r="H101" s="199" t="s">
        <v>433</v>
      </c>
      <c r="I101" s="130" t="s">
        <v>3</v>
      </c>
      <c r="J101" s="126">
        <v>2</v>
      </c>
      <c r="K101" s="126">
        <v>7</v>
      </c>
      <c r="L101" s="125">
        <f>IF(I101&lt;&gt;0,((VLOOKUP(I101,'1. Standard_Cost'!$B$4:$D$11,2)+VLOOKUP(I101,'1. Standard_Cost'!$B$4:$D$11,3))*J101*K101),"0")</f>
        <v>1411200</v>
      </c>
      <c r="M101" s="125">
        <f>L101*'1. Standard_Cost'!$F$4</f>
        <v>235670.40000000002</v>
      </c>
      <c r="N101" s="126"/>
      <c r="O101" s="126"/>
      <c r="P101" s="126"/>
      <c r="Q101" s="126"/>
      <c r="R101" s="127">
        <f>'1. Standard_Cost'!$B$15*N101*P101</f>
        <v>0</v>
      </c>
      <c r="S101" s="127">
        <f>N101*O101*P101*'1. Standard_Cost'!$C$15</f>
        <v>0</v>
      </c>
      <c r="T101" s="127">
        <f>N101*P101*Q101*'1. Standard_Cost'!$D$15</f>
        <v>0</v>
      </c>
      <c r="U101" s="127">
        <f>N101*O101*'1. Standard_Cost'!$E$15</f>
        <v>0</v>
      </c>
      <c r="V101" s="126"/>
      <c r="W101" s="126"/>
      <c r="X101" s="126"/>
      <c r="Y101" s="127">
        <f>+V101*((X101*'1. Standard_Cost'!$B$19)+(W101*X101*'1. Standard_Cost'!$C$19))</f>
        <v>0</v>
      </c>
      <c r="Z101" s="126"/>
      <c r="AA101" s="126"/>
      <c r="AB101" s="127">
        <f>+Z101*'1. Standard_Cost'!$B$23+AA101*'1. Standard_Cost'!$C$23</f>
        <v>0</v>
      </c>
      <c r="AC101" s="128">
        <v>211125</v>
      </c>
      <c r="AD101" s="129"/>
      <c r="AE101" s="127">
        <f>SUM(AD101,AC101,AB101,Y101,U101,T101,S101,R101)*'1. Standard_Cost'!$B$31</f>
        <v>42225</v>
      </c>
      <c r="AF101" s="127">
        <f>SUM(AE101,AD101,AC101,AB101,Y101,U101,T101,S101,R101)</f>
        <v>253350</v>
      </c>
      <c r="AG101" s="126"/>
      <c r="AH101" s="126"/>
      <c r="AI101" s="126"/>
      <c r="AJ101" s="130"/>
      <c r="AK101" s="130"/>
      <c r="AL101" s="130"/>
      <c r="AM101" s="127">
        <f>AG101*'1. Standard_Cost'!$B$27+'Incremental_Cost Year 7'!AH101*'1. Standard_Cost'!$C$27+'Incremental_Cost Year 7'!AI101*'1. Standard_Cost'!$D$27+'Incremental_Cost Year 7'!AJ101+'Incremental_Cost Year 7'!AL101+AK101</f>
        <v>0</v>
      </c>
      <c r="AN101" s="127">
        <f>AM101*'1. Standard_Cost'!$C$31</f>
        <v>0</v>
      </c>
      <c r="AO101" s="130"/>
      <c r="AQ101" s="171">
        <f>L101+M101</f>
        <v>1646870.4</v>
      </c>
      <c r="AR101" s="171">
        <f>AF101</f>
        <v>253350</v>
      </c>
      <c r="AS101" s="171">
        <f>AM101+AN101</f>
        <v>0</v>
      </c>
      <c r="AT101" s="171">
        <f>SUM(AQ101,AR101,AS101)</f>
        <v>1900220.4</v>
      </c>
      <c r="AU101" s="250">
        <v>1900220</v>
      </c>
      <c r="AV101" s="250"/>
      <c r="AW101" s="250"/>
      <c r="AX101" s="250"/>
      <c r="AY101" s="250"/>
      <c r="AZ101" s="250"/>
      <c r="BA101" s="250"/>
      <c r="BB101" s="251">
        <f t="shared" ref="BB101:BB104" si="68">SUM(AU101:BA101)-AT101</f>
        <v>-0.39999999990686774</v>
      </c>
      <c r="BC101" s="169"/>
      <c r="BD101" s="169"/>
      <c r="BE101" s="169"/>
      <c r="BF101" s="169"/>
    </row>
    <row r="102" spans="1:58" ht="47.25" outlineLevel="2" x14ac:dyDescent="0.25">
      <c r="A102" s="115"/>
      <c r="B102" s="200"/>
      <c r="C102" s="330"/>
      <c r="D102" s="343"/>
      <c r="E102" s="328"/>
      <c r="F102" s="328"/>
      <c r="G102" s="328"/>
      <c r="H102" s="199" t="s">
        <v>434</v>
      </c>
      <c r="I102" s="130" t="s">
        <v>3</v>
      </c>
      <c r="J102" s="126">
        <v>1</v>
      </c>
      <c r="K102" s="126">
        <v>2</v>
      </c>
      <c r="L102" s="125">
        <f>IF(I102&lt;&gt;0,((VLOOKUP(I102,'1. Standard_Cost'!$B$4:$D$11,2)+VLOOKUP(I102,'1. Standard_Cost'!$B$4:$D$11,3))*J102*K102),"0")</f>
        <v>201600</v>
      </c>
      <c r="M102" s="125">
        <f>L102*'1. Standard_Cost'!$F$4</f>
        <v>33667.200000000004</v>
      </c>
      <c r="N102" s="126"/>
      <c r="O102" s="126"/>
      <c r="P102" s="126"/>
      <c r="Q102" s="126"/>
      <c r="R102" s="127">
        <f>'1. Standard_Cost'!$B$15*N102*P102</f>
        <v>0</v>
      </c>
      <c r="S102" s="127">
        <f>N102*O102*P102*'1. Standard_Cost'!$C$15</f>
        <v>0</v>
      </c>
      <c r="T102" s="127">
        <f>N102*P102*Q102*'1. Standard_Cost'!$D$15</f>
        <v>0</v>
      </c>
      <c r="U102" s="127">
        <f>N102*O102*'1. Standard_Cost'!$E$15</f>
        <v>0</v>
      </c>
      <c r="V102" s="126"/>
      <c r="W102" s="126"/>
      <c r="X102" s="126"/>
      <c r="Y102" s="127">
        <f>+V102*((X102*'1. Standard_Cost'!$B$19)+(W102*X102*'1. Standard_Cost'!$C$19))</f>
        <v>0</v>
      </c>
      <c r="Z102" s="126"/>
      <c r="AA102" s="126"/>
      <c r="AB102" s="127">
        <f>+Z102*'1. Standard_Cost'!$B$23+AA102*'1. Standard_Cost'!$C$23</f>
        <v>0</v>
      </c>
      <c r="AC102" s="128">
        <v>28300</v>
      </c>
      <c r="AD102" s="129"/>
      <c r="AE102" s="127">
        <f>SUM(AD102,AC102,AB102,Y102,U102,T102,S102,R102)*'1. Standard_Cost'!$B$31</f>
        <v>5660</v>
      </c>
      <c r="AF102" s="127">
        <f>SUM(AE102,AD102,AC102,AB102,Y102,U102,T102,S102,R102)</f>
        <v>33960</v>
      </c>
      <c r="AG102" s="126"/>
      <c r="AH102" s="126"/>
      <c r="AI102" s="126"/>
      <c r="AJ102" s="130"/>
      <c r="AK102" s="130"/>
      <c r="AL102" s="130"/>
      <c r="AM102" s="127">
        <f>AG102*'1. Standard_Cost'!$B$27+'Incremental_Cost Year 7'!AH102*'1. Standard_Cost'!$C$27+'Incremental_Cost Year 7'!AI102*'1. Standard_Cost'!$D$27+'Incremental_Cost Year 7'!AJ102+'Incremental_Cost Year 7'!AL102+AK102</f>
        <v>0</v>
      </c>
      <c r="AN102" s="127">
        <f>AM102*'1. Standard_Cost'!$C$31</f>
        <v>0</v>
      </c>
      <c r="AO102" s="130"/>
      <c r="AQ102" s="171">
        <f>L102+M102</f>
        <v>235267.20000000001</v>
      </c>
      <c r="AR102" s="171">
        <f>AF102</f>
        <v>33960</v>
      </c>
      <c r="AS102" s="171">
        <f>AM102+AN102</f>
        <v>0</v>
      </c>
      <c r="AT102" s="171">
        <f>SUM(AQ102,AR102,AS102)</f>
        <v>269227.2</v>
      </c>
      <c r="AU102" s="250">
        <v>269227</v>
      </c>
      <c r="AV102" s="250"/>
      <c r="AW102" s="250"/>
      <c r="AX102" s="250"/>
      <c r="AY102" s="250"/>
      <c r="AZ102" s="250"/>
      <c r="BA102" s="250"/>
      <c r="BB102" s="251">
        <f t="shared" si="68"/>
        <v>-0.20000000001164153</v>
      </c>
      <c r="BC102" s="169"/>
      <c r="BD102" s="169"/>
      <c r="BE102" s="169"/>
      <c r="BF102" s="169"/>
    </row>
    <row r="103" spans="1:58" ht="31.5" outlineLevel="2" x14ac:dyDescent="0.25">
      <c r="A103" s="115"/>
      <c r="B103" s="200"/>
      <c r="C103" s="330"/>
      <c r="D103" s="343"/>
      <c r="E103" s="328"/>
      <c r="F103" s="328"/>
      <c r="G103" s="328"/>
      <c r="H103" s="103" t="s">
        <v>435</v>
      </c>
      <c r="I103" s="130"/>
      <c r="J103" s="126"/>
      <c r="K103" s="126"/>
      <c r="L103" s="125" t="str">
        <f>IF(I103&lt;&gt;0,((VLOOKUP(I103,'1. Standard_Cost'!$B$4:$D$11,2)+VLOOKUP(I103,'1. Standard_Cost'!$B$4:$D$11,3))*J103*K103),"0")</f>
        <v>0</v>
      </c>
      <c r="M103" s="125">
        <f>L103*'1. Standard_Cost'!$F$4</f>
        <v>0</v>
      </c>
      <c r="N103" s="126"/>
      <c r="O103" s="126"/>
      <c r="P103" s="126"/>
      <c r="Q103" s="126"/>
      <c r="R103" s="127">
        <f>'1. Standard_Cost'!$B$15*N103*P103</f>
        <v>0</v>
      </c>
      <c r="S103" s="127">
        <f>N103*O103*P103*'1. Standard_Cost'!$C$15</f>
        <v>0</v>
      </c>
      <c r="T103" s="127">
        <f>N103*P103*Q103*'1. Standard_Cost'!$D$15</f>
        <v>0</v>
      </c>
      <c r="U103" s="127">
        <f>N103*O103*'1. Standard_Cost'!$E$15</f>
        <v>0</v>
      </c>
      <c r="V103" s="126"/>
      <c r="W103" s="126"/>
      <c r="X103" s="126"/>
      <c r="Y103" s="127">
        <f>+V103*((X103*'1. Standard_Cost'!$B$19)+(W103*X103*'1. Standard_Cost'!$C$19))</f>
        <v>0</v>
      </c>
      <c r="Z103" s="126"/>
      <c r="AA103" s="126"/>
      <c r="AB103" s="127">
        <f>+Z103*'1. Standard_Cost'!$B$23+AA103*'1. Standard_Cost'!$C$23</f>
        <v>0</v>
      </c>
      <c r="AC103" s="128"/>
      <c r="AD103" s="129"/>
      <c r="AE103" s="127">
        <f>SUM(AD103,AC103,AB103,Y103,U103,T103,S103,R103)*'1. Standard_Cost'!$B$31</f>
        <v>0</v>
      </c>
      <c r="AF103" s="127">
        <f>SUM(AE103,AD103,AC103,AB103,Y103,U103,T103,S103,R103)</f>
        <v>0</v>
      </c>
      <c r="AG103" s="126"/>
      <c r="AH103" s="126"/>
      <c r="AI103" s="126"/>
      <c r="AJ103" s="130"/>
      <c r="AK103" s="130"/>
      <c r="AL103" s="130"/>
      <c r="AM103" s="127">
        <f>AG103*'1. Standard_Cost'!$B$27+'Incremental_Cost Year 7'!AH103*'1. Standard_Cost'!$C$27+'Incremental_Cost Year 7'!AI103*'1. Standard_Cost'!$D$27+'Incremental_Cost Year 7'!AJ103+'Incremental_Cost Year 7'!AL103+AK103</f>
        <v>0</v>
      </c>
      <c r="AN103" s="127">
        <f>AM103*'1. Standard_Cost'!$C$31</f>
        <v>0</v>
      </c>
      <c r="AO103" s="130"/>
      <c r="AQ103" s="171">
        <f>L103+M103</f>
        <v>0</v>
      </c>
      <c r="AR103" s="171">
        <f>AF103</f>
        <v>0</v>
      </c>
      <c r="AS103" s="171">
        <f>AM103+AN103</f>
        <v>0</v>
      </c>
      <c r="AT103" s="171">
        <f>SUM(AQ103,AR103,AS103)</f>
        <v>0</v>
      </c>
      <c r="AU103" s="250"/>
      <c r="AV103" s="250"/>
      <c r="AW103" s="250"/>
      <c r="AX103" s="250"/>
      <c r="AY103" s="250"/>
      <c r="AZ103" s="250"/>
      <c r="BA103" s="250"/>
      <c r="BB103" s="251">
        <f t="shared" si="68"/>
        <v>0</v>
      </c>
      <c r="BC103" s="169"/>
      <c r="BD103" s="169"/>
      <c r="BE103" s="169"/>
      <c r="BF103" s="169"/>
    </row>
    <row r="104" spans="1:58" ht="63" outlineLevel="2" x14ac:dyDescent="0.25">
      <c r="A104" s="115"/>
      <c r="B104" s="310"/>
      <c r="C104" s="331"/>
      <c r="D104" s="344"/>
      <c r="E104" s="328"/>
      <c r="F104" s="328"/>
      <c r="G104" s="328"/>
      <c r="H104" s="103" t="s">
        <v>436</v>
      </c>
      <c r="I104" s="130" t="s">
        <v>3</v>
      </c>
      <c r="J104" s="126">
        <v>3</v>
      </c>
      <c r="K104" s="126">
        <v>3</v>
      </c>
      <c r="L104" s="125">
        <f>IF(I104&lt;&gt;0,((VLOOKUP(I104,'1. Standard_Cost'!$B$4:$D$11,2)+VLOOKUP(I104,'1. Standard_Cost'!$B$4:$D$11,3))*J104*K104),"0")</f>
        <v>907200</v>
      </c>
      <c r="M104" s="125">
        <f>L104*'1. Standard_Cost'!$F$4</f>
        <v>151502.39999999999</v>
      </c>
      <c r="N104" s="126"/>
      <c r="O104" s="126"/>
      <c r="P104" s="126"/>
      <c r="Q104" s="126"/>
      <c r="R104" s="127">
        <f>'1. Standard_Cost'!$B$15*N104*P104</f>
        <v>0</v>
      </c>
      <c r="S104" s="127">
        <f>N104*O104*P104*'1. Standard_Cost'!$C$15</f>
        <v>0</v>
      </c>
      <c r="T104" s="127">
        <f>N104*P104*Q104*'1. Standard_Cost'!$D$15</f>
        <v>0</v>
      </c>
      <c r="U104" s="127">
        <f>N104*O104*'1. Standard_Cost'!$E$15</f>
        <v>0</v>
      </c>
      <c r="V104" s="126"/>
      <c r="W104" s="126"/>
      <c r="X104" s="126"/>
      <c r="Y104" s="127">
        <f>+V104*((X104*'1. Standard_Cost'!$B$19)+(W104*X104*'1. Standard_Cost'!$C$19))</f>
        <v>0</v>
      </c>
      <c r="Z104" s="126"/>
      <c r="AA104" s="145"/>
      <c r="AB104" s="127">
        <f>+Z104*'1. Standard_Cost'!$B$23+AA104*'1. Standard_Cost'!$C$23</f>
        <v>0</v>
      </c>
      <c r="AC104" s="128">
        <v>120000</v>
      </c>
      <c r="AD104" s="129"/>
      <c r="AE104" s="127">
        <f>SUM(AD104,AC104,AB104,Y104,U104,T104,S104,R104)*'1. Standard_Cost'!$B$31</f>
        <v>24000</v>
      </c>
      <c r="AF104" s="127">
        <f>SUM(AE104,AD104,AC104,AB104,Y104,U104,T104,S104,R104)</f>
        <v>144000</v>
      </c>
      <c r="AG104" s="126"/>
      <c r="AH104" s="126"/>
      <c r="AI104" s="126"/>
      <c r="AJ104" s="130"/>
      <c r="AK104" s="130"/>
      <c r="AL104" s="130"/>
      <c r="AM104" s="127">
        <f>AG104*'1. Standard_Cost'!$B$27+'Incremental_Cost Year 7'!AH104*'1. Standard_Cost'!$C$27+'Incremental_Cost Year 7'!AI104*'1. Standard_Cost'!$D$27+'Incremental_Cost Year 7'!AJ104+'Incremental_Cost Year 7'!AL104+AK104</f>
        <v>0</v>
      </c>
      <c r="AN104" s="127">
        <f>AM104*'1. Standard_Cost'!$C$31</f>
        <v>0</v>
      </c>
      <c r="AO104" s="262"/>
      <c r="AQ104" s="171">
        <f>L104+M104</f>
        <v>1058702.3999999999</v>
      </c>
      <c r="AR104" s="171">
        <f>AF104</f>
        <v>144000</v>
      </c>
      <c r="AS104" s="171">
        <f>AM104+AN104</f>
        <v>0</v>
      </c>
      <c r="AT104" s="171">
        <f>SUM(AQ104,AR104,AS104)</f>
        <v>1202702.3999999999</v>
      </c>
      <c r="AU104" s="250">
        <v>1202702</v>
      </c>
      <c r="AV104" s="250"/>
      <c r="AW104" s="250"/>
      <c r="AX104" s="250"/>
      <c r="AY104" s="250"/>
      <c r="AZ104" s="250"/>
      <c r="BA104" s="250"/>
      <c r="BB104" s="251">
        <f t="shared" si="68"/>
        <v>-0.39999999990686774</v>
      </c>
      <c r="BC104" s="169"/>
      <c r="BD104" s="169"/>
      <c r="BE104" s="169"/>
      <c r="BF104" s="169"/>
    </row>
    <row r="105" spans="1:58" ht="47.25" outlineLevel="1" x14ac:dyDescent="0.25">
      <c r="A105" s="115"/>
      <c r="B105" s="165"/>
      <c r="C105" s="166"/>
      <c r="D105" s="229" t="s">
        <v>432</v>
      </c>
      <c r="E105" s="212" t="s">
        <v>275</v>
      </c>
      <c r="F105" s="136">
        <v>2023</v>
      </c>
      <c r="G105" s="117">
        <v>2030</v>
      </c>
      <c r="H105" s="110" t="s">
        <v>177</v>
      </c>
      <c r="I105" s="252"/>
      <c r="J105" s="252"/>
      <c r="K105" s="252"/>
      <c r="L105" s="127">
        <f>SUM(L101:L104)</f>
        <v>2520000</v>
      </c>
      <c r="M105" s="127">
        <f>SUM(M101:M104)</f>
        <v>420840</v>
      </c>
      <c r="N105" s="127"/>
      <c r="O105" s="252"/>
      <c r="P105" s="252"/>
      <c r="Q105" s="252"/>
      <c r="R105" s="127">
        <f>SUM(R101:R104)</f>
        <v>0</v>
      </c>
      <c r="S105" s="127">
        <f>SUM(S101:S104)</f>
        <v>0</v>
      </c>
      <c r="T105" s="127">
        <f>SUM(T101:T104)</f>
        <v>0</v>
      </c>
      <c r="U105" s="127">
        <f>SUM(U101:U104)</f>
        <v>0</v>
      </c>
      <c r="V105" s="252"/>
      <c r="W105" s="252"/>
      <c r="X105" s="252"/>
      <c r="Y105" s="127">
        <f>SUM(Y101:Y104)</f>
        <v>0</v>
      </c>
      <c r="Z105" s="252"/>
      <c r="AA105" s="252"/>
      <c r="AB105" s="127">
        <f>SUM(AB101:AB104)</f>
        <v>0</v>
      </c>
      <c r="AC105" s="127">
        <f>SUM(AC101:AC104)</f>
        <v>359425</v>
      </c>
      <c r="AD105" s="127">
        <f>SUM(AD101:AD104)</f>
        <v>0</v>
      </c>
      <c r="AE105" s="127">
        <f>SUM(AE101:AE104)</f>
        <v>71885</v>
      </c>
      <c r="AF105" s="127">
        <f>SUM(AF101:AF104)</f>
        <v>431310</v>
      </c>
      <c r="AG105" s="252"/>
      <c r="AH105" s="252"/>
      <c r="AI105" s="252"/>
      <c r="AJ105" s="127">
        <f>SUM(AJ101:AJ104)</f>
        <v>0</v>
      </c>
      <c r="AK105" s="127">
        <f>SUM(AK101:AK104)</f>
        <v>0</v>
      </c>
      <c r="AL105" s="127">
        <f>SUM(AL101:AL104)</f>
        <v>0</v>
      </c>
      <c r="AM105" s="127">
        <f>SUM(AM101:AM104)</f>
        <v>0</v>
      </c>
      <c r="AN105" s="127">
        <f>SUM(AN101:AN104)</f>
        <v>0</v>
      </c>
      <c r="AO105" s="253"/>
      <c r="AP105" s="254"/>
      <c r="AQ105" s="175">
        <f>SUM(AQ101:AQ104)</f>
        <v>2940840</v>
      </c>
      <c r="AR105" s="175">
        <f>SUM(AR101:AR104)</f>
        <v>431310</v>
      </c>
      <c r="AS105" s="175">
        <f>SUM(AS101:AS104)</f>
        <v>0</v>
      </c>
      <c r="AT105" s="175">
        <f>SUM(AT101:AT104)</f>
        <v>3372150</v>
      </c>
      <c r="AU105" s="175">
        <f t="shared" ref="AU105:BB105" si="69">SUM(AU101:AU104)</f>
        <v>3372149</v>
      </c>
      <c r="AV105" s="175">
        <f t="shared" si="69"/>
        <v>0</v>
      </c>
      <c r="AW105" s="175">
        <f t="shared" si="69"/>
        <v>0</v>
      </c>
      <c r="AX105" s="175">
        <f t="shared" si="69"/>
        <v>0</v>
      </c>
      <c r="AY105" s="175">
        <f t="shared" si="69"/>
        <v>0</v>
      </c>
      <c r="AZ105" s="175">
        <f t="shared" si="69"/>
        <v>0</v>
      </c>
      <c r="BA105" s="175">
        <f t="shared" si="69"/>
        <v>0</v>
      </c>
      <c r="BB105" s="175">
        <f t="shared" si="69"/>
        <v>-0.99999999982537702</v>
      </c>
      <c r="BC105" s="169"/>
      <c r="BD105" s="169"/>
      <c r="BE105" s="169"/>
      <c r="BF105" s="169"/>
    </row>
    <row r="106" spans="1:58" s="184" customFormat="1" ht="15.75" customHeight="1" x14ac:dyDescent="0.25">
      <c r="A106" s="143"/>
      <c r="B106" s="290"/>
      <c r="C106" s="391" t="s">
        <v>276</v>
      </c>
      <c r="D106" s="391"/>
      <c r="E106" s="392"/>
      <c r="F106" s="291"/>
      <c r="G106" s="291"/>
      <c r="H106" s="144" t="s">
        <v>258</v>
      </c>
      <c r="I106" s="257"/>
      <c r="J106" s="257"/>
      <c r="K106" s="257"/>
      <c r="L106" s="258">
        <f>SUM(L110)</f>
        <v>1655900</v>
      </c>
      <c r="M106" s="258">
        <f>SUM(M110)</f>
        <v>276535.3</v>
      </c>
      <c r="N106" s="257"/>
      <c r="O106" s="257"/>
      <c r="P106" s="257"/>
      <c r="Q106" s="257"/>
      <c r="R106" s="258">
        <f>SUM(R110)</f>
        <v>0</v>
      </c>
      <c r="S106" s="258">
        <f>SUM(S110)</f>
        <v>0</v>
      </c>
      <c r="T106" s="258">
        <f>SUM(T110)</f>
        <v>0</v>
      </c>
      <c r="U106" s="258">
        <f>SUM(U110)</f>
        <v>0</v>
      </c>
      <c r="V106" s="257"/>
      <c r="W106" s="257"/>
      <c r="X106" s="257"/>
      <c r="Y106" s="258">
        <f>SUM(Y110)</f>
        <v>0</v>
      </c>
      <c r="Z106" s="258"/>
      <c r="AA106" s="258"/>
      <c r="AB106" s="258">
        <f>SUM(AB110)</f>
        <v>1140000</v>
      </c>
      <c r="AC106" s="258">
        <f>SUM(AC110)</f>
        <v>253100</v>
      </c>
      <c r="AD106" s="258">
        <f>SUM(AD110)</f>
        <v>0</v>
      </c>
      <c r="AE106" s="258">
        <f>SUM(AE110)</f>
        <v>278620</v>
      </c>
      <c r="AF106" s="258">
        <f>SUM(AF110)</f>
        <v>1671720</v>
      </c>
      <c r="AG106" s="257"/>
      <c r="AH106" s="257"/>
      <c r="AI106" s="257"/>
      <c r="AJ106" s="258">
        <f>SUM(AJ110)</f>
        <v>0</v>
      </c>
      <c r="AK106" s="258">
        <f>SUM(AK110)</f>
        <v>0</v>
      </c>
      <c r="AL106" s="258">
        <f>SUM(AL110)</f>
        <v>0</v>
      </c>
      <c r="AM106" s="258">
        <f>SUM(AM110)</f>
        <v>0</v>
      </c>
      <c r="AN106" s="258">
        <f>SUM(AN110)</f>
        <v>0</v>
      </c>
      <c r="AO106" s="259"/>
      <c r="AP106" s="260"/>
      <c r="AQ106" s="261">
        <f>SUM(AQ110)</f>
        <v>1932435.3</v>
      </c>
      <c r="AR106" s="261">
        <f>SUM(AR110)</f>
        <v>1671720</v>
      </c>
      <c r="AS106" s="261">
        <f>SUM(AS110)</f>
        <v>0</v>
      </c>
      <c r="AT106" s="261">
        <f>SUM(AT110)</f>
        <v>3604155.3</v>
      </c>
      <c r="AU106" s="261">
        <f t="shared" ref="AU106:BA106" si="70">SUM(AU110)</f>
        <v>2236156</v>
      </c>
      <c r="AV106" s="261">
        <f t="shared" si="70"/>
        <v>0</v>
      </c>
      <c r="AW106" s="261">
        <f t="shared" si="70"/>
        <v>0</v>
      </c>
      <c r="AX106" s="261">
        <f t="shared" si="70"/>
        <v>0</v>
      </c>
      <c r="AY106" s="261">
        <f t="shared" si="70"/>
        <v>0</v>
      </c>
      <c r="AZ106" s="261">
        <f t="shared" si="70"/>
        <v>0</v>
      </c>
      <c r="BA106" s="261">
        <f t="shared" si="70"/>
        <v>0</v>
      </c>
      <c r="BB106" s="261">
        <f>SUM(BB110)</f>
        <v>-1367999.3</v>
      </c>
    </row>
    <row r="107" spans="1:58" ht="63" outlineLevel="2" x14ac:dyDescent="0.25">
      <c r="A107" s="115"/>
      <c r="B107" s="200"/>
      <c r="C107" s="201"/>
      <c r="D107" s="202"/>
      <c r="E107" s="226"/>
      <c r="F107" s="306"/>
      <c r="G107" s="307"/>
      <c r="H107" s="199" t="s">
        <v>437</v>
      </c>
      <c r="I107" s="130" t="s">
        <v>5</v>
      </c>
      <c r="J107" s="126">
        <v>2</v>
      </c>
      <c r="K107" s="126">
        <v>1</v>
      </c>
      <c r="L107" s="125">
        <f>IF(I107&lt;&gt;0,((VLOOKUP(I107,'1. Standard_Cost'!$B$4:$D$11,2)+VLOOKUP(I107,'1. Standard_Cost'!$B$4:$D$11,3))*J107*K107),"0")</f>
        <v>141400</v>
      </c>
      <c r="M107" s="125">
        <f>L107*'1. Standard_Cost'!$F$4</f>
        <v>23613.800000000003</v>
      </c>
      <c r="N107" s="126"/>
      <c r="O107" s="126"/>
      <c r="P107" s="126"/>
      <c r="Q107" s="126"/>
      <c r="R107" s="127">
        <f>'1. Standard_Cost'!$B$15*N107*P107</f>
        <v>0</v>
      </c>
      <c r="S107" s="127">
        <f>N107*O107*P107*'1. Standard_Cost'!$C$15</f>
        <v>0</v>
      </c>
      <c r="T107" s="127">
        <f>N107*P107*Q107*'1. Standard_Cost'!$D$15</f>
        <v>0</v>
      </c>
      <c r="U107" s="127">
        <f>N107*O107*'1. Standard_Cost'!$E$15</f>
        <v>0</v>
      </c>
      <c r="V107" s="126"/>
      <c r="W107" s="126"/>
      <c r="X107" s="126"/>
      <c r="Y107" s="127">
        <f>+V107*((X107*'1. Standard_Cost'!$B$19)+(W107*X107*'1. Standard_Cost'!$C$19))</f>
        <v>0</v>
      </c>
      <c r="Z107" s="126"/>
      <c r="AA107" s="126">
        <v>40</v>
      </c>
      <c r="AB107" s="127">
        <f>+Z107*'1. Standard_Cost'!$B$23+AA107*'1. Standard_Cost'!$C$23</f>
        <v>760000</v>
      </c>
      <c r="AC107" s="128">
        <v>20000</v>
      </c>
      <c r="AD107" s="129"/>
      <c r="AE107" s="127">
        <f>SUM(AD107,AC107,AB107,Y107,U107,T107,S107,R107)*'1. Standard_Cost'!$B$31</f>
        <v>156000</v>
      </c>
      <c r="AF107" s="127">
        <f>SUM(AE107,AD107,AC107,AB107,Y107,U107,T107,S107,R107)</f>
        <v>936000</v>
      </c>
      <c r="AG107" s="126"/>
      <c r="AH107" s="126"/>
      <c r="AI107" s="126"/>
      <c r="AJ107" s="130"/>
      <c r="AK107" s="130"/>
      <c r="AL107" s="130"/>
      <c r="AM107" s="127">
        <f>AG107*'1. Standard_Cost'!$B$27+'Incremental_Cost Year 7'!AH107*'1. Standard_Cost'!$C$27+'Incremental_Cost Year 7'!AI107*'1. Standard_Cost'!$D$27+'Incremental_Cost Year 7'!AJ107+'Incremental_Cost Year 7'!AL107+AK107</f>
        <v>0</v>
      </c>
      <c r="AN107" s="127">
        <f>AM107*'1. Standard_Cost'!$C$31</f>
        <v>0</v>
      </c>
      <c r="AO107" s="130"/>
      <c r="AQ107" s="171">
        <f>L107+M107</f>
        <v>165013.79999999999</v>
      </c>
      <c r="AR107" s="171">
        <f>AF107</f>
        <v>936000</v>
      </c>
      <c r="AS107" s="171">
        <f>AM107+AN107</f>
        <v>0</v>
      </c>
      <c r="AT107" s="171">
        <f>SUM(AQ107,AR107,AS107)</f>
        <v>1101013.8</v>
      </c>
      <c r="AU107" s="250">
        <v>189014</v>
      </c>
      <c r="AV107" s="250"/>
      <c r="AW107" s="250"/>
      <c r="AX107" s="250"/>
      <c r="AY107" s="250"/>
      <c r="AZ107" s="250"/>
      <c r="BA107" s="250"/>
      <c r="BB107" s="251">
        <f t="shared" ref="BB107:BB109" si="71">SUM(AU107:BA107)-AT107</f>
        <v>-911999.8</v>
      </c>
      <c r="BC107" s="169"/>
      <c r="BD107" s="169"/>
      <c r="BE107" s="169"/>
      <c r="BF107" s="169"/>
    </row>
    <row r="108" spans="1:58" ht="78.75" outlineLevel="2" x14ac:dyDescent="0.25">
      <c r="A108" s="115"/>
      <c r="B108" s="200"/>
      <c r="C108" s="201"/>
      <c r="D108" s="202"/>
      <c r="E108" s="202"/>
      <c r="F108" s="308"/>
      <c r="G108" s="309"/>
      <c r="H108" s="199" t="s">
        <v>438</v>
      </c>
      <c r="I108" s="130" t="s">
        <v>4</v>
      </c>
      <c r="J108" s="126">
        <v>2</v>
      </c>
      <c r="K108" s="126">
        <v>5</v>
      </c>
      <c r="L108" s="125">
        <f>IF(I108&lt;&gt;0,((VLOOKUP(I108,'1. Standard_Cost'!$B$4:$D$11,2)+VLOOKUP(I108,'1. Standard_Cost'!$B$4:$D$11,3))*J108*K108),"0")</f>
        <v>807500</v>
      </c>
      <c r="M108" s="125">
        <f>L108*'1. Standard_Cost'!$F$4</f>
        <v>134852.5</v>
      </c>
      <c r="N108" s="126"/>
      <c r="O108" s="126"/>
      <c r="P108" s="126"/>
      <c r="Q108" s="126"/>
      <c r="R108" s="127">
        <f>'1. Standard_Cost'!$B$15*N108*P108</f>
        <v>0</v>
      </c>
      <c r="S108" s="127">
        <f>N108*O108*P108*'1. Standard_Cost'!$C$15</f>
        <v>0</v>
      </c>
      <c r="T108" s="127">
        <f>N108*P108*Q108*'1. Standard_Cost'!$D$15</f>
        <v>0</v>
      </c>
      <c r="U108" s="127">
        <f>N108*O108*'1. Standard_Cost'!$E$15</f>
        <v>0</v>
      </c>
      <c r="V108" s="126"/>
      <c r="W108" s="126"/>
      <c r="X108" s="126"/>
      <c r="Y108" s="127">
        <f>+V108*((X108*'1. Standard_Cost'!$B$19)+(W108*X108*'1. Standard_Cost'!$C$19))</f>
        <v>0</v>
      </c>
      <c r="Z108" s="126"/>
      <c r="AA108" s="126">
        <v>20</v>
      </c>
      <c r="AB108" s="127">
        <f>+Z108*'1. Standard_Cost'!$B$23+AA108*'1. Standard_Cost'!$C$23</f>
        <v>380000</v>
      </c>
      <c r="AC108" s="128">
        <v>113100</v>
      </c>
      <c r="AD108" s="129"/>
      <c r="AE108" s="127">
        <f>SUM(AD108,AC108,AB108,Y108,U108,T108,S108,R108)*'1. Standard_Cost'!$B$31</f>
        <v>98620</v>
      </c>
      <c r="AF108" s="127">
        <f>SUM(AE108,AD108,AC108,AB108,Y108,U108,T108,S108,R108)</f>
        <v>591720</v>
      </c>
      <c r="AG108" s="126"/>
      <c r="AH108" s="126"/>
      <c r="AI108" s="126"/>
      <c r="AJ108" s="130"/>
      <c r="AK108" s="130"/>
      <c r="AL108" s="130"/>
      <c r="AM108" s="127">
        <f>AG108*'1. Standard_Cost'!$B$27+'Incremental_Cost Year 7'!AH108*'1. Standard_Cost'!$C$27+'Incremental_Cost Year 7'!AI108*'1. Standard_Cost'!$D$27+'Incremental_Cost Year 7'!AJ108+'Incremental_Cost Year 7'!AL108+AK108</f>
        <v>0</v>
      </c>
      <c r="AN108" s="127">
        <f>AM108*'1. Standard_Cost'!$C$31</f>
        <v>0</v>
      </c>
      <c r="AO108" s="130"/>
      <c r="AQ108" s="171">
        <f>L108+M108</f>
        <v>942352.5</v>
      </c>
      <c r="AR108" s="171">
        <f>AF108</f>
        <v>591720</v>
      </c>
      <c r="AS108" s="171">
        <f>AM108+AN108</f>
        <v>0</v>
      </c>
      <c r="AT108" s="171">
        <f>SUM(AQ108,AR108,AS108)</f>
        <v>1534072.5</v>
      </c>
      <c r="AU108" s="250">
        <v>1078073</v>
      </c>
      <c r="AV108" s="250"/>
      <c r="AW108" s="250"/>
      <c r="AX108" s="250"/>
      <c r="AY108" s="250"/>
      <c r="AZ108" s="250"/>
      <c r="BA108" s="250"/>
      <c r="BB108" s="251">
        <f t="shared" si="71"/>
        <v>-455999.5</v>
      </c>
      <c r="BC108" s="169"/>
      <c r="BD108" s="169"/>
      <c r="BE108" s="169"/>
      <c r="BF108" s="169"/>
    </row>
    <row r="109" spans="1:58" ht="78.75" outlineLevel="2" x14ac:dyDescent="0.25">
      <c r="A109" s="115"/>
      <c r="B109" s="200"/>
      <c r="C109" s="201"/>
      <c r="D109" s="202"/>
      <c r="E109" s="310"/>
      <c r="F109" s="311"/>
      <c r="G109" s="312"/>
      <c r="H109" s="199" t="s">
        <v>439</v>
      </c>
      <c r="I109" s="130" t="s">
        <v>5</v>
      </c>
      <c r="J109" s="126">
        <v>2</v>
      </c>
      <c r="K109" s="126">
        <v>5</v>
      </c>
      <c r="L109" s="125">
        <f>IF(I109&lt;&gt;0,((VLOOKUP(I109,'1. Standard_Cost'!$B$4:$D$11,2)+VLOOKUP(I109,'1. Standard_Cost'!$B$4:$D$11,3))*J109*K109),"0")</f>
        <v>707000</v>
      </c>
      <c r="M109" s="125">
        <f>L109*'1. Standard_Cost'!$F$4</f>
        <v>118069</v>
      </c>
      <c r="N109" s="126"/>
      <c r="O109" s="126"/>
      <c r="P109" s="126"/>
      <c r="Q109" s="126"/>
      <c r="R109" s="127">
        <f>'1. Standard_Cost'!$B$15*N109*P109</f>
        <v>0</v>
      </c>
      <c r="S109" s="127">
        <f>N109*O109*P109*'1. Standard_Cost'!$C$15</f>
        <v>0</v>
      </c>
      <c r="T109" s="127">
        <f>N109*P109*Q109*'1. Standard_Cost'!$D$15</f>
        <v>0</v>
      </c>
      <c r="U109" s="127">
        <f>N109*O109*'1. Standard_Cost'!$E$15</f>
        <v>0</v>
      </c>
      <c r="V109" s="126"/>
      <c r="W109" s="126"/>
      <c r="X109" s="126"/>
      <c r="Y109" s="127">
        <f>+V109*((X109*'1. Standard_Cost'!$B$19)+(W109*X109*'1. Standard_Cost'!$C$19))</f>
        <v>0</v>
      </c>
      <c r="Z109" s="126"/>
      <c r="AA109" s="126"/>
      <c r="AB109" s="127">
        <f>+Z109*'1. Standard_Cost'!$B$23+AA109*'1. Standard_Cost'!$C$23</f>
        <v>0</v>
      </c>
      <c r="AC109" s="128">
        <v>120000</v>
      </c>
      <c r="AD109" s="129"/>
      <c r="AE109" s="127">
        <f>SUM(AD109,AC109,AB109,Y109,U109,T109,S109,R109)*'1. Standard_Cost'!$B$31</f>
        <v>24000</v>
      </c>
      <c r="AF109" s="127">
        <f>SUM(AE109,AD109,AC109,AB109,Y109,U109,T109,S109,R109)</f>
        <v>144000</v>
      </c>
      <c r="AG109" s="126"/>
      <c r="AH109" s="126"/>
      <c r="AI109" s="126"/>
      <c r="AJ109" s="130"/>
      <c r="AK109" s="130"/>
      <c r="AL109" s="130"/>
      <c r="AM109" s="127">
        <f>AG109*'1. Standard_Cost'!$B$27+'Incremental_Cost Year 7'!AH109*'1. Standard_Cost'!$C$27+'Incremental_Cost Year 7'!AI109*'1. Standard_Cost'!$D$27+'Incremental_Cost Year 7'!AJ109+'Incremental_Cost Year 7'!AL109+AK109</f>
        <v>0</v>
      </c>
      <c r="AN109" s="127">
        <f>AM109*'1. Standard_Cost'!$C$31</f>
        <v>0</v>
      </c>
      <c r="AO109" s="130"/>
      <c r="AQ109" s="171">
        <f>L109+M109</f>
        <v>825069</v>
      </c>
      <c r="AR109" s="171">
        <f>AF109</f>
        <v>144000</v>
      </c>
      <c r="AS109" s="171">
        <f>AM109+AN109</f>
        <v>0</v>
      </c>
      <c r="AT109" s="171">
        <f>SUM(AQ109,AR109,AS109)</f>
        <v>969069</v>
      </c>
      <c r="AU109" s="250">
        <v>969069</v>
      </c>
      <c r="AV109" s="250"/>
      <c r="AW109" s="250"/>
      <c r="AX109" s="250"/>
      <c r="AY109" s="250"/>
      <c r="AZ109" s="250"/>
      <c r="BA109" s="250"/>
      <c r="BB109" s="251">
        <f t="shared" si="71"/>
        <v>0</v>
      </c>
      <c r="BC109" s="169"/>
      <c r="BD109" s="169"/>
      <c r="BE109" s="169"/>
      <c r="BF109" s="169"/>
    </row>
    <row r="110" spans="1:58" ht="47.25" outlineLevel="1" x14ac:dyDescent="0.25">
      <c r="A110" s="115"/>
      <c r="B110" s="200"/>
      <c r="C110" s="201"/>
      <c r="D110" s="227" t="s">
        <v>432</v>
      </c>
      <c r="E110" s="226" t="s">
        <v>275</v>
      </c>
      <c r="F110" s="136">
        <v>2025</v>
      </c>
      <c r="G110" s="117">
        <v>2030</v>
      </c>
      <c r="H110" s="110" t="s">
        <v>277</v>
      </c>
      <c r="I110" s="252"/>
      <c r="J110" s="252"/>
      <c r="K110" s="252"/>
      <c r="L110" s="127">
        <f>SUM(L107:L109)</f>
        <v>1655900</v>
      </c>
      <c r="M110" s="127">
        <f>SUM(M107:M109)</f>
        <v>276535.3</v>
      </c>
      <c r="N110" s="127"/>
      <c r="O110" s="252"/>
      <c r="P110" s="252"/>
      <c r="Q110" s="252"/>
      <c r="R110" s="127">
        <f>SUM(R107:R109)</f>
        <v>0</v>
      </c>
      <c r="S110" s="127">
        <f>SUM(S107:S109)</f>
        <v>0</v>
      </c>
      <c r="T110" s="127">
        <f>SUM(T107:T109)</f>
        <v>0</v>
      </c>
      <c r="U110" s="127">
        <f>SUM(U107:U109)</f>
        <v>0</v>
      </c>
      <c r="V110" s="252"/>
      <c r="W110" s="252"/>
      <c r="X110" s="252"/>
      <c r="Y110" s="127">
        <f>SUM(Y107:Y109)</f>
        <v>0</v>
      </c>
      <c r="Z110" s="252"/>
      <c r="AA110" s="252"/>
      <c r="AB110" s="127">
        <f>SUM(AB107:AB109)</f>
        <v>1140000</v>
      </c>
      <c r="AC110" s="127">
        <f>SUM(AC107:AC109)</f>
        <v>253100</v>
      </c>
      <c r="AD110" s="127">
        <f>SUM(AD107:AD109)</f>
        <v>0</v>
      </c>
      <c r="AE110" s="127">
        <f>SUM(AE107:AE109)</f>
        <v>278620</v>
      </c>
      <c r="AF110" s="127">
        <f>SUM(AF107:AF109)</f>
        <v>1671720</v>
      </c>
      <c r="AG110" s="252"/>
      <c r="AH110" s="252"/>
      <c r="AI110" s="252"/>
      <c r="AJ110" s="127">
        <f>SUM(AJ107:AJ109)</f>
        <v>0</v>
      </c>
      <c r="AK110" s="127">
        <f>SUM(AK107:AK109)</f>
        <v>0</v>
      </c>
      <c r="AL110" s="127">
        <f>SUM(AL107:AL109)</f>
        <v>0</v>
      </c>
      <c r="AM110" s="127">
        <f>SUM(AM107:AM109)</f>
        <v>0</v>
      </c>
      <c r="AN110" s="127">
        <f>SUM(AN107:AN109)</f>
        <v>0</v>
      </c>
      <c r="AO110" s="253"/>
      <c r="AP110" s="254"/>
      <c r="AQ110" s="175">
        <f>SUM(AQ107:AQ109)</f>
        <v>1932435.3</v>
      </c>
      <c r="AR110" s="175">
        <f>SUM(AR107:AR109)</f>
        <v>1671720</v>
      </c>
      <c r="AS110" s="175">
        <f>SUM(AS107:AS109)</f>
        <v>0</v>
      </c>
      <c r="AT110" s="175">
        <f>SUM(AT107:AT109)</f>
        <v>3604155.3</v>
      </c>
      <c r="AU110" s="175">
        <f t="shared" ref="AU110:BB110" si="72">SUM(AU107:AU109)</f>
        <v>2236156</v>
      </c>
      <c r="AV110" s="175">
        <f t="shared" si="72"/>
        <v>0</v>
      </c>
      <c r="AW110" s="175">
        <f t="shared" si="72"/>
        <v>0</v>
      </c>
      <c r="AX110" s="175">
        <f t="shared" si="72"/>
        <v>0</v>
      </c>
      <c r="AY110" s="175">
        <f t="shared" si="72"/>
        <v>0</v>
      </c>
      <c r="AZ110" s="175">
        <f t="shared" si="72"/>
        <v>0</v>
      </c>
      <c r="BA110" s="175">
        <f t="shared" si="72"/>
        <v>0</v>
      </c>
      <c r="BB110" s="175">
        <f t="shared" si="72"/>
        <v>-1367999.3</v>
      </c>
      <c r="BC110" s="169"/>
      <c r="BD110" s="169"/>
      <c r="BE110" s="169"/>
      <c r="BF110" s="169"/>
    </row>
    <row r="111" spans="1:58" s="184" customFormat="1" ht="15.75" customHeight="1" x14ac:dyDescent="0.25">
      <c r="A111" s="143"/>
      <c r="B111" s="290"/>
      <c r="C111" s="391" t="s">
        <v>278</v>
      </c>
      <c r="D111" s="391"/>
      <c r="E111" s="392"/>
      <c r="F111" s="291"/>
      <c r="G111" s="291"/>
      <c r="H111" s="144" t="s">
        <v>262</v>
      </c>
      <c r="I111" s="257"/>
      <c r="J111" s="257"/>
      <c r="K111" s="257"/>
      <c r="L111" s="258">
        <f>SUM(L117)</f>
        <v>2562100</v>
      </c>
      <c r="M111" s="258">
        <f>SUM(M117)</f>
        <v>427870.7</v>
      </c>
      <c r="N111" s="257"/>
      <c r="O111" s="257"/>
      <c r="P111" s="257"/>
      <c r="Q111" s="257"/>
      <c r="R111" s="258">
        <f>SUM(R117)</f>
        <v>0</v>
      </c>
      <c r="S111" s="258">
        <f>SUM(S117)</f>
        <v>0</v>
      </c>
      <c r="T111" s="258">
        <f>SUM(T117)</f>
        <v>0</v>
      </c>
      <c r="U111" s="258">
        <f>SUM(U117)</f>
        <v>0</v>
      </c>
      <c r="V111" s="257"/>
      <c r="W111" s="257"/>
      <c r="X111" s="257"/>
      <c r="Y111" s="258">
        <f>SUM(Y117)</f>
        <v>0</v>
      </c>
      <c r="Z111" s="258"/>
      <c r="AA111" s="258"/>
      <c r="AB111" s="258">
        <f>SUM(AB117)</f>
        <v>475000</v>
      </c>
      <c r="AC111" s="258">
        <f>SUM(AC117)</f>
        <v>358920</v>
      </c>
      <c r="AD111" s="258">
        <f>SUM(AD117)</f>
        <v>0</v>
      </c>
      <c r="AE111" s="258">
        <f>SUM(AE117)</f>
        <v>166784</v>
      </c>
      <c r="AF111" s="258">
        <f>SUM(AF117)</f>
        <v>1000704</v>
      </c>
      <c r="AG111" s="257"/>
      <c r="AH111" s="257"/>
      <c r="AI111" s="257"/>
      <c r="AJ111" s="258">
        <f>SUM(AJ117)</f>
        <v>0</v>
      </c>
      <c r="AK111" s="258">
        <f>SUM(AK117)</f>
        <v>0</v>
      </c>
      <c r="AL111" s="258">
        <f>SUM(AL117)</f>
        <v>0</v>
      </c>
      <c r="AM111" s="258">
        <f>SUM(AM117)</f>
        <v>0</v>
      </c>
      <c r="AN111" s="258">
        <f>SUM(AN117)</f>
        <v>0</v>
      </c>
      <c r="AO111" s="259"/>
      <c r="AP111" s="260"/>
      <c r="AQ111" s="261">
        <f>SUM(AQ117)</f>
        <v>2989970.7</v>
      </c>
      <c r="AR111" s="261">
        <f>SUM(AR117)</f>
        <v>1000704</v>
      </c>
      <c r="AS111" s="261">
        <f>SUM(AS117)</f>
        <v>0</v>
      </c>
      <c r="AT111" s="261">
        <f>SUM(AT117)</f>
        <v>3990674.7</v>
      </c>
      <c r="AU111" s="261">
        <f t="shared" ref="AU111:BA111" si="73">SUM(AU117)</f>
        <v>3420675</v>
      </c>
      <c r="AV111" s="261">
        <f t="shared" si="73"/>
        <v>0</v>
      </c>
      <c r="AW111" s="261">
        <f t="shared" si="73"/>
        <v>0</v>
      </c>
      <c r="AX111" s="261">
        <f t="shared" si="73"/>
        <v>0</v>
      </c>
      <c r="AY111" s="261">
        <f t="shared" si="73"/>
        <v>0</v>
      </c>
      <c r="AZ111" s="261">
        <f t="shared" si="73"/>
        <v>0</v>
      </c>
      <c r="BA111" s="261">
        <f t="shared" si="73"/>
        <v>0</v>
      </c>
      <c r="BB111" s="261">
        <f>SUM(BB117)</f>
        <v>-569999.69999999995</v>
      </c>
    </row>
    <row r="112" spans="1:58" ht="78.75" outlineLevel="2" x14ac:dyDescent="0.25">
      <c r="A112" s="115"/>
      <c r="B112" s="200"/>
      <c r="C112" s="201"/>
      <c r="D112" s="210"/>
      <c r="E112" s="321"/>
      <c r="F112" s="306"/>
      <c r="G112" s="307"/>
      <c r="H112" s="199" t="s">
        <v>440</v>
      </c>
      <c r="I112" s="130" t="s">
        <v>2</v>
      </c>
      <c r="J112" s="126">
        <v>1</v>
      </c>
      <c r="K112" s="126">
        <v>6</v>
      </c>
      <c r="L112" s="125">
        <f>IF(I112&lt;&gt;0,((VLOOKUP(I112,'1. Standard_Cost'!$B$4:$D$11,2)+VLOOKUP(I112,'1. Standard_Cost'!$B$4:$D$11,3))*J112*K112),"0")</f>
        <v>726000</v>
      </c>
      <c r="M112" s="125">
        <f>L112*'1. Standard_Cost'!$F$4</f>
        <v>121242</v>
      </c>
      <c r="N112" s="126"/>
      <c r="O112" s="126"/>
      <c r="P112" s="126"/>
      <c r="Q112" s="126"/>
      <c r="R112" s="127">
        <f>'1. Standard_Cost'!$B$15*N112*P112</f>
        <v>0</v>
      </c>
      <c r="S112" s="127">
        <f>N112*O112*P112*'1. Standard_Cost'!$C$15</f>
        <v>0</v>
      </c>
      <c r="T112" s="127">
        <f>N112*P112*Q112*'1. Standard_Cost'!$D$15</f>
        <v>0</v>
      </c>
      <c r="U112" s="127">
        <f>N112*O112*'1. Standard_Cost'!$E$15</f>
        <v>0</v>
      </c>
      <c r="V112" s="126"/>
      <c r="W112" s="126"/>
      <c r="X112" s="126"/>
      <c r="Y112" s="127">
        <f>+V112*((X112*'1. Standard_Cost'!$B$19)+(W112*X112*'1. Standard_Cost'!$C$19))</f>
        <v>0</v>
      </c>
      <c r="Z112" s="126"/>
      <c r="AA112" s="126"/>
      <c r="AB112" s="127">
        <f>+Z112*'1. Standard_Cost'!$B$23+AA112*'1. Standard_Cost'!$C$23</f>
        <v>0</v>
      </c>
      <c r="AC112" s="128">
        <v>101700</v>
      </c>
      <c r="AD112" s="129"/>
      <c r="AE112" s="127">
        <f>SUM(AD112,AC112,AB112,Y112,U112,T112,S112,R112)*'1. Standard_Cost'!$B$31</f>
        <v>20340</v>
      </c>
      <c r="AF112" s="127">
        <f>SUM(AE112,AD112,AC112,AB112,Y112,U112,T112,S112,R112)</f>
        <v>122040</v>
      </c>
      <c r="AG112" s="126"/>
      <c r="AH112" s="126"/>
      <c r="AI112" s="126"/>
      <c r="AJ112" s="130"/>
      <c r="AK112" s="130"/>
      <c r="AL112" s="130"/>
      <c r="AM112" s="127">
        <f>AG112*'1. Standard_Cost'!$B$27+'Incremental_Cost Year 7'!AH112*'1. Standard_Cost'!$C$27+'Incremental_Cost Year 7'!AI112*'1. Standard_Cost'!$D$27+'Incremental_Cost Year 7'!AJ112+'Incremental_Cost Year 7'!AL112+AK112</f>
        <v>0</v>
      </c>
      <c r="AN112" s="127">
        <f>AM112*'1. Standard_Cost'!$C$31</f>
        <v>0</v>
      </c>
      <c r="AO112" s="130"/>
      <c r="AQ112" s="171">
        <f>L112+M112</f>
        <v>847242</v>
      </c>
      <c r="AR112" s="171">
        <f>AF112</f>
        <v>122040</v>
      </c>
      <c r="AS112" s="171">
        <f>AM112+AN112</f>
        <v>0</v>
      </c>
      <c r="AT112" s="171">
        <f>SUM(AQ112,AR112,AS112)</f>
        <v>969282</v>
      </c>
      <c r="AU112" s="250">
        <v>969282</v>
      </c>
      <c r="AV112" s="250"/>
      <c r="AW112" s="250"/>
      <c r="AX112" s="250"/>
      <c r="AY112" s="250"/>
      <c r="AZ112" s="250"/>
      <c r="BA112" s="250"/>
      <c r="BB112" s="251">
        <f t="shared" ref="BB112:BB116" si="74">SUM(AU112:BA112)-AT112</f>
        <v>0</v>
      </c>
      <c r="BC112" s="169"/>
      <c r="BD112" s="169"/>
      <c r="BE112" s="169"/>
      <c r="BF112" s="169"/>
    </row>
    <row r="113" spans="1:58" ht="63" customHeight="1" outlineLevel="2" x14ac:dyDescent="0.25">
      <c r="A113" s="115"/>
      <c r="B113" s="200"/>
      <c r="C113" s="201"/>
      <c r="D113" s="208"/>
      <c r="E113" s="323"/>
      <c r="F113" s="308"/>
      <c r="G113" s="309"/>
      <c r="H113" s="199" t="s">
        <v>441</v>
      </c>
      <c r="I113" s="130" t="s">
        <v>3</v>
      </c>
      <c r="J113" s="126">
        <v>1</v>
      </c>
      <c r="K113" s="126">
        <v>7</v>
      </c>
      <c r="L113" s="125">
        <f>IF(I113&lt;&gt;0,((VLOOKUP(I113,'1. Standard_Cost'!$B$4:$D$11,2)+VLOOKUP(I113,'1. Standard_Cost'!$B$4:$D$11,3))*J113*K113),"0")</f>
        <v>705600</v>
      </c>
      <c r="M113" s="125">
        <f>L113*'1. Standard_Cost'!$F$4</f>
        <v>117835.20000000001</v>
      </c>
      <c r="N113" s="126"/>
      <c r="O113" s="126"/>
      <c r="P113" s="126"/>
      <c r="Q113" s="126"/>
      <c r="R113" s="127">
        <f>'1. Standard_Cost'!$B$15*N113*P113</f>
        <v>0</v>
      </c>
      <c r="S113" s="127">
        <f>N113*O113*P113*'1. Standard_Cost'!$C$15</f>
        <v>0</v>
      </c>
      <c r="T113" s="127">
        <f>N113*P113*Q113*'1. Standard_Cost'!$D$15</f>
        <v>0</v>
      </c>
      <c r="U113" s="127">
        <f>N113*O113*'1. Standard_Cost'!$E$15</f>
        <v>0</v>
      </c>
      <c r="V113" s="126"/>
      <c r="W113" s="126"/>
      <c r="X113" s="126"/>
      <c r="Y113" s="127">
        <f>+V113*((X113*'1. Standard_Cost'!$B$19)+(W113*X113*'1. Standard_Cost'!$C$19))</f>
        <v>0</v>
      </c>
      <c r="Z113" s="126"/>
      <c r="AA113" s="126"/>
      <c r="AB113" s="127">
        <f>+Z113*'1. Standard_Cost'!$B$23+AA113*'1. Standard_Cost'!$C$23</f>
        <v>0</v>
      </c>
      <c r="AC113" s="128">
        <v>98900</v>
      </c>
      <c r="AD113" s="129"/>
      <c r="AE113" s="127">
        <f>SUM(AD113,AC113,AB113,Y113,U113,T113,S113,R113)*'1. Standard_Cost'!$B$31</f>
        <v>19780</v>
      </c>
      <c r="AF113" s="127">
        <f>SUM(AE113,AD113,AC113,AB113,Y113,U113,T113,S113,R113)</f>
        <v>118680</v>
      </c>
      <c r="AG113" s="126"/>
      <c r="AH113" s="126"/>
      <c r="AI113" s="126"/>
      <c r="AJ113" s="130"/>
      <c r="AK113" s="130"/>
      <c r="AL113" s="130"/>
      <c r="AM113" s="127">
        <f>AG113*'1. Standard_Cost'!$B$27+'Incremental_Cost Year 7'!AH113*'1. Standard_Cost'!$C$27+'Incremental_Cost Year 7'!AI113*'1. Standard_Cost'!$D$27+'Incremental_Cost Year 7'!AJ113+'Incremental_Cost Year 7'!AL113+AK113</f>
        <v>0</v>
      </c>
      <c r="AN113" s="127">
        <f>AM113*'1. Standard_Cost'!$C$31</f>
        <v>0</v>
      </c>
      <c r="AO113" s="130"/>
      <c r="AQ113" s="171">
        <f>L113+M113</f>
        <v>823435.2</v>
      </c>
      <c r="AR113" s="171">
        <f>AF113</f>
        <v>118680</v>
      </c>
      <c r="AS113" s="171">
        <f>AM113+AN113</f>
        <v>0</v>
      </c>
      <c r="AT113" s="171">
        <f>SUM(AQ113,AR113,AS113)</f>
        <v>942115.2</v>
      </c>
      <c r="AU113" s="250">
        <v>942115</v>
      </c>
      <c r="AV113" s="250"/>
      <c r="AW113" s="250"/>
      <c r="AX113" s="250"/>
      <c r="AY113" s="250"/>
      <c r="AZ113" s="250"/>
      <c r="BA113" s="250"/>
      <c r="BB113" s="251">
        <f t="shared" si="74"/>
        <v>-0.19999999995343387</v>
      </c>
      <c r="BC113" s="169"/>
      <c r="BD113" s="169"/>
      <c r="BE113" s="169"/>
      <c r="BF113" s="169"/>
    </row>
    <row r="114" spans="1:58" ht="78.75" outlineLevel="2" x14ac:dyDescent="0.25">
      <c r="A114" s="115"/>
      <c r="B114" s="200"/>
      <c r="C114" s="201"/>
      <c r="D114" s="203"/>
      <c r="E114" s="323"/>
      <c r="F114" s="308"/>
      <c r="G114" s="309"/>
      <c r="H114" s="199" t="s">
        <v>547</v>
      </c>
      <c r="I114" s="130" t="s">
        <v>4</v>
      </c>
      <c r="J114" s="126">
        <v>2</v>
      </c>
      <c r="K114" s="126">
        <v>7</v>
      </c>
      <c r="L114" s="125">
        <f>IF(I114&lt;&gt;0,((VLOOKUP(I114,'1. Standard_Cost'!$B$4:$D$11,2)+VLOOKUP(I114,'1. Standard_Cost'!$B$4:$D$11,3))*J114*K114),"0")</f>
        <v>1130500</v>
      </c>
      <c r="M114" s="125">
        <f>L114*'1. Standard_Cost'!$F$4</f>
        <v>188793.5</v>
      </c>
      <c r="N114" s="126"/>
      <c r="O114" s="126"/>
      <c r="P114" s="126"/>
      <c r="Q114" s="126"/>
      <c r="R114" s="127">
        <f>'1. Standard_Cost'!$B$15*N114*P114</f>
        <v>0</v>
      </c>
      <c r="S114" s="127">
        <f>N114*O114*P114*'1. Standard_Cost'!$C$15</f>
        <v>0</v>
      </c>
      <c r="T114" s="127">
        <f>N114*P114*Q114*'1. Standard_Cost'!$D$15</f>
        <v>0</v>
      </c>
      <c r="U114" s="127">
        <f>N114*O114*'1. Standard_Cost'!$E$15</f>
        <v>0</v>
      </c>
      <c r="V114" s="126"/>
      <c r="W114" s="126"/>
      <c r="X114" s="126"/>
      <c r="Y114" s="127">
        <f>+V114*((X114*'1. Standard_Cost'!$B$19)+(W114*X114*'1. Standard_Cost'!$C$19))</f>
        <v>0</v>
      </c>
      <c r="Z114" s="126"/>
      <c r="AA114" s="126">
        <v>25</v>
      </c>
      <c r="AB114" s="127">
        <f>+Z114*'1. Standard_Cost'!$B$23+AA114*'1. Standard_Cost'!$C$23</f>
        <v>475000</v>
      </c>
      <c r="AC114" s="128">
        <v>158320</v>
      </c>
      <c r="AD114" s="129"/>
      <c r="AE114" s="127">
        <f>SUM(AD114,AC114,AB114,Y114,U114,T114,S114,R114)*'1. Standard_Cost'!$B$31</f>
        <v>126664</v>
      </c>
      <c r="AF114" s="127">
        <f>SUM(AE114,AD114,AC114,AB114,Y114,U114,T114,S114,R114)</f>
        <v>759984</v>
      </c>
      <c r="AG114" s="126"/>
      <c r="AH114" s="126"/>
      <c r="AI114" s="126"/>
      <c r="AJ114" s="130"/>
      <c r="AK114" s="130"/>
      <c r="AL114" s="130"/>
      <c r="AM114" s="127">
        <f>AG114*'1. Standard_Cost'!$B$27+'Incremental_Cost Year 7'!AH114*'1. Standard_Cost'!$C$27+'Incremental_Cost Year 7'!AI114*'1. Standard_Cost'!$D$27+'Incremental_Cost Year 7'!AJ114+'Incremental_Cost Year 7'!AL114+AK114</f>
        <v>0</v>
      </c>
      <c r="AN114" s="127">
        <f>AM114*'1. Standard_Cost'!$C$31</f>
        <v>0</v>
      </c>
      <c r="AO114" s="130"/>
      <c r="AQ114" s="171">
        <f>L114+M114</f>
        <v>1319293.5</v>
      </c>
      <c r="AR114" s="171">
        <f>AF114</f>
        <v>759984</v>
      </c>
      <c r="AS114" s="171">
        <f>AM114+AN114</f>
        <v>0</v>
      </c>
      <c r="AT114" s="171">
        <f>SUM(AQ114,AR114,AS114)</f>
        <v>2079277.5</v>
      </c>
      <c r="AU114" s="250">
        <v>1509278</v>
      </c>
      <c r="AV114" s="250"/>
      <c r="AW114" s="250"/>
      <c r="AX114" s="250"/>
      <c r="AY114" s="250"/>
      <c r="AZ114" s="250"/>
      <c r="BA114" s="250"/>
      <c r="BB114" s="251">
        <f t="shared" si="74"/>
        <v>-569999.5</v>
      </c>
      <c r="BC114" s="169"/>
      <c r="BD114" s="169"/>
      <c r="BE114" s="169"/>
      <c r="BF114" s="169"/>
    </row>
    <row r="115" spans="1:58" ht="31.5" outlineLevel="2" x14ac:dyDescent="0.25">
      <c r="A115" s="115"/>
      <c r="B115" s="200"/>
      <c r="C115" s="201"/>
      <c r="D115" s="203"/>
      <c r="E115" s="323"/>
      <c r="F115" s="308"/>
      <c r="G115" s="309"/>
      <c r="H115" s="199" t="s">
        <v>279</v>
      </c>
      <c r="I115" s="130"/>
      <c r="J115" s="126"/>
      <c r="K115" s="126"/>
      <c r="L115" s="125" t="str">
        <f>IF(I115&lt;&gt;0,((VLOOKUP(I115,'1. Standard_Cost'!$B$4:$D$11,2)+VLOOKUP(I115,'1. Standard_Cost'!$B$4:$D$11,3))*J115*K115),"0")</f>
        <v>0</v>
      </c>
      <c r="M115" s="125">
        <f>L115*'1. Standard_Cost'!$F$4</f>
        <v>0</v>
      </c>
      <c r="N115" s="126"/>
      <c r="O115" s="126"/>
      <c r="P115" s="126"/>
      <c r="Q115" s="126"/>
      <c r="R115" s="127">
        <f>'1. Standard_Cost'!$B$15*N115*P115</f>
        <v>0</v>
      </c>
      <c r="S115" s="127">
        <f>N115*O115*P115*'1. Standard_Cost'!$C$15</f>
        <v>0</v>
      </c>
      <c r="T115" s="127">
        <f>N115*P115*Q115*'1. Standard_Cost'!$D$15</f>
        <v>0</v>
      </c>
      <c r="U115" s="127">
        <f>N115*O115*'1. Standard_Cost'!$E$15</f>
        <v>0</v>
      </c>
      <c r="V115" s="126"/>
      <c r="W115" s="126"/>
      <c r="X115" s="126"/>
      <c r="Y115" s="127">
        <f>+V115*((X115*'1. Standard_Cost'!$B$19)+(W115*X115*'1. Standard_Cost'!$C$19))</f>
        <v>0</v>
      </c>
      <c r="Z115" s="126"/>
      <c r="AA115" s="126"/>
      <c r="AB115" s="127">
        <f>+Z115*'1. Standard_Cost'!$B$23+AA115*'1. Standard_Cost'!$C$23</f>
        <v>0</v>
      </c>
      <c r="AC115" s="128"/>
      <c r="AD115" s="129"/>
      <c r="AE115" s="127">
        <f>SUM(AD115,AC115,AB115,Y115,U115,T115,S115,R115)*'1. Standard_Cost'!$B$31</f>
        <v>0</v>
      </c>
      <c r="AF115" s="127">
        <f>SUM(AE115,AD115,AC115,AB115,Y115,U115,T115,S115,R115)</f>
        <v>0</v>
      </c>
      <c r="AG115" s="126"/>
      <c r="AH115" s="126"/>
      <c r="AI115" s="126"/>
      <c r="AJ115" s="130"/>
      <c r="AK115" s="130"/>
      <c r="AL115" s="130"/>
      <c r="AM115" s="127">
        <f>AG115*'1. Standard_Cost'!$B$27+'Incremental_Cost Year 7'!AH115*'1. Standard_Cost'!$C$27+'Incremental_Cost Year 7'!AI115*'1. Standard_Cost'!$D$27+'Incremental_Cost Year 7'!AJ115+'Incremental_Cost Year 7'!AL115+AK115</f>
        <v>0</v>
      </c>
      <c r="AN115" s="127">
        <f>AM115*'1. Standard_Cost'!$C$31</f>
        <v>0</v>
      </c>
      <c r="AO115" s="130"/>
      <c r="AQ115" s="171">
        <f>L115+M115</f>
        <v>0</v>
      </c>
      <c r="AR115" s="171">
        <f>AF115</f>
        <v>0</v>
      </c>
      <c r="AS115" s="171">
        <f>AM115+AN115</f>
        <v>0</v>
      </c>
      <c r="AT115" s="171">
        <f>SUM(AQ115,AR115,AS115)</f>
        <v>0</v>
      </c>
      <c r="AU115" s="250"/>
      <c r="AV115" s="250"/>
      <c r="AW115" s="250"/>
      <c r="AX115" s="250"/>
      <c r="AY115" s="250"/>
      <c r="AZ115" s="250"/>
      <c r="BA115" s="250"/>
      <c r="BB115" s="251">
        <f t="shared" si="74"/>
        <v>0</v>
      </c>
      <c r="BC115" s="169"/>
      <c r="BD115" s="169"/>
      <c r="BE115" s="169"/>
      <c r="BF115" s="169"/>
    </row>
    <row r="116" spans="1:58" ht="47.25" outlineLevel="2" x14ac:dyDescent="0.25">
      <c r="A116" s="115"/>
      <c r="B116" s="200"/>
      <c r="C116" s="201"/>
      <c r="D116" s="211"/>
      <c r="E116" s="322"/>
      <c r="F116" s="311"/>
      <c r="G116" s="312"/>
      <c r="H116" s="199" t="s">
        <v>442</v>
      </c>
      <c r="I116" s="130"/>
      <c r="J116" s="126"/>
      <c r="K116" s="126"/>
      <c r="L116" s="125" t="str">
        <f>IF(I116&lt;&gt;0,((VLOOKUP(I116,'1. Standard_Cost'!$B$4:$D$11,2)+VLOOKUP(I116,'1. Standard_Cost'!$B$4:$D$11,3))*J116*K116),"0")</f>
        <v>0</v>
      </c>
      <c r="M116" s="125">
        <f>L116*'1. Standard_Cost'!$F$4</f>
        <v>0</v>
      </c>
      <c r="N116" s="126"/>
      <c r="O116" s="126"/>
      <c r="P116" s="126"/>
      <c r="Q116" s="126"/>
      <c r="R116" s="127">
        <f>'1. Standard_Cost'!$B$15*N116*P116</f>
        <v>0</v>
      </c>
      <c r="S116" s="127">
        <f>N116*O116*P116*'1. Standard_Cost'!$C$15</f>
        <v>0</v>
      </c>
      <c r="T116" s="127">
        <f>N116*P116*Q116*'1. Standard_Cost'!$D$15</f>
        <v>0</v>
      </c>
      <c r="U116" s="127">
        <f>N116*O116*'1. Standard_Cost'!$E$15</f>
        <v>0</v>
      </c>
      <c r="V116" s="126"/>
      <c r="W116" s="126"/>
      <c r="X116" s="126"/>
      <c r="Y116" s="127">
        <f>+V116*((X116*'1. Standard_Cost'!$B$19)+(W116*X116*'1. Standard_Cost'!$C$19))</f>
        <v>0</v>
      </c>
      <c r="Z116" s="126"/>
      <c r="AA116" s="126"/>
      <c r="AB116" s="127">
        <f>+Z116*'1. Standard_Cost'!$B$23+AA116*'1. Standard_Cost'!$C$23</f>
        <v>0</v>
      </c>
      <c r="AC116" s="128"/>
      <c r="AD116" s="129"/>
      <c r="AE116" s="127">
        <f>SUM(AD116,AC116,AB116,Y116,U116,T116,S116,R116)*'1. Standard_Cost'!$B$31</f>
        <v>0</v>
      </c>
      <c r="AF116" s="127">
        <f>SUM(AE116,AD116,AC116,AB116,Y116,U116,T116,S116,R116)</f>
        <v>0</v>
      </c>
      <c r="AG116" s="126"/>
      <c r="AH116" s="126"/>
      <c r="AI116" s="126"/>
      <c r="AJ116" s="130"/>
      <c r="AK116" s="130"/>
      <c r="AL116" s="130"/>
      <c r="AM116" s="127">
        <f>AG116*'1. Standard_Cost'!$B$27+'Incremental_Cost Year 7'!AH116*'1. Standard_Cost'!$C$27+'Incremental_Cost Year 7'!AI116*'1. Standard_Cost'!$D$27+'Incremental_Cost Year 7'!AJ116+'Incremental_Cost Year 7'!AL116+AK116</f>
        <v>0</v>
      </c>
      <c r="AN116" s="127">
        <f>AM116*'1. Standard_Cost'!$C$31</f>
        <v>0</v>
      </c>
      <c r="AO116" s="130"/>
      <c r="AQ116" s="171">
        <f>L116+M116</f>
        <v>0</v>
      </c>
      <c r="AR116" s="171">
        <f>AF116</f>
        <v>0</v>
      </c>
      <c r="AS116" s="171">
        <f>AM116+AN116</f>
        <v>0</v>
      </c>
      <c r="AT116" s="171">
        <f>SUM(AQ116,AR116,AS116)</f>
        <v>0</v>
      </c>
      <c r="AU116" s="250"/>
      <c r="AV116" s="250"/>
      <c r="AW116" s="250"/>
      <c r="AX116" s="250"/>
      <c r="AY116" s="250"/>
      <c r="AZ116" s="250"/>
      <c r="BA116" s="250"/>
      <c r="BB116" s="251">
        <f t="shared" si="74"/>
        <v>0</v>
      </c>
      <c r="BC116" s="169"/>
      <c r="BD116" s="169"/>
      <c r="BE116" s="169"/>
      <c r="BF116" s="169"/>
    </row>
    <row r="117" spans="1:58" ht="47.25" outlineLevel="1" x14ac:dyDescent="0.25">
      <c r="A117" s="115"/>
      <c r="B117" s="165"/>
      <c r="C117" s="166"/>
      <c r="D117" s="229" t="s">
        <v>432</v>
      </c>
      <c r="E117" s="212" t="s">
        <v>280</v>
      </c>
      <c r="F117" s="136">
        <v>2021</v>
      </c>
      <c r="G117" s="117">
        <v>2030</v>
      </c>
      <c r="H117" s="110" t="s">
        <v>281</v>
      </c>
      <c r="I117" s="252"/>
      <c r="J117" s="252"/>
      <c r="K117" s="252"/>
      <c r="L117" s="127">
        <f>SUM(L112:L116)</f>
        <v>2562100</v>
      </c>
      <c r="M117" s="127">
        <f>SUM(M112:M116)</f>
        <v>427870.7</v>
      </c>
      <c r="N117" s="127"/>
      <c r="O117" s="252"/>
      <c r="P117" s="252"/>
      <c r="Q117" s="252"/>
      <c r="R117" s="127">
        <f>SUM(R112:R116)</f>
        <v>0</v>
      </c>
      <c r="S117" s="127">
        <f>SUM(S112:S116)</f>
        <v>0</v>
      </c>
      <c r="T117" s="127">
        <f>SUM(T112:T116)</f>
        <v>0</v>
      </c>
      <c r="U117" s="127">
        <f>SUM(U112:U116)</f>
        <v>0</v>
      </c>
      <c r="V117" s="252"/>
      <c r="W117" s="252"/>
      <c r="X117" s="252"/>
      <c r="Y117" s="127">
        <f>SUM(Y112:Y116)</f>
        <v>0</v>
      </c>
      <c r="Z117" s="252"/>
      <c r="AA117" s="252"/>
      <c r="AB117" s="127">
        <f>SUM(AB112:AB116)</f>
        <v>475000</v>
      </c>
      <c r="AC117" s="127">
        <f>SUM(AC112:AC116)</f>
        <v>358920</v>
      </c>
      <c r="AD117" s="127">
        <f>SUM(AD112:AD116)</f>
        <v>0</v>
      </c>
      <c r="AE117" s="127">
        <f>SUM(AE112:AE116)</f>
        <v>166784</v>
      </c>
      <c r="AF117" s="127">
        <f>SUM(AF112:AF116)</f>
        <v>1000704</v>
      </c>
      <c r="AG117" s="252"/>
      <c r="AH117" s="252"/>
      <c r="AI117" s="252"/>
      <c r="AJ117" s="127">
        <f>SUM(AJ112:AJ116)</f>
        <v>0</v>
      </c>
      <c r="AK117" s="127">
        <f>SUM(AK112:AK116)</f>
        <v>0</v>
      </c>
      <c r="AL117" s="127">
        <f>SUM(AL112:AL116)</f>
        <v>0</v>
      </c>
      <c r="AM117" s="127">
        <f>SUM(AM112:AM116)</f>
        <v>0</v>
      </c>
      <c r="AN117" s="127">
        <f>SUM(AN112:AN116)</f>
        <v>0</v>
      </c>
      <c r="AO117" s="253"/>
      <c r="AP117" s="254"/>
      <c r="AQ117" s="175">
        <f>SUM(AQ112:AQ116)</f>
        <v>2989970.7</v>
      </c>
      <c r="AR117" s="175">
        <f>SUM(AR112:AR116)</f>
        <v>1000704</v>
      </c>
      <c r="AS117" s="175">
        <f>SUM(AS112:AS116)</f>
        <v>0</v>
      </c>
      <c r="AT117" s="175">
        <f>SUM(AT112:AT116)</f>
        <v>3990674.7</v>
      </c>
      <c r="AU117" s="175">
        <f t="shared" ref="AU117:BB117" si="75">SUM(AU112:AU116)</f>
        <v>3420675</v>
      </c>
      <c r="AV117" s="175">
        <f t="shared" si="75"/>
        <v>0</v>
      </c>
      <c r="AW117" s="175">
        <f t="shared" si="75"/>
        <v>0</v>
      </c>
      <c r="AX117" s="175">
        <f t="shared" si="75"/>
        <v>0</v>
      </c>
      <c r="AY117" s="175">
        <f t="shared" si="75"/>
        <v>0</v>
      </c>
      <c r="AZ117" s="175">
        <f t="shared" si="75"/>
        <v>0</v>
      </c>
      <c r="BA117" s="175">
        <f t="shared" si="75"/>
        <v>0</v>
      </c>
      <c r="BB117" s="175">
        <f t="shared" si="75"/>
        <v>-569999.69999999995</v>
      </c>
      <c r="BC117" s="169"/>
      <c r="BD117" s="169"/>
      <c r="BE117" s="169"/>
      <c r="BF117" s="169"/>
    </row>
    <row r="118" spans="1:58" s="184" customFormat="1" ht="15.75" customHeight="1" x14ac:dyDescent="0.25">
      <c r="A118" s="143"/>
      <c r="B118" s="290"/>
      <c r="C118" s="391" t="s">
        <v>282</v>
      </c>
      <c r="D118" s="391"/>
      <c r="E118" s="392"/>
      <c r="F118" s="291"/>
      <c r="G118" s="291"/>
      <c r="H118" s="144" t="s">
        <v>266</v>
      </c>
      <c r="I118" s="257"/>
      <c r="J118" s="257"/>
      <c r="K118" s="257"/>
      <c r="L118" s="258">
        <f>SUM(L122)</f>
        <v>0</v>
      </c>
      <c r="M118" s="258">
        <f>SUM(M122)</f>
        <v>0</v>
      </c>
      <c r="N118" s="257"/>
      <c r="O118" s="257"/>
      <c r="P118" s="257"/>
      <c r="Q118" s="257"/>
      <c r="R118" s="258">
        <f>SUM(R122)</f>
        <v>0</v>
      </c>
      <c r="S118" s="258">
        <f>SUM(S122)</f>
        <v>0</v>
      </c>
      <c r="T118" s="258">
        <f>SUM(T122)</f>
        <v>0</v>
      </c>
      <c r="U118" s="258">
        <f>SUM(U122)</f>
        <v>0</v>
      </c>
      <c r="V118" s="257"/>
      <c r="W118" s="257"/>
      <c r="X118" s="257"/>
      <c r="Y118" s="258">
        <f>SUM(Y122)</f>
        <v>0</v>
      </c>
      <c r="Z118" s="258"/>
      <c r="AA118" s="258"/>
      <c r="AB118" s="258">
        <f>SUM(AB122)</f>
        <v>0</v>
      </c>
      <c r="AC118" s="258">
        <f>SUM(AC122)</f>
        <v>0</v>
      </c>
      <c r="AD118" s="258">
        <f>SUM(AD122)</f>
        <v>0</v>
      </c>
      <c r="AE118" s="258">
        <f>SUM(AE122)</f>
        <v>0</v>
      </c>
      <c r="AF118" s="258">
        <f>SUM(AF122)</f>
        <v>0</v>
      </c>
      <c r="AG118" s="257"/>
      <c r="AH118" s="257"/>
      <c r="AI118" s="257"/>
      <c r="AJ118" s="258">
        <f>SUM(AJ122)</f>
        <v>0</v>
      </c>
      <c r="AK118" s="258">
        <f>SUM(AK122)</f>
        <v>0</v>
      </c>
      <c r="AL118" s="258">
        <f>SUM(AL122)</f>
        <v>0</v>
      </c>
      <c r="AM118" s="258">
        <f>SUM(AM122)</f>
        <v>0</v>
      </c>
      <c r="AN118" s="258">
        <f>SUM(AN122)</f>
        <v>0</v>
      </c>
      <c r="AO118" s="259"/>
      <c r="AP118" s="260"/>
      <c r="AQ118" s="261">
        <f>SUM(AQ122)</f>
        <v>0</v>
      </c>
      <c r="AR118" s="261">
        <f>SUM(AR122)</f>
        <v>0</v>
      </c>
      <c r="AS118" s="261">
        <f>SUM(AS122)</f>
        <v>0</v>
      </c>
      <c r="AT118" s="261">
        <f>SUM(AT122)</f>
        <v>0</v>
      </c>
      <c r="AU118" s="261">
        <f t="shared" ref="AU118:BA118" si="76">SUM(AU122)</f>
        <v>0</v>
      </c>
      <c r="AV118" s="261">
        <f t="shared" si="76"/>
        <v>0</v>
      </c>
      <c r="AW118" s="261">
        <f t="shared" si="76"/>
        <v>0</v>
      </c>
      <c r="AX118" s="261">
        <f t="shared" si="76"/>
        <v>0</v>
      </c>
      <c r="AY118" s="261">
        <f t="shared" si="76"/>
        <v>0</v>
      </c>
      <c r="AZ118" s="261">
        <f t="shared" si="76"/>
        <v>0</v>
      </c>
      <c r="BA118" s="261">
        <f t="shared" si="76"/>
        <v>0</v>
      </c>
      <c r="BB118" s="261">
        <f>SUM(BB122)</f>
        <v>0</v>
      </c>
    </row>
    <row r="119" spans="1:58" ht="94.5" outlineLevel="2" x14ac:dyDescent="0.25">
      <c r="A119" s="115"/>
      <c r="B119" s="200"/>
      <c r="C119" s="201"/>
      <c r="D119" s="348"/>
      <c r="E119" s="321"/>
      <c r="F119" s="306"/>
      <c r="G119" s="307"/>
      <c r="H119" s="199" t="s">
        <v>443</v>
      </c>
      <c r="I119" s="130"/>
      <c r="J119" s="126"/>
      <c r="K119" s="126"/>
      <c r="L119" s="125" t="str">
        <f>IF(I119&lt;&gt;0,((VLOOKUP(I119,'1. Standard_Cost'!$B$4:$D$11,2)+VLOOKUP(I119,'1. Standard_Cost'!$B$4:$D$11,3))*J119*K119),"0")</f>
        <v>0</v>
      </c>
      <c r="M119" s="125">
        <f>L119*'1. Standard_Cost'!$F$4</f>
        <v>0</v>
      </c>
      <c r="N119" s="126"/>
      <c r="O119" s="126"/>
      <c r="P119" s="126"/>
      <c r="Q119" s="126"/>
      <c r="R119" s="127">
        <f>'1. Standard_Cost'!$B$15*N119*P119</f>
        <v>0</v>
      </c>
      <c r="S119" s="127">
        <f>N119*O119*P119*'1. Standard_Cost'!$C$15</f>
        <v>0</v>
      </c>
      <c r="T119" s="127">
        <f>N119*P119*Q119*'1. Standard_Cost'!$D$15</f>
        <v>0</v>
      </c>
      <c r="U119" s="127">
        <f>N119*O119*'1. Standard_Cost'!$E$15</f>
        <v>0</v>
      </c>
      <c r="V119" s="126"/>
      <c r="W119" s="126"/>
      <c r="X119" s="126"/>
      <c r="Y119" s="127">
        <f>+V119*((X119*'1. Standard_Cost'!$B$19)+(W119*X119*'1. Standard_Cost'!$C$19))</f>
        <v>0</v>
      </c>
      <c r="Z119" s="126"/>
      <c r="AA119" s="126"/>
      <c r="AB119" s="127">
        <f>+Z119*'1. Standard_Cost'!$B$23+AA119*'1. Standard_Cost'!$C$23</f>
        <v>0</v>
      </c>
      <c r="AC119" s="128"/>
      <c r="AD119" s="129"/>
      <c r="AE119" s="127">
        <f>SUM(AD119,AC119,AB119,Y119,U119,T119,S119,R119)*'1. Standard_Cost'!$B$31</f>
        <v>0</v>
      </c>
      <c r="AF119" s="127">
        <f>SUM(AE119,AD119,AC119,AB119,Y119,U119,T119,S119,R119)</f>
        <v>0</v>
      </c>
      <c r="AG119" s="126"/>
      <c r="AH119" s="126"/>
      <c r="AI119" s="126"/>
      <c r="AJ119" s="130"/>
      <c r="AK119" s="130"/>
      <c r="AL119" s="130"/>
      <c r="AM119" s="127">
        <f>AG119*'1. Standard_Cost'!$B$27+'Incremental_Cost Year 7'!AH119*'1. Standard_Cost'!$C$27+'Incremental_Cost Year 7'!AI119*'1. Standard_Cost'!$D$27+'Incremental_Cost Year 7'!AJ119+'Incremental_Cost Year 7'!AL119+AK119</f>
        <v>0</v>
      </c>
      <c r="AN119" s="127">
        <f>AM119*'1. Standard_Cost'!$C$31</f>
        <v>0</v>
      </c>
      <c r="AO119" s="130"/>
      <c r="AQ119" s="171">
        <f>L119+M119</f>
        <v>0</v>
      </c>
      <c r="AR119" s="171">
        <f>AF119</f>
        <v>0</v>
      </c>
      <c r="AS119" s="171">
        <f>AM119+AN119</f>
        <v>0</v>
      </c>
      <c r="AT119" s="171">
        <f>SUM(AQ119,AR119,AS119)</f>
        <v>0</v>
      </c>
      <c r="AU119" s="250"/>
      <c r="AV119" s="250"/>
      <c r="AW119" s="250"/>
      <c r="AX119" s="250"/>
      <c r="AY119" s="250"/>
      <c r="AZ119" s="250"/>
      <c r="BA119" s="250"/>
      <c r="BB119" s="251">
        <f t="shared" ref="BB119:BB121" si="77">SUM(AU119:BA119)-AT119</f>
        <v>0</v>
      </c>
      <c r="BC119" s="169"/>
      <c r="BD119" s="169"/>
      <c r="BE119" s="169"/>
      <c r="BF119" s="169"/>
    </row>
    <row r="120" spans="1:58" ht="110.25" outlineLevel="2" x14ac:dyDescent="0.25">
      <c r="A120" s="115"/>
      <c r="B120" s="200"/>
      <c r="C120" s="201"/>
      <c r="D120" s="132"/>
      <c r="E120" s="323"/>
      <c r="F120" s="308"/>
      <c r="G120" s="309"/>
      <c r="H120" s="199" t="s">
        <v>444</v>
      </c>
      <c r="I120" s="130"/>
      <c r="J120" s="126"/>
      <c r="K120" s="126"/>
      <c r="L120" s="125" t="str">
        <f>IF(I120&lt;&gt;0,((VLOOKUP(I120,'1. Standard_Cost'!$B$4:$D$11,2)+VLOOKUP(I120,'1. Standard_Cost'!$B$4:$D$11,3))*J120*K120),"0")</f>
        <v>0</v>
      </c>
      <c r="M120" s="125">
        <f>L120*'1. Standard_Cost'!$F$4</f>
        <v>0</v>
      </c>
      <c r="N120" s="126"/>
      <c r="O120" s="126"/>
      <c r="P120" s="126"/>
      <c r="Q120" s="126"/>
      <c r="R120" s="127">
        <f>'1. Standard_Cost'!$B$15*N120*P120</f>
        <v>0</v>
      </c>
      <c r="S120" s="127">
        <f>N120*O120*P120*'1. Standard_Cost'!$C$15</f>
        <v>0</v>
      </c>
      <c r="T120" s="127">
        <f>N120*P120*Q120*'1. Standard_Cost'!$D$15</f>
        <v>0</v>
      </c>
      <c r="U120" s="127">
        <f>N120*O120*'1. Standard_Cost'!$E$15</f>
        <v>0</v>
      </c>
      <c r="V120" s="126"/>
      <c r="W120" s="126"/>
      <c r="X120" s="126"/>
      <c r="Y120" s="127">
        <f>+V120*((X120*'1. Standard_Cost'!$B$19)+(W120*X120*'1. Standard_Cost'!$C$19))</f>
        <v>0</v>
      </c>
      <c r="Z120" s="126"/>
      <c r="AA120" s="126"/>
      <c r="AB120" s="127">
        <f>+Z120*'1. Standard_Cost'!$B$23+AA120*'1. Standard_Cost'!$C$23</f>
        <v>0</v>
      </c>
      <c r="AC120" s="128"/>
      <c r="AD120" s="129"/>
      <c r="AE120" s="127">
        <f>SUM(AD120,AC120,AB120,Y120,U120,T120,S120,R120)*'1. Standard_Cost'!$B$31</f>
        <v>0</v>
      </c>
      <c r="AF120" s="127">
        <f>SUM(AE120,AD120,AC120,AB120,Y120,U120,T120,S120,R120)</f>
        <v>0</v>
      </c>
      <c r="AG120" s="126"/>
      <c r="AH120" s="126"/>
      <c r="AI120" s="126"/>
      <c r="AJ120" s="130"/>
      <c r="AK120" s="130"/>
      <c r="AL120" s="130"/>
      <c r="AM120" s="127">
        <f>AG120*'1. Standard_Cost'!$B$27+'Incremental_Cost Year 7'!AH120*'1. Standard_Cost'!$C$27+'Incremental_Cost Year 7'!AI120*'1. Standard_Cost'!$D$27+'Incremental_Cost Year 7'!AJ120+'Incremental_Cost Year 7'!AL120+AK120</f>
        <v>0</v>
      </c>
      <c r="AN120" s="127">
        <f>AM120*'1. Standard_Cost'!$C$31</f>
        <v>0</v>
      </c>
      <c r="AO120" s="130"/>
      <c r="AQ120" s="171">
        <f>L120+M120</f>
        <v>0</v>
      </c>
      <c r="AR120" s="171">
        <f>AF120</f>
        <v>0</v>
      </c>
      <c r="AS120" s="171">
        <f>AM120+AN120</f>
        <v>0</v>
      </c>
      <c r="AT120" s="171">
        <f>SUM(AQ120,AR120,AS120)</f>
        <v>0</v>
      </c>
      <c r="AU120" s="250"/>
      <c r="AV120" s="250"/>
      <c r="AW120" s="250"/>
      <c r="AX120" s="250"/>
      <c r="AY120" s="250"/>
      <c r="AZ120" s="250"/>
      <c r="BA120" s="250"/>
      <c r="BB120" s="251">
        <f t="shared" si="77"/>
        <v>0</v>
      </c>
      <c r="BC120" s="169"/>
      <c r="BD120" s="169"/>
      <c r="BE120" s="169"/>
      <c r="BF120" s="169"/>
    </row>
    <row r="121" spans="1:58" ht="110.25" outlineLevel="2" x14ac:dyDescent="0.25">
      <c r="A121" s="115"/>
      <c r="B121" s="200"/>
      <c r="C121" s="201"/>
      <c r="D121" s="349"/>
      <c r="E121" s="322"/>
      <c r="F121" s="311"/>
      <c r="G121" s="312"/>
      <c r="H121" s="199" t="s">
        <v>445</v>
      </c>
      <c r="I121" s="130"/>
      <c r="J121" s="126"/>
      <c r="K121" s="126"/>
      <c r="L121" s="125" t="str">
        <f>IF(I121&lt;&gt;0,((VLOOKUP(I121,'1. Standard_Cost'!$B$4:$D$11,2)+VLOOKUP(I121,'1. Standard_Cost'!$B$4:$D$11,3))*J121*K121),"0")</f>
        <v>0</v>
      </c>
      <c r="M121" s="125">
        <f>L121*'1. Standard_Cost'!$F$4</f>
        <v>0</v>
      </c>
      <c r="N121" s="126"/>
      <c r="O121" s="126"/>
      <c r="P121" s="126"/>
      <c r="Q121" s="126"/>
      <c r="R121" s="127">
        <f>'1. Standard_Cost'!$B$15*N121*P121</f>
        <v>0</v>
      </c>
      <c r="S121" s="127">
        <f>N121*O121*P121*'1. Standard_Cost'!$C$15</f>
        <v>0</v>
      </c>
      <c r="T121" s="127">
        <f>N121*P121*Q121*'1. Standard_Cost'!$D$15</f>
        <v>0</v>
      </c>
      <c r="U121" s="127">
        <f>N121*O121*'1. Standard_Cost'!$E$15</f>
        <v>0</v>
      </c>
      <c r="V121" s="126"/>
      <c r="W121" s="126"/>
      <c r="X121" s="126"/>
      <c r="Y121" s="127">
        <f>+V121*((X121*'1. Standard_Cost'!$B$19)+(W121*X121*'1. Standard_Cost'!$C$19))</f>
        <v>0</v>
      </c>
      <c r="Z121" s="126"/>
      <c r="AA121" s="126"/>
      <c r="AB121" s="127">
        <f>+Z121*'1. Standard_Cost'!$B$23+AA121*'1. Standard_Cost'!$C$23</f>
        <v>0</v>
      </c>
      <c r="AC121" s="128"/>
      <c r="AD121" s="129"/>
      <c r="AE121" s="127">
        <f>SUM(AD121,AC121,AB121,Y121,U121,T121,S121,R121)*'1. Standard_Cost'!$B$31</f>
        <v>0</v>
      </c>
      <c r="AF121" s="127">
        <f>SUM(AE121,AD121,AC121,AB121,Y121,U121,T121,S121,R121)</f>
        <v>0</v>
      </c>
      <c r="AG121" s="126"/>
      <c r="AH121" s="126"/>
      <c r="AI121" s="126"/>
      <c r="AJ121" s="130"/>
      <c r="AK121" s="130"/>
      <c r="AL121" s="130"/>
      <c r="AM121" s="127">
        <f>AG121*'1. Standard_Cost'!$B$27+'Incremental_Cost Year 7'!AH121*'1. Standard_Cost'!$C$27+'Incremental_Cost Year 7'!AI121*'1. Standard_Cost'!$D$27+'Incremental_Cost Year 7'!AJ121+'Incremental_Cost Year 7'!AL121+AK121</f>
        <v>0</v>
      </c>
      <c r="AN121" s="127">
        <f>AM121*'1. Standard_Cost'!$C$31</f>
        <v>0</v>
      </c>
      <c r="AO121" s="130"/>
      <c r="AQ121" s="171">
        <f>L121+M121</f>
        <v>0</v>
      </c>
      <c r="AR121" s="171">
        <f>AF121</f>
        <v>0</v>
      </c>
      <c r="AS121" s="171">
        <f>AM121+AN121</f>
        <v>0</v>
      </c>
      <c r="AT121" s="171">
        <f>SUM(AQ121,AR121,AS121)</f>
        <v>0</v>
      </c>
      <c r="AU121" s="250"/>
      <c r="AV121" s="250"/>
      <c r="AW121" s="250"/>
      <c r="AX121" s="250"/>
      <c r="AY121" s="250"/>
      <c r="AZ121" s="250"/>
      <c r="BA121" s="250"/>
      <c r="BB121" s="251">
        <f t="shared" si="77"/>
        <v>0</v>
      </c>
      <c r="BC121" s="169"/>
      <c r="BD121" s="169"/>
      <c r="BE121" s="169"/>
      <c r="BF121" s="169"/>
    </row>
    <row r="122" spans="1:58" ht="63" customHeight="1" outlineLevel="1" x14ac:dyDescent="0.25">
      <c r="A122" s="115"/>
      <c r="B122" s="200"/>
      <c r="C122" s="201"/>
      <c r="D122" s="146" t="s">
        <v>432</v>
      </c>
      <c r="E122" s="212" t="s">
        <v>283</v>
      </c>
      <c r="F122" s="136">
        <v>2022</v>
      </c>
      <c r="G122" s="117">
        <v>2025</v>
      </c>
      <c r="H122" s="110" t="s">
        <v>268</v>
      </c>
      <c r="I122" s="252"/>
      <c r="J122" s="252"/>
      <c r="K122" s="252"/>
      <c r="L122" s="127">
        <f>SUM(L119:L121)</f>
        <v>0</v>
      </c>
      <c r="M122" s="127">
        <f>SUM(M119:M121)</f>
        <v>0</v>
      </c>
      <c r="N122" s="127"/>
      <c r="O122" s="252"/>
      <c r="P122" s="252"/>
      <c r="Q122" s="252"/>
      <c r="R122" s="127">
        <f>SUM(R119:R121)</f>
        <v>0</v>
      </c>
      <c r="S122" s="127">
        <f>SUM(S119:S121)</f>
        <v>0</v>
      </c>
      <c r="T122" s="127">
        <f>SUM(T119:T121)</f>
        <v>0</v>
      </c>
      <c r="U122" s="127">
        <f>SUM(U119:U121)</f>
        <v>0</v>
      </c>
      <c r="V122" s="252"/>
      <c r="W122" s="252"/>
      <c r="X122" s="252"/>
      <c r="Y122" s="127">
        <f>SUM(Y119:Y121)</f>
        <v>0</v>
      </c>
      <c r="Z122" s="252"/>
      <c r="AA122" s="252"/>
      <c r="AB122" s="127">
        <f>SUM(AB119:AB121)</f>
        <v>0</v>
      </c>
      <c r="AC122" s="127">
        <f>SUM(AC119:AC121)</f>
        <v>0</v>
      </c>
      <c r="AD122" s="127">
        <f>SUM(AD119:AD121)</f>
        <v>0</v>
      </c>
      <c r="AE122" s="127">
        <f>SUM(AE119:AE121)</f>
        <v>0</v>
      </c>
      <c r="AF122" s="127">
        <f>SUM(AF119:AF121)</f>
        <v>0</v>
      </c>
      <c r="AG122" s="252"/>
      <c r="AH122" s="252"/>
      <c r="AI122" s="252"/>
      <c r="AJ122" s="127">
        <f>SUM(AJ119:AJ121)</f>
        <v>0</v>
      </c>
      <c r="AK122" s="127">
        <f>SUM(AK119:AK121)</f>
        <v>0</v>
      </c>
      <c r="AL122" s="127">
        <f>SUM(AL119:AL121)</f>
        <v>0</v>
      </c>
      <c r="AM122" s="127">
        <f>SUM(AM119:AM121)</f>
        <v>0</v>
      </c>
      <c r="AN122" s="127">
        <f>SUM(AN119:AN121)</f>
        <v>0</v>
      </c>
      <c r="AO122" s="253"/>
      <c r="AP122" s="254"/>
      <c r="AQ122" s="175">
        <f>SUM(AQ119:AQ121)</f>
        <v>0</v>
      </c>
      <c r="AR122" s="175">
        <f>SUM(AR119:AR121)</f>
        <v>0</v>
      </c>
      <c r="AS122" s="175">
        <f>SUM(AS119:AS121)</f>
        <v>0</v>
      </c>
      <c r="AT122" s="175">
        <f>SUM(AT119:AT121)</f>
        <v>0</v>
      </c>
      <c r="AU122" s="175">
        <f t="shared" ref="AU122:BB122" si="78">SUM(AU119:AU121)</f>
        <v>0</v>
      </c>
      <c r="AV122" s="175">
        <f t="shared" si="78"/>
        <v>0</v>
      </c>
      <c r="AW122" s="175">
        <f t="shared" si="78"/>
        <v>0</v>
      </c>
      <c r="AX122" s="175">
        <f t="shared" si="78"/>
        <v>0</v>
      </c>
      <c r="AY122" s="175">
        <f t="shared" si="78"/>
        <v>0</v>
      </c>
      <c r="AZ122" s="175">
        <f t="shared" si="78"/>
        <v>0</v>
      </c>
      <c r="BA122" s="175">
        <f t="shared" si="78"/>
        <v>0</v>
      </c>
      <c r="BB122" s="175">
        <f t="shared" si="78"/>
        <v>0</v>
      </c>
      <c r="BC122" s="169"/>
      <c r="BD122" s="169"/>
      <c r="BE122" s="169"/>
      <c r="BF122" s="169"/>
    </row>
    <row r="123" spans="1:58" s="184" customFormat="1" ht="15.75" customHeight="1" x14ac:dyDescent="0.25">
      <c r="A123" s="143"/>
      <c r="B123" s="290"/>
      <c r="C123" s="391" t="s">
        <v>287</v>
      </c>
      <c r="D123" s="391"/>
      <c r="E123" s="392"/>
      <c r="F123" s="291"/>
      <c r="G123" s="289"/>
      <c r="H123" s="144" t="s">
        <v>288</v>
      </c>
      <c r="I123" s="257"/>
      <c r="J123" s="257"/>
      <c r="K123" s="257"/>
      <c r="L123" s="258">
        <f>SUM(L133)</f>
        <v>64119942.857142858</v>
      </c>
      <c r="M123" s="258">
        <f>SUM(M133)</f>
        <v>10708030.457142858</v>
      </c>
      <c r="N123" s="257"/>
      <c r="O123" s="257"/>
      <c r="P123" s="257"/>
      <c r="Q123" s="257"/>
      <c r="R123" s="258">
        <f>SUM(R133)</f>
        <v>0</v>
      </c>
      <c r="S123" s="258">
        <f>SUM(S133)</f>
        <v>0</v>
      </c>
      <c r="T123" s="258">
        <f>SUM(T133)</f>
        <v>0</v>
      </c>
      <c r="U123" s="258">
        <f>SUM(U133)</f>
        <v>0</v>
      </c>
      <c r="V123" s="257"/>
      <c r="W123" s="257"/>
      <c r="X123" s="257"/>
      <c r="Y123" s="258">
        <f>SUM(Y133)</f>
        <v>0</v>
      </c>
      <c r="Z123" s="258"/>
      <c r="AA123" s="258"/>
      <c r="AB123" s="258">
        <f>SUM(AB133)</f>
        <v>0</v>
      </c>
      <c r="AC123" s="258">
        <f>SUM(AC133)</f>
        <v>10872553</v>
      </c>
      <c r="AD123" s="258">
        <f>SUM(AD133)</f>
        <v>0</v>
      </c>
      <c r="AE123" s="258">
        <f>SUM(AE133)</f>
        <v>2174510.6</v>
      </c>
      <c r="AF123" s="258">
        <f>SUM(AF133)</f>
        <v>13047063.6</v>
      </c>
      <c r="AG123" s="257"/>
      <c r="AH123" s="257"/>
      <c r="AI123" s="257"/>
      <c r="AJ123" s="258">
        <f>SUM(AJ133)</f>
        <v>0</v>
      </c>
      <c r="AK123" s="258">
        <f>SUM(AK133)</f>
        <v>0</v>
      </c>
      <c r="AL123" s="258">
        <f>SUM(AL133)</f>
        <v>0</v>
      </c>
      <c r="AM123" s="258">
        <f>SUM(AM133)</f>
        <v>0</v>
      </c>
      <c r="AN123" s="258">
        <f>SUM(AN133)</f>
        <v>0</v>
      </c>
      <c r="AO123" s="259"/>
      <c r="AP123" s="260"/>
      <c r="AQ123" s="261">
        <f>SUM(AQ133)</f>
        <v>74827973.314285725</v>
      </c>
      <c r="AR123" s="261">
        <f>SUM(AR133)</f>
        <v>13047063.6</v>
      </c>
      <c r="AS123" s="261">
        <f>SUM(AS133)</f>
        <v>0</v>
      </c>
      <c r="AT123" s="261">
        <f>SUM(AT133)</f>
        <v>87875036.914285704</v>
      </c>
      <c r="AU123" s="261">
        <f t="shared" ref="AU123:BB123" si="79">SUM(AU133)</f>
        <v>87875038</v>
      </c>
      <c r="AV123" s="261">
        <f t="shared" si="79"/>
        <v>0</v>
      </c>
      <c r="AW123" s="261">
        <f t="shared" si="79"/>
        <v>0</v>
      </c>
      <c r="AX123" s="261">
        <f t="shared" si="79"/>
        <v>0</v>
      </c>
      <c r="AY123" s="261">
        <f t="shared" si="79"/>
        <v>0</v>
      </c>
      <c r="AZ123" s="261">
        <f t="shared" si="79"/>
        <v>0</v>
      </c>
      <c r="BA123" s="261">
        <f t="shared" si="79"/>
        <v>0</v>
      </c>
      <c r="BB123" s="261">
        <f t="shared" si="79"/>
        <v>1.0857142880558968</v>
      </c>
    </row>
    <row r="124" spans="1:58" ht="78.75" outlineLevel="2" x14ac:dyDescent="0.25">
      <c r="A124" s="115"/>
      <c r="B124" s="200"/>
      <c r="C124" s="201"/>
      <c r="D124" s="346"/>
      <c r="E124" s="321"/>
      <c r="F124" s="306"/>
      <c r="G124" s="307"/>
      <c r="H124" s="199" t="s">
        <v>549</v>
      </c>
      <c r="I124" s="130"/>
      <c r="J124" s="126"/>
      <c r="K124" s="126"/>
      <c r="L124" s="125" t="str">
        <f>IF(I124&lt;&gt;0,((VLOOKUP(I124,'1. Standard_Cost'!$B$4:$D$11,2)+VLOOKUP(I124,'1. Standard_Cost'!$B$4:$D$11,3))*J124*K124),"0")</f>
        <v>0</v>
      </c>
      <c r="M124" s="125">
        <f>L124*'1. Standard_Cost'!$F$4</f>
        <v>0</v>
      </c>
      <c r="N124" s="126"/>
      <c r="O124" s="126"/>
      <c r="P124" s="126"/>
      <c r="Q124" s="126"/>
      <c r="R124" s="127">
        <f>'1. Standard_Cost'!$B$15*N124*P124</f>
        <v>0</v>
      </c>
      <c r="S124" s="127">
        <f>N124*O124*P124*'1. Standard_Cost'!$C$15</f>
        <v>0</v>
      </c>
      <c r="T124" s="127">
        <f>N124*P124*Q124*'1. Standard_Cost'!$D$15</f>
        <v>0</v>
      </c>
      <c r="U124" s="127">
        <f>N124*O124*'1. Standard_Cost'!$E$15</f>
        <v>0</v>
      </c>
      <c r="V124" s="126"/>
      <c r="W124" s="126"/>
      <c r="X124" s="126"/>
      <c r="Y124" s="127">
        <f>+V124*((X124*'1. Standard_Cost'!$B$19)+(W124*X124*'1. Standard_Cost'!$C$19))</f>
        <v>0</v>
      </c>
      <c r="Z124" s="126"/>
      <c r="AA124" s="126"/>
      <c r="AB124" s="127">
        <f>+Z124*'1. Standard_Cost'!$B$23+AA124*'1. Standard_Cost'!$C$23</f>
        <v>0</v>
      </c>
      <c r="AC124" s="128"/>
      <c r="AD124" s="129"/>
      <c r="AE124" s="127">
        <f>SUM(AD124,AC124,AB124,Y124,U124,T124,S124,R124)*'1. Standard_Cost'!$B$31</f>
        <v>0</v>
      </c>
      <c r="AF124" s="127">
        <f t="shared" ref="AF124:AF132" si="80">SUM(AE124,AD124,AC124,AB124,Y124,U124,T124,S124,R124)</f>
        <v>0</v>
      </c>
      <c r="AG124" s="126"/>
      <c r="AH124" s="126"/>
      <c r="AI124" s="126"/>
      <c r="AJ124" s="130"/>
      <c r="AK124" s="130"/>
      <c r="AL124" s="130"/>
      <c r="AM124" s="127">
        <f>AG124*'1. Standard_Cost'!$B$27+'Incremental_Cost Year 7'!AH124*'1. Standard_Cost'!$C$27+'Incremental_Cost Year 7'!AI124*'1. Standard_Cost'!$D$27+'Incremental_Cost Year 7'!AJ124+'Incremental_Cost Year 7'!AL124+AK124</f>
        <v>0</v>
      </c>
      <c r="AN124" s="127">
        <f>AM124*'1. Standard_Cost'!$C$31</f>
        <v>0</v>
      </c>
      <c r="AO124" s="130"/>
      <c r="AQ124" s="171">
        <f t="shared" ref="AQ124:AQ132" si="81">L124+M124</f>
        <v>0</v>
      </c>
      <c r="AR124" s="171">
        <f t="shared" ref="AR124:AR132" si="82">AF124</f>
        <v>0</v>
      </c>
      <c r="AS124" s="171">
        <f t="shared" ref="AS124:AS132" si="83">AM124+AN124</f>
        <v>0</v>
      </c>
      <c r="AT124" s="171">
        <f t="shared" ref="AT124:AT132" si="84">SUM(AQ124,AR124,AS124)</f>
        <v>0</v>
      </c>
      <c r="AU124" s="250"/>
      <c r="AV124" s="250"/>
      <c r="AW124" s="250"/>
      <c r="AX124" s="250"/>
      <c r="AY124" s="250"/>
      <c r="AZ124" s="250"/>
      <c r="BA124" s="250"/>
      <c r="BB124" s="251">
        <f t="shared" ref="BB124:BB132" si="85">SUM(AU124:BA124)-AT124</f>
        <v>0</v>
      </c>
      <c r="BC124" s="169"/>
      <c r="BD124" s="169"/>
      <c r="BE124" s="169"/>
      <c r="BF124" s="169"/>
    </row>
    <row r="125" spans="1:58" ht="47.25" outlineLevel="2" x14ac:dyDescent="0.25">
      <c r="A125" s="115"/>
      <c r="B125" s="200"/>
      <c r="C125" s="201"/>
      <c r="D125" s="131"/>
      <c r="E125" s="323"/>
      <c r="F125" s="308"/>
      <c r="G125" s="309"/>
      <c r="H125" s="199" t="s">
        <v>446</v>
      </c>
      <c r="I125" s="130" t="s">
        <v>1</v>
      </c>
      <c r="J125" s="126">
        <v>12</v>
      </c>
      <c r="K125" s="126">
        <v>12</v>
      </c>
      <c r="L125" s="125">
        <f>IF(I125&lt;&gt;0,((VLOOKUP(I125,'1. Standard_Cost'!$B$4:$D$11,2)+VLOOKUP(I125,'1. Standard_Cost'!$B$4:$D$11,3))*J125*K125),"0")</f>
        <v>10338171.428571429</v>
      </c>
      <c r="M125" s="125">
        <f>L125*'1. Standard_Cost'!$F$4</f>
        <v>1726474.6285714288</v>
      </c>
      <c r="N125" s="126"/>
      <c r="O125" s="126"/>
      <c r="P125" s="126"/>
      <c r="Q125" s="126"/>
      <c r="R125" s="127">
        <f>'1. Standard_Cost'!$B$15*N125*P125</f>
        <v>0</v>
      </c>
      <c r="S125" s="127">
        <f>N125*O125*P125*'1. Standard_Cost'!$C$15</f>
        <v>0</v>
      </c>
      <c r="T125" s="127">
        <f>N125*P125*Q125*'1. Standard_Cost'!$D$15</f>
        <v>0</v>
      </c>
      <c r="U125" s="127">
        <f>N125*O125*'1. Standard_Cost'!$E$15</f>
        <v>0</v>
      </c>
      <c r="V125" s="126"/>
      <c r="W125" s="126"/>
      <c r="X125" s="126"/>
      <c r="Y125" s="127">
        <f>+V125*((X125*'1. Standard_Cost'!$B$19)+(W125*X125*'1. Standard_Cost'!$C$19))</f>
        <v>0</v>
      </c>
      <c r="Z125" s="126"/>
      <c r="AA125" s="126"/>
      <c r="AB125" s="127">
        <f>+Z125*'1. Standard_Cost'!$B$23+AA125*'1. Standard_Cost'!$C$23</f>
        <v>0</v>
      </c>
      <c r="AC125" s="128">
        <v>1448000</v>
      </c>
      <c r="AD125" s="129"/>
      <c r="AE125" s="127">
        <f>SUM(AD125,AC125,AB125,Y125,U125,T125,S125,R125)*'1. Standard_Cost'!$B$31</f>
        <v>289600</v>
      </c>
      <c r="AF125" s="127">
        <f t="shared" si="80"/>
        <v>1737600</v>
      </c>
      <c r="AG125" s="126"/>
      <c r="AH125" s="126"/>
      <c r="AI125" s="126"/>
      <c r="AJ125" s="130"/>
      <c r="AK125" s="130"/>
      <c r="AL125" s="130"/>
      <c r="AM125" s="127">
        <f>AG125*'1. Standard_Cost'!$B$27+'Incremental_Cost Year 7'!AH125*'1. Standard_Cost'!$C$27+'Incremental_Cost Year 7'!AI125*'1. Standard_Cost'!$D$27+'Incremental_Cost Year 7'!AJ125+'Incremental_Cost Year 7'!AL125+AK125</f>
        <v>0</v>
      </c>
      <c r="AN125" s="127">
        <f>AM125*'1. Standard_Cost'!$C$31</f>
        <v>0</v>
      </c>
      <c r="AO125" s="130"/>
      <c r="AQ125" s="171">
        <f t="shared" si="81"/>
        <v>12064646.057142857</v>
      </c>
      <c r="AR125" s="171">
        <f t="shared" si="82"/>
        <v>1737600</v>
      </c>
      <c r="AS125" s="171">
        <f t="shared" si="83"/>
        <v>0</v>
      </c>
      <c r="AT125" s="171">
        <f t="shared" si="84"/>
        <v>13802246.057142857</v>
      </c>
      <c r="AU125" s="250">
        <v>13802246</v>
      </c>
      <c r="AV125" s="250"/>
      <c r="AW125" s="250"/>
      <c r="AX125" s="250"/>
      <c r="AY125" s="250"/>
      <c r="AZ125" s="250"/>
      <c r="BA125" s="250"/>
      <c r="BB125" s="251">
        <f t="shared" si="85"/>
        <v>-5.714285746216774E-2</v>
      </c>
      <c r="BC125" s="169"/>
      <c r="BD125" s="169"/>
      <c r="BE125" s="169"/>
      <c r="BF125" s="169"/>
    </row>
    <row r="126" spans="1:58" ht="63" outlineLevel="2" x14ac:dyDescent="0.25">
      <c r="A126" s="115"/>
      <c r="B126" s="200"/>
      <c r="C126" s="201"/>
      <c r="D126" s="131"/>
      <c r="E126" s="323"/>
      <c r="F126" s="308"/>
      <c r="G126" s="309"/>
      <c r="H126" s="199" t="s">
        <v>447</v>
      </c>
      <c r="I126" s="130" t="s">
        <v>1</v>
      </c>
      <c r="J126" s="126">
        <v>12</v>
      </c>
      <c r="K126" s="126">
        <v>8</v>
      </c>
      <c r="L126" s="125">
        <f>IF(I126&lt;&gt;0,((VLOOKUP(I126,'1. Standard_Cost'!$B$4:$D$11,2)+VLOOKUP(I126,'1. Standard_Cost'!$B$4:$D$11,3))*J126*K126),"0")</f>
        <v>6892114.2857142854</v>
      </c>
      <c r="M126" s="125">
        <f>L126*'1. Standard_Cost'!$F$4</f>
        <v>1150983.0857142857</v>
      </c>
      <c r="N126" s="126"/>
      <c r="O126" s="126"/>
      <c r="P126" s="126"/>
      <c r="Q126" s="126"/>
      <c r="R126" s="127">
        <f>'1. Standard_Cost'!$B$15*N126*P126</f>
        <v>0</v>
      </c>
      <c r="S126" s="127">
        <f>N126*O126*P126*'1. Standard_Cost'!$C$15</f>
        <v>0</v>
      </c>
      <c r="T126" s="127">
        <f>N126*P126*Q126*'1. Standard_Cost'!$D$15</f>
        <v>0</v>
      </c>
      <c r="U126" s="127">
        <f>N126*O126*'1. Standard_Cost'!$E$15</f>
        <v>0</v>
      </c>
      <c r="V126" s="126"/>
      <c r="W126" s="126"/>
      <c r="X126" s="126"/>
      <c r="Y126" s="127">
        <f>+V126*((X126*'1. Standard_Cost'!$B$19)+(W126*X126*'1. Standard_Cost'!$C$19))</f>
        <v>0</v>
      </c>
      <c r="Z126" s="126"/>
      <c r="AA126" s="126"/>
      <c r="AB126" s="127">
        <f>+Z126*'1. Standard_Cost'!$B$23+AA126*'1. Standard_Cost'!$C$23</f>
        <v>0</v>
      </c>
      <c r="AC126" s="128">
        <v>965172</v>
      </c>
      <c r="AD126" s="129"/>
      <c r="AE126" s="127">
        <f>SUM(AD126,AC126,AB126,Y126,U126,T126,S126,R126)*'1. Standard_Cost'!$B$31</f>
        <v>193034.40000000002</v>
      </c>
      <c r="AF126" s="127">
        <f t="shared" si="80"/>
        <v>1158206.3999999999</v>
      </c>
      <c r="AG126" s="126"/>
      <c r="AH126" s="126"/>
      <c r="AI126" s="126"/>
      <c r="AJ126" s="130"/>
      <c r="AK126" s="130"/>
      <c r="AL126" s="130"/>
      <c r="AM126" s="127">
        <f>AG126*'1. Standard_Cost'!$B$27+'Incremental_Cost Year 7'!AH126*'1. Standard_Cost'!$C$27+'Incremental_Cost Year 7'!AI126*'1. Standard_Cost'!$D$27+'Incremental_Cost Year 7'!AJ126+'Incremental_Cost Year 7'!AL126+AK126</f>
        <v>0</v>
      </c>
      <c r="AN126" s="127">
        <f>AM126*'1. Standard_Cost'!$C$31</f>
        <v>0</v>
      </c>
      <c r="AO126" s="130"/>
      <c r="AQ126" s="171">
        <f t="shared" si="81"/>
        <v>8043097.3714285716</v>
      </c>
      <c r="AR126" s="171">
        <f t="shared" si="82"/>
        <v>1158206.3999999999</v>
      </c>
      <c r="AS126" s="171">
        <f t="shared" si="83"/>
        <v>0</v>
      </c>
      <c r="AT126" s="171">
        <f t="shared" si="84"/>
        <v>9201303.771428572</v>
      </c>
      <c r="AU126" s="250">
        <v>9201304</v>
      </c>
      <c r="AV126" s="250"/>
      <c r="AW126" s="250"/>
      <c r="AX126" s="250"/>
      <c r="AY126" s="250"/>
      <c r="AZ126" s="250"/>
      <c r="BA126" s="250"/>
      <c r="BB126" s="251">
        <f t="shared" si="85"/>
        <v>0.22857142798602581</v>
      </c>
      <c r="BC126" s="169"/>
      <c r="BD126" s="169"/>
      <c r="BE126" s="169"/>
      <c r="BF126" s="169"/>
    </row>
    <row r="127" spans="1:58" ht="47.25" outlineLevel="2" x14ac:dyDescent="0.25">
      <c r="A127" s="115"/>
      <c r="B127" s="200"/>
      <c r="C127" s="201"/>
      <c r="D127" s="131"/>
      <c r="E127" s="323"/>
      <c r="F127" s="308"/>
      <c r="G127" s="309"/>
      <c r="H127" s="199" t="s">
        <v>448</v>
      </c>
      <c r="I127" s="130" t="s">
        <v>1</v>
      </c>
      <c r="J127" s="126">
        <v>12</v>
      </c>
      <c r="K127" s="126">
        <v>5</v>
      </c>
      <c r="L127" s="125">
        <f>IF(I127&lt;&gt;0,((VLOOKUP(I127,'1. Standard_Cost'!$B$4:$D$11,2)+VLOOKUP(I127,'1. Standard_Cost'!$B$4:$D$11,3))*J127*K127),"0")</f>
        <v>4307571.4285714282</v>
      </c>
      <c r="M127" s="125">
        <f>L127*'1. Standard_Cost'!$F$4</f>
        <v>719364.42857142852</v>
      </c>
      <c r="N127" s="126"/>
      <c r="O127" s="126"/>
      <c r="P127" s="126"/>
      <c r="Q127" s="126"/>
      <c r="R127" s="127">
        <f>'1. Standard_Cost'!$B$15*N127*P127</f>
        <v>0</v>
      </c>
      <c r="S127" s="127">
        <f>N127*O127*P127*'1. Standard_Cost'!$C$15</f>
        <v>0</v>
      </c>
      <c r="T127" s="127">
        <f>N127*P127*Q127*'1. Standard_Cost'!$D$15</f>
        <v>0</v>
      </c>
      <c r="U127" s="127">
        <f>N127*O127*'1. Standard_Cost'!$E$15</f>
        <v>0</v>
      </c>
      <c r="V127" s="126"/>
      <c r="W127" s="126"/>
      <c r="X127" s="126"/>
      <c r="Y127" s="127">
        <f>+V127*((X127*'1. Standard_Cost'!$B$19)+(W127*X127*'1. Standard_Cost'!$C$19))</f>
        <v>0</v>
      </c>
      <c r="Z127" s="126"/>
      <c r="AA127" s="126"/>
      <c r="AB127" s="127">
        <f>+Z127*'1. Standard_Cost'!$B$23+AA127*'1. Standard_Cost'!$C$23</f>
        <v>0</v>
      </c>
      <c r="AC127" s="128">
        <v>754040</v>
      </c>
      <c r="AD127" s="129"/>
      <c r="AE127" s="127">
        <f>SUM(AD127,AC127,AB127,Y127,U127,T127,S127,R127)*'1. Standard_Cost'!$B$31</f>
        <v>150808</v>
      </c>
      <c r="AF127" s="127">
        <f t="shared" si="80"/>
        <v>904848</v>
      </c>
      <c r="AG127" s="126"/>
      <c r="AH127" s="126"/>
      <c r="AI127" s="126"/>
      <c r="AJ127" s="130"/>
      <c r="AK127" s="130"/>
      <c r="AL127" s="130"/>
      <c r="AM127" s="127">
        <f>AG127*'1. Standard_Cost'!$B$27+'Incremental_Cost Year 7'!AH127*'1. Standard_Cost'!$C$27+'Incremental_Cost Year 7'!AI127*'1. Standard_Cost'!$D$27+'Incremental_Cost Year 7'!AJ127+'Incremental_Cost Year 7'!AL127+AK127</f>
        <v>0</v>
      </c>
      <c r="AN127" s="127">
        <f>AM127*'1. Standard_Cost'!$C$31</f>
        <v>0</v>
      </c>
      <c r="AO127" s="130"/>
      <c r="AQ127" s="171">
        <f t="shared" si="81"/>
        <v>5026935.8571428563</v>
      </c>
      <c r="AR127" s="171">
        <f t="shared" si="82"/>
        <v>904848</v>
      </c>
      <c r="AS127" s="171">
        <f t="shared" si="83"/>
        <v>0</v>
      </c>
      <c r="AT127" s="171">
        <f t="shared" si="84"/>
        <v>5931783.8571428563</v>
      </c>
      <c r="AU127" s="250">
        <v>5931784</v>
      </c>
      <c r="AV127" s="250"/>
      <c r="AW127" s="250"/>
      <c r="AX127" s="250"/>
      <c r="AY127" s="250"/>
      <c r="AZ127" s="250"/>
      <c r="BA127" s="250"/>
      <c r="BB127" s="251">
        <f t="shared" si="85"/>
        <v>0.14285714365541935</v>
      </c>
      <c r="BC127" s="169"/>
      <c r="BD127" s="169"/>
      <c r="BE127" s="169"/>
      <c r="BF127" s="169"/>
    </row>
    <row r="128" spans="1:58" ht="63" outlineLevel="2" x14ac:dyDescent="0.25">
      <c r="A128" s="115"/>
      <c r="B128" s="200"/>
      <c r="C128" s="201"/>
      <c r="D128" s="131"/>
      <c r="E128" s="323"/>
      <c r="F128" s="326"/>
      <c r="G128" s="309"/>
      <c r="H128" s="199" t="s">
        <v>449</v>
      </c>
      <c r="I128" s="130" t="s">
        <v>1</v>
      </c>
      <c r="J128" s="126">
        <v>12</v>
      </c>
      <c r="K128" s="126">
        <v>21</v>
      </c>
      <c r="L128" s="125">
        <f>IF(I128&lt;&gt;0,((VLOOKUP(I128,'1. Standard_Cost'!$B$4:$D$11,2)+VLOOKUP(I128,'1. Standard_Cost'!$B$4:$D$11,3))*J128*K128),"0")</f>
        <v>18091800</v>
      </c>
      <c r="M128" s="125">
        <f>L128*'1. Standard_Cost'!$F$4</f>
        <v>3021330.6</v>
      </c>
      <c r="N128" s="126"/>
      <c r="O128" s="126"/>
      <c r="P128" s="126"/>
      <c r="Q128" s="126"/>
      <c r="R128" s="127">
        <f>'1. Standard_Cost'!$B$15*N128*P128</f>
        <v>0</v>
      </c>
      <c r="S128" s="127">
        <f>N128*O128*P128*'1. Standard_Cost'!$C$15</f>
        <v>0</v>
      </c>
      <c r="T128" s="127">
        <f>N128*P128*Q128*'1. Standard_Cost'!$D$15</f>
        <v>0</v>
      </c>
      <c r="U128" s="127">
        <f>N128*O128*'1. Standard_Cost'!$E$15</f>
        <v>0</v>
      </c>
      <c r="V128" s="126"/>
      <c r="W128" s="126"/>
      <c r="X128" s="126"/>
      <c r="Y128" s="127">
        <f>+V128*((X128*'1. Standard_Cost'!$B$19)+(W128*X128*'1. Standard_Cost'!$C$19))</f>
        <v>0</v>
      </c>
      <c r="Z128" s="126"/>
      <c r="AA128" s="126"/>
      <c r="AB128" s="127">
        <f>+Z128*'1. Standard_Cost'!$B$23+AA128*'1. Standard_Cost'!$C$23</f>
        <v>0</v>
      </c>
      <c r="AC128" s="128">
        <v>3166970</v>
      </c>
      <c r="AD128" s="129"/>
      <c r="AE128" s="127">
        <f>SUM(AD128,AC128,AB128,Y128,U128,T128,S128,R128)*'1. Standard_Cost'!$B$31</f>
        <v>633394</v>
      </c>
      <c r="AF128" s="127">
        <f t="shared" si="80"/>
        <v>3800364</v>
      </c>
      <c r="AG128" s="126"/>
      <c r="AH128" s="126"/>
      <c r="AI128" s="126"/>
      <c r="AJ128" s="130"/>
      <c r="AK128" s="130"/>
      <c r="AL128" s="130"/>
      <c r="AM128" s="127">
        <f>AG128*'1. Standard_Cost'!$B$27+'Incremental_Cost Year 7'!AH128*'1. Standard_Cost'!$C$27+'Incremental_Cost Year 7'!AI128*'1. Standard_Cost'!$D$27+'Incremental_Cost Year 7'!AJ128+'Incremental_Cost Year 7'!AL128+AK128</f>
        <v>0</v>
      </c>
      <c r="AN128" s="127">
        <f>AM128*'1. Standard_Cost'!$C$31</f>
        <v>0</v>
      </c>
      <c r="AO128" s="130"/>
      <c r="AQ128" s="171">
        <f t="shared" si="81"/>
        <v>21113130.600000001</v>
      </c>
      <c r="AR128" s="171">
        <f t="shared" si="82"/>
        <v>3800364</v>
      </c>
      <c r="AS128" s="171">
        <f t="shared" si="83"/>
        <v>0</v>
      </c>
      <c r="AT128" s="171">
        <f t="shared" si="84"/>
        <v>24913494.600000001</v>
      </c>
      <c r="AU128" s="250">
        <v>24913495</v>
      </c>
      <c r="AV128" s="250"/>
      <c r="AW128" s="250"/>
      <c r="AX128" s="250"/>
      <c r="AY128" s="250"/>
      <c r="AZ128" s="250"/>
      <c r="BA128" s="250"/>
      <c r="BB128" s="251">
        <f t="shared" si="85"/>
        <v>0.39999999850988388</v>
      </c>
      <c r="BC128" s="169"/>
      <c r="BD128" s="169"/>
      <c r="BE128" s="169"/>
      <c r="BF128" s="169"/>
    </row>
    <row r="129" spans="1:58" ht="31.5" outlineLevel="2" x14ac:dyDescent="0.25">
      <c r="A129" s="115"/>
      <c r="B129" s="200"/>
      <c r="C129" s="201"/>
      <c r="D129" s="131"/>
      <c r="E129" s="323"/>
      <c r="F129" s="326"/>
      <c r="G129" s="309"/>
      <c r="H129" s="199" t="s">
        <v>284</v>
      </c>
      <c r="I129" s="130" t="s">
        <v>1</v>
      </c>
      <c r="J129" s="126">
        <v>12</v>
      </c>
      <c r="K129" s="126">
        <v>5</v>
      </c>
      <c r="L129" s="125">
        <f>IF(I129&lt;&gt;0,((VLOOKUP(I129,'1. Standard_Cost'!$B$4:$D$11,2)+VLOOKUP(I129,'1. Standard_Cost'!$B$4:$D$11,3))*J129*K129),"0")</f>
        <v>4307571.4285714282</v>
      </c>
      <c r="M129" s="125">
        <f>L129*'1. Standard_Cost'!$F$4</f>
        <v>719364.42857142852</v>
      </c>
      <c r="N129" s="126"/>
      <c r="O129" s="126"/>
      <c r="P129" s="126"/>
      <c r="Q129" s="126"/>
      <c r="R129" s="127">
        <f>'1. Standard_Cost'!$B$15*N129*P129</f>
        <v>0</v>
      </c>
      <c r="S129" s="127">
        <f>N129*O129*P129*'1. Standard_Cost'!$C$15</f>
        <v>0</v>
      </c>
      <c r="T129" s="127">
        <f>N129*P129*Q129*'1. Standard_Cost'!$D$15</f>
        <v>0</v>
      </c>
      <c r="U129" s="127">
        <f>N129*O129*'1. Standard_Cost'!$E$15</f>
        <v>0</v>
      </c>
      <c r="V129" s="126"/>
      <c r="W129" s="126"/>
      <c r="X129" s="126"/>
      <c r="Y129" s="127">
        <f>+V129*((X129*'1. Standard_Cost'!$B$19)+(W129*X129*'1. Standard_Cost'!$C$19))</f>
        <v>0</v>
      </c>
      <c r="Z129" s="126"/>
      <c r="AA129" s="126"/>
      <c r="AB129" s="127">
        <f>+Z129*'1. Standard_Cost'!$B$23+AA129*'1. Standard_Cost'!$C$23</f>
        <v>0</v>
      </c>
      <c r="AC129" s="128">
        <v>1005388</v>
      </c>
      <c r="AD129" s="129"/>
      <c r="AE129" s="127">
        <f>SUM(AD129,AC129,AB129,Y129,U129,T129,S129,R129)*'1. Standard_Cost'!$B$31</f>
        <v>201077.6</v>
      </c>
      <c r="AF129" s="127">
        <f t="shared" si="80"/>
        <v>1206465.6000000001</v>
      </c>
      <c r="AG129" s="126"/>
      <c r="AH129" s="126"/>
      <c r="AI129" s="126"/>
      <c r="AJ129" s="130"/>
      <c r="AK129" s="130"/>
      <c r="AL129" s="130"/>
      <c r="AM129" s="127">
        <f>AG129*'1. Standard_Cost'!$B$27+'Incremental_Cost Year 7'!AH129*'1. Standard_Cost'!$C$27+'Incremental_Cost Year 7'!AI129*'1. Standard_Cost'!$D$27+'Incremental_Cost Year 7'!AJ129+'Incremental_Cost Year 7'!AL129+AK129</f>
        <v>0</v>
      </c>
      <c r="AN129" s="127">
        <f>AM129*'1. Standard_Cost'!$C$31</f>
        <v>0</v>
      </c>
      <c r="AO129" s="130"/>
      <c r="AQ129" s="171">
        <f t="shared" si="81"/>
        <v>5026935.8571428563</v>
      </c>
      <c r="AR129" s="171">
        <f t="shared" si="82"/>
        <v>1206465.6000000001</v>
      </c>
      <c r="AS129" s="171">
        <f t="shared" si="83"/>
        <v>0</v>
      </c>
      <c r="AT129" s="171">
        <f t="shared" si="84"/>
        <v>6233401.457142856</v>
      </c>
      <c r="AU129" s="250">
        <v>6233401</v>
      </c>
      <c r="AV129" s="250"/>
      <c r="AW129" s="250"/>
      <c r="AX129" s="250"/>
      <c r="AY129" s="250"/>
      <c r="AZ129" s="250"/>
      <c r="BA129" s="250"/>
      <c r="BB129" s="251">
        <f t="shared" si="85"/>
        <v>-0.45714285597205162</v>
      </c>
      <c r="BC129" s="169"/>
      <c r="BD129" s="169"/>
      <c r="BE129" s="169"/>
      <c r="BF129" s="169"/>
    </row>
    <row r="130" spans="1:58" ht="63" outlineLevel="2" x14ac:dyDescent="0.25">
      <c r="A130" s="115"/>
      <c r="B130" s="200"/>
      <c r="C130" s="201"/>
      <c r="D130" s="131"/>
      <c r="E130" s="323"/>
      <c r="F130" s="326"/>
      <c r="G130" s="309"/>
      <c r="H130" s="199" t="s">
        <v>450</v>
      </c>
      <c r="I130" s="130" t="s">
        <v>1</v>
      </c>
      <c r="J130" s="126">
        <v>12</v>
      </c>
      <c r="K130" s="126">
        <v>10</v>
      </c>
      <c r="L130" s="125">
        <f>IF(I130&lt;&gt;0,((VLOOKUP(I130,'1. Standard_Cost'!$B$4:$D$11,2)+VLOOKUP(I130,'1. Standard_Cost'!$B$4:$D$11,3))*J130*K130),"0")</f>
        <v>8615142.8571428563</v>
      </c>
      <c r="M130" s="125">
        <f>L130*'1. Standard_Cost'!$F$4</f>
        <v>1438728.857142857</v>
      </c>
      <c r="N130" s="126"/>
      <c r="O130" s="126"/>
      <c r="P130" s="126"/>
      <c r="Q130" s="126"/>
      <c r="R130" s="127">
        <f>'1. Standard_Cost'!$B$15*N130*P130</f>
        <v>0</v>
      </c>
      <c r="S130" s="127">
        <f>N130*O130*P130*'1. Standard_Cost'!$C$15</f>
        <v>0</v>
      </c>
      <c r="T130" s="127">
        <f>N130*P130*Q130*'1. Standard_Cost'!$D$15</f>
        <v>0</v>
      </c>
      <c r="U130" s="127">
        <f>N130*O130*'1. Standard_Cost'!$E$15</f>
        <v>0</v>
      </c>
      <c r="V130" s="126"/>
      <c r="W130" s="126"/>
      <c r="X130" s="126"/>
      <c r="Y130" s="127">
        <f>+V130*((X130*'1. Standard_Cost'!$B$19)+(W130*X130*'1. Standard_Cost'!$C$19))</f>
        <v>0</v>
      </c>
      <c r="Z130" s="126"/>
      <c r="AA130" s="126"/>
      <c r="AB130" s="127">
        <f>+Z130*'1. Standard_Cost'!$B$23+AA130*'1. Standard_Cost'!$C$23</f>
        <v>0</v>
      </c>
      <c r="AC130" s="128">
        <v>1508080</v>
      </c>
      <c r="AD130" s="129"/>
      <c r="AE130" s="127">
        <f>SUM(AD130,AC130,AB130,Y130,U130,T130,S130,R130)*'1. Standard_Cost'!$B$31</f>
        <v>301616</v>
      </c>
      <c r="AF130" s="127">
        <f t="shared" si="80"/>
        <v>1809696</v>
      </c>
      <c r="AG130" s="126"/>
      <c r="AH130" s="126"/>
      <c r="AI130" s="126"/>
      <c r="AJ130" s="130"/>
      <c r="AK130" s="130"/>
      <c r="AL130" s="130"/>
      <c r="AM130" s="127">
        <f>AG130*'1. Standard_Cost'!$B$27+'Incremental_Cost Year 7'!AH130*'1. Standard_Cost'!$C$27+'Incremental_Cost Year 7'!AI130*'1. Standard_Cost'!$D$27+'Incremental_Cost Year 7'!AJ130+'Incremental_Cost Year 7'!AL130+AK130</f>
        <v>0</v>
      </c>
      <c r="AN130" s="127">
        <f>AM130*'1. Standard_Cost'!$C$31</f>
        <v>0</v>
      </c>
      <c r="AO130" s="130"/>
      <c r="AQ130" s="171">
        <f t="shared" si="81"/>
        <v>10053871.714285713</v>
      </c>
      <c r="AR130" s="171">
        <f t="shared" si="82"/>
        <v>1809696</v>
      </c>
      <c r="AS130" s="171">
        <f t="shared" si="83"/>
        <v>0</v>
      </c>
      <c r="AT130" s="171">
        <f t="shared" si="84"/>
        <v>11863567.714285713</v>
      </c>
      <c r="AU130" s="250">
        <v>11863568</v>
      </c>
      <c r="AV130" s="250"/>
      <c r="AW130" s="250"/>
      <c r="AX130" s="250"/>
      <c r="AY130" s="250"/>
      <c r="AZ130" s="250"/>
      <c r="BA130" s="250"/>
      <c r="BB130" s="251">
        <f t="shared" si="85"/>
        <v>0.2857142873108387</v>
      </c>
      <c r="BC130" s="169"/>
      <c r="BD130" s="169"/>
      <c r="BE130" s="169"/>
      <c r="BF130" s="169"/>
    </row>
    <row r="131" spans="1:58" ht="31.5" outlineLevel="2" x14ac:dyDescent="0.25">
      <c r="A131" s="115"/>
      <c r="B131" s="200"/>
      <c r="C131" s="201"/>
      <c r="D131" s="131"/>
      <c r="E131" s="323"/>
      <c r="F131" s="326"/>
      <c r="G131" s="309"/>
      <c r="H131" s="225" t="s">
        <v>285</v>
      </c>
      <c r="I131" s="130" t="s">
        <v>1</v>
      </c>
      <c r="J131" s="126">
        <v>12</v>
      </c>
      <c r="K131" s="126">
        <v>5</v>
      </c>
      <c r="L131" s="125">
        <f>IF(I131&lt;&gt;0,((VLOOKUP(I131,'1. Standard_Cost'!$B$4:$D$11,2)+VLOOKUP(I131,'1. Standard_Cost'!$B$4:$D$11,3))*J131*K131),"0")</f>
        <v>4307571.4285714282</v>
      </c>
      <c r="M131" s="125">
        <f>L131*'1. Standard_Cost'!$F$4</f>
        <v>719364.42857142852</v>
      </c>
      <c r="N131" s="126"/>
      <c r="O131" s="126"/>
      <c r="P131" s="126"/>
      <c r="Q131" s="126"/>
      <c r="R131" s="127">
        <f>'1. Standard_Cost'!$B$15*N131*P131</f>
        <v>0</v>
      </c>
      <c r="S131" s="127">
        <f>N131*O131*P131*'1. Standard_Cost'!$C$15</f>
        <v>0</v>
      </c>
      <c r="T131" s="127">
        <f>N131*P131*Q131*'1. Standard_Cost'!$D$15</f>
        <v>0</v>
      </c>
      <c r="U131" s="127">
        <f>N131*O131*'1. Standard_Cost'!$E$15</f>
        <v>0</v>
      </c>
      <c r="V131" s="126"/>
      <c r="W131" s="126"/>
      <c r="X131" s="126"/>
      <c r="Y131" s="127">
        <f>+V131*((X131*'1. Standard_Cost'!$B$19)+(W131*X131*'1. Standard_Cost'!$C$19))</f>
        <v>0</v>
      </c>
      <c r="Z131" s="126"/>
      <c r="AA131" s="126"/>
      <c r="AB131" s="127">
        <f>+Z131*'1. Standard_Cost'!$B$23+AA131*'1. Standard_Cost'!$C$23</f>
        <v>0</v>
      </c>
      <c r="AC131" s="128">
        <v>754040</v>
      </c>
      <c r="AD131" s="129"/>
      <c r="AE131" s="127">
        <f>SUM(AD131,AC131,AB131,Y131,U131,T131,S131,R131)*'1. Standard_Cost'!$B$31</f>
        <v>150808</v>
      </c>
      <c r="AF131" s="127">
        <f t="shared" si="80"/>
        <v>904848</v>
      </c>
      <c r="AG131" s="126"/>
      <c r="AH131" s="126"/>
      <c r="AI131" s="126"/>
      <c r="AJ131" s="130"/>
      <c r="AK131" s="130"/>
      <c r="AL131" s="130"/>
      <c r="AM131" s="127">
        <f>AG131*'1. Standard_Cost'!$B$27+'Incremental_Cost Year 7'!AH131*'1. Standard_Cost'!$C$27+'Incremental_Cost Year 7'!AI131*'1. Standard_Cost'!$D$27+'Incremental_Cost Year 7'!AJ131+'Incremental_Cost Year 7'!AL131+AK131</f>
        <v>0</v>
      </c>
      <c r="AN131" s="127">
        <f>AM131*'1. Standard_Cost'!$C$31</f>
        <v>0</v>
      </c>
      <c r="AO131" s="130"/>
      <c r="AQ131" s="171">
        <f t="shared" si="81"/>
        <v>5026935.8571428563</v>
      </c>
      <c r="AR131" s="171">
        <f t="shared" si="82"/>
        <v>904848</v>
      </c>
      <c r="AS131" s="171">
        <f t="shared" si="83"/>
        <v>0</v>
      </c>
      <c r="AT131" s="171">
        <f t="shared" si="84"/>
        <v>5931783.8571428563</v>
      </c>
      <c r="AU131" s="250">
        <v>5931784</v>
      </c>
      <c r="AV131" s="250"/>
      <c r="AW131" s="250"/>
      <c r="AX131" s="250"/>
      <c r="AY131" s="250"/>
      <c r="AZ131" s="250"/>
      <c r="BA131" s="250"/>
      <c r="BB131" s="251">
        <f t="shared" si="85"/>
        <v>0.14285714365541935</v>
      </c>
      <c r="BC131" s="169"/>
      <c r="BD131" s="169"/>
      <c r="BE131" s="169"/>
      <c r="BF131" s="169"/>
    </row>
    <row r="132" spans="1:58" ht="94.5" customHeight="1" outlineLevel="2" x14ac:dyDescent="0.25">
      <c r="A132" s="115"/>
      <c r="B132" s="147"/>
      <c r="C132" s="314"/>
      <c r="D132" s="305"/>
      <c r="E132" s="322"/>
      <c r="F132" s="324"/>
      <c r="G132" s="312"/>
      <c r="H132" s="225" t="s">
        <v>451</v>
      </c>
      <c r="I132" s="130" t="s">
        <v>2</v>
      </c>
      <c r="J132" s="126">
        <v>12</v>
      </c>
      <c r="K132" s="126">
        <v>5</v>
      </c>
      <c r="L132" s="125">
        <f>IF(I132&lt;&gt;0,((VLOOKUP(I132,'1. Standard_Cost'!$B$4:$D$11,2)+VLOOKUP(I132,'1. Standard_Cost'!$B$4:$D$11,3))*J132*K132),"0")</f>
        <v>7260000</v>
      </c>
      <c r="M132" s="125">
        <f>L132*'1. Standard_Cost'!$F$4</f>
        <v>1212420</v>
      </c>
      <c r="N132" s="126"/>
      <c r="O132" s="126"/>
      <c r="P132" s="126"/>
      <c r="Q132" s="126"/>
      <c r="R132" s="127">
        <f>'1. Standard_Cost'!$B$15*N132*P132</f>
        <v>0</v>
      </c>
      <c r="S132" s="127">
        <f>N132*O132*P132*'1. Standard_Cost'!$C$15</f>
        <v>0</v>
      </c>
      <c r="T132" s="127">
        <f>N132*P132*Q132*'1. Standard_Cost'!$D$15</f>
        <v>0</v>
      </c>
      <c r="U132" s="127">
        <f>N132*O132*'1. Standard_Cost'!$E$15</f>
        <v>0</v>
      </c>
      <c r="V132" s="126"/>
      <c r="W132" s="126"/>
      <c r="X132" s="126"/>
      <c r="Y132" s="127">
        <f>+V132*((X132*'1. Standard_Cost'!$B$19)+(W132*X132*'1. Standard_Cost'!$C$19))</f>
        <v>0</v>
      </c>
      <c r="Z132" s="126"/>
      <c r="AA132" s="126"/>
      <c r="AB132" s="127">
        <f>+Z132*'1. Standard_Cost'!$B$23+AA132*'1. Standard_Cost'!$C$23</f>
        <v>0</v>
      </c>
      <c r="AC132" s="128">
        <v>1270863</v>
      </c>
      <c r="AD132" s="129"/>
      <c r="AE132" s="127">
        <f>SUM(AD132,AC132,AB132,Y132,U132,T132,S132,R132)*'1. Standard_Cost'!$B$31</f>
        <v>254172.6</v>
      </c>
      <c r="AF132" s="127">
        <f t="shared" si="80"/>
        <v>1525035.6</v>
      </c>
      <c r="AG132" s="126"/>
      <c r="AH132" s="126"/>
      <c r="AI132" s="126"/>
      <c r="AJ132" s="130"/>
      <c r="AK132" s="130"/>
      <c r="AL132" s="130"/>
      <c r="AM132" s="127">
        <f>AG132*'1. Standard_Cost'!$B$27+'Incremental_Cost Year 7'!AH132*'1. Standard_Cost'!$C$27+'Incremental_Cost Year 7'!AI132*'1. Standard_Cost'!$D$27+'Incremental_Cost Year 7'!AJ132+'Incremental_Cost Year 7'!AL132+AK132</f>
        <v>0</v>
      </c>
      <c r="AN132" s="127">
        <f>AM132*'1. Standard_Cost'!$C$31</f>
        <v>0</v>
      </c>
      <c r="AO132" s="130"/>
      <c r="AQ132" s="171">
        <f t="shared" si="81"/>
        <v>8472420</v>
      </c>
      <c r="AR132" s="171">
        <f t="shared" si="82"/>
        <v>1525035.6</v>
      </c>
      <c r="AS132" s="171">
        <f t="shared" si="83"/>
        <v>0</v>
      </c>
      <c r="AT132" s="171">
        <f t="shared" si="84"/>
        <v>9997455.5999999996</v>
      </c>
      <c r="AU132" s="250">
        <v>9997456</v>
      </c>
      <c r="AV132" s="250"/>
      <c r="AW132" s="250"/>
      <c r="AX132" s="250"/>
      <c r="AY132" s="250"/>
      <c r="AZ132" s="250"/>
      <c r="BA132" s="250"/>
      <c r="BB132" s="251">
        <f t="shared" si="85"/>
        <v>0.40000000037252903</v>
      </c>
      <c r="BC132" s="169"/>
      <c r="BD132" s="169"/>
      <c r="BE132" s="169"/>
      <c r="BF132" s="169"/>
    </row>
    <row r="133" spans="1:58" ht="110.25" outlineLevel="1" x14ac:dyDescent="0.25">
      <c r="A133" s="115"/>
      <c r="B133" s="200"/>
      <c r="C133" s="201"/>
      <c r="D133" s="146" t="s">
        <v>561</v>
      </c>
      <c r="E133" s="310" t="s">
        <v>452</v>
      </c>
      <c r="F133" s="121">
        <v>2021</v>
      </c>
      <c r="G133" s="223">
        <v>2030</v>
      </c>
      <c r="H133" s="110" t="s">
        <v>286</v>
      </c>
      <c r="I133" s="252"/>
      <c r="J133" s="252"/>
      <c r="K133" s="252"/>
      <c r="L133" s="127">
        <f>SUM(L124:L132)</f>
        <v>64119942.857142858</v>
      </c>
      <c r="M133" s="127">
        <f>SUM(M124:M132)</f>
        <v>10708030.457142858</v>
      </c>
      <c r="N133" s="127"/>
      <c r="O133" s="252"/>
      <c r="P133" s="252"/>
      <c r="Q133" s="252"/>
      <c r="R133" s="127">
        <f>SUM(R124:R132)</f>
        <v>0</v>
      </c>
      <c r="S133" s="127">
        <f>SUM(S124:S132)</f>
        <v>0</v>
      </c>
      <c r="T133" s="127">
        <f>SUM(T124:T132)</f>
        <v>0</v>
      </c>
      <c r="U133" s="127">
        <f>SUM(U124:U132)</f>
        <v>0</v>
      </c>
      <c r="V133" s="252"/>
      <c r="W133" s="252"/>
      <c r="X133" s="252"/>
      <c r="Y133" s="127">
        <f>SUM(Y124:Y132)</f>
        <v>0</v>
      </c>
      <c r="Z133" s="252"/>
      <c r="AA133" s="252"/>
      <c r="AB133" s="127">
        <f>SUM(AB124:AB132)</f>
        <v>0</v>
      </c>
      <c r="AC133" s="127">
        <f>SUM(AC124:AC132)</f>
        <v>10872553</v>
      </c>
      <c r="AD133" s="127">
        <f>SUM(AD124:AD132)</f>
        <v>0</v>
      </c>
      <c r="AE133" s="127">
        <f>SUM(AE124:AE132)</f>
        <v>2174510.6</v>
      </c>
      <c r="AF133" s="127">
        <f>SUM(AF124:AF132)</f>
        <v>13047063.6</v>
      </c>
      <c r="AG133" s="252"/>
      <c r="AH133" s="252"/>
      <c r="AI133" s="252"/>
      <c r="AJ133" s="127">
        <f>SUM(AJ124:AJ132)</f>
        <v>0</v>
      </c>
      <c r="AK133" s="127">
        <f>SUM(AK124:AK132)</f>
        <v>0</v>
      </c>
      <c r="AL133" s="127">
        <f>SUM(AL124:AL132)</f>
        <v>0</v>
      </c>
      <c r="AM133" s="127">
        <f>SUM(AM124:AM132)</f>
        <v>0</v>
      </c>
      <c r="AN133" s="127">
        <f>SUM(AN124:AN132)</f>
        <v>0</v>
      </c>
      <c r="AO133" s="253"/>
      <c r="AP133" s="254"/>
      <c r="AQ133" s="175">
        <f>SUM(AQ124:AQ132)</f>
        <v>74827973.314285725</v>
      </c>
      <c r="AR133" s="175">
        <f>SUM(AR124:AR132)</f>
        <v>13047063.6</v>
      </c>
      <c r="AS133" s="175">
        <f>SUM(AS124:AS132)</f>
        <v>0</v>
      </c>
      <c r="AT133" s="175">
        <f>SUM(AT124:AT132)</f>
        <v>87875036.914285704</v>
      </c>
      <c r="AU133" s="175">
        <f t="shared" ref="AU133:BB133" si="86">SUM(AU124:AU132)</f>
        <v>87875038</v>
      </c>
      <c r="AV133" s="175">
        <f t="shared" si="86"/>
        <v>0</v>
      </c>
      <c r="AW133" s="175">
        <f t="shared" si="86"/>
        <v>0</v>
      </c>
      <c r="AX133" s="175">
        <f t="shared" si="86"/>
        <v>0</v>
      </c>
      <c r="AY133" s="175">
        <f t="shared" si="86"/>
        <v>0</v>
      </c>
      <c r="AZ133" s="175">
        <f t="shared" si="86"/>
        <v>0</v>
      </c>
      <c r="BA133" s="175">
        <f t="shared" si="86"/>
        <v>0</v>
      </c>
      <c r="BB133" s="175">
        <f t="shared" si="86"/>
        <v>1.0857142880558968</v>
      </c>
      <c r="BC133" s="169"/>
      <c r="BD133" s="169"/>
      <c r="BE133" s="169"/>
      <c r="BF133" s="169"/>
    </row>
    <row r="134" spans="1:58" s="184" customFormat="1" ht="15.75" customHeight="1" x14ac:dyDescent="0.25">
      <c r="A134" s="143"/>
      <c r="B134" s="290"/>
      <c r="C134" s="391" t="s">
        <v>289</v>
      </c>
      <c r="D134" s="391"/>
      <c r="E134" s="392"/>
      <c r="F134" s="291"/>
      <c r="G134" s="289"/>
      <c r="H134" s="144" t="s">
        <v>290</v>
      </c>
      <c r="I134" s="257"/>
      <c r="J134" s="257"/>
      <c r="K134" s="257"/>
      <c r="L134" s="258">
        <f>SUM(L139)</f>
        <v>6261800</v>
      </c>
      <c r="M134" s="258">
        <f>SUM(M139)</f>
        <v>1045720.6000000001</v>
      </c>
      <c r="N134" s="257"/>
      <c r="O134" s="257"/>
      <c r="P134" s="257"/>
      <c r="Q134" s="257"/>
      <c r="R134" s="258">
        <f>SUM(R139)</f>
        <v>0</v>
      </c>
      <c r="S134" s="258">
        <f>SUM(S139)</f>
        <v>0</v>
      </c>
      <c r="T134" s="258">
        <f>SUM(T139)</f>
        <v>0</v>
      </c>
      <c r="U134" s="258">
        <f>SUM(U139)</f>
        <v>0</v>
      </c>
      <c r="V134" s="257"/>
      <c r="W134" s="257"/>
      <c r="X134" s="257"/>
      <c r="Y134" s="258">
        <f>SUM(Y139)</f>
        <v>0</v>
      </c>
      <c r="Z134" s="258"/>
      <c r="AA134" s="258"/>
      <c r="AB134" s="258">
        <f>SUM(AB139)</f>
        <v>0</v>
      </c>
      <c r="AC134" s="258">
        <f>SUM(AC139)</f>
        <v>12150839290</v>
      </c>
      <c r="AD134" s="258">
        <f>SUM(AD139)</f>
        <v>0</v>
      </c>
      <c r="AE134" s="258">
        <f>SUM(AE139)</f>
        <v>2167858</v>
      </c>
      <c r="AF134" s="258">
        <f>SUM(AF139)</f>
        <v>12153007148</v>
      </c>
      <c r="AG134" s="257"/>
      <c r="AH134" s="257"/>
      <c r="AI134" s="257"/>
      <c r="AJ134" s="258">
        <f>SUM(AJ139)</f>
        <v>0</v>
      </c>
      <c r="AK134" s="258">
        <f>SUM(AK139)</f>
        <v>0</v>
      </c>
      <c r="AL134" s="258">
        <f>SUM(AL139)</f>
        <v>0</v>
      </c>
      <c r="AM134" s="258">
        <f>SUM(AM139)</f>
        <v>0</v>
      </c>
      <c r="AN134" s="258">
        <f>SUM(AN139)</f>
        <v>0</v>
      </c>
      <c r="AO134" s="259"/>
      <c r="AP134" s="260"/>
      <c r="AQ134" s="261">
        <f>SUM(AQ139)</f>
        <v>7307520.5999999996</v>
      </c>
      <c r="AR134" s="261">
        <f>SUM(AR139)</f>
        <v>12153007148</v>
      </c>
      <c r="AS134" s="261">
        <f>SUM(AS139)</f>
        <v>0</v>
      </c>
      <c r="AT134" s="261">
        <f>SUM(AT139)</f>
        <v>12160314668.6</v>
      </c>
      <c r="AU134" s="261">
        <f t="shared" ref="AU134:BB134" si="87">SUM(AU139)</f>
        <v>12160314669</v>
      </c>
      <c r="AV134" s="261">
        <f t="shared" si="87"/>
        <v>0</v>
      </c>
      <c r="AW134" s="261">
        <f t="shared" si="87"/>
        <v>0</v>
      </c>
      <c r="AX134" s="261">
        <f t="shared" si="87"/>
        <v>0</v>
      </c>
      <c r="AY134" s="261">
        <f t="shared" si="87"/>
        <v>0</v>
      </c>
      <c r="AZ134" s="261">
        <f t="shared" si="87"/>
        <v>0</v>
      </c>
      <c r="BA134" s="261">
        <f t="shared" si="87"/>
        <v>0</v>
      </c>
      <c r="BB134" s="261">
        <f t="shared" si="87"/>
        <v>0.40000000037252903</v>
      </c>
    </row>
    <row r="135" spans="1:58" ht="126" outlineLevel="2" x14ac:dyDescent="0.25">
      <c r="A135" s="115"/>
      <c r="B135" s="200"/>
      <c r="C135" s="201"/>
      <c r="D135" s="346"/>
      <c r="E135" s="321"/>
      <c r="F135" s="337"/>
      <c r="G135" s="338"/>
      <c r="H135" s="199" t="s">
        <v>453</v>
      </c>
      <c r="I135" s="130"/>
      <c r="J135" s="126"/>
      <c r="K135" s="126"/>
      <c r="L135" s="125" t="str">
        <f>IF(I135&lt;&gt;0,((VLOOKUP(I135,'1. Standard_Cost'!$B$4:$D$11,2)+VLOOKUP(I135,'1. Standard_Cost'!$B$4:$D$11,3))*J135*K135),"0")</f>
        <v>0</v>
      </c>
      <c r="M135" s="125">
        <f>L135*'1. Standard_Cost'!$F$4</f>
        <v>0</v>
      </c>
      <c r="N135" s="126"/>
      <c r="O135" s="126"/>
      <c r="P135" s="126"/>
      <c r="Q135" s="126"/>
      <c r="R135" s="127">
        <f>'1. Standard_Cost'!$B$15*N135*P135</f>
        <v>0</v>
      </c>
      <c r="S135" s="127">
        <f>N135*O135*P135*'1. Standard_Cost'!$C$15</f>
        <v>0</v>
      </c>
      <c r="T135" s="127">
        <f>N135*P135*Q135*'1. Standard_Cost'!$D$15</f>
        <v>0</v>
      </c>
      <c r="U135" s="127">
        <f>N135*O135*'1. Standard_Cost'!$E$15</f>
        <v>0</v>
      </c>
      <c r="V135" s="126"/>
      <c r="W135" s="126"/>
      <c r="X135" s="126"/>
      <c r="Y135" s="127">
        <f>+V135*((X135*'1. Standard_Cost'!$B$19)+(W135*X135*'1. Standard_Cost'!$C$19))</f>
        <v>0</v>
      </c>
      <c r="Z135" s="126"/>
      <c r="AA135" s="126"/>
      <c r="AB135" s="127">
        <f>+Z135*'1. Standard_Cost'!$B$23+AA135*'1. Standard_Cost'!$C$23</f>
        <v>0</v>
      </c>
      <c r="AC135" s="128">
        <v>12140000000</v>
      </c>
      <c r="AD135" s="129"/>
      <c r="AE135" s="127"/>
      <c r="AF135" s="127">
        <f>SUM(AE135,AD135,AC135,AB135,Y135,U135,T135,S135,R135)</f>
        <v>12140000000</v>
      </c>
      <c r="AG135" s="126"/>
      <c r="AH135" s="126"/>
      <c r="AI135" s="126"/>
      <c r="AJ135" s="130"/>
      <c r="AK135" s="130"/>
      <c r="AL135" s="130"/>
      <c r="AM135" s="127">
        <f>AG135*'1. Standard_Cost'!$B$27+'Incremental_Cost Year 7'!AH135*'1. Standard_Cost'!$C$27+'Incremental_Cost Year 7'!AI135*'1. Standard_Cost'!$D$27+'Incremental_Cost Year 7'!AJ135+'Incremental_Cost Year 7'!AL135+AK135</f>
        <v>0</v>
      </c>
      <c r="AN135" s="127">
        <f>AM135*'1. Standard_Cost'!$C$31</f>
        <v>0</v>
      </c>
      <c r="AO135" s="130"/>
      <c r="AQ135" s="171">
        <f>L135+M135</f>
        <v>0</v>
      </c>
      <c r="AR135" s="171">
        <f>AF135</f>
        <v>12140000000</v>
      </c>
      <c r="AS135" s="171">
        <f>AM135+AN135</f>
        <v>0</v>
      </c>
      <c r="AT135" s="171">
        <f>SUM(AQ135,AR135,AS135)</f>
        <v>12140000000</v>
      </c>
      <c r="AU135" s="250">
        <v>12140000000</v>
      </c>
      <c r="AV135" s="250"/>
      <c r="AW135" s="250"/>
      <c r="AX135" s="250"/>
      <c r="AY135" s="250"/>
      <c r="AZ135" s="250"/>
      <c r="BA135" s="250"/>
      <c r="BB135" s="251">
        <f t="shared" ref="BB135:BB138" si="88">SUM(AU135:BA135)-AT135</f>
        <v>0</v>
      </c>
      <c r="BC135" s="169"/>
      <c r="BD135" s="169"/>
      <c r="BE135" s="169"/>
      <c r="BF135" s="169"/>
    </row>
    <row r="136" spans="1:58" ht="78.75" outlineLevel="2" x14ac:dyDescent="0.25">
      <c r="A136" s="115"/>
      <c r="B136" s="200"/>
      <c r="C136" s="201"/>
      <c r="D136" s="203"/>
      <c r="E136" s="323"/>
      <c r="F136" s="335"/>
      <c r="G136" s="336"/>
      <c r="H136" s="199" t="s">
        <v>454</v>
      </c>
      <c r="I136" s="130" t="s">
        <v>5</v>
      </c>
      <c r="J136" s="126">
        <v>12</v>
      </c>
      <c r="K136" s="126">
        <v>5</v>
      </c>
      <c r="L136" s="125">
        <f>IF(I136&lt;&gt;0,((VLOOKUP(I136,'1. Standard_Cost'!$B$4:$D$11,2)+VLOOKUP(I136,'1. Standard_Cost'!$B$4:$D$11,3))*J136*K136),"0")</f>
        <v>4242000</v>
      </c>
      <c r="M136" s="125">
        <f>L136*'1. Standard_Cost'!$F$4</f>
        <v>708414</v>
      </c>
      <c r="N136" s="126"/>
      <c r="O136" s="126"/>
      <c r="P136" s="126"/>
      <c r="Q136" s="126"/>
      <c r="R136" s="127">
        <f>'1. Standard_Cost'!$B$15*N136*P136</f>
        <v>0</v>
      </c>
      <c r="S136" s="127">
        <f>N136*O136*P136*'1. Standard_Cost'!$C$15</f>
        <v>0</v>
      </c>
      <c r="T136" s="127">
        <f>N136*P136*Q136*'1. Standard_Cost'!$D$15</f>
        <v>0</v>
      </c>
      <c r="U136" s="127">
        <f>N136*O136*'1. Standard_Cost'!$E$15</f>
        <v>0</v>
      </c>
      <c r="V136" s="126"/>
      <c r="W136" s="126"/>
      <c r="X136" s="126"/>
      <c r="Y136" s="127">
        <f>+V136*((X136*'1. Standard_Cost'!$B$19)+(W136*X136*'1. Standard_Cost'!$C$19))</f>
        <v>0</v>
      </c>
      <c r="Z136" s="126"/>
      <c r="AA136" s="126"/>
      <c r="AB136" s="127">
        <f>+Z136*'1. Standard_Cost'!$B$23+AA136*'1. Standard_Cost'!$C$23</f>
        <v>0</v>
      </c>
      <c r="AC136" s="128">
        <v>594050</v>
      </c>
      <c r="AD136" s="129"/>
      <c r="AE136" s="127">
        <f>SUM(AD136,AC136,AB136,Y136,U136,T136,S136,R136)*'1. Standard_Cost'!$B$31</f>
        <v>118810</v>
      </c>
      <c r="AF136" s="127">
        <f>SUM(AE136,AD136,AC136,AB136,Y136,U136,T136,S136,R136)</f>
        <v>712860</v>
      </c>
      <c r="AG136" s="126"/>
      <c r="AH136" s="126"/>
      <c r="AI136" s="126"/>
      <c r="AJ136" s="130"/>
      <c r="AK136" s="130"/>
      <c r="AL136" s="130"/>
      <c r="AM136" s="127">
        <f>AG136*'1. Standard_Cost'!$B$27+'Incremental_Cost Year 7'!AH136*'1. Standard_Cost'!$C$27+'Incremental_Cost Year 7'!AI136*'1. Standard_Cost'!$D$27+'Incremental_Cost Year 7'!AJ136+'Incremental_Cost Year 7'!AL136+AK136</f>
        <v>0</v>
      </c>
      <c r="AN136" s="127">
        <f>AM136*'1. Standard_Cost'!$C$31</f>
        <v>0</v>
      </c>
      <c r="AO136" s="130"/>
      <c r="AQ136" s="171">
        <f>L136+M136</f>
        <v>4950414</v>
      </c>
      <c r="AR136" s="171">
        <f>AF136</f>
        <v>712860</v>
      </c>
      <c r="AS136" s="171">
        <f>AM136+AN136</f>
        <v>0</v>
      </c>
      <c r="AT136" s="171">
        <f>SUM(AQ136,AR136,AS136)</f>
        <v>5663274</v>
      </c>
      <c r="AU136" s="250">
        <v>5663274</v>
      </c>
      <c r="AV136" s="250"/>
      <c r="AW136" s="250"/>
      <c r="AX136" s="250"/>
      <c r="AY136" s="250"/>
      <c r="AZ136" s="250"/>
      <c r="BA136" s="250"/>
      <c r="BB136" s="251">
        <f t="shared" si="88"/>
        <v>0</v>
      </c>
      <c r="BC136" s="169"/>
      <c r="BD136" s="169"/>
      <c r="BE136" s="169"/>
      <c r="BF136" s="169"/>
    </row>
    <row r="137" spans="1:58" ht="110.25" outlineLevel="2" x14ac:dyDescent="0.25">
      <c r="A137" s="115"/>
      <c r="B137" s="200"/>
      <c r="C137" s="201"/>
      <c r="D137" s="203"/>
      <c r="E137" s="323"/>
      <c r="F137" s="335"/>
      <c r="G137" s="336"/>
      <c r="H137" s="199" t="s">
        <v>455</v>
      </c>
      <c r="I137" s="130" t="s">
        <v>4</v>
      </c>
      <c r="J137" s="126">
        <v>1</v>
      </c>
      <c r="K137" s="126">
        <v>4</v>
      </c>
      <c r="L137" s="125">
        <f>IF(I137&lt;&gt;0,((VLOOKUP(I137,'1. Standard_Cost'!$B$4:$D$11,2)+VLOOKUP(I137,'1. Standard_Cost'!$B$4:$D$11,3))*J137*K137),"0")</f>
        <v>323000</v>
      </c>
      <c r="M137" s="125">
        <f>L137*'1. Standard_Cost'!$F$4</f>
        <v>53941</v>
      </c>
      <c r="N137" s="126"/>
      <c r="O137" s="126"/>
      <c r="P137" s="126"/>
      <c r="Q137" s="126"/>
      <c r="R137" s="127">
        <f>'1. Standard_Cost'!$B$15*N137*P137</f>
        <v>0</v>
      </c>
      <c r="S137" s="127">
        <f>N137*O137*P137*'1. Standard_Cost'!$C$15</f>
        <v>0</v>
      </c>
      <c r="T137" s="127">
        <f>N137*P137*Q137*'1. Standard_Cost'!$D$15</f>
        <v>0</v>
      </c>
      <c r="U137" s="127">
        <f>N137*O137*'1. Standard_Cost'!$E$15</f>
        <v>0</v>
      </c>
      <c r="V137" s="126"/>
      <c r="W137" s="126"/>
      <c r="X137" s="126"/>
      <c r="Y137" s="127">
        <f>+V137*((X137*'1. Standard_Cost'!$B$19)+(W137*X137*'1. Standard_Cost'!$C$19))</f>
        <v>0</v>
      </c>
      <c r="Z137" s="126"/>
      <c r="AA137" s="126"/>
      <c r="AB137" s="127">
        <f>+Z137*'1. Standard_Cost'!$B$23+AA137*'1. Standard_Cost'!$C$23</f>
        <v>0</v>
      </c>
      <c r="AC137" s="128">
        <v>45240</v>
      </c>
      <c r="AD137" s="129"/>
      <c r="AE137" s="127">
        <f>SUM(AD137,AC137,AB137,Y137,U137,T137,S137,R137)*'1. Standard_Cost'!$B$31</f>
        <v>9048</v>
      </c>
      <c r="AF137" s="127">
        <f>SUM(AE137,AD137,AC137,AB137,Y137,U137,T137,S137,R137)</f>
        <v>54288</v>
      </c>
      <c r="AG137" s="126"/>
      <c r="AH137" s="126"/>
      <c r="AI137" s="126"/>
      <c r="AJ137" s="130"/>
      <c r="AK137" s="130"/>
      <c r="AL137" s="130"/>
      <c r="AM137" s="127">
        <f>AG137*'1. Standard_Cost'!$B$27+'Incremental_Cost Year 7'!AH137*'1. Standard_Cost'!$C$27+'Incremental_Cost Year 7'!AI137*'1. Standard_Cost'!$D$27+'Incremental_Cost Year 7'!AJ137+'Incremental_Cost Year 7'!AL137+AK137</f>
        <v>0</v>
      </c>
      <c r="AN137" s="127">
        <f>AM137*'1. Standard_Cost'!$C$31</f>
        <v>0</v>
      </c>
      <c r="AO137" s="130"/>
      <c r="AQ137" s="171">
        <f>L137+M137</f>
        <v>376941</v>
      </c>
      <c r="AR137" s="171">
        <f>AF137</f>
        <v>54288</v>
      </c>
      <c r="AS137" s="171">
        <f>AM137+AN137</f>
        <v>0</v>
      </c>
      <c r="AT137" s="171">
        <f>SUM(AQ137,AR137,AS137)</f>
        <v>431229</v>
      </c>
      <c r="AU137" s="250">
        <v>431229</v>
      </c>
      <c r="AV137" s="250"/>
      <c r="AW137" s="250"/>
      <c r="AX137" s="250"/>
      <c r="AY137" s="250"/>
      <c r="AZ137" s="250"/>
      <c r="BA137" s="250"/>
      <c r="BB137" s="251">
        <f t="shared" si="88"/>
        <v>0</v>
      </c>
      <c r="BC137" s="169"/>
      <c r="BD137" s="169"/>
      <c r="BE137" s="169"/>
      <c r="BF137" s="169"/>
    </row>
    <row r="138" spans="1:58" ht="78.75" outlineLevel="2" x14ac:dyDescent="0.25">
      <c r="A138" s="115"/>
      <c r="B138" s="200"/>
      <c r="C138" s="334"/>
      <c r="D138" s="347"/>
      <c r="E138" s="323"/>
      <c r="F138" s="335"/>
      <c r="G138" s="336"/>
      <c r="H138" s="199" t="s">
        <v>456</v>
      </c>
      <c r="I138" s="130" t="s">
        <v>5</v>
      </c>
      <c r="J138" s="126">
        <v>12</v>
      </c>
      <c r="K138" s="126">
        <v>2</v>
      </c>
      <c r="L138" s="125">
        <f>IF(I138&lt;&gt;0,((VLOOKUP(I138,'1. Standard_Cost'!$B$4:$D$11,2)+VLOOKUP(I138,'1. Standard_Cost'!$B$4:$D$11,3))*J138*K138),"0")</f>
        <v>1696800</v>
      </c>
      <c r="M138" s="125">
        <f>L138*'1. Standard_Cost'!$F$4</f>
        <v>283365.60000000003</v>
      </c>
      <c r="N138" s="126"/>
      <c r="O138" s="126"/>
      <c r="P138" s="126"/>
      <c r="Q138" s="126"/>
      <c r="R138" s="127">
        <f>'1. Standard_Cost'!$B$15*N138*P138</f>
        <v>0</v>
      </c>
      <c r="S138" s="127">
        <f>N138*O138*P138*'1. Standard_Cost'!$C$15</f>
        <v>0</v>
      </c>
      <c r="T138" s="127">
        <f>N138*P138*Q138*'1. Standard_Cost'!$D$15</f>
        <v>0</v>
      </c>
      <c r="U138" s="127">
        <f>N138*O138*'1. Standard_Cost'!$E$15</f>
        <v>0</v>
      </c>
      <c r="V138" s="126"/>
      <c r="W138" s="126"/>
      <c r="X138" s="126"/>
      <c r="Y138" s="127">
        <f>+V138*((X138*'1. Standard_Cost'!$B$19)+(W138*X138*'1. Standard_Cost'!$C$19))</f>
        <v>0</v>
      </c>
      <c r="Z138" s="126"/>
      <c r="AA138" s="145"/>
      <c r="AB138" s="127">
        <f>+Z138*'1. Standard_Cost'!$B$23+AA138*'1. Standard_Cost'!$C$23</f>
        <v>0</v>
      </c>
      <c r="AC138" s="128">
        <v>10200000</v>
      </c>
      <c r="AD138" s="129"/>
      <c r="AE138" s="127">
        <f>SUM(AD138,AC138,AB138,Y138,U138,T138,S138,R138)*'1. Standard_Cost'!$B$31</f>
        <v>2040000</v>
      </c>
      <c r="AF138" s="127">
        <f>SUM(AE138,AD138,AC138,AB138,Y138,U138,T138,S138,R138)</f>
        <v>12240000</v>
      </c>
      <c r="AG138" s="126"/>
      <c r="AH138" s="126"/>
      <c r="AI138" s="126"/>
      <c r="AJ138" s="130"/>
      <c r="AK138" s="130"/>
      <c r="AL138" s="130"/>
      <c r="AM138" s="127">
        <f>AG138*'1. Standard_Cost'!$B$27+'Incremental_Cost Year 7'!AH138*'1. Standard_Cost'!$C$27+'Incremental_Cost Year 7'!AI138*'1. Standard_Cost'!$D$27+'Incremental_Cost Year 7'!AJ138+'Incremental_Cost Year 7'!AL138+AK138</f>
        <v>0</v>
      </c>
      <c r="AN138" s="127">
        <f>AM138*'1. Standard_Cost'!$C$31</f>
        <v>0</v>
      </c>
      <c r="AO138" s="262"/>
      <c r="AQ138" s="171">
        <f>L138+M138</f>
        <v>1980165.6</v>
      </c>
      <c r="AR138" s="171">
        <f>AF138</f>
        <v>12240000</v>
      </c>
      <c r="AS138" s="171">
        <f>AM138+AN138</f>
        <v>0</v>
      </c>
      <c r="AT138" s="171">
        <f>SUM(AQ138,AR138,AS138)</f>
        <v>14220165.6</v>
      </c>
      <c r="AU138" s="250">
        <v>14220166</v>
      </c>
      <c r="AV138" s="250"/>
      <c r="AW138" s="250"/>
      <c r="AX138" s="250"/>
      <c r="AY138" s="250"/>
      <c r="AZ138" s="250"/>
      <c r="BA138" s="250"/>
      <c r="BB138" s="251">
        <f t="shared" si="88"/>
        <v>0.40000000037252903</v>
      </c>
      <c r="BC138" s="169"/>
      <c r="BD138" s="169"/>
      <c r="BE138" s="169"/>
      <c r="BF138" s="169"/>
    </row>
    <row r="139" spans="1:58" ht="47.25" outlineLevel="1" x14ac:dyDescent="0.25">
      <c r="A139" s="115"/>
      <c r="B139" s="165"/>
      <c r="C139" s="166"/>
      <c r="D139" s="228" t="s">
        <v>233</v>
      </c>
      <c r="E139" s="212" t="s">
        <v>291</v>
      </c>
      <c r="F139" s="136">
        <v>2022</v>
      </c>
      <c r="G139" s="117">
        <v>2030</v>
      </c>
      <c r="H139" s="110" t="s">
        <v>292</v>
      </c>
      <c r="I139" s="252"/>
      <c r="J139" s="252"/>
      <c r="K139" s="252"/>
      <c r="L139" s="127">
        <f>SUM(L135:L138)</f>
        <v>6261800</v>
      </c>
      <c r="M139" s="127">
        <f>SUM(M135:M138)</f>
        <v>1045720.6000000001</v>
      </c>
      <c r="N139" s="127"/>
      <c r="O139" s="252"/>
      <c r="P139" s="252"/>
      <c r="Q139" s="252"/>
      <c r="R139" s="127">
        <f>SUM(R135:R138)</f>
        <v>0</v>
      </c>
      <c r="S139" s="127">
        <f>SUM(S135:S138)</f>
        <v>0</v>
      </c>
      <c r="T139" s="127">
        <f>SUM(T135:T138)</f>
        <v>0</v>
      </c>
      <c r="U139" s="127">
        <f>SUM(U135:U138)</f>
        <v>0</v>
      </c>
      <c r="V139" s="252"/>
      <c r="W139" s="252"/>
      <c r="X139" s="252"/>
      <c r="Y139" s="127">
        <f>SUM(Y135:Y138)</f>
        <v>0</v>
      </c>
      <c r="Z139" s="252"/>
      <c r="AA139" s="252"/>
      <c r="AB139" s="127">
        <f>SUM(AB135:AB138)</f>
        <v>0</v>
      </c>
      <c r="AC139" s="127">
        <f>SUM(AC135:AC138)</f>
        <v>12150839290</v>
      </c>
      <c r="AD139" s="127">
        <f>SUM(AD135:AD138)</f>
        <v>0</v>
      </c>
      <c r="AE139" s="127">
        <f>SUM(AE135:AE138)</f>
        <v>2167858</v>
      </c>
      <c r="AF139" s="127">
        <f>SUM(AF135:AF138)</f>
        <v>12153007148</v>
      </c>
      <c r="AG139" s="252"/>
      <c r="AH139" s="252"/>
      <c r="AI139" s="252"/>
      <c r="AJ139" s="127">
        <f>SUM(AJ135:AJ138)</f>
        <v>0</v>
      </c>
      <c r="AK139" s="127">
        <f>SUM(AK135:AK138)</f>
        <v>0</v>
      </c>
      <c r="AL139" s="127">
        <f>SUM(AL135:AL138)</f>
        <v>0</v>
      </c>
      <c r="AM139" s="127">
        <f>SUM(AM135:AM138)</f>
        <v>0</v>
      </c>
      <c r="AN139" s="127">
        <f>SUM(AN135:AN138)</f>
        <v>0</v>
      </c>
      <c r="AO139" s="253"/>
      <c r="AP139" s="254"/>
      <c r="AQ139" s="175">
        <f>SUM(AQ135:AQ138)</f>
        <v>7307520.5999999996</v>
      </c>
      <c r="AR139" s="175">
        <f>SUM(AR135:AR138)</f>
        <v>12153007148</v>
      </c>
      <c r="AS139" s="175">
        <f>SUM(AS135:AS138)</f>
        <v>0</v>
      </c>
      <c r="AT139" s="175">
        <f>SUM(AT135:AT138)</f>
        <v>12160314668.6</v>
      </c>
      <c r="AU139" s="175">
        <f t="shared" ref="AU139:BB139" si="89">SUM(AU135:AU138)</f>
        <v>12160314669</v>
      </c>
      <c r="AV139" s="175">
        <f t="shared" si="89"/>
        <v>0</v>
      </c>
      <c r="AW139" s="175">
        <f t="shared" si="89"/>
        <v>0</v>
      </c>
      <c r="AX139" s="175">
        <f t="shared" si="89"/>
        <v>0</v>
      </c>
      <c r="AY139" s="175">
        <f t="shared" si="89"/>
        <v>0</v>
      </c>
      <c r="AZ139" s="175">
        <f t="shared" si="89"/>
        <v>0</v>
      </c>
      <c r="BA139" s="175">
        <f t="shared" si="89"/>
        <v>0</v>
      </c>
      <c r="BB139" s="175">
        <f t="shared" si="89"/>
        <v>0.40000000037252903</v>
      </c>
      <c r="BC139" s="169"/>
      <c r="BD139" s="169"/>
      <c r="BE139" s="169"/>
      <c r="BF139" s="169"/>
    </row>
    <row r="140" spans="1:58" s="184" customFormat="1" ht="15.75" customHeight="1" x14ac:dyDescent="0.25">
      <c r="A140" s="143"/>
      <c r="B140" s="290"/>
      <c r="C140" s="391" t="s">
        <v>293</v>
      </c>
      <c r="D140" s="391"/>
      <c r="E140" s="392"/>
      <c r="F140" s="291"/>
      <c r="G140" s="289"/>
      <c r="H140" s="144" t="s">
        <v>294</v>
      </c>
      <c r="I140" s="257"/>
      <c r="J140" s="257"/>
      <c r="K140" s="257"/>
      <c r="L140" s="258">
        <f>SUM(L149)</f>
        <v>11588500</v>
      </c>
      <c r="M140" s="258">
        <f>SUM(M149)</f>
        <v>1935279.5</v>
      </c>
      <c r="N140" s="257"/>
      <c r="O140" s="257"/>
      <c r="P140" s="257"/>
      <c r="Q140" s="257"/>
      <c r="R140" s="258">
        <f>SUM(R149)</f>
        <v>400000</v>
      </c>
      <c r="S140" s="258">
        <f>SUM(S149)</f>
        <v>300000</v>
      </c>
      <c r="T140" s="258">
        <f>SUM(T149)</f>
        <v>0</v>
      </c>
      <c r="U140" s="258">
        <f>SUM(U149)</f>
        <v>400000</v>
      </c>
      <c r="V140" s="257"/>
      <c r="W140" s="257"/>
      <c r="X140" s="257"/>
      <c r="Y140" s="258">
        <f>SUM(Y149)</f>
        <v>255000</v>
      </c>
      <c r="Z140" s="258"/>
      <c r="AA140" s="258"/>
      <c r="AB140" s="258">
        <f>SUM(AB149)</f>
        <v>779000</v>
      </c>
      <c r="AC140" s="258">
        <f>SUM(AC149)</f>
        <v>3102920</v>
      </c>
      <c r="AD140" s="258">
        <f>SUM(AD149)</f>
        <v>0</v>
      </c>
      <c r="AE140" s="258">
        <f>SUM(AE149)</f>
        <v>1047384</v>
      </c>
      <c r="AF140" s="258">
        <f>SUM(AF149)</f>
        <v>6284304</v>
      </c>
      <c r="AG140" s="257"/>
      <c r="AH140" s="257"/>
      <c r="AI140" s="257"/>
      <c r="AJ140" s="258">
        <f>SUM(AJ149)</f>
        <v>0</v>
      </c>
      <c r="AK140" s="258">
        <f>SUM(AK149)</f>
        <v>0</v>
      </c>
      <c r="AL140" s="258">
        <f>SUM(AL149)</f>
        <v>10000000</v>
      </c>
      <c r="AM140" s="258">
        <f>SUM(AM149)</f>
        <v>10000000</v>
      </c>
      <c r="AN140" s="258">
        <f>SUM(AN149)</f>
        <v>1500000</v>
      </c>
      <c r="AO140" s="259"/>
      <c r="AP140" s="260"/>
      <c r="AQ140" s="261">
        <f>SUM(AQ149)</f>
        <v>13523779.5</v>
      </c>
      <c r="AR140" s="261">
        <f>SUM(AR149)</f>
        <v>6284304</v>
      </c>
      <c r="AS140" s="261">
        <f>SUM(AS149)</f>
        <v>11500000</v>
      </c>
      <c r="AT140" s="261">
        <f>SUM(AT149)</f>
        <v>31308083.5</v>
      </c>
      <c r="AU140" s="261">
        <f t="shared" ref="AU140:BB140" si="90">SUM(AU149)</f>
        <v>16647283.5</v>
      </c>
      <c r="AV140" s="261">
        <f t="shared" si="90"/>
        <v>0</v>
      </c>
      <c r="AW140" s="261">
        <f t="shared" si="90"/>
        <v>0</v>
      </c>
      <c r="AX140" s="261">
        <f t="shared" si="90"/>
        <v>0</v>
      </c>
      <c r="AY140" s="261">
        <f t="shared" si="90"/>
        <v>0</v>
      </c>
      <c r="AZ140" s="261">
        <f t="shared" si="90"/>
        <v>0</v>
      </c>
      <c r="BA140" s="261">
        <f t="shared" si="90"/>
        <v>0</v>
      </c>
      <c r="BB140" s="261">
        <f t="shared" si="90"/>
        <v>-14660800</v>
      </c>
    </row>
    <row r="141" spans="1:58" ht="78.75" outlineLevel="2" x14ac:dyDescent="0.25">
      <c r="A141" s="115"/>
      <c r="B141" s="303"/>
      <c r="C141" s="329"/>
      <c r="D141" s="342"/>
      <c r="E141" s="328"/>
      <c r="F141" s="328"/>
      <c r="G141" s="328"/>
      <c r="H141" s="199" t="s">
        <v>457</v>
      </c>
      <c r="I141" s="130"/>
      <c r="J141" s="126"/>
      <c r="K141" s="126"/>
      <c r="L141" s="125" t="str">
        <f>IF(I141&lt;&gt;0,((VLOOKUP(I141,'1. Standard_Cost'!$B$4:$D$11,2)+VLOOKUP(I141,'1. Standard_Cost'!$B$4:$D$11,3))*J141*K141),"0")</f>
        <v>0</v>
      </c>
      <c r="M141" s="125">
        <f>L141*'1. Standard_Cost'!$F$4</f>
        <v>0</v>
      </c>
      <c r="N141" s="126"/>
      <c r="O141" s="126"/>
      <c r="P141" s="126"/>
      <c r="Q141" s="126"/>
      <c r="R141" s="127">
        <f>'1. Standard_Cost'!$B$15*N141*P141</f>
        <v>0</v>
      </c>
      <c r="S141" s="127">
        <f>N141*O141*P141*'1. Standard_Cost'!$C$15</f>
        <v>0</v>
      </c>
      <c r="T141" s="127">
        <f>N141*P141*Q141*'1. Standard_Cost'!$D$15</f>
        <v>0</v>
      </c>
      <c r="U141" s="127">
        <f>N141*O141*'1. Standard_Cost'!$E$15</f>
        <v>0</v>
      </c>
      <c r="V141" s="126"/>
      <c r="W141" s="126"/>
      <c r="X141" s="126"/>
      <c r="Y141" s="127">
        <f>+V141*((X141*'1. Standard_Cost'!$B$19)+(W141*X141*'1. Standard_Cost'!$C$19))</f>
        <v>0</v>
      </c>
      <c r="Z141" s="126"/>
      <c r="AA141" s="126"/>
      <c r="AB141" s="127">
        <f>+Z141*'1. Standard_Cost'!$B$23+AA141*'1. Standard_Cost'!$C$23</f>
        <v>0</v>
      </c>
      <c r="AC141" s="128"/>
      <c r="AD141" s="129"/>
      <c r="AE141" s="127">
        <f>SUM(AD141,AC141,AB141,Y141,U141,T141,S141,R141)*'1. Standard_Cost'!$B$31</f>
        <v>0</v>
      </c>
      <c r="AF141" s="127">
        <f t="shared" ref="AF141:AF148" si="91">SUM(AE141,AD141,AC141,AB141,Y141,U141,T141,S141,R141)</f>
        <v>0</v>
      </c>
      <c r="AG141" s="126"/>
      <c r="AH141" s="126"/>
      <c r="AI141" s="126"/>
      <c r="AJ141" s="130"/>
      <c r="AK141" s="130"/>
      <c r="AL141" s="130"/>
      <c r="AM141" s="127">
        <f>AG141*'1. Standard_Cost'!$B$27+'Incremental_Cost Year 7'!AH141*'1. Standard_Cost'!$C$27+'Incremental_Cost Year 7'!AI141*'1. Standard_Cost'!$D$27+'Incremental_Cost Year 7'!AJ141+'Incremental_Cost Year 7'!AL141+AK141</f>
        <v>0</v>
      </c>
      <c r="AN141" s="127">
        <f>AM141*'1. Standard_Cost'!$C$31</f>
        <v>0</v>
      </c>
      <c r="AO141" s="130"/>
      <c r="AQ141" s="171">
        <f t="shared" ref="AQ141:AQ148" si="92">L141+M141</f>
        <v>0</v>
      </c>
      <c r="AR141" s="171">
        <f t="shared" ref="AR141:AR148" si="93">AF141</f>
        <v>0</v>
      </c>
      <c r="AS141" s="171">
        <f t="shared" ref="AS141:AS148" si="94">AM141+AN141</f>
        <v>0</v>
      </c>
      <c r="AT141" s="171">
        <f t="shared" ref="AT141:AT148" si="95">SUM(AQ141,AR141,AS141)</f>
        <v>0</v>
      </c>
      <c r="AU141" s="250"/>
      <c r="AV141" s="250"/>
      <c r="AW141" s="250"/>
      <c r="AX141" s="250"/>
      <c r="AY141" s="250"/>
      <c r="AZ141" s="250"/>
      <c r="BA141" s="250"/>
      <c r="BB141" s="251">
        <f t="shared" ref="BB141:BB148" si="96">SUM(AU141:BA141)-AT141</f>
        <v>0</v>
      </c>
      <c r="BC141" s="169"/>
      <c r="BD141" s="169"/>
      <c r="BE141" s="169"/>
      <c r="BF141" s="169"/>
    </row>
    <row r="142" spans="1:58" ht="47.25" outlineLevel="2" x14ac:dyDescent="0.25">
      <c r="A142" s="115"/>
      <c r="B142" s="200"/>
      <c r="C142" s="330"/>
      <c r="D142" s="343"/>
      <c r="E142" s="328"/>
      <c r="F142" s="328"/>
      <c r="G142" s="328"/>
      <c r="H142" s="199" t="s">
        <v>458</v>
      </c>
      <c r="I142" s="130"/>
      <c r="J142" s="126"/>
      <c r="K142" s="126"/>
      <c r="L142" s="125" t="str">
        <f>IF(I142&lt;&gt;0,((VLOOKUP(I142,'1. Standard_Cost'!$B$4:$D$11,2)+VLOOKUP(I142,'1. Standard_Cost'!$B$4:$D$11,3))*J142*K142),"0")</f>
        <v>0</v>
      </c>
      <c r="M142" s="125">
        <f>L142*'1. Standard_Cost'!$F$4</f>
        <v>0</v>
      </c>
      <c r="N142" s="126"/>
      <c r="O142" s="126"/>
      <c r="P142" s="126"/>
      <c r="Q142" s="126"/>
      <c r="R142" s="127">
        <f>'1. Standard_Cost'!$B$15*N142*P142</f>
        <v>0</v>
      </c>
      <c r="S142" s="127">
        <f>N142*O142*P142*'1. Standard_Cost'!$C$15</f>
        <v>0</v>
      </c>
      <c r="T142" s="127">
        <f>N142*P142*Q142*'1. Standard_Cost'!$D$15</f>
        <v>0</v>
      </c>
      <c r="U142" s="127">
        <f>N142*O142*'1. Standard_Cost'!$E$15</f>
        <v>0</v>
      </c>
      <c r="V142" s="126"/>
      <c r="W142" s="126"/>
      <c r="X142" s="126"/>
      <c r="Y142" s="127">
        <f>+V142*((X142*'1. Standard_Cost'!$B$19)+(W142*X142*'1. Standard_Cost'!$C$19))</f>
        <v>0</v>
      </c>
      <c r="Z142" s="126"/>
      <c r="AA142" s="126"/>
      <c r="AB142" s="127">
        <f>+Z142*'1. Standard_Cost'!$B$23+AA142*'1. Standard_Cost'!$C$23</f>
        <v>0</v>
      </c>
      <c r="AC142" s="128"/>
      <c r="AD142" s="129"/>
      <c r="AE142" s="127">
        <f>SUM(AD142,AC142,AB142,Y142,U142,T142,S142,R142)*'1. Standard_Cost'!$B$31</f>
        <v>0</v>
      </c>
      <c r="AF142" s="127">
        <f t="shared" si="91"/>
        <v>0</v>
      </c>
      <c r="AG142" s="126"/>
      <c r="AH142" s="126"/>
      <c r="AI142" s="126"/>
      <c r="AJ142" s="130"/>
      <c r="AK142" s="130"/>
      <c r="AL142" s="130"/>
      <c r="AM142" s="127">
        <f>AG142*'1. Standard_Cost'!$B$27+'Incremental_Cost Year 7'!AH142*'1. Standard_Cost'!$C$27+'Incremental_Cost Year 7'!AI142*'1. Standard_Cost'!$D$27+'Incremental_Cost Year 7'!AJ142+'Incremental_Cost Year 7'!AL142+AK142</f>
        <v>0</v>
      </c>
      <c r="AN142" s="127">
        <f>AM142*'1. Standard_Cost'!$C$31</f>
        <v>0</v>
      </c>
      <c r="AO142" s="130"/>
      <c r="AQ142" s="171">
        <f t="shared" si="92"/>
        <v>0</v>
      </c>
      <c r="AR142" s="171">
        <f t="shared" si="93"/>
        <v>0</v>
      </c>
      <c r="AS142" s="171">
        <f t="shared" si="94"/>
        <v>0</v>
      </c>
      <c r="AT142" s="171">
        <f t="shared" si="95"/>
        <v>0</v>
      </c>
      <c r="AU142" s="250"/>
      <c r="AV142" s="250"/>
      <c r="AW142" s="250"/>
      <c r="AX142" s="250"/>
      <c r="AY142" s="250"/>
      <c r="AZ142" s="250"/>
      <c r="BA142" s="250"/>
      <c r="BB142" s="251">
        <f t="shared" si="96"/>
        <v>0</v>
      </c>
      <c r="BC142" s="169"/>
      <c r="BD142" s="169"/>
      <c r="BE142" s="169"/>
      <c r="BF142" s="169"/>
    </row>
    <row r="143" spans="1:58" ht="94.5" outlineLevel="2" x14ac:dyDescent="0.25">
      <c r="A143" s="115"/>
      <c r="B143" s="200"/>
      <c r="C143" s="330"/>
      <c r="D143" s="343"/>
      <c r="E143" s="328"/>
      <c r="F143" s="328"/>
      <c r="G143" s="328"/>
      <c r="H143" s="199" t="s">
        <v>459</v>
      </c>
      <c r="I143" s="130" t="s">
        <v>3</v>
      </c>
      <c r="J143" s="126">
        <v>12</v>
      </c>
      <c r="K143" s="126">
        <v>5</v>
      </c>
      <c r="L143" s="125">
        <f>IF(I143&lt;&gt;0,((VLOOKUP(I143,'1. Standard_Cost'!$B$4:$D$11,2)+VLOOKUP(I143,'1. Standard_Cost'!$B$4:$D$11,3))*J143*K143),"0")</f>
        <v>6048000</v>
      </c>
      <c r="M143" s="125">
        <f>L143*'1. Standard_Cost'!$F$4</f>
        <v>1010016</v>
      </c>
      <c r="N143" s="126"/>
      <c r="O143" s="126"/>
      <c r="P143" s="126"/>
      <c r="Q143" s="126"/>
      <c r="R143" s="127">
        <f>'1. Standard_Cost'!$B$15*N143*P143</f>
        <v>0</v>
      </c>
      <c r="S143" s="127">
        <f>N143*O143*P143*'1. Standard_Cost'!$C$15</f>
        <v>0</v>
      </c>
      <c r="T143" s="127">
        <f>N143*P143*Q143*'1. Standard_Cost'!$D$15</f>
        <v>0</v>
      </c>
      <c r="U143" s="127">
        <f>N143*O143*'1. Standard_Cost'!$E$15</f>
        <v>0</v>
      </c>
      <c r="V143" s="126"/>
      <c r="W143" s="126"/>
      <c r="X143" s="126"/>
      <c r="Y143" s="127">
        <f>+V143*((X143*'1. Standard_Cost'!$B$19)+(W143*X143*'1. Standard_Cost'!$C$19))</f>
        <v>0</v>
      </c>
      <c r="Z143" s="126"/>
      <c r="AA143" s="126"/>
      <c r="AB143" s="127">
        <f>+Z143*'1. Standard_Cost'!$B$23+AA143*'1. Standard_Cost'!$C$23</f>
        <v>0</v>
      </c>
      <c r="AC143" s="128">
        <v>1200000</v>
      </c>
      <c r="AD143" s="129"/>
      <c r="AE143" s="127">
        <f>SUM(AD143,AC143,AB143,Y143,U143,T143,S143,R143)*'1. Standard_Cost'!$B$31</f>
        <v>240000</v>
      </c>
      <c r="AF143" s="127">
        <f t="shared" si="91"/>
        <v>1440000</v>
      </c>
      <c r="AG143" s="126"/>
      <c r="AH143" s="126"/>
      <c r="AI143" s="126"/>
      <c r="AJ143" s="130"/>
      <c r="AK143" s="130"/>
      <c r="AL143" s="130">
        <v>10000000</v>
      </c>
      <c r="AM143" s="127">
        <f>AG143*'1. Standard_Cost'!$B$27+'Incremental_Cost Year 7'!AH143*'1. Standard_Cost'!$C$27+'Incremental_Cost Year 7'!AI143*'1. Standard_Cost'!$D$27+'Incremental_Cost Year 7'!AJ143+'Incremental_Cost Year 7'!AL143+AK143</f>
        <v>10000000</v>
      </c>
      <c r="AN143" s="127">
        <f>AM143*'1. Standard_Cost'!$C$31</f>
        <v>1500000</v>
      </c>
      <c r="AO143" s="130"/>
      <c r="AQ143" s="171">
        <f t="shared" si="92"/>
        <v>7058016</v>
      </c>
      <c r="AR143" s="171">
        <f t="shared" si="93"/>
        <v>1440000</v>
      </c>
      <c r="AS143" s="171">
        <f t="shared" si="94"/>
        <v>11500000</v>
      </c>
      <c r="AT143" s="171">
        <f t="shared" si="95"/>
        <v>19998016</v>
      </c>
      <c r="AU143" s="250">
        <v>8498016</v>
      </c>
      <c r="AV143" s="250"/>
      <c r="AW143" s="250"/>
      <c r="AX143" s="250"/>
      <c r="AY143" s="250"/>
      <c r="AZ143" s="250"/>
      <c r="BA143" s="250"/>
      <c r="BB143" s="251">
        <f t="shared" si="96"/>
        <v>-11500000</v>
      </c>
      <c r="BC143" s="169"/>
      <c r="BD143" s="169"/>
      <c r="BE143" s="169"/>
      <c r="BF143" s="169"/>
    </row>
    <row r="144" spans="1:58" ht="47.25" outlineLevel="2" x14ac:dyDescent="0.25">
      <c r="A144" s="115"/>
      <c r="B144" s="200"/>
      <c r="C144" s="330"/>
      <c r="D144" s="343"/>
      <c r="E144" s="328"/>
      <c r="F144" s="328"/>
      <c r="G144" s="328"/>
      <c r="H144" s="199" t="s">
        <v>460</v>
      </c>
      <c r="I144" s="130"/>
      <c r="J144" s="126"/>
      <c r="K144" s="126"/>
      <c r="L144" s="125" t="str">
        <f>IF(I144&lt;&gt;0,((VLOOKUP(I144,'1. Standard_Cost'!$B$4:$D$11,2)+VLOOKUP(I144,'1. Standard_Cost'!$B$4:$D$11,3))*J144*K144),"0")</f>
        <v>0</v>
      </c>
      <c r="M144" s="125">
        <f>L144*'1. Standard_Cost'!$F$4</f>
        <v>0</v>
      </c>
      <c r="N144" s="126"/>
      <c r="O144" s="126"/>
      <c r="P144" s="126"/>
      <c r="Q144" s="126"/>
      <c r="R144" s="127">
        <f>'1. Standard_Cost'!$B$15*N144*P144</f>
        <v>0</v>
      </c>
      <c r="S144" s="127">
        <f>N144*O144*P144*'1. Standard_Cost'!$C$15</f>
        <v>0</v>
      </c>
      <c r="T144" s="127">
        <f>N144*P144*Q144*'1. Standard_Cost'!$D$15</f>
        <v>0</v>
      </c>
      <c r="U144" s="127">
        <f>N144*O144*'1. Standard_Cost'!$E$15</f>
        <v>0</v>
      </c>
      <c r="V144" s="126">
        <v>1</v>
      </c>
      <c r="W144" s="126">
        <v>5</v>
      </c>
      <c r="X144" s="126">
        <v>3</v>
      </c>
      <c r="Y144" s="127">
        <f>+V144*((X144*'1. Standard_Cost'!$B$19)+(W144*X144*'1. Standard_Cost'!$C$19))</f>
        <v>255000</v>
      </c>
      <c r="Z144" s="126"/>
      <c r="AA144" s="126"/>
      <c r="AB144" s="127">
        <f>+Z144*'1. Standard_Cost'!$B$23+AA144*'1. Standard_Cost'!$C$23</f>
        <v>0</v>
      </c>
      <c r="AC144" s="128">
        <v>500000</v>
      </c>
      <c r="AD144" s="129"/>
      <c r="AE144" s="127">
        <f>SUM(AD144,AC144,AB144,Y144,U144,T144,S144,R144)*'1. Standard_Cost'!$B$31</f>
        <v>151000</v>
      </c>
      <c r="AF144" s="127">
        <f t="shared" si="91"/>
        <v>906000</v>
      </c>
      <c r="AG144" s="126"/>
      <c r="AH144" s="126"/>
      <c r="AI144" s="126"/>
      <c r="AJ144" s="130"/>
      <c r="AK144" s="130"/>
      <c r="AL144" s="130"/>
      <c r="AM144" s="127">
        <f>AG144*'1. Standard_Cost'!$B$27+'Incremental_Cost Year 7'!AH144*'1. Standard_Cost'!$C$27+'Incremental_Cost Year 7'!AI144*'1. Standard_Cost'!$D$27+'Incremental_Cost Year 7'!AJ144+'Incremental_Cost Year 7'!AL144+AK144</f>
        <v>0</v>
      </c>
      <c r="AN144" s="127">
        <f>AM144*'1. Standard_Cost'!$C$31</f>
        <v>0</v>
      </c>
      <c r="AO144" s="130"/>
      <c r="AQ144" s="171">
        <f t="shared" si="92"/>
        <v>0</v>
      </c>
      <c r="AR144" s="171">
        <f t="shared" si="93"/>
        <v>906000</v>
      </c>
      <c r="AS144" s="171">
        <f t="shared" si="94"/>
        <v>0</v>
      </c>
      <c r="AT144" s="171">
        <f t="shared" si="95"/>
        <v>906000</v>
      </c>
      <c r="AU144" s="250">
        <v>906000</v>
      </c>
      <c r="AV144" s="250"/>
      <c r="AW144" s="250"/>
      <c r="AX144" s="250"/>
      <c r="AY144" s="250"/>
      <c r="AZ144" s="250"/>
      <c r="BA144" s="250"/>
      <c r="BB144" s="251">
        <f t="shared" si="96"/>
        <v>0</v>
      </c>
      <c r="BC144" s="169"/>
      <c r="BD144" s="169"/>
      <c r="BE144" s="169"/>
      <c r="BF144" s="169"/>
    </row>
    <row r="145" spans="1:58" ht="93.6" customHeight="1" outlineLevel="2" x14ac:dyDescent="0.25">
      <c r="A145" s="115"/>
      <c r="B145" s="200"/>
      <c r="C145" s="330"/>
      <c r="D145" s="343"/>
      <c r="E145" s="328"/>
      <c r="F145" s="328"/>
      <c r="G145" s="328"/>
      <c r="H145" s="199" t="s">
        <v>461</v>
      </c>
      <c r="I145" s="130" t="s">
        <v>4</v>
      </c>
      <c r="J145" s="126">
        <v>3</v>
      </c>
      <c r="K145" s="126">
        <v>8</v>
      </c>
      <c r="L145" s="125">
        <f>IF(I145&lt;&gt;0,((VLOOKUP(I145,'1. Standard_Cost'!$B$4:$D$11,2)+VLOOKUP(I145,'1. Standard_Cost'!$B$4:$D$11,3))*J145*K145),"0")</f>
        <v>1938000</v>
      </c>
      <c r="M145" s="125">
        <f>L145*'1. Standard_Cost'!$F$4</f>
        <v>323646</v>
      </c>
      <c r="N145" s="126"/>
      <c r="O145" s="126"/>
      <c r="P145" s="126"/>
      <c r="Q145" s="126"/>
      <c r="R145" s="127">
        <f>'1. Standard_Cost'!$B$15*N145*P145</f>
        <v>0</v>
      </c>
      <c r="S145" s="127">
        <f>N145*O145*P145*'1. Standard_Cost'!$C$15</f>
        <v>0</v>
      </c>
      <c r="T145" s="127">
        <f>N145*P145*Q145*'1. Standard_Cost'!$D$15</f>
        <v>0</v>
      </c>
      <c r="U145" s="127">
        <f>N145*O145*'1. Standard_Cost'!$E$15</f>
        <v>0</v>
      </c>
      <c r="V145" s="126"/>
      <c r="W145" s="126"/>
      <c r="X145" s="126"/>
      <c r="Y145" s="127">
        <f>+V145*((X145*'1. Standard_Cost'!$B$19)+(W145*X145*'1. Standard_Cost'!$C$19))</f>
        <v>0</v>
      </c>
      <c r="Z145" s="126"/>
      <c r="AA145" s="126"/>
      <c r="AB145" s="127">
        <f>+Z145*'1. Standard_Cost'!$B$23+AA145*'1. Standard_Cost'!$C$23</f>
        <v>0</v>
      </c>
      <c r="AC145" s="128">
        <v>271400</v>
      </c>
      <c r="AD145" s="129"/>
      <c r="AE145" s="127">
        <f>SUM(AD145,AC145,AB145,Y145,U145,T145,S145,R145)*'1. Standard_Cost'!$B$31</f>
        <v>54280</v>
      </c>
      <c r="AF145" s="127">
        <f t="shared" si="91"/>
        <v>325680</v>
      </c>
      <c r="AG145" s="126"/>
      <c r="AH145" s="126"/>
      <c r="AI145" s="126"/>
      <c r="AJ145" s="130"/>
      <c r="AK145" s="130"/>
      <c r="AL145" s="130"/>
      <c r="AM145" s="127">
        <f>AG145*'1. Standard_Cost'!$B$27+'Incremental_Cost Year 7'!AH145*'1. Standard_Cost'!$C$27+'Incremental_Cost Year 7'!AI145*'1. Standard_Cost'!$D$27+'Incremental_Cost Year 7'!AJ145+'Incremental_Cost Year 7'!AL145+AK145</f>
        <v>0</v>
      </c>
      <c r="AN145" s="127">
        <f>AM145*'1. Standard_Cost'!$C$31</f>
        <v>0</v>
      </c>
      <c r="AO145" s="130"/>
      <c r="AQ145" s="171">
        <f t="shared" si="92"/>
        <v>2261646</v>
      </c>
      <c r="AR145" s="171">
        <f t="shared" si="93"/>
        <v>325680</v>
      </c>
      <c r="AS145" s="171">
        <f t="shared" si="94"/>
        <v>0</v>
      </c>
      <c r="AT145" s="171">
        <f t="shared" si="95"/>
        <v>2587326</v>
      </c>
      <c r="AU145" s="250">
        <v>2587326</v>
      </c>
      <c r="AV145" s="250"/>
      <c r="AW145" s="250"/>
      <c r="AX145" s="250"/>
      <c r="AY145" s="250"/>
      <c r="AZ145" s="250"/>
      <c r="BA145" s="250"/>
      <c r="BB145" s="251">
        <f t="shared" si="96"/>
        <v>0</v>
      </c>
      <c r="BC145" s="169"/>
      <c r="BD145" s="169"/>
      <c r="BE145" s="169"/>
      <c r="BF145" s="169"/>
    </row>
    <row r="146" spans="1:58" ht="173.25" outlineLevel="2" x14ac:dyDescent="0.25">
      <c r="A146" s="115"/>
      <c r="B146" s="200"/>
      <c r="C146" s="330"/>
      <c r="D146" s="343"/>
      <c r="E146" s="328"/>
      <c r="F146" s="328"/>
      <c r="G146" s="328"/>
      <c r="H146" s="199" t="s">
        <v>462</v>
      </c>
      <c r="I146" s="130" t="s">
        <v>3</v>
      </c>
      <c r="J146" s="126">
        <v>3</v>
      </c>
      <c r="K146" s="126">
        <v>5</v>
      </c>
      <c r="L146" s="125">
        <f>IF(I146&lt;&gt;0,((VLOOKUP(I146,'1. Standard_Cost'!$B$4:$D$11,2)+VLOOKUP(I146,'1. Standard_Cost'!$B$4:$D$11,3))*J146*K146),"0")</f>
        <v>1512000</v>
      </c>
      <c r="M146" s="125">
        <f>L146*'1. Standard_Cost'!$F$4</f>
        <v>252504</v>
      </c>
      <c r="N146" s="126"/>
      <c r="O146" s="126"/>
      <c r="P146" s="126"/>
      <c r="Q146" s="126"/>
      <c r="R146" s="127">
        <f>'1. Standard_Cost'!$B$15*N146*P146</f>
        <v>0</v>
      </c>
      <c r="S146" s="127">
        <f>N146*O146*P146*'1. Standard_Cost'!$C$15</f>
        <v>0</v>
      </c>
      <c r="T146" s="127">
        <f>N146*P146*Q146*'1. Standard_Cost'!$D$15</f>
        <v>0</v>
      </c>
      <c r="U146" s="127">
        <f>N146*O146*'1. Standard_Cost'!$E$15</f>
        <v>0</v>
      </c>
      <c r="V146" s="126"/>
      <c r="W146" s="126"/>
      <c r="X146" s="126"/>
      <c r="Y146" s="127">
        <f>+V146*((X146*'1. Standard_Cost'!$B$19)+(W146*X146*'1. Standard_Cost'!$C$19))</f>
        <v>0</v>
      </c>
      <c r="Z146" s="126"/>
      <c r="AA146" s="126">
        <v>30</v>
      </c>
      <c r="AB146" s="127">
        <f>+Z146*'1. Standard_Cost'!$B$23+AA146*'1. Standard_Cost'!$C$23</f>
        <v>570000</v>
      </c>
      <c r="AC146" s="128">
        <v>224000</v>
      </c>
      <c r="AD146" s="129"/>
      <c r="AE146" s="127">
        <f>SUM(AD146,AC146,AB146,Y146,U146,T146,S146,R146)*'1. Standard_Cost'!$B$31</f>
        <v>158800</v>
      </c>
      <c r="AF146" s="127">
        <f t="shared" si="91"/>
        <v>952800</v>
      </c>
      <c r="AG146" s="126"/>
      <c r="AH146" s="126"/>
      <c r="AI146" s="126"/>
      <c r="AJ146" s="130"/>
      <c r="AK146" s="130"/>
      <c r="AL146" s="130"/>
      <c r="AM146" s="127">
        <f>AG146*'1. Standard_Cost'!$B$27+'Incremental_Cost Year 7'!AH146*'1. Standard_Cost'!$C$27+'Incremental_Cost Year 7'!AI146*'1. Standard_Cost'!$D$27+'Incremental_Cost Year 7'!AJ146+'Incremental_Cost Year 7'!AL146+AK146</f>
        <v>0</v>
      </c>
      <c r="AN146" s="127">
        <f>AM146*'1. Standard_Cost'!$C$31</f>
        <v>0</v>
      </c>
      <c r="AO146" s="130"/>
      <c r="AQ146" s="171">
        <f t="shared" si="92"/>
        <v>1764504</v>
      </c>
      <c r="AR146" s="171">
        <f t="shared" si="93"/>
        <v>952800</v>
      </c>
      <c r="AS146" s="171">
        <f t="shared" si="94"/>
        <v>0</v>
      </c>
      <c r="AT146" s="171">
        <f t="shared" si="95"/>
        <v>2717304</v>
      </c>
      <c r="AU146" s="250">
        <v>1919304</v>
      </c>
      <c r="AV146" s="250"/>
      <c r="AW146" s="250"/>
      <c r="AX146" s="250"/>
      <c r="AY146" s="250"/>
      <c r="AZ146" s="250"/>
      <c r="BA146" s="250"/>
      <c r="BB146" s="251">
        <f t="shared" si="96"/>
        <v>-798000</v>
      </c>
      <c r="BC146" s="169"/>
      <c r="BD146" s="169"/>
      <c r="BE146" s="169"/>
      <c r="BF146" s="169"/>
    </row>
    <row r="147" spans="1:58" ht="94.5" outlineLevel="2" x14ac:dyDescent="0.25">
      <c r="A147" s="115"/>
      <c r="B147" s="200"/>
      <c r="C147" s="330"/>
      <c r="D147" s="343"/>
      <c r="E147" s="328"/>
      <c r="F147" s="328"/>
      <c r="G147" s="328"/>
      <c r="H147" s="199" t="s">
        <v>295</v>
      </c>
      <c r="I147" s="130" t="s">
        <v>5</v>
      </c>
      <c r="J147" s="126">
        <v>0.5</v>
      </c>
      <c r="K147" s="126">
        <v>50</v>
      </c>
      <c r="L147" s="125">
        <f>IF(I147&lt;&gt;0,((VLOOKUP(I147,'1. Standard_Cost'!$B$4:$D$11,2)+VLOOKUP(I147,'1. Standard_Cost'!$B$4:$D$11,3))*J147*K147),"0")</f>
        <v>1767500</v>
      </c>
      <c r="M147" s="125">
        <f>L147*'1. Standard_Cost'!$F$4</f>
        <v>295172.5</v>
      </c>
      <c r="N147" s="126"/>
      <c r="O147" s="126"/>
      <c r="P147" s="126"/>
      <c r="Q147" s="126"/>
      <c r="R147" s="127">
        <f>'1. Standard_Cost'!$B$15*N147*P147</f>
        <v>0</v>
      </c>
      <c r="S147" s="127">
        <f>N147*O147*P147*'1. Standard_Cost'!$C$15</f>
        <v>0</v>
      </c>
      <c r="T147" s="127">
        <f>N147*P147*Q147*'1. Standard_Cost'!$D$15</f>
        <v>0</v>
      </c>
      <c r="U147" s="127">
        <f>N147*O147*'1. Standard_Cost'!$E$15</f>
        <v>0</v>
      </c>
      <c r="V147" s="126"/>
      <c r="W147" s="126"/>
      <c r="X147" s="126"/>
      <c r="Y147" s="127">
        <f>+V147*((X147*'1. Standard_Cost'!$B$19)+(W147*X147*'1. Standard_Cost'!$C$19))</f>
        <v>0</v>
      </c>
      <c r="Z147" s="126"/>
      <c r="AA147" s="126"/>
      <c r="AB147" s="127">
        <f>+Z147*'1. Standard_Cost'!$B$23+AA147*'1. Standard_Cost'!$C$23</f>
        <v>0</v>
      </c>
      <c r="AC147" s="128">
        <v>247520</v>
      </c>
      <c r="AD147" s="129"/>
      <c r="AE147" s="127">
        <f>SUM(AD147,AC147,AB147,Y147,U147,T147,S147,R147)*'1. Standard_Cost'!$B$31</f>
        <v>49504</v>
      </c>
      <c r="AF147" s="127">
        <f t="shared" si="91"/>
        <v>297024</v>
      </c>
      <c r="AG147" s="126"/>
      <c r="AH147" s="126"/>
      <c r="AI147" s="126"/>
      <c r="AJ147" s="130"/>
      <c r="AK147" s="130"/>
      <c r="AL147" s="130"/>
      <c r="AM147" s="127">
        <f>AG147*'1. Standard_Cost'!$B$27+'Incremental_Cost Year 7'!AH147*'1. Standard_Cost'!$C$27+'Incremental_Cost Year 7'!AI147*'1. Standard_Cost'!$D$27+'Incremental_Cost Year 7'!AJ147+'Incremental_Cost Year 7'!AL147+AK147</f>
        <v>0</v>
      </c>
      <c r="AN147" s="127">
        <f>AM147*'1. Standard_Cost'!$C$31</f>
        <v>0</v>
      </c>
      <c r="AO147" s="130"/>
      <c r="AQ147" s="171">
        <f t="shared" si="92"/>
        <v>2062672.5</v>
      </c>
      <c r="AR147" s="171">
        <f t="shared" si="93"/>
        <v>297024</v>
      </c>
      <c r="AS147" s="171">
        <f t="shared" si="94"/>
        <v>0</v>
      </c>
      <c r="AT147" s="171">
        <f t="shared" si="95"/>
        <v>2359696.5</v>
      </c>
      <c r="AU147" s="250">
        <f>AT147</f>
        <v>2359696.5</v>
      </c>
      <c r="AV147" s="250"/>
      <c r="AW147" s="250"/>
      <c r="AX147" s="250"/>
      <c r="AY147" s="250"/>
      <c r="AZ147" s="250"/>
      <c r="BA147" s="250"/>
      <c r="BB147" s="251">
        <f t="shared" si="96"/>
        <v>0</v>
      </c>
      <c r="BC147" s="169"/>
      <c r="BD147" s="169"/>
      <c r="BE147" s="169"/>
      <c r="BF147" s="169"/>
    </row>
    <row r="148" spans="1:58" ht="126" outlineLevel="2" x14ac:dyDescent="0.25">
      <c r="A148" s="115"/>
      <c r="B148" s="147"/>
      <c r="C148" s="341"/>
      <c r="D148" s="343"/>
      <c r="E148" s="328"/>
      <c r="F148" s="328"/>
      <c r="G148" s="328"/>
      <c r="H148" s="199" t="s">
        <v>463</v>
      </c>
      <c r="I148" s="130" t="s">
        <v>4</v>
      </c>
      <c r="J148" s="126">
        <v>2</v>
      </c>
      <c r="K148" s="126">
        <v>2</v>
      </c>
      <c r="L148" s="125">
        <f>IF(I148&lt;&gt;0,((VLOOKUP(I148,'1. Standard_Cost'!$B$4:$D$11,2)+VLOOKUP(I148,'1. Standard_Cost'!$B$4:$D$11,3))*J148*K148),"0")</f>
        <v>323000</v>
      </c>
      <c r="M148" s="125">
        <f>L148*'1. Standard_Cost'!$F$4</f>
        <v>53941</v>
      </c>
      <c r="N148" s="126">
        <v>10</v>
      </c>
      <c r="O148" s="126">
        <v>1</v>
      </c>
      <c r="P148" s="126">
        <v>20</v>
      </c>
      <c r="Q148" s="126"/>
      <c r="R148" s="127">
        <f>'1. Standard_Cost'!$B$15*N148*P148</f>
        <v>400000</v>
      </c>
      <c r="S148" s="127">
        <f>N148*O148*P148*'1. Standard_Cost'!$C$15</f>
        <v>300000</v>
      </c>
      <c r="T148" s="127">
        <f>N148*P148*Q148*'1. Standard_Cost'!$D$15</f>
        <v>0</v>
      </c>
      <c r="U148" s="127">
        <f>N148*O148*'1. Standard_Cost'!$E$15</f>
        <v>400000</v>
      </c>
      <c r="V148" s="126"/>
      <c r="W148" s="126"/>
      <c r="X148" s="126"/>
      <c r="Y148" s="127">
        <f>+V148*((X148*'1. Standard_Cost'!$B$19)+(W148*X148*'1. Standard_Cost'!$C$19))</f>
        <v>0</v>
      </c>
      <c r="Z148" s="126"/>
      <c r="AA148" s="126">
        <v>11</v>
      </c>
      <c r="AB148" s="127">
        <f>+Z148*'1. Standard_Cost'!$B$23+AA148*'1. Standard_Cost'!$C$23</f>
        <v>209000</v>
      </c>
      <c r="AC148" s="128">
        <f>200*3300</f>
        <v>660000</v>
      </c>
      <c r="AD148" s="129"/>
      <c r="AE148" s="127">
        <f>SUM(AD148,AC148,AB148,Y148,U148,T148,S148,R148)*'1. Standard_Cost'!$B$31</f>
        <v>393800</v>
      </c>
      <c r="AF148" s="127">
        <f t="shared" si="91"/>
        <v>2362800</v>
      </c>
      <c r="AG148" s="126"/>
      <c r="AH148" s="126"/>
      <c r="AI148" s="126"/>
      <c r="AJ148" s="130"/>
      <c r="AK148" s="130"/>
      <c r="AL148" s="130"/>
      <c r="AM148" s="127">
        <f>AG148*'1. Standard_Cost'!$B$27+'Incremental_Cost Year 7'!AH148*'1. Standard_Cost'!$C$27+'Incremental_Cost Year 7'!AI148*'1. Standard_Cost'!$D$27+'Incremental_Cost Year 7'!AJ148+'Incremental_Cost Year 7'!AL148+AK148</f>
        <v>0</v>
      </c>
      <c r="AN148" s="127">
        <f>AM148*'1. Standard_Cost'!$C$31</f>
        <v>0</v>
      </c>
      <c r="AO148" s="130"/>
      <c r="AQ148" s="171">
        <f t="shared" si="92"/>
        <v>376941</v>
      </c>
      <c r="AR148" s="171">
        <f t="shared" si="93"/>
        <v>2362800</v>
      </c>
      <c r="AS148" s="171">
        <f t="shared" si="94"/>
        <v>0</v>
      </c>
      <c r="AT148" s="171">
        <f t="shared" si="95"/>
        <v>2739741</v>
      </c>
      <c r="AU148" s="250">
        <v>376941</v>
      </c>
      <c r="AV148" s="250"/>
      <c r="AW148" s="250"/>
      <c r="AX148" s="250"/>
      <c r="AY148" s="250"/>
      <c r="AZ148" s="250"/>
      <c r="BA148" s="250"/>
      <c r="BB148" s="251">
        <f t="shared" si="96"/>
        <v>-2362800</v>
      </c>
      <c r="BC148" s="169"/>
      <c r="BD148" s="169"/>
      <c r="BE148" s="169"/>
      <c r="BF148" s="169"/>
    </row>
    <row r="149" spans="1:58" ht="141.75" outlineLevel="1" x14ac:dyDescent="0.25">
      <c r="A149" s="115"/>
      <c r="B149" s="165"/>
      <c r="C149" s="166"/>
      <c r="D149" s="228" t="s">
        <v>464</v>
      </c>
      <c r="E149" s="345" t="s">
        <v>296</v>
      </c>
      <c r="F149" s="136">
        <v>2024</v>
      </c>
      <c r="G149" s="117">
        <v>2030</v>
      </c>
      <c r="H149" s="110" t="s">
        <v>297</v>
      </c>
      <c r="I149" s="252"/>
      <c r="J149" s="252"/>
      <c r="K149" s="252"/>
      <c r="L149" s="127">
        <f>SUM(L141:L148)</f>
        <v>11588500</v>
      </c>
      <c r="M149" s="127">
        <f>SUM(M141:M148)</f>
        <v>1935279.5</v>
      </c>
      <c r="N149" s="127"/>
      <c r="O149" s="252"/>
      <c r="P149" s="252"/>
      <c r="Q149" s="252"/>
      <c r="R149" s="127">
        <f>SUM(R141:R148)</f>
        <v>400000</v>
      </c>
      <c r="S149" s="127">
        <f>SUM(S141:S148)</f>
        <v>300000</v>
      </c>
      <c r="T149" s="127">
        <f>SUM(T141:T148)</f>
        <v>0</v>
      </c>
      <c r="U149" s="127">
        <f>SUM(U141:U148)</f>
        <v>400000</v>
      </c>
      <c r="V149" s="252"/>
      <c r="W149" s="252"/>
      <c r="X149" s="252"/>
      <c r="Y149" s="127">
        <f>SUM(Y141:Y148)</f>
        <v>255000</v>
      </c>
      <c r="Z149" s="252"/>
      <c r="AA149" s="252"/>
      <c r="AB149" s="127">
        <f>SUM(AB141:AB148)</f>
        <v>779000</v>
      </c>
      <c r="AC149" s="127">
        <f>SUM(AC141:AC148)</f>
        <v>3102920</v>
      </c>
      <c r="AD149" s="127">
        <f>SUM(AD141:AD148)</f>
        <v>0</v>
      </c>
      <c r="AE149" s="127">
        <f>SUM(AE141:AE148)</f>
        <v>1047384</v>
      </c>
      <c r="AF149" s="127">
        <f>SUM(AF141:AF148)</f>
        <v>6284304</v>
      </c>
      <c r="AG149" s="252"/>
      <c r="AH149" s="252"/>
      <c r="AI149" s="252"/>
      <c r="AJ149" s="127">
        <f>SUM(AJ141:AJ148)</f>
        <v>0</v>
      </c>
      <c r="AK149" s="127">
        <f>SUM(AK141:AK148)</f>
        <v>0</v>
      </c>
      <c r="AL149" s="127">
        <f>SUM(AL141:AL148)</f>
        <v>10000000</v>
      </c>
      <c r="AM149" s="127">
        <f>SUM(AM141:AM148)</f>
        <v>10000000</v>
      </c>
      <c r="AN149" s="127">
        <f>SUM(AN141:AN148)</f>
        <v>1500000</v>
      </c>
      <c r="AO149" s="253"/>
      <c r="AP149" s="254"/>
      <c r="AQ149" s="175">
        <f>SUM(AQ141:AQ148)</f>
        <v>13523779.5</v>
      </c>
      <c r="AR149" s="175">
        <f>SUM(AR141:AR148)</f>
        <v>6284304</v>
      </c>
      <c r="AS149" s="175">
        <f>SUM(AS141:AS148)</f>
        <v>11500000</v>
      </c>
      <c r="AT149" s="175">
        <f>SUM(AT141:AT148)</f>
        <v>31308083.5</v>
      </c>
      <c r="AU149" s="175">
        <f t="shared" ref="AU149:BB149" si="97">SUM(AU141:AU148)</f>
        <v>16647283.5</v>
      </c>
      <c r="AV149" s="175">
        <f t="shared" si="97"/>
        <v>0</v>
      </c>
      <c r="AW149" s="175">
        <f t="shared" si="97"/>
        <v>0</v>
      </c>
      <c r="AX149" s="175">
        <f t="shared" si="97"/>
        <v>0</v>
      </c>
      <c r="AY149" s="175">
        <f t="shared" si="97"/>
        <v>0</v>
      </c>
      <c r="AZ149" s="175">
        <f t="shared" si="97"/>
        <v>0</v>
      </c>
      <c r="BA149" s="175">
        <f t="shared" si="97"/>
        <v>0</v>
      </c>
      <c r="BB149" s="175">
        <f t="shared" si="97"/>
        <v>-14660800</v>
      </c>
      <c r="BC149" s="169"/>
      <c r="BD149" s="169"/>
      <c r="BE149" s="169"/>
      <c r="BF149" s="169"/>
    </row>
    <row r="150" spans="1:58" s="170" customFormat="1" ht="15.75" customHeight="1" x14ac:dyDescent="0.25">
      <c r="A150" s="120"/>
      <c r="B150" s="388" t="s">
        <v>231</v>
      </c>
      <c r="C150" s="393"/>
      <c r="D150" s="393"/>
      <c r="E150" s="394"/>
      <c r="F150" s="339"/>
      <c r="G150" s="339"/>
      <c r="H150" s="148" t="s">
        <v>166</v>
      </c>
      <c r="I150" s="265"/>
      <c r="J150" s="243"/>
      <c r="K150" s="243"/>
      <c r="L150" s="243">
        <f>L151+L163+L182</f>
        <v>11011226200</v>
      </c>
      <c r="M150" s="243">
        <f>M151+M163+M182</f>
        <v>1838874775.3999999</v>
      </c>
      <c r="N150" s="243"/>
      <c r="O150" s="243"/>
      <c r="P150" s="243"/>
      <c r="Q150" s="243"/>
      <c r="R150" s="243">
        <f>R151+R163+R182</f>
        <v>0</v>
      </c>
      <c r="S150" s="243">
        <f>S151+S163+S182</f>
        <v>0</v>
      </c>
      <c r="T150" s="243">
        <f>T151+T163+T182</f>
        <v>0</v>
      </c>
      <c r="U150" s="243">
        <f>U151+U163+U182</f>
        <v>0</v>
      </c>
      <c r="V150" s="243"/>
      <c r="W150" s="243"/>
      <c r="X150" s="243"/>
      <c r="Y150" s="243"/>
      <c r="Z150" s="243">
        <v>0</v>
      </c>
      <c r="AA150" s="243"/>
      <c r="AB150" s="243">
        <f>AB151+AB163+AB182</f>
        <v>0</v>
      </c>
      <c r="AC150" s="243">
        <f>AC151+AC163+AC182</f>
        <v>14995547600</v>
      </c>
      <c r="AD150" s="243">
        <f>AD151+AD163+AD182</f>
        <v>0</v>
      </c>
      <c r="AE150" s="243">
        <f>AE151+AE163+AE182</f>
        <v>1920053151</v>
      </c>
      <c r="AF150" s="243">
        <f>AF151+AF163+AF182</f>
        <v>16915600751</v>
      </c>
      <c r="AG150" s="243"/>
      <c r="AH150" s="243"/>
      <c r="AI150" s="243"/>
      <c r="AJ150" s="243">
        <f>AJ151+AJ163+AJ182</f>
        <v>0</v>
      </c>
      <c r="AK150" s="243">
        <f>AK151+AK163+AK182</f>
        <v>0</v>
      </c>
      <c r="AL150" s="243">
        <f>AL151+AL163+AL182</f>
        <v>0</v>
      </c>
      <c r="AM150" s="243">
        <f>AM151+AM163+AM182</f>
        <v>0</v>
      </c>
      <c r="AN150" s="243">
        <f>AN151+AN163+AN182</f>
        <v>0</v>
      </c>
      <c r="AO150" s="243"/>
      <c r="AP150" s="244"/>
      <c r="AQ150" s="243">
        <f>AQ151+AQ163+AQ182</f>
        <v>12850100975.4</v>
      </c>
      <c r="AR150" s="243">
        <f>AR151+AR163+AR182</f>
        <v>16915600751</v>
      </c>
      <c r="AS150" s="243">
        <f>AS151+AS163+AS182</f>
        <v>0</v>
      </c>
      <c r="AT150" s="243">
        <f>AT151+AT163+AT182</f>
        <v>29765701726.399998</v>
      </c>
      <c r="AU150" s="243">
        <f t="shared" ref="AU150:BB150" si="98">AU151+AU163+AU182</f>
        <v>27965701726.200001</v>
      </c>
      <c r="AV150" s="243">
        <f t="shared" si="98"/>
        <v>0</v>
      </c>
      <c r="AW150" s="243">
        <f t="shared" si="98"/>
        <v>0</v>
      </c>
      <c r="AX150" s="243">
        <f t="shared" si="98"/>
        <v>0</v>
      </c>
      <c r="AY150" s="243">
        <f t="shared" si="98"/>
        <v>0</v>
      </c>
      <c r="AZ150" s="243">
        <f t="shared" si="98"/>
        <v>0</v>
      </c>
      <c r="BA150" s="243">
        <f t="shared" si="98"/>
        <v>0</v>
      </c>
      <c r="BB150" s="243">
        <f t="shared" si="98"/>
        <v>-1800000000.1999998</v>
      </c>
    </row>
    <row r="151" spans="1:58" s="184" customFormat="1" ht="15.75" customHeight="1" x14ac:dyDescent="0.25">
      <c r="A151" s="143"/>
      <c r="B151" s="290"/>
      <c r="C151" s="391" t="s">
        <v>232</v>
      </c>
      <c r="D151" s="391"/>
      <c r="E151" s="392"/>
      <c r="F151" s="287"/>
      <c r="G151" s="289"/>
      <c r="H151" s="149" t="s">
        <v>167</v>
      </c>
      <c r="I151" s="257"/>
      <c r="J151" s="257"/>
      <c r="K151" s="257"/>
      <c r="L151" s="258">
        <f>L156+L159+L162</f>
        <v>11029200</v>
      </c>
      <c r="M151" s="258">
        <f>M156+M159+M162</f>
        <v>1841876.4000000001</v>
      </c>
      <c r="N151" s="257"/>
      <c r="O151" s="257"/>
      <c r="P151" s="257"/>
      <c r="Q151" s="257"/>
      <c r="R151" s="258">
        <f>R156+R159+R162</f>
        <v>0</v>
      </c>
      <c r="S151" s="258">
        <f>S156+S159+S162</f>
        <v>0</v>
      </c>
      <c r="T151" s="258">
        <f>T156+T159+T162</f>
        <v>0</v>
      </c>
      <c r="U151" s="258">
        <f>U156+U159+U162</f>
        <v>0</v>
      </c>
      <c r="V151" s="257"/>
      <c r="W151" s="257"/>
      <c r="X151" s="257"/>
      <c r="Y151" s="258"/>
      <c r="Z151" s="258">
        <v>0</v>
      </c>
      <c r="AA151" s="257"/>
      <c r="AB151" s="258">
        <f>AB156+AB159+AB162</f>
        <v>0</v>
      </c>
      <c r="AC151" s="258">
        <f>AC156+AC159+AC162</f>
        <v>3828845</v>
      </c>
      <c r="AD151" s="258">
        <f>AD156+AD159+AD162</f>
        <v>0</v>
      </c>
      <c r="AE151" s="258">
        <f>AE156+AE159+AE162</f>
        <v>0</v>
      </c>
      <c r="AF151" s="258">
        <f>AF156+AF159+AF162</f>
        <v>3828845</v>
      </c>
      <c r="AG151" s="257"/>
      <c r="AH151" s="257"/>
      <c r="AI151" s="257"/>
      <c r="AJ151" s="258">
        <f>AJ156+AJ159+AJ162</f>
        <v>0</v>
      </c>
      <c r="AK151" s="258">
        <f>AK156+AK159+AK162</f>
        <v>0</v>
      </c>
      <c r="AL151" s="258">
        <f>AL156+AL159+AL162</f>
        <v>0</v>
      </c>
      <c r="AM151" s="258">
        <f>AM156+AM159+AM162</f>
        <v>0</v>
      </c>
      <c r="AN151" s="258">
        <f>AN156+AN159+AN162</f>
        <v>0</v>
      </c>
      <c r="AO151" s="259"/>
      <c r="AP151" s="260"/>
      <c r="AQ151" s="258">
        <f>AQ156+AQ159+AQ162</f>
        <v>12871076.4</v>
      </c>
      <c r="AR151" s="258">
        <f>AR156+AR159+AR162</f>
        <v>3828845</v>
      </c>
      <c r="AS151" s="258">
        <f>AS156+AS159+AS162</f>
        <v>0</v>
      </c>
      <c r="AT151" s="258">
        <f>AT156+AT159+AT162</f>
        <v>16699921.4</v>
      </c>
      <c r="AU151" s="258">
        <f t="shared" ref="AU151:BB151" si="99">AU156+AU159+AU162</f>
        <v>16699921</v>
      </c>
      <c r="AV151" s="258">
        <f t="shared" si="99"/>
        <v>0</v>
      </c>
      <c r="AW151" s="258">
        <f t="shared" si="99"/>
        <v>0</v>
      </c>
      <c r="AX151" s="258">
        <f t="shared" si="99"/>
        <v>0</v>
      </c>
      <c r="AY151" s="258">
        <f t="shared" si="99"/>
        <v>0</v>
      </c>
      <c r="AZ151" s="258">
        <f t="shared" si="99"/>
        <v>0</v>
      </c>
      <c r="BA151" s="258">
        <f t="shared" si="99"/>
        <v>0</v>
      </c>
      <c r="BB151" s="258">
        <f t="shared" si="99"/>
        <v>-0.40000000037252903</v>
      </c>
    </row>
    <row r="152" spans="1:58" ht="47.25" outlineLevel="2" x14ac:dyDescent="0.25">
      <c r="A152" s="115"/>
      <c r="B152" s="200"/>
      <c r="C152" s="201"/>
      <c r="D152" s="202"/>
      <c r="E152" s="294"/>
      <c r="F152" s="306"/>
      <c r="G152" s="307"/>
      <c r="H152" s="199" t="s">
        <v>465</v>
      </c>
      <c r="I152" s="130"/>
      <c r="J152" s="126"/>
      <c r="K152" s="126"/>
      <c r="L152" s="125" t="str">
        <f>IF(I152&lt;&gt;0,((VLOOKUP(I152,'1. Standard_Cost'!$B$4:$D$11,2)+VLOOKUP(I152,'1. Standard_Cost'!$B$4:$D$11,3))*J152*K152),"0")</f>
        <v>0</v>
      </c>
      <c r="M152" s="125">
        <f>L152*'1. Standard_Cost'!$F$4</f>
        <v>0</v>
      </c>
      <c r="N152" s="126"/>
      <c r="O152" s="126"/>
      <c r="P152" s="126"/>
      <c r="Q152" s="126"/>
      <c r="R152" s="127">
        <f>'1. Standard_Cost'!$B$15*N152*P152</f>
        <v>0</v>
      </c>
      <c r="S152" s="127">
        <f>N152*O152*P152*'1. Standard_Cost'!$C$15</f>
        <v>0</v>
      </c>
      <c r="T152" s="127">
        <f>N152*P152*Q152*'1. Standard_Cost'!$D$15</f>
        <v>0</v>
      </c>
      <c r="U152" s="127">
        <f>N152*O152*'1. Standard_Cost'!$E$15</f>
        <v>0</v>
      </c>
      <c r="V152" s="126"/>
      <c r="W152" s="126"/>
      <c r="X152" s="126"/>
      <c r="Y152" s="127">
        <f>+V152*((X152*'1. Standard_Cost'!$B$19)+(W152*X152*'1. Standard_Cost'!$C$19))</f>
        <v>0</v>
      </c>
      <c r="Z152" s="126"/>
      <c r="AA152" s="126"/>
      <c r="AB152" s="127">
        <f>+Z152*'1. Standard_Cost'!$B$23+AA152*'1. Standard_Cost'!$C$23</f>
        <v>0</v>
      </c>
      <c r="AC152" s="128"/>
      <c r="AD152" s="129"/>
      <c r="AE152" s="127">
        <f>SUM(AD152,AC152,AB152,Y152,U152,T152,S152,R152)*'1. Standard_Cost'!$B$31</f>
        <v>0</v>
      </c>
      <c r="AF152" s="127">
        <f>SUM(AE152,AD152,AC152,AB152,Y152,U152,T152,S152,R152)</f>
        <v>0</v>
      </c>
      <c r="AG152" s="126"/>
      <c r="AH152" s="126"/>
      <c r="AI152" s="126"/>
      <c r="AJ152" s="130"/>
      <c r="AK152" s="130"/>
      <c r="AL152" s="130"/>
      <c r="AM152" s="127">
        <f>AG152*'1. Standard_Cost'!$B$27+'Incremental_Cost Year 7'!AH152*'1. Standard_Cost'!$C$27+'Incremental_Cost Year 7'!AI152*'1. Standard_Cost'!$D$27+'Incremental_Cost Year 7'!AJ152+'Incremental_Cost Year 7'!AL152+AK152</f>
        <v>0</v>
      </c>
      <c r="AN152" s="127">
        <f>AM152*'1. Standard_Cost'!$C$31</f>
        <v>0</v>
      </c>
      <c r="AO152" s="130"/>
      <c r="AP152" s="256"/>
      <c r="AQ152" s="171">
        <f>L152+M152</f>
        <v>0</v>
      </c>
      <c r="AR152" s="171">
        <f>AF152</f>
        <v>0</v>
      </c>
      <c r="AS152" s="171">
        <f>AM152+AN152</f>
        <v>0</v>
      </c>
      <c r="AT152" s="171">
        <f>SUM(AQ152,AR152,AS152)</f>
        <v>0</v>
      </c>
      <c r="AU152" s="250"/>
      <c r="AV152" s="250"/>
      <c r="AW152" s="250"/>
      <c r="AX152" s="250"/>
      <c r="AY152" s="250"/>
      <c r="AZ152" s="250"/>
      <c r="BA152" s="250"/>
      <c r="BB152" s="251">
        <f t="shared" ref="BB152:BB155" si="100">SUM(AU152:BA152)-AT152</f>
        <v>0</v>
      </c>
      <c r="BC152" s="169"/>
      <c r="BD152" s="169"/>
      <c r="BE152" s="169"/>
      <c r="BF152" s="169"/>
    </row>
    <row r="153" spans="1:58" ht="110.25" outlineLevel="2" x14ac:dyDescent="0.25">
      <c r="A153" s="115"/>
      <c r="B153" s="200"/>
      <c r="C153" s="201"/>
      <c r="D153" s="116"/>
      <c r="E153" s="230"/>
      <c r="F153" s="308"/>
      <c r="G153" s="309"/>
      <c r="H153" s="199" t="s">
        <v>466</v>
      </c>
      <c r="I153" s="130"/>
      <c r="J153" s="126"/>
      <c r="K153" s="126"/>
      <c r="L153" s="125" t="str">
        <f>IF(I153&lt;&gt;0,((VLOOKUP(I153,'1. Standard_Cost'!$B$4:$D$11,2)+VLOOKUP(I153,'1. Standard_Cost'!$B$4:$D$11,3))*J153*K153),"0")</f>
        <v>0</v>
      </c>
      <c r="M153" s="125">
        <f>L153*'1. Standard_Cost'!$F$4</f>
        <v>0</v>
      </c>
      <c r="N153" s="126"/>
      <c r="O153" s="126"/>
      <c r="P153" s="126"/>
      <c r="Q153" s="126"/>
      <c r="R153" s="127">
        <f>'1. Standard_Cost'!$B$15*N153*P153</f>
        <v>0</v>
      </c>
      <c r="S153" s="127">
        <f>N153*O153*P153*'1. Standard_Cost'!$C$15</f>
        <v>0</v>
      </c>
      <c r="T153" s="127">
        <f>N153*P153*Q153*'1. Standard_Cost'!$D$15</f>
        <v>0</v>
      </c>
      <c r="U153" s="127">
        <f>N153*O153*'1. Standard_Cost'!$E$15</f>
        <v>0</v>
      </c>
      <c r="V153" s="126"/>
      <c r="W153" s="126"/>
      <c r="X153" s="126"/>
      <c r="Y153" s="127">
        <f>+V153*((X153*'1. Standard_Cost'!$B$19)+(W153*X153*'1. Standard_Cost'!$C$19))</f>
        <v>0</v>
      </c>
      <c r="Z153" s="126"/>
      <c r="AA153" s="126"/>
      <c r="AB153" s="127">
        <f>+Z153*'1. Standard_Cost'!$B$23+AA153*'1. Standard_Cost'!$C$23</f>
        <v>0</v>
      </c>
      <c r="AC153" s="128"/>
      <c r="AD153" s="129"/>
      <c r="AE153" s="127">
        <f>SUM(AD153,AC153,AB153,Y153,U153,T153,S153,R153)*'1. Standard_Cost'!$B$31</f>
        <v>0</v>
      </c>
      <c r="AF153" s="127">
        <f>SUM(AE153,AD153,AC153,AB153,Y153,U153,T153,S153,R153)</f>
        <v>0</v>
      </c>
      <c r="AG153" s="126"/>
      <c r="AH153" s="126"/>
      <c r="AI153" s="126"/>
      <c r="AJ153" s="130"/>
      <c r="AK153" s="130"/>
      <c r="AL153" s="130"/>
      <c r="AM153" s="127">
        <f>AG153*'1. Standard_Cost'!$B$27+'Incremental_Cost Year 7'!AH153*'1. Standard_Cost'!$C$27+'Incremental_Cost Year 7'!AI153*'1. Standard_Cost'!$D$27+'Incremental_Cost Year 7'!AJ153+'Incremental_Cost Year 7'!AL153+AK153</f>
        <v>0</v>
      </c>
      <c r="AN153" s="127">
        <f>AM153*'1. Standard_Cost'!$C$31</f>
        <v>0</v>
      </c>
      <c r="AO153" s="130"/>
      <c r="AP153" s="256"/>
      <c r="AQ153" s="171">
        <f>L153+M153</f>
        <v>0</v>
      </c>
      <c r="AR153" s="171">
        <f>AF153</f>
        <v>0</v>
      </c>
      <c r="AS153" s="171">
        <f>AM153+AN153</f>
        <v>0</v>
      </c>
      <c r="AT153" s="171">
        <f>SUM(AQ153,AR153,AS153)</f>
        <v>0</v>
      </c>
      <c r="AU153" s="250"/>
      <c r="AV153" s="250"/>
      <c r="AW153" s="250"/>
      <c r="AX153" s="250"/>
      <c r="AY153" s="250"/>
      <c r="AZ153" s="250"/>
      <c r="BA153" s="250"/>
      <c r="BB153" s="251">
        <f t="shared" si="100"/>
        <v>0</v>
      </c>
      <c r="BC153" s="169"/>
      <c r="BD153" s="169"/>
      <c r="BE153" s="169"/>
      <c r="BF153" s="169"/>
    </row>
    <row r="154" spans="1:58" ht="63" outlineLevel="2" x14ac:dyDescent="0.25">
      <c r="A154" s="115"/>
      <c r="B154" s="200"/>
      <c r="C154" s="201"/>
      <c r="D154" s="139"/>
      <c r="E154" s="230"/>
      <c r="F154" s="308"/>
      <c r="G154" s="309"/>
      <c r="H154" s="199" t="s">
        <v>467</v>
      </c>
      <c r="I154" s="130"/>
      <c r="J154" s="126"/>
      <c r="K154" s="126"/>
      <c r="L154" s="125" t="str">
        <f>IF(I154&lt;&gt;0,((VLOOKUP(I154,'1. Standard_Cost'!$B$4:$D$11,2)+VLOOKUP(I154,'1. Standard_Cost'!$B$4:$D$11,3))*J154*K154),"0")</f>
        <v>0</v>
      </c>
      <c r="M154" s="125">
        <f>L154*'1. Standard_Cost'!$F$4</f>
        <v>0</v>
      </c>
      <c r="N154" s="126"/>
      <c r="O154" s="126"/>
      <c r="P154" s="126"/>
      <c r="Q154" s="126"/>
      <c r="R154" s="127">
        <f>'1. Standard_Cost'!$B$15*N154*P154</f>
        <v>0</v>
      </c>
      <c r="S154" s="127">
        <f>N154*O154*P154*'1. Standard_Cost'!$C$15</f>
        <v>0</v>
      </c>
      <c r="T154" s="127">
        <f>N154*P154*Q154*'1. Standard_Cost'!$D$15</f>
        <v>0</v>
      </c>
      <c r="U154" s="127">
        <f>N154*O154*'1. Standard_Cost'!$E$15</f>
        <v>0</v>
      </c>
      <c r="V154" s="126"/>
      <c r="W154" s="126"/>
      <c r="X154" s="126"/>
      <c r="Y154" s="127">
        <f>+V154*((X154*'1. Standard_Cost'!$B$19)+(W154*X154*'1. Standard_Cost'!$C$19))</f>
        <v>0</v>
      </c>
      <c r="Z154" s="126"/>
      <c r="AA154" s="126"/>
      <c r="AB154" s="127">
        <f>+Z154*'1. Standard_Cost'!$B$23+AA154*'1. Standard_Cost'!$C$23</f>
        <v>0</v>
      </c>
      <c r="AC154" s="128"/>
      <c r="AD154" s="129"/>
      <c r="AE154" s="127">
        <f>SUM(AD154,AC154,AB154,Y154,U154,T154,S154,R154)*'1. Standard_Cost'!$B$31</f>
        <v>0</v>
      </c>
      <c r="AF154" s="127">
        <f>SUM(AE154,AD154,AC154,AB154,Y154,U154,T154,S154,R154)</f>
        <v>0</v>
      </c>
      <c r="AG154" s="126"/>
      <c r="AH154" s="126"/>
      <c r="AI154" s="126"/>
      <c r="AJ154" s="130"/>
      <c r="AK154" s="130"/>
      <c r="AL154" s="130"/>
      <c r="AM154" s="127">
        <f>AG154*'1. Standard_Cost'!$B$27+'Incremental_Cost Year 7'!AH154*'1. Standard_Cost'!$C$27+'Incremental_Cost Year 7'!AI154*'1. Standard_Cost'!$D$27+'Incremental_Cost Year 7'!AJ154+'Incremental_Cost Year 7'!AL154+AK154</f>
        <v>0</v>
      </c>
      <c r="AN154" s="127">
        <f>AM154*'1. Standard_Cost'!$C$31</f>
        <v>0</v>
      </c>
      <c r="AO154" s="130"/>
      <c r="AP154" s="256"/>
      <c r="AQ154" s="171">
        <f>L154+M154</f>
        <v>0</v>
      </c>
      <c r="AR154" s="171">
        <f>AF154</f>
        <v>0</v>
      </c>
      <c r="AS154" s="171">
        <f>AM154+AN154</f>
        <v>0</v>
      </c>
      <c r="AT154" s="171">
        <f>SUM(AQ154,AR154,AS154)</f>
        <v>0</v>
      </c>
      <c r="AU154" s="250"/>
      <c r="AV154" s="250"/>
      <c r="AW154" s="250"/>
      <c r="AX154" s="250"/>
      <c r="AY154" s="250"/>
      <c r="AZ154" s="250"/>
      <c r="BA154" s="250"/>
      <c r="BB154" s="251">
        <f t="shared" si="100"/>
        <v>0</v>
      </c>
      <c r="BC154" s="169"/>
      <c r="BD154" s="169"/>
      <c r="BE154" s="169"/>
      <c r="BF154" s="169"/>
    </row>
    <row r="155" spans="1:58" ht="126" outlineLevel="2" x14ac:dyDescent="0.25">
      <c r="A155" s="115"/>
      <c r="B155" s="200"/>
      <c r="C155" s="201"/>
      <c r="D155" s="151"/>
      <c r="E155" s="121"/>
      <c r="F155" s="311"/>
      <c r="G155" s="312"/>
      <c r="H155" s="199" t="s">
        <v>540</v>
      </c>
      <c r="I155" s="130"/>
      <c r="J155" s="126"/>
      <c r="K155" s="126"/>
      <c r="L155" s="125" t="str">
        <f>IF(I155&lt;&gt;0,((VLOOKUP(I155,'1. Standard_Cost'!$B$4:$D$11,2)+VLOOKUP(I155,'1. Standard_Cost'!$B$4:$D$11,3))*J155*K155),"0")</f>
        <v>0</v>
      </c>
      <c r="M155" s="125">
        <f>L155*'1. Standard_Cost'!$F$4</f>
        <v>0</v>
      </c>
      <c r="N155" s="126"/>
      <c r="O155" s="126"/>
      <c r="P155" s="126"/>
      <c r="Q155" s="126"/>
      <c r="R155" s="127">
        <f>'1. Standard_Cost'!$B$15*N155*P155</f>
        <v>0</v>
      </c>
      <c r="S155" s="127">
        <f>N155*O155*P155*'1. Standard_Cost'!$C$15</f>
        <v>0</v>
      </c>
      <c r="T155" s="127">
        <f>N155*P155*Q155*'1. Standard_Cost'!$D$15</f>
        <v>0</v>
      </c>
      <c r="U155" s="127">
        <f>N155*O155*'1. Standard_Cost'!$E$15</f>
        <v>0</v>
      </c>
      <c r="V155" s="126"/>
      <c r="W155" s="126"/>
      <c r="X155" s="126"/>
      <c r="Y155" s="127">
        <f>+V155*((X155*'1. Standard_Cost'!$B$19)+(W155*X155*'1. Standard_Cost'!$C$19))</f>
        <v>0</v>
      </c>
      <c r="Z155" s="126"/>
      <c r="AA155" s="126"/>
      <c r="AB155" s="127">
        <f>+Z155*'1. Standard_Cost'!$B$23+AA155*'1. Standard_Cost'!$C$23</f>
        <v>0</v>
      </c>
      <c r="AC155" s="128"/>
      <c r="AD155" s="129"/>
      <c r="AE155" s="127">
        <f>SUM(AD155,AC155,AB155,Y155,U155,T155,S155,R155)*'1. Standard_Cost'!$B$31</f>
        <v>0</v>
      </c>
      <c r="AF155" s="127">
        <f>SUM(AE155,AD155,AC155,AB155,Y155,U155,T155,S155,R155)</f>
        <v>0</v>
      </c>
      <c r="AG155" s="126"/>
      <c r="AH155" s="126"/>
      <c r="AI155" s="126"/>
      <c r="AJ155" s="130"/>
      <c r="AK155" s="130"/>
      <c r="AL155" s="130"/>
      <c r="AM155" s="127">
        <f>AG155*'1. Standard_Cost'!$B$27+'Incremental_Cost Year 7'!AH155*'1. Standard_Cost'!$C$27+'Incremental_Cost Year 7'!AI155*'1. Standard_Cost'!$D$27+'Incremental_Cost Year 7'!AJ155+'Incremental_Cost Year 7'!AL155+AK155</f>
        <v>0</v>
      </c>
      <c r="AN155" s="127">
        <f>AM155*'1. Standard_Cost'!$C$31</f>
        <v>0</v>
      </c>
      <c r="AO155" s="130"/>
      <c r="AP155" s="256"/>
      <c r="AQ155" s="171">
        <f>L155+M155</f>
        <v>0</v>
      </c>
      <c r="AR155" s="171">
        <f>AF155</f>
        <v>0</v>
      </c>
      <c r="AS155" s="171">
        <f>AM155+AN155</f>
        <v>0</v>
      </c>
      <c r="AT155" s="171">
        <f>SUM(AQ155,AR155,AS155)</f>
        <v>0</v>
      </c>
      <c r="AU155" s="250"/>
      <c r="AV155" s="250"/>
      <c r="AW155" s="250"/>
      <c r="AX155" s="250"/>
      <c r="AY155" s="250"/>
      <c r="AZ155" s="250"/>
      <c r="BA155" s="250"/>
      <c r="BB155" s="251">
        <f t="shared" si="100"/>
        <v>0</v>
      </c>
      <c r="BC155" s="169"/>
      <c r="BD155" s="169"/>
      <c r="BE155" s="169"/>
      <c r="BF155" s="169"/>
    </row>
    <row r="156" spans="1:58" ht="31.5" customHeight="1" outlineLevel="2" x14ac:dyDescent="0.25">
      <c r="A156" s="115"/>
      <c r="B156" s="165"/>
      <c r="C156" s="166"/>
      <c r="D156" s="212" t="s">
        <v>233</v>
      </c>
      <c r="E156" s="212" t="s">
        <v>468</v>
      </c>
      <c r="F156" s="136">
        <v>2021</v>
      </c>
      <c r="G156" s="117">
        <v>2025</v>
      </c>
      <c r="H156" s="110" t="s">
        <v>168</v>
      </c>
      <c r="I156" s="252"/>
      <c r="J156" s="252"/>
      <c r="K156" s="252"/>
      <c r="L156" s="127">
        <f>SUM(L152:L155)</f>
        <v>0</v>
      </c>
      <c r="M156" s="127">
        <f>SUM(M152:M155)</f>
        <v>0</v>
      </c>
      <c r="N156" s="252"/>
      <c r="O156" s="252"/>
      <c r="P156" s="252"/>
      <c r="Q156" s="252"/>
      <c r="R156" s="127">
        <f>SUM(R152:R155)</f>
        <v>0</v>
      </c>
      <c r="S156" s="127">
        <f>SUM(S152:S155)</f>
        <v>0</v>
      </c>
      <c r="T156" s="127">
        <f>SUM(T152:T155)</f>
        <v>0</v>
      </c>
      <c r="U156" s="127">
        <f>SUM(U152:U155)</f>
        <v>0</v>
      </c>
      <c r="V156" s="252"/>
      <c r="W156" s="252"/>
      <c r="X156" s="252"/>
      <c r="Y156" s="127">
        <f>SUM(Y152:Y155)</f>
        <v>0</v>
      </c>
      <c r="Z156" s="252"/>
      <c r="AA156" s="252"/>
      <c r="AB156" s="127">
        <f>SUM(AB152:AB155)</f>
        <v>0</v>
      </c>
      <c r="AC156" s="127">
        <f>SUM(AC152:AC155)</f>
        <v>0</v>
      </c>
      <c r="AD156" s="127">
        <f>SUM(AD152:AD155)</f>
        <v>0</v>
      </c>
      <c r="AE156" s="127">
        <f>SUM(AE152:AE155)</f>
        <v>0</v>
      </c>
      <c r="AF156" s="127">
        <f>SUM(AF152:AF155)</f>
        <v>0</v>
      </c>
      <c r="AG156" s="252"/>
      <c r="AH156" s="252"/>
      <c r="AI156" s="252"/>
      <c r="AJ156" s="127">
        <f>SUM(AJ152:AJ155)</f>
        <v>0</v>
      </c>
      <c r="AK156" s="127">
        <f>SUM(AK152:AK155)</f>
        <v>0</v>
      </c>
      <c r="AL156" s="127">
        <f>SUM(AL152:AL155)</f>
        <v>0</v>
      </c>
      <c r="AM156" s="127">
        <f>SUM(AM152:AM155)</f>
        <v>0</v>
      </c>
      <c r="AN156" s="127">
        <f>SUM(AN152:AN155)</f>
        <v>0</v>
      </c>
      <c r="AO156" s="253"/>
      <c r="AP156" s="254"/>
      <c r="AQ156" s="175">
        <f>SUM(AQ152:AQ155)</f>
        <v>0</v>
      </c>
      <c r="AR156" s="175">
        <f>SUM(AR152:AR155)</f>
        <v>0</v>
      </c>
      <c r="AS156" s="175">
        <f>SUM(AS152:AS155)</f>
        <v>0</v>
      </c>
      <c r="AT156" s="175">
        <f>SUM(AT152:AT155)</f>
        <v>0</v>
      </c>
      <c r="AU156" s="175">
        <f t="shared" ref="AU156:BA156" si="101">SUM(AU152:AU155)</f>
        <v>0</v>
      </c>
      <c r="AV156" s="175">
        <f t="shared" si="101"/>
        <v>0</v>
      </c>
      <c r="AW156" s="175">
        <f t="shared" si="101"/>
        <v>0</v>
      </c>
      <c r="AX156" s="175">
        <f t="shared" si="101"/>
        <v>0</v>
      </c>
      <c r="AY156" s="175">
        <f t="shared" si="101"/>
        <v>0</v>
      </c>
      <c r="AZ156" s="175">
        <f t="shared" si="101"/>
        <v>0</v>
      </c>
      <c r="BA156" s="175">
        <f t="shared" si="101"/>
        <v>0</v>
      </c>
      <c r="BB156" s="175">
        <f>SUM(BB152:BB155)</f>
        <v>0</v>
      </c>
      <c r="BC156" s="169"/>
      <c r="BD156" s="169"/>
      <c r="BE156" s="169"/>
      <c r="BF156" s="169"/>
    </row>
    <row r="157" spans="1:58" ht="126" outlineLevel="1" x14ac:dyDescent="0.25">
      <c r="A157" s="115"/>
      <c r="B157" s="200"/>
      <c r="C157" s="201"/>
      <c r="D157" s="342"/>
      <c r="E157" s="328"/>
      <c r="F157" s="328"/>
      <c r="G157" s="328"/>
      <c r="H157" s="213" t="s">
        <v>469</v>
      </c>
      <c r="I157" s="130"/>
      <c r="J157" s="126"/>
      <c r="K157" s="126"/>
      <c r="L157" s="125" t="str">
        <f>IF(I157&lt;&gt;0,((VLOOKUP(I157,'1. Standard_Cost'!$B$4:$D$11,2)+VLOOKUP(I157,'1. Standard_Cost'!$B$4:$D$11,3))*J157*K157),"0")</f>
        <v>0</v>
      </c>
      <c r="M157" s="125">
        <f>L157*'1. Standard_Cost'!$F$4</f>
        <v>0</v>
      </c>
      <c r="N157" s="126"/>
      <c r="O157" s="126"/>
      <c r="P157" s="126"/>
      <c r="Q157" s="126"/>
      <c r="R157" s="127">
        <f>'1. Standard_Cost'!$B$15*N157*P157</f>
        <v>0</v>
      </c>
      <c r="S157" s="127">
        <f>N157*O157*P157*'1. Standard_Cost'!$C$15</f>
        <v>0</v>
      </c>
      <c r="T157" s="127">
        <f>N157*P157*Q157*'1. Standard_Cost'!$D$15</f>
        <v>0</v>
      </c>
      <c r="U157" s="127">
        <f>N157*O157*'1. Standard_Cost'!$E$15</f>
        <v>0</v>
      </c>
      <c r="V157" s="126"/>
      <c r="W157" s="126"/>
      <c r="X157" s="126"/>
      <c r="Y157" s="127">
        <f>+V157*((X157*'1. Standard_Cost'!$B$19)+(W157*X157*'1. Standard_Cost'!$C$19))</f>
        <v>0</v>
      </c>
      <c r="Z157" s="126"/>
      <c r="AA157" s="126"/>
      <c r="AB157" s="127">
        <f>+Z157*'1. Standard_Cost'!$B$23+AA157*'1. Standard_Cost'!$C$23</f>
        <v>0</v>
      </c>
      <c r="AC157" s="128"/>
      <c r="AD157" s="129"/>
      <c r="AE157" s="127">
        <f>SUM(AD157,AC157,AB157,Y157,U157,T157,S157,R157)*'1. Standard_Cost'!$B$31</f>
        <v>0</v>
      </c>
      <c r="AF157" s="127">
        <f>SUM(AE157,AD157,AC157,AB157,Y157,U157,T157,S157,R157)</f>
        <v>0</v>
      </c>
      <c r="AG157" s="126"/>
      <c r="AH157" s="126"/>
      <c r="AI157" s="126"/>
      <c r="AJ157" s="130"/>
      <c r="AK157" s="130"/>
      <c r="AL157" s="130"/>
      <c r="AM157" s="127">
        <f>AG157*'1. Standard_Cost'!$B$27+'Incremental_Cost Year 7'!AH157*'1. Standard_Cost'!$C$27+'Incremental_Cost Year 7'!AI157*'1. Standard_Cost'!$D$27+'Incremental_Cost Year 7'!AJ157+'Incremental_Cost Year 7'!AL157+AK157</f>
        <v>0</v>
      </c>
      <c r="AN157" s="127">
        <f>AM157*'1. Standard_Cost'!$C$31</f>
        <v>0</v>
      </c>
      <c r="AO157" s="130"/>
      <c r="AP157" s="256"/>
      <c r="AQ157" s="171">
        <f>L157+M157</f>
        <v>0</v>
      </c>
      <c r="AR157" s="171">
        <f>AF157</f>
        <v>0</v>
      </c>
      <c r="AS157" s="171">
        <f>AM157+AN157</f>
        <v>0</v>
      </c>
      <c r="AT157" s="171">
        <f>SUM(AQ157,AR157,AS157)</f>
        <v>0</v>
      </c>
      <c r="AU157" s="250"/>
      <c r="AV157" s="250"/>
      <c r="AW157" s="250"/>
      <c r="AX157" s="250"/>
      <c r="AY157" s="250"/>
      <c r="AZ157" s="250"/>
      <c r="BA157" s="250"/>
      <c r="BB157" s="251">
        <f t="shared" ref="BB157:BB158" si="102">SUM(AU157:BA157)-AT157</f>
        <v>0</v>
      </c>
      <c r="BC157" s="169"/>
      <c r="BD157" s="169"/>
      <c r="BE157" s="169"/>
      <c r="BF157" s="169"/>
    </row>
    <row r="158" spans="1:58" ht="47.25" outlineLevel="2" x14ac:dyDescent="0.25">
      <c r="A158" s="115"/>
      <c r="B158" s="200"/>
      <c r="C158" s="201"/>
      <c r="D158" s="344"/>
      <c r="E158" s="328"/>
      <c r="F158" s="328"/>
      <c r="G158" s="328"/>
      <c r="H158" s="199" t="s">
        <v>470</v>
      </c>
      <c r="I158" s="130"/>
      <c r="J158" s="126"/>
      <c r="K158" s="126"/>
      <c r="L158" s="125" t="str">
        <f>IF(I158&lt;&gt;0,((VLOOKUP(I158,'1. Standard_Cost'!$B$4:$D$11,2)+VLOOKUP(I158,'1. Standard_Cost'!$B$4:$D$11,3))*J158*K158),"0")</f>
        <v>0</v>
      </c>
      <c r="M158" s="125">
        <f>L158*'1. Standard_Cost'!$F$4</f>
        <v>0</v>
      </c>
      <c r="N158" s="126"/>
      <c r="O158" s="126"/>
      <c r="P158" s="126"/>
      <c r="Q158" s="126"/>
      <c r="R158" s="127">
        <f>'1. Standard_Cost'!$B$15*N158*P158</f>
        <v>0</v>
      </c>
      <c r="S158" s="127">
        <f>N158*O158*P158*'1. Standard_Cost'!$C$15</f>
        <v>0</v>
      </c>
      <c r="T158" s="127">
        <f>N158*P158*Q158*'1. Standard_Cost'!$D$15</f>
        <v>0</v>
      </c>
      <c r="U158" s="127">
        <f>N158*O158*'1. Standard_Cost'!$E$15</f>
        <v>0</v>
      </c>
      <c r="V158" s="126"/>
      <c r="W158" s="126"/>
      <c r="X158" s="126"/>
      <c r="Y158" s="127">
        <f>+V158*((X158*'1. Standard_Cost'!$B$19)+(W158*X158*'1. Standard_Cost'!$C$19))</f>
        <v>0</v>
      </c>
      <c r="Z158" s="126"/>
      <c r="AA158" s="126"/>
      <c r="AB158" s="127">
        <f>+Z158*'1. Standard_Cost'!$B$23+AA158*'1. Standard_Cost'!$C$23</f>
        <v>0</v>
      </c>
      <c r="AC158" s="128"/>
      <c r="AD158" s="129"/>
      <c r="AE158" s="127">
        <f>SUM(AD158,AC158,AB158,Y158,U158,T158,S158,R158)*'1. Standard_Cost'!$B$31</f>
        <v>0</v>
      </c>
      <c r="AF158" s="127">
        <f>SUM(AE158,AD158,AC158,AB158,Y158,U158,T158,S158,R158)</f>
        <v>0</v>
      </c>
      <c r="AG158" s="126"/>
      <c r="AH158" s="126"/>
      <c r="AI158" s="126"/>
      <c r="AJ158" s="130"/>
      <c r="AK158" s="130"/>
      <c r="AL158" s="130"/>
      <c r="AM158" s="127">
        <f>AG158*'1. Standard_Cost'!$B$27+'Incremental_Cost Year 7'!AH158*'1. Standard_Cost'!$C$27+'Incremental_Cost Year 7'!AI158*'1. Standard_Cost'!$D$27+'Incremental_Cost Year 7'!AJ158+'Incremental_Cost Year 7'!AL158+AK158</f>
        <v>0</v>
      </c>
      <c r="AN158" s="127">
        <f>AM158*'1. Standard_Cost'!$C$31</f>
        <v>0</v>
      </c>
      <c r="AO158" s="130"/>
      <c r="AP158" s="256"/>
      <c r="AQ158" s="171">
        <f>L158+M158</f>
        <v>0</v>
      </c>
      <c r="AR158" s="171">
        <f>AF158</f>
        <v>0</v>
      </c>
      <c r="AS158" s="171">
        <f>AM158+AN158</f>
        <v>0</v>
      </c>
      <c r="AT158" s="171">
        <f>SUM(AQ158,AR158,AS158)</f>
        <v>0</v>
      </c>
      <c r="AU158" s="250"/>
      <c r="AV158" s="250"/>
      <c r="AW158" s="250"/>
      <c r="AX158" s="250"/>
      <c r="AY158" s="250"/>
      <c r="AZ158" s="250"/>
      <c r="BA158" s="250"/>
      <c r="BB158" s="251">
        <f t="shared" si="102"/>
        <v>0</v>
      </c>
      <c r="BC158" s="169"/>
      <c r="BD158" s="169"/>
      <c r="BE158" s="169"/>
      <c r="BF158" s="169"/>
    </row>
    <row r="159" spans="1:58" ht="63" outlineLevel="2" x14ac:dyDescent="0.25">
      <c r="A159" s="115"/>
      <c r="B159" s="165"/>
      <c r="C159" s="166"/>
      <c r="D159" s="150" t="s">
        <v>471</v>
      </c>
      <c r="E159" s="212" t="s">
        <v>472</v>
      </c>
      <c r="F159" s="106">
        <v>2021</v>
      </c>
      <c r="G159" s="104">
        <v>2030</v>
      </c>
      <c r="H159" s="110" t="s">
        <v>179</v>
      </c>
      <c r="I159" s="252"/>
      <c r="J159" s="252"/>
      <c r="K159" s="252"/>
      <c r="L159" s="127">
        <f>SUM(L157:L158)</f>
        <v>0</v>
      </c>
      <c r="M159" s="127">
        <f>SUM(M157:M158)</f>
        <v>0</v>
      </c>
      <c r="N159" s="252"/>
      <c r="O159" s="252"/>
      <c r="P159" s="252"/>
      <c r="Q159" s="252"/>
      <c r="R159" s="127">
        <f>SUM(R157:R158)</f>
        <v>0</v>
      </c>
      <c r="S159" s="127">
        <f>SUM(S157:S158)</f>
        <v>0</v>
      </c>
      <c r="T159" s="127">
        <f>SUM(T157:T158)</f>
        <v>0</v>
      </c>
      <c r="U159" s="127">
        <f>SUM(U157:U158)</f>
        <v>0</v>
      </c>
      <c r="V159" s="252"/>
      <c r="W159" s="252"/>
      <c r="X159" s="252"/>
      <c r="Y159" s="127">
        <f>SUM(Y157:Y158)</f>
        <v>0</v>
      </c>
      <c r="Z159" s="252"/>
      <c r="AA159" s="252"/>
      <c r="AB159" s="127">
        <f>SUM(AB157:AB158)</f>
        <v>0</v>
      </c>
      <c r="AC159" s="127">
        <f>SUM(AC157:AC158)</f>
        <v>0</v>
      </c>
      <c r="AD159" s="127">
        <f>SUM(AD157:AD158)</f>
        <v>0</v>
      </c>
      <c r="AE159" s="127">
        <f>SUM(AE157:AE158)</f>
        <v>0</v>
      </c>
      <c r="AF159" s="127">
        <f>SUM(AF157:AF158)</f>
        <v>0</v>
      </c>
      <c r="AG159" s="252"/>
      <c r="AH159" s="252"/>
      <c r="AI159" s="252"/>
      <c r="AJ159" s="127">
        <f>SUM(AJ157:AJ158)</f>
        <v>0</v>
      </c>
      <c r="AK159" s="127">
        <f>SUM(AK157:AK158)</f>
        <v>0</v>
      </c>
      <c r="AL159" s="127">
        <f>SUM(AL157:AL158)</f>
        <v>0</v>
      </c>
      <c r="AM159" s="127">
        <f>SUM(AM157:AM158)</f>
        <v>0</v>
      </c>
      <c r="AN159" s="127">
        <f>SUM(AN157:AN158)</f>
        <v>0</v>
      </c>
      <c r="AO159" s="253"/>
      <c r="AP159" s="254"/>
      <c r="AQ159" s="175">
        <f>SUM(AQ157:AQ158)</f>
        <v>0</v>
      </c>
      <c r="AR159" s="175">
        <f>SUM(AR157:AR158)</f>
        <v>0</v>
      </c>
      <c r="AS159" s="175">
        <f>SUM(AS157:AS158)</f>
        <v>0</v>
      </c>
      <c r="AT159" s="175">
        <f>SUM(AT157:AT158)</f>
        <v>0</v>
      </c>
      <c r="AU159" s="175">
        <f t="shared" ref="AU159:BB159" si="103">SUM(AU157:AU158)</f>
        <v>0</v>
      </c>
      <c r="AV159" s="175">
        <f t="shared" si="103"/>
        <v>0</v>
      </c>
      <c r="AW159" s="175">
        <f t="shared" si="103"/>
        <v>0</v>
      </c>
      <c r="AX159" s="175">
        <f t="shared" si="103"/>
        <v>0</v>
      </c>
      <c r="AY159" s="175">
        <f t="shared" si="103"/>
        <v>0</v>
      </c>
      <c r="AZ159" s="175">
        <f t="shared" si="103"/>
        <v>0</v>
      </c>
      <c r="BA159" s="175">
        <f t="shared" si="103"/>
        <v>0</v>
      </c>
      <c r="BB159" s="175">
        <f t="shared" si="103"/>
        <v>0</v>
      </c>
      <c r="BC159" s="169"/>
      <c r="BD159" s="169"/>
      <c r="BE159" s="169"/>
      <c r="BF159" s="169"/>
    </row>
    <row r="160" spans="1:58" ht="94.5" outlineLevel="2" x14ac:dyDescent="0.25">
      <c r="A160" s="115"/>
      <c r="B160" s="200"/>
      <c r="C160" s="201"/>
      <c r="D160" s="328"/>
      <c r="E160" s="328"/>
      <c r="F160" s="328"/>
      <c r="G160" s="328"/>
      <c r="H160" s="199" t="s">
        <v>473</v>
      </c>
      <c r="I160" s="130"/>
      <c r="J160" s="126"/>
      <c r="K160" s="126"/>
      <c r="L160" s="125" t="str">
        <f>IF(I160&lt;&gt;0,((VLOOKUP(I160,'1. Standard_Cost'!$B$4:$D$11,2)+VLOOKUP(I160,'1. Standard_Cost'!$B$4:$D$11,3))*J160*K160),"0")</f>
        <v>0</v>
      </c>
      <c r="M160" s="125">
        <f>L160*'1. Standard_Cost'!$F$4</f>
        <v>0</v>
      </c>
      <c r="N160" s="126"/>
      <c r="O160" s="126"/>
      <c r="P160" s="126"/>
      <c r="Q160" s="126"/>
      <c r="R160" s="127">
        <f>'1. Standard_Cost'!$B$15*N160*P160</f>
        <v>0</v>
      </c>
      <c r="S160" s="127">
        <f>N160*O160*P160*'1. Standard_Cost'!$C$15</f>
        <v>0</v>
      </c>
      <c r="T160" s="127">
        <f>N160*P160*Q160*'1. Standard_Cost'!$D$15</f>
        <v>0</v>
      </c>
      <c r="U160" s="127">
        <f>N160*O160*'1. Standard_Cost'!$E$15</f>
        <v>0</v>
      </c>
      <c r="V160" s="126"/>
      <c r="W160" s="126"/>
      <c r="X160" s="126"/>
      <c r="Y160" s="127">
        <f>+V160*((X160*'1. Standard_Cost'!$B$19)+(W160*X160*'1. Standard_Cost'!$C$19))</f>
        <v>0</v>
      </c>
      <c r="Z160" s="126"/>
      <c r="AA160" s="126"/>
      <c r="AB160" s="127">
        <f>+Z160*'1. Standard_Cost'!$B$23+AA160*'1. Standard_Cost'!$C$23</f>
        <v>0</v>
      </c>
      <c r="AC160" s="128"/>
      <c r="AD160" s="129"/>
      <c r="AE160" s="127">
        <f>SUM(AD160,AC160,AB160,Y160,U160,T160,S160,R160)*'1. Standard_Cost'!$B$31</f>
        <v>0</v>
      </c>
      <c r="AF160" s="127">
        <f>SUM(AE160,AD160,AC160,AB160,Y160,U160,T160,S160,R160)</f>
        <v>0</v>
      </c>
      <c r="AG160" s="126"/>
      <c r="AH160" s="126"/>
      <c r="AI160" s="126"/>
      <c r="AJ160" s="130"/>
      <c r="AK160" s="130"/>
      <c r="AL160" s="130"/>
      <c r="AM160" s="127">
        <f>AG160*'1. Standard_Cost'!$B$27+'Incremental_Cost Year 7'!AH160*'1. Standard_Cost'!$C$27+'Incremental_Cost Year 7'!AI160*'1. Standard_Cost'!$D$27+'Incremental_Cost Year 7'!AJ160+'Incremental_Cost Year 7'!AL160+AK160</f>
        <v>0</v>
      </c>
      <c r="AN160" s="127">
        <f>AM160*'1. Standard_Cost'!$C$31</f>
        <v>0</v>
      </c>
      <c r="AO160" s="130"/>
      <c r="AP160" s="256"/>
      <c r="AQ160" s="171">
        <f>L160+M160</f>
        <v>0</v>
      </c>
      <c r="AR160" s="171">
        <f>AF160</f>
        <v>0</v>
      </c>
      <c r="AS160" s="171">
        <f>AM160+AN160</f>
        <v>0</v>
      </c>
      <c r="AT160" s="171">
        <f>SUM(AQ160,AR160,AS160)</f>
        <v>0</v>
      </c>
      <c r="AU160" s="250"/>
      <c r="AV160" s="250"/>
      <c r="AW160" s="250"/>
      <c r="AX160" s="250"/>
      <c r="AY160" s="250"/>
      <c r="AZ160" s="250"/>
      <c r="BA160" s="250"/>
      <c r="BB160" s="251">
        <f t="shared" ref="BB160:BB161" si="104">SUM(AU160:BA160)-AT160</f>
        <v>0</v>
      </c>
      <c r="BC160" s="169"/>
      <c r="BD160" s="169"/>
      <c r="BE160" s="169"/>
      <c r="BF160" s="169"/>
    </row>
    <row r="161" spans="1:58" ht="47.25" outlineLevel="2" x14ac:dyDescent="0.25">
      <c r="A161" s="115"/>
      <c r="B161" s="200"/>
      <c r="C161" s="201"/>
      <c r="D161" s="328"/>
      <c r="E161" s="328"/>
      <c r="F161" s="328"/>
      <c r="G161" s="328"/>
      <c r="H161" s="213" t="s">
        <v>311</v>
      </c>
      <c r="I161" s="130" t="s">
        <v>5</v>
      </c>
      <c r="J161" s="126">
        <v>12</v>
      </c>
      <c r="K161" s="126">
        <v>13</v>
      </c>
      <c r="L161" s="125">
        <f>IF(I161&lt;&gt;0,((VLOOKUP(I161,'1. Standard_Cost'!$B$4:$D$11,2)+VLOOKUP(I161,'1. Standard_Cost'!$B$4:$D$11,3))*J161*K161),"0")</f>
        <v>11029200</v>
      </c>
      <c r="M161" s="125">
        <f>L161*'1. Standard_Cost'!$F$4</f>
        <v>1841876.4000000001</v>
      </c>
      <c r="N161" s="126"/>
      <c r="O161" s="126"/>
      <c r="P161" s="126"/>
      <c r="Q161" s="126"/>
      <c r="R161" s="127">
        <f>'1. Standard_Cost'!$B$15*N161*P161</f>
        <v>0</v>
      </c>
      <c r="S161" s="127">
        <f>N161*O161*P161*'1. Standard_Cost'!$C$15</f>
        <v>0</v>
      </c>
      <c r="T161" s="127">
        <f>N161*P161*Q161*'1. Standard_Cost'!$D$15</f>
        <v>0</v>
      </c>
      <c r="U161" s="127">
        <f>N161*O161*'1. Standard_Cost'!$E$15</f>
        <v>0</v>
      </c>
      <c r="V161" s="126"/>
      <c r="W161" s="126"/>
      <c r="X161" s="126"/>
      <c r="Y161" s="127">
        <f>+V161*((X161*'1. Standard_Cost'!$B$19)+(W161*X161*'1. Standard_Cost'!$C$19))</f>
        <v>0</v>
      </c>
      <c r="Z161" s="126"/>
      <c r="AA161" s="126"/>
      <c r="AB161" s="127">
        <f>+Z161*'1. Standard_Cost'!$B$23+AA161*'1. Standard_Cost'!$C$23</f>
        <v>0</v>
      </c>
      <c r="AC161" s="128">
        <v>3828845</v>
      </c>
      <c r="AD161" s="129"/>
      <c r="AE161" s="127">
        <f>0</f>
        <v>0</v>
      </c>
      <c r="AF161" s="127">
        <f>SUM(AE161,AD161,AC161,AB161,Y161,U161,T161,S161,R161)</f>
        <v>3828845</v>
      </c>
      <c r="AG161" s="126"/>
      <c r="AH161" s="126"/>
      <c r="AI161" s="126"/>
      <c r="AJ161" s="130"/>
      <c r="AK161" s="130"/>
      <c r="AL161" s="130"/>
      <c r="AM161" s="127">
        <f>AG161*'1. Standard_Cost'!$B$27+'Incremental_Cost Year 7'!AH161*'1. Standard_Cost'!$C$27+'Incremental_Cost Year 7'!AI161*'1. Standard_Cost'!$D$27+'Incremental_Cost Year 7'!AJ161+'Incremental_Cost Year 7'!AL161+AK161</f>
        <v>0</v>
      </c>
      <c r="AN161" s="127">
        <f>AM161*'1. Standard_Cost'!$C$31</f>
        <v>0</v>
      </c>
      <c r="AO161" s="130"/>
      <c r="AP161" s="256"/>
      <c r="AQ161" s="171">
        <f>L161+M161</f>
        <v>12871076.4</v>
      </c>
      <c r="AR161" s="171">
        <f>AF161</f>
        <v>3828845</v>
      </c>
      <c r="AS161" s="171">
        <f>AM161+AN161</f>
        <v>0</v>
      </c>
      <c r="AT161" s="171">
        <f>SUM(AQ161,AR161,AS161)</f>
        <v>16699921.4</v>
      </c>
      <c r="AU161" s="250">
        <v>16699921</v>
      </c>
      <c r="AV161" s="250"/>
      <c r="AW161" s="250"/>
      <c r="AX161" s="250"/>
      <c r="AY161" s="250"/>
      <c r="AZ161" s="250"/>
      <c r="BA161" s="250"/>
      <c r="BB161" s="251">
        <f t="shared" si="104"/>
        <v>-0.40000000037252903</v>
      </c>
      <c r="BC161" s="169"/>
      <c r="BD161" s="169"/>
      <c r="BE161" s="169"/>
      <c r="BF161" s="169"/>
    </row>
    <row r="162" spans="1:58" ht="47.25" outlineLevel="2" x14ac:dyDescent="0.25">
      <c r="A162" s="115"/>
      <c r="B162" s="165"/>
      <c r="C162" s="166"/>
      <c r="D162" s="107" t="s">
        <v>233</v>
      </c>
      <c r="E162" s="212" t="s">
        <v>474</v>
      </c>
      <c r="F162" s="136">
        <v>2021</v>
      </c>
      <c r="G162" s="117">
        <v>2030</v>
      </c>
      <c r="H162" s="110" t="s">
        <v>180</v>
      </c>
      <c r="I162" s="252"/>
      <c r="J162" s="252"/>
      <c r="K162" s="252"/>
      <c r="L162" s="127">
        <f>SUM(L160:L161)</f>
        <v>11029200</v>
      </c>
      <c r="M162" s="127">
        <f>SUM(M160:M161)</f>
        <v>1841876.4000000001</v>
      </c>
      <c r="N162" s="252"/>
      <c r="O162" s="252"/>
      <c r="P162" s="252"/>
      <c r="Q162" s="252"/>
      <c r="R162" s="127">
        <f>SUM(R160:R161)</f>
        <v>0</v>
      </c>
      <c r="S162" s="127">
        <f>SUM(S160:S161)</f>
        <v>0</v>
      </c>
      <c r="T162" s="127">
        <f>SUM(T160:T161)</f>
        <v>0</v>
      </c>
      <c r="U162" s="127">
        <f>SUM(U160:U161)</f>
        <v>0</v>
      </c>
      <c r="V162" s="252"/>
      <c r="W162" s="252"/>
      <c r="X162" s="252"/>
      <c r="Y162" s="127">
        <f>SUM(Y160:Y161)</f>
        <v>0</v>
      </c>
      <c r="Z162" s="252"/>
      <c r="AA162" s="252"/>
      <c r="AB162" s="127">
        <f>SUM(AB160:AB161)</f>
        <v>0</v>
      </c>
      <c r="AC162" s="127">
        <f>SUM(AC160:AC161)</f>
        <v>3828845</v>
      </c>
      <c r="AD162" s="127">
        <f>SUM(AD160:AD161)</f>
        <v>0</v>
      </c>
      <c r="AE162" s="127">
        <f>SUM(AE160:AE161)</f>
        <v>0</v>
      </c>
      <c r="AF162" s="127">
        <f>SUM(AF160:AF161)</f>
        <v>3828845</v>
      </c>
      <c r="AG162" s="252"/>
      <c r="AH162" s="252"/>
      <c r="AI162" s="252"/>
      <c r="AJ162" s="127">
        <f>SUM(AJ160:AJ161)</f>
        <v>0</v>
      </c>
      <c r="AK162" s="127">
        <f>SUM(AK160:AK161)</f>
        <v>0</v>
      </c>
      <c r="AL162" s="127">
        <f>SUM(AL160:AL161)</f>
        <v>0</v>
      </c>
      <c r="AM162" s="127">
        <f>SUM(AM160:AM161)</f>
        <v>0</v>
      </c>
      <c r="AN162" s="127">
        <f>SUM(AN160:AN161)</f>
        <v>0</v>
      </c>
      <c r="AO162" s="253"/>
      <c r="AP162" s="254"/>
      <c r="AQ162" s="175">
        <f>SUM(AQ160:AQ161)</f>
        <v>12871076.4</v>
      </c>
      <c r="AR162" s="175">
        <f>SUM(AR160:AR161)</f>
        <v>3828845</v>
      </c>
      <c r="AS162" s="175">
        <f>SUM(AS160:AS161)</f>
        <v>0</v>
      </c>
      <c r="AT162" s="175">
        <f>SUM(AT160:AT161)</f>
        <v>16699921.4</v>
      </c>
      <c r="AU162" s="175">
        <f t="shared" ref="AU162:BA162" si="105">SUM(AU160:AU161)</f>
        <v>16699921</v>
      </c>
      <c r="AV162" s="175">
        <f t="shared" si="105"/>
        <v>0</v>
      </c>
      <c r="AW162" s="175">
        <f t="shared" si="105"/>
        <v>0</v>
      </c>
      <c r="AX162" s="175">
        <f t="shared" si="105"/>
        <v>0</v>
      </c>
      <c r="AY162" s="175">
        <f t="shared" si="105"/>
        <v>0</v>
      </c>
      <c r="AZ162" s="175">
        <f t="shared" si="105"/>
        <v>0</v>
      </c>
      <c r="BA162" s="175">
        <f t="shared" si="105"/>
        <v>0</v>
      </c>
      <c r="BB162" s="175">
        <f>SUM(BB160:BB161)</f>
        <v>-0.40000000037252903</v>
      </c>
      <c r="BC162" s="169"/>
      <c r="BD162" s="169"/>
      <c r="BE162" s="169"/>
      <c r="BF162" s="169"/>
    </row>
    <row r="163" spans="1:58" ht="15.75" customHeight="1" outlineLevel="2" x14ac:dyDescent="0.25">
      <c r="A163" s="143"/>
      <c r="B163" s="290"/>
      <c r="C163" s="391" t="s">
        <v>234</v>
      </c>
      <c r="D163" s="391"/>
      <c r="E163" s="392"/>
      <c r="F163" s="287"/>
      <c r="G163" s="289"/>
      <c r="H163" s="144" t="s">
        <v>169</v>
      </c>
      <c r="I163" s="257"/>
      <c r="J163" s="257"/>
      <c r="K163" s="257"/>
      <c r="L163" s="258">
        <f>L168+L178+L181</f>
        <v>436722700</v>
      </c>
      <c r="M163" s="258">
        <f>M168+M178+M181</f>
        <v>72932690.900000006</v>
      </c>
      <c r="N163" s="257"/>
      <c r="O163" s="257"/>
      <c r="P163" s="257"/>
      <c r="Q163" s="257"/>
      <c r="R163" s="258">
        <f>R168+R178+R181</f>
        <v>0</v>
      </c>
      <c r="S163" s="258">
        <f>S168+S178+S181</f>
        <v>0</v>
      </c>
      <c r="T163" s="258">
        <f>T168+T178+T181</f>
        <v>0</v>
      </c>
      <c r="U163" s="258">
        <f>U168+U178+U181</f>
        <v>0</v>
      </c>
      <c r="V163" s="257"/>
      <c r="W163" s="257"/>
      <c r="X163" s="257"/>
      <c r="Y163" s="258">
        <f>Y168+Y178+Y181</f>
        <v>0</v>
      </c>
      <c r="Z163" s="258"/>
      <c r="AA163" s="258"/>
      <c r="AB163" s="258">
        <f>AB168+AB178+AB181</f>
        <v>0</v>
      </c>
      <c r="AC163" s="258">
        <f>AC168+AC178+AC181</f>
        <v>5383935755</v>
      </c>
      <c r="AD163" s="258">
        <f>AD168+AD178+AD181</f>
        <v>0</v>
      </c>
      <c r="AE163" s="258">
        <f>AE168+AE178+AE181</f>
        <v>28151</v>
      </c>
      <c r="AF163" s="258">
        <f>AF168+AF178+AF181</f>
        <v>5383963906</v>
      </c>
      <c r="AG163" s="257"/>
      <c r="AH163" s="257"/>
      <c r="AI163" s="257"/>
      <c r="AJ163" s="258">
        <f>AJ168+AJ178+AJ181</f>
        <v>0</v>
      </c>
      <c r="AK163" s="258">
        <f>AK168+AK178+AK181</f>
        <v>0</v>
      </c>
      <c r="AL163" s="258">
        <f>AL168+AL178+AL181</f>
        <v>0</v>
      </c>
      <c r="AM163" s="258">
        <f>AM168+AM178+AM181</f>
        <v>0</v>
      </c>
      <c r="AN163" s="258">
        <f>AN168+AN178+AN181</f>
        <v>0</v>
      </c>
      <c r="AO163" s="259"/>
      <c r="AP163" s="260"/>
      <c r="AQ163" s="261">
        <f>AQ168+AQ178+AQ181</f>
        <v>509655390.89999998</v>
      </c>
      <c r="AR163" s="261">
        <f>AR168+AR178+AR181</f>
        <v>5383963906</v>
      </c>
      <c r="AS163" s="261">
        <f>AS168+AS178+AS181</f>
        <v>0</v>
      </c>
      <c r="AT163" s="261">
        <f>AT168+AT178+AT181</f>
        <v>5893619296.8999996</v>
      </c>
      <c r="AU163" s="261">
        <f t="shared" ref="AU163:BB163" si="106">AU168+AU178+AU181</f>
        <v>5893619297.1999998</v>
      </c>
      <c r="AV163" s="261">
        <f t="shared" si="106"/>
        <v>0</v>
      </c>
      <c r="AW163" s="261">
        <f t="shared" si="106"/>
        <v>0</v>
      </c>
      <c r="AX163" s="261">
        <f t="shared" si="106"/>
        <v>0</v>
      </c>
      <c r="AY163" s="261">
        <f t="shared" si="106"/>
        <v>0</v>
      </c>
      <c r="AZ163" s="261">
        <f t="shared" si="106"/>
        <v>0</v>
      </c>
      <c r="BA163" s="261">
        <f t="shared" si="106"/>
        <v>0</v>
      </c>
      <c r="BB163" s="261">
        <f t="shared" si="106"/>
        <v>0.30000000004656613</v>
      </c>
      <c r="BC163" s="184"/>
      <c r="BD163" s="184"/>
      <c r="BE163" s="184"/>
      <c r="BF163" s="184"/>
    </row>
    <row r="164" spans="1:58" ht="78.75" outlineLevel="2" x14ac:dyDescent="0.25">
      <c r="A164" s="115"/>
      <c r="B164" s="200"/>
      <c r="C164" s="201"/>
      <c r="D164" s="333"/>
      <c r="E164" s="295"/>
      <c r="F164" s="306"/>
      <c r="G164" s="307"/>
      <c r="H164" s="199" t="s">
        <v>475</v>
      </c>
      <c r="I164" s="130"/>
      <c r="J164" s="126"/>
      <c r="K164" s="126"/>
      <c r="L164" s="125" t="str">
        <f>IF(I164&lt;&gt;0,((VLOOKUP(I164,'1. Standard_Cost'!$B$4:$D$11,2)+VLOOKUP(I164,'1. Standard_Cost'!$B$4:$D$11,3))*J164*K164),"0")</f>
        <v>0</v>
      </c>
      <c r="M164" s="125">
        <f>L164*'1. Standard_Cost'!$F$4</f>
        <v>0</v>
      </c>
      <c r="N164" s="126"/>
      <c r="O164" s="126"/>
      <c r="P164" s="126"/>
      <c r="Q164" s="126"/>
      <c r="R164" s="127">
        <f>'1. Standard_Cost'!$B$15*N164*P164</f>
        <v>0</v>
      </c>
      <c r="S164" s="127">
        <f>N164*O164*P164*'1. Standard_Cost'!$C$15</f>
        <v>0</v>
      </c>
      <c r="T164" s="127">
        <f>N164*P164*Q164*'1. Standard_Cost'!$D$15</f>
        <v>0</v>
      </c>
      <c r="U164" s="127">
        <f>N164*O164*'1. Standard_Cost'!$E$15</f>
        <v>0</v>
      </c>
      <c r="V164" s="126"/>
      <c r="W164" s="126"/>
      <c r="X164" s="126"/>
      <c r="Y164" s="127">
        <f>+V164*((X164*'1. Standard_Cost'!$B$19)+(W164*X164*'1. Standard_Cost'!$C$19))</f>
        <v>0</v>
      </c>
      <c r="Z164" s="126"/>
      <c r="AA164" s="126"/>
      <c r="AB164" s="127">
        <f>+Z164*'1. Standard_Cost'!$B$23+AA164*'1. Standard_Cost'!$C$23</f>
        <v>0</v>
      </c>
      <c r="AC164" s="128"/>
      <c r="AD164" s="129"/>
      <c r="AE164" s="127">
        <f>SUM(AD164,AC164,AB164,Y164,U164,T164,S164,R164)*'1. Standard_Cost'!$B$31</f>
        <v>0</v>
      </c>
      <c r="AF164" s="127">
        <f>SUM(AE164,AD164,AC164,AB164,Y164,U164,T164,S164,R164)</f>
        <v>0</v>
      </c>
      <c r="AG164" s="126"/>
      <c r="AH164" s="126"/>
      <c r="AI164" s="126"/>
      <c r="AJ164" s="130"/>
      <c r="AK164" s="130"/>
      <c r="AL164" s="130"/>
      <c r="AM164" s="127">
        <f>AG164*'1. Standard_Cost'!$B$27+'Incremental_Cost Year 7'!AH164*'1. Standard_Cost'!$C$27+'Incremental_Cost Year 7'!AI164*'1. Standard_Cost'!$D$27+'Incremental_Cost Year 7'!AJ164+'Incremental_Cost Year 7'!AL164+AK164</f>
        <v>0</v>
      </c>
      <c r="AN164" s="127">
        <f>AM164*'1. Standard_Cost'!$C$31</f>
        <v>0</v>
      </c>
      <c r="AO164" s="130"/>
      <c r="AP164" s="256"/>
      <c r="AQ164" s="171">
        <f>L164+M164</f>
        <v>0</v>
      </c>
      <c r="AR164" s="171">
        <f>AF164</f>
        <v>0</v>
      </c>
      <c r="AS164" s="171">
        <f>AM164+AN164</f>
        <v>0</v>
      </c>
      <c r="AT164" s="171">
        <f>SUM(AQ164,AR164,AS164)</f>
        <v>0</v>
      </c>
      <c r="AU164" s="250"/>
      <c r="AV164" s="250"/>
      <c r="AW164" s="250"/>
      <c r="AX164" s="250"/>
      <c r="AY164" s="250"/>
      <c r="AZ164" s="250"/>
      <c r="BA164" s="250"/>
      <c r="BB164" s="251">
        <f t="shared" ref="BB164:BB167" si="107">SUM(AU164:BA164)-AT164</f>
        <v>0</v>
      </c>
      <c r="BC164" s="169"/>
      <c r="BD164" s="169"/>
      <c r="BE164" s="169"/>
      <c r="BF164" s="169"/>
    </row>
    <row r="165" spans="1:58" ht="78.75" outlineLevel="2" x14ac:dyDescent="0.25">
      <c r="A165" s="115"/>
      <c r="B165" s="200"/>
      <c r="C165" s="201"/>
      <c r="D165" s="151"/>
      <c r="E165" s="219"/>
      <c r="F165" s="308"/>
      <c r="G165" s="309"/>
      <c r="H165" s="199" t="s">
        <v>476</v>
      </c>
      <c r="I165" s="130"/>
      <c r="J165" s="126"/>
      <c r="K165" s="126"/>
      <c r="L165" s="125" t="str">
        <f>IF(I165&lt;&gt;0,((VLOOKUP(I165,'1. Standard_Cost'!$B$4:$D$11,2)+VLOOKUP(I165,'1. Standard_Cost'!$B$4:$D$11,3))*J165*K165),"0")</f>
        <v>0</v>
      </c>
      <c r="M165" s="125">
        <f>L165*'1. Standard_Cost'!$F$4</f>
        <v>0</v>
      </c>
      <c r="N165" s="126"/>
      <c r="O165" s="126"/>
      <c r="P165" s="126"/>
      <c r="Q165" s="126"/>
      <c r="R165" s="127">
        <f>'1. Standard_Cost'!$B$15*N165*P165</f>
        <v>0</v>
      </c>
      <c r="S165" s="127">
        <f>N165*O165*P165*'1. Standard_Cost'!$C$15</f>
        <v>0</v>
      </c>
      <c r="T165" s="127">
        <f>N165*P165*Q165*'1. Standard_Cost'!$D$15</f>
        <v>0</v>
      </c>
      <c r="U165" s="127">
        <f>N165*O165*'1. Standard_Cost'!$E$15</f>
        <v>0</v>
      </c>
      <c r="V165" s="126"/>
      <c r="W165" s="126"/>
      <c r="X165" s="126"/>
      <c r="Y165" s="127">
        <f>+V165*((X165*'1. Standard_Cost'!$B$19)+(W165*X165*'1. Standard_Cost'!$C$19))</f>
        <v>0</v>
      </c>
      <c r="Z165" s="126"/>
      <c r="AA165" s="126"/>
      <c r="AB165" s="127">
        <f>+Z165*'1. Standard_Cost'!$B$23+AA165*'1. Standard_Cost'!$C$23</f>
        <v>0</v>
      </c>
      <c r="AC165" s="128"/>
      <c r="AD165" s="129"/>
      <c r="AE165" s="127">
        <f>SUM(AD165,AC165,AB165,Y165,U165,T165,S165,R165)*'1. Standard_Cost'!$B$31</f>
        <v>0</v>
      </c>
      <c r="AF165" s="127">
        <f>SUM(AE165,AD165,AC165,AB165,Y165,U165,T165,S165,R165)</f>
        <v>0</v>
      </c>
      <c r="AG165" s="126"/>
      <c r="AH165" s="126"/>
      <c r="AI165" s="126"/>
      <c r="AJ165" s="130"/>
      <c r="AK165" s="130"/>
      <c r="AL165" s="130"/>
      <c r="AM165" s="127">
        <f>AG165*'1. Standard_Cost'!$B$27+'Incremental_Cost Year 7'!AH165*'1. Standard_Cost'!$C$27+'Incremental_Cost Year 7'!AI165*'1. Standard_Cost'!$D$27+'Incremental_Cost Year 7'!AJ165+'Incremental_Cost Year 7'!AL165+AK165</f>
        <v>0</v>
      </c>
      <c r="AN165" s="127">
        <f>AM165*'1. Standard_Cost'!$C$31</f>
        <v>0</v>
      </c>
      <c r="AO165" s="130"/>
      <c r="AP165" s="256"/>
      <c r="AQ165" s="171">
        <f>L165+M165</f>
        <v>0</v>
      </c>
      <c r="AR165" s="171">
        <f>AF165</f>
        <v>0</v>
      </c>
      <c r="AS165" s="171">
        <f>AM165+AN165</f>
        <v>0</v>
      </c>
      <c r="AT165" s="171">
        <f>SUM(AQ165,AR165,AS165)</f>
        <v>0</v>
      </c>
      <c r="AU165" s="250"/>
      <c r="AV165" s="250"/>
      <c r="AW165" s="250"/>
      <c r="AX165" s="250"/>
      <c r="AY165" s="250"/>
      <c r="AZ165" s="250"/>
      <c r="BA165" s="250"/>
      <c r="BB165" s="251">
        <f t="shared" si="107"/>
        <v>0</v>
      </c>
      <c r="BC165" s="169"/>
      <c r="BD165" s="169"/>
      <c r="BE165" s="169"/>
      <c r="BF165" s="169"/>
    </row>
    <row r="166" spans="1:58" ht="110.25" outlineLevel="2" x14ac:dyDescent="0.25">
      <c r="A166" s="115"/>
      <c r="B166" s="200"/>
      <c r="C166" s="201"/>
      <c r="D166" s="151"/>
      <c r="E166" s="219"/>
      <c r="F166" s="308"/>
      <c r="G166" s="309"/>
      <c r="H166" s="199" t="s">
        <v>541</v>
      </c>
      <c r="I166" s="130"/>
      <c r="J166" s="126"/>
      <c r="K166" s="126"/>
      <c r="L166" s="125" t="str">
        <f>IF(I166&lt;&gt;0,((VLOOKUP(I166,'1. Standard_Cost'!$B$4:$D$11,2)+VLOOKUP(I166,'1. Standard_Cost'!$B$4:$D$11,3))*J166*K166),"0")</f>
        <v>0</v>
      </c>
      <c r="M166" s="125">
        <f>L166*'1. Standard_Cost'!$F$4</f>
        <v>0</v>
      </c>
      <c r="N166" s="126"/>
      <c r="O166" s="126"/>
      <c r="P166" s="126"/>
      <c r="Q166" s="126"/>
      <c r="R166" s="127">
        <f>'1. Standard_Cost'!$B$15*N166*P166</f>
        <v>0</v>
      </c>
      <c r="S166" s="127">
        <f>N166*O166*P166*'1. Standard_Cost'!$C$15</f>
        <v>0</v>
      </c>
      <c r="T166" s="127">
        <f>N166*P166*Q166*'1. Standard_Cost'!$D$15</f>
        <v>0</v>
      </c>
      <c r="U166" s="127">
        <f>N166*O166*'1. Standard_Cost'!$E$15</f>
        <v>0</v>
      </c>
      <c r="V166" s="126"/>
      <c r="W166" s="126"/>
      <c r="X166" s="126"/>
      <c r="Y166" s="127">
        <f>+V166*((X166*'1. Standard_Cost'!$B$19)+(W166*X166*'1. Standard_Cost'!$C$19))</f>
        <v>0</v>
      </c>
      <c r="Z166" s="126"/>
      <c r="AA166" s="126"/>
      <c r="AB166" s="127">
        <f>+Z166*'1. Standard_Cost'!$B$23+AA166*'1. Standard_Cost'!$C$23</f>
        <v>0</v>
      </c>
      <c r="AC166" s="128"/>
      <c r="AD166" s="129"/>
      <c r="AE166" s="127">
        <f>SUM(AD166,AC166,AB166,Y166,U166,T166,S166,R166)*'1. Standard_Cost'!$B$31</f>
        <v>0</v>
      </c>
      <c r="AF166" s="127">
        <f>SUM(AE166,AD166,AC166,AB166,Y166,U166,T166,S166,R166)</f>
        <v>0</v>
      </c>
      <c r="AG166" s="126"/>
      <c r="AH166" s="126"/>
      <c r="AI166" s="126"/>
      <c r="AJ166" s="130"/>
      <c r="AK166" s="130"/>
      <c r="AL166" s="130"/>
      <c r="AM166" s="127">
        <f>AG166*'1. Standard_Cost'!$B$27+'Incremental_Cost Year 7'!AH166*'1. Standard_Cost'!$C$27+'Incremental_Cost Year 7'!AI166*'1. Standard_Cost'!$D$27+'Incremental_Cost Year 7'!AJ166+'Incremental_Cost Year 7'!AL166+AK166</f>
        <v>0</v>
      </c>
      <c r="AN166" s="127">
        <f>AM166*'1. Standard_Cost'!$C$31</f>
        <v>0</v>
      </c>
      <c r="AO166" s="130"/>
      <c r="AP166" s="256"/>
      <c r="AQ166" s="171">
        <f>L166+M166</f>
        <v>0</v>
      </c>
      <c r="AR166" s="171">
        <f>AF166</f>
        <v>0</v>
      </c>
      <c r="AS166" s="171">
        <f>AM166+AN166</f>
        <v>0</v>
      </c>
      <c r="AT166" s="171">
        <f>SUM(AQ166,AR166,AS166)</f>
        <v>0</v>
      </c>
      <c r="AU166" s="250"/>
      <c r="AV166" s="250"/>
      <c r="AW166" s="250"/>
      <c r="AX166" s="250"/>
      <c r="AY166" s="250"/>
      <c r="AZ166" s="250"/>
      <c r="BA166" s="250"/>
      <c r="BB166" s="251">
        <f t="shared" si="107"/>
        <v>0</v>
      </c>
      <c r="BC166" s="169"/>
      <c r="BD166" s="169"/>
      <c r="BE166" s="169"/>
      <c r="BF166" s="169"/>
    </row>
    <row r="167" spans="1:58" ht="31.5" outlineLevel="2" x14ac:dyDescent="0.25">
      <c r="A167" s="115"/>
      <c r="B167" s="200"/>
      <c r="C167" s="201"/>
      <c r="D167" s="310"/>
      <c r="E167" s="122"/>
      <c r="F167" s="311"/>
      <c r="G167" s="312"/>
      <c r="H167" s="199" t="s">
        <v>315</v>
      </c>
      <c r="I167" s="130" t="s">
        <v>4</v>
      </c>
      <c r="J167" s="126">
        <v>12</v>
      </c>
      <c r="K167" s="126">
        <v>398</v>
      </c>
      <c r="L167" s="125">
        <f>IF(I167&lt;&gt;0,((VLOOKUP(I167,'1. Standard_Cost'!$B$4:$D$11,2)+VLOOKUP(I167,'1. Standard_Cost'!$B$4:$D$11,3))*J167*K167),"0")</f>
        <v>385662000</v>
      </c>
      <c r="M167" s="125">
        <f>L167*'1. Standard_Cost'!$F$4</f>
        <v>64405554</v>
      </c>
      <c r="N167" s="126"/>
      <c r="O167" s="126"/>
      <c r="P167" s="126"/>
      <c r="Q167" s="126"/>
      <c r="R167" s="127">
        <f>'1. Standard_Cost'!$B$15*N167*P167</f>
        <v>0</v>
      </c>
      <c r="S167" s="127">
        <f>N167*O167*P167*'1. Standard_Cost'!$C$15</f>
        <v>0</v>
      </c>
      <c r="T167" s="127">
        <f>N167*P167*Q167*'1. Standard_Cost'!$D$15</f>
        <v>0</v>
      </c>
      <c r="U167" s="127">
        <f>N167*O167*'1. Standard_Cost'!$E$15</f>
        <v>0</v>
      </c>
      <c r="V167" s="126"/>
      <c r="W167" s="126"/>
      <c r="X167" s="126"/>
      <c r="Y167" s="127">
        <f>+V167*((X167*'1. Standard_Cost'!$B$19)+(W167*X167*'1. Standard_Cost'!$C$19))</f>
        <v>0</v>
      </c>
      <c r="Z167" s="126"/>
      <c r="AA167" s="126"/>
      <c r="AB167" s="127">
        <f>+Z167*'1. Standard_Cost'!$B$23+AA167*'1. Standard_Cost'!$C$23</f>
        <v>0</v>
      </c>
      <c r="AC167" s="128">
        <v>826000000</v>
      </c>
      <c r="AD167" s="129"/>
      <c r="AE167" s="127">
        <f>0</f>
        <v>0</v>
      </c>
      <c r="AF167" s="127">
        <f>SUM(AE167,AD167,AC167,AB167,Y167,U167,T167,S167,R167)</f>
        <v>826000000</v>
      </c>
      <c r="AG167" s="126"/>
      <c r="AH167" s="126"/>
      <c r="AI167" s="126"/>
      <c r="AJ167" s="130"/>
      <c r="AK167" s="130"/>
      <c r="AL167" s="130"/>
      <c r="AM167" s="127">
        <f>AG167*'1. Standard_Cost'!$B$27+'Incremental_Cost Year 7'!AH167*'1. Standard_Cost'!$C$27+'Incremental_Cost Year 7'!AI167*'1. Standard_Cost'!$D$27+'Incremental_Cost Year 7'!AJ167+'Incremental_Cost Year 7'!AL167+AK167</f>
        <v>0</v>
      </c>
      <c r="AN167" s="127">
        <f>AM167*'1. Standard_Cost'!$C$31</f>
        <v>0</v>
      </c>
      <c r="AO167" s="130"/>
      <c r="AP167" s="256"/>
      <c r="AQ167" s="171">
        <f>L167+M167</f>
        <v>450067554</v>
      </c>
      <c r="AR167" s="171">
        <f>AF167</f>
        <v>826000000</v>
      </c>
      <c r="AS167" s="171">
        <f>AM167+AN167</f>
        <v>0</v>
      </c>
      <c r="AT167" s="171">
        <f>SUM(AQ167,AR167,AS167)</f>
        <v>1276067554</v>
      </c>
      <c r="AU167" s="250">
        <v>1276067554</v>
      </c>
      <c r="AV167" s="250"/>
      <c r="AW167" s="250"/>
      <c r="AX167" s="250"/>
      <c r="AY167" s="250"/>
      <c r="AZ167" s="250"/>
      <c r="BA167" s="250"/>
      <c r="BB167" s="251">
        <f t="shared" si="107"/>
        <v>0</v>
      </c>
      <c r="BC167" s="169"/>
      <c r="BD167" s="169"/>
      <c r="BE167" s="169"/>
      <c r="BF167" s="169"/>
    </row>
    <row r="168" spans="1:58" ht="78.75" outlineLevel="2" x14ac:dyDescent="0.25">
      <c r="A168" s="115"/>
      <c r="B168" s="165"/>
      <c r="C168" s="166"/>
      <c r="D168" s="139" t="s">
        <v>477</v>
      </c>
      <c r="E168" s="212" t="s">
        <v>478</v>
      </c>
      <c r="F168" s="136">
        <v>2021</v>
      </c>
      <c r="G168" s="117">
        <v>2030</v>
      </c>
      <c r="H168" s="110" t="s">
        <v>170</v>
      </c>
      <c r="I168" s="252"/>
      <c r="J168" s="252"/>
      <c r="K168" s="252"/>
      <c r="L168" s="127">
        <f>SUM(L164:L167)</f>
        <v>385662000</v>
      </c>
      <c r="M168" s="127">
        <f>SUM(M164:M167)</f>
        <v>64405554</v>
      </c>
      <c r="N168" s="252"/>
      <c r="O168" s="252"/>
      <c r="P168" s="252"/>
      <c r="Q168" s="252"/>
      <c r="R168" s="127">
        <f>SUM(R164:R167)</f>
        <v>0</v>
      </c>
      <c r="S168" s="127">
        <f>SUM(S164:S167)</f>
        <v>0</v>
      </c>
      <c r="T168" s="127">
        <f>SUM(T164:T167)</f>
        <v>0</v>
      </c>
      <c r="U168" s="127">
        <f>SUM(U164:U167)</f>
        <v>0</v>
      </c>
      <c r="V168" s="252"/>
      <c r="W168" s="252"/>
      <c r="X168" s="252"/>
      <c r="Y168" s="127">
        <f>SUM(Y164:Y167)</f>
        <v>0</v>
      </c>
      <c r="Z168" s="127"/>
      <c r="AA168" s="252"/>
      <c r="AB168" s="127">
        <f>SUM(AB164:AB167)</f>
        <v>0</v>
      </c>
      <c r="AC168" s="127">
        <f>SUM(AC164:AC167)</f>
        <v>826000000</v>
      </c>
      <c r="AD168" s="127">
        <f>SUM(AD164:AD167)</f>
        <v>0</v>
      </c>
      <c r="AE168" s="127">
        <f>SUM(AE164:AE167)</f>
        <v>0</v>
      </c>
      <c r="AF168" s="127">
        <f>SUM(AF164:AF167)</f>
        <v>826000000</v>
      </c>
      <c r="AG168" s="252"/>
      <c r="AH168" s="252"/>
      <c r="AI168" s="252"/>
      <c r="AJ168" s="127">
        <f>SUM(AJ164:AJ167)</f>
        <v>0</v>
      </c>
      <c r="AK168" s="127">
        <f>SUM(AK164:AK167)</f>
        <v>0</v>
      </c>
      <c r="AL168" s="127">
        <f>SUM(AL164:AL167)</f>
        <v>0</v>
      </c>
      <c r="AM168" s="127">
        <f>SUM(AM164:AM167)</f>
        <v>0</v>
      </c>
      <c r="AN168" s="127">
        <f>SUM(AN164:AN167)</f>
        <v>0</v>
      </c>
      <c r="AO168" s="253"/>
      <c r="AP168" s="254"/>
      <c r="AQ168" s="175">
        <f>SUM(AQ164:AQ167)</f>
        <v>450067554</v>
      </c>
      <c r="AR168" s="175">
        <f>SUM(AR164:AR167)</f>
        <v>826000000</v>
      </c>
      <c r="AS168" s="175">
        <f>SUM(AS164:AS167)</f>
        <v>0</v>
      </c>
      <c r="AT168" s="175">
        <f>SUM(AT164:AT167)</f>
        <v>1276067554</v>
      </c>
      <c r="AU168" s="175">
        <f t="shared" ref="AU168:BA168" si="108">SUM(AU164:AU167)</f>
        <v>1276067554</v>
      </c>
      <c r="AV168" s="175">
        <f t="shared" si="108"/>
        <v>0</v>
      </c>
      <c r="AW168" s="175">
        <f t="shared" si="108"/>
        <v>0</v>
      </c>
      <c r="AX168" s="175">
        <f t="shared" si="108"/>
        <v>0</v>
      </c>
      <c r="AY168" s="175">
        <f t="shared" si="108"/>
        <v>0</v>
      </c>
      <c r="AZ168" s="175">
        <f t="shared" si="108"/>
        <v>0</v>
      </c>
      <c r="BA168" s="175">
        <f t="shared" si="108"/>
        <v>0</v>
      </c>
      <c r="BB168" s="175">
        <f>SUM(BB164:BB167)</f>
        <v>0</v>
      </c>
      <c r="BC168" s="169"/>
      <c r="BD168" s="169"/>
      <c r="BE168" s="169"/>
      <c r="BF168" s="169"/>
    </row>
    <row r="169" spans="1:58" ht="31.5" outlineLevel="1" x14ac:dyDescent="0.25">
      <c r="A169" s="115"/>
      <c r="B169" s="200"/>
      <c r="C169" s="201"/>
      <c r="D169" s="342"/>
      <c r="E169" s="328"/>
      <c r="F169" s="328"/>
      <c r="G169" s="328"/>
      <c r="H169" s="199" t="s">
        <v>479</v>
      </c>
      <c r="I169" s="130"/>
      <c r="J169" s="126"/>
      <c r="K169" s="126"/>
      <c r="L169" s="125" t="str">
        <f>IF(I169&lt;&gt;0,((VLOOKUP(I169,'1. Standard_Cost'!$B$4:$D$11,2)+VLOOKUP(I169,'1. Standard_Cost'!$B$4:$D$11,3))*J169*K169),"0")</f>
        <v>0</v>
      </c>
      <c r="M169" s="125">
        <f>L169*'1. Standard_Cost'!$F$4</f>
        <v>0</v>
      </c>
      <c r="N169" s="126"/>
      <c r="O169" s="126"/>
      <c r="P169" s="126"/>
      <c r="Q169" s="126"/>
      <c r="R169" s="127">
        <f>'1. Standard_Cost'!$B$15*N169*P169</f>
        <v>0</v>
      </c>
      <c r="S169" s="127">
        <f>N169*O169*P169*'1. Standard_Cost'!$C$15</f>
        <v>0</v>
      </c>
      <c r="T169" s="127">
        <f>N169*P169*Q169*'1. Standard_Cost'!$D$15</f>
        <v>0</v>
      </c>
      <c r="U169" s="127">
        <f>N169*O169*'1. Standard_Cost'!$E$15</f>
        <v>0</v>
      </c>
      <c r="V169" s="126"/>
      <c r="W169" s="126"/>
      <c r="X169" s="126"/>
      <c r="Y169" s="127">
        <f>+V169*((X169*'1. Standard_Cost'!$B$19)+(W169*X169*'1. Standard_Cost'!$C$19))</f>
        <v>0</v>
      </c>
      <c r="Z169" s="126"/>
      <c r="AA169" s="126"/>
      <c r="AB169" s="127">
        <f>+Z169*'1. Standard_Cost'!$B$23+AA169*'1. Standard_Cost'!$C$23</f>
        <v>0</v>
      </c>
      <c r="AC169" s="128">
        <v>1320223000</v>
      </c>
      <c r="AD169" s="129"/>
      <c r="AE169" s="127">
        <f>0</f>
        <v>0</v>
      </c>
      <c r="AF169" s="127">
        <f t="shared" ref="AF169:AF177" si="109">SUM(AE169,AD169,AC169,AB169,Y169,U169,T169,S169,R169)</f>
        <v>1320223000</v>
      </c>
      <c r="AG169" s="126"/>
      <c r="AH169" s="126"/>
      <c r="AI169" s="126"/>
      <c r="AJ169" s="130"/>
      <c r="AK169" s="130"/>
      <c r="AL169" s="130"/>
      <c r="AM169" s="127">
        <f>AG169*'1. Standard_Cost'!$B$27+'Incremental_Cost Year 7'!AH169*'1. Standard_Cost'!$C$27+'Incremental_Cost Year 7'!AI169*'1. Standard_Cost'!$D$27+'Incremental_Cost Year 7'!AJ169+'Incremental_Cost Year 7'!AL169+AK169</f>
        <v>0</v>
      </c>
      <c r="AN169" s="127">
        <f>AM169*'1. Standard_Cost'!$C$31</f>
        <v>0</v>
      </c>
      <c r="AO169" s="130"/>
      <c r="AP169" s="256"/>
      <c r="AQ169" s="171">
        <f t="shared" ref="AQ169:AQ177" si="110">L169+M169</f>
        <v>0</v>
      </c>
      <c r="AR169" s="171">
        <f t="shared" ref="AR169:AR177" si="111">AF169</f>
        <v>1320223000</v>
      </c>
      <c r="AS169" s="171">
        <f t="shared" ref="AS169:AS177" si="112">AM169+AN169</f>
        <v>0</v>
      </c>
      <c r="AT169" s="171">
        <f t="shared" ref="AT169:AT177" si="113">SUM(AQ169,AR169,AS169)</f>
        <v>1320223000</v>
      </c>
      <c r="AU169" s="250">
        <v>1320223000</v>
      </c>
      <c r="AV169" s="250"/>
      <c r="AW169" s="250"/>
      <c r="AX169" s="250"/>
      <c r="AY169" s="250"/>
      <c r="AZ169" s="250"/>
      <c r="BA169" s="250"/>
      <c r="BB169" s="251">
        <f t="shared" ref="BB169:BB177" si="114">SUM(AU169:BA169)-AT169</f>
        <v>0</v>
      </c>
      <c r="BC169" s="169"/>
      <c r="BD169" s="169"/>
      <c r="BE169" s="169"/>
      <c r="BF169" s="169"/>
    </row>
    <row r="170" spans="1:58" ht="47.25" outlineLevel="2" x14ac:dyDescent="0.25">
      <c r="A170" s="115"/>
      <c r="B170" s="200"/>
      <c r="C170" s="201"/>
      <c r="D170" s="343"/>
      <c r="E170" s="328"/>
      <c r="F170" s="328"/>
      <c r="G170" s="328"/>
      <c r="H170" s="213" t="s">
        <v>480</v>
      </c>
      <c r="I170" s="130"/>
      <c r="J170" s="126"/>
      <c r="K170" s="126"/>
      <c r="L170" s="125" t="str">
        <f>IF(I170&lt;&gt;0,((VLOOKUP(I170,'1. Standard_Cost'!$B$4:$D$11,2)+VLOOKUP(I170,'1. Standard_Cost'!$B$4:$D$11,3))*J170*K170),"0")</f>
        <v>0</v>
      </c>
      <c r="M170" s="125">
        <f>L170*'1. Standard_Cost'!$F$4</f>
        <v>0</v>
      </c>
      <c r="N170" s="126"/>
      <c r="O170" s="126"/>
      <c r="P170" s="126"/>
      <c r="Q170" s="126"/>
      <c r="R170" s="127">
        <f>'1. Standard_Cost'!$B$15*N170*P170</f>
        <v>0</v>
      </c>
      <c r="S170" s="127">
        <f>N170*O170*P170*'1. Standard_Cost'!$C$15</f>
        <v>0</v>
      </c>
      <c r="T170" s="127">
        <f>N170*P170*Q170*'1. Standard_Cost'!$D$15</f>
        <v>0</v>
      </c>
      <c r="U170" s="127">
        <f>N170*O170*'1. Standard_Cost'!$E$15</f>
        <v>0</v>
      </c>
      <c r="V170" s="126"/>
      <c r="W170" s="126"/>
      <c r="X170" s="126"/>
      <c r="Y170" s="127">
        <f>+V170*((X170*'1. Standard_Cost'!$B$19)+(W170*X170*'1. Standard_Cost'!$C$19))</f>
        <v>0</v>
      </c>
      <c r="Z170" s="126"/>
      <c r="AA170" s="126"/>
      <c r="AB170" s="127">
        <f>+Z170*'1. Standard_Cost'!$B$23+AA170*'1. Standard_Cost'!$C$23</f>
        <v>0</v>
      </c>
      <c r="AC170" s="266">
        <v>946000000</v>
      </c>
      <c r="AD170" s="129"/>
      <c r="AE170" s="127">
        <f>0</f>
        <v>0</v>
      </c>
      <c r="AF170" s="127">
        <f t="shared" si="109"/>
        <v>946000000</v>
      </c>
      <c r="AG170" s="126"/>
      <c r="AH170" s="126"/>
      <c r="AI170" s="126"/>
      <c r="AJ170" s="130"/>
      <c r="AK170" s="130"/>
      <c r="AL170" s="130"/>
      <c r="AM170" s="127">
        <f>AG170*'1. Standard_Cost'!$B$27+'Incremental_Cost Year 7'!AH170*'1. Standard_Cost'!$C$27+'Incremental_Cost Year 7'!AI170*'1. Standard_Cost'!$D$27+'Incremental_Cost Year 7'!AJ170+'Incremental_Cost Year 7'!AL170+AK170</f>
        <v>0</v>
      </c>
      <c r="AN170" s="127">
        <f>AM170*'1. Standard_Cost'!$C$31</f>
        <v>0</v>
      </c>
      <c r="AO170" s="130"/>
      <c r="AP170" s="256"/>
      <c r="AQ170" s="171">
        <f t="shared" si="110"/>
        <v>0</v>
      </c>
      <c r="AR170" s="171">
        <f t="shared" si="111"/>
        <v>946000000</v>
      </c>
      <c r="AS170" s="171">
        <f t="shared" si="112"/>
        <v>0</v>
      </c>
      <c r="AT170" s="171">
        <f t="shared" si="113"/>
        <v>946000000</v>
      </c>
      <c r="AU170" s="250">
        <v>946000000</v>
      </c>
      <c r="AV170" s="250"/>
      <c r="AW170" s="250"/>
      <c r="AX170" s="250"/>
      <c r="AY170" s="250"/>
      <c r="AZ170" s="250"/>
      <c r="BA170" s="250"/>
      <c r="BB170" s="251">
        <f t="shared" si="114"/>
        <v>0</v>
      </c>
      <c r="BC170" s="169"/>
      <c r="BD170" s="169"/>
      <c r="BE170" s="169"/>
      <c r="BF170" s="169"/>
    </row>
    <row r="171" spans="1:58" ht="31.5" outlineLevel="2" x14ac:dyDescent="0.25">
      <c r="A171" s="115"/>
      <c r="B171" s="200"/>
      <c r="C171" s="201"/>
      <c r="D171" s="343"/>
      <c r="E171" s="328"/>
      <c r="F171" s="328"/>
      <c r="G171" s="328"/>
      <c r="H171" s="213" t="s">
        <v>481</v>
      </c>
      <c r="I171" s="130"/>
      <c r="J171" s="126"/>
      <c r="K171" s="126"/>
      <c r="L171" s="125" t="str">
        <f>IF(I171&lt;&gt;0,((VLOOKUP(I171,'1. Standard_Cost'!$B$4:$D$11,2)+VLOOKUP(I171,'1. Standard_Cost'!$B$4:$D$11,3))*J171*K171),"0")</f>
        <v>0</v>
      </c>
      <c r="M171" s="125">
        <f>L171*'1. Standard_Cost'!$F$4</f>
        <v>0</v>
      </c>
      <c r="N171" s="126"/>
      <c r="O171" s="126"/>
      <c r="P171" s="126"/>
      <c r="Q171" s="126"/>
      <c r="R171" s="127">
        <f>'1. Standard_Cost'!$B$15*N171*P171</f>
        <v>0</v>
      </c>
      <c r="S171" s="127">
        <f>N171*O171*P171*'1. Standard_Cost'!$C$15</f>
        <v>0</v>
      </c>
      <c r="T171" s="127">
        <f>N171*P171*Q171*'1. Standard_Cost'!$D$15</f>
        <v>0</v>
      </c>
      <c r="U171" s="127">
        <f>N171*O171*'1. Standard_Cost'!$E$15</f>
        <v>0</v>
      </c>
      <c r="V171" s="126"/>
      <c r="W171" s="126"/>
      <c r="X171" s="126"/>
      <c r="Y171" s="127">
        <f>+V171*((X171*'1. Standard_Cost'!$B$19)+(W171*X171*'1. Standard_Cost'!$C$19))</f>
        <v>0</v>
      </c>
      <c r="Z171" s="126"/>
      <c r="AA171" s="126"/>
      <c r="AB171" s="127">
        <f>+Z171*'1. Standard_Cost'!$B$23+AA171*'1. Standard_Cost'!$C$23</f>
        <v>0</v>
      </c>
      <c r="AC171" s="128">
        <v>1790000000</v>
      </c>
      <c r="AD171" s="129"/>
      <c r="AE171" s="127">
        <f>0</f>
        <v>0</v>
      </c>
      <c r="AF171" s="127">
        <f t="shared" si="109"/>
        <v>1790000000</v>
      </c>
      <c r="AG171" s="126"/>
      <c r="AH171" s="126"/>
      <c r="AI171" s="126"/>
      <c r="AJ171" s="130"/>
      <c r="AK171" s="130"/>
      <c r="AL171" s="130"/>
      <c r="AM171" s="127">
        <f>AG171*'1. Standard_Cost'!$B$27+'Incremental_Cost Year 7'!AH171*'1. Standard_Cost'!$C$27+'Incremental_Cost Year 7'!AI171*'1. Standard_Cost'!$D$27+'Incremental_Cost Year 7'!AJ171+'Incremental_Cost Year 7'!AL171+AK171</f>
        <v>0</v>
      </c>
      <c r="AN171" s="127">
        <f>AM171*'1. Standard_Cost'!$C$31</f>
        <v>0</v>
      </c>
      <c r="AO171" s="130"/>
      <c r="AP171" s="256"/>
      <c r="AQ171" s="171">
        <f t="shared" si="110"/>
        <v>0</v>
      </c>
      <c r="AR171" s="171">
        <f t="shared" si="111"/>
        <v>1790000000</v>
      </c>
      <c r="AS171" s="171">
        <f t="shared" si="112"/>
        <v>0</v>
      </c>
      <c r="AT171" s="171">
        <f t="shared" si="113"/>
        <v>1790000000</v>
      </c>
      <c r="AU171" s="250">
        <v>1790000000</v>
      </c>
      <c r="AV171" s="250"/>
      <c r="AW171" s="250"/>
      <c r="AX171" s="250"/>
      <c r="AY171" s="250"/>
      <c r="AZ171" s="250"/>
      <c r="BA171" s="250"/>
      <c r="BB171" s="251">
        <f t="shared" si="114"/>
        <v>0</v>
      </c>
      <c r="BC171" s="169"/>
      <c r="BD171" s="169"/>
      <c r="BE171" s="169"/>
      <c r="BF171" s="169"/>
    </row>
    <row r="172" spans="1:58" ht="47.25" outlineLevel="2" x14ac:dyDescent="0.25">
      <c r="A172" s="115"/>
      <c r="B172" s="200"/>
      <c r="C172" s="201"/>
      <c r="D172" s="343"/>
      <c r="E172" s="328"/>
      <c r="F172" s="328"/>
      <c r="G172" s="328"/>
      <c r="H172" s="213" t="s">
        <v>542</v>
      </c>
      <c r="I172" s="130"/>
      <c r="J172" s="126"/>
      <c r="K172" s="126"/>
      <c r="L172" s="125" t="str">
        <f>IF(I172&lt;&gt;0,((VLOOKUP(I172,'1. Standard_Cost'!$B$4:$D$11,2)+VLOOKUP(I172,'1. Standard_Cost'!$B$4:$D$11,3))*J172*K172),"0")</f>
        <v>0</v>
      </c>
      <c r="M172" s="125">
        <f>L172*'1. Standard_Cost'!$F$4</f>
        <v>0</v>
      </c>
      <c r="N172" s="126"/>
      <c r="O172" s="126"/>
      <c r="P172" s="126"/>
      <c r="Q172" s="126"/>
      <c r="R172" s="127">
        <f>'1. Standard_Cost'!$B$15*N172*P172</f>
        <v>0</v>
      </c>
      <c r="S172" s="127">
        <f>N172*O172*P172*'1. Standard_Cost'!$C$15</f>
        <v>0</v>
      </c>
      <c r="T172" s="127">
        <f>N172*P172*Q172*'1. Standard_Cost'!$D$15</f>
        <v>0</v>
      </c>
      <c r="U172" s="127">
        <f>N172*O172*'1. Standard_Cost'!$E$15</f>
        <v>0</v>
      </c>
      <c r="V172" s="126"/>
      <c r="W172" s="126"/>
      <c r="X172" s="126"/>
      <c r="Y172" s="127">
        <f>+V172*((X172*'1. Standard_Cost'!$B$19)+(W172*X172*'1. Standard_Cost'!$C$19))</f>
        <v>0</v>
      </c>
      <c r="Z172" s="126"/>
      <c r="AA172" s="126"/>
      <c r="AB172" s="127">
        <f>+Z172*'1. Standard_Cost'!$B$23+AA172*'1. Standard_Cost'!$C$23</f>
        <v>0</v>
      </c>
      <c r="AC172" s="128"/>
      <c r="AD172" s="129"/>
      <c r="AE172" s="127">
        <f>SUM(AD172,AC172,AB172,Y172,U172,T172,S172,R172)*'1. Standard_Cost'!$B$31</f>
        <v>0</v>
      </c>
      <c r="AF172" s="127">
        <f t="shared" si="109"/>
        <v>0</v>
      </c>
      <c r="AG172" s="126"/>
      <c r="AH172" s="126"/>
      <c r="AI172" s="126"/>
      <c r="AJ172" s="130"/>
      <c r="AK172" s="130"/>
      <c r="AL172" s="130"/>
      <c r="AM172" s="127">
        <f>AG172*'1. Standard_Cost'!$B$27+'Incremental_Cost Year 7'!AH172*'1. Standard_Cost'!$C$27+'Incremental_Cost Year 7'!AI172*'1. Standard_Cost'!$D$27+'Incremental_Cost Year 7'!AJ172+'Incremental_Cost Year 7'!AL172+AK172</f>
        <v>0</v>
      </c>
      <c r="AN172" s="127">
        <f>AM172*'1. Standard_Cost'!$C$31</f>
        <v>0</v>
      </c>
      <c r="AO172" s="130"/>
      <c r="AP172" s="256"/>
      <c r="AQ172" s="171">
        <f t="shared" si="110"/>
        <v>0</v>
      </c>
      <c r="AR172" s="171">
        <f t="shared" si="111"/>
        <v>0</v>
      </c>
      <c r="AS172" s="171">
        <f t="shared" si="112"/>
        <v>0</v>
      </c>
      <c r="AT172" s="171">
        <f t="shared" si="113"/>
        <v>0</v>
      </c>
      <c r="AU172" s="250"/>
      <c r="AV172" s="250"/>
      <c r="AW172" s="250"/>
      <c r="AX172" s="250"/>
      <c r="AY172" s="250"/>
      <c r="AZ172" s="250"/>
      <c r="BA172" s="250"/>
      <c r="BB172" s="251">
        <f t="shared" si="114"/>
        <v>0</v>
      </c>
      <c r="BC172" s="169"/>
      <c r="BD172" s="169"/>
      <c r="BE172" s="169"/>
      <c r="BF172" s="169"/>
    </row>
    <row r="173" spans="1:58" ht="31.5" outlineLevel="2" x14ac:dyDescent="0.25">
      <c r="A173" s="115"/>
      <c r="B173" s="200"/>
      <c r="C173" s="201"/>
      <c r="D173" s="343"/>
      <c r="E173" s="328"/>
      <c r="F173" s="328"/>
      <c r="G173" s="328"/>
      <c r="H173" s="213" t="s">
        <v>482</v>
      </c>
      <c r="I173" s="130" t="s">
        <v>5</v>
      </c>
      <c r="J173" s="126">
        <v>12</v>
      </c>
      <c r="K173" s="126">
        <v>59</v>
      </c>
      <c r="L173" s="125">
        <f>IF(I173&lt;&gt;0,((VLOOKUP(I173,'1. Standard_Cost'!$B$4:$D$11,2)+VLOOKUP(I173,'1. Standard_Cost'!$B$4:$D$11,3))*J173*K173),"0")</f>
        <v>50055600</v>
      </c>
      <c r="M173" s="125">
        <f>L173*'1. Standard_Cost'!$F$4</f>
        <v>8359285.2000000002</v>
      </c>
      <c r="N173" s="126"/>
      <c r="O173" s="126"/>
      <c r="P173" s="126"/>
      <c r="Q173" s="126"/>
      <c r="R173" s="127">
        <f>'1. Standard_Cost'!$B$15*N173*P173</f>
        <v>0</v>
      </c>
      <c r="S173" s="127">
        <f>N173*O173*P173*'1. Standard_Cost'!$C$15</f>
        <v>0</v>
      </c>
      <c r="T173" s="127">
        <f>N173*P173*Q173*'1. Standard_Cost'!$D$15</f>
        <v>0</v>
      </c>
      <c r="U173" s="127">
        <f>N173*O173*'1. Standard_Cost'!$E$15</f>
        <v>0</v>
      </c>
      <c r="V173" s="126"/>
      <c r="W173" s="126"/>
      <c r="X173" s="126"/>
      <c r="Y173" s="127">
        <f>+V173*((X173*'1. Standard_Cost'!$B$19)+(W173*X173*'1. Standard_Cost'!$C$19))</f>
        <v>0</v>
      </c>
      <c r="Z173" s="126"/>
      <c r="AA173" s="126"/>
      <c r="AB173" s="127">
        <f>+Z173*'1. Standard_Cost'!$B$23+AA173*'1. Standard_Cost'!$C$23</f>
        <v>0</v>
      </c>
      <c r="AC173" s="128">
        <v>481572000</v>
      </c>
      <c r="AD173" s="129"/>
      <c r="AE173" s="127">
        <f>0</f>
        <v>0</v>
      </c>
      <c r="AF173" s="127">
        <f t="shared" si="109"/>
        <v>481572000</v>
      </c>
      <c r="AG173" s="126"/>
      <c r="AH173" s="126"/>
      <c r="AI173" s="126"/>
      <c r="AJ173" s="130"/>
      <c r="AK173" s="130"/>
      <c r="AL173" s="130"/>
      <c r="AM173" s="127">
        <f>AG173*'1. Standard_Cost'!$B$27+'Incremental_Cost Year 7'!AH173*'1. Standard_Cost'!$C$27+'Incremental_Cost Year 7'!AI173*'1. Standard_Cost'!$D$27+'Incremental_Cost Year 7'!AJ173+'Incremental_Cost Year 7'!AL173+AK173</f>
        <v>0</v>
      </c>
      <c r="AN173" s="127">
        <f>AM173*'1. Standard_Cost'!$C$31</f>
        <v>0</v>
      </c>
      <c r="AO173" s="130"/>
      <c r="AP173" s="256"/>
      <c r="AQ173" s="171">
        <f t="shared" si="110"/>
        <v>58414885.200000003</v>
      </c>
      <c r="AR173" s="171">
        <f t="shared" si="111"/>
        <v>481572000</v>
      </c>
      <c r="AS173" s="171">
        <f t="shared" si="112"/>
        <v>0</v>
      </c>
      <c r="AT173" s="171">
        <f t="shared" si="113"/>
        <v>539986885.20000005</v>
      </c>
      <c r="AU173" s="250">
        <v>539986885.20000005</v>
      </c>
      <c r="AV173" s="250"/>
      <c r="AW173" s="250"/>
      <c r="AX173" s="250"/>
      <c r="AY173" s="250"/>
      <c r="AZ173" s="250"/>
      <c r="BA173" s="250"/>
      <c r="BB173" s="251">
        <f t="shared" si="114"/>
        <v>0</v>
      </c>
      <c r="BC173" s="169"/>
      <c r="BD173" s="169"/>
      <c r="BE173" s="169"/>
      <c r="BF173" s="169"/>
    </row>
    <row r="174" spans="1:58" ht="15.75" outlineLevel="2" x14ac:dyDescent="0.25">
      <c r="A174" s="115"/>
      <c r="B174" s="200"/>
      <c r="C174" s="201"/>
      <c r="D174" s="343"/>
      <c r="E174" s="328"/>
      <c r="F174" s="328"/>
      <c r="G174" s="328"/>
      <c r="H174" s="199"/>
      <c r="I174" s="130"/>
      <c r="J174" s="126"/>
      <c r="K174" s="126"/>
      <c r="L174" s="125" t="str">
        <f>IF(I174&lt;&gt;0,((VLOOKUP(I174,'1. Standard_Cost'!$B$4:$D$11,2)+VLOOKUP(I174,'1. Standard_Cost'!$B$4:$D$11,3))*J174*K174),"0")</f>
        <v>0</v>
      </c>
      <c r="M174" s="125">
        <f>L174*'1. Standard_Cost'!$F$4</f>
        <v>0</v>
      </c>
      <c r="N174" s="126"/>
      <c r="O174" s="126"/>
      <c r="P174" s="126"/>
      <c r="Q174" s="126"/>
      <c r="R174" s="127">
        <f>'1. Standard_Cost'!$B$15*N174*P174</f>
        <v>0</v>
      </c>
      <c r="S174" s="127">
        <f>N174*O174*P174*'1. Standard_Cost'!$C$15</f>
        <v>0</v>
      </c>
      <c r="T174" s="127">
        <f>N174*P174*Q174*'1. Standard_Cost'!$D$15</f>
        <v>0</v>
      </c>
      <c r="U174" s="127">
        <f>N174*O174*'1. Standard_Cost'!$E$15</f>
        <v>0</v>
      </c>
      <c r="V174" s="126"/>
      <c r="W174" s="126"/>
      <c r="X174" s="126"/>
      <c r="Y174" s="127">
        <f>+V174*((X174*'1. Standard_Cost'!$B$19)+(W174*X174*'1. Standard_Cost'!$C$19))</f>
        <v>0</v>
      </c>
      <c r="Z174" s="126"/>
      <c r="AA174" s="126"/>
      <c r="AB174" s="127">
        <f>+Z174*'1. Standard_Cost'!$B$23+AA174*'1. Standard_Cost'!$C$23</f>
        <v>0</v>
      </c>
      <c r="AC174" s="128"/>
      <c r="AD174" s="129"/>
      <c r="AE174" s="127">
        <f>SUM(AD174,AC174,AB174,Y174,U174,T174,S174,R174)*'1. Standard_Cost'!$B$31</f>
        <v>0</v>
      </c>
      <c r="AF174" s="127">
        <f t="shared" si="109"/>
        <v>0</v>
      </c>
      <c r="AG174" s="126"/>
      <c r="AH174" s="126"/>
      <c r="AI174" s="126"/>
      <c r="AJ174" s="130"/>
      <c r="AK174" s="130"/>
      <c r="AL174" s="130"/>
      <c r="AM174" s="127">
        <f>AG174*'1. Standard_Cost'!$B$27+'Incremental_Cost Year 7'!AH174*'1. Standard_Cost'!$C$27+'Incremental_Cost Year 7'!AI174*'1. Standard_Cost'!$D$27+'Incremental_Cost Year 7'!AJ174+'Incremental_Cost Year 7'!AL174+AK174</f>
        <v>0</v>
      </c>
      <c r="AN174" s="127">
        <f>AM174*'1. Standard_Cost'!$C$31</f>
        <v>0</v>
      </c>
      <c r="AO174" s="130"/>
      <c r="AP174" s="256"/>
      <c r="AQ174" s="171">
        <f t="shared" si="110"/>
        <v>0</v>
      </c>
      <c r="AR174" s="171">
        <f t="shared" si="111"/>
        <v>0</v>
      </c>
      <c r="AS174" s="171">
        <f t="shared" si="112"/>
        <v>0</v>
      </c>
      <c r="AT174" s="171">
        <f t="shared" si="113"/>
        <v>0</v>
      </c>
      <c r="AU174" s="250"/>
      <c r="AV174" s="250"/>
      <c r="AW174" s="250"/>
      <c r="AX174" s="250"/>
      <c r="AY174" s="250"/>
      <c r="AZ174" s="250"/>
      <c r="BA174" s="250"/>
      <c r="BB174" s="251">
        <f t="shared" si="114"/>
        <v>0</v>
      </c>
      <c r="BC174" s="169"/>
      <c r="BD174" s="169"/>
      <c r="BE174" s="169"/>
      <c r="BF174" s="169"/>
    </row>
    <row r="175" spans="1:58" ht="47.25" outlineLevel="2" x14ac:dyDescent="0.25">
      <c r="A175" s="115"/>
      <c r="B175" s="200"/>
      <c r="C175" s="201"/>
      <c r="D175" s="343"/>
      <c r="E175" s="328"/>
      <c r="F175" s="328"/>
      <c r="G175" s="328"/>
      <c r="H175" s="213" t="s">
        <v>483</v>
      </c>
      <c r="I175" s="130"/>
      <c r="J175" s="126"/>
      <c r="K175" s="126"/>
      <c r="L175" s="125" t="str">
        <f>IF(I175&lt;&gt;0,((VLOOKUP(I175,'1. Standard_Cost'!$B$4:$D$11,2)+VLOOKUP(I175,'1. Standard_Cost'!$B$4:$D$11,3))*J175*K175),"0")</f>
        <v>0</v>
      </c>
      <c r="M175" s="125">
        <f>L175*'1. Standard_Cost'!$F$4</f>
        <v>0</v>
      </c>
      <c r="N175" s="126"/>
      <c r="O175" s="126"/>
      <c r="P175" s="126"/>
      <c r="Q175" s="126"/>
      <c r="R175" s="127">
        <f>'1. Standard_Cost'!$B$15*N175*P175</f>
        <v>0</v>
      </c>
      <c r="S175" s="127">
        <f>N175*O175*P175*'1. Standard_Cost'!$C$15</f>
        <v>0</v>
      </c>
      <c r="T175" s="127">
        <f>N175*P175*Q175*'1. Standard_Cost'!$D$15</f>
        <v>0</v>
      </c>
      <c r="U175" s="127">
        <f>N175*O175*'1. Standard_Cost'!$E$15</f>
        <v>0</v>
      </c>
      <c r="V175" s="126"/>
      <c r="W175" s="126"/>
      <c r="X175" s="126"/>
      <c r="Y175" s="127">
        <f>+V175*((X175*'1. Standard_Cost'!$B$19)+(W175*X175*'1. Standard_Cost'!$C$19))</f>
        <v>0</v>
      </c>
      <c r="Z175" s="126"/>
      <c r="AA175" s="126"/>
      <c r="AB175" s="127">
        <f>+Z175*'1. Standard_Cost'!$B$23+AA175*'1. Standard_Cost'!$C$23</f>
        <v>0</v>
      </c>
      <c r="AC175" s="128"/>
      <c r="AD175" s="129"/>
      <c r="AE175" s="127">
        <f>SUM(AD175,AC175,AB175,Y175,U175,T175,S175,R175)*'1. Standard_Cost'!$B$31</f>
        <v>0</v>
      </c>
      <c r="AF175" s="127">
        <f t="shared" si="109"/>
        <v>0</v>
      </c>
      <c r="AG175" s="126"/>
      <c r="AH175" s="126"/>
      <c r="AI175" s="126"/>
      <c r="AJ175" s="130"/>
      <c r="AK175" s="130"/>
      <c r="AL175" s="130"/>
      <c r="AM175" s="127">
        <f>AG175*'1. Standard_Cost'!$B$27+'Incremental_Cost Year 7'!AH175*'1. Standard_Cost'!$C$27+'Incremental_Cost Year 7'!AI175*'1. Standard_Cost'!$D$27+'Incremental_Cost Year 7'!AJ175+'Incremental_Cost Year 7'!AL175+AK175</f>
        <v>0</v>
      </c>
      <c r="AN175" s="127">
        <f>AM175*'1. Standard_Cost'!$C$31</f>
        <v>0</v>
      </c>
      <c r="AO175" s="130"/>
      <c r="AP175" s="256"/>
      <c r="AQ175" s="171">
        <f t="shared" si="110"/>
        <v>0</v>
      </c>
      <c r="AR175" s="171">
        <f t="shared" si="111"/>
        <v>0</v>
      </c>
      <c r="AS175" s="171">
        <f t="shared" si="112"/>
        <v>0</v>
      </c>
      <c r="AT175" s="171">
        <f t="shared" si="113"/>
        <v>0</v>
      </c>
      <c r="AU175" s="250"/>
      <c r="AV175" s="250"/>
      <c r="AW175" s="250"/>
      <c r="AX175" s="250"/>
      <c r="AY175" s="250"/>
      <c r="AZ175" s="250"/>
      <c r="BA175" s="250"/>
      <c r="BB175" s="251">
        <f t="shared" si="114"/>
        <v>0</v>
      </c>
      <c r="BC175" s="169"/>
      <c r="BD175" s="169"/>
      <c r="BE175" s="169"/>
      <c r="BF175" s="169"/>
    </row>
    <row r="176" spans="1:58" ht="63" outlineLevel="2" x14ac:dyDescent="0.25">
      <c r="A176" s="115"/>
      <c r="B176" s="200"/>
      <c r="C176" s="201"/>
      <c r="D176" s="343"/>
      <c r="E176" s="328"/>
      <c r="F176" s="328"/>
      <c r="G176" s="328"/>
      <c r="H176" s="199" t="s">
        <v>484</v>
      </c>
      <c r="I176" s="130" t="s">
        <v>1</v>
      </c>
      <c r="J176" s="126">
        <v>2</v>
      </c>
      <c r="K176" s="126">
        <v>7</v>
      </c>
      <c r="L176" s="125">
        <f>IF(I176&lt;&gt;0,((VLOOKUP(I176,'1. Standard_Cost'!$B$4:$D$11,2)+VLOOKUP(I176,'1. Standard_Cost'!$B$4:$D$11,3))*J176*K176),"0")</f>
        <v>1005100</v>
      </c>
      <c r="M176" s="125">
        <f>L176*'1. Standard_Cost'!$F$4</f>
        <v>167851.7</v>
      </c>
      <c r="N176" s="126"/>
      <c r="O176" s="126"/>
      <c r="P176" s="126"/>
      <c r="Q176" s="126"/>
      <c r="R176" s="127">
        <f>'1. Standard_Cost'!$B$15*N176*P176</f>
        <v>0</v>
      </c>
      <c r="S176" s="127">
        <f>N176*O176*P176*'1. Standard_Cost'!$C$15</f>
        <v>0</v>
      </c>
      <c r="T176" s="127">
        <f>N176*P176*Q176*'1. Standard_Cost'!$D$15</f>
        <v>0</v>
      </c>
      <c r="U176" s="127">
        <f>N176*O176*'1. Standard_Cost'!$E$15</f>
        <v>0</v>
      </c>
      <c r="V176" s="126"/>
      <c r="W176" s="126"/>
      <c r="X176" s="126"/>
      <c r="Y176" s="127">
        <f>+V176*((X176*'1. Standard_Cost'!$B$19)+(W176*X176*'1. Standard_Cost'!$C$19))</f>
        <v>0</v>
      </c>
      <c r="Z176" s="126"/>
      <c r="AA176" s="126"/>
      <c r="AB176" s="127">
        <f>+Z176*'1. Standard_Cost'!$B$23+AA176*'1. Standard_Cost'!$C$23</f>
        <v>0</v>
      </c>
      <c r="AC176" s="128">
        <v>140755</v>
      </c>
      <c r="AD176" s="129"/>
      <c r="AE176" s="127">
        <f>SUM(AD176,AC176,AB176,Y176,U176,T176,S176,R176)*'1. Standard_Cost'!$B$31</f>
        <v>28151</v>
      </c>
      <c r="AF176" s="127">
        <f t="shared" si="109"/>
        <v>168906</v>
      </c>
      <c r="AG176" s="126"/>
      <c r="AH176" s="126"/>
      <c r="AI176" s="126"/>
      <c r="AJ176" s="130"/>
      <c r="AK176" s="130"/>
      <c r="AL176" s="130"/>
      <c r="AM176" s="127">
        <f>AG176*'1. Standard_Cost'!$B$27+'Incremental_Cost Year 7'!AH176*'1. Standard_Cost'!$C$27+'Incremental_Cost Year 7'!AI176*'1. Standard_Cost'!$D$27+'Incremental_Cost Year 7'!AJ176+'Incremental_Cost Year 7'!AL176+AK176</f>
        <v>0</v>
      </c>
      <c r="AN176" s="127">
        <f>AM176*'1. Standard_Cost'!$C$31</f>
        <v>0</v>
      </c>
      <c r="AO176" s="130"/>
      <c r="AP176" s="256"/>
      <c r="AQ176" s="171">
        <f t="shared" si="110"/>
        <v>1172951.7</v>
      </c>
      <c r="AR176" s="171">
        <f t="shared" si="111"/>
        <v>168906</v>
      </c>
      <c r="AS176" s="171">
        <f t="shared" si="112"/>
        <v>0</v>
      </c>
      <c r="AT176" s="171">
        <f t="shared" si="113"/>
        <v>1341857.7</v>
      </c>
      <c r="AU176" s="250">
        <v>1341858</v>
      </c>
      <c r="AV176" s="250"/>
      <c r="AW176" s="250"/>
      <c r="AX176" s="250"/>
      <c r="AY176" s="250"/>
      <c r="AZ176" s="250"/>
      <c r="BA176" s="250"/>
      <c r="BB176" s="251">
        <f t="shared" si="114"/>
        <v>0.30000000004656613</v>
      </c>
      <c r="BC176" s="169"/>
      <c r="BD176" s="169"/>
      <c r="BE176" s="169"/>
      <c r="BF176" s="169"/>
    </row>
    <row r="177" spans="1:58" ht="15.75" outlineLevel="2" x14ac:dyDescent="0.25">
      <c r="A177" s="115"/>
      <c r="B177" s="200"/>
      <c r="C177" s="201"/>
      <c r="D177" s="344"/>
      <c r="E177" s="328"/>
      <c r="F177" s="328"/>
      <c r="G177" s="328"/>
      <c r="H177" s="231" t="s">
        <v>235</v>
      </c>
      <c r="I177" s="130"/>
      <c r="J177" s="126"/>
      <c r="K177" s="126"/>
      <c r="L177" s="125" t="str">
        <f>IF(I177&lt;&gt;0,((VLOOKUP(I177,'1. Standard_Cost'!$B$4:$D$11,2)+VLOOKUP(I177,'1. Standard_Cost'!$B$4:$D$11,3))*J177*K177),"0")</f>
        <v>0</v>
      </c>
      <c r="M177" s="125">
        <f>L177*'1. Standard_Cost'!$F$4</f>
        <v>0</v>
      </c>
      <c r="N177" s="126"/>
      <c r="O177" s="126"/>
      <c r="P177" s="126"/>
      <c r="Q177" s="126"/>
      <c r="R177" s="127">
        <f>'1. Standard_Cost'!$B$15*N177*P177</f>
        <v>0</v>
      </c>
      <c r="S177" s="127">
        <f>N177*O177*P177*'1. Standard_Cost'!$C$15</f>
        <v>0</v>
      </c>
      <c r="T177" s="127">
        <f>N177*P177*Q177*'1. Standard_Cost'!$D$15</f>
        <v>0</v>
      </c>
      <c r="U177" s="127">
        <f>N177*O177*'1. Standard_Cost'!$E$15</f>
        <v>0</v>
      </c>
      <c r="V177" s="126"/>
      <c r="W177" s="126"/>
      <c r="X177" s="126"/>
      <c r="Y177" s="127">
        <f>+V177*((X177*'1. Standard_Cost'!$B$19)+(W177*X177*'1. Standard_Cost'!$C$19))</f>
        <v>0</v>
      </c>
      <c r="Z177" s="126"/>
      <c r="AA177" s="126"/>
      <c r="AB177" s="127">
        <f>+Z177*'1. Standard_Cost'!$B$23+AA177*'1. Standard_Cost'!$C$23</f>
        <v>0</v>
      </c>
      <c r="AC177" s="128">
        <v>20000000</v>
      </c>
      <c r="AD177" s="129"/>
      <c r="AE177" s="127">
        <f>0</f>
        <v>0</v>
      </c>
      <c r="AF177" s="127">
        <f t="shared" si="109"/>
        <v>20000000</v>
      </c>
      <c r="AG177" s="126"/>
      <c r="AH177" s="126"/>
      <c r="AI177" s="126"/>
      <c r="AJ177" s="130"/>
      <c r="AK177" s="130"/>
      <c r="AL177" s="130"/>
      <c r="AM177" s="127">
        <f>AG177*'1. Standard_Cost'!$B$27+'Incremental_Cost Year 7'!AH177*'1. Standard_Cost'!$C$27+'Incremental_Cost Year 7'!AI177*'1. Standard_Cost'!$D$27+'Incremental_Cost Year 7'!AJ177+'Incremental_Cost Year 7'!AL177+AK177</f>
        <v>0</v>
      </c>
      <c r="AN177" s="127">
        <f>AM177*'1. Standard_Cost'!$C$31</f>
        <v>0</v>
      </c>
      <c r="AO177" s="130"/>
      <c r="AP177" s="256"/>
      <c r="AQ177" s="171">
        <f t="shared" si="110"/>
        <v>0</v>
      </c>
      <c r="AR177" s="171">
        <f t="shared" si="111"/>
        <v>20000000</v>
      </c>
      <c r="AS177" s="171">
        <f t="shared" si="112"/>
        <v>0</v>
      </c>
      <c r="AT177" s="171">
        <f t="shared" si="113"/>
        <v>20000000</v>
      </c>
      <c r="AU177" s="250">
        <v>20000000</v>
      </c>
      <c r="AV177" s="250"/>
      <c r="AW177" s="250"/>
      <c r="AX177" s="250"/>
      <c r="AY177" s="250"/>
      <c r="AZ177" s="250"/>
      <c r="BA177" s="250"/>
      <c r="BB177" s="251">
        <f t="shared" si="114"/>
        <v>0</v>
      </c>
      <c r="BC177" s="169"/>
      <c r="BD177" s="169"/>
      <c r="BE177" s="169"/>
      <c r="BF177" s="169"/>
    </row>
    <row r="178" spans="1:58" ht="78.75" outlineLevel="2" x14ac:dyDescent="0.25">
      <c r="A178" s="115"/>
      <c r="B178" s="165"/>
      <c r="C178" s="166"/>
      <c r="D178" s="150" t="s">
        <v>485</v>
      </c>
      <c r="E178" s="212" t="s">
        <v>486</v>
      </c>
      <c r="F178" s="106">
        <v>2021</v>
      </c>
      <c r="G178" s="104">
        <v>2030</v>
      </c>
      <c r="H178" s="110" t="s">
        <v>181</v>
      </c>
      <c r="I178" s="252"/>
      <c r="J178" s="252"/>
      <c r="K178" s="252"/>
      <c r="L178" s="127">
        <f>SUM(L169:L177)</f>
        <v>51060700</v>
      </c>
      <c r="M178" s="127">
        <f>SUM(M169:M177)</f>
        <v>8527136.9000000004</v>
      </c>
      <c r="N178" s="252"/>
      <c r="O178" s="252"/>
      <c r="P178" s="252"/>
      <c r="Q178" s="252"/>
      <c r="R178" s="127">
        <f>SUM(R169:R177)</f>
        <v>0</v>
      </c>
      <c r="S178" s="127">
        <f>SUM(S169:S177)</f>
        <v>0</v>
      </c>
      <c r="T178" s="127">
        <f>SUM(T169:T177)</f>
        <v>0</v>
      </c>
      <c r="U178" s="127">
        <f>SUM(U169:U177)</f>
        <v>0</v>
      </c>
      <c r="V178" s="252"/>
      <c r="W178" s="252"/>
      <c r="X178" s="252"/>
      <c r="Y178" s="127">
        <f>SUM(Y169:Y177)</f>
        <v>0</v>
      </c>
      <c r="Z178" s="127"/>
      <c r="AA178" s="252"/>
      <c r="AB178" s="127">
        <f>SUM(AB169:AB177)</f>
        <v>0</v>
      </c>
      <c r="AC178" s="127">
        <f>SUM(AC169:AC177)</f>
        <v>4557935755</v>
      </c>
      <c r="AD178" s="127">
        <f>SUM(AD169:AD177)</f>
        <v>0</v>
      </c>
      <c r="AE178" s="127">
        <f>SUM(AE169:AE177)</f>
        <v>28151</v>
      </c>
      <c r="AF178" s="127">
        <f>SUM(AF169:AF177)</f>
        <v>4557963906</v>
      </c>
      <c r="AG178" s="252"/>
      <c r="AH178" s="252"/>
      <c r="AI178" s="252"/>
      <c r="AJ178" s="127">
        <f>SUM(AJ169:AJ177)</f>
        <v>0</v>
      </c>
      <c r="AK178" s="127">
        <f>SUM(AK169:AK177)</f>
        <v>0</v>
      </c>
      <c r="AL178" s="127">
        <f>SUM(AL169:AL177)</f>
        <v>0</v>
      </c>
      <c r="AM178" s="127">
        <f>SUM(AM169:AM177)</f>
        <v>0</v>
      </c>
      <c r="AN178" s="127">
        <f>SUM(AN169:AN177)</f>
        <v>0</v>
      </c>
      <c r="AO178" s="253"/>
      <c r="AP178" s="254"/>
      <c r="AQ178" s="175">
        <f>SUM(AQ169:AQ177)</f>
        <v>59587836.900000006</v>
      </c>
      <c r="AR178" s="175">
        <f>SUM(AR169:AR177)</f>
        <v>4557963906</v>
      </c>
      <c r="AS178" s="175">
        <f>SUM(AS169:AS177)</f>
        <v>0</v>
      </c>
      <c r="AT178" s="175">
        <f>SUM(AT169:AT177)</f>
        <v>4617551742.8999996</v>
      </c>
      <c r="AU178" s="175">
        <f t="shared" ref="AU178:BA178" si="115">SUM(AU169:AU177)</f>
        <v>4617551743.1999998</v>
      </c>
      <c r="AV178" s="175">
        <f t="shared" si="115"/>
        <v>0</v>
      </c>
      <c r="AW178" s="175">
        <f t="shared" si="115"/>
        <v>0</v>
      </c>
      <c r="AX178" s="175">
        <f t="shared" si="115"/>
        <v>0</v>
      </c>
      <c r="AY178" s="175">
        <f t="shared" si="115"/>
        <v>0</v>
      </c>
      <c r="AZ178" s="175">
        <f t="shared" si="115"/>
        <v>0</v>
      </c>
      <c r="BA178" s="175">
        <f t="shared" si="115"/>
        <v>0</v>
      </c>
      <c r="BB178" s="175">
        <f>SUM(BB169:BB177)</f>
        <v>0.30000000004656613</v>
      </c>
      <c r="BC178" s="169"/>
      <c r="BD178" s="169"/>
      <c r="BE178" s="169"/>
      <c r="BF178" s="169"/>
    </row>
    <row r="179" spans="1:58" ht="31.5" outlineLevel="2" x14ac:dyDescent="0.25">
      <c r="A179" s="115"/>
      <c r="B179" s="200"/>
      <c r="C179" s="201"/>
      <c r="D179" s="210"/>
      <c r="E179" s="328"/>
      <c r="F179" s="328"/>
      <c r="G179" s="328"/>
      <c r="H179" s="199" t="s">
        <v>487</v>
      </c>
      <c r="I179" s="130"/>
      <c r="J179" s="126"/>
      <c r="K179" s="126"/>
      <c r="L179" s="125" t="str">
        <f>IF(I179&lt;&gt;0,((VLOOKUP(I179,'1. Standard_Cost'!$B$4:$D$11,2)+VLOOKUP(I179,'1. Standard_Cost'!$B$4:$D$11,3))*J179*K179),"0")</f>
        <v>0</v>
      </c>
      <c r="M179" s="125">
        <f>L179*'1. Standard_Cost'!$F$4</f>
        <v>0</v>
      </c>
      <c r="N179" s="126"/>
      <c r="O179" s="126"/>
      <c r="P179" s="126"/>
      <c r="Q179" s="126"/>
      <c r="R179" s="127">
        <f>'1. Standard_Cost'!$B$15*N179*P179</f>
        <v>0</v>
      </c>
      <c r="S179" s="127">
        <f>N179*O179*P179*'1. Standard_Cost'!$C$15</f>
        <v>0</v>
      </c>
      <c r="T179" s="127">
        <f>N179*P179*Q179*'1. Standard_Cost'!$D$15</f>
        <v>0</v>
      </c>
      <c r="U179" s="127">
        <f>N179*O179*'1. Standard_Cost'!$E$15</f>
        <v>0</v>
      </c>
      <c r="V179" s="126"/>
      <c r="W179" s="126"/>
      <c r="X179" s="126"/>
      <c r="Y179" s="127">
        <f>+V179*((X179*'1. Standard_Cost'!$B$19)+(W179*X179*'1. Standard_Cost'!$C$19))</f>
        <v>0</v>
      </c>
      <c r="Z179" s="126"/>
      <c r="AA179" s="126"/>
      <c r="AB179" s="127">
        <f>+Z179*'1. Standard_Cost'!$B$23+AA179*'1. Standard_Cost'!$C$23</f>
        <v>0</v>
      </c>
      <c r="AC179" s="128"/>
      <c r="AD179" s="129"/>
      <c r="AE179" s="127">
        <f>SUM(AD179,AC179,AB179,Y179,U179,T179,S179,R179)*'1. Standard_Cost'!$B$31</f>
        <v>0</v>
      </c>
      <c r="AF179" s="127">
        <f>SUM(AE179,AD179,AC179,AB179,Y179,U179,T179,S179,R179)</f>
        <v>0</v>
      </c>
      <c r="AG179" s="126"/>
      <c r="AH179" s="126"/>
      <c r="AI179" s="126"/>
      <c r="AJ179" s="130"/>
      <c r="AK179" s="130"/>
      <c r="AL179" s="130"/>
      <c r="AM179" s="127">
        <f>AG179*'1. Standard_Cost'!$B$27+'Incremental_Cost Year 7'!AH179*'1. Standard_Cost'!$C$27+'Incremental_Cost Year 7'!AI179*'1. Standard_Cost'!$D$27+'Incremental_Cost Year 7'!AJ179+'Incremental_Cost Year 7'!AL179+AK179</f>
        <v>0</v>
      </c>
      <c r="AN179" s="127">
        <f>AM179*'1. Standard_Cost'!$C$31</f>
        <v>0</v>
      </c>
      <c r="AO179" s="130"/>
      <c r="AP179" s="256"/>
      <c r="AQ179" s="171">
        <f>L179+M179</f>
        <v>0</v>
      </c>
      <c r="AR179" s="171">
        <f>AF179</f>
        <v>0</v>
      </c>
      <c r="AS179" s="171">
        <f>AM179+AN179</f>
        <v>0</v>
      </c>
      <c r="AT179" s="171">
        <f>SUM(AQ179,AR179,AS179)</f>
        <v>0</v>
      </c>
      <c r="AU179" s="250"/>
      <c r="AV179" s="250"/>
      <c r="AW179" s="250"/>
      <c r="AX179" s="250"/>
      <c r="AY179" s="250"/>
      <c r="AZ179" s="250"/>
      <c r="BA179" s="250"/>
      <c r="BB179" s="251">
        <f t="shared" ref="BB179:BB180" si="116">SUM(AU179:BA179)-AT179</f>
        <v>0</v>
      </c>
      <c r="BC179" s="169"/>
      <c r="BD179" s="169"/>
      <c r="BE179" s="169"/>
      <c r="BF179" s="169"/>
    </row>
    <row r="180" spans="1:58" ht="94.5" outlineLevel="2" x14ac:dyDescent="0.25">
      <c r="A180" s="115"/>
      <c r="B180" s="200"/>
      <c r="C180" s="201"/>
      <c r="D180" s="211"/>
      <c r="E180" s="328"/>
      <c r="F180" s="328"/>
      <c r="G180" s="328"/>
      <c r="H180" s="213" t="s">
        <v>488</v>
      </c>
      <c r="I180" s="130"/>
      <c r="J180" s="126"/>
      <c r="K180" s="126"/>
      <c r="L180" s="125" t="str">
        <f>IF(I180&lt;&gt;0,((VLOOKUP(I180,'1. Standard_Cost'!$B$4:$D$11,2)+VLOOKUP(I180,'1. Standard_Cost'!$B$4:$D$11,3))*J180*K180),"0")</f>
        <v>0</v>
      </c>
      <c r="M180" s="125">
        <f>L180*'1. Standard_Cost'!$F$4</f>
        <v>0</v>
      </c>
      <c r="N180" s="126"/>
      <c r="O180" s="126"/>
      <c r="P180" s="126"/>
      <c r="Q180" s="126"/>
      <c r="R180" s="127">
        <f>'1. Standard_Cost'!$B$15*N180*P180</f>
        <v>0</v>
      </c>
      <c r="S180" s="127">
        <f>N180*O180*P180*'1. Standard_Cost'!$C$15</f>
        <v>0</v>
      </c>
      <c r="T180" s="127">
        <f>N180*P180*Q180*'1. Standard_Cost'!$D$15</f>
        <v>0</v>
      </c>
      <c r="U180" s="127">
        <f>N180*O180*'1. Standard_Cost'!$E$15</f>
        <v>0</v>
      </c>
      <c r="V180" s="126"/>
      <c r="W180" s="126"/>
      <c r="X180" s="126"/>
      <c r="Y180" s="127">
        <f>+V180*((X180*'1. Standard_Cost'!$B$19)+(W180*X180*'1. Standard_Cost'!$C$19))</f>
        <v>0</v>
      </c>
      <c r="Z180" s="126"/>
      <c r="AA180" s="126"/>
      <c r="AB180" s="127">
        <f>+Z180*'1. Standard_Cost'!$B$23+AA180*'1. Standard_Cost'!$C$23</f>
        <v>0</v>
      </c>
      <c r="AC180" s="128"/>
      <c r="AD180" s="129"/>
      <c r="AE180" s="127">
        <f>SUM(AD180,AC180,AB180,Y180,U180,T180,S180,R180)*'1. Standard_Cost'!$B$31</f>
        <v>0</v>
      </c>
      <c r="AF180" s="127">
        <f>SUM(AE180,AD180,AC180,AB180,Y180,U180,T180,S180,R180)</f>
        <v>0</v>
      </c>
      <c r="AG180" s="126"/>
      <c r="AH180" s="126"/>
      <c r="AI180" s="126"/>
      <c r="AJ180" s="130"/>
      <c r="AK180" s="130"/>
      <c r="AL180" s="130"/>
      <c r="AM180" s="127">
        <f>AG180*'1. Standard_Cost'!$B$27+'Incremental_Cost Year 7'!AH180*'1. Standard_Cost'!$C$27+'Incremental_Cost Year 7'!AI180*'1. Standard_Cost'!$D$27+'Incremental_Cost Year 7'!AJ180+'Incremental_Cost Year 7'!AL180+AK180</f>
        <v>0</v>
      </c>
      <c r="AN180" s="127">
        <f>AM180*'1. Standard_Cost'!$C$31</f>
        <v>0</v>
      </c>
      <c r="AO180" s="130"/>
      <c r="AP180" s="256"/>
      <c r="AQ180" s="171">
        <f>L180+M180</f>
        <v>0</v>
      </c>
      <c r="AR180" s="171">
        <f>AF180</f>
        <v>0</v>
      </c>
      <c r="AS180" s="171">
        <f>AM180+AN180</f>
        <v>0</v>
      </c>
      <c r="AT180" s="171">
        <f>SUM(AQ180,AR180,AS180)</f>
        <v>0</v>
      </c>
      <c r="AU180" s="250"/>
      <c r="AV180" s="250"/>
      <c r="AW180" s="250"/>
      <c r="AX180" s="250"/>
      <c r="AY180" s="250"/>
      <c r="AZ180" s="250"/>
      <c r="BA180" s="250"/>
      <c r="BB180" s="251">
        <f t="shared" si="116"/>
        <v>0</v>
      </c>
      <c r="BC180" s="169"/>
      <c r="BD180" s="169"/>
      <c r="BE180" s="169"/>
      <c r="BF180" s="169"/>
    </row>
    <row r="181" spans="1:58" ht="63" outlineLevel="2" x14ac:dyDescent="0.25">
      <c r="A181" s="115"/>
      <c r="B181" s="165"/>
      <c r="C181" s="166"/>
      <c r="D181" s="110" t="s">
        <v>489</v>
      </c>
      <c r="E181" s="139" t="s">
        <v>490</v>
      </c>
      <c r="F181" s="104">
        <v>2022</v>
      </c>
      <c r="G181" s="104">
        <v>2025</v>
      </c>
      <c r="H181" s="150" t="s">
        <v>236</v>
      </c>
      <c r="I181" s="252"/>
      <c r="J181" s="252"/>
      <c r="K181" s="252"/>
      <c r="L181" s="127">
        <f>SUM(L179:L180)</f>
        <v>0</v>
      </c>
      <c r="M181" s="127">
        <f>SUM(M179:M180)</f>
        <v>0</v>
      </c>
      <c r="N181" s="252"/>
      <c r="O181" s="252"/>
      <c r="P181" s="252"/>
      <c r="Q181" s="252"/>
      <c r="R181" s="127">
        <f>SUM(R179:R180)</f>
        <v>0</v>
      </c>
      <c r="S181" s="127">
        <f>SUM(S179:S180)</f>
        <v>0</v>
      </c>
      <c r="T181" s="127">
        <f>SUM(T179:T180)</f>
        <v>0</v>
      </c>
      <c r="U181" s="127">
        <f>SUM(U179:U180)</f>
        <v>0</v>
      </c>
      <c r="V181" s="252"/>
      <c r="W181" s="252"/>
      <c r="X181" s="252"/>
      <c r="Y181" s="127">
        <f>SUM(Y179:Y180)</f>
        <v>0</v>
      </c>
      <c r="Z181" s="127"/>
      <c r="AA181" s="252"/>
      <c r="AB181" s="127">
        <f>SUM(AB179:AB180)</f>
        <v>0</v>
      </c>
      <c r="AC181" s="127">
        <f>SUM(AC179:AC180)</f>
        <v>0</v>
      </c>
      <c r="AD181" s="127">
        <f>SUM(AD179:AD180)</f>
        <v>0</v>
      </c>
      <c r="AE181" s="127">
        <f>SUM(AE179:AE180)</f>
        <v>0</v>
      </c>
      <c r="AF181" s="127">
        <f>SUM(AF179:AF180)</f>
        <v>0</v>
      </c>
      <c r="AG181" s="252"/>
      <c r="AH181" s="252"/>
      <c r="AI181" s="252"/>
      <c r="AJ181" s="127">
        <f>SUM(AJ179:AJ180)</f>
        <v>0</v>
      </c>
      <c r="AK181" s="127">
        <f>SUM(AK179:AK180)</f>
        <v>0</v>
      </c>
      <c r="AL181" s="127">
        <f>SUM(AL179:AL180)</f>
        <v>0</v>
      </c>
      <c r="AM181" s="127">
        <f>SUM(AM179:AM180)</f>
        <v>0</v>
      </c>
      <c r="AN181" s="127">
        <f>SUM(AN179:AN180)</f>
        <v>0</v>
      </c>
      <c r="AO181" s="253"/>
      <c r="AP181" s="254"/>
      <c r="AQ181" s="175">
        <f>SUM(AQ179:AQ180)</f>
        <v>0</v>
      </c>
      <c r="AR181" s="175">
        <f>SUM(AR179:AR180)</f>
        <v>0</v>
      </c>
      <c r="AS181" s="175">
        <f>SUM(AS179:AS180)</f>
        <v>0</v>
      </c>
      <c r="AT181" s="175">
        <f>SUM(AT179:AT180)</f>
        <v>0</v>
      </c>
      <c r="AU181" s="175">
        <f t="shared" ref="AU181:BB181" si="117">SUM(AU179:AU180)</f>
        <v>0</v>
      </c>
      <c r="AV181" s="175">
        <f t="shared" si="117"/>
        <v>0</v>
      </c>
      <c r="AW181" s="175">
        <f t="shared" si="117"/>
        <v>0</v>
      </c>
      <c r="AX181" s="175">
        <f t="shared" si="117"/>
        <v>0</v>
      </c>
      <c r="AY181" s="175">
        <f t="shared" si="117"/>
        <v>0</v>
      </c>
      <c r="AZ181" s="175">
        <f t="shared" si="117"/>
        <v>0</v>
      </c>
      <c r="BA181" s="175">
        <f t="shared" si="117"/>
        <v>0</v>
      </c>
      <c r="BB181" s="175">
        <f t="shared" si="117"/>
        <v>0</v>
      </c>
      <c r="BC181" s="169"/>
      <c r="BD181" s="169"/>
      <c r="BE181" s="169"/>
      <c r="BF181" s="169"/>
    </row>
    <row r="182" spans="1:58" ht="15.75" customHeight="1" outlineLevel="2" x14ac:dyDescent="0.25">
      <c r="A182" s="143"/>
      <c r="B182" s="290"/>
      <c r="C182" s="391" t="s">
        <v>237</v>
      </c>
      <c r="D182" s="391"/>
      <c r="E182" s="392"/>
      <c r="F182" s="287"/>
      <c r="G182" s="289"/>
      <c r="H182" s="144" t="s">
        <v>182</v>
      </c>
      <c r="I182" s="257"/>
      <c r="J182" s="257"/>
      <c r="K182" s="257"/>
      <c r="L182" s="258">
        <f>L190+L193+L196</f>
        <v>10563474300</v>
      </c>
      <c r="M182" s="258">
        <f>M190+M193+M196</f>
        <v>1764100208.0999999</v>
      </c>
      <c r="N182" s="257"/>
      <c r="O182" s="257"/>
      <c r="P182" s="257"/>
      <c r="Q182" s="257"/>
      <c r="R182" s="258">
        <f>R190+R193+R196</f>
        <v>0</v>
      </c>
      <c r="S182" s="258">
        <f>S190+S193+S196</f>
        <v>0</v>
      </c>
      <c r="T182" s="258">
        <f>T190+T193+T196</f>
        <v>0</v>
      </c>
      <c r="U182" s="258">
        <f>U190+U193+U196</f>
        <v>0</v>
      </c>
      <c r="V182" s="257"/>
      <c r="W182" s="257"/>
      <c r="X182" s="257"/>
      <c r="Y182" s="258">
        <f>Y190+Y193+Y196</f>
        <v>0</v>
      </c>
      <c r="Z182" s="258"/>
      <c r="AA182" s="258"/>
      <c r="AB182" s="258">
        <f>AB190+AB193+AB196</f>
        <v>0</v>
      </c>
      <c r="AC182" s="258">
        <f>AC190+AC193+AC196</f>
        <v>9607783000</v>
      </c>
      <c r="AD182" s="258">
        <f>AD190+AD193+AD196</f>
        <v>0</v>
      </c>
      <c r="AE182" s="258">
        <f>AE190+AE193+AE196</f>
        <v>1920025000</v>
      </c>
      <c r="AF182" s="258">
        <f>AF190+AF193+AF196</f>
        <v>11527808000</v>
      </c>
      <c r="AG182" s="257"/>
      <c r="AH182" s="257"/>
      <c r="AI182" s="257"/>
      <c r="AJ182" s="258">
        <f>AJ190+AJ193+AJ196</f>
        <v>0</v>
      </c>
      <c r="AK182" s="258">
        <f>AK190+AK193+AK196</f>
        <v>0</v>
      </c>
      <c r="AL182" s="258">
        <f>AL190+AL193+AL196</f>
        <v>0</v>
      </c>
      <c r="AM182" s="258">
        <f>AM190+AM193+AM196</f>
        <v>0</v>
      </c>
      <c r="AN182" s="258">
        <f>AN190+AN193+AN196</f>
        <v>0</v>
      </c>
      <c r="AO182" s="259"/>
      <c r="AP182" s="260"/>
      <c r="AQ182" s="261">
        <f>AQ190+AQ193+AQ196</f>
        <v>12327574508.1</v>
      </c>
      <c r="AR182" s="261">
        <f>AR190+AR193+AR196</f>
        <v>11527808000</v>
      </c>
      <c r="AS182" s="261">
        <f>AS190+AS193+AS196</f>
        <v>0</v>
      </c>
      <c r="AT182" s="261">
        <f>AT190+AT193+AT196</f>
        <v>23855382508.099998</v>
      </c>
      <c r="AU182" s="261">
        <f t="shared" ref="AU182:BA182" si="118">AU190+AU193+AU196</f>
        <v>22055382508</v>
      </c>
      <c r="AV182" s="261">
        <f t="shared" si="118"/>
        <v>0</v>
      </c>
      <c r="AW182" s="261">
        <f t="shared" si="118"/>
        <v>0</v>
      </c>
      <c r="AX182" s="261">
        <f t="shared" si="118"/>
        <v>0</v>
      </c>
      <c r="AY182" s="261">
        <f t="shared" si="118"/>
        <v>0</v>
      </c>
      <c r="AZ182" s="261">
        <f t="shared" si="118"/>
        <v>0</v>
      </c>
      <c r="BA182" s="261">
        <f t="shared" si="118"/>
        <v>0</v>
      </c>
      <c r="BB182" s="261">
        <f>BB190+BB193+BB196</f>
        <v>-1800000000.0999999</v>
      </c>
      <c r="BC182" s="184"/>
      <c r="BD182" s="184"/>
      <c r="BE182" s="184"/>
      <c r="BF182" s="184"/>
    </row>
    <row r="183" spans="1:58" ht="94.5" outlineLevel="2" x14ac:dyDescent="0.25">
      <c r="A183" s="115"/>
      <c r="B183" s="303"/>
      <c r="C183" s="329"/>
      <c r="D183" s="342"/>
      <c r="E183" s="328"/>
      <c r="F183" s="328"/>
      <c r="G183" s="328"/>
      <c r="H183" s="199" t="s">
        <v>544</v>
      </c>
      <c r="I183" s="130" t="s">
        <v>4</v>
      </c>
      <c r="J183" s="126">
        <v>12</v>
      </c>
      <c r="K183" s="126">
        <v>10882</v>
      </c>
      <c r="L183" s="125">
        <f>IF(I183&lt;&gt;0,((VLOOKUP(I183,'1. Standard_Cost'!$B$4:$D$11,2)+VLOOKUP(I183,'1. Standard_Cost'!$B$4:$D$11,3))*J183*K183),"0")</f>
        <v>10544658000</v>
      </c>
      <c r="M183" s="125">
        <f>L183*'1. Standard_Cost'!$F$4</f>
        <v>1760957886</v>
      </c>
      <c r="N183" s="126"/>
      <c r="O183" s="126"/>
      <c r="P183" s="126"/>
      <c r="Q183" s="126"/>
      <c r="R183" s="127">
        <f>'1. Standard_Cost'!$B$15*N183*P183</f>
        <v>0</v>
      </c>
      <c r="S183" s="127">
        <f>N183*O183*P183*'1. Standard_Cost'!$C$15</f>
        <v>0</v>
      </c>
      <c r="T183" s="127">
        <f>N183*P183*Q183*'1. Standard_Cost'!$D$15</f>
        <v>0</v>
      </c>
      <c r="U183" s="127">
        <f>N183*O183*'1. Standard_Cost'!$E$15</f>
        <v>0</v>
      </c>
      <c r="V183" s="126"/>
      <c r="W183" s="126"/>
      <c r="X183" s="126"/>
      <c r="Y183" s="127">
        <f>+V183*((X183*'1. Standard_Cost'!$B$19)+(W183*X183*'1. Standard_Cost'!$C$19))</f>
        <v>0</v>
      </c>
      <c r="Z183" s="126"/>
      <c r="AA183" s="126"/>
      <c r="AB183" s="127">
        <f>+Z183*'1. Standard_Cost'!$B$23+AA183*'1. Standard_Cost'!$C$23</f>
        <v>0</v>
      </c>
      <c r="AC183" s="128">
        <v>9600000000</v>
      </c>
      <c r="AD183" s="129"/>
      <c r="AE183" s="127">
        <f>SUM(AD183,AC183,AB183,Y183,U183,T183,S183,R183)*'1. Standard_Cost'!$B$31</f>
        <v>1920000000</v>
      </c>
      <c r="AF183" s="127">
        <f t="shared" ref="AF183:AF189" si="119">SUM(AE183,AD183,AC183,AB183,Y183,U183,T183,S183,R183)</f>
        <v>11520000000</v>
      </c>
      <c r="AG183" s="126"/>
      <c r="AH183" s="126"/>
      <c r="AI183" s="126"/>
      <c r="AJ183" s="130"/>
      <c r="AK183" s="130"/>
      <c r="AL183" s="130"/>
      <c r="AM183" s="127">
        <f>AG183*'1. Standard_Cost'!$B$27+'Incremental_Cost Year 7'!AH183*'1. Standard_Cost'!$C$27+'Incremental_Cost Year 7'!AI183*'1. Standard_Cost'!$D$27+'Incremental_Cost Year 7'!AJ183+'Incremental_Cost Year 7'!AL183+AK183</f>
        <v>0</v>
      </c>
      <c r="AN183" s="127">
        <f>AM183*'1. Standard_Cost'!$C$31</f>
        <v>0</v>
      </c>
      <c r="AO183" s="130"/>
      <c r="AP183" s="256"/>
      <c r="AQ183" s="171">
        <f t="shared" ref="AQ183:AQ189" si="120">L183+M183</f>
        <v>12305615886</v>
      </c>
      <c r="AR183" s="171">
        <f t="shared" ref="AR183:AR189" si="121">AF183</f>
        <v>11520000000</v>
      </c>
      <c r="AS183" s="171">
        <f t="shared" ref="AS183:AS189" si="122">AM183+AN183</f>
        <v>0</v>
      </c>
      <c r="AT183" s="171">
        <f t="shared" ref="AT183:AT189" si="123">SUM(AQ183,AR183,AS183)</f>
        <v>23825615886</v>
      </c>
      <c r="AU183" s="250">
        <f>21785615886+240000000</f>
        <v>22025615886</v>
      </c>
      <c r="AV183" s="250"/>
      <c r="AW183" s="250"/>
      <c r="AX183" s="250"/>
      <c r="AY183" s="250"/>
      <c r="AZ183" s="250"/>
      <c r="BA183" s="250"/>
      <c r="BB183" s="251">
        <f t="shared" ref="BB183:BB189" si="124">SUM(AU183:BA183)-AT183</f>
        <v>-1800000000</v>
      </c>
      <c r="BC183" s="169"/>
      <c r="BD183" s="169"/>
      <c r="BE183" s="169"/>
      <c r="BF183" s="169"/>
    </row>
    <row r="184" spans="1:58" ht="78.75" outlineLevel="2" x14ac:dyDescent="0.25">
      <c r="A184" s="115"/>
      <c r="B184" s="200"/>
      <c r="C184" s="330"/>
      <c r="D184" s="343"/>
      <c r="E184" s="328"/>
      <c r="F184" s="328"/>
      <c r="G184" s="328"/>
      <c r="H184" s="213" t="s">
        <v>543</v>
      </c>
      <c r="I184" s="268"/>
      <c r="J184" s="268"/>
      <c r="K184" s="125"/>
      <c r="L184" s="125" t="str">
        <f>IF(I184&lt;&gt;0,((VLOOKUP(I184,'1. Standard_Cost'!$B$4:$D$11,2)+VLOOKUP(I184,'1. Standard_Cost'!$B$4:$D$11,3))*J184*K184),"0")</f>
        <v>0</v>
      </c>
      <c r="M184" s="125">
        <f>L184*'1. Standard_Cost'!$F$4</f>
        <v>0</v>
      </c>
      <c r="N184" s="126"/>
      <c r="O184" s="126"/>
      <c r="P184" s="126"/>
      <c r="Q184" s="126"/>
      <c r="R184" s="127">
        <f>'1. Standard_Cost'!$B$15*N184*P184</f>
        <v>0</v>
      </c>
      <c r="S184" s="127">
        <f>N184*O184*P184*'1. Standard_Cost'!$C$15</f>
        <v>0</v>
      </c>
      <c r="T184" s="127">
        <f>N184*P184*Q184*'1. Standard_Cost'!$D$15</f>
        <v>0</v>
      </c>
      <c r="U184" s="127">
        <f>N184*O184*'1. Standard_Cost'!$E$15</f>
        <v>0</v>
      </c>
      <c r="V184" s="126"/>
      <c r="W184" s="126"/>
      <c r="X184" s="126"/>
      <c r="Y184" s="127">
        <f>+V184*((X184*'1. Standard_Cost'!$B$19)+(W184*X184*'1. Standard_Cost'!$C$19))</f>
        <v>0</v>
      </c>
      <c r="Z184" s="126"/>
      <c r="AA184" s="126"/>
      <c r="AB184" s="127">
        <f>+Z184*'1. Standard_Cost'!$B$23+AA184*'1. Standard_Cost'!$C$23</f>
        <v>0</v>
      </c>
      <c r="AC184" s="128"/>
      <c r="AD184" s="129"/>
      <c r="AE184" s="127"/>
      <c r="AF184" s="127">
        <f t="shared" si="119"/>
        <v>0</v>
      </c>
      <c r="AG184" s="126"/>
      <c r="AH184" s="126"/>
      <c r="AI184" s="126"/>
      <c r="AJ184" s="130"/>
      <c r="AK184" s="130"/>
      <c r="AL184" s="130"/>
      <c r="AM184" s="127">
        <f>AG184*'1. Standard_Cost'!$B$27+'Incremental_Cost Year 7'!AH184*'1. Standard_Cost'!$C$27+'Incremental_Cost Year 7'!AI184*'1. Standard_Cost'!$D$27+'Incremental_Cost Year 7'!AJ184+'Incremental_Cost Year 7'!AL184+AK184</f>
        <v>0</v>
      </c>
      <c r="AN184" s="127">
        <f>AM184*'1. Standard_Cost'!$C$31</f>
        <v>0</v>
      </c>
      <c r="AO184" s="130"/>
      <c r="AP184" s="256"/>
      <c r="AQ184" s="171">
        <f t="shared" si="120"/>
        <v>0</v>
      </c>
      <c r="AR184" s="171">
        <f t="shared" si="121"/>
        <v>0</v>
      </c>
      <c r="AS184" s="171">
        <f t="shared" si="122"/>
        <v>0</v>
      </c>
      <c r="AT184" s="171">
        <f t="shared" si="123"/>
        <v>0</v>
      </c>
      <c r="AU184" s="250"/>
      <c r="AV184" s="250"/>
      <c r="AW184" s="250"/>
      <c r="AX184" s="250"/>
      <c r="AY184" s="250"/>
      <c r="AZ184" s="250"/>
      <c r="BA184" s="250"/>
      <c r="BB184" s="251">
        <f t="shared" si="124"/>
        <v>0</v>
      </c>
      <c r="BC184" s="169"/>
      <c r="BD184" s="169"/>
      <c r="BE184" s="169"/>
      <c r="BF184" s="169"/>
    </row>
    <row r="185" spans="1:58" ht="63" outlineLevel="2" x14ac:dyDescent="0.25">
      <c r="A185" s="115"/>
      <c r="B185" s="200"/>
      <c r="C185" s="330"/>
      <c r="D185" s="343"/>
      <c r="E185" s="328"/>
      <c r="F185" s="328"/>
      <c r="G185" s="328"/>
      <c r="H185" s="199" t="s">
        <v>491</v>
      </c>
      <c r="I185" s="130"/>
      <c r="J185" s="126"/>
      <c r="K185" s="126"/>
      <c r="L185" s="125" t="str">
        <f>IF(I185&lt;&gt;0,((VLOOKUP(I185,'1. Standard_Cost'!$B$4:$D$11,2)+VLOOKUP(I185,'1. Standard_Cost'!$B$4:$D$11,3))*J185*K185),"0")</f>
        <v>0</v>
      </c>
      <c r="M185" s="125">
        <f>L185*'1. Standard_Cost'!$F$4</f>
        <v>0</v>
      </c>
      <c r="N185" s="126"/>
      <c r="O185" s="126"/>
      <c r="P185" s="126"/>
      <c r="Q185" s="126"/>
      <c r="R185" s="127">
        <f>'1. Standard_Cost'!$B$15*N185*P185</f>
        <v>0</v>
      </c>
      <c r="S185" s="127">
        <f>N185*O185*P185*'1. Standard_Cost'!$C$15</f>
        <v>0</v>
      </c>
      <c r="T185" s="127">
        <f>N185*P185*Q185*'1. Standard_Cost'!$D$15</f>
        <v>0</v>
      </c>
      <c r="U185" s="127">
        <f>N185*O185*'1. Standard_Cost'!$E$15</f>
        <v>0</v>
      </c>
      <c r="V185" s="126"/>
      <c r="W185" s="126"/>
      <c r="X185" s="126"/>
      <c r="Y185" s="127">
        <f>+V185*((X185*'1. Standard_Cost'!$B$19)+(W185*X185*'1. Standard_Cost'!$C$19))</f>
        <v>0</v>
      </c>
      <c r="Z185" s="126"/>
      <c r="AA185" s="126"/>
      <c r="AB185" s="127">
        <f>+Z185*'1. Standard_Cost'!$B$23+AA185*'1. Standard_Cost'!$C$23</f>
        <v>0</v>
      </c>
      <c r="AC185" s="128"/>
      <c r="AD185" s="129"/>
      <c r="AE185" s="127">
        <f>SUM(AD185,AC185,AB185,Y185,U185,T185,S185,R185)*'1. Standard_Cost'!$B$31</f>
        <v>0</v>
      </c>
      <c r="AF185" s="127">
        <f t="shared" si="119"/>
        <v>0</v>
      </c>
      <c r="AG185" s="126"/>
      <c r="AH185" s="126"/>
      <c r="AI185" s="126"/>
      <c r="AJ185" s="130"/>
      <c r="AK185" s="130"/>
      <c r="AL185" s="130"/>
      <c r="AM185" s="127">
        <f>AG185*'1. Standard_Cost'!$B$27+'Incremental_Cost Year 7'!AH185*'1. Standard_Cost'!$C$27+'Incremental_Cost Year 7'!AI185*'1. Standard_Cost'!$D$27+'Incremental_Cost Year 7'!AJ185+'Incremental_Cost Year 7'!AL185+AK185</f>
        <v>0</v>
      </c>
      <c r="AN185" s="127">
        <f>AM185*'1. Standard_Cost'!$C$31</f>
        <v>0</v>
      </c>
      <c r="AO185" s="130"/>
      <c r="AP185" s="256"/>
      <c r="AQ185" s="171">
        <f t="shared" si="120"/>
        <v>0</v>
      </c>
      <c r="AR185" s="171">
        <f t="shared" si="121"/>
        <v>0</v>
      </c>
      <c r="AS185" s="171">
        <f t="shared" si="122"/>
        <v>0</v>
      </c>
      <c r="AT185" s="171">
        <f t="shared" si="123"/>
        <v>0</v>
      </c>
      <c r="AU185" s="250"/>
      <c r="AV185" s="250"/>
      <c r="AW185" s="250"/>
      <c r="AX185" s="250"/>
      <c r="AY185" s="250"/>
      <c r="AZ185" s="250"/>
      <c r="BA185" s="250"/>
      <c r="BB185" s="251">
        <f t="shared" si="124"/>
        <v>0</v>
      </c>
      <c r="BC185" s="169"/>
      <c r="BD185" s="169"/>
      <c r="BE185" s="169"/>
      <c r="BF185" s="169"/>
    </row>
    <row r="186" spans="1:58" ht="78.75" outlineLevel="2" x14ac:dyDescent="0.25">
      <c r="A186" s="115"/>
      <c r="B186" s="200"/>
      <c r="C186" s="330"/>
      <c r="D186" s="343"/>
      <c r="E186" s="328"/>
      <c r="F186" s="328"/>
      <c r="G186" s="328"/>
      <c r="H186" s="199" t="s">
        <v>492</v>
      </c>
      <c r="I186" s="130"/>
      <c r="J186" s="126"/>
      <c r="K186" s="126"/>
      <c r="L186" s="125" t="str">
        <f>IF(I186&lt;&gt;0,((VLOOKUP(I186,'1. Standard_Cost'!$B$4:$D$11,2)+VLOOKUP(I186,'1. Standard_Cost'!$B$4:$D$11,3))*J186*K186),"0")</f>
        <v>0</v>
      </c>
      <c r="M186" s="125">
        <f>L186*'1. Standard_Cost'!$F$4</f>
        <v>0</v>
      </c>
      <c r="N186" s="126"/>
      <c r="O186" s="126"/>
      <c r="P186" s="126"/>
      <c r="Q186" s="126"/>
      <c r="R186" s="127">
        <f>'1. Standard_Cost'!$B$15*N186*P186</f>
        <v>0</v>
      </c>
      <c r="S186" s="127">
        <f>N186*O186*P186*'1. Standard_Cost'!$C$15</f>
        <v>0</v>
      </c>
      <c r="T186" s="127">
        <f>N186*P186*Q186*'1. Standard_Cost'!$D$15</f>
        <v>0</v>
      </c>
      <c r="U186" s="127">
        <f>N186*O186*'1. Standard_Cost'!$E$15</f>
        <v>0</v>
      </c>
      <c r="V186" s="126"/>
      <c r="W186" s="126"/>
      <c r="X186" s="126"/>
      <c r="Y186" s="127">
        <f>+V186*((X186*'1. Standard_Cost'!$B$19)+(W186*X186*'1. Standard_Cost'!$C$19))</f>
        <v>0</v>
      </c>
      <c r="Z186" s="126"/>
      <c r="AA186" s="126"/>
      <c r="AB186" s="127">
        <f>+Z186*'1. Standard_Cost'!$B$23+AA186*'1. Standard_Cost'!$C$23</f>
        <v>0</v>
      </c>
      <c r="AC186" s="128"/>
      <c r="AD186" s="129"/>
      <c r="AE186" s="127">
        <f>SUM(AD186,AC186,AB186,Y186,U186,T186,S186,R186)*'1. Standard_Cost'!$B$31</f>
        <v>0</v>
      </c>
      <c r="AF186" s="127">
        <f t="shared" si="119"/>
        <v>0</v>
      </c>
      <c r="AG186" s="126"/>
      <c r="AH186" s="126"/>
      <c r="AI186" s="126"/>
      <c r="AJ186" s="130"/>
      <c r="AK186" s="130"/>
      <c r="AL186" s="130"/>
      <c r="AM186" s="127">
        <f>AG186*'1. Standard_Cost'!$B$27+'Incremental_Cost Year 7'!AH186*'1. Standard_Cost'!$C$27+'Incremental_Cost Year 7'!AI186*'1. Standard_Cost'!$D$27+'Incremental_Cost Year 7'!AJ186+'Incremental_Cost Year 7'!AL186+AK186</f>
        <v>0</v>
      </c>
      <c r="AN186" s="127">
        <f>AM186*'1. Standard_Cost'!$C$31</f>
        <v>0</v>
      </c>
      <c r="AO186" s="130"/>
      <c r="AP186" s="256"/>
      <c r="AQ186" s="171">
        <f t="shared" si="120"/>
        <v>0</v>
      </c>
      <c r="AR186" s="171">
        <f t="shared" si="121"/>
        <v>0</v>
      </c>
      <c r="AS186" s="171">
        <f t="shared" si="122"/>
        <v>0</v>
      </c>
      <c r="AT186" s="171">
        <f t="shared" si="123"/>
        <v>0</v>
      </c>
      <c r="AU186" s="250"/>
      <c r="AV186" s="250"/>
      <c r="AW186" s="250"/>
      <c r="AX186" s="250"/>
      <c r="AY186" s="250"/>
      <c r="AZ186" s="250"/>
      <c r="BA186" s="250"/>
      <c r="BB186" s="251">
        <f t="shared" si="124"/>
        <v>0</v>
      </c>
      <c r="BC186" s="169"/>
      <c r="BD186" s="169"/>
      <c r="BE186" s="169"/>
      <c r="BF186" s="169"/>
    </row>
    <row r="187" spans="1:58" ht="78.75" outlineLevel="2" x14ac:dyDescent="0.25">
      <c r="A187" s="115"/>
      <c r="B187" s="200"/>
      <c r="C187" s="330"/>
      <c r="D187" s="343"/>
      <c r="E187" s="328"/>
      <c r="F187" s="328"/>
      <c r="G187" s="328"/>
      <c r="H187" s="199" t="s">
        <v>493</v>
      </c>
      <c r="I187" s="130"/>
      <c r="J187" s="126"/>
      <c r="K187" s="126"/>
      <c r="L187" s="125" t="str">
        <f>IF(I187&lt;&gt;0,((VLOOKUP(I187,'1. Standard_Cost'!$B$4:$D$11,2)+VLOOKUP(I187,'1. Standard_Cost'!$B$4:$D$11,3))*J187*K187),"0")</f>
        <v>0</v>
      </c>
      <c r="M187" s="125">
        <f>L187*'1. Standard_Cost'!$F$4</f>
        <v>0</v>
      </c>
      <c r="N187" s="126"/>
      <c r="O187" s="126"/>
      <c r="P187" s="126"/>
      <c r="Q187" s="126"/>
      <c r="R187" s="127">
        <f>'1. Standard_Cost'!$B$15*N187*P187</f>
        <v>0</v>
      </c>
      <c r="S187" s="127">
        <f>N187*O187*P187*'1. Standard_Cost'!$C$15</f>
        <v>0</v>
      </c>
      <c r="T187" s="127">
        <f>N187*P187*Q187*'1. Standard_Cost'!$D$15</f>
        <v>0</v>
      </c>
      <c r="U187" s="127">
        <f>N187*O187*'1. Standard_Cost'!$E$15</f>
        <v>0</v>
      </c>
      <c r="V187" s="126"/>
      <c r="W187" s="126"/>
      <c r="X187" s="126"/>
      <c r="Y187" s="127">
        <f>+V187*((X187*'1. Standard_Cost'!$B$19)+(W187*X187*'1. Standard_Cost'!$C$19))</f>
        <v>0</v>
      </c>
      <c r="Z187" s="126"/>
      <c r="AA187" s="126"/>
      <c r="AB187" s="127">
        <f>+Z187*'1. Standard_Cost'!$B$23+AA187*'1. Standard_Cost'!$C$23</f>
        <v>0</v>
      </c>
      <c r="AC187" s="128"/>
      <c r="AD187" s="129"/>
      <c r="AE187" s="127">
        <f>SUM(AD187,AC187,AB187,Y187,U187,T187,S187,R187)*'1. Standard_Cost'!$B$31</f>
        <v>0</v>
      </c>
      <c r="AF187" s="127">
        <f t="shared" si="119"/>
        <v>0</v>
      </c>
      <c r="AG187" s="126"/>
      <c r="AH187" s="126"/>
      <c r="AI187" s="126"/>
      <c r="AJ187" s="130"/>
      <c r="AK187" s="130"/>
      <c r="AL187" s="130"/>
      <c r="AM187" s="127">
        <f>AG187*'1. Standard_Cost'!$B$27+'Incremental_Cost Year 7'!AH187*'1. Standard_Cost'!$C$27+'Incremental_Cost Year 7'!AI187*'1. Standard_Cost'!$D$27+'Incremental_Cost Year 7'!AJ187+'Incremental_Cost Year 7'!AL187+AK187</f>
        <v>0</v>
      </c>
      <c r="AN187" s="127">
        <f>AM187*'1. Standard_Cost'!$C$31</f>
        <v>0</v>
      </c>
      <c r="AO187" s="130"/>
      <c r="AP187" s="256"/>
      <c r="AQ187" s="171">
        <f t="shared" si="120"/>
        <v>0</v>
      </c>
      <c r="AR187" s="171">
        <f t="shared" si="121"/>
        <v>0</v>
      </c>
      <c r="AS187" s="171">
        <f t="shared" si="122"/>
        <v>0</v>
      </c>
      <c r="AT187" s="171">
        <f t="shared" si="123"/>
        <v>0</v>
      </c>
      <c r="AU187" s="250"/>
      <c r="AV187" s="250"/>
      <c r="AW187" s="250"/>
      <c r="AX187" s="250"/>
      <c r="AY187" s="250"/>
      <c r="AZ187" s="250"/>
      <c r="BA187" s="250"/>
      <c r="BB187" s="251">
        <f t="shared" si="124"/>
        <v>0</v>
      </c>
      <c r="BC187" s="169"/>
      <c r="BD187" s="169"/>
      <c r="BE187" s="169"/>
      <c r="BF187" s="169"/>
    </row>
    <row r="188" spans="1:58" ht="78.75" outlineLevel="2" x14ac:dyDescent="0.25">
      <c r="A188" s="115"/>
      <c r="B188" s="200"/>
      <c r="C188" s="330"/>
      <c r="D188" s="343"/>
      <c r="E188" s="328"/>
      <c r="F188" s="328"/>
      <c r="G188" s="328"/>
      <c r="H188" s="199" t="s">
        <v>494</v>
      </c>
      <c r="I188" s="130"/>
      <c r="J188" s="126"/>
      <c r="K188" s="126"/>
      <c r="L188" s="125" t="str">
        <f>IF(I188&lt;&gt;0,((VLOOKUP(I188,'1. Standard_Cost'!$B$4:$D$11,2)+VLOOKUP(I188,'1. Standard_Cost'!$B$4:$D$11,3))*J188*K188),"0")</f>
        <v>0</v>
      </c>
      <c r="M188" s="125">
        <f>L188*'1. Standard_Cost'!$F$4</f>
        <v>0</v>
      </c>
      <c r="N188" s="126"/>
      <c r="O188" s="126"/>
      <c r="P188" s="126"/>
      <c r="Q188" s="126"/>
      <c r="R188" s="127">
        <f>'1. Standard_Cost'!$B$15*N188*P188</f>
        <v>0</v>
      </c>
      <c r="S188" s="127">
        <f>N188*O188*P188*'1. Standard_Cost'!$C$15</f>
        <v>0</v>
      </c>
      <c r="T188" s="127">
        <f>N188*P188*Q188*'1. Standard_Cost'!$D$15</f>
        <v>0</v>
      </c>
      <c r="U188" s="127">
        <f>N188*O188*'1. Standard_Cost'!$E$15</f>
        <v>0</v>
      </c>
      <c r="V188" s="126"/>
      <c r="W188" s="126"/>
      <c r="X188" s="126"/>
      <c r="Y188" s="127">
        <f>+V188*((X188*'1. Standard_Cost'!$B$19)+(W188*X188*'1. Standard_Cost'!$C$19))</f>
        <v>0</v>
      </c>
      <c r="Z188" s="126"/>
      <c r="AA188" s="126"/>
      <c r="AB188" s="127">
        <f>+Z188*'1. Standard_Cost'!$B$23+AA188*'1. Standard_Cost'!$C$23</f>
        <v>0</v>
      </c>
      <c r="AC188" s="128"/>
      <c r="AD188" s="129"/>
      <c r="AE188" s="127">
        <f>SUM(AD188,AC188,AB188,Y188,U188,T188,S188,R188)*'1. Standard_Cost'!$B$31</f>
        <v>0</v>
      </c>
      <c r="AF188" s="127">
        <f t="shared" si="119"/>
        <v>0</v>
      </c>
      <c r="AG188" s="126"/>
      <c r="AH188" s="126"/>
      <c r="AI188" s="126"/>
      <c r="AJ188" s="130"/>
      <c r="AK188" s="130"/>
      <c r="AL188" s="130"/>
      <c r="AM188" s="127">
        <f>AG188*'1. Standard_Cost'!$B$27+'Incremental_Cost Year 7'!AH188*'1. Standard_Cost'!$C$27+'Incremental_Cost Year 7'!AI188*'1. Standard_Cost'!$D$27+'Incremental_Cost Year 7'!AJ188+'Incremental_Cost Year 7'!AL188+AK188</f>
        <v>0</v>
      </c>
      <c r="AN188" s="127">
        <f>AM188*'1. Standard_Cost'!$C$31</f>
        <v>0</v>
      </c>
      <c r="AO188" s="130"/>
      <c r="AP188" s="256"/>
      <c r="AQ188" s="171">
        <f t="shared" si="120"/>
        <v>0</v>
      </c>
      <c r="AR188" s="171">
        <f t="shared" si="121"/>
        <v>0</v>
      </c>
      <c r="AS188" s="171">
        <f t="shared" si="122"/>
        <v>0</v>
      </c>
      <c r="AT188" s="171">
        <f t="shared" si="123"/>
        <v>0</v>
      </c>
      <c r="AU188" s="250"/>
      <c r="AV188" s="250"/>
      <c r="AW188" s="250"/>
      <c r="AX188" s="250"/>
      <c r="AY188" s="250"/>
      <c r="AZ188" s="250"/>
      <c r="BA188" s="250"/>
      <c r="BB188" s="251">
        <f t="shared" si="124"/>
        <v>0</v>
      </c>
      <c r="BC188" s="169"/>
      <c r="BD188" s="169"/>
      <c r="BE188" s="169"/>
      <c r="BF188" s="169"/>
    </row>
    <row r="189" spans="1:58" ht="47.25" outlineLevel="2" x14ac:dyDescent="0.25">
      <c r="A189" s="115"/>
      <c r="B189" s="200"/>
      <c r="C189" s="330"/>
      <c r="D189" s="343"/>
      <c r="E189" s="328"/>
      <c r="F189" s="328"/>
      <c r="G189" s="328"/>
      <c r="H189" s="199" t="s">
        <v>495</v>
      </c>
      <c r="I189" s="130"/>
      <c r="J189" s="126"/>
      <c r="K189" s="126"/>
      <c r="L189" s="125" t="str">
        <f>IF(I189&lt;&gt;0,((VLOOKUP(I189,'1. Standard_Cost'!$B$4:$D$11,2)+VLOOKUP(I189,'1. Standard_Cost'!$B$4:$D$11,3))*J189*K189),"0")</f>
        <v>0</v>
      </c>
      <c r="M189" s="125">
        <f>L189*'1. Standard_Cost'!$F$4</f>
        <v>0</v>
      </c>
      <c r="N189" s="126"/>
      <c r="O189" s="126"/>
      <c r="P189" s="126"/>
      <c r="Q189" s="126"/>
      <c r="R189" s="127">
        <f>'1. Standard_Cost'!$B$15*N189*P189</f>
        <v>0</v>
      </c>
      <c r="S189" s="127">
        <f>N189*O189*P189*'1. Standard_Cost'!$C$15</f>
        <v>0</v>
      </c>
      <c r="T189" s="127">
        <f>N189*P189*Q189*'1. Standard_Cost'!$D$15</f>
        <v>0</v>
      </c>
      <c r="U189" s="127">
        <f>N189*O189*'1. Standard_Cost'!$E$15</f>
        <v>0</v>
      </c>
      <c r="V189" s="126"/>
      <c r="W189" s="126"/>
      <c r="X189" s="126"/>
      <c r="Y189" s="127">
        <f>+V189*((X189*'1. Standard_Cost'!$B$19)+(W189*X189*'1. Standard_Cost'!$C$19))</f>
        <v>0</v>
      </c>
      <c r="Z189" s="126"/>
      <c r="AA189" s="126"/>
      <c r="AB189" s="127">
        <f>+Z189*'1. Standard_Cost'!$B$23+AA189*'1. Standard_Cost'!$C$23</f>
        <v>0</v>
      </c>
      <c r="AC189" s="128"/>
      <c r="AD189" s="129"/>
      <c r="AE189" s="127">
        <f>SUM(AD189,AC189,AB189,Y189,U189,T189,S189,R189)*'1. Standard_Cost'!$B$31</f>
        <v>0</v>
      </c>
      <c r="AF189" s="127">
        <f t="shared" si="119"/>
        <v>0</v>
      </c>
      <c r="AG189" s="126"/>
      <c r="AH189" s="126"/>
      <c r="AI189" s="126"/>
      <c r="AJ189" s="130"/>
      <c r="AK189" s="130"/>
      <c r="AL189" s="130"/>
      <c r="AM189" s="127">
        <f>AG189*'1. Standard_Cost'!$B$27+'Incremental_Cost Year 7'!AH189*'1. Standard_Cost'!$C$27+'Incremental_Cost Year 7'!AI189*'1. Standard_Cost'!$D$27+'Incremental_Cost Year 7'!AJ189+'Incremental_Cost Year 7'!AL189+AK189</f>
        <v>0</v>
      </c>
      <c r="AN189" s="127">
        <f>AM189*'1. Standard_Cost'!$C$31</f>
        <v>0</v>
      </c>
      <c r="AO189" s="130"/>
      <c r="AP189" s="256"/>
      <c r="AQ189" s="171">
        <f t="shared" si="120"/>
        <v>0</v>
      </c>
      <c r="AR189" s="171">
        <f t="shared" si="121"/>
        <v>0</v>
      </c>
      <c r="AS189" s="171">
        <f t="shared" si="122"/>
        <v>0</v>
      </c>
      <c r="AT189" s="171">
        <f t="shared" si="123"/>
        <v>0</v>
      </c>
      <c r="AU189" s="250"/>
      <c r="AV189" s="250"/>
      <c r="AW189" s="250"/>
      <c r="AX189" s="250"/>
      <c r="AY189" s="250"/>
      <c r="AZ189" s="250"/>
      <c r="BA189" s="250"/>
      <c r="BB189" s="251">
        <f t="shared" si="124"/>
        <v>0</v>
      </c>
      <c r="BC189" s="169"/>
      <c r="BD189" s="169"/>
      <c r="BE189" s="169"/>
      <c r="BF189" s="169"/>
    </row>
    <row r="190" spans="1:58" ht="15.75" outlineLevel="2" x14ac:dyDescent="0.25">
      <c r="A190" s="115"/>
      <c r="B190" s="200"/>
      <c r="C190" s="330"/>
      <c r="D190" s="343"/>
      <c r="E190" s="328"/>
      <c r="F190" s="328"/>
      <c r="G190" s="328"/>
      <c r="H190" s="110" t="s">
        <v>183</v>
      </c>
      <c r="I190" s="252"/>
      <c r="J190" s="252"/>
      <c r="K190" s="252"/>
      <c r="L190" s="127">
        <f>SUM(L183:L189)</f>
        <v>10544658000</v>
      </c>
      <c r="M190" s="127">
        <f>SUM(M183:M189)</f>
        <v>1760957886</v>
      </c>
      <c r="N190" s="252"/>
      <c r="O190" s="252"/>
      <c r="P190" s="252"/>
      <c r="Q190" s="252"/>
      <c r="R190" s="127">
        <f>SUM(R183:R189)</f>
        <v>0</v>
      </c>
      <c r="S190" s="127">
        <f>SUM(S183:S189)</f>
        <v>0</v>
      </c>
      <c r="T190" s="127">
        <f>SUM(T183:T189)</f>
        <v>0</v>
      </c>
      <c r="U190" s="127">
        <f>SUM(U183:U189)</f>
        <v>0</v>
      </c>
      <c r="V190" s="252"/>
      <c r="W190" s="252"/>
      <c r="X190" s="252"/>
      <c r="Y190" s="127">
        <f>SUM(Y183:Y189)</f>
        <v>0</v>
      </c>
      <c r="Z190" s="127"/>
      <c r="AA190" s="252"/>
      <c r="AB190" s="127">
        <f>SUM(AB183:AB189)</f>
        <v>0</v>
      </c>
      <c r="AC190" s="127">
        <f>SUM(AC183:AC188)</f>
        <v>9600000000</v>
      </c>
      <c r="AD190" s="127">
        <f>SUM(AD183:AD188)</f>
        <v>0</v>
      </c>
      <c r="AE190" s="127">
        <f>SUM(AE183:AE189)</f>
        <v>1920000000</v>
      </c>
      <c r="AF190" s="127">
        <f>SUM(AF183:AF189)</f>
        <v>11520000000</v>
      </c>
      <c r="AG190" s="252"/>
      <c r="AH190" s="252"/>
      <c r="AI190" s="252"/>
      <c r="AJ190" s="127">
        <f>SUM(AJ183:AJ188)</f>
        <v>0</v>
      </c>
      <c r="AK190" s="127">
        <f>SUM(AK183:AK188)</f>
        <v>0</v>
      </c>
      <c r="AL190" s="127">
        <f>SUM(AL183:AL188)</f>
        <v>0</v>
      </c>
      <c r="AM190" s="127">
        <f>SUM(AM183:AM189)</f>
        <v>0</v>
      </c>
      <c r="AN190" s="127">
        <f>SUM(AN183:AN189)</f>
        <v>0</v>
      </c>
      <c r="AO190" s="253"/>
      <c r="AP190" s="254"/>
      <c r="AQ190" s="175">
        <f>SUM(AQ183:AQ189)</f>
        <v>12305615886</v>
      </c>
      <c r="AR190" s="175">
        <f>SUM(AR183:AR189)</f>
        <v>11520000000</v>
      </c>
      <c r="AS190" s="175">
        <f>SUM(AS183:AS189)</f>
        <v>0</v>
      </c>
      <c r="AT190" s="175">
        <f>SUM(AT183:AT189)</f>
        <v>23825615886</v>
      </c>
      <c r="AU190" s="175">
        <f t="shared" ref="AU190:BA190" si="125">SUM(AU183:AU188)</f>
        <v>22025615886</v>
      </c>
      <c r="AV190" s="175">
        <f t="shared" si="125"/>
        <v>0</v>
      </c>
      <c r="AW190" s="175">
        <f t="shared" si="125"/>
        <v>0</v>
      </c>
      <c r="AX190" s="175">
        <f t="shared" si="125"/>
        <v>0</v>
      </c>
      <c r="AY190" s="175">
        <f t="shared" si="125"/>
        <v>0</v>
      </c>
      <c r="AZ190" s="175">
        <f t="shared" si="125"/>
        <v>0</v>
      </c>
      <c r="BA190" s="175">
        <f t="shared" si="125"/>
        <v>0</v>
      </c>
      <c r="BB190" s="175">
        <f>SUM(BB183:BB189)</f>
        <v>-1800000000</v>
      </c>
      <c r="BC190" s="169"/>
      <c r="BD190" s="169"/>
      <c r="BE190" s="169"/>
      <c r="BF190" s="169"/>
    </row>
    <row r="191" spans="1:58" ht="47.25" outlineLevel="2" x14ac:dyDescent="0.25">
      <c r="A191" s="115"/>
      <c r="B191" s="200"/>
      <c r="C191" s="330"/>
      <c r="D191" s="343"/>
      <c r="E191" s="328"/>
      <c r="F191" s="328"/>
      <c r="G191" s="328"/>
      <c r="H191" s="213" t="s">
        <v>496</v>
      </c>
      <c r="I191" s="130" t="s">
        <v>314</v>
      </c>
      <c r="J191" s="126">
        <v>12</v>
      </c>
      <c r="K191" s="126">
        <v>20</v>
      </c>
      <c r="L191" s="125">
        <f>IF(I191&lt;&gt;0,((VLOOKUP(I191,'1. Standard_Cost'!$B$4:$D$11,2)+VLOOKUP(I191,'1. Standard_Cost'!$B$4:$D$11,3))*J191*K191),"0")</f>
        <v>16968000</v>
      </c>
      <c r="M191" s="125">
        <f>L191*'1. Standard_Cost'!$F$4</f>
        <v>2833656</v>
      </c>
      <c r="N191" s="126"/>
      <c r="O191" s="126"/>
      <c r="P191" s="126"/>
      <c r="Q191" s="126"/>
      <c r="R191" s="127">
        <f>'1. Standard_Cost'!$B$15*N191*P191</f>
        <v>0</v>
      </c>
      <c r="S191" s="127">
        <f>N191*O191*P191*'1. Standard_Cost'!$C$15</f>
        <v>0</v>
      </c>
      <c r="T191" s="127">
        <f>N191*P191*Q191*'1. Standard_Cost'!$D$15</f>
        <v>0</v>
      </c>
      <c r="U191" s="127">
        <f>N191*O191*'1. Standard_Cost'!$E$15</f>
        <v>0</v>
      </c>
      <c r="V191" s="126"/>
      <c r="W191" s="126"/>
      <c r="X191" s="126"/>
      <c r="Y191" s="127">
        <f>+V191*((X191*'1. Standard_Cost'!$B$19)+(W191*X191*'1. Standard_Cost'!$C$19))</f>
        <v>0</v>
      </c>
      <c r="Z191" s="126"/>
      <c r="AA191" s="126"/>
      <c r="AB191" s="127">
        <f>+Z191*'1. Standard_Cost'!$B$23+AA191*'1. Standard_Cost'!$C$23</f>
        <v>0</v>
      </c>
      <c r="AC191" s="128">
        <v>7658000</v>
      </c>
      <c r="AD191" s="129"/>
      <c r="AE191" s="127">
        <f>0</f>
        <v>0</v>
      </c>
      <c r="AF191" s="127">
        <f>SUM(AE191,AD191,AC191,AB191,Y191,U191,T191,S191,R191)</f>
        <v>7658000</v>
      </c>
      <c r="AG191" s="126"/>
      <c r="AH191" s="126"/>
      <c r="AI191" s="126"/>
      <c r="AJ191" s="130"/>
      <c r="AK191" s="130"/>
      <c r="AL191" s="130"/>
      <c r="AM191" s="127">
        <f>AG191*'1. Standard_Cost'!$B$27+'Incremental_Cost Year 7'!AH191*'1. Standard_Cost'!$C$27+'Incremental_Cost Year 7'!AI191*'1. Standard_Cost'!$D$27+'Incremental_Cost Year 7'!AJ191+'Incremental_Cost Year 7'!AL191+AK191</f>
        <v>0</v>
      </c>
      <c r="AN191" s="127">
        <f>AM191*'1. Standard_Cost'!$C$31</f>
        <v>0</v>
      </c>
      <c r="AO191" s="130"/>
      <c r="AP191" s="256"/>
      <c r="AQ191" s="171">
        <f>L191+M191</f>
        <v>19801656</v>
      </c>
      <c r="AR191" s="171">
        <f>AF191</f>
        <v>7658000</v>
      </c>
      <c r="AS191" s="171">
        <f>AM191+AN191</f>
        <v>0</v>
      </c>
      <c r="AT191" s="171">
        <f>SUM(AQ191,AR191,AS191)</f>
        <v>27459656</v>
      </c>
      <c r="AU191" s="250">
        <v>27459656</v>
      </c>
      <c r="AV191" s="250"/>
      <c r="AW191" s="250"/>
      <c r="AX191" s="250"/>
      <c r="AY191" s="250"/>
      <c r="AZ191" s="250"/>
      <c r="BA191" s="250"/>
      <c r="BB191" s="251">
        <f t="shared" ref="BB191:BB192" si="126">SUM(AU191:BA191)-AT191</f>
        <v>0</v>
      </c>
      <c r="BC191" s="169"/>
      <c r="BD191" s="169"/>
      <c r="BE191" s="169"/>
      <c r="BF191" s="169"/>
    </row>
    <row r="192" spans="1:58" ht="47.25" outlineLevel="2" x14ac:dyDescent="0.25">
      <c r="A192" s="115"/>
      <c r="B192" s="200"/>
      <c r="C192" s="330"/>
      <c r="D192" s="343"/>
      <c r="E192" s="328"/>
      <c r="F192" s="328"/>
      <c r="G192" s="328"/>
      <c r="H192" s="199" t="s">
        <v>238</v>
      </c>
      <c r="I192" s="130" t="s">
        <v>172</v>
      </c>
      <c r="J192" s="126">
        <v>12</v>
      </c>
      <c r="K192" s="126">
        <v>2</v>
      </c>
      <c r="L192" s="125">
        <f>IF(I192&lt;&gt;0,((VLOOKUP(I192,'1. Standard_Cost'!$B$4:$D$11,2)+VLOOKUP(I192,'1. Standard_Cost'!$B$4:$D$11,3))*J192*K192),"0")</f>
        <v>1212000</v>
      </c>
      <c r="M192" s="125">
        <f>L192*'1. Standard_Cost'!$F$4</f>
        <v>202404</v>
      </c>
      <c r="N192" s="126"/>
      <c r="O192" s="126"/>
      <c r="P192" s="126"/>
      <c r="Q192" s="126"/>
      <c r="R192" s="127">
        <f>'1. Standard_Cost'!$B$15*N192*P192</f>
        <v>0</v>
      </c>
      <c r="S192" s="127">
        <f>N192*O192*P192*'1. Standard_Cost'!$C$15</f>
        <v>0</v>
      </c>
      <c r="T192" s="127">
        <f>N192*P192*Q192*'1. Standard_Cost'!$D$15</f>
        <v>0</v>
      </c>
      <c r="U192" s="127">
        <f>N192*O192*'1. Standard_Cost'!$E$15</f>
        <v>0</v>
      </c>
      <c r="V192" s="126"/>
      <c r="W192" s="126"/>
      <c r="X192" s="126"/>
      <c r="Y192" s="127">
        <f>+V192*((X192*'1. Standard_Cost'!$B$19)+(W192*X192*'1. Standard_Cost'!$C$19))</f>
        <v>0</v>
      </c>
      <c r="Z192" s="126"/>
      <c r="AA192" s="126"/>
      <c r="AB192" s="127">
        <f>+Z192*'1. Standard_Cost'!$B$23+AA192*'1. Standard_Cost'!$C$23</f>
        <v>0</v>
      </c>
      <c r="AC192" s="128">
        <v>50000</v>
      </c>
      <c r="AD192" s="129"/>
      <c r="AE192" s="127">
        <f>SUM(AD192,AC192,AB192,Y192,U192,T192,S192,R192)*'1. Standard_Cost'!$B$31</f>
        <v>10000</v>
      </c>
      <c r="AF192" s="127">
        <f>SUM(AE192,AD192,AC192,AB192,Y192,U192,T192,S192,R192)</f>
        <v>60000</v>
      </c>
      <c r="AG192" s="126"/>
      <c r="AH192" s="126"/>
      <c r="AI192" s="126"/>
      <c r="AJ192" s="130"/>
      <c r="AK192" s="130"/>
      <c r="AL192" s="130"/>
      <c r="AM192" s="127">
        <f>AG192*'1. Standard_Cost'!$B$27+'Incremental_Cost Year 7'!AH192*'1. Standard_Cost'!$C$27+'Incremental_Cost Year 7'!AI192*'1. Standard_Cost'!$D$27+'Incremental_Cost Year 7'!AJ192+'Incremental_Cost Year 7'!AL192+AK192</f>
        <v>0</v>
      </c>
      <c r="AN192" s="127">
        <f>AM192*'1. Standard_Cost'!$C$31</f>
        <v>0</v>
      </c>
      <c r="AO192" s="130"/>
      <c r="AP192" s="256"/>
      <c r="AQ192" s="171">
        <f>L192+M192</f>
        <v>1414404</v>
      </c>
      <c r="AR192" s="171">
        <f>AF192</f>
        <v>60000</v>
      </c>
      <c r="AS192" s="171">
        <f>AM192+AN192</f>
        <v>0</v>
      </c>
      <c r="AT192" s="171">
        <f>SUM(AQ192,AR192,AS192)</f>
        <v>1474404</v>
      </c>
      <c r="AU192" s="250">
        <f>AT192</f>
        <v>1474404</v>
      </c>
      <c r="AV192" s="250"/>
      <c r="AW192" s="250"/>
      <c r="AX192" s="250"/>
      <c r="AY192" s="250"/>
      <c r="AZ192" s="250"/>
      <c r="BA192" s="250"/>
      <c r="BB192" s="251">
        <f t="shared" si="126"/>
        <v>0</v>
      </c>
      <c r="BC192" s="169"/>
      <c r="BD192" s="169"/>
      <c r="BE192" s="169"/>
      <c r="BF192" s="169"/>
    </row>
    <row r="193" spans="1:58" ht="15.75" outlineLevel="1" x14ac:dyDescent="0.25">
      <c r="A193" s="115"/>
      <c r="B193" s="200"/>
      <c r="C193" s="330"/>
      <c r="D193" s="343"/>
      <c r="E193" s="328"/>
      <c r="F193" s="328"/>
      <c r="G193" s="328"/>
      <c r="H193" s="150" t="s">
        <v>239</v>
      </c>
      <c r="I193" s="252"/>
      <c r="J193" s="252"/>
      <c r="K193" s="252"/>
      <c r="L193" s="127">
        <f>SUM(L191:L192)</f>
        <v>18180000</v>
      </c>
      <c r="M193" s="127">
        <f>SUM(M191:M192)</f>
        <v>3036060</v>
      </c>
      <c r="N193" s="252"/>
      <c r="O193" s="252"/>
      <c r="P193" s="252"/>
      <c r="Q193" s="252"/>
      <c r="R193" s="127">
        <f>SUM(R191:R192)</f>
        <v>0</v>
      </c>
      <c r="S193" s="127">
        <f>SUM(S191:S192)</f>
        <v>0</v>
      </c>
      <c r="T193" s="127">
        <f>SUM(T191:T192)</f>
        <v>0</v>
      </c>
      <c r="U193" s="127">
        <f>SUM(U191:U192)</f>
        <v>0</v>
      </c>
      <c r="V193" s="252"/>
      <c r="W193" s="252"/>
      <c r="X193" s="252"/>
      <c r="Y193" s="127">
        <f>SUM(Y191:Y192)</f>
        <v>0</v>
      </c>
      <c r="Z193" s="127"/>
      <c r="AA193" s="252"/>
      <c r="AB193" s="127">
        <f>SUM(AB191:AB192)</f>
        <v>0</v>
      </c>
      <c r="AC193" s="127">
        <f>SUM(AC191:AC192)</f>
        <v>7708000</v>
      </c>
      <c r="AD193" s="127">
        <f>SUM(AD191:AD192)</f>
        <v>0</v>
      </c>
      <c r="AE193" s="127">
        <f>SUM(AE191:AE192)</f>
        <v>10000</v>
      </c>
      <c r="AF193" s="127">
        <f>SUM(AF191:AF192)</f>
        <v>7718000</v>
      </c>
      <c r="AG193" s="252"/>
      <c r="AH193" s="252"/>
      <c r="AI193" s="252"/>
      <c r="AJ193" s="127">
        <f>SUM(AJ191:AJ192)</f>
        <v>0</v>
      </c>
      <c r="AK193" s="127">
        <f>SUM(AK191:AK192)</f>
        <v>0</v>
      </c>
      <c r="AL193" s="127">
        <f>SUM(AL191:AL192)</f>
        <v>0</v>
      </c>
      <c r="AM193" s="127">
        <f>SUM(AM191:AM192)</f>
        <v>0</v>
      </c>
      <c r="AN193" s="127">
        <f>SUM(AN191:AN192)</f>
        <v>0</v>
      </c>
      <c r="AO193" s="253"/>
      <c r="AP193" s="254"/>
      <c r="AQ193" s="175">
        <f>SUM(AQ191:AQ192)</f>
        <v>21216060</v>
      </c>
      <c r="AR193" s="175">
        <f>SUM(AR191:AR192)</f>
        <v>7718000</v>
      </c>
      <c r="AS193" s="175">
        <f>SUM(AS191:AS192)</f>
        <v>0</v>
      </c>
      <c r="AT193" s="175">
        <f>SUM(AT191:AT192)</f>
        <v>28934060</v>
      </c>
      <c r="AU193" s="175">
        <f t="shared" ref="AU193:BA193" si="127">SUM(AU191:AU192)</f>
        <v>28934060</v>
      </c>
      <c r="AV193" s="175">
        <f t="shared" si="127"/>
        <v>0</v>
      </c>
      <c r="AW193" s="175">
        <f t="shared" si="127"/>
        <v>0</v>
      </c>
      <c r="AX193" s="175">
        <f t="shared" si="127"/>
        <v>0</v>
      </c>
      <c r="AY193" s="175">
        <f t="shared" si="127"/>
        <v>0</v>
      </c>
      <c r="AZ193" s="175">
        <f t="shared" si="127"/>
        <v>0</v>
      </c>
      <c r="BA193" s="175">
        <f t="shared" si="127"/>
        <v>0</v>
      </c>
      <c r="BB193" s="175">
        <f>SUM(BB191:BB192)</f>
        <v>0</v>
      </c>
      <c r="BC193" s="169"/>
      <c r="BD193" s="169"/>
      <c r="BE193" s="169"/>
      <c r="BF193" s="169"/>
    </row>
    <row r="194" spans="1:58" ht="47.25" outlineLevel="2" x14ac:dyDescent="0.25">
      <c r="A194" s="115"/>
      <c r="B194" s="200"/>
      <c r="C194" s="330"/>
      <c r="D194" s="343"/>
      <c r="E194" s="328"/>
      <c r="F194" s="328"/>
      <c r="G194" s="328"/>
      <c r="H194" s="199" t="s">
        <v>497</v>
      </c>
      <c r="I194" s="130" t="s">
        <v>5</v>
      </c>
      <c r="J194" s="126">
        <v>3</v>
      </c>
      <c r="K194" s="126">
        <v>3</v>
      </c>
      <c r="L194" s="125">
        <f>IF(I194&lt;&gt;0,((VLOOKUP(I194,'1. Standard_Cost'!$B$4:$D$11,2)+VLOOKUP(I194,'1. Standard_Cost'!$B$4:$D$11,3))*J194*K194),"0")</f>
        <v>636300</v>
      </c>
      <c r="M194" s="125">
        <f>L194*'1. Standard_Cost'!$F$4</f>
        <v>106262.1</v>
      </c>
      <c r="N194" s="126"/>
      <c r="O194" s="126"/>
      <c r="P194" s="126"/>
      <c r="Q194" s="126"/>
      <c r="R194" s="127">
        <f>'1. Standard_Cost'!$B$15*N194*P194</f>
        <v>0</v>
      </c>
      <c r="S194" s="127">
        <f>N194*O194*P194*'1. Standard_Cost'!$C$15</f>
        <v>0</v>
      </c>
      <c r="T194" s="127">
        <f>N194*P194*Q194*'1. Standard_Cost'!$D$15</f>
        <v>0</v>
      </c>
      <c r="U194" s="127">
        <f>N194*O194*'1. Standard_Cost'!$E$15</f>
        <v>0</v>
      </c>
      <c r="V194" s="126"/>
      <c r="W194" s="126"/>
      <c r="X194" s="126"/>
      <c r="Y194" s="127">
        <f>+V194*((X194*'1. Standard_Cost'!$B$19)+(W194*X194*'1. Standard_Cost'!$C$19))</f>
        <v>0</v>
      </c>
      <c r="Z194" s="126"/>
      <c r="AA194" s="126"/>
      <c r="AB194" s="127">
        <f>+Z194*'1. Standard_Cost'!$B$23+AA194*'1. Standard_Cost'!$C$23</f>
        <v>0</v>
      </c>
      <c r="AC194" s="128">
        <v>75000</v>
      </c>
      <c r="AD194" s="129"/>
      <c r="AE194" s="127">
        <f>SUM(AD194,AC194,AB194,Y194,U194,T194,S194,R194)*'1. Standard_Cost'!$B$31</f>
        <v>15000</v>
      </c>
      <c r="AF194" s="127">
        <f>SUM(AE194,AD194,AC194,AB194,Y194,U194,T194,S194,R194)</f>
        <v>90000</v>
      </c>
      <c r="AG194" s="126"/>
      <c r="AH194" s="126"/>
      <c r="AI194" s="126"/>
      <c r="AJ194" s="130"/>
      <c r="AK194" s="130"/>
      <c r="AL194" s="130"/>
      <c r="AM194" s="127">
        <f>AG194*'1. Standard_Cost'!$B$27+'Incremental_Cost Year 7'!AH194*'1. Standard_Cost'!$C$27+'Incremental_Cost Year 7'!AI194*'1. Standard_Cost'!$D$27+'Incremental_Cost Year 7'!AJ194+'Incremental_Cost Year 7'!AL194+AK194</f>
        <v>0</v>
      </c>
      <c r="AN194" s="127">
        <f>AM194*'1. Standard_Cost'!$C$31</f>
        <v>0</v>
      </c>
      <c r="AO194" s="130"/>
      <c r="AP194" s="256"/>
      <c r="AQ194" s="171">
        <f>L194+M194</f>
        <v>742562.1</v>
      </c>
      <c r="AR194" s="171">
        <f>AF194</f>
        <v>90000</v>
      </c>
      <c r="AS194" s="171">
        <f>AM194+AN194</f>
        <v>0</v>
      </c>
      <c r="AT194" s="171">
        <f>SUM(AQ194,AR194,AS194)</f>
        <v>832562.1</v>
      </c>
      <c r="AU194" s="250">
        <v>832562</v>
      </c>
      <c r="AV194" s="250"/>
      <c r="AW194" s="250"/>
      <c r="AX194" s="250"/>
      <c r="AY194" s="250"/>
      <c r="AZ194" s="250"/>
      <c r="BA194" s="250"/>
      <c r="BB194" s="251">
        <f t="shared" ref="BB194:BB195" si="128">SUM(AU194:BA194)-AT194</f>
        <v>-9.9999999976716936E-2</v>
      </c>
      <c r="BC194" s="169"/>
      <c r="BD194" s="169"/>
      <c r="BE194" s="169"/>
      <c r="BF194" s="169"/>
    </row>
    <row r="195" spans="1:58" ht="47.25" outlineLevel="2" x14ac:dyDescent="0.25">
      <c r="A195" s="115"/>
      <c r="B195" s="147"/>
      <c r="C195" s="341"/>
      <c r="D195" s="344"/>
      <c r="E195" s="328"/>
      <c r="F195" s="328"/>
      <c r="G195" s="328"/>
      <c r="H195" s="199" t="s">
        <v>498</v>
      </c>
      <c r="I195" s="130"/>
      <c r="J195" s="126"/>
      <c r="K195" s="126"/>
      <c r="L195" s="125" t="str">
        <f>IF(I195&lt;&gt;0,((VLOOKUP(I195,'1. Standard_Cost'!$B$4:$D$11,2)+VLOOKUP(I195,'1. Standard_Cost'!$B$4:$D$11,3))*J195*K195),"0")</f>
        <v>0</v>
      </c>
      <c r="M195" s="125">
        <f>L195*'1. Standard_Cost'!$F$4</f>
        <v>0</v>
      </c>
      <c r="N195" s="126"/>
      <c r="O195" s="126"/>
      <c r="P195" s="126"/>
      <c r="Q195" s="126"/>
      <c r="R195" s="127">
        <f>'1. Standard_Cost'!$B$15*N195*P195</f>
        <v>0</v>
      </c>
      <c r="S195" s="127">
        <f>N195*O195*P195*'1. Standard_Cost'!$C$15</f>
        <v>0</v>
      </c>
      <c r="T195" s="127">
        <f>N195*P195*Q195*'1. Standard_Cost'!$D$15</f>
        <v>0</v>
      </c>
      <c r="U195" s="127">
        <f>N195*O195*'1. Standard_Cost'!$E$15</f>
        <v>0</v>
      </c>
      <c r="V195" s="126"/>
      <c r="W195" s="126"/>
      <c r="X195" s="126"/>
      <c r="Y195" s="127">
        <f>+V195*((X195*'1. Standard_Cost'!$B$19)+(W195*X195*'1. Standard_Cost'!$C$19))</f>
        <v>0</v>
      </c>
      <c r="Z195" s="126"/>
      <c r="AA195" s="126"/>
      <c r="AB195" s="127">
        <f>+Z195*'1. Standard_Cost'!$B$23+AA195*'1. Standard_Cost'!$C$23</f>
        <v>0</v>
      </c>
      <c r="AC195" s="128"/>
      <c r="AD195" s="129"/>
      <c r="AE195" s="127">
        <f>SUM(AD195,AC195,AB195,Y195,U195,T195,S195,R195)*'1. Standard_Cost'!$B$31</f>
        <v>0</v>
      </c>
      <c r="AF195" s="127">
        <f>SUM(AE195,AD195,AC195,AB195,Y195,U195,T195,S195,R195)</f>
        <v>0</v>
      </c>
      <c r="AG195" s="126"/>
      <c r="AH195" s="126"/>
      <c r="AI195" s="126"/>
      <c r="AJ195" s="130"/>
      <c r="AK195" s="130"/>
      <c r="AL195" s="130"/>
      <c r="AM195" s="127">
        <f>AG195*'1. Standard_Cost'!$B$27+'Incremental_Cost Year 7'!AH195*'1. Standard_Cost'!$C$27+'Incremental_Cost Year 7'!AI195*'1. Standard_Cost'!$D$27+'Incremental_Cost Year 7'!AJ195+'Incremental_Cost Year 7'!AL195+AK195</f>
        <v>0</v>
      </c>
      <c r="AN195" s="127">
        <f>AM195*'1. Standard_Cost'!$C$31</f>
        <v>0</v>
      </c>
      <c r="AO195" s="130"/>
      <c r="AP195" s="256"/>
      <c r="AQ195" s="171">
        <f>L195+M195</f>
        <v>0</v>
      </c>
      <c r="AR195" s="171">
        <f>AF195</f>
        <v>0</v>
      </c>
      <c r="AS195" s="171">
        <f>AM195+AN195</f>
        <v>0</v>
      </c>
      <c r="AT195" s="171">
        <f>SUM(AQ195,AR195,AS195)</f>
        <v>0</v>
      </c>
      <c r="AU195" s="250"/>
      <c r="AV195" s="250"/>
      <c r="AW195" s="250"/>
      <c r="AX195" s="250"/>
      <c r="AY195" s="250"/>
      <c r="AZ195" s="250"/>
      <c r="BA195" s="250"/>
      <c r="BB195" s="251">
        <f t="shared" si="128"/>
        <v>0</v>
      </c>
      <c r="BC195" s="169"/>
      <c r="BD195" s="169"/>
      <c r="BE195" s="169"/>
      <c r="BF195" s="169"/>
    </row>
    <row r="196" spans="1:58" ht="63" outlineLevel="1" x14ac:dyDescent="0.25">
      <c r="A196" s="115"/>
      <c r="B196" s="200"/>
      <c r="C196" s="201"/>
      <c r="D196" s="107" t="s">
        <v>240</v>
      </c>
      <c r="E196" s="212" t="s">
        <v>499</v>
      </c>
      <c r="F196" s="104">
        <v>2021</v>
      </c>
      <c r="G196" s="104">
        <v>2030</v>
      </c>
      <c r="H196" s="150" t="s">
        <v>241</v>
      </c>
      <c r="I196" s="252"/>
      <c r="J196" s="252"/>
      <c r="K196" s="252"/>
      <c r="L196" s="127">
        <f>SUM(L194:L195)</f>
        <v>636300</v>
      </c>
      <c r="M196" s="127">
        <f>SUM(M194:M195)</f>
        <v>106262.1</v>
      </c>
      <c r="N196" s="252"/>
      <c r="O196" s="252"/>
      <c r="P196" s="252"/>
      <c r="Q196" s="252"/>
      <c r="R196" s="127">
        <f>SUM(R194:R195)</f>
        <v>0</v>
      </c>
      <c r="S196" s="127">
        <f>SUM(S194:S195)</f>
        <v>0</v>
      </c>
      <c r="T196" s="127">
        <f>SUM(T194:T195)</f>
        <v>0</v>
      </c>
      <c r="U196" s="127">
        <f>SUM(U194:U195)</f>
        <v>0</v>
      </c>
      <c r="V196" s="252"/>
      <c r="W196" s="252"/>
      <c r="X196" s="252"/>
      <c r="Y196" s="127">
        <f>SUM(Y194:Y195)</f>
        <v>0</v>
      </c>
      <c r="Z196" s="127"/>
      <c r="AA196" s="252"/>
      <c r="AB196" s="127">
        <f>SUM(AB194:AB195)</f>
        <v>0</v>
      </c>
      <c r="AC196" s="127">
        <f>SUM(AC194:AC195)</f>
        <v>75000</v>
      </c>
      <c r="AD196" s="127">
        <f>SUM(AD194:AD195)</f>
        <v>0</v>
      </c>
      <c r="AE196" s="127">
        <f>SUM(AE194:AE195)</f>
        <v>15000</v>
      </c>
      <c r="AF196" s="127">
        <f>SUM(AF194:AF195)</f>
        <v>90000</v>
      </c>
      <c r="AG196" s="252"/>
      <c r="AH196" s="252"/>
      <c r="AI196" s="252"/>
      <c r="AJ196" s="127">
        <f>SUM(AJ194:AJ195)</f>
        <v>0</v>
      </c>
      <c r="AK196" s="127">
        <f>SUM(AK194:AK195)</f>
        <v>0</v>
      </c>
      <c r="AL196" s="127">
        <f>SUM(AL194:AL195)</f>
        <v>0</v>
      </c>
      <c r="AM196" s="127">
        <f>SUM(AM194:AM195)</f>
        <v>0</v>
      </c>
      <c r="AN196" s="127">
        <f>SUM(AN194:AN195)</f>
        <v>0</v>
      </c>
      <c r="AO196" s="253"/>
      <c r="AP196" s="254"/>
      <c r="AQ196" s="175">
        <f>SUM(AQ194:AQ195)</f>
        <v>742562.1</v>
      </c>
      <c r="AR196" s="175">
        <f>SUM(AR194:AR195)</f>
        <v>90000</v>
      </c>
      <c r="AS196" s="175">
        <f>SUM(AS194:AS195)</f>
        <v>0</v>
      </c>
      <c r="AT196" s="175">
        <f>SUM(AT194:AT195)</f>
        <v>832562.1</v>
      </c>
      <c r="AU196" s="175">
        <f t="shared" ref="AU196:BA196" si="129">SUM(AU194:AU195)</f>
        <v>832562</v>
      </c>
      <c r="AV196" s="175">
        <f t="shared" si="129"/>
        <v>0</v>
      </c>
      <c r="AW196" s="175">
        <f t="shared" si="129"/>
        <v>0</v>
      </c>
      <c r="AX196" s="175">
        <f t="shared" si="129"/>
        <v>0</v>
      </c>
      <c r="AY196" s="175">
        <f t="shared" si="129"/>
        <v>0</v>
      </c>
      <c r="AZ196" s="175">
        <f t="shared" si="129"/>
        <v>0</v>
      </c>
      <c r="BA196" s="175">
        <f t="shared" si="129"/>
        <v>0</v>
      </c>
      <c r="BB196" s="175">
        <f>SUM(BB194:BB195)</f>
        <v>-9.9999999976716936E-2</v>
      </c>
      <c r="BC196" s="169"/>
      <c r="BD196" s="169"/>
      <c r="BE196" s="169"/>
      <c r="BF196" s="169"/>
    </row>
    <row r="197" spans="1:58" s="170" customFormat="1" ht="15.75" customHeight="1" x14ac:dyDescent="0.25">
      <c r="A197" s="120"/>
      <c r="B197" s="396" t="s">
        <v>243</v>
      </c>
      <c r="C197" s="389"/>
      <c r="D197" s="389"/>
      <c r="E197" s="390"/>
      <c r="F197" s="286"/>
      <c r="G197" s="286"/>
      <c r="H197" s="279" t="s">
        <v>184</v>
      </c>
      <c r="I197" s="243"/>
      <c r="J197" s="243"/>
      <c r="K197" s="243"/>
      <c r="L197" s="243">
        <f>SUM(L198,L213,L221,L226,L232,L238)</f>
        <v>913109400</v>
      </c>
      <c r="M197" s="243">
        <f>SUM(M198,M213,M221,M226,M232,M238)</f>
        <v>152489269.79999998</v>
      </c>
      <c r="N197" s="243"/>
      <c r="O197" s="243"/>
      <c r="P197" s="243"/>
      <c r="Q197" s="243"/>
      <c r="R197" s="243">
        <f>SUM(R198,R213,R221,R226,R232,R238)</f>
        <v>0</v>
      </c>
      <c r="S197" s="243">
        <f>SUM(S198,S213,S221,S226,S232,S238)</f>
        <v>0</v>
      </c>
      <c r="T197" s="243">
        <f>SUM(T198,T213,T221,T226,T232,T238)</f>
        <v>0</v>
      </c>
      <c r="U197" s="243">
        <f>SUM(U198,U213,U221,U226,U232,U238)</f>
        <v>0</v>
      </c>
      <c r="V197" s="243"/>
      <c r="W197" s="243"/>
      <c r="X197" s="243"/>
      <c r="Y197" s="243">
        <f>SUM(Y198,Y213,Y221,Y226,Y232,Y238)</f>
        <v>0</v>
      </c>
      <c r="Z197" s="243">
        <f>SUM(Z198,Z213,Z221,Z226,Z232,Z238)</f>
        <v>0</v>
      </c>
      <c r="AA197" s="243"/>
      <c r="AB197" s="243">
        <f>SUM(AB198,AB213,AB221,AB226,AB232,AB238)</f>
        <v>1710000</v>
      </c>
      <c r="AC197" s="243">
        <f>SUM(AC198,AC213,AC221,AC226,AC232,AC238)</f>
        <v>1442487000</v>
      </c>
      <c r="AD197" s="243">
        <f>SUM(AD198,AD213,AD221,AD226,AD232,AD238)</f>
        <v>0</v>
      </c>
      <c r="AE197" s="243">
        <f>SUM(AE198,AE213,AE221,AE226,AE232,AE238)</f>
        <v>406800</v>
      </c>
      <c r="AF197" s="243">
        <f>SUM(AF198,AF213,AF221,AF226,AF232,AF238)</f>
        <v>1444603800</v>
      </c>
      <c r="AG197" s="243"/>
      <c r="AH197" s="243"/>
      <c r="AI197" s="243"/>
      <c r="AJ197" s="243">
        <f>SUM(AJ198,AJ213,AJ221,AJ226,AJ232,AJ238)</f>
        <v>0</v>
      </c>
      <c r="AK197" s="243">
        <f>SUM(AK198,AK213,AK221,AK226,AK232,AK238)</f>
        <v>0</v>
      </c>
      <c r="AL197" s="243">
        <f>SUM(AL198,AL213,AL221,AL226,AL232,AL238)</f>
        <v>0</v>
      </c>
      <c r="AM197" s="243">
        <f>SUM(AM198,AM213,AM221,AM226,AM232,AM238)</f>
        <v>0</v>
      </c>
      <c r="AN197" s="243">
        <f>SUM(AN198,AN213,AN221,AN226,AN232,AN238)</f>
        <v>0</v>
      </c>
      <c r="AO197" s="243"/>
      <c r="AP197" s="244"/>
      <c r="AQ197" s="245">
        <f>SUM(AQ198,AQ213,AQ221,AQ226,AQ232,AQ238)</f>
        <v>1065598669.8</v>
      </c>
      <c r="AR197" s="245">
        <f>SUM(AR198,AR213,AR221,AR226,AR232,AR238)</f>
        <v>1444603800</v>
      </c>
      <c r="AS197" s="245">
        <f>SUM(AS198,AS213,AS221,AS226,AS232,AS238)</f>
        <v>0</v>
      </c>
      <c r="AT197" s="245">
        <f>SUM(AT198,AT213,AT221,AT226,AT232,AT238)</f>
        <v>2510202469.8000002</v>
      </c>
      <c r="AU197" s="245">
        <f t="shared" ref="AU197:BB197" si="130">SUM(AU198,AU213,AU221,AU226,AU232,AU238)</f>
        <v>2508121669.8000002</v>
      </c>
      <c r="AV197" s="245">
        <f t="shared" si="130"/>
        <v>0</v>
      </c>
      <c r="AW197" s="245">
        <f t="shared" si="130"/>
        <v>0</v>
      </c>
      <c r="AX197" s="245">
        <f t="shared" si="130"/>
        <v>0</v>
      </c>
      <c r="AY197" s="245">
        <f t="shared" si="130"/>
        <v>0</v>
      </c>
      <c r="AZ197" s="245">
        <f t="shared" si="130"/>
        <v>0</v>
      </c>
      <c r="BA197" s="245">
        <f t="shared" si="130"/>
        <v>0</v>
      </c>
      <c r="BB197" s="245">
        <f t="shared" si="130"/>
        <v>-2080800</v>
      </c>
    </row>
    <row r="198" spans="1:58" s="184" customFormat="1" ht="15.75" customHeight="1" x14ac:dyDescent="0.25">
      <c r="A198" s="143"/>
      <c r="B198" s="332"/>
      <c r="C198" s="397" t="s">
        <v>244</v>
      </c>
      <c r="D198" s="397"/>
      <c r="E198" s="398"/>
      <c r="F198" s="291"/>
      <c r="G198" s="340"/>
      <c r="H198" s="144" t="s">
        <v>185</v>
      </c>
      <c r="I198" s="269"/>
      <c r="J198" s="257"/>
      <c r="K198" s="257"/>
      <c r="L198" s="258">
        <f>SUM(L203,L209,L212)</f>
        <v>0</v>
      </c>
      <c r="M198" s="258">
        <f>SUM(M203,M209,M212)</f>
        <v>0</v>
      </c>
      <c r="N198" s="257"/>
      <c r="O198" s="257"/>
      <c r="P198" s="257"/>
      <c r="Q198" s="257"/>
      <c r="R198" s="258">
        <f>SUM(R203,R209,R212)</f>
        <v>0</v>
      </c>
      <c r="S198" s="258">
        <f>SUM(S203,S209,S212)</f>
        <v>0</v>
      </c>
      <c r="T198" s="258">
        <f>SUM(T203,T209,T212)</f>
        <v>0</v>
      </c>
      <c r="U198" s="258">
        <f>SUM(U203,U209,U212)</f>
        <v>0</v>
      </c>
      <c r="V198" s="257"/>
      <c r="W198" s="257"/>
      <c r="X198" s="257"/>
      <c r="Y198" s="258">
        <f>SUM(Y203,Y209,Y212)</f>
        <v>0</v>
      </c>
      <c r="Z198" s="258">
        <f>SUM(Z203,Z209,Z212)</f>
        <v>0</v>
      </c>
      <c r="AA198" s="257"/>
      <c r="AB198" s="258">
        <f>SUM(AB203,AB209,AB212)</f>
        <v>1710000</v>
      </c>
      <c r="AC198" s="258">
        <f>SUM(AC203,AC209,AC212)</f>
        <v>24000</v>
      </c>
      <c r="AD198" s="258">
        <f>SUM(AD203,AD209,AD212)</f>
        <v>0</v>
      </c>
      <c r="AE198" s="258">
        <f>SUM(AE203,AE209,AE212)</f>
        <v>346800</v>
      </c>
      <c r="AF198" s="258">
        <f>SUM(AF203,AF209,AF212)</f>
        <v>2080800</v>
      </c>
      <c r="AG198" s="257"/>
      <c r="AH198" s="257"/>
      <c r="AI198" s="257"/>
      <c r="AJ198" s="258">
        <f>SUM(AJ203,AJ209,AJ212)</f>
        <v>0</v>
      </c>
      <c r="AK198" s="258">
        <f>SUM(AK203,AK209,AK212)</f>
        <v>0</v>
      </c>
      <c r="AL198" s="258">
        <f>SUM(AL203,AL209,AL212)</f>
        <v>0</v>
      </c>
      <c r="AM198" s="258">
        <f>SUM(AM203,AM209,AM212)</f>
        <v>0</v>
      </c>
      <c r="AN198" s="258">
        <f>SUM(AN203,AN209,AN212)</f>
        <v>0</v>
      </c>
      <c r="AO198" s="259"/>
      <c r="AP198" s="260"/>
      <c r="AQ198" s="261">
        <f>SUM(AQ203,AQ209,AQ212)</f>
        <v>0</v>
      </c>
      <c r="AR198" s="261">
        <f>SUM(AR203,AR209,AR212)</f>
        <v>2080800</v>
      </c>
      <c r="AS198" s="261">
        <f>SUM(AS203,AS209,AS212)</f>
        <v>0</v>
      </c>
      <c r="AT198" s="261">
        <f>SUM(AT203,AT209,AT212)</f>
        <v>2080800</v>
      </c>
      <c r="AU198" s="261">
        <f t="shared" ref="AU198:BB198" si="131">SUM(AU203,AU209,AU212)</f>
        <v>0</v>
      </c>
      <c r="AV198" s="261">
        <f t="shared" si="131"/>
        <v>0</v>
      </c>
      <c r="AW198" s="261">
        <f t="shared" si="131"/>
        <v>0</v>
      </c>
      <c r="AX198" s="261">
        <f t="shared" si="131"/>
        <v>0</v>
      </c>
      <c r="AY198" s="261">
        <f t="shared" si="131"/>
        <v>0</v>
      </c>
      <c r="AZ198" s="261">
        <f t="shared" si="131"/>
        <v>0</v>
      </c>
      <c r="BA198" s="261">
        <f t="shared" si="131"/>
        <v>0</v>
      </c>
      <c r="BB198" s="261">
        <f t="shared" si="131"/>
        <v>-2080800</v>
      </c>
    </row>
    <row r="199" spans="1:58" ht="63" outlineLevel="2" x14ac:dyDescent="0.25">
      <c r="A199" s="115"/>
      <c r="B199" s="200"/>
      <c r="C199" s="201"/>
      <c r="D199" s="202"/>
      <c r="E199" s="226"/>
      <c r="F199" s="295"/>
      <c r="G199" s="296"/>
      <c r="H199" s="199" t="s">
        <v>500</v>
      </c>
      <c r="I199" s="130"/>
      <c r="J199" s="126"/>
      <c r="K199" s="126"/>
      <c r="L199" s="125" t="str">
        <f>IF(I199&lt;&gt;0,((VLOOKUP(I199,'1. Standard_Cost'!$B$4:$D$11,2)+VLOOKUP(I199,'1. Standard_Cost'!$B$4:$D$11,3))*J199*K199),"0")</f>
        <v>0</v>
      </c>
      <c r="M199" s="125">
        <f>L199*'1. Standard_Cost'!$F$4</f>
        <v>0</v>
      </c>
      <c r="N199" s="126"/>
      <c r="O199" s="126"/>
      <c r="P199" s="126"/>
      <c r="Q199" s="126"/>
      <c r="R199" s="127">
        <f>'1. Standard_Cost'!$B$15*N199*P199</f>
        <v>0</v>
      </c>
      <c r="S199" s="127">
        <f>N199*O199*P199*'1. Standard_Cost'!$C$15</f>
        <v>0</v>
      </c>
      <c r="T199" s="127">
        <f>N199*P199*Q199*'1. Standard_Cost'!$D$15</f>
        <v>0</v>
      </c>
      <c r="U199" s="127">
        <f>N199*O199*'1. Standard_Cost'!$E$15</f>
        <v>0</v>
      </c>
      <c r="V199" s="126"/>
      <c r="W199" s="126"/>
      <c r="X199" s="126"/>
      <c r="Y199" s="127">
        <f>+V199*((X199*'1. Standard_Cost'!$B$19)+(W199*X199*'1. Standard_Cost'!$C$19))</f>
        <v>0</v>
      </c>
      <c r="Z199" s="126"/>
      <c r="AA199" s="126"/>
      <c r="AB199" s="127">
        <f>+Z199*'1. Standard_Cost'!$B$23+AA199*'1. Standard_Cost'!$C$23</f>
        <v>0</v>
      </c>
      <c r="AC199" s="128"/>
      <c r="AD199" s="129"/>
      <c r="AE199" s="127">
        <f>SUM(AD199,AC199,AB199,Y199,U199,T199,S199,R199)*'1. Standard_Cost'!$B$31</f>
        <v>0</v>
      </c>
      <c r="AF199" s="127">
        <f>SUM(AE199,AD199,AC199,AB199,Y199,U199,T199,S199,R199)</f>
        <v>0</v>
      </c>
      <c r="AG199" s="126"/>
      <c r="AH199" s="126"/>
      <c r="AI199" s="126"/>
      <c r="AJ199" s="130"/>
      <c r="AK199" s="130"/>
      <c r="AL199" s="130"/>
      <c r="AM199" s="127">
        <f>AG199*'1. Standard_Cost'!$B$27+'Incremental_Cost Year 7'!AH199*'1. Standard_Cost'!$C$27+'Incremental_Cost Year 7'!AI199*'1. Standard_Cost'!$D$27+'Incremental_Cost Year 7'!AJ199+'Incremental_Cost Year 7'!AL199+AK199</f>
        <v>0</v>
      </c>
      <c r="AN199" s="127">
        <f>AM199*'1. Standard_Cost'!$C$31</f>
        <v>0</v>
      </c>
      <c r="AO199" s="130"/>
      <c r="AQ199" s="171">
        <f>L199+M199</f>
        <v>0</v>
      </c>
      <c r="AR199" s="171">
        <f>AF199</f>
        <v>0</v>
      </c>
      <c r="AS199" s="171">
        <f>AM199+AN199</f>
        <v>0</v>
      </c>
      <c r="AT199" s="171">
        <f>SUM(AQ199,AR199,AS199)</f>
        <v>0</v>
      </c>
      <c r="AU199" s="250">
        <f>AT199</f>
        <v>0</v>
      </c>
      <c r="AV199" s="250"/>
      <c r="AW199" s="250"/>
      <c r="AX199" s="250"/>
      <c r="AY199" s="250"/>
      <c r="AZ199" s="250"/>
      <c r="BA199" s="250"/>
      <c r="BB199" s="251">
        <f t="shared" ref="BB199:BB202" si="132">SUM(AU199:BA199)-AT199</f>
        <v>0</v>
      </c>
      <c r="BC199" s="169"/>
      <c r="BD199" s="169"/>
      <c r="BE199" s="169"/>
      <c r="BF199" s="169"/>
    </row>
    <row r="200" spans="1:58" ht="94.5" outlineLevel="2" x14ac:dyDescent="0.25">
      <c r="A200" s="115"/>
      <c r="B200" s="200"/>
      <c r="C200" s="201"/>
      <c r="D200" s="202"/>
      <c r="E200" s="202"/>
      <c r="F200" s="219"/>
      <c r="G200" s="313"/>
      <c r="H200" s="199" t="s">
        <v>501</v>
      </c>
      <c r="I200" s="130"/>
      <c r="J200" s="126"/>
      <c r="K200" s="126"/>
      <c r="L200" s="125" t="str">
        <f>IF(I200&lt;&gt;0,((VLOOKUP(I200,'1. Standard_Cost'!$B$4:$D$11,2)+VLOOKUP(I200,'1. Standard_Cost'!$B$4:$D$11,3))*J200*K200),"0")</f>
        <v>0</v>
      </c>
      <c r="M200" s="125">
        <f>L200*'1. Standard_Cost'!$F$4</f>
        <v>0</v>
      </c>
      <c r="N200" s="126"/>
      <c r="O200" s="126"/>
      <c r="P200" s="126"/>
      <c r="Q200" s="126"/>
      <c r="R200" s="127">
        <f>'1. Standard_Cost'!$B$15*N200*P200</f>
        <v>0</v>
      </c>
      <c r="S200" s="127">
        <f>N200*O200*P200*'1. Standard_Cost'!$C$15</f>
        <v>0</v>
      </c>
      <c r="T200" s="127">
        <f>N200*P200*Q200*'1. Standard_Cost'!$D$15</f>
        <v>0</v>
      </c>
      <c r="U200" s="127">
        <f>N200*O200*'1. Standard_Cost'!$E$15</f>
        <v>0</v>
      </c>
      <c r="V200" s="126"/>
      <c r="W200" s="126"/>
      <c r="X200" s="126"/>
      <c r="Y200" s="127">
        <f>+V200*((X200*'1. Standard_Cost'!$B$19)+(W200*X200*'1. Standard_Cost'!$C$19))</f>
        <v>0</v>
      </c>
      <c r="Z200" s="126"/>
      <c r="AA200" s="126">
        <v>90</v>
      </c>
      <c r="AB200" s="127">
        <f>+Z200*'1. Standard_Cost'!$B$23+AA200*'1. Standard_Cost'!$C$23</f>
        <v>1710000</v>
      </c>
      <c r="AC200" s="128">
        <f>4*20*300</f>
        <v>24000</v>
      </c>
      <c r="AD200" s="129"/>
      <c r="AE200" s="127">
        <f>SUM(AD200,AC200,AB200,Y200,U200,T200,S200,R200)*'1. Standard_Cost'!$B$31</f>
        <v>346800</v>
      </c>
      <c r="AF200" s="127">
        <f>SUM(AE200,AD200,AC200,AB200,Y200,U200,T200,S200,R200)</f>
        <v>2080800</v>
      </c>
      <c r="AG200" s="126"/>
      <c r="AH200" s="126"/>
      <c r="AI200" s="126"/>
      <c r="AJ200" s="130"/>
      <c r="AK200" s="130"/>
      <c r="AL200" s="130"/>
      <c r="AM200" s="127">
        <f>AG200*'1. Standard_Cost'!$B$27+'Incremental_Cost Year 7'!AH200*'1. Standard_Cost'!$C$27+'Incremental_Cost Year 7'!AI200*'1. Standard_Cost'!$D$27+'Incremental_Cost Year 7'!AJ200+'Incremental_Cost Year 7'!AL200+AK200</f>
        <v>0</v>
      </c>
      <c r="AN200" s="127">
        <f>AM200*'1. Standard_Cost'!$C$31</f>
        <v>0</v>
      </c>
      <c r="AO200" s="130"/>
      <c r="AQ200" s="171">
        <f>L200+M200</f>
        <v>0</v>
      </c>
      <c r="AR200" s="171">
        <f>AF200</f>
        <v>2080800</v>
      </c>
      <c r="AS200" s="171">
        <f>AM200+AN200</f>
        <v>0</v>
      </c>
      <c r="AT200" s="171">
        <f>SUM(AQ200,AR200,AS200)</f>
        <v>2080800</v>
      </c>
      <c r="AU200" s="250">
        <f>AQ200</f>
        <v>0</v>
      </c>
      <c r="AV200" s="250"/>
      <c r="AW200" s="250"/>
      <c r="AX200" s="250"/>
      <c r="AY200" s="250"/>
      <c r="AZ200" s="250"/>
      <c r="BA200" s="250"/>
      <c r="BB200" s="251">
        <f t="shared" si="132"/>
        <v>-2080800</v>
      </c>
      <c r="BC200" s="169"/>
      <c r="BD200" s="169"/>
      <c r="BE200" s="169"/>
      <c r="BF200" s="169"/>
    </row>
    <row r="201" spans="1:58" ht="31.5" outlineLevel="2" x14ac:dyDescent="0.25">
      <c r="A201" s="115"/>
      <c r="B201" s="200"/>
      <c r="C201" s="201"/>
      <c r="D201" s="202"/>
      <c r="E201" s="202"/>
      <c r="F201" s="219"/>
      <c r="G201" s="313"/>
      <c r="H201" s="199" t="s">
        <v>502</v>
      </c>
      <c r="I201" s="130"/>
      <c r="J201" s="126"/>
      <c r="K201" s="126"/>
      <c r="L201" s="125" t="str">
        <f>IF(I201&lt;&gt;0,((VLOOKUP(I201,'1. Standard_Cost'!$B$4:$D$11,2)+VLOOKUP(I201,'1. Standard_Cost'!$B$4:$D$11,3))*J201*K201),"0")</f>
        <v>0</v>
      </c>
      <c r="M201" s="125">
        <f>L201*'1. Standard_Cost'!$F$4</f>
        <v>0</v>
      </c>
      <c r="N201" s="126"/>
      <c r="O201" s="126"/>
      <c r="P201" s="126"/>
      <c r="Q201" s="126"/>
      <c r="R201" s="127">
        <f>'1. Standard_Cost'!$B$15*N201*P201</f>
        <v>0</v>
      </c>
      <c r="S201" s="127">
        <f>N201*O201*P201*'1. Standard_Cost'!$C$15</f>
        <v>0</v>
      </c>
      <c r="T201" s="127">
        <f>N201*P201*Q201*'1. Standard_Cost'!$D$15</f>
        <v>0</v>
      </c>
      <c r="U201" s="127">
        <f>N201*O201*'1. Standard_Cost'!$E$15</f>
        <v>0</v>
      </c>
      <c r="V201" s="126"/>
      <c r="W201" s="126"/>
      <c r="X201" s="126"/>
      <c r="Y201" s="127">
        <f>+V201*((X201*'1. Standard_Cost'!$B$19)+(W201*X201*'1. Standard_Cost'!$C$19))</f>
        <v>0</v>
      </c>
      <c r="Z201" s="126"/>
      <c r="AA201" s="126"/>
      <c r="AB201" s="127">
        <f>+Z201*'1. Standard_Cost'!$B$23+AA201*'1. Standard_Cost'!$C$23</f>
        <v>0</v>
      </c>
      <c r="AC201" s="128"/>
      <c r="AD201" s="129"/>
      <c r="AE201" s="127">
        <f>SUM(AD201,AC201,AB201,Y201,U201,T201,S201,R201)*'1. Standard_Cost'!$B$31</f>
        <v>0</v>
      </c>
      <c r="AF201" s="127">
        <f>SUM(AE201,AD201,AC201,AB201,Y201,U201,T201,S201,R201)</f>
        <v>0</v>
      </c>
      <c r="AG201" s="126"/>
      <c r="AH201" s="126"/>
      <c r="AI201" s="126"/>
      <c r="AJ201" s="130"/>
      <c r="AK201" s="130"/>
      <c r="AL201" s="130"/>
      <c r="AM201" s="127">
        <f>AG201*'1. Standard_Cost'!$B$27+'Incremental_Cost Year 7'!AH201*'1. Standard_Cost'!$C$27+'Incremental_Cost Year 7'!AI201*'1. Standard_Cost'!$D$27+'Incremental_Cost Year 7'!AJ201+'Incremental_Cost Year 7'!AL201+AK201</f>
        <v>0</v>
      </c>
      <c r="AN201" s="127">
        <f>AM201*'1. Standard_Cost'!$C$31</f>
        <v>0</v>
      </c>
      <c r="AO201" s="130"/>
      <c r="AQ201" s="171">
        <f>L201+M201</f>
        <v>0</v>
      </c>
      <c r="AR201" s="171">
        <f>AF201</f>
        <v>0</v>
      </c>
      <c r="AS201" s="171">
        <f>AM201+AN201</f>
        <v>0</v>
      </c>
      <c r="AT201" s="171">
        <f>SUM(AQ201,AR201,AS201)</f>
        <v>0</v>
      </c>
      <c r="AU201" s="250"/>
      <c r="AV201" s="250"/>
      <c r="AW201" s="250"/>
      <c r="AX201" s="250"/>
      <c r="AY201" s="250"/>
      <c r="AZ201" s="250"/>
      <c r="BA201" s="250"/>
      <c r="BB201" s="251">
        <f t="shared" si="132"/>
        <v>0</v>
      </c>
      <c r="BC201" s="169"/>
      <c r="BD201" s="169"/>
      <c r="BE201" s="169"/>
      <c r="BF201" s="169"/>
    </row>
    <row r="202" spans="1:58" ht="47.25" outlineLevel="2" x14ac:dyDescent="0.25">
      <c r="A202" s="115"/>
      <c r="B202" s="200"/>
      <c r="C202" s="201"/>
      <c r="D202" s="202"/>
      <c r="E202" s="310"/>
      <c r="F202" s="122"/>
      <c r="G202" s="123"/>
      <c r="H202" s="199" t="s">
        <v>545</v>
      </c>
      <c r="I202" s="130"/>
      <c r="J202" s="126"/>
      <c r="K202" s="126"/>
      <c r="L202" s="125" t="str">
        <f>IF(I202&lt;&gt;0,((VLOOKUP(I202,'1. Standard_Cost'!$B$4:$D$11,2)+VLOOKUP(I202,'1. Standard_Cost'!$B$4:$D$11,3))*J202*K202),"0")</f>
        <v>0</v>
      </c>
      <c r="M202" s="125">
        <f>L202*'1. Standard_Cost'!$F$4</f>
        <v>0</v>
      </c>
      <c r="N202" s="126"/>
      <c r="O202" s="126"/>
      <c r="P202" s="126"/>
      <c r="Q202" s="126"/>
      <c r="R202" s="127">
        <f>'1. Standard_Cost'!$B$15*N202*P202</f>
        <v>0</v>
      </c>
      <c r="S202" s="127">
        <f>N202*O202*P202*'1. Standard_Cost'!$C$15</f>
        <v>0</v>
      </c>
      <c r="T202" s="127">
        <f>N202*P202*Q202*'1. Standard_Cost'!$D$15</f>
        <v>0</v>
      </c>
      <c r="U202" s="127">
        <f>N202*O202*'1. Standard_Cost'!$E$15</f>
        <v>0</v>
      </c>
      <c r="V202" s="126"/>
      <c r="W202" s="126"/>
      <c r="X202" s="126"/>
      <c r="Y202" s="127">
        <f>+V202*((X202*'1. Standard_Cost'!$B$19)+(W202*X202*'1. Standard_Cost'!$C$19))</f>
        <v>0</v>
      </c>
      <c r="Z202" s="126"/>
      <c r="AA202" s="126"/>
      <c r="AB202" s="127">
        <f>+Z202*'1. Standard_Cost'!$B$23+AA202*'1. Standard_Cost'!$C$23</f>
        <v>0</v>
      </c>
      <c r="AC202" s="128"/>
      <c r="AD202" s="129"/>
      <c r="AE202" s="127">
        <f>SUM(AD202,AC202,AB202,Y202,U202,T202,S202,R202)*'1. Standard_Cost'!$B$31</f>
        <v>0</v>
      </c>
      <c r="AF202" s="127">
        <f>SUM(AE202,AD202,AC202,AB202,Y202,U202,T202,S202,R202)</f>
        <v>0</v>
      </c>
      <c r="AG202" s="126"/>
      <c r="AH202" s="126"/>
      <c r="AI202" s="126"/>
      <c r="AJ202" s="130"/>
      <c r="AK202" s="130"/>
      <c r="AL202" s="130"/>
      <c r="AM202" s="127">
        <f>AG202*'1. Standard_Cost'!$B$27+'Incremental_Cost Year 7'!AH202*'1. Standard_Cost'!$C$27+'Incremental_Cost Year 7'!AI202*'1. Standard_Cost'!$D$27+'Incremental_Cost Year 7'!AJ202+'Incremental_Cost Year 7'!AL202+AK202</f>
        <v>0</v>
      </c>
      <c r="AN202" s="127">
        <f>AM202*'1. Standard_Cost'!$C$31</f>
        <v>0</v>
      </c>
      <c r="AO202" s="130"/>
      <c r="AQ202" s="171">
        <f>L202+M202</f>
        <v>0</v>
      </c>
      <c r="AR202" s="171">
        <f>AF202</f>
        <v>0</v>
      </c>
      <c r="AS202" s="171">
        <f>AM202+AN202</f>
        <v>0</v>
      </c>
      <c r="AT202" s="171">
        <f>SUM(AQ202,AR202,AS202)</f>
        <v>0</v>
      </c>
      <c r="AU202" s="250"/>
      <c r="AV202" s="250"/>
      <c r="AW202" s="250"/>
      <c r="AX202" s="250"/>
      <c r="AY202" s="250"/>
      <c r="AZ202" s="250"/>
      <c r="BA202" s="250"/>
      <c r="BB202" s="251">
        <f t="shared" si="132"/>
        <v>0</v>
      </c>
      <c r="BC202" s="169"/>
      <c r="BD202" s="169"/>
      <c r="BE202" s="169"/>
      <c r="BF202" s="169"/>
    </row>
    <row r="203" spans="1:58" ht="47.25" outlineLevel="1" x14ac:dyDescent="0.25">
      <c r="A203" s="115"/>
      <c r="B203" s="165"/>
      <c r="C203" s="166"/>
      <c r="D203" s="212" t="s">
        <v>240</v>
      </c>
      <c r="E203" s="212" t="s">
        <v>245</v>
      </c>
      <c r="F203" s="117">
        <v>2021</v>
      </c>
      <c r="G203" s="117">
        <v>2025</v>
      </c>
      <c r="H203" s="110" t="s">
        <v>186</v>
      </c>
      <c r="I203" s="252"/>
      <c r="J203" s="252"/>
      <c r="K203" s="252"/>
      <c r="L203" s="127">
        <f>SUM(L199:L202)</f>
        <v>0</v>
      </c>
      <c r="M203" s="127">
        <f>SUM(M199:M202)</f>
        <v>0</v>
      </c>
      <c r="N203" s="252"/>
      <c r="O203" s="252"/>
      <c r="P203" s="252"/>
      <c r="Q203" s="252"/>
      <c r="R203" s="127">
        <f>SUM(R199:R202)</f>
        <v>0</v>
      </c>
      <c r="S203" s="127">
        <f>SUM(S199:S202)</f>
        <v>0</v>
      </c>
      <c r="T203" s="127">
        <f>SUM(T199:T202)</f>
        <v>0</v>
      </c>
      <c r="U203" s="127">
        <f>SUM(U199:U202)</f>
        <v>0</v>
      </c>
      <c r="V203" s="252"/>
      <c r="W203" s="252"/>
      <c r="X203" s="252"/>
      <c r="Y203" s="127">
        <f>SUM(Y199:Y202)</f>
        <v>0</v>
      </c>
      <c r="Z203" s="252"/>
      <c r="AA203" s="252"/>
      <c r="AB203" s="127">
        <f>SUM(AB199:AB202)</f>
        <v>1710000</v>
      </c>
      <c r="AC203" s="127">
        <f>SUM(AC199:AC202)</f>
        <v>24000</v>
      </c>
      <c r="AD203" s="127">
        <f>SUM(AD199:AD202)</f>
        <v>0</v>
      </c>
      <c r="AE203" s="127">
        <f>SUM(AE199:AE202)</f>
        <v>346800</v>
      </c>
      <c r="AF203" s="127">
        <f>SUM(AF199:AF202)</f>
        <v>2080800</v>
      </c>
      <c r="AG203" s="252"/>
      <c r="AH203" s="252"/>
      <c r="AI203" s="252"/>
      <c r="AJ203" s="127">
        <f>SUM(AJ199:AJ202)</f>
        <v>0</v>
      </c>
      <c r="AK203" s="127">
        <f>SUM(AK199:AK202)</f>
        <v>0</v>
      </c>
      <c r="AL203" s="127">
        <f>SUM(AL199:AL202)</f>
        <v>0</v>
      </c>
      <c r="AM203" s="127">
        <f>SUM(AM199:AM202)</f>
        <v>0</v>
      </c>
      <c r="AN203" s="127">
        <f>SUM(AN199:AN202)</f>
        <v>0</v>
      </c>
      <c r="AO203" s="253"/>
      <c r="AP203" s="254"/>
      <c r="AQ203" s="175">
        <f>SUM(AQ199:AQ202)</f>
        <v>0</v>
      </c>
      <c r="AR203" s="175">
        <f>SUM(AR199:AR202)</f>
        <v>2080800</v>
      </c>
      <c r="AS203" s="175">
        <f>SUM(AS199:AS202)</f>
        <v>0</v>
      </c>
      <c r="AT203" s="175">
        <f>SUM(AT199:AT202)</f>
        <v>2080800</v>
      </c>
      <c r="AU203" s="175">
        <f t="shared" ref="AU203:BB203" si="133">SUM(AU199:AU202)</f>
        <v>0</v>
      </c>
      <c r="AV203" s="175">
        <f t="shared" si="133"/>
        <v>0</v>
      </c>
      <c r="AW203" s="175">
        <f t="shared" si="133"/>
        <v>0</v>
      </c>
      <c r="AX203" s="175">
        <f t="shared" si="133"/>
        <v>0</v>
      </c>
      <c r="AY203" s="175">
        <f t="shared" si="133"/>
        <v>0</v>
      </c>
      <c r="AZ203" s="175">
        <f t="shared" si="133"/>
        <v>0</v>
      </c>
      <c r="BA203" s="175">
        <f t="shared" si="133"/>
        <v>0</v>
      </c>
      <c r="BB203" s="175">
        <f t="shared" si="133"/>
        <v>-2080800</v>
      </c>
      <c r="BC203" s="169"/>
      <c r="BD203" s="169"/>
      <c r="BE203" s="169"/>
      <c r="BF203" s="169"/>
    </row>
    <row r="204" spans="1:58" ht="78.75" outlineLevel="2" x14ac:dyDescent="0.25">
      <c r="A204" s="115"/>
      <c r="B204" s="200"/>
      <c r="C204" s="201"/>
      <c r="D204" s="202"/>
      <c r="E204" s="226"/>
      <c r="F204" s="295"/>
      <c r="G204" s="296"/>
      <c r="H204" s="199" t="s">
        <v>503</v>
      </c>
      <c r="I204" s="130"/>
      <c r="J204" s="126"/>
      <c r="K204" s="126"/>
      <c r="L204" s="125" t="str">
        <f>IF(I204&lt;&gt;0,((VLOOKUP(I204,'1. Standard_Cost'!$B$4:$D$11,2)+VLOOKUP(I204,'1. Standard_Cost'!$B$4:$D$11,3))*J204*K204),"0")</f>
        <v>0</v>
      </c>
      <c r="M204" s="125">
        <f>L204*'1. Standard_Cost'!$F$4</f>
        <v>0</v>
      </c>
      <c r="N204" s="126"/>
      <c r="O204" s="126"/>
      <c r="P204" s="126"/>
      <c r="Q204" s="126"/>
      <c r="R204" s="127">
        <f>'1. Standard_Cost'!$B$15*N204*P204</f>
        <v>0</v>
      </c>
      <c r="S204" s="127">
        <f>N204*O204*P204*'1. Standard_Cost'!$C$15</f>
        <v>0</v>
      </c>
      <c r="T204" s="127">
        <f>N204*P204*Q204*'1. Standard_Cost'!$D$15</f>
        <v>0</v>
      </c>
      <c r="U204" s="127">
        <f>N204*O204*'1. Standard_Cost'!$E$15</f>
        <v>0</v>
      </c>
      <c r="V204" s="126"/>
      <c r="W204" s="126"/>
      <c r="X204" s="126"/>
      <c r="Y204" s="127">
        <f>+V204*((X204*'1. Standard_Cost'!$B$19)+(W204*X204*'1. Standard_Cost'!$C$19))</f>
        <v>0</v>
      </c>
      <c r="Z204" s="126"/>
      <c r="AA204" s="126"/>
      <c r="AB204" s="127">
        <f>+Z204*'1. Standard_Cost'!$B$23+AA204*'1. Standard_Cost'!$C$23</f>
        <v>0</v>
      </c>
      <c r="AC204" s="128"/>
      <c r="AD204" s="129"/>
      <c r="AE204" s="127">
        <f>SUM(AD204,AC204,AB204,Y204,U204,T204,S204,R204)*'1. Standard_Cost'!$B$31</f>
        <v>0</v>
      </c>
      <c r="AF204" s="127">
        <f>SUM(AE204,AD204,AC204,AB204,Y204,U204,T204,S204,R204)</f>
        <v>0</v>
      </c>
      <c r="AG204" s="126"/>
      <c r="AH204" s="126"/>
      <c r="AI204" s="126"/>
      <c r="AJ204" s="130"/>
      <c r="AK204" s="130"/>
      <c r="AL204" s="130"/>
      <c r="AM204" s="127">
        <f>AG204*'1. Standard_Cost'!$B$27+'Incremental_Cost Year 7'!AH204*'1. Standard_Cost'!$C$27+'Incremental_Cost Year 7'!AI204*'1. Standard_Cost'!$D$27+'Incremental_Cost Year 7'!AJ204+'Incremental_Cost Year 7'!AL204+AK204</f>
        <v>0</v>
      </c>
      <c r="AN204" s="127">
        <f>AM204*'1. Standard_Cost'!$C$31</f>
        <v>0</v>
      </c>
      <c r="AO204" s="130"/>
      <c r="AQ204" s="171">
        <f>L204+M204</f>
        <v>0</v>
      </c>
      <c r="AR204" s="171">
        <f>AF204</f>
        <v>0</v>
      </c>
      <c r="AS204" s="171">
        <f>AM204+AN204</f>
        <v>0</v>
      </c>
      <c r="AT204" s="171">
        <f>SUM(AQ204,AR204,AS204)</f>
        <v>0</v>
      </c>
      <c r="AU204" s="250">
        <f>AM204</f>
        <v>0</v>
      </c>
      <c r="AV204" s="250"/>
      <c r="AW204" s="250">
        <f>AT204</f>
        <v>0</v>
      </c>
      <c r="AX204" s="250"/>
      <c r="AY204" s="250"/>
      <c r="AZ204" s="250"/>
      <c r="BA204" s="250"/>
      <c r="BB204" s="251">
        <f t="shared" ref="BB204:BB208" si="134">SUM(AU204:BA204)-AT204</f>
        <v>0</v>
      </c>
      <c r="BC204" s="169"/>
      <c r="BD204" s="169"/>
      <c r="BE204" s="169"/>
      <c r="BF204" s="169"/>
    </row>
    <row r="205" spans="1:58" ht="47.25" outlineLevel="2" x14ac:dyDescent="0.25">
      <c r="A205" s="115"/>
      <c r="B205" s="200"/>
      <c r="C205" s="201"/>
      <c r="D205" s="202"/>
      <c r="E205" s="202"/>
      <c r="F205" s="219"/>
      <c r="G205" s="313"/>
      <c r="H205" s="199" t="s">
        <v>504</v>
      </c>
      <c r="I205" s="130"/>
      <c r="J205" s="126"/>
      <c r="K205" s="126"/>
      <c r="L205" s="125" t="str">
        <f>IF(I205&lt;&gt;0,((VLOOKUP(I205,'1. Standard_Cost'!$B$4:$D$11,2)+VLOOKUP(I205,'1. Standard_Cost'!$B$4:$D$11,3))*J205*K205),"0")</f>
        <v>0</v>
      </c>
      <c r="M205" s="125">
        <f>L205*'1. Standard_Cost'!$F$4</f>
        <v>0</v>
      </c>
      <c r="N205" s="126"/>
      <c r="O205" s="126"/>
      <c r="P205" s="126"/>
      <c r="Q205" s="126"/>
      <c r="R205" s="127">
        <f>'1. Standard_Cost'!$B$15*N205*P205</f>
        <v>0</v>
      </c>
      <c r="S205" s="127">
        <f>N205*O205*P205*'1. Standard_Cost'!$C$15</f>
        <v>0</v>
      </c>
      <c r="T205" s="127">
        <f>N205*P205*Q205*'1. Standard_Cost'!$D$15</f>
        <v>0</v>
      </c>
      <c r="U205" s="127">
        <f>N205*O205*'1. Standard_Cost'!$E$15</f>
        <v>0</v>
      </c>
      <c r="V205" s="126"/>
      <c r="W205" s="126"/>
      <c r="X205" s="126"/>
      <c r="Y205" s="127">
        <f>+V205*((X205*'1. Standard_Cost'!$B$19)+(W205*X205*'1. Standard_Cost'!$C$19))</f>
        <v>0</v>
      </c>
      <c r="Z205" s="126"/>
      <c r="AA205" s="126"/>
      <c r="AB205" s="127">
        <f>+Z205*'1. Standard_Cost'!$B$23+AA205*'1. Standard_Cost'!$C$23</f>
        <v>0</v>
      </c>
      <c r="AC205" s="128"/>
      <c r="AD205" s="129"/>
      <c r="AE205" s="127">
        <f>SUM(AD205,AC205,AB205,Y205,U205,T205,S205,R205)*'1. Standard_Cost'!$B$31</f>
        <v>0</v>
      </c>
      <c r="AF205" s="127">
        <f>SUM(AE205,AD205,AC205,AB205,Y205,U205,T205,S205,R205)</f>
        <v>0</v>
      </c>
      <c r="AG205" s="126"/>
      <c r="AH205" s="126"/>
      <c r="AI205" s="126"/>
      <c r="AJ205" s="130"/>
      <c r="AK205" s="130"/>
      <c r="AL205" s="130"/>
      <c r="AM205" s="127">
        <f>AG205*'1. Standard_Cost'!$B$27+'Incremental_Cost Year 7'!AH205*'1. Standard_Cost'!$C$27+'Incremental_Cost Year 7'!AI205*'1. Standard_Cost'!$D$27+'Incremental_Cost Year 7'!AJ205+'Incremental_Cost Year 7'!AL205+AK205</f>
        <v>0</v>
      </c>
      <c r="AN205" s="127">
        <f>AM205*'1. Standard_Cost'!$C$31</f>
        <v>0</v>
      </c>
      <c r="AO205" s="130"/>
      <c r="AQ205" s="171">
        <f>L205+M205</f>
        <v>0</v>
      </c>
      <c r="AR205" s="171">
        <f>AF205</f>
        <v>0</v>
      </c>
      <c r="AS205" s="171">
        <f>AM205+AN205</f>
        <v>0</v>
      </c>
      <c r="AT205" s="171">
        <f>SUM(AQ205,AR205,AS205)</f>
        <v>0</v>
      </c>
      <c r="AU205" s="250">
        <f>AT205</f>
        <v>0</v>
      </c>
      <c r="AV205" s="250"/>
      <c r="AW205" s="250"/>
      <c r="AX205" s="250"/>
      <c r="AY205" s="250"/>
      <c r="AZ205" s="250"/>
      <c r="BA205" s="250"/>
      <c r="BB205" s="251">
        <f t="shared" si="134"/>
        <v>0</v>
      </c>
      <c r="BC205" s="169"/>
      <c r="BD205" s="169"/>
      <c r="BE205" s="169"/>
      <c r="BF205" s="169"/>
    </row>
    <row r="206" spans="1:58" ht="63" outlineLevel="2" x14ac:dyDescent="0.25">
      <c r="A206" s="115"/>
      <c r="B206" s="200"/>
      <c r="C206" s="201"/>
      <c r="D206" s="202"/>
      <c r="E206" s="202"/>
      <c r="F206" s="308"/>
      <c r="G206" s="309"/>
      <c r="H206" s="199" t="s">
        <v>246</v>
      </c>
      <c r="I206" s="130"/>
      <c r="J206" s="126"/>
      <c r="K206" s="126"/>
      <c r="L206" s="125" t="str">
        <f>IF(I206&lt;&gt;0,((VLOOKUP(I206,'1. Standard_Cost'!$B$4:$D$11,2)+VLOOKUP(I206,'1. Standard_Cost'!$B$4:$D$11,3))*J206*K206),"0")</f>
        <v>0</v>
      </c>
      <c r="M206" s="125">
        <f>L206*'1. Standard_Cost'!$F$4</f>
        <v>0</v>
      </c>
      <c r="N206" s="126"/>
      <c r="O206" s="126"/>
      <c r="P206" s="126"/>
      <c r="Q206" s="126"/>
      <c r="R206" s="127">
        <f>'1. Standard_Cost'!$B$15*N206*P206</f>
        <v>0</v>
      </c>
      <c r="S206" s="127">
        <f>N206*O206*P206*'1. Standard_Cost'!$C$15</f>
        <v>0</v>
      </c>
      <c r="T206" s="127">
        <f>N206*P206*Q206*'1. Standard_Cost'!$D$15</f>
        <v>0</v>
      </c>
      <c r="U206" s="127">
        <f>N206*O206*'1. Standard_Cost'!$E$15</f>
        <v>0</v>
      </c>
      <c r="V206" s="126"/>
      <c r="W206" s="126"/>
      <c r="X206" s="126"/>
      <c r="Y206" s="127">
        <f>+V206*((X206*'1. Standard_Cost'!$B$19)+(W206*X206*'1. Standard_Cost'!$C$19))</f>
        <v>0</v>
      </c>
      <c r="Z206" s="126"/>
      <c r="AA206" s="126"/>
      <c r="AB206" s="127">
        <f>+Z206*'1. Standard_Cost'!$B$23+AA206*'1. Standard_Cost'!$C$23</f>
        <v>0</v>
      </c>
      <c r="AC206" s="128"/>
      <c r="AD206" s="129"/>
      <c r="AE206" s="127">
        <f>SUM(AD206,AC206,AB206,Y206,U206,T206,S206,R206)*'1. Standard_Cost'!$B$31</f>
        <v>0</v>
      </c>
      <c r="AF206" s="127">
        <f>SUM(AE206,AD206,AC206,AB206,Y206,U206,T206,S206,R206)</f>
        <v>0</v>
      </c>
      <c r="AG206" s="126"/>
      <c r="AH206" s="126"/>
      <c r="AI206" s="126"/>
      <c r="AJ206" s="130"/>
      <c r="AK206" s="130"/>
      <c r="AL206" s="130"/>
      <c r="AM206" s="127">
        <f>AG206*'1. Standard_Cost'!$B$27+'Incremental_Cost Year 7'!AH206*'1. Standard_Cost'!$C$27+'Incremental_Cost Year 7'!AI206*'1. Standard_Cost'!$D$27+'Incremental_Cost Year 7'!AJ206+'Incremental_Cost Year 7'!AL206+AK206</f>
        <v>0</v>
      </c>
      <c r="AN206" s="127">
        <f>AM206*'1. Standard_Cost'!$C$31</f>
        <v>0</v>
      </c>
      <c r="AO206" s="130"/>
      <c r="AQ206" s="171">
        <f>L206+M206</f>
        <v>0</v>
      </c>
      <c r="AR206" s="171">
        <f>AF206</f>
        <v>0</v>
      </c>
      <c r="AS206" s="171">
        <f>AM206+AN206</f>
        <v>0</v>
      </c>
      <c r="AT206" s="171">
        <f>SUM(AQ206,AR206,AS206)</f>
        <v>0</v>
      </c>
      <c r="AU206" s="250">
        <f>AT206</f>
        <v>0</v>
      </c>
      <c r="AV206" s="250"/>
      <c r="AW206" s="250"/>
      <c r="AX206" s="250"/>
      <c r="AY206" s="250"/>
      <c r="AZ206" s="250"/>
      <c r="BA206" s="250"/>
      <c r="BB206" s="251">
        <f t="shared" si="134"/>
        <v>0</v>
      </c>
      <c r="BC206" s="169"/>
      <c r="BD206" s="169"/>
      <c r="BE206" s="169"/>
      <c r="BF206" s="169"/>
    </row>
    <row r="207" spans="1:58" ht="63" outlineLevel="2" x14ac:dyDescent="0.25">
      <c r="A207" s="115"/>
      <c r="B207" s="200"/>
      <c r="C207" s="201"/>
      <c r="D207" s="202"/>
      <c r="E207" s="202"/>
      <c r="F207" s="308"/>
      <c r="G207" s="309"/>
      <c r="H207" s="199" t="s">
        <v>505</v>
      </c>
      <c r="I207" s="130"/>
      <c r="J207" s="126"/>
      <c r="K207" s="126"/>
      <c r="L207" s="125" t="str">
        <f>IF(I207&lt;&gt;0,((VLOOKUP(I207,'1. Standard_Cost'!$B$4:$D$11,2)+VLOOKUP(I207,'1. Standard_Cost'!$B$4:$D$11,3))*J207*K207),"0")</f>
        <v>0</v>
      </c>
      <c r="M207" s="125">
        <f>L207*'1. Standard_Cost'!$F$4</f>
        <v>0</v>
      </c>
      <c r="N207" s="126"/>
      <c r="O207" s="126"/>
      <c r="P207" s="126"/>
      <c r="Q207" s="126"/>
      <c r="R207" s="127">
        <f>'1. Standard_Cost'!$B$15*N207*P207</f>
        <v>0</v>
      </c>
      <c r="S207" s="127">
        <f>N207*O207*P207*'1. Standard_Cost'!$C$15</f>
        <v>0</v>
      </c>
      <c r="T207" s="127">
        <f>N207*P207*Q207*'1. Standard_Cost'!$D$15</f>
        <v>0</v>
      </c>
      <c r="U207" s="127">
        <f>N207*O207*'1. Standard_Cost'!$E$15</f>
        <v>0</v>
      </c>
      <c r="V207" s="126"/>
      <c r="W207" s="126"/>
      <c r="X207" s="126"/>
      <c r="Y207" s="127">
        <f>+V207*((X207*'1. Standard_Cost'!$B$19)+(W207*X207*'1. Standard_Cost'!$C$19))</f>
        <v>0</v>
      </c>
      <c r="Z207" s="126"/>
      <c r="AA207" s="126"/>
      <c r="AB207" s="127">
        <f>+Z207*'1. Standard_Cost'!$B$23+AA207*'1. Standard_Cost'!$C$23</f>
        <v>0</v>
      </c>
      <c r="AC207" s="128"/>
      <c r="AD207" s="129"/>
      <c r="AE207" s="127">
        <f>SUM(AD207,AC207,AB207,Y207,U207,T207,S207,R207)*'1. Standard_Cost'!$B$31</f>
        <v>0</v>
      </c>
      <c r="AF207" s="127">
        <f>SUM(AE207,AD207,AC207,AB207,Y207,U207,T207,S207,R207)</f>
        <v>0</v>
      </c>
      <c r="AG207" s="126"/>
      <c r="AH207" s="126"/>
      <c r="AI207" s="126"/>
      <c r="AJ207" s="130"/>
      <c r="AK207" s="130"/>
      <c r="AL207" s="130"/>
      <c r="AM207" s="127">
        <f>AG207*'1. Standard_Cost'!$B$27+'Incremental_Cost Year 7'!AH207*'1. Standard_Cost'!$C$27+'Incremental_Cost Year 7'!AI207*'1. Standard_Cost'!$D$27+'Incremental_Cost Year 7'!AJ207+'Incremental_Cost Year 7'!AL207+AK207</f>
        <v>0</v>
      </c>
      <c r="AN207" s="127">
        <f>AM207*'1. Standard_Cost'!$C$31</f>
        <v>0</v>
      </c>
      <c r="AO207" s="130"/>
      <c r="AQ207" s="171">
        <f>L207+M207</f>
        <v>0</v>
      </c>
      <c r="AR207" s="171">
        <f>AF207</f>
        <v>0</v>
      </c>
      <c r="AS207" s="171">
        <f>AM207+AN207</f>
        <v>0</v>
      </c>
      <c r="AT207" s="171">
        <f>SUM(AQ207,AR207,AS207)</f>
        <v>0</v>
      </c>
      <c r="AU207" s="250">
        <f>AT207</f>
        <v>0</v>
      </c>
      <c r="AV207" s="250"/>
      <c r="AW207" s="250"/>
      <c r="AX207" s="250"/>
      <c r="AY207" s="250"/>
      <c r="AZ207" s="250"/>
      <c r="BA207" s="250"/>
      <c r="BB207" s="251">
        <f t="shared" si="134"/>
        <v>0</v>
      </c>
      <c r="BC207" s="169"/>
      <c r="BD207" s="169"/>
      <c r="BE207" s="169"/>
      <c r="BF207" s="169"/>
    </row>
    <row r="208" spans="1:58" ht="63" outlineLevel="2" x14ac:dyDescent="0.25">
      <c r="A208" s="115"/>
      <c r="B208" s="200"/>
      <c r="C208" s="201"/>
      <c r="D208" s="202"/>
      <c r="E208" s="310"/>
      <c r="F208" s="311"/>
      <c r="G208" s="312"/>
      <c r="H208" s="199" t="s">
        <v>506</v>
      </c>
      <c r="I208" s="130"/>
      <c r="J208" s="126"/>
      <c r="K208" s="126"/>
      <c r="L208" s="125" t="str">
        <f>IF(I208&lt;&gt;0,((VLOOKUP(I208,'1. Standard_Cost'!$B$4:$D$11,2)+VLOOKUP(I208,'1. Standard_Cost'!$B$4:$D$11,3))*J208*K208),"0")</f>
        <v>0</v>
      </c>
      <c r="M208" s="125">
        <f>L208*'1. Standard_Cost'!$F$4</f>
        <v>0</v>
      </c>
      <c r="N208" s="126"/>
      <c r="O208" s="126"/>
      <c r="P208" s="126"/>
      <c r="Q208" s="126"/>
      <c r="R208" s="127">
        <f>'1. Standard_Cost'!$B$15*N208*P208</f>
        <v>0</v>
      </c>
      <c r="S208" s="127">
        <f>N208*O208*P208*'1. Standard_Cost'!$C$15</f>
        <v>0</v>
      </c>
      <c r="T208" s="127">
        <f>N208*P208*Q208*'1. Standard_Cost'!$D$15</f>
        <v>0</v>
      </c>
      <c r="U208" s="127">
        <f>N208*O208*'1. Standard_Cost'!$E$15</f>
        <v>0</v>
      </c>
      <c r="V208" s="126"/>
      <c r="W208" s="126"/>
      <c r="X208" s="126"/>
      <c r="Y208" s="127">
        <f>+V208*((X208*'1. Standard_Cost'!$B$19)+(W208*X208*'1. Standard_Cost'!$C$19))</f>
        <v>0</v>
      </c>
      <c r="Z208" s="126"/>
      <c r="AA208" s="126"/>
      <c r="AB208" s="127">
        <f>+Z208*'1. Standard_Cost'!$B$23+AA208*'1. Standard_Cost'!$C$23</f>
        <v>0</v>
      </c>
      <c r="AC208" s="128"/>
      <c r="AD208" s="129"/>
      <c r="AE208" s="127">
        <f>SUM(AD208,AC208,AB208,Y208,U208,T208,S208,R208)*'1. Standard_Cost'!$B$31</f>
        <v>0</v>
      </c>
      <c r="AF208" s="127">
        <f>SUM(AE208,AD208,AC208,AB208,Y208,U208,T208,S208,R208)</f>
        <v>0</v>
      </c>
      <c r="AG208" s="126"/>
      <c r="AH208" s="126"/>
      <c r="AI208" s="126"/>
      <c r="AJ208" s="130"/>
      <c r="AK208" s="130"/>
      <c r="AL208" s="130"/>
      <c r="AM208" s="127">
        <f>AG208*'1. Standard_Cost'!$B$27+'Incremental_Cost Year 7'!AH208*'1. Standard_Cost'!$C$27+'Incremental_Cost Year 7'!AI208*'1. Standard_Cost'!$D$27+'Incremental_Cost Year 7'!AJ208+'Incremental_Cost Year 7'!AL208+AK208</f>
        <v>0</v>
      </c>
      <c r="AN208" s="127">
        <f>AM208*'1. Standard_Cost'!$C$31</f>
        <v>0</v>
      </c>
      <c r="AO208" s="130"/>
      <c r="AQ208" s="171">
        <f>L208+M208</f>
        <v>0</v>
      </c>
      <c r="AR208" s="171">
        <f>AF208</f>
        <v>0</v>
      </c>
      <c r="AS208" s="171">
        <f>AM208+AN208</f>
        <v>0</v>
      </c>
      <c r="AT208" s="171">
        <f>SUM(AQ208,AR208,AS208)</f>
        <v>0</v>
      </c>
      <c r="AU208" s="250">
        <f>AT208</f>
        <v>0</v>
      </c>
      <c r="AV208" s="250"/>
      <c r="AW208" s="250"/>
      <c r="AX208" s="250"/>
      <c r="AY208" s="250"/>
      <c r="AZ208" s="250"/>
      <c r="BA208" s="250"/>
      <c r="BB208" s="251">
        <f t="shared" si="134"/>
        <v>0</v>
      </c>
      <c r="BC208" s="169"/>
      <c r="BD208" s="169"/>
      <c r="BE208" s="169"/>
      <c r="BF208" s="169"/>
    </row>
    <row r="209" spans="1:58" ht="63" outlineLevel="1" x14ac:dyDescent="0.25">
      <c r="A209" s="115"/>
      <c r="B209" s="165"/>
      <c r="C209" s="166"/>
      <c r="D209" s="150" t="s">
        <v>507</v>
      </c>
      <c r="E209" s="212" t="s">
        <v>247</v>
      </c>
      <c r="F209" s="311">
        <v>2021</v>
      </c>
      <c r="G209" s="312">
        <v>2025</v>
      </c>
      <c r="H209" s="110" t="s">
        <v>187</v>
      </c>
      <c r="I209" s="252"/>
      <c r="J209" s="252"/>
      <c r="K209" s="252"/>
      <c r="L209" s="127">
        <f>SUM(L204:L208)</f>
        <v>0</v>
      </c>
      <c r="M209" s="127">
        <f>SUM(M204:M208)</f>
        <v>0</v>
      </c>
      <c r="N209" s="252"/>
      <c r="O209" s="252"/>
      <c r="P209" s="252"/>
      <c r="Q209" s="252"/>
      <c r="R209" s="127">
        <f t="shared" ref="R209:U209" si="135">SUM(R204:R208)</f>
        <v>0</v>
      </c>
      <c r="S209" s="127">
        <f t="shared" si="135"/>
        <v>0</v>
      </c>
      <c r="T209" s="127">
        <f t="shared" si="135"/>
        <v>0</v>
      </c>
      <c r="U209" s="127">
        <f t="shared" si="135"/>
        <v>0</v>
      </c>
      <c r="V209" s="252"/>
      <c r="W209" s="252"/>
      <c r="X209" s="252"/>
      <c r="Y209" s="127">
        <f>SUM(Y204:Y208)</f>
        <v>0</v>
      </c>
      <c r="Z209" s="252"/>
      <c r="AA209" s="252"/>
      <c r="AB209" s="127">
        <f t="shared" ref="AB209:AF209" si="136">SUM(AB204:AB208)</f>
        <v>0</v>
      </c>
      <c r="AC209" s="127">
        <f t="shared" si="136"/>
        <v>0</v>
      </c>
      <c r="AD209" s="127">
        <f t="shared" si="136"/>
        <v>0</v>
      </c>
      <c r="AE209" s="127">
        <f t="shared" si="136"/>
        <v>0</v>
      </c>
      <c r="AF209" s="127">
        <f t="shared" si="136"/>
        <v>0</v>
      </c>
      <c r="AG209" s="252"/>
      <c r="AH209" s="252"/>
      <c r="AI209" s="252"/>
      <c r="AJ209" s="127">
        <f t="shared" ref="AJ209:AN209" si="137">SUM(AJ204:AJ208)</f>
        <v>0</v>
      </c>
      <c r="AK209" s="127">
        <f t="shared" si="137"/>
        <v>0</v>
      </c>
      <c r="AL209" s="127">
        <f t="shared" si="137"/>
        <v>0</v>
      </c>
      <c r="AM209" s="127">
        <f t="shared" si="137"/>
        <v>0</v>
      </c>
      <c r="AN209" s="127">
        <f t="shared" si="137"/>
        <v>0</v>
      </c>
      <c r="AO209" s="253"/>
      <c r="AP209" s="254"/>
      <c r="AQ209" s="127">
        <f t="shared" ref="AQ209:BB209" si="138">SUM(AQ204:AQ208)</f>
        <v>0</v>
      </c>
      <c r="AR209" s="127">
        <f t="shared" si="138"/>
        <v>0</v>
      </c>
      <c r="AS209" s="127">
        <f t="shared" si="138"/>
        <v>0</v>
      </c>
      <c r="AT209" s="127">
        <f t="shared" si="138"/>
        <v>0</v>
      </c>
      <c r="AU209" s="127">
        <f t="shared" si="138"/>
        <v>0</v>
      </c>
      <c r="AV209" s="127">
        <f t="shared" si="138"/>
        <v>0</v>
      </c>
      <c r="AW209" s="127">
        <f t="shared" si="138"/>
        <v>0</v>
      </c>
      <c r="AX209" s="127">
        <f t="shared" si="138"/>
        <v>0</v>
      </c>
      <c r="AY209" s="127">
        <f t="shared" si="138"/>
        <v>0</v>
      </c>
      <c r="AZ209" s="127">
        <f t="shared" si="138"/>
        <v>0</v>
      </c>
      <c r="BA209" s="127">
        <f t="shared" si="138"/>
        <v>0</v>
      </c>
      <c r="BB209" s="127">
        <f t="shared" si="138"/>
        <v>0</v>
      </c>
      <c r="BC209" s="169"/>
      <c r="BD209" s="169"/>
      <c r="BE209" s="169"/>
      <c r="BF209" s="169"/>
    </row>
    <row r="210" spans="1:58" ht="126" outlineLevel="2" x14ac:dyDescent="0.25">
      <c r="A210" s="115"/>
      <c r="B210" s="200"/>
      <c r="C210" s="201"/>
      <c r="D210" s="202"/>
      <c r="E210" s="226"/>
      <c r="F210" s="295"/>
      <c r="G210" s="296"/>
      <c r="H210" s="199" t="s">
        <v>508</v>
      </c>
      <c r="I210" s="130"/>
      <c r="J210" s="126"/>
      <c r="K210" s="126"/>
      <c r="L210" s="125" t="str">
        <f>IF(I210&lt;&gt;0,((VLOOKUP(I210,'1. Standard_Cost'!$B$4:$D$11,2)+VLOOKUP(I210,'1. Standard_Cost'!$B$4:$D$11,3))*J210*K210),"0")</f>
        <v>0</v>
      </c>
      <c r="M210" s="125">
        <f>L210*'1. Standard_Cost'!$F$4</f>
        <v>0</v>
      </c>
      <c r="N210" s="126"/>
      <c r="O210" s="126"/>
      <c r="P210" s="126"/>
      <c r="Q210" s="126"/>
      <c r="R210" s="127">
        <f>'1. Standard_Cost'!$B$15*N210*P210</f>
        <v>0</v>
      </c>
      <c r="S210" s="127">
        <f>N210*O210*P210*'1. Standard_Cost'!$C$15</f>
        <v>0</v>
      </c>
      <c r="T210" s="127">
        <f>N210*P210*Q210*'1. Standard_Cost'!$D$15</f>
        <v>0</v>
      </c>
      <c r="U210" s="127">
        <f>N210*O210*'1. Standard_Cost'!$E$15</f>
        <v>0</v>
      </c>
      <c r="V210" s="126"/>
      <c r="W210" s="126"/>
      <c r="X210" s="126"/>
      <c r="Y210" s="127">
        <f>+V210*((X210*'1. Standard_Cost'!$B$19)+(W210*X210*'1. Standard_Cost'!$C$19))</f>
        <v>0</v>
      </c>
      <c r="Z210" s="126"/>
      <c r="AA210" s="126"/>
      <c r="AB210" s="127">
        <f>+Z210*'1. Standard_Cost'!$B$23+AA210*'1. Standard_Cost'!$C$23</f>
        <v>0</v>
      </c>
      <c r="AC210" s="128"/>
      <c r="AD210" s="129"/>
      <c r="AE210" s="127">
        <f>SUM(AD210,AC210,AB210,Y210,U210,T210,S210,R210)*'1. Standard_Cost'!$B$31</f>
        <v>0</v>
      </c>
      <c r="AF210" s="127">
        <f>SUM(AE210,AD210,AC210,AB210,Y210,U210,T210,S210,R210)</f>
        <v>0</v>
      </c>
      <c r="AG210" s="126"/>
      <c r="AH210" s="126"/>
      <c r="AI210" s="126"/>
      <c r="AJ210" s="130"/>
      <c r="AK210" s="130"/>
      <c r="AL210" s="130"/>
      <c r="AM210" s="127">
        <f>AG210*'1. Standard_Cost'!$B$27+'Incremental_Cost Year 7'!AH210*'1. Standard_Cost'!$C$27+'Incremental_Cost Year 7'!AI210*'1. Standard_Cost'!$D$27+'Incremental_Cost Year 7'!AJ210+'Incremental_Cost Year 7'!AL210+AK210</f>
        <v>0</v>
      </c>
      <c r="AN210" s="127">
        <f>AM210*'1. Standard_Cost'!$C$31</f>
        <v>0</v>
      </c>
      <c r="AO210" s="130"/>
      <c r="AQ210" s="171">
        <f>L210+M210</f>
        <v>0</v>
      </c>
      <c r="AR210" s="171">
        <f>AF210</f>
        <v>0</v>
      </c>
      <c r="AS210" s="171">
        <f>AM210+AN210</f>
        <v>0</v>
      </c>
      <c r="AT210" s="171">
        <f>SUM(AQ210,AR210,AS210)</f>
        <v>0</v>
      </c>
      <c r="AU210" s="250">
        <f>AQ210</f>
        <v>0</v>
      </c>
      <c r="AV210" s="250"/>
      <c r="AW210" s="250"/>
      <c r="AX210" s="250"/>
      <c r="AY210" s="250"/>
      <c r="AZ210" s="250"/>
      <c r="BA210" s="250"/>
      <c r="BB210" s="251">
        <f t="shared" ref="BB210:BB211" si="139">SUM(AU210:BA210)-AT210</f>
        <v>0</v>
      </c>
      <c r="BC210" s="169"/>
      <c r="BD210" s="169"/>
      <c r="BE210" s="169"/>
      <c r="BF210" s="169"/>
    </row>
    <row r="211" spans="1:58" ht="126" outlineLevel="2" x14ac:dyDescent="0.25">
      <c r="A211" s="115"/>
      <c r="B211" s="200"/>
      <c r="C211" s="201"/>
      <c r="D211" s="202"/>
      <c r="E211" s="310"/>
      <c r="F211" s="122"/>
      <c r="G211" s="123"/>
      <c r="H211" s="199" t="s">
        <v>509</v>
      </c>
      <c r="I211" s="130"/>
      <c r="J211" s="126"/>
      <c r="K211" s="126"/>
      <c r="L211" s="125" t="str">
        <f>IF(I211&lt;&gt;0,((VLOOKUP(I211,'1. Standard_Cost'!$B$4:$D$11,2)+VLOOKUP(I211,'1. Standard_Cost'!$B$4:$D$11,3))*J211*K211),"0")</f>
        <v>0</v>
      </c>
      <c r="M211" s="125">
        <f>L211*'1. Standard_Cost'!$F$4</f>
        <v>0</v>
      </c>
      <c r="N211" s="126"/>
      <c r="O211" s="126"/>
      <c r="P211" s="126"/>
      <c r="Q211" s="126"/>
      <c r="R211" s="127">
        <f>'1. Standard_Cost'!$B$15*N211*P211</f>
        <v>0</v>
      </c>
      <c r="S211" s="127">
        <f>N211*O211*P211*'1. Standard_Cost'!$C$15</f>
        <v>0</v>
      </c>
      <c r="T211" s="127">
        <f>N211*P211*Q211*'1. Standard_Cost'!$D$15</f>
        <v>0</v>
      </c>
      <c r="U211" s="127">
        <f>N211*O211*'1. Standard_Cost'!$E$15</f>
        <v>0</v>
      </c>
      <c r="V211" s="126"/>
      <c r="W211" s="126"/>
      <c r="X211" s="126"/>
      <c r="Y211" s="127">
        <f>+V211*((X211*'1. Standard_Cost'!$B$19)+(W211*X211*'1. Standard_Cost'!$C$19))</f>
        <v>0</v>
      </c>
      <c r="Z211" s="126"/>
      <c r="AA211" s="126"/>
      <c r="AB211" s="127">
        <f>+Z211*'1. Standard_Cost'!$B$23+AA211*'1. Standard_Cost'!$C$23</f>
        <v>0</v>
      </c>
      <c r="AC211" s="128"/>
      <c r="AD211" s="129"/>
      <c r="AE211" s="127">
        <f>SUM(AD211,AC211,AB211,Y211,U211,T211,S211,R211)*'1. Standard_Cost'!$B$31</f>
        <v>0</v>
      </c>
      <c r="AF211" s="127">
        <f>SUM(AE211,AD211,AC211,AB211,Y211,U211,T211,S211,R211)</f>
        <v>0</v>
      </c>
      <c r="AG211" s="126"/>
      <c r="AH211" s="126"/>
      <c r="AI211" s="126"/>
      <c r="AJ211" s="130"/>
      <c r="AK211" s="130"/>
      <c r="AL211" s="130"/>
      <c r="AM211" s="127">
        <f>AG211*'1. Standard_Cost'!$B$27+'Incremental_Cost Year 7'!AH211*'1. Standard_Cost'!$C$27+'Incremental_Cost Year 7'!AI211*'1. Standard_Cost'!$D$27+'Incremental_Cost Year 7'!AJ211+'Incremental_Cost Year 7'!AL211+AK211</f>
        <v>0</v>
      </c>
      <c r="AN211" s="127">
        <f>AM211*'1. Standard_Cost'!$C$31</f>
        <v>0</v>
      </c>
      <c r="AO211" s="130"/>
      <c r="AQ211" s="171">
        <f>L211+M211</f>
        <v>0</v>
      </c>
      <c r="AR211" s="171">
        <f>AF211</f>
        <v>0</v>
      </c>
      <c r="AS211" s="171">
        <f>AM211+AN211</f>
        <v>0</v>
      </c>
      <c r="AT211" s="171">
        <f>SUM(AQ211,AR211,AS211)</f>
        <v>0</v>
      </c>
      <c r="AU211" s="250">
        <f>AQ211</f>
        <v>0</v>
      </c>
      <c r="AV211" s="250"/>
      <c r="AW211" s="250"/>
      <c r="AX211" s="250"/>
      <c r="AY211" s="250"/>
      <c r="AZ211" s="250"/>
      <c r="BA211" s="250"/>
      <c r="BB211" s="251">
        <f t="shared" si="139"/>
        <v>0</v>
      </c>
      <c r="BC211" s="169"/>
      <c r="BD211" s="169"/>
      <c r="BE211" s="169"/>
      <c r="BF211" s="169"/>
    </row>
    <row r="212" spans="1:58" ht="47.25" outlineLevel="1" x14ac:dyDescent="0.25">
      <c r="A212" s="115"/>
      <c r="B212" s="165"/>
      <c r="C212" s="166"/>
      <c r="D212" s="107" t="s">
        <v>233</v>
      </c>
      <c r="E212" s="212" t="s">
        <v>248</v>
      </c>
      <c r="F212" s="136">
        <v>2022</v>
      </c>
      <c r="G212" s="117">
        <v>2025</v>
      </c>
      <c r="H212" s="110" t="s">
        <v>188</v>
      </c>
      <c r="I212" s="252"/>
      <c r="J212" s="252"/>
      <c r="K212" s="252"/>
      <c r="L212" s="127">
        <f>SUM(L210:L211)</f>
        <v>0</v>
      </c>
      <c r="M212" s="127">
        <f>SUM(M210:M211)</f>
        <v>0</v>
      </c>
      <c r="N212" s="252"/>
      <c r="O212" s="252"/>
      <c r="P212" s="252"/>
      <c r="Q212" s="252"/>
      <c r="R212" s="127">
        <f>SUM(R210:R211)</f>
        <v>0</v>
      </c>
      <c r="S212" s="127">
        <f>SUM(S210:S211)</f>
        <v>0</v>
      </c>
      <c r="T212" s="127">
        <f>SUM(T210:T211)</f>
        <v>0</v>
      </c>
      <c r="U212" s="127">
        <f>SUM(U210:U211)</f>
        <v>0</v>
      </c>
      <c r="V212" s="252"/>
      <c r="W212" s="252"/>
      <c r="X212" s="252"/>
      <c r="Y212" s="127">
        <f>SUM(Y210:Y211)</f>
        <v>0</v>
      </c>
      <c r="Z212" s="252"/>
      <c r="AA212" s="252"/>
      <c r="AB212" s="127">
        <f>SUM(AB210:AB211)</f>
        <v>0</v>
      </c>
      <c r="AC212" s="127">
        <f>SUM(AC210:AC211)</f>
        <v>0</v>
      </c>
      <c r="AD212" s="127">
        <f>SUM(AD210:AD211)</f>
        <v>0</v>
      </c>
      <c r="AE212" s="127">
        <f>SUM(AE210:AE211)</f>
        <v>0</v>
      </c>
      <c r="AF212" s="127">
        <f>SUM(AF210:AF211)</f>
        <v>0</v>
      </c>
      <c r="AG212" s="252"/>
      <c r="AH212" s="252"/>
      <c r="AI212" s="252"/>
      <c r="AJ212" s="127">
        <f>SUM(AJ210:AJ211)</f>
        <v>0</v>
      </c>
      <c r="AK212" s="127">
        <f>SUM(AK210:AK211)</f>
        <v>0</v>
      </c>
      <c r="AL212" s="127">
        <f>SUM(AL210:AL211)</f>
        <v>0</v>
      </c>
      <c r="AM212" s="127">
        <f>SUM(AM210:AM211)</f>
        <v>0</v>
      </c>
      <c r="AN212" s="127">
        <f>SUM(AN210:AN211)</f>
        <v>0</v>
      </c>
      <c r="AO212" s="253"/>
      <c r="AP212" s="254"/>
      <c r="AQ212" s="175">
        <f>SUM(AQ210:AQ211)</f>
        <v>0</v>
      </c>
      <c r="AR212" s="175">
        <f>SUM(AR210:AR211)</f>
        <v>0</v>
      </c>
      <c r="AS212" s="175">
        <f>SUM(AS210:AS211)</f>
        <v>0</v>
      </c>
      <c r="AT212" s="175">
        <f>SUM(AT210:AT211)</f>
        <v>0</v>
      </c>
      <c r="AU212" s="175">
        <f t="shared" ref="AU212:BB212" si="140">SUM(AU210:AU211)</f>
        <v>0</v>
      </c>
      <c r="AV212" s="175">
        <f t="shared" si="140"/>
        <v>0</v>
      </c>
      <c r="AW212" s="175">
        <f t="shared" si="140"/>
        <v>0</v>
      </c>
      <c r="AX212" s="175">
        <f t="shared" si="140"/>
        <v>0</v>
      </c>
      <c r="AY212" s="175">
        <f t="shared" si="140"/>
        <v>0</v>
      </c>
      <c r="AZ212" s="175">
        <f t="shared" si="140"/>
        <v>0</v>
      </c>
      <c r="BA212" s="175">
        <f t="shared" si="140"/>
        <v>0</v>
      </c>
      <c r="BB212" s="175">
        <f t="shared" si="140"/>
        <v>0</v>
      </c>
      <c r="BC212" s="169"/>
      <c r="BD212" s="169"/>
      <c r="BE212" s="169"/>
      <c r="BF212" s="169"/>
    </row>
    <row r="213" spans="1:58" s="184" customFormat="1" ht="15.75" customHeight="1" x14ac:dyDescent="0.25">
      <c r="A213" s="143"/>
      <c r="B213" s="332"/>
      <c r="C213" s="397" t="s">
        <v>249</v>
      </c>
      <c r="D213" s="397"/>
      <c r="E213" s="398"/>
      <c r="F213" s="291"/>
      <c r="G213" s="340"/>
      <c r="H213" s="144" t="s">
        <v>299</v>
      </c>
      <c r="I213" s="257"/>
      <c r="J213" s="257"/>
      <c r="K213" s="257"/>
      <c r="L213" s="258">
        <f>SUM(L220)</f>
        <v>842465228.57142854</v>
      </c>
      <c r="M213" s="258">
        <f>SUM(M220)</f>
        <v>140691693.17142856</v>
      </c>
      <c r="N213" s="257"/>
      <c r="O213" s="257"/>
      <c r="P213" s="257"/>
      <c r="Q213" s="257"/>
      <c r="R213" s="258">
        <f>SUM(R220)</f>
        <v>0</v>
      </c>
      <c r="S213" s="258">
        <f>SUM(S220)</f>
        <v>0</v>
      </c>
      <c r="T213" s="258">
        <f>SUM(T220)</f>
        <v>0</v>
      </c>
      <c r="U213" s="258">
        <f>SUM(U220)</f>
        <v>0</v>
      </c>
      <c r="V213" s="257"/>
      <c r="W213" s="257"/>
      <c r="X213" s="257"/>
      <c r="Y213" s="258">
        <f>SUM(Y220)</f>
        <v>0</v>
      </c>
      <c r="Z213" s="258"/>
      <c r="AA213" s="258"/>
      <c r="AB213" s="258">
        <f>SUM(AB220)</f>
        <v>0</v>
      </c>
      <c r="AC213" s="258">
        <f>SUM(AC220)</f>
        <v>1442163000</v>
      </c>
      <c r="AD213" s="258">
        <f>SUM(AD220)</f>
        <v>0</v>
      </c>
      <c r="AE213" s="258">
        <f>SUM(AE220)</f>
        <v>0</v>
      </c>
      <c r="AF213" s="258">
        <f>SUM(AF220)</f>
        <v>1442163000</v>
      </c>
      <c r="AG213" s="257"/>
      <c r="AH213" s="257"/>
      <c r="AI213" s="257"/>
      <c r="AJ213" s="258">
        <f>SUM(AJ220)</f>
        <v>0</v>
      </c>
      <c r="AK213" s="258">
        <f>SUM(AK220)</f>
        <v>0</v>
      </c>
      <c r="AL213" s="258">
        <f>SUM(AL220)</f>
        <v>0</v>
      </c>
      <c r="AM213" s="258">
        <f>SUM(AM220)</f>
        <v>0</v>
      </c>
      <c r="AN213" s="258">
        <f>SUM(AN220)</f>
        <v>0</v>
      </c>
      <c r="AO213" s="259"/>
      <c r="AP213" s="260"/>
      <c r="AQ213" s="261">
        <f>SUM(AQ220)</f>
        <v>983156921.7428571</v>
      </c>
      <c r="AR213" s="261">
        <f>SUM(AR220)</f>
        <v>1442163000</v>
      </c>
      <c r="AS213" s="261">
        <f>SUM(AS220)</f>
        <v>0</v>
      </c>
      <c r="AT213" s="261">
        <f>SUM(AT220)</f>
        <v>2425319921.7428575</v>
      </c>
      <c r="AU213" s="261">
        <f t="shared" ref="AU213:BB213" si="141">SUM(AU220)</f>
        <v>2425319921.7428575</v>
      </c>
      <c r="AV213" s="261">
        <f t="shared" si="141"/>
        <v>0</v>
      </c>
      <c r="AW213" s="261">
        <f t="shared" si="141"/>
        <v>0</v>
      </c>
      <c r="AX213" s="261">
        <f t="shared" si="141"/>
        <v>0</v>
      </c>
      <c r="AY213" s="261">
        <f t="shared" si="141"/>
        <v>0</v>
      </c>
      <c r="AZ213" s="261">
        <f t="shared" si="141"/>
        <v>0</v>
      </c>
      <c r="BA213" s="261">
        <f t="shared" si="141"/>
        <v>0</v>
      </c>
      <c r="BB213" s="261">
        <f t="shared" si="141"/>
        <v>0</v>
      </c>
    </row>
    <row r="214" spans="1:58" ht="31.5" outlineLevel="2" x14ac:dyDescent="0.25">
      <c r="A214" s="115"/>
      <c r="B214" s="200"/>
      <c r="C214" s="201"/>
      <c r="D214" s="210"/>
      <c r="E214" s="328"/>
      <c r="F214" s="328"/>
      <c r="G214" s="328"/>
      <c r="H214" s="199" t="s">
        <v>510</v>
      </c>
      <c r="I214" s="130"/>
      <c r="J214" s="126"/>
      <c r="K214" s="126"/>
      <c r="L214" s="125" t="str">
        <f>IF(I214&lt;&gt;0,((VLOOKUP(I214,'1. Standard_Cost'!$B$4:$D$11,2)+VLOOKUP(I214,'1. Standard_Cost'!$B$4:$D$11,3))*J214*K214),"0")</f>
        <v>0</v>
      </c>
      <c r="M214" s="125">
        <f>L214*'1. Standard_Cost'!$F$4</f>
        <v>0</v>
      </c>
      <c r="N214" s="126"/>
      <c r="O214" s="126"/>
      <c r="P214" s="126"/>
      <c r="Q214" s="126"/>
      <c r="R214" s="127">
        <f>'1. Standard_Cost'!$B$15*N214*P214</f>
        <v>0</v>
      </c>
      <c r="S214" s="127">
        <f>N214*O214*P214*'1. Standard_Cost'!$C$15</f>
        <v>0</v>
      </c>
      <c r="T214" s="127">
        <f>N214*P214*Q214*'1. Standard_Cost'!$D$15</f>
        <v>0</v>
      </c>
      <c r="U214" s="127">
        <f>N214*O214*'1. Standard_Cost'!$E$15</f>
        <v>0</v>
      </c>
      <c r="V214" s="126"/>
      <c r="W214" s="126"/>
      <c r="X214" s="126"/>
      <c r="Y214" s="127">
        <f>+V214*((X214*'1. Standard_Cost'!$B$19)+(W214*X214*'1. Standard_Cost'!$C$19))</f>
        <v>0</v>
      </c>
      <c r="Z214" s="126"/>
      <c r="AA214" s="126"/>
      <c r="AB214" s="127">
        <f>+Z214*'1. Standard_Cost'!$B$23+AA214*'1. Standard_Cost'!$C$23</f>
        <v>0</v>
      </c>
      <c r="AC214" s="128"/>
      <c r="AD214" s="129"/>
      <c r="AE214" s="127">
        <f>SUM(AD214,AC214,AB214,Y214,U214,T214,S214,R214)*'1. Standard_Cost'!$B$31</f>
        <v>0</v>
      </c>
      <c r="AF214" s="127">
        <f t="shared" ref="AF214:AF219" si="142">SUM(AE214,AD214,AC214,AB214,Y214,U214,T214,S214,R214)</f>
        <v>0</v>
      </c>
      <c r="AG214" s="126"/>
      <c r="AH214" s="126"/>
      <c r="AI214" s="126"/>
      <c r="AJ214" s="130"/>
      <c r="AK214" s="130"/>
      <c r="AL214" s="130"/>
      <c r="AM214" s="127">
        <f>AG214*'1. Standard_Cost'!$B$27+'Incremental_Cost Year 7'!AH214*'1. Standard_Cost'!$C$27+'Incremental_Cost Year 7'!AI214*'1. Standard_Cost'!$D$27+'Incremental_Cost Year 7'!AJ214+'Incremental_Cost Year 7'!AL214+AK214</f>
        <v>0</v>
      </c>
      <c r="AN214" s="127">
        <f>AM214*'1. Standard_Cost'!$C$31</f>
        <v>0</v>
      </c>
      <c r="AO214" s="130"/>
      <c r="AQ214" s="171">
        <f t="shared" ref="AQ214:AQ219" si="143">L214+M214</f>
        <v>0</v>
      </c>
      <c r="AR214" s="171">
        <f t="shared" ref="AR214:AR219" si="144">AF214</f>
        <v>0</v>
      </c>
      <c r="AS214" s="171">
        <f t="shared" ref="AS214:AS219" si="145">AM214+AN214</f>
        <v>0</v>
      </c>
      <c r="AT214" s="171">
        <f t="shared" ref="AT214:AT219" si="146">SUM(AQ214,AR214,AS214)</f>
        <v>0</v>
      </c>
      <c r="AU214" s="250"/>
      <c r="AV214" s="250"/>
      <c r="AW214" s="250"/>
      <c r="AX214" s="250"/>
      <c r="AY214" s="250"/>
      <c r="AZ214" s="250"/>
      <c r="BA214" s="250"/>
      <c r="BB214" s="251">
        <f t="shared" ref="BB214:BB219" si="147">SUM(AU214:BA214)-AT214</f>
        <v>0</v>
      </c>
      <c r="BC214" s="169"/>
      <c r="BD214" s="169"/>
      <c r="BE214" s="169"/>
      <c r="BF214" s="169"/>
    </row>
    <row r="215" spans="1:58" ht="47.25" outlineLevel="2" x14ac:dyDescent="0.25">
      <c r="A215" s="115"/>
      <c r="B215" s="200"/>
      <c r="C215" s="201"/>
      <c r="D215" s="203"/>
      <c r="E215" s="328"/>
      <c r="F215" s="328"/>
      <c r="G215" s="328"/>
      <c r="H215" s="199" t="s">
        <v>511</v>
      </c>
      <c r="I215" s="130"/>
      <c r="J215" s="126"/>
      <c r="K215" s="126"/>
      <c r="L215" s="125" t="str">
        <f>IF(I215&lt;&gt;0,((VLOOKUP(I215,'1. Standard_Cost'!$B$4:$D$11,2)+VLOOKUP(I215,'1. Standard_Cost'!$B$4:$D$11,3))*J215*K215),"0")</f>
        <v>0</v>
      </c>
      <c r="M215" s="125">
        <f>L215*'1. Standard_Cost'!$F$4</f>
        <v>0</v>
      </c>
      <c r="N215" s="126"/>
      <c r="O215" s="126"/>
      <c r="P215" s="126"/>
      <c r="Q215" s="126"/>
      <c r="R215" s="127">
        <f>'1. Standard_Cost'!$B$15*N215*P215</f>
        <v>0</v>
      </c>
      <c r="S215" s="127">
        <f>N215*O215*P215*'1. Standard_Cost'!$C$15</f>
        <v>0</v>
      </c>
      <c r="T215" s="127">
        <f>N215*P215*Q215*'1. Standard_Cost'!$D$15</f>
        <v>0</v>
      </c>
      <c r="U215" s="127">
        <f>N215*O215*'1. Standard_Cost'!$E$15</f>
        <v>0</v>
      </c>
      <c r="V215" s="126"/>
      <c r="W215" s="126"/>
      <c r="X215" s="126"/>
      <c r="Y215" s="127">
        <f>+V215*((X215*'1. Standard_Cost'!$B$19)+(W215*X215*'1. Standard_Cost'!$C$19))</f>
        <v>0</v>
      </c>
      <c r="Z215" s="126"/>
      <c r="AA215" s="126"/>
      <c r="AB215" s="127">
        <f>+Z215*'1. Standard_Cost'!$B$23+AA215*'1. Standard_Cost'!$C$23</f>
        <v>0</v>
      </c>
      <c r="AC215" s="128"/>
      <c r="AD215" s="129"/>
      <c r="AE215" s="127">
        <f>SUM(AD215,AC215,AB215,Y215,U215,T215,S215,R215)*'1. Standard_Cost'!$B$31</f>
        <v>0</v>
      </c>
      <c r="AF215" s="127">
        <f t="shared" si="142"/>
        <v>0</v>
      </c>
      <c r="AG215" s="126"/>
      <c r="AH215" s="126"/>
      <c r="AI215" s="126"/>
      <c r="AJ215" s="130"/>
      <c r="AK215" s="130"/>
      <c r="AL215" s="130"/>
      <c r="AM215" s="127">
        <f>AG215*'1. Standard_Cost'!$B$27+'Incremental_Cost Year 7'!AH215*'1. Standard_Cost'!$C$27+'Incremental_Cost Year 7'!AI215*'1. Standard_Cost'!$D$27+'Incremental_Cost Year 7'!AJ215+'Incremental_Cost Year 7'!AL215+AK215</f>
        <v>0</v>
      </c>
      <c r="AN215" s="127">
        <f>AM215*'1. Standard_Cost'!$C$31</f>
        <v>0</v>
      </c>
      <c r="AO215" s="130"/>
      <c r="AQ215" s="171">
        <f t="shared" si="143"/>
        <v>0</v>
      </c>
      <c r="AR215" s="171">
        <f t="shared" si="144"/>
        <v>0</v>
      </c>
      <c r="AS215" s="171">
        <f t="shared" si="145"/>
        <v>0</v>
      </c>
      <c r="AT215" s="171">
        <f t="shared" si="146"/>
        <v>0</v>
      </c>
      <c r="AU215" s="250">
        <f>AT215</f>
        <v>0</v>
      </c>
      <c r="AV215" s="250"/>
      <c r="AW215" s="250"/>
      <c r="AX215" s="250"/>
      <c r="AY215" s="250"/>
      <c r="AZ215" s="250"/>
      <c r="BA215" s="250"/>
      <c r="BB215" s="251">
        <f t="shared" si="147"/>
        <v>0</v>
      </c>
      <c r="BC215" s="169"/>
      <c r="BD215" s="169"/>
      <c r="BE215" s="169"/>
      <c r="BF215" s="169"/>
    </row>
    <row r="216" spans="1:58" ht="78.75" outlineLevel="2" x14ac:dyDescent="0.25">
      <c r="A216" s="115"/>
      <c r="B216" s="200"/>
      <c r="C216" s="201"/>
      <c r="D216" s="203"/>
      <c r="E216" s="328"/>
      <c r="F216" s="328"/>
      <c r="G216" s="328"/>
      <c r="H216" s="199" t="s">
        <v>512</v>
      </c>
      <c r="I216" s="130"/>
      <c r="J216" s="126"/>
      <c r="K216" s="126"/>
      <c r="L216" s="125" t="str">
        <f>IF(I216&lt;&gt;0,((VLOOKUP(I216,'1. Standard_Cost'!$B$4:$D$11,2)+VLOOKUP(I216,'1. Standard_Cost'!$B$4:$D$11,3))*J216*K216),"0")</f>
        <v>0</v>
      </c>
      <c r="M216" s="125">
        <f>L216*'1. Standard_Cost'!$F$4</f>
        <v>0</v>
      </c>
      <c r="N216" s="126"/>
      <c r="O216" s="126"/>
      <c r="P216" s="126"/>
      <c r="Q216" s="126"/>
      <c r="R216" s="127">
        <f>'1. Standard_Cost'!$B$15*N216*P216</f>
        <v>0</v>
      </c>
      <c r="S216" s="127">
        <f>N216*O216*P216*'1. Standard_Cost'!$C$15</f>
        <v>0</v>
      </c>
      <c r="T216" s="127">
        <f>N216*P216*Q216*'1. Standard_Cost'!$D$15</f>
        <v>0</v>
      </c>
      <c r="U216" s="127">
        <f>N216*O216*'1. Standard_Cost'!$E$15</f>
        <v>0</v>
      </c>
      <c r="V216" s="126"/>
      <c r="W216" s="126"/>
      <c r="X216" s="126"/>
      <c r="Y216" s="127">
        <f>+V216*((X216*'1. Standard_Cost'!$B$19)+(W216*X216*'1. Standard_Cost'!$C$19))</f>
        <v>0</v>
      </c>
      <c r="Z216" s="126"/>
      <c r="AA216" s="126"/>
      <c r="AB216" s="127">
        <f>+Z216*'1. Standard_Cost'!$B$23+AA216*'1. Standard_Cost'!$C$23</f>
        <v>0</v>
      </c>
      <c r="AC216" s="128"/>
      <c r="AD216" s="129"/>
      <c r="AE216" s="127">
        <f>SUM(AD216,AC216,AB216,Y216,U216,T216,S216,R216)*'1. Standard_Cost'!$B$31</f>
        <v>0</v>
      </c>
      <c r="AF216" s="127">
        <f t="shared" si="142"/>
        <v>0</v>
      </c>
      <c r="AG216" s="126"/>
      <c r="AH216" s="126"/>
      <c r="AI216" s="126"/>
      <c r="AJ216" s="130"/>
      <c r="AK216" s="130"/>
      <c r="AL216" s="130"/>
      <c r="AM216" s="127">
        <f>AG216*'1. Standard_Cost'!$B$27+'Incremental_Cost Year 7'!AH216*'1. Standard_Cost'!$C$27+'Incremental_Cost Year 7'!AI216*'1. Standard_Cost'!$D$27+'Incremental_Cost Year 7'!AJ216+'Incremental_Cost Year 7'!AL216+AK216</f>
        <v>0</v>
      </c>
      <c r="AN216" s="127">
        <f>AM216*'1. Standard_Cost'!$C$31</f>
        <v>0</v>
      </c>
      <c r="AO216" s="130"/>
      <c r="AQ216" s="171">
        <f t="shared" si="143"/>
        <v>0</v>
      </c>
      <c r="AR216" s="171">
        <f t="shared" si="144"/>
        <v>0</v>
      </c>
      <c r="AS216" s="171">
        <f t="shared" si="145"/>
        <v>0</v>
      </c>
      <c r="AT216" s="171">
        <f t="shared" si="146"/>
        <v>0</v>
      </c>
      <c r="AU216" s="250"/>
      <c r="AV216" s="250"/>
      <c r="AW216" s="250"/>
      <c r="AX216" s="250"/>
      <c r="AY216" s="250"/>
      <c r="AZ216" s="250"/>
      <c r="BA216" s="250"/>
      <c r="BB216" s="251">
        <f t="shared" si="147"/>
        <v>0</v>
      </c>
      <c r="BC216" s="169"/>
      <c r="BD216" s="169"/>
      <c r="BE216" s="169"/>
      <c r="BF216" s="169"/>
    </row>
    <row r="217" spans="1:58" ht="47.25" outlineLevel="2" x14ac:dyDescent="0.25">
      <c r="A217" s="115"/>
      <c r="B217" s="200"/>
      <c r="C217" s="201"/>
      <c r="D217" s="203"/>
      <c r="E217" s="328"/>
      <c r="F217" s="328"/>
      <c r="G217" s="328"/>
      <c r="H217" s="213" t="s">
        <v>250</v>
      </c>
      <c r="I217" s="130" t="s">
        <v>1</v>
      </c>
      <c r="J217" s="126">
        <v>12</v>
      </c>
      <c r="K217" s="126">
        <v>824</v>
      </c>
      <c r="L217" s="125">
        <f>IF(I217&lt;&gt;0,((VLOOKUP(I217,'1. Standard_Cost'!$B$4:$D$11,2)+VLOOKUP(I217,'1. Standard_Cost'!$B$4:$D$11,3))*J217*K217),"0")</f>
        <v>709887771.42857134</v>
      </c>
      <c r="M217" s="125">
        <f>L217*'1. Standard_Cost'!$F$4</f>
        <v>118551257.82857142</v>
      </c>
      <c r="N217" s="126"/>
      <c r="O217" s="126"/>
      <c r="P217" s="126"/>
      <c r="Q217" s="126"/>
      <c r="R217" s="127">
        <f>'1. Standard_Cost'!$B$15*N217*P217</f>
        <v>0</v>
      </c>
      <c r="S217" s="127">
        <f>N217*O217*P217*'1. Standard_Cost'!$C$15</f>
        <v>0</v>
      </c>
      <c r="T217" s="127">
        <f>N217*P217*Q217*'1. Standard_Cost'!$D$15</f>
        <v>0</v>
      </c>
      <c r="U217" s="127">
        <f>N217*O217*'1. Standard_Cost'!$E$15</f>
        <v>0</v>
      </c>
      <c r="V217" s="126"/>
      <c r="W217" s="126"/>
      <c r="X217" s="126"/>
      <c r="Y217" s="127">
        <f>+V217*((X217*'1. Standard_Cost'!$B$19)+(W217*X217*'1. Standard_Cost'!$C$19))</f>
        <v>0</v>
      </c>
      <c r="Z217" s="126"/>
      <c r="AA217" s="126"/>
      <c r="AB217" s="127">
        <f>+Z217*'1. Standard_Cost'!$B$23+AA217*'1. Standard_Cost'!$C$23</f>
        <v>0</v>
      </c>
      <c r="AC217" s="128">
        <f>230000000+250000000*2</f>
        <v>730000000</v>
      </c>
      <c r="AD217" s="129"/>
      <c r="AE217" s="127"/>
      <c r="AF217" s="127">
        <f t="shared" si="142"/>
        <v>730000000</v>
      </c>
      <c r="AG217" s="126"/>
      <c r="AH217" s="126"/>
      <c r="AI217" s="126"/>
      <c r="AJ217" s="130"/>
      <c r="AK217" s="130"/>
      <c r="AL217" s="130"/>
      <c r="AM217" s="127">
        <f>AG217*'1. Standard_Cost'!$B$27+'Incremental_Cost Year 7'!AH217*'1. Standard_Cost'!$C$27+'Incremental_Cost Year 7'!AI217*'1. Standard_Cost'!$D$27+'Incremental_Cost Year 7'!AJ217+'Incremental_Cost Year 7'!AL217+AK217</f>
        <v>0</v>
      </c>
      <c r="AN217" s="127">
        <f>AM217*'1. Standard_Cost'!$C$31</f>
        <v>0</v>
      </c>
      <c r="AO217" s="130"/>
      <c r="AQ217" s="171">
        <f t="shared" si="143"/>
        <v>828439029.25714278</v>
      </c>
      <c r="AR217" s="171">
        <f t="shared" si="144"/>
        <v>730000000</v>
      </c>
      <c r="AS217" s="171">
        <f t="shared" si="145"/>
        <v>0</v>
      </c>
      <c r="AT217" s="171">
        <f t="shared" si="146"/>
        <v>1558439029.2571428</v>
      </c>
      <c r="AU217" s="250">
        <f>AT217</f>
        <v>1558439029.2571428</v>
      </c>
      <c r="AV217" s="250"/>
      <c r="AW217" s="250"/>
      <c r="AX217" s="250"/>
      <c r="AY217" s="250"/>
      <c r="AZ217" s="250"/>
      <c r="BA217" s="250"/>
      <c r="BB217" s="251">
        <f t="shared" si="147"/>
        <v>0</v>
      </c>
      <c r="BC217" s="169"/>
      <c r="BD217" s="169"/>
      <c r="BE217" s="169"/>
      <c r="BF217" s="169"/>
    </row>
    <row r="218" spans="1:58" ht="47.25" outlineLevel="2" x14ac:dyDescent="0.25">
      <c r="A218" s="115"/>
      <c r="B218" s="200"/>
      <c r="C218" s="201"/>
      <c r="D218" s="203"/>
      <c r="E218" s="328"/>
      <c r="F218" s="328"/>
      <c r="G218" s="328"/>
      <c r="H218" s="213" t="s">
        <v>513</v>
      </c>
      <c r="I218" s="130" t="s">
        <v>1</v>
      </c>
      <c r="J218" s="126">
        <v>12</v>
      </c>
      <c r="K218" s="126">
        <v>123</v>
      </c>
      <c r="L218" s="125">
        <f>IF(I218&lt;&gt;0,((VLOOKUP(I218,'1. Standard_Cost'!$B$4:$D$11,2)+VLOOKUP(I218,'1. Standard_Cost'!$B$4:$D$11,3))*J218*K218),"0")</f>
        <v>105966257.14285713</v>
      </c>
      <c r="M218" s="125">
        <f>L218*'1. Standard_Cost'!$F$4</f>
        <v>17696364.942857143</v>
      </c>
      <c r="N218" s="126"/>
      <c r="O218" s="126"/>
      <c r="P218" s="126"/>
      <c r="Q218" s="126"/>
      <c r="R218" s="127">
        <f>'1. Standard_Cost'!$B$15*N218*P218</f>
        <v>0</v>
      </c>
      <c r="S218" s="127">
        <f>N218*O218*P218*'1. Standard_Cost'!$C$15</f>
        <v>0</v>
      </c>
      <c r="T218" s="127">
        <f>N218*P218*Q218*'1. Standard_Cost'!$D$15</f>
        <v>0</v>
      </c>
      <c r="U218" s="127">
        <f>N218*O218*'1. Standard_Cost'!$E$15</f>
        <v>0</v>
      </c>
      <c r="V218" s="126"/>
      <c r="W218" s="126"/>
      <c r="X218" s="126"/>
      <c r="Y218" s="127">
        <f>+V218*((X218*'1. Standard_Cost'!$B$19)+(W218*X218*'1. Standard_Cost'!$C$19))</f>
        <v>0</v>
      </c>
      <c r="Z218" s="126"/>
      <c r="AA218" s="126"/>
      <c r="AB218" s="127">
        <f>+Z218*'1. Standard_Cost'!$B$23+AA218*'1. Standard_Cost'!$C$23</f>
        <v>0</v>
      </c>
      <c r="AC218" s="128">
        <f>220000000*3</f>
        <v>660000000</v>
      </c>
      <c r="AD218" s="129"/>
      <c r="AE218" s="127"/>
      <c r="AF218" s="127">
        <f t="shared" si="142"/>
        <v>660000000</v>
      </c>
      <c r="AG218" s="126"/>
      <c r="AH218" s="126"/>
      <c r="AI218" s="126"/>
      <c r="AJ218" s="130"/>
      <c r="AK218" s="130"/>
      <c r="AL218" s="130"/>
      <c r="AM218" s="127">
        <f>AG218*'1. Standard_Cost'!$B$27+'Incremental_Cost Year 7'!AH218*'1. Standard_Cost'!$C$27+'Incremental_Cost Year 7'!AI218*'1. Standard_Cost'!$D$27+'Incremental_Cost Year 7'!AJ218+'Incremental_Cost Year 7'!AL218+AK218</f>
        <v>0</v>
      </c>
      <c r="AN218" s="127">
        <f>AM218*'1. Standard_Cost'!$C$31</f>
        <v>0</v>
      </c>
      <c r="AO218" s="130"/>
      <c r="AQ218" s="171">
        <f t="shared" si="143"/>
        <v>123662622.08571428</v>
      </c>
      <c r="AR218" s="171">
        <f t="shared" si="144"/>
        <v>660000000</v>
      </c>
      <c r="AS218" s="171">
        <f t="shared" si="145"/>
        <v>0</v>
      </c>
      <c r="AT218" s="171">
        <f t="shared" si="146"/>
        <v>783662622.08571434</v>
      </c>
      <c r="AU218" s="250">
        <f>AT218</f>
        <v>783662622.08571434</v>
      </c>
      <c r="AV218" s="250"/>
      <c r="AW218" s="250"/>
      <c r="AX218" s="250"/>
      <c r="AY218" s="250"/>
      <c r="AZ218" s="250"/>
      <c r="BA218" s="250"/>
      <c r="BB218" s="251">
        <f t="shared" si="147"/>
        <v>0</v>
      </c>
      <c r="BC218" s="169"/>
      <c r="BD218" s="169"/>
      <c r="BE218" s="169"/>
      <c r="BF218" s="169"/>
    </row>
    <row r="219" spans="1:58" ht="63" outlineLevel="2" x14ac:dyDescent="0.25">
      <c r="A219" s="115"/>
      <c r="B219" s="200"/>
      <c r="C219" s="201"/>
      <c r="D219" s="203"/>
      <c r="E219" s="328"/>
      <c r="F219" s="328"/>
      <c r="G219" s="328"/>
      <c r="H219" s="199" t="s">
        <v>514</v>
      </c>
      <c r="I219" s="130" t="s">
        <v>3</v>
      </c>
      <c r="J219" s="126">
        <v>3</v>
      </c>
      <c r="K219" s="126">
        <v>88</v>
      </c>
      <c r="L219" s="125">
        <f>IF(I219&lt;&gt;0,((VLOOKUP(I219,'1. Standard_Cost'!$B$4:$D$11,2)+VLOOKUP(I219,'1. Standard_Cost'!$B$4:$D$11,3))*J219*K219),"0")</f>
        <v>26611200</v>
      </c>
      <c r="M219" s="125">
        <f>L219*'1. Standard_Cost'!$F$4</f>
        <v>4444070.4000000004</v>
      </c>
      <c r="N219" s="126"/>
      <c r="O219" s="126"/>
      <c r="P219" s="126"/>
      <c r="Q219" s="126"/>
      <c r="R219" s="127">
        <f>'1. Standard_Cost'!$B$15*N219*P219</f>
        <v>0</v>
      </c>
      <c r="S219" s="127">
        <f>N219*O219*P219*'1. Standard_Cost'!$C$15</f>
        <v>0</v>
      </c>
      <c r="T219" s="127">
        <f>N219*P219*Q219*'1. Standard_Cost'!$D$15</f>
        <v>0</v>
      </c>
      <c r="U219" s="127">
        <f>N219*O219*'1. Standard_Cost'!$E$15</f>
        <v>0</v>
      </c>
      <c r="V219" s="126"/>
      <c r="W219" s="126"/>
      <c r="X219" s="126"/>
      <c r="Y219" s="127">
        <f>+V219*((X219*'1. Standard_Cost'!$B$19)+(W219*X219*'1. Standard_Cost'!$C$19))</f>
        <v>0</v>
      </c>
      <c r="Z219" s="126"/>
      <c r="AA219" s="126"/>
      <c r="AB219" s="127">
        <f>+Z219*'1. Standard_Cost'!$B$23+AA219*'1. Standard_Cost'!$C$23</f>
        <v>0</v>
      </c>
      <c r="AC219" s="128">
        <v>52163000</v>
      </c>
      <c r="AD219" s="129"/>
      <c r="AE219" s="127"/>
      <c r="AF219" s="127">
        <f t="shared" si="142"/>
        <v>52163000</v>
      </c>
      <c r="AG219" s="126"/>
      <c r="AH219" s="126"/>
      <c r="AI219" s="126"/>
      <c r="AJ219" s="130"/>
      <c r="AK219" s="130"/>
      <c r="AL219" s="130"/>
      <c r="AM219" s="127">
        <f>AG219*'1. Standard_Cost'!$B$27+'Incremental_Cost Year 7'!AH219*'1. Standard_Cost'!$C$27+'Incremental_Cost Year 7'!AI219*'1. Standard_Cost'!$D$27+'Incremental_Cost Year 7'!AJ219+'Incremental_Cost Year 7'!AL219+AK219</f>
        <v>0</v>
      </c>
      <c r="AN219" s="127">
        <f>AM219*'1. Standard_Cost'!$C$31</f>
        <v>0</v>
      </c>
      <c r="AO219" s="130"/>
      <c r="AQ219" s="171">
        <f t="shared" si="143"/>
        <v>31055270.399999999</v>
      </c>
      <c r="AR219" s="171">
        <f t="shared" si="144"/>
        <v>52163000</v>
      </c>
      <c r="AS219" s="171">
        <f t="shared" si="145"/>
        <v>0</v>
      </c>
      <c r="AT219" s="171">
        <f t="shared" si="146"/>
        <v>83218270.400000006</v>
      </c>
      <c r="AU219" s="250">
        <f>AT219</f>
        <v>83218270.400000006</v>
      </c>
      <c r="AV219" s="250"/>
      <c r="AW219" s="250"/>
      <c r="AX219" s="250"/>
      <c r="AY219" s="250"/>
      <c r="AZ219" s="250"/>
      <c r="BA219" s="250"/>
      <c r="BB219" s="251">
        <f t="shared" si="147"/>
        <v>0</v>
      </c>
      <c r="BC219" s="169"/>
      <c r="BD219" s="169"/>
      <c r="BE219" s="169"/>
      <c r="BF219" s="169"/>
    </row>
    <row r="220" spans="1:58" ht="78.75" outlineLevel="1" x14ac:dyDescent="0.25">
      <c r="A220" s="115"/>
      <c r="B220" s="165"/>
      <c r="C220" s="166"/>
      <c r="D220" s="139" t="s">
        <v>557</v>
      </c>
      <c r="E220" s="212" t="s">
        <v>251</v>
      </c>
      <c r="F220" s="352">
        <v>2021</v>
      </c>
      <c r="G220" s="353">
        <v>2030</v>
      </c>
      <c r="H220" s="150" t="s">
        <v>252</v>
      </c>
      <c r="I220" s="252"/>
      <c r="J220" s="252"/>
      <c r="K220" s="252"/>
      <c r="L220" s="127">
        <f>SUM(L214:L219)</f>
        <v>842465228.57142854</v>
      </c>
      <c r="M220" s="127">
        <f>SUM(M214:M219)</f>
        <v>140691693.17142856</v>
      </c>
      <c r="N220" s="252"/>
      <c r="O220" s="252"/>
      <c r="P220" s="252"/>
      <c r="Q220" s="252"/>
      <c r="R220" s="127">
        <f>SUM(R214:R219)</f>
        <v>0</v>
      </c>
      <c r="S220" s="127">
        <f>SUM(S214:S219)</f>
        <v>0</v>
      </c>
      <c r="T220" s="127">
        <f>SUM(T214:T219)</f>
        <v>0</v>
      </c>
      <c r="U220" s="127">
        <f>SUM(U214:U219)</f>
        <v>0</v>
      </c>
      <c r="V220" s="252"/>
      <c r="W220" s="252"/>
      <c r="X220" s="252"/>
      <c r="Y220" s="127">
        <f>SUM(Y214:Y219)</f>
        <v>0</v>
      </c>
      <c r="Z220" s="127"/>
      <c r="AA220" s="252"/>
      <c r="AB220" s="127">
        <f>SUM(AB214:AB219)</f>
        <v>0</v>
      </c>
      <c r="AC220" s="127">
        <f>SUM(AC214:AC219)</f>
        <v>1442163000</v>
      </c>
      <c r="AD220" s="127">
        <f>SUM(AD214:AD219)</f>
        <v>0</v>
      </c>
      <c r="AE220" s="127">
        <f>SUM(AE214:AE219)</f>
        <v>0</v>
      </c>
      <c r="AF220" s="127">
        <f>SUM(AF214:AF219)</f>
        <v>1442163000</v>
      </c>
      <c r="AG220" s="252"/>
      <c r="AH220" s="252"/>
      <c r="AI220" s="252"/>
      <c r="AJ220" s="127">
        <f>SUM(AJ214:AJ219)</f>
        <v>0</v>
      </c>
      <c r="AK220" s="127">
        <f>SUM(AK214:AK219)</f>
        <v>0</v>
      </c>
      <c r="AL220" s="127">
        <f>SUM(AL214:AL219)</f>
        <v>0</v>
      </c>
      <c r="AM220" s="127">
        <f>SUM(AM214:AM219)</f>
        <v>0</v>
      </c>
      <c r="AN220" s="127">
        <f>SUM(AN214:AN219)</f>
        <v>0</v>
      </c>
      <c r="AO220" s="253"/>
      <c r="AP220" s="254"/>
      <c r="AQ220" s="175">
        <f>SUM(AQ214:AQ219)</f>
        <v>983156921.7428571</v>
      </c>
      <c r="AR220" s="175">
        <f>SUM(AR214:AR219)</f>
        <v>1442163000</v>
      </c>
      <c r="AS220" s="175">
        <f>SUM(AS214:AS219)</f>
        <v>0</v>
      </c>
      <c r="AT220" s="175">
        <f>SUM(AT214:AT219)</f>
        <v>2425319921.7428575</v>
      </c>
      <c r="AU220" s="175">
        <f t="shared" ref="AU220:BB220" si="148">SUM(AU214:AU219)</f>
        <v>2425319921.7428575</v>
      </c>
      <c r="AV220" s="175">
        <f t="shared" si="148"/>
        <v>0</v>
      </c>
      <c r="AW220" s="175">
        <f t="shared" si="148"/>
        <v>0</v>
      </c>
      <c r="AX220" s="175">
        <f t="shared" si="148"/>
        <v>0</v>
      </c>
      <c r="AY220" s="175">
        <f t="shared" si="148"/>
        <v>0</v>
      </c>
      <c r="AZ220" s="175">
        <f t="shared" si="148"/>
        <v>0</v>
      </c>
      <c r="BA220" s="175">
        <f t="shared" si="148"/>
        <v>0</v>
      </c>
      <c r="BB220" s="175">
        <f t="shared" si="148"/>
        <v>0</v>
      </c>
      <c r="BC220" s="169"/>
      <c r="BD220" s="169"/>
      <c r="BE220" s="169"/>
      <c r="BF220" s="169"/>
    </row>
    <row r="221" spans="1:58" s="184" customFormat="1" ht="15.75" customHeight="1" x14ac:dyDescent="0.25">
      <c r="A221" s="143"/>
      <c r="B221" s="332"/>
      <c r="C221" s="397" t="s">
        <v>253</v>
      </c>
      <c r="D221" s="397"/>
      <c r="E221" s="398"/>
      <c r="F221" s="291"/>
      <c r="G221" s="340"/>
      <c r="H221" s="144" t="s">
        <v>300</v>
      </c>
      <c r="I221" s="257"/>
      <c r="J221" s="257"/>
      <c r="K221" s="257"/>
      <c r="L221" s="258">
        <f>SUM(L225)</f>
        <v>0</v>
      </c>
      <c r="M221" s="258">
        <f>SUM(M225)</f>
        <v>0</v>
      </c>
      <c r="N221" s="257"/>
      <c r="O221" s="257"/>
      <c r="P221" s="257"/>
      <c r="Q221" s="257"/>
      <c r="R221" s="258">
        <f>SUM(R225)</f>
        <v>0</v>
      </c>
      <c r="S221" s="258">
        <f>SUM(S225)</f>
        <v>0</v>
      </c>
      <c r="T221" s="258">
        <f>SUM(T225)</f>
        <v>0</v>
      </c>
      <c r="U221" s="258">
        <f>SUM(U225)</f>
        <v>0</v>
      </c>
      <c r="V221" s="257"/>
      <c r="W221" s="257"/>
      <c r="X221" s="257"/>
      <c r="Y221" s="258">
        <f>SUM(Y225)</f>
        <v>0</v>
      </c>
      <c r="Z221" s="258"/>
      <c r="AA221" s="258"/>
      <c r="AB221" s="258">
        <f>SUM(AB225)</f>
        <v>0</v>
      </c>
      <c r="AC221" s="258">
        <f>SUM(AC225)</f>
        <v>0</v>
      </c>
      <c r="AD221" s="258">
        <f>SUM(AD225)</f>
        <v>0</v>
      </c>
      <c r="AE221" s="258">
        <f>SUM(AE225)</f>
        <v>0</v>
      </c>
      <c r="AF221" s="258">
        <f>SUM(AF225)</f>
        <v>0</v>
      </c>
      <c r="AG221" s="257"/>
      <c r="AH221" s="257"/>
      <c r="AI221" s="257"/>
      <c r="AJ221" s="258">
        <f>SUM(AJ225)</f>
        <v>0</v>
      </c>
      <c r="AK221" s="258">
        <f>SUM(AK225)</f>
        <v>0</v>
      </c>
      <c r="AL221" s="258">
        <f>SUM(AL225)</f>
        <v>0</v>
      </c>
      <c r="AM221" s="258">
        <f>SUM(AM225)</f>
        <v>0</v>
      </c>
      <c r="AN221" s="258">
        <f>SUM(AN225)</f>
        <v>0</v>
      </c>
      <c r="AO221" s="259"/>
      <c r="AP221" s="260"/>
      <c r="AQ221" s="261">
        <f>SUM(AQ225)</f>
        <v>0</v>
      </c>
      <c r="AR221" s="261">
        <f>SUM(AR225)</f>
        <v>0</v>
      </c>
      <c r="AS221" s="261">
        <f>SUM(AS225)</f>
        <v>0</v>
      </c>
      <c r="AT221" s="261">
        <f>SUM(AT225)</f>
        <v>0</v>
      </c>
      <c r="AU221" s="261">
        <f t="shared" ref="AU221:BB221" si="149">SUM(AU225)</f>
        <v>0</v>
      </c>
      <c r="AV221" s="261">
        <f t="shared" si="149"/>
        <v>0</v>
      </c>
      <c r="AW221" s="261">
        <f t="shared" si="149"/>
        <v>0</v>
      </c>
      <c r="AX221" s="261">
        <f t="shared" si="149"/>
        <v>0</v>
      </c>
      <c r="AY221" s="261">
        <f t="shared" si="149"/>
        <v>0</v>
      </c>
      <c r="AZ221" s="261">
        <f t="shared" si="149"/>
        <v>0</v>
      </c>
      <c r="BA221" s="261">
        <f t="shared" si="149"/>
        <v>0</v>
      </c>
      <c r="BB221" s="261">
        <f t="shared" si="149"/>
        <v>0</v>
      </c>
    </row>
    <row r="222" spans="1:58" ht="63" outlineLevel="2" x14ac:dyDescent="0.25">
      <c r="A222" s="115"/>
      <c r="B222" s="200"/>
      <c r="C222" s="201"/>
      <c r="D222" s="342"/>
      <c r="E222" s="328"/>
      <c r="F222" s="328"/>
      <c r="G222" s="328"/>
      <c r="H222" s="199" t="s">
        <v>515</v>
      </c>
      <c r="I222" s="130"/>
      <c r="J222" s="126"/>
      <c r="K222" s="126"/>
      <c r="L222" s="125" t="str">
        <f>IF(I222&lt;&gt;0,((VLOOKUP(I222,'1. Standard_Cost'!$B$4:$D$11,2)+VLOOKUP(I222,'1. Standard_Cost'!$B$4:$D$11,3))*J222*K222),"0")</f>
        <v>0</v>
      </c>
      <c r="M222" s="125">
        <f>L222*'1. Standard_Cost'!$F$4</f>
        <v>0</v>
      </c>
      <c r="N222" s="126"/>
      <c r="O222" s="126"/>
      <c r="P222" s="126"/>
      <c r="Q222" s="126"/>
      <c r="R222" s="127">
        <f>'1. Standard_Cost'!$B$15*N222*P222</f>
        <v>0</v>
      </c>
      <c r="S222" s="127">
        <f>N222*O222*P222*'1. Standard_Cost'!$C$15</f>
        <v>0</v>
      </c>
      <c r="T222" s="127">
        <f>N222*P222*Q222*'1. Standard_Cost'!$D$15</f>
        <v>0</v>
      </c>
      <c r="U222" s="127">
        <f>N222*O222*'1. Standard_Cost'!$E$15</f>
        <v>0</v>
      </c>
      <c r="V222" s="126"/>
      <c r="W222" s="126"/>
      <c r="X222" s="126"/>
      <c r="Y222" s="127">
        <f>+V222*((X222*'1. Standard_Cost'!$B$19)+(W222*X222*'1. Standard_Cost'!$C$19))</f>
        <v>0</v>
      </c>
      <c r="Z222" s="126"/>
      <c r="AA222" s="126"/>
      <c r="AB222" s="127">
        <f>+Z222*'1. Standard_Cost'!$B$23+AA222*'1. Standard_Cost'!$C$23</f>
        <v>0</v>
      </c>
      <c r="AC222" s="128"/>
      <c r="AD222" s="129"/>
      <c r="AE222" s="127">
        <f>SUM(AD222,AC222,AB222,Y222,U222,T222,S222,R222)*'1. Standard_Cost'!$B$31</f>
        <v>0</v>
      </c>
      <c r="AF222" s="127">
        <f>SUM(AE222,AD222,AC222,AB222,Y222,U222,T222,S222,R222)</f>
        <v>0</v>
      </c>
      <c r="AG222" s="126"/>
      <c r="AH222" s="126"/>
      <c r="AI222" s="126"/>
      <c r="AJ222" s="130"/>
      <c r="AK222" s="130"/>
      <c r="AL222" s="130"/>
      <c r="AM222" s="127">
        <f>AG222*'1. Standard_Cost'!$B$27+'Incremental_Cost Year 7'!AH222*'1. Standard_Cost'!$C$27+'Incremental_Cost Year 7'!AI222*'1. Standard_Cost'!$D$27+'Incremental_Cost Year 7'!AJ222+'Incremental_Cost Year 7'!AL222+AK222</f>
        <v>0</v>
      </c>
      <c r="AN222" s="127">
        <f>AM222*'1. Standard_Cost'!$C$31</f>
        <v>0</v>
      </c>
      <c r="AO222" s="130"/>
      <c r="AQ222" s="171">
        <f>L222+M222</f>
        <v>0</v>
      </c>
      <c r="AR222" s="171">
        <f>AF222</f>
        <v>0</v>
      </c>
      <c r="AS222" s="171">
        <f>AM222+AN222</f>
        <v>0</v>
      </c>
      <c r="AT222" s="171">
        <f>SUM(AQ222,AR222,AS222)</f>
        <v>0</v>
      </c>
      <c r="AU222" s="250">
        <f>AT222</f>
        <v>0</v>
      </c>
      <c r="AV222" s="250"/>
      <c r="AW222" s="250"/>
      <c r="AX222" s="250"/>
      <c r="AY222" s="250"/>
      <c r="AZ222" s="250"/>
      <c r="BA222" s="250"/>
      <c r="BB222" s="251">
        <f t="shared" ref="BB222:BB224" si="150">SUM(AU222:BA222)-AT222</f>
        <v>0</v>
      </c>
      <c r="BC222" s="169"/>
      <c r="BD222" s="169"/>
      <c r="BE222" s="169"/>
      <c r="BF222" s="169"/>
    </row>
    <row r="223" spans="1:58" ht="63" outlineLevel="2" x14ac:dyDescent="0.25">
      <c r="A223" s="115"/>
      <c r="B223" s="200"/>
      <c r="C223" s="201"/>
      <c r="D223" s="343"/>
      <c r="E223" s="328"/>
      <c r="F223" s="328"/>
      <c r="G223" s="328"/>
      <c r="H223" s="199" t="s">
        <v>516</v>
      </c>
      <c r="I223" s="130"/>
      <c r="J223" s="126"/>
      <c r="K223" s="126"/>
      <c r="L223" s="125" t="str">
        <f>IF(I223&lt;&gt;0,((VLOOKUP(I223,'1. Standard_Cost'!$B$4:$D$11,2)+VLOOKUP(I223,'1. Standard_Cost'!$B$4:$D$11,3))*J223*K223),"0")</f>
        <v>0</v>
      </c>
      <c r="M223" s="125">
        <f>L223*'1. Standard_Cost'!$F$4</f>
        <v>0</v>
      </c>
      <c r="N223" s="126"/>
      <c r="O223" s="126"/>
      <c r="P223" s="126"/>
      <c r="Q223" s="126"/>
      <c r="R223" s="127">
        <f>'1. Standard_Cost'!$B$15*N223*P223</f>
        <v>0</v>
      </c>
      <c r="S223" s="127">
        <f>N223*O223*P223*'1. Standard_Cost'!$C$15</f>
        <v>0</v>
      </c>
      <c r="T223" s="127">
        <f>N223*P223*Q223*'1. Standard_Cost'!$D$15</f>
        <v>0</v>
      </c>
      <c r="U223" s="127">
        <f>N223*O223*'1. Standard_Cost'!$E$15</f>
        <v>0</v>
      </c>
      <c r="V223" s="126"/>
      <c r="W223" s="126"/>
      <c r="X223" s="126"/>
      <c r="Y223" s="127">
        <f>+V223*((X223*'1. Standard_Cost'!$B$19)+(W223*X223*'1. Standard_Cost'!$C$19))</f>
        <v>0</v>
      </c>
      <c r="Z223" s="126"/>
      <c r="AA223" s="126"/>
      <c r="AB223" s="127">
        <f>+Z223*'1. Standard_Cost'!$B$23+AA223*'1. Standard_Cost'!$C$23</f>
        <v>0</v>
      </c>
      <c r="AC223" s="128"/>
      <c r="AD223" s="129"/>
      <c r="AE223" s="127">
        <f>SUM(AD223,AC223,AB223,Y223,U223,T223,S223,R223)*'1. Standard_Cost'!$B$31</f>
        <v>0</v>
      </c>
      <c r="AF223" s="127">
        <f>SUM(AE223,AD223,AC223,AB223,Y223,U223,T223,S223,R223)</f>
        <v>0</v>
      </c>
      <c r="AG223" s="126"/>
      <c r="AH223" s="126"/>
      <c r="AI223" s="126"/>
      <c r="AJ223" s="130"/>
      <c r="AK223" s="130"/>
      <c r="AL223" s="130"/>
      <c r="AM223" s="127">
        <f>AG223*'1. Standard_Cost'!$B$27+'Incremental_Cost Year 7'!AH223*'1. Standard_Cost'!$C$27+'Incremental_Cost Year 7'!AI223*'1. Standard_Cost'!$D$27+'Incremental_Cost Year 7'!AJ223+'Incremental_Cost Year 7'!AL223+AK223</f>
        <v>0</v>
      </c>
      <c r="AN223" s="127">
        <f>AM223*'1. Standard_Cost'!$C$31</f>
        <v>0</v>
      </c>
      <c r="AO223" s="130"/>
      <c r="AQ223" s="171">
        <f>L223+M223</f>
        <v>0</v>
      </c>
      <c r="AR223" s="171">
        <f>AF223</f>
        <v>0</v>
      </c>
      <c r="AS223" s="171">
        <f>AM223+AN223</f>
        <v>0</v>
      </c>
      <c r="AT223" s="171">
        <f>SUM(AQ223,AR223,AS223)</f>
        <v>0</v>
      </c>
      <c r="AU223" s="250">
        <f>AT223</f>
        <v>0</v>
      </c>
      <c r="AV223" s="250"/>
      <c r="AW223" s="250"/>
      <c r="AX223" s="250"/>
      <c r="AY223" s="250"/>
      <c r="AZ223" s="250"/>
      <c r="BA223" s="250"/>
      <c r="BB223" s="251">
        <f t="shared" si="150"/>
        <v>0</v>
      </c>
      <c r="BC223" s="169"/>
      <c r="BD223" s="169"/>
      <c r="BE223" s="169"/>
      <c r="BF223" s="169"/>
    </row>
    <row r="224" spans="1:58" ht="31.5" outlineLevel="2" x14ac:dyDescent="0.25">
      <c r="A224" s="115"/>
      <c r="B224" s="200"/>
      <c r="C224" s="201"/>
      <c r="D224" s="344"/>
      <c r="E224" s="328"/>
      <c r="F224" s="328"/>
      <c r="G224" s="328"/>
      <c r="H224" s="199" t="s">
        <v>254</v>
      </c>
      <c r="I224" s="130"/>
      <c r="J224" s="126"/>
      <c r="K224" s="126"/>
      <c r="L224" s="125" t="str">
        <f>IF(I224&lt;&gt;0,((VLOOKUP(I224,'1. Standard_Cost'!$B$4:$D$11,2)+VLOOKUP(I224,'1. Standard_Cost'!$B$4:$D$11,3))*J224*K224),"0")</f>
        <v>0</v>
      </c>
      <c r="M224" s="125">
        <f>L224*'1. Standard_Cost'!$F$4</f>
        <v>0</v>
      </c>
      <c r="N224" s="126"/>
      <c r="O224" s="126"/>
      <c r="P224" s="126"/>
      <c r="Q224" s="126"/>
      <c r="R224" s="127">
        <f>'1. Standard_Cost'!$B$15*N224*P224</f>
        <v>0</v>
      </c>
      <c r="S224" s="127">
        <f>N224*O224*P224*'1. Standard_Cost'!$C$15</f>
        <v>0</v>
      </c>
      <c r="T224" s="127">
        <f>N224*P224*Q224*'1. Standard_Cost'!$D$15</f>
        <v>0</v>
      </c>
      <c r="U224" s="127">
        <f>N224*O224*'1. Standard_Cost'!$E$15</f>
        <v>0</v>
      </c>
      <c r="V224" s="126"/>
      <c r="W224" s="126"/>
      <c r="X224" s="126"/>
      <c r="Y224" s="127">
        <f>+V224*((X224*'1. Standard_Cost'!$B$19)+(W224*X224*'1. Standard_Cost'!$C$19))</f>
        <v>0</v>
      </c>
      <c r="Z224" s="126"/>
      <c r="AA224" s="126"/>
      <c r="AB224" s="127">
        <f>+Z224*'1. Standard_Cost'!$B$23+AA224*'1. Standard_Cost'!$C$23</f>
        <v>0</v>
      </c>
      <c r="AC224" s="128"/>
      <c r="AD224" s="129"/>
      <c r="AE224" s="127">
        <f>SUM(AD224,AC224,AB224,Y224,U224,T224,S224,R224)*'1. Standard_Cost'!$B$31</f>
        <v>0</v>
      </c>
      <c r="AF224" s="127">
        <f>SUM(AE224,AD224,AC224,AB224,Y224,U224,T224,S224,R224)</f>
        <v>0</v>
      </c>
      <c r="AG224" s="126"/>
      <c r="AH224" s="126"/>
      <c r="AI224" s="126"/>
      <c r="AJ224" s="130"/>
      <c r="AK224" s="130"/>
      <c r="AL224" s="130"/>
      <c r="AM224" s="127">
        <f>AG224*'1. Standard_Cost'!$B$27+'Incremental_Cost Year 7'!AH224*'1. Standard_Cost'!$C$27+'Incremental_Cost Year 7'!AI224*'1. Standard_Cost'!$D$27+'Incremental_Cost Year 7'!AJ224+'Incremental_Cost Year 7'!AL224+AK224</f>
        <v>0</v>
      </c>
      <c r="AN224" s="127">
        <f>AM224*'1. Standard_Cost'!$C$31</f>
        <v>0</v>
      </c>
      <c r="AO224" s="130"/>
      <c r="AQ224" s="171">
        <f>L224+M224</f>
        <v>0</v>
      </c>
      <c r="AR224" s="171">
        <f>AF224</f>
        <v>0</v>
      </c>
      <c r="AS224" s="171">
        <f>AM224+AN224</f>
        <v>0</v>
      </c>
      <c r="AT224" s="171">
        <f>SUM(AQ224,AR224,AS224)</f>
        <v>0</v>
      </c>
      <c r="AU224" s="250"/>
      <c r="AV224" s="250"/>
      <c r="AW224" s="250"/>
      <c r="AX224" s="250"/>
      <c r="AY224" s="250"/>
      <c r="AZ224" s="250"/>
      <c r="BA224" s="250"/>
      <c r="BB224" s="251">
        <f t="shared" si="150"/>
        <v>0</v>
      </c>
      <c r="BC224" s="169"/>
      <c r="BD224" s="169"/>
      <c r="BE224" s="169"/>
      <c r="BF224" s="169"/>
    </row>
    <row r="225" spans="1:58" ht="47.25" outlineLevel="1" x14ac:dyDescent="0.25">
      <c r="A225" s="115"/>
      <c r="B225" s="165"/>
      <c r="C225" s="166"/>
      <c r="D225" s="150" t="s">
        <v>240</v>
      </c>
      <c r="E225" s="212" t="s">
        <v>255</v>
      </c>
      <c r="F225" s="142">
        <v>2021</v>
      </c>
      <c r="G225" s="209">
        <v>2022</v>
      </c>
      <c r="H225" s="150" t="s">
        <v>256</v>
      </c>
      <c r="I225" s="252"/>
      <c r="J225" s="252"/>
      <c r="K225" s="252"/>
      <c r="L225" s="127">
        <f>SUM(L222:L224)</f>
        <v>0</v>
      </c>
      <c r="M225" s="127">
        <f>SUM(M222:M224)</f>
        <v>0</v>
      </c>
      <c r="N225" s="252"/>
      <c r="O225" s="252"/>
      <c r="P225" s="252"/>
      <c r="Q225" s="252"/>
      <c r="R225" s="127">
        <f>SUM(R222:R224)</f>
        <v>0</v>
      </c>
      <c r="S225" s="127">
        <f>SUM(S222:S224)</f>
        <v>0</v>
      </c>
      <c r="T225" s="127">
        <f>SUM(T222:T224)</f>
        <v>0</v>
      </c>
      <c r="U225" s="127">
        <f>SUM(U222:U224)</f>
        <v>0</v>
      </c>
      <c r="V225" s="252"/>
      <c r="W225" s="252"/>
      <c r="X225" s="252"/>
      <c r="Y225" s="127">
        <f>SUM(Y222:Y224)</f>
        <v>0</v>
      </c>
      <c r="Z225" s="127"/>
      <c r="AA225" s="252"/>
      <c r="AB225" s="127">
        <f>SUM(AB222:AB224)</f>
        <v>0</v>
      </c>
      <c r="AC225" s="127">
        <f>SUM(AC222:AC224)</f>
        <v>0</v>
      </c>
      <c r="AD225" s="127">
        <f>SUM(AD222:AD224)</f>
        <v>0</v>
      </c>
      <c r="AE225" s="127">
        <f>SUM(AE222:AE224)</f>
        <v>0</v>
      </c>
      <c r="AF225" s="127">
        <f>SUM(AF222:AF224)</f>
        <v>0</v>
      </c>
      <c r="AG225" s="252"/>
      <c r="AH225" s="252"/>
      <c r="AI225" s="252"/>
      <c r="AJ225" s="127">
        <f>SUM(AJ222:AJ224)</f>
        <v>0</v>
      </c>
      <c r="AK225" s="127">
        <f>SUM(AK222:AK224)</f>
        <v>0</v>
      </c>
      <c r="AL225" s="127">
        <f>SUM(AL222:AL224)</f>
        <v>0</v>
      </c>
      <c r="AM225" s="127">
        <f>SUM(AM222:AM224)</f>
        <v>0</v>
      </c>
      <c r="AN225" s="127">
        <f>SUM(AN222:AN224)</f>
        <v>0</v>
      </c>
      <c r="AO225" s="253"/>
      <c r="AP225" s="254"/>
      <c r="AQ225" s="175">
        <f>SUM(AQ222:AQ224)</f>
        <v>0</v>
      </c>
      <c r="AR225" s="175">
        <f>SUM(AR222:AR224)</f>
        <v>0</v>
      </c>
      <c r="AS225" s="175">
        <f>SUM(AS222:AS224)</f>
        <v>0</v>
      </c>
      <c r="AT225" s="175">
        <f>SUM(AT222:AT224)</f>
        <v>0</v>
      </c>
      <c r="AU225" s="175">
        <f t="shared" ref="AU225:BB225" si="151">SUM(AU222:AU224)</f>
        <v>0</v>
      </c>
      <c r="AV225" s="175">
        <f t="shared" si="151"/>
        <v>0</v>
      </c>
      <c r="AW225" s="175">
        <f t="shared" si="151"/>
        <v>0</v>
      </c>
      <c r="AX225" s="175">
        <f t="shared" si="151"/>
        <v>0</v>
      </c>
      <c r="AY225" s="175">
        <f t="shared" si="151"/>
        <v>0</v>
      </c>
      <c r="AZ225" s="175">
        <f t="shared" si="151"/>
        <v>0</v>
      </c>
      <c r="BA225" s="175">
        <f t="shared" si="151"/>
        <v>0</v>
      </c>
      <c r="BB225" s="175">
        <f t="shared" si="151"/>
        <v>0</v>
      </c>
      <c r="BC225" s="169"/>
      <c r="BD225" s="169"/>
      <c r="BE225" s="169"/>
      <c r="BF225" s="169"/>
    </row>
    <row r="226" spans="1:58" s="184" customFormat="1" ht="15.75" customHeight="1" x14ac:dyDescent="0.25">
      <c r="A226" s="143"/>
      <c r="B226" s="332"/>
      <c r="C226" s="397" t="s">
        <v>257</v>
      </c>
      <c r="D226" s="397"/>
      <c r="E226" s="398"/>
      <c r="F226" s="291"/>
      <c r="G226" s="340"/>
      <c r="H226" s="144" t="s">
        <v>301</v>
      </c>
      <c r="I226" s="257"/>
      <c r="J226" s="257"/>
      <c r="K226" s="257"/>
      <c r="L226" s="258">
        <f>SUM(L231)</f>
        <v>70644171.428571418</v>
      </c>
      <c r="M226" s="258">
        <f>SUM(M231)</f>
        <v>11797576.628571428</v>
      </c>
      <c r="N226" s="257"/>
      <c r="O226" s="257"/>
      <c r="P226" s="257"/>
      <c r="Q226" s="257"/>
      <c r="R226" s="258">
        <f>SUM(R231)</f>
        <v>0</v>
      </c>
      <c r="S226" s="258">
        <f>SUM(S231)</f>
        <v>0</v>
      </c>
      <c r="T226" s="258">
        <f>SUM(T231)</f>
        <v>0</v>
      </c>
      <c r="U226" s="258">
        <f>SUM(U231)</f>
        <v>0</v>
      </c>
      <c r="V226" s="257"/>
      <c r="W226" s="257"/>
      <c r="X226" s="257"/>
      <c r="Y226" s="258">
        <f>SUM(Y231)</f>
        <v>0</v>
      </c>
      <c r="Z226" s="258"/>
      <c r="AA226" s="258"/>
      <c r="AB226" s="258">
        <f>SUM(AB231)</f>
        <v>0</v>
      </c>
      <c r="AC226" s="258">
        <f>SUM(AC231)</f>
        <v>300000</v>
      </c>
      <c r="AD226" s="258">
        <f>SUM(AD231)</f>
        <v>0</v>
      </c>
      <c r="AE226" s="258">
        <f>SUM(AE231)</f>
        <v>60000</v>
      </c>
      <c r="AF226" s="258">
        <f>SUM(AF231)</f>
        <v>360000</v>
      </c>
      <c r="AG226" s="257"/>
      <c r="AH226" s="257"/>
      <c r="AI226" s="257"/>
      <c r="AJ226" s="258">
        <f>SUM(AJ231)</f>
        <v>0</v>
      </c>
      <c r="AK226" s="258">
        <f>SUM(AK231)</f>
        <v>0</v>
      </c>
      <c r="AL226" s="258">
        <f>SUM(AL231)</f>
        <v>0</v>
      </c>
      <c r="AM226" s="258">
        <f>SUM(AM231)</f>
        <v>0</v>
      </c>
      <c r="AN226" s="258">
        <f>SUM(AN231)</f>
        <v>0</v>
      </c>
      <c r="AO226" s="259"/>
      <c r="AP226" s="260"/>
      <c r="AQ226" s="261">
        <f>SUM(AQ231)</f>
        <v>82441748.057142854</v>
      </c>
      <c r="AR226" s="261">
        <f>SUM(AR231)</f>
        <v>360000</v>
      </c>
      <c r="AS226" s="261">
        <f>SUM(AS231)</f>
        <v>0</v>
      </c>
      <c r="AT226" s="261">
        <f>SUM(AT231)</f>
        <v>82801748.057142854</v>
      </c>
      <c r="AU226" s="261">
        <f t="shared" ref="AU226:BB226" si="152">SUM(AU231)</f>
        <v>82801748.057142854</v>
      </c>
      <c r="AV226" s="261">
        <f t="shared" si="152"/>
        <v>0</v>
      </c>
      <c r="AW226" s="261">
        <f t="shared" si="152"/>
        <v>0</v>
      </c>
      <c r="AX226" s="261">
        <f t="shared" si="152"/>
        <v>0</v>
      </c>
      <c r="AY226" s="261">
        <f t="shared" si="152"/>
        <v>0</v>
      </c>
      <c r="AZ226" s="261">
        <f t="shared" si="152"/>
        <v>0</v>
      </c>
      <c r="BA226" s="261">
        <f t="shared" si="152"/>
        <v>0</v>
      </c>
      <c r="BB226" s="261">
        <f t="shared" si="152"/>
        <v>0</v>
      </c>
    </row>
    <row r="227" spans="1:58" ht="46.9" customHeight="1" outlineLevel="2" x14ac:dyDescent="0.25">
      <c r="A227" s="115"/>
      <c r="B227" s="200"/>
      <c r="C227" s="201"/>
      <c r="D227" s="210"/>
      <c r="E227" s="328"/>
      <c r="F227" s="328"/>
      <c r="G227" s="328"/>
      <c r="H227" s="199" t="s">
        <v>517</v>
      </c>
      <c r="I227" s="130" t="s">
        <v>1</v>
      </c>
      <c r="J227" s="126">
        <v>12</v>
      </c>
      <c r="K227" s="126">
        <v>72</v>
      </c>
      <c r="L227" s="125">
        <f>IF(I227&lt;&gt;0,((VLOOKUP(I227,'1. Standard_Cost'!$B$4:$D$11,2)+VLOOKUP(I227,'1. Standard_Cost'!$B$4:$D$11,3))*J227*K227),"0")</f>
        <v>62029028.571428567</v>
      </c>
      <c r="M227" s="125">
        <f>L227*'1. Standard_Cost'!$F$4</f>
        <v>10358847.771428572</v>
      </c>
      <c r="N227" s="126"/>
      <c r="O227" s="126"/>
      <c r="P227" s="126"/>
      <c r="Q227" s="126"/>
      <c r="R227" s="127">
        <f>'1. Standard_Cost'!$B$15*N227*P227</f>
        <v>0</v>
      </c>
      <c r="S227" s="127">
        <f>N227*O227*P227*'1. Standard_Cost'!$C$15</f>
        <v>0</v>
      </c>
      <c r="T227" s="127">
        <f>N227*P227*Q227*'1. Standard_Cost'!$D$15</f>
        <v>0</v>
      </c>
      <c r="U227" s="127">
        <f>N227*O227*'1. Standard_Cost'!$E$15</f>
        <v>0</v>
      </c>
      <c r="V227" s="126"/>
      <c r="W227" s="126"/>
      <c r="X227" s="126"/>
      <c r="Y227" s="127">
        <f>+V227*((X227*'1. Standard_Cost'!$B$19)+(W227*X227*'1. Standard_Cost'!$C$19))</f>
        <v>0</v>
      </c>
      <c r="Z227" s="126"/>
      <c r="AA227" s="126"/>
      <c r="AB227" s="127">
        <f>+Z227*'1. Standard_Cost'!$B$23+AA227*'1. Standard_Cost'!$C$23</f>
        <v>0</v>
      </c>
      <c r="AC227" s="128"/>
      <c r="AD227" s="129"/>
      <c r="AE227" s="127">
        <f>SUM(AD227,AC227,AB227,Y227,U227,T227,S227,R227)*'1. Standard_Cost'!$B$31</f>
        <v>0</v>
      </c>
      <c r="AF227" s="127">
        <f>SUM(AE227,AD227,AC227,AB227,Y227,U227,T227,S227,R227)</f>
        <v>0</v>
      </c>
      <c r="AG227" s="126"/>
      <c r="AH227" s="126"/>
      <c r="AI227" s="126"/>
      <c r="AJ227" s="130"/>
      <c r="AK227" s="130"/>
      <c r="AL227" s="130"/>
      <c r="AM227" s="127">
        <f>AG227*'1. Standard_Cost'!$B$27+'Incremental_Cost Year 7'!AH227*'1. Standard_Cost'!$C$27+'Incremental_Cost Year 7'!AI227*'1. Standard_Cost'!$D$27+'Incremental_Cost Year 7'!AJ227+'Incremental_Cost Year 7'!AL227+AK227</f>
        <v>0</v>
      </c>
      <c r="AN227" s="127">
        <f>AM227*'1. Standard_Cost'!$C$31</f>
        <v>0</v>
      </c>
      <c r="AO227" s="130"/>
      <c r="AQ227" s="171">
        <f>L227+M227</f>
        <v>72387876.342857137</v>
      </c>
      <c r="AR227" s="171">
        <f>AF227</f>
        <v>0</v>
      </c>
      <c r="AS227" s="171">
        <f>AM227+AN227</f>
        <v>0</v>
      </c>
      <c r="AT227" s="171">
        <f>SUM(AQ227,AR227,AS227)</f>
        <v>72387876.342857137</v>
      </c>
      <c r="AU227" s="250">
        <f>AT227</f>
        <v>72387876.342857137</v>
      </c>
      <c r="AV227" s="250"/>
      <c r="AW227" s="250"/>
      <c r="AX227" s="250"/>
      <c r="AY227" s="250"/>
      <c r="AZ227" s="250"/>
      <c r="BA227" s="250"/>
      <c r="BB227" s="251">
        <f t="shared" ref="BB227:BB230" si="153">SUM(AU227:BA227)-AT227</f>
        <v>0</v>
      </c>
      <c r="BC227" s="169"/>
      <c r="BD227" s="169"/>
      <c r="BE227" s="169"/>
      <c r="BF227" s="169"/>
    </row>
    <row r="228" spans="1:58" ht="94.5" outlineLevel="2" x14ac:dyDescent="0.25">
      <c r="A228" s="115"/>
      <c r="B228" s="200"/>
      <c r="C228" s="201"/>
      <c r="D228" s="203"/>
      <c r="E228" s="328"/>
      <c r="F228" s="328"/>
      <c r="G228" s="328"/>
      <c r="H228" s="199" t="s">
        <v>518</v>
      </c>
      <c r="I228" s="130" t="s">
        <v>1</v>
      </c>
      <c r="J228" s="126">
        <v>12</v>
      </c>
      <c r="K228" s="126">
        <v>10</v>
      </c>
      <c r="L228" s="125">
        <f>IF(I228&lt;&gt;0,((VLOOKUP(I228,'1. Standard_Cost'!$B$4:$D$11,2)+VLOOKUP(I228,'1. Standard_Cost'!$B$4:$D$11,3))*J228*K228),"0")</f>
        <v>8615142.8571428563</v>
      </c>
      <c r="M228" s="125">
        <f>L228*'1. Standard_Cost'!$F$4</f>
        <v>1438728.857142857</v>
      </c>
      <c r="N228" s="126"/>
      <c r="O228" s="126"/>
      <c r="P228" s="126"/>
      <c r="Q228" s="126"/>
      <c r="R228" s="127">
        <f>'1. Standard_Cost'!$B$15*N228*P228</f>
        <v>0</v>
      </c>
      <c r="S228" s="127">
        <f>N228*O228*P228*'1. Standard_Cost'!$C$15</f>
        <v>0</v>
      </c>
      <c r="T228" s="127">
        <f>N228*P228*Q228*'1. Standard_Cost'!$D$15</f>
        <v>0</v>
      </c>
      <c r="U228" s="127">
        <f>N228*O228*'1. Standard_Cost'!$E$15</f>
        <v>0</v>
      </c>
      <c r="V228" s="126"/>
      <c r="W228" s="126"/>
      <c r="X228" s="126"/>
      <c r="Y228" s="127">
        <f>+V228*((X228*'1. Standard_Cost'!$B$19)+(W228*X228*'1. Standard_Cost'!$C$19))</f>
        <v>0</v>
      </c>
      <c r="Z228" s="126"/>
      <c r="AA228" s="126"/>
      <c r="AB228" s="127">
        <f>+Z228*'1. Standard_Cost'!$B$23+AA228*'1. Standard_Cost'!$C$23</f>
        <v>0</v>
      </c>
      <c r="AC228" s="128">
        <f>300000</f>
        <v>300000</v>
      </c>
      <c r="AD228" s="129"/>
      <c r="AE228" s="127">
        <f>SUM(AD228,AC228,AB228,Y228,U228,T228,S228,R228)*'1. Standard_Cost'!$B$31</f>
        <v>60000</v>
      </c>
      <c r="AF228" s="127">
        <f>SUM(AE228,AD228,AC228,AB228,Y228,U228,T228,S228,R228)</f>
        <v>360000</v>
      </c>
      <c r="AG228" s="126"/>
      <c r="AH228" s="126"/>
      <c r="AI228" s="126"/>
      <c r="AJ228" s="130"/>
      <c r="AK228" s="130"/>
      <c r="AL228" s="130"/>
      <c r="AM228" s="127">
        <f>AG228*'1. Standard_Cost'!$B$27+'Incremental_Cost Year 7'!AH228*'1. Standard_Cost'!$C$27+'Incremental_Cost Year 7'!AI228*'1. Standard_Cost'!$D$27+'Incremental_Cost Year 7'!AJ228+'Incremental_Cost Year 7'!AL228+AK228</f>
        <v>0</v>
      </c>
      <c r="AN228" s="127">
        <f>AM228*'1. Standard_Cost'!$C$31</f>
        <v>0</v>
      </c>
      <c r="AO228" s="130"/>
      <c r="AQ228" s="171">
        <f>L228+M228</f>
        <v>10053871.714285713</v>
      </c>
      <c r="AR228" s="171">
        <f>AF228</f>
        <v>360000</v>
      </c>
      <c r="AS228" s="171">
        <f>AM228+AN228</f>
        <v>0</v>
      </c>
      <c r="AT228" s="171">
        <f>SUM(AQ228,AR228,AS228)</f>
        <v>10413871.714285713</v>
      </c>
      <c r="AU228" s="250">
        <f>AT228</f>
        <v>10413871.714285713</v>
      </c>
      <c r="AV228" s="250"/>
      <c r="AW228" s="250"/>
      <c r="AX228" s="250"/>
      <c r="AY228" s="250"/>
      <c r="AZ228" s="250"/>
      <c r="BA228" s="250"/>
      <c r="BB228" s="251">
        <f t="shared" si="153"/>
        <v>0</v>
      </c>
      <c r="BC228" s="169"/>
      <c r="BD228" s="169"/>
      <c r="BE228" s="169"/>
      <c r="BF228" s="169"/>
    </row>
    <row r="229" spans="1:58" ht="110.25" outlineLevel="2" x14ac:dyDescent="0.25">
      <c r="A229" s="115"/>
      <c r="B229" s="200"/>
      <c r="C229" s="201"/>
      <c r="D229" s="203"/>
      <c r="E229" s="328"/>
      <c r="F229" s="328"/>
      <c r="G229" s="328"/>
      <c r="H229" s="199" t="s">
        <v>519</v>
      </c>
      <c r="I229" s="130"/>
      <c r="J229" s="126"/>
      <c r="K229" s="126"/>
      <c r="L229" s="125" t="str">
        <f>IF(I229&lt;&gt;0,((VLOOKUP(I229,'1. Standard_Cost'!$B$4:$D$11,2)+VLOOKUP(I229,'1. Standard_Cost'!$B$4:$D$11,3))*J229*K229),"0")</f>
        <v>0</v>
      </c>
      <c r="M229" s="125">
        <f>L229*'1. Standard_Cost'!$F$4</f>
        <v>0</v>
      </c>
      <c r="N229" s="126"/>
      <c r="O229" s="126"/>
      <c r="P229" s="126"/>
      <c r="Q229" s="126"/>
      <c r="R229" s="127">
        <f>'1. Standard_Cost'!$B$15*N229*P229</f>
        <v>0</v>
      </c>
      <c r="S229" s="127">
        <f>N229*O229*P229*'1. Standard_Cost'!$C$15</f>
        <v>0</v>
      </c>
      <c r="T229" s="127">
        <f>N229*P229*Q229*'1. Standard_Cost'!$D$15</f>
        <v>0</v>
      </c>
      <c r="U229" s="127">
        <f>N229*O229*'1. Standard_Cost'!$E$15</f>
        <v>0</v>
      </c>
      <c r="V229" s="126"/>
      <c r="W229" s="126"/>
      <c r="X229" s="126"/>
      <c r="Y229" s="127">
        <f>+V229*((X229*'1. Standard_Cost'!$B$19)+(W229*X229*'1. Standard_Cost'!$C$19))</f>
        <v>0</v>
      </c>
      <c r="Z229" s="126"/>
      <c r="AA229" s="126"/>
      <c r="AB229" s="127">
        <f>+Z229*'1. Standard_Cost'!$B$23+AA229*'1. Standard_Cost'!$C$23</f>
        <v>0</v>
      </c>
      <c r="AC229" s="128"/>
      <c r="AD229" s="129"/>
      <c r="AE229" s="127">
        <f>SUM(AD229,AC229,AB229,Y229,U229,T229,S229,R229)*'1. Standard_Cost'!$B$31</f>
        <v>0</v>
      </c>
      <c r="AF229" s="127">
        <f>SUM(AE229,AD229,AC229,AB229,Y229,U229,T229,S229,R229)</f>
        <v>0</v>
      </c>
      <c r="AG229" s="126"/>
      <c r="AH229" s="126"/>
      <c r="AI229" s="126"/>
      <c r="AJ229" s="130"/>
      <c r="AK229" s="130"/>
      <c r="AL229" s="130"/>
      <c r="AM229" s="127">
        <f>AG229*'1. Standard_Cost'!$B$27+'Incremental_Cost Year 7'!AH229*'1. Standard_Cost'!$C$27+'Incremental_Cost Year 7'!AI229*'1. Standard_Cost'!$D$27+'Incremental_Cost Year 7'!AJ229+'Incremental_Cost Year 7'!AL229+AK229</f>
        <v>0</v>
      </c>
      <c r="AN229" s="127">
        <f>AM229*'1. Standard_Cost'!$C$31</f>
        <v>0</v>
      </c>
      <c r="AO229" s="130"/>
      <c r="AQ229" s="171">
        <f>L229+M229</f>
        <v>0</v>
      </c>
      <c r="AR229" s="171">
        <f>AF229</f>
        <v>0</v>
      </c>
      <c r="AS229" s="171">
        <f>AM229+AN229</f>
        <v>0</v>
      </c>
      <c r="AT229" s="171">
        <f>SUM(AQ229,AR229,AS229)</f>
        <v>0</v>
      </c>
      <c r="AU229" s="250">
        <f>AQ229</f>
        <v>0</v>
      </c>
      <c r="AV229" s="250"/>
      <c r="AW229" s="250"/>
      <c r="AX229" s="250"/>
      <c r="AY229" s="250"/>
      <c r="AZ229" s="250"/>
      <c r="BA229" s="250"/>
      <c r="BB229" s="251">
        <f t="shared" si="153"/>
        <v>0</v>
      </c>
      <c r="BC229" s="169"/>
      <c r="BD229" s="169"/>
      <c r="BE229" s="169"/>
      <c r="BF229" s="169"/>
    </row>
    <row r="230" spans="1:58" ht="110.25" outlineLevel="2" x14ac:dyDescent="0.25">
      <c r="A230" s="115"/>
      <c r="B230" s="200"/>
      <c r="C230" s="201"/>
      <c r="D230" s="133"/>
      <c r="E230" s="328"/>
      <c r="F230" s="328"/>
      <c r="G230" s="328"/>
      <c r="H230" s="199" t="s">
        <v>520</v>
      </c>
      <c r="I230" s="130"/>
      <c r="J230" s="126"/>
      <c r="K230" s="126"/>
      <c r="L230" s="125" t="str">
        <f>IF(I230&lt;&gt;0,((VLOOKUP(I230,'1. Standard_Cost'!$B$4:$D$11,2)+VLOOKUP(I230,'1. Standard_Cost'!$B$4:$D$11,3))*J230*K230),"0")</f>
        <v>0</v>
      </c>
      <c r="M230" s="125">
        <f>L230*'1. Standard_Cost'!$F$4</f>
        <v>0</v>
      </c>
      <c r="N230" s="126"/>
      <c r="O230" s="126"/>
      <c r="P230" s="126"/>
      <c r="Q230" s="126"/>
      <c r="R230" s="127">
        <f>'1. Standard_Cost'!$B$15*N230*P230</f>
        <v>0</v>
      </c>
      <c r="S230" s="127">
        <f>N230*O230*P230*'1. Standard_Cost'!$C$15</f>
        <v>0</v>
      </c>
      <c r="T230" s="127">
        <f>N230*P230*Q230*'1. Standard_Cost'!$D$15</f>
        <v>0</v>
      </c>
      <c r="U230" s="127">
        <f>N230*O230*'1. Standard_Cost'!$E$15</f>
        <v>0</v>
      </c>
      <c r="V230" s="126"/>
      <c r="W230" s="126"/>
      <c r="X230" s="126"/>
      <c r="Y230" s="127">
        <f>+V230*((X230*'1. Standard_Cost'!$B$19)+(W230*X230*'1. Standard_Cost'!$C$19))</f>
        <v>0</v>
      </c>
      <c r="Z230" s="126"/>
      <c r="AA230" s="126"/>
      <c r="AB230" s="127">
        <f>+Z230*'1. Standard_Cost'!$B$23+AA230*'1. Standard_Cost'!$C$23</f>
        <v>0</v>
      </c>
      <c r="AC230" s="128"/>
      <c r="AD230" s="129"/>
      <c r="AE230" s="127">
        <f>SUM(AD230,AC230,AB230,Y230,U230,T230,S230,R230)*'1. Standard_Cost'!$B$31</f>
        <v>0</v>
      </c>
      <c r="AF230" s="127">
        <f>SUM(AE230,AD230,AC230,AB230,Y230,U230,T230,S230,R230)</f>
        <v>0</v>
      </c>
      <c r="AG230" s="126"/>
      <c r="AH230" s="126"/>
      <c r="AI230" s="126"/>
      <c r="AJ230" s="130"/>
      <c r="AK230" s="130"/>
      <c r="AL230" s="130"/>
      <c r="AM230" s="127">
        <f>AG230*'1. Standard_Cost'!$B$27+'Incremental_Cost Year 7'!AH230*'1. Standard_Cost'!$C$27+'Incremental_Cost Year 7'!AI230*'1. Standard_Cost'!$D$27+'Incremental_Cost Year 7'!AJ230+'Incremental_Cost Year 7'!AL230+AK230</f>
        <v>0</v>
      </c>
      <c r="AN230" s="127">
        <f>AM230*'1. Standard_Cost'!$C$31</f>
        <v>0</v>
      </c>
      <c r="AO230" s="130"/>
      <c r="AQ230" s="171">
        <f>L230+M230</f>
        <v>0</v>
      </c>
      <c r="AR230" s="171">
        <f>AF230</f>
        <v>0</v>
      </c>
      <c r="AS230" s="171">
        <f>AM230+AN230</f>
        <v>0</v>
      </c>
      <c r="AT230" s="171">
        <f>SUM(AQ230,AR230,AS230)</f>
        <v>0</v>
      </c>
      <c r="AU230" s="250">
        <f>AQ230</f>
        <v>0</v>
      </c>
      <c r="AV230" s="250"/>
      <c r="AW230" s="250"/>
      <c r="AX230" s="250"/>
      <c r="AY230" s="250"/>
      <c r="AZ230" s="250"/>
      <c r="BA230" s="250"/>
      <c r="BB230" s="251">
        <f t="shared" si="153"/>
        <v>0</v>
      </c>
      <c r="BC230" s="169"/>
      <c r="BD230" s="169"/>
      <c r="BE230" s="169"/>
      <c r="BF230" s="169"/>
    </row>
    <row r="231" spans="1:58" ht="63" outlineLevel="1" x14ac:dyDescent="0.25">
      <c r="A231" s="115"/>
      <c r="B231" s="165"/>
      <c r="C231" s="166"/>
      <c r="D231" s="107" t="s">
        <v>507</v>
      </c>
      <c r="E231" s="212" t="s">
        <v>259</v>
      </c>
      <c r="F231" s="142">
        <v>2021</v>
      </c>
      <c r="G231" s="209">
        <v>2025</v>
      </c>
      <c r="H231" s="150" t="s">
        <v>260</v>
      </c>
      <c r="I231" s="252"/>
      <c r="J231" s="252"/>
      <c r="K231" s="252"/>
      <c r="L231" s="127">
        <f>SUM(L227:L230)</f>
        <v>70644171.428571418</v>
      </c>
      <c r="M231" s="127">
        <f>SUM(M227:M230)</f>
        <v>11797576.628571428</v>
      </c>
      <c r="N231" s="252"/>
      <c r="O231" s="252"/>
      <c r="P231" s="252"/>
      <c r="Q231" s="252"/>
      <c r="R231" s="127">
        <f>SUM(R227:R230)</f>
        <v>0</v>
      </c>
      <c r="S231" s="127">
        <f>SUM(S227:S230)</f>
        <v>0</v>
      </c>
      <c r="T231" s="127">
        <f>SUM(T227:T230)</f>
        <v>0</v>
      </c>
      <c r="U231" s="127">
        <f>SUM(U227:U230)</f>
        <v>0</v>
      </c>
      <c r="V231" s="252"/>
      <c r="W231" s="252"/>
      <c r="X231" s="252"/>
      <c r="Y231" s="127">
        <f>SUM(Y227:Y230)</f>
        <v>0</v>
      </c>
      <c r="Z231" s="127"/>
      <c r="AA231" s="252"/>
      <c r="AB231" s="127">
        <f>SUM(AB227:AB230)</f>
        <v>0</v>
      </c>
      <c r="AC231" s="127">
        <f>SUM(AC227:AC230)</f>
        <v>300000</v>
      </c>
      <c r="AD231" s="127">
        <f>SUM(AD227:AD230)</f>
        <v>0</v>
      </c>
      <c r="AE231" s="127">
        <f>SUM(AE227:AE230)</f>
        <v>60000</v>
      </c>
      <c r="AF231" s="127">
        <f>SUM(AF227:AF230)</f>
        <v>360000</v>
      </c>
      <c r="AG231" s="252"/>
      <c r="AH231" s="252"/>
      <c r="AI231" s="252"/>
      <c r="AJ231" s="127">
        <f>SUM(AJ227:AJ230)</f>
        <v>0</v>
      </c>
      <c r="AK231" s="127">
        <f>SUM(AK227:AK230)</f>
        <v>0</v>
      </c>
      <c r="AL231" s="127">
        <f>SUM(AL227:AL230)</f>
        <v>0</v>
      </c>
      <c r="AM231" s="127">
        <f>SUM(AM227:AM230)</f>
        <v>0</v>
      </c>
      <c r="AN231" s="127">
        <f>SUM(AN227:AN230)</f>
        <v>0</v>
      </c>
      <c r="AO231" s="253"/>
      <c r="AP231" s="254"/>
      <c r="AQ231" s="175">
        <f>SUM(AQ227:AQ230)</f>
        <v>82441748.057142854</v>
      </c>
      <c r="AR231" s="175">
        <f>SUM(AR227:AR230)</f>
        <v>360000</v>
      </c>
      <c r="AS231" s="175">
        <f>SUM(AS227:AS230)</f>
        <v>0</v>
      </c>
      <c r="AT231" s="175">
        <f>SUM(AT227:AT230)</f>
        <v>82801748.057142854</v>
      </c>
      <c r="AU231" s="175">
        <f t="shared" ref="AU231:BB231" si="154">SUM(AU227:AU230)</f>
        <v>82801748.057142854</v>
      </c>
      <c r="AV231" s="175">
        <f t="shared" si="154"/>
        <v>0</v>
      </c>
      <c r="AW231" s="175">
        <f t="shared" si="154"/>
        <v>0</v>
      </c>
      <c r="AX231" s="175">
        <f t="shared" si="154"/>
        <v>0</v>
      </c>
      <c r="AY231" s="175">
        <f t="shared" si="154"/>
        <v>0</v>
      </c>
      <c r="AZ231" s="175">
        <f t="shared" si="154"/>
        <v>0</v>
      </c>
      <c r="BA231" s="175">
        <f t="shared" si="154"/>
        <v>0</v>
      </c>
      <c r="BB231" s="175">
        <f t="shared" si="154"/>
        <v>0</v>
      </c>
      <c r="BC231" s="169"/>
      <c r="BD231" s="169"/>
      <c r="BE231" s="169"/>
      <c r="BF231" s="169"/>
    </row>
    <row r="232" spans="1:58" s="184" customFormat="1" ht="15.75" customHeight="1" x14ac:dyDescent="0.25">
      <c r="A232" s="143"/>
      <c r="B232" s="332"/>
      <c r="C232" s="397" t="s">
        <v>261</v>
      </c>
      <c r="D232" s="397"/>
      <c r="E232" s="398"/>
      <c r="F232" s="291"/>
      <c r="G232" s="340"/>
      <c r="H232" s="144" t="s">
        <v>302</v>
      </c>
      <c r="I232" s="257"/>
      <c r="J232" s="257"/>
      <c r="K232" s="257"/>
      <c r="L232" s="258">
        <f>SUM(L237)</f>
        <v>0</v>
      </c>
      <c r="M232" s="258">
        <f>SUM(M237)</f>
        <v>0</v>
      </c>
      <c r="N232" s="257"/>
      <c r="O232" s="257"/>
      <c r="P232" s="257"/>
      <c r="Q232" s="257"/>
      <c r="R232" s="258">
        <f>SUM(R237)</f>
        <v>0</v>
      </c>
      <c r="S232" s="258">
        <f>SUM(S237)</f>
        <v>0</v>
      </c>
      <c r="T232" s="258">
        <f>SUM(T237)</f>
        <v>0</v>
      </c>
      <c r="U232" s="258">
        <f>SUM(U237)</f>
        <v>0</v>
      </c>
      <c r="V232" s="257"/>
      <c r="W232" s="257"/>
      <c r="X232" s="257"/>
      <c r="Y232" s="258">
        <f>SUM(Y237)</f>
        <v>0</v>
      </c>
      <c r="Z232" s="258"/>
      <c r="AA232" s="258"/>
      <c r="AB232" s="258">
        <f>SUM(AB237)</f>
        <v>0</v>
      </c>
      <c r="AC232" s="258">
        <f>SUM(AC237)</f>
        <v>0</v>
      </c>
      <c r="AD232" s="258">
        <f>SUM(AD237)</f>
        <v>0</v>
      </c>
      <c r="AE232" s="258">
        <f>SUM(AE237)</f>
        <v>0</v>
      </c>
      <c r="AF232" s="258">
        <f>SUM(AF237)</f>
        <v>0</v>
      </c>
      <c r="AG232" s="257"/>
      <c r="AH232" s="257"/>
      <c r="AI232" s="257"/>
      <c r="AJ232" s="258">
        <f>SUM(AJ237)</f>
        <v>0</v>
      </c>
      <c r="AK232" s="258">
        <f>SUM(AK237)</f>
        <v>0</v>
      </c>
      <c r="AL232" s="258">
        <f>SUM(AL237)</f>
        <v>0</v>
      </c>
      <c r="AM232" s="258">
        <f>SUM(AM237)</f>
        <v>0</v>
      </c>
      <c r="AN232" s="258">
        <f>SUM(AN237)</f>
        <v>0</v>
      </c>
      <c r="AO232" s="259"/>
      <c r="AP232" s="260"/>
      <c r="AQ232" s="261">
        <f>SUM(AQ237)</f>
        <v>0</v>
      </c>
      <c r="AR232" s="261">
        <f>SUM(AR237)</f>
        <v>0</v>
      </c>
      <c r="AS232" s="261">
        <f>SUM(AS237)</f>
        <v>0</v>
      </c>
      <c r="AT232" s="261">
        <f>SUM(AT237)</f>
        <v>0</v>
      </c>
      <c r="AU232" s="261">
        <f t="shared" ref="AU232:BB232" si="155">SUM(AU237)</f>
        <v>0</v>
      </c>
      <c r="AV232" s="261">
        <f t="shared" si="155"/>
        <v>0</v>
      </c>
      <c r="AW232" s="261">
        <f t="shared" si="155"/>
        <v>0</v>
      </c>
      <c r="AX232" s="261">
        <f t="shared" si="155"/>
        <v>0</v>
      </c>
      <c r="AY232" s="261">
        <f t="shared" si="155"/>
        <v>0</v>
      </c>
      <c r="AZ232" s="261">
        <f t="shared" si="155"/>
        <v>0</v>
      </c>
      <c r="BA232" s="261">
        <f t="shared" si="155"/>
        <v>0</v>
      </c>
      <c r="BB232" s="261">
        <f t="shared" si="155"/>
        <v>0</v>
      </c>
    </row>
    <row r="233" spans="1:58" ht="78.75" outlineLevel="2" x14ac:dyDescent="0.25">
      <c r="A233" s="115"/>
      <c r="B233" s="200"/>
      <c r="C233" s="201"/>
      <c r="D233" s="342"/>
      <c r="E233" s="328"/>
      <c r="F233" s="328"/>
      <c r="G233" s="328"/>
      <c r="H233" s="213" t="s">
        <v>521</v>
      </c>
      <c r="I233" s="130"/>
      <c r="J233" s="126"/>
      <c r="K233" s="126"/>
      <c r="L233" s="125" t="str">
        <f>IF(I233&lt;&gt;0,((VLOOKUP(I233,'1. Standard_Cost'!$B$4:$D$11,2)+VLOOKUP(I233,'1. Standard_Cost'!$B$4:$D$11,3))*J233*K233),"0")</f>
        <v>0</v>
      </c>
      <c r="M233" s="125">
        <f>L233*'1. Standard_Cost'!$F$4</f>
        <v>0</v>
      </c>
      <c r="N233" s="126"/>
      <c r="O233" s="126"/>
      <c r="P233" s="126"/>
      <c r="Q233" s="126"/>
      <c r="R233" s="127">
        <f>'1. Standard_Cost'!$B$15*N233*P233</f>
        <v>0</v>
      </c>
      <c r="S233" s="127">
        <f>N233*O233*P233*'1. Standard_Cost'!$C$15</f>
        <v>0</v>
      </c>
      <c r="T233" s="127">
        <f>N233*P233*Q233*'1. Standard_Cost'!$D$15</f>
        <v>0</v>
      </c>
      <c r="U233" s="127">
        <f>N233*O233*'1. Standard_Cost'!$E$15</f>
        <v>0</v>
      </c>
      <c r="V233" s="126"/>
      <c r="W233" s="126"/>
      <c r="X233" s="126"/>
      <c r="Y233" s="127">
        <f>+V233*((X233*'1. Standard_Cost'!$B$19)+(W233*X233*'1. Standard_Cost'!$C$19))</f>
        <v>0</v>
      </c>
      <c r="Z233" s="126"/>
      <c r="AA233" s="126"/>
      <c r="AB233" s="127">
        <f>+Z233*'1. Standard_Cost'!$B$23+AA233*'1. Standard_Cost'!$C$23</f>
        <v>0</v>
      </c>
      <c r="AC233" s="128"/>
      <c r="AD233" s="129"/>
      <c r="AE233" s="127">
        <f>SUM(AD233,AC233,AB233,Y233,U233,T233,S233,R233)*'1. Standard_Cost'!$B$31</f>
        <v>0</v>
      </c>
      <c r="AF233" s="127">
        <f>SUM(AE233,AD233,AC233,AB233,Y233,U233,T233,S233,R233)</f>
        <v>0</v>
      </c>
      <c r="AG233" s="126"/>
      <c r="AH233" s="126"/>
      <c r="AI233" s="126"/>
      <c r="AJ233" s="130"/>
      <c r="AK233" s="130"/>
      <c r="AL233" s="130"/>
      <c r="AM233" s="127">
        <f>AG233*'1. Standard_Cost'!$B$27+'Incremental_Cost Year 7'!AH233*'1. Standard_Cost'!$C$27+'Incremental_Cost Year 7'!AI233*'1. Standard_Cost'!$D$27+'Incremental_Cost Year 7'!AJ233+'Incremental_Cost Year 7'!AL233+AK233</f>
        <v>0</v>
      </c>
      <c r="AN233" s="127">
        <f>AM233*'1. Standard_Cost'!$C$31</f>
        <v>0</v>
      </c>
      <c r="AO233" s="130"/>
      <c r="AQ233" s="171">
        <f>L233+M233</f>
        <v>0</v>
      </c>
      <c r="AR233" s="171">
        <f>AF233</f>
        <v>0</v>
      </c>
      <c r="AS233" s="171">
        <f>AM233+AN233</f>
        <v>0</v>
      </c>
      <c r="AT233" s="171">
        <f>SUM(AQ233,AR233,AS233)</f>
        <v>0</v>
      </c>
      <c r="AU233" s="250">
        <f>AT233</f>
        <v>0</v>
      </c>
      <c r="AV233" s="250"/>
      <c r="AW233" s="250"/>
      <c r="AX233" s="250"/>
      <c r="AY233" s="250"/>
      <c r="AZ233" s="250"/>
      <c r="BA233" s="250"/>
      <c r="BB233" s="251">
        <f t="shared" ref="BB233:BB236" si="156">SUM(AU233:BA233)-AT233</f>
        <v>0</v>
      </c>
      <c r="BC233" s="169"/>
      <c r="BD233" s="169"/>
      <c r="BE233" s="169"/>
      <c r="BF233" s="169"/>
    </row>
    <row r="234" spans="1:58" ht="94.5" outlineLevel="2" x14ac:dyDescent="0.25">
      <c r="A234" s="115"/>
      <c r="B234" s="200"/>
      <c r="C234" s="201"/>
      <c r="D234" s="343"/>
      <c r="E234" s="328"/>
      <c r="F234" s="328"/>
      <c r="G234" s="328"/>
      <c r="H234" s="199" t="s">
        <v>522</v>
      </c>
      <c r="I234" s="130"/>
      <c r="J234" s="126"/>
      <c r="K234" s="126"/>
      <c r="L234" s="125" t="str">
        <f>IF(I234&lt;&gt;0,((VLOOKUP(I234,'1. Standard_Cost'!$B$4:$D$11,2)+VLOOKUP(I234,'1. Standard_Cost'!$B$4:$D$11,3))*J234*K234),"0")</f>
        <v>0</v>
      </c>
      <c r="M234" s="125">
        <f>L234*'1. Standard_Cost'!$F$4</f>
        <v>0</v>
      </c>
      <c r="N234" s="126"/>
      <c r="O234" s="126"/>
      <c r="P234" s="126"/>
      <c r="Q234" s="126"/>
      <c r="R234" s="127">
        <f>'1. Standard_Cost'!$B$15*N234*P234</f>
        <v>0</v>
      </c>
      <c r="S234" s="127">
        <f>N234*O234*P234*'1. Standard_Cost'!$C$15</f>
        <v>0</v>
      </c>
      <c r="T234" s="127">
        <f>N234*P234*Q234*'1. Standard_Cost'!$D$15</f>
        <v>0</v>
      </c>
      <c r="U234" s="127">
        <f>N234*O234*'1. Standard_Cost'!$E$15</f>
        <v>0</v>
      </c>
      <c r="V234" s="126"/>
      <c r="W234" s="126"/>
      <c r="X234" s="126"/>
      <c r="Y234" s="127">
        <f>+V234*((X234*'1. Standard_Cost'!$B$19)+(W234*X234*'1. Standard_Cost'!$C$19))</f>
        <v>0</v>
      </c>
      <c r="Z234" s="126"/>
      <c r="AA234" s="126"/>
      <c r="AB234" s="127">
        <f>+Z234*'1. Standard_Cost'!$B$23+AA234*'1. Standard_Cost'!$C$23</f>
        <v>0</v>
      </c>
      <c r="AC234" s="128"/>
      <c r="AD234" s="129"/>
      <c r="AE234" s="127"/>
      <c r="AF234" s="127">
        <f>SUM(AE234,AD234,AC234,AB234,Y234,U234,T234,S234,R234)</f>
        <v>0</v>
      </c>
      <c r="AG234" s="126"/>
      <c r="AH234" s="126"/>
      <c r="AI234" s="126"/>
      <c r="AJ234" s="130"/>
      <c r="AK234" s="130"/>
      <c r="AL234" s="130"/>
      <c r="AM234" s="127">
        <f>AG234*'1. Standard_Cost'!$B$27+'Incremental_Cost Year 7'!AH234*'1. Standard_Cost'!$C$27+'Incremental_Cost Year 7'!AI234*'1. Standard_Cost'!$D$27+'Incremental_Cost Year 7'!AJ234+'Incremental_Cost Year 7'!AL234+AK234</f>
        <v>0</v>
      </c>
      <c r="AN234" s="127">
        <f>AM234*'1. Standard_Cost'!$C$31</f>
        <v>0</v>
      </c>
      <c r="AO234" s="130"/>
      <c r="AQ234" s="171">
        <f>L234+M234</f>
        <v>0</v>
      </c>
      <c r="AR234" s="171">
        <f>AF234</f>
        <v>0</v>
      </c>
      <c r="AS234" s="171">
        <f>AM234+AN234</f>
        <v>0</v>
      </c>
      <c r="AT234" s="171">
        <f>SUM(AQ234,AR234,AS234)</f>
        <v>0</v>
      </c>
      <c r="AU234" s="250">
        <f>AT234</f>
        <v>0</v>
      </c>
      <c r="AV234" s="250"/>
      <c r="AW234" s="250"/>
      <c r="AX234" s="250"/>
      <c r="AY234" s="250"/>
      <c r="AZ234" s="250"/>
      <c r="BA234" s="250"/>
      <c r="BB234" s="251">
        <f t="shared" si="156"/>
        <v>0</v>
      </c>
      <c r="BC234" s="169"/>
      <c r="BD234" s="169"/>
      <c r="BE234" s="169"/>
      <c r="BF234" s="169"/>
    </row>
    <row r="235" spans="1:58" ht="94.5" outlineLevel="2" x14ac:dyDescent="0.25">
      <c r="A235" s="115"/>
      <c r="B235" s="200"/>
      <c r="C235" s="201"/>
      <c r="D235" s="343"/>
      <c r="E235" s="328"/>
      <c r="F235" s="328"/>
      <c r="G235" s="328"/>
      <c r="H235" s="199" t="s">
        <v>523</v>
      </c>
      <c r="I235" s="130"/>
      <c r="J235" s="126"/>
      <c r="K235" s="126"/>
      <c r="L235" s="125" t="str">
        <f>IF(I235&lt;&gt;0,((VLOOKUP(I235,'1. Standard_Cost'!$B$4:$D$11,2)+VLOOKUP(I235,'1. Standard_Cost'!$B$4:$D$11,3))*J235*K235),"0")</f>
        <v>0</v>
      </c>
      <c r="M235" s="125">
        <f>L235*'1. Standard_Cost'!$F$4</f>
        <v>0</v>
      </c>
      <c r="N235" s="126"/>
      <c r="O235" s="126"/>
      <c r="P235" s="126"/>
      <c r="Q235" s="126"/>
      <c r="R235" s="127">
        <f>'1. Standard_Cost'!$B$15*N235*P235</f>
        <v>0</v>
      </c>
      <c r="S235" s="127">
        <f>N235*O235*P235*'1. Standard_Cost'!$C$15</f>
        <v>0</v>
      </c>
      <c r="T235" s="127">
        <f>N235*P235*Q235*'1. Standard_Cost'!$D$15</f>
        <v>0</v>
      </c>
      <c r="U235" s="127">
        <f>N235*O235*'1. Standard_Cost'!$E$15</f>
        <v>0</v>
      </c>
      <c r="V235" s="126"/>
      <c r="W235" s="126"/>
      <c r="X235" s="126"/>
      <c r="Y235" s="127">
        <f>+V235*((X235*'1. Standard_Cost'!$B$19)+(W235*X235*'1. Standard_Cost'!$C$19))</f>
        <v>0</v>
      </c>
      <c r="Z235" s="126"/>
      <c r="AA235" s="126"/>
      <c r="AB235" s="127">
        <f>+Z235*'1. Standard_Cost'!$B$23+AA235*'1. Standard_Cost'!$C$23</f>
        <v>0</v>
      </c>
      <c r="AC235" s="128"/>
      <c r="AD235" s="129"/>
      <c r="AE235" s="127">
        <f>SUM(AD235,AC235,AB235,Y235,U235,T235,S235,R235)*'1. Standard_Cost'!$B$31</f>
        <v>0</v>
      </c>
      <c r="AF235" s="127">
        <f>SUM(AE235,AD235,AC235,AB235,Y235,U235,T235,S235,R235)</f>
        <v>0</v>
      </c>
      <c r="AG235" s="126"/>
      <c r="AH235" s="126"/>
      <c r="AI235" s="126"/>
      <c r="AJ235" s="130"/>
      <c r="AK235" s="130"/>
      <c r="AL235" s="130"/>
      <c r="AM235" s="127">
        <f>AG235*'1. Standard_Cost'!$B$27+'Incremental_Cost Year 7'!AH235*'1. Standard_Cost'!$C$27+'Incremental_Cost Year 7'!AI235*'1. Standard_Cost'!$D$27+'Incremental_Cost Year 7'!AJ235+'Incremental_Cost Year 7'!AL235+AK235</f>
        <v>0</v>
      </c>
      <c r="AN235" s="127">
        <f>AM235*'1. Standard_Cost'!$C$31</f>
        <v>0</v>
      </c>
      <c r="AO235" s="130"/>
      <c r="AQ235" s="171">
        <f>L235+M235</f>
        <v>0</v>
      </c>
      <c r="AR235" s="171">
        <f>AF235</f>
        <v>0</v>
      </c>
      <c r="AS235" s="171">
        <f>AM235+AN235</f>
        <v>0</v>
      </c>
      <c r="AT235" s="171">
        <f>SUM(AQ235,AR235,AS235)</f>
        <v>0</v>
      </c>
      <c r="AU235" s="250">
        <f>AT235</f>
        <v>0</v>
      </c>
      <c r="AV235" s="250"/>
      <c r="AW235" s="250"/>
      <c r="AX235" s="250"/>
      <c r="AY235" s="250"/>
      <c r="AZ235" s="250"/>
      <c r="BA235" s="250"/>
      <c r="BB235" s="251">
        <f t="shared" si="156"/>
        <v>0</v>
      </c>
      <c r="BC235" s="169"/>
      <c r="BD235" s="169"/>
      <c r="BE235" s="169"/>
      <c r="BF235" s="169"/>
    </row>
    <row r="236" spans="1:58" ht="78.75" outlineLevel="2" x14ac:dyDescent="0.25">
      <c r="A236" s="115"/>
      <c r="B236" s="200"/>
      <c r="C236" s="201"/>
      <c r="D236" s="344"/>
      <c r="E236" s="328"/>
      <c r="F236" s="328"/>
      <c r="G236" s="328"/>
      <c r="H236" s="199" t="s">
        <v>524</v>
      </c>
      <c r="I236" s="130"/>
      <c r="J236" s="126"/>
      <c r="K236" s="126"/>
      <c r="L236" s="125" t="str">
        <f>IF(I236&lt;&gt;0,((VLOOKUP(I236,'1. Standard_Cost'!$B$4:$D$11,2)+VLOOKUP(I236,'1. Standard_Cost'!$B$4:$D$11,3))*J236*K236),"0")</f>
        <v>0</v>
      </c>
      <c r="M236" s="125">
        <f>L236*'1. Standard_Cost'!$F$4</f>
        <v>0</v>
      </c>
      <c r="N236" s="126"/>
      <c r="O236" s="126"/>
      <c r="P236" s="126"/>
      <c r="Q236" s="126"/>
      <c r="R236" s="127">
        <f>'1. Standard_Cost'!$B$15*N236*P236</f>
        <v>0</v>
      </c>
      <c r="S236" s="127">
        <f>N236*O236*P236*'1. Standard_Cost'!$C$15</f>
        <v>0</v>
      </c>
      <c r="T236" s="127">
        <f>N236*P236*Q236*'1. Standard_Cost'!$D$15</f>
        <v>0</v>
      </c>
      <c r="U236" s="127">
        <f>N236*O236*'1. Standard_Cost'!$E$15</f>
        <v>0</v>
      </c>
      <c r="V236" s="126"/>
      <c r="W236" s="126"/>
      <c r="X236" s="126"/>
      <c r="Y236" s="127">
        <f>+V236*((X236*'1. Standard_Cost'!$B$19)+(W236*X236*'1. Standard_Cost'!$C$19))</f>
        <v>0</v>
      </c>
      <c r="Z236" s="126"/>
      <c r="AA236" s="126"/>
      <c r="AB236" s="127">
        <f>+Z236*'1. Standard_Cost'!$B$23+AA236*'1. Standard_Cost'!$C$23</f>
        <v>0</v>
      </c>
      <c r="AC236" s="128"/>
      <c r="AD236" s="129"/>
      <c r="AE236" s="127">
        <f>SUM(AD236,AC236,AB236,Y236,U236,T236,S236,R236)*'1. Standard_Cost'!$B$31</f>
        <v>0</v>
      </c>
      <c r="AF236" s="127">
        <f>SUM(AE236,AD236,AC236,AB236,Y236,U236,T236,S236,R236)</f>
        <v>0</v>
      </c>
      <c r="AG236" s="126"/>
      <c r="AH236" s="126"/>
      <c r="AI236" s="126"/>
      <c r="AJ236" s="130"/>
      <c r="AK236" s="130"/>
      <c r="AL236" s="130"/>
      <c r="AM236" s="127">
        <f>AG236*'1. Standard_Cost'!$B$27+'Incremental_Cost Year 7'!AH236*'1. Standard_Cost'!$C$27+'Incremental_Cost Year 7'!AI236*'1. Standard_Cost'!$D$27+'Incremental_Cost Year 7'!AJ236+'Incremental_Cost Year 7'!AL236+AK236</f>
        <v>0</v>
      </c>
      <c r="AN236" s="127">
        <f>AM236*'1. Standard_Cost'!$C$31</f>
        <v>0</v>
      </c>
      <c r="AO236" s="130"/>
      <c r="AQ236" s="171">
        <f>L236+M236</f>
        <v>0</v>
      </c>
      <c r="AR236" s="171">
        <f>AF236</f>
        <v>0</v>
      </c>
      <c r="AS236" s="171">
        <f>AM236+AN236</f>
        <v>0</v>
      </c>
      <c r="AT236" s="171">
        <f>SUM(AQ236,AR236,AS236)</f>
        <v>0</v>
      </c>
      <c r="AU236" s="250">
        <f>AT236</f>
        <v>0</v>
      </c>
      <c r="AV236" s="250"/>
      <c r="AW236" s="250"/>
      <c r="AX236" s="250"/>
      <c r="AY236" s="250"/>
      <c r="AZ236" s="250"/>
      <c r="BA236" s="250"/>
      <c r="BB236" s="251">
        <f t="shared" si="156"/>
        <v>0</v>
      </c>
      <c r="BC236" s="169"/>
      <c r="BD236" s="169"/>
      <c r="BE236" s="169"/>
      <c r="BF236" s="169"/>
    </row>
    <row r="237" spans="1:58" ht="63" outlineLevel="1" x14ac:dyDescent="0.25">
      <c r="A237" s="115"/>
      <c r="B237" s="165"/>
      <c r="C237" s="166"/>
      <c r="D237" s="209" t="s">
        <v>563</v>
      </c>
      <c r="E237" s="212" t="s">
        <v>263</v>
      </c>
      <c r="F237" s="136">
        <v>2023</v>
      </c>
      <c r="G237" s="117">
        <v>2025</v>
      </c>
      <c r="H237" s="150" t="s">
        <v>264</v>
      </c>
      <c r="I237" s="252"/>
      <c r="J237" s="252"/>
      <c r="K237" s="252"/>
      <c r="L237" s="127">
        <f>SUM(L233:L236)</f>
        <v>0</v>
      </c>
      <c r="M237" s="127">
        <f>SUM(M233:M236)</f>
        <v>0</v>
      </c>
      <c r="N237" s="252"/>
      <c r="O237" s="252"/>
      <c r="P237" s="252"/>
      <c r="Q237" s="252"/>
      <c r="R237" s="127">
        <f>SUM(R233:R236)</f>
        <v>0</v>
      </c>
      <c r="S237" s="127">
        <f>SUM(S233:S236)</f>
        <v>0</v>
      </c>
      <c r="T237" s="127">
        <f>SUM(T233:T236)</f>
        <v>0</v>
      </c>
      <c r="U237" s="127">
        <f>SUM(U233:U236)</f>
        <v>0</v>
      </c>
      <c r="V237" s="252"/>
      <c r="W237" s="252"/>
      <c r="X237" s="252"/>
      <c r="Y237" s="127">
        <f>SUM(Y233:Y236)</f>
        <v>0</v>
      </c>
      <c r="Z237" s="127"/>
      <c r="AA237" s="252"/>
      <c r="AB237" s="127">
        <f>SUM(AB233:AB236)</f>
        <v>0</v>
      </c>
      <c r="AC237" s="127">
        <f>SUM(AC233:AC236)</f>
        <v>0</v>
      </c>
      <c r="AD237" s="127">
        <f>SUM(AD233:AD236)</f>
        <v>0</v>
      </c>
      <c r="AE237" s="127">
        <f>SUM(AE233:AE236)</f>
        <v>0</v>
      </c>
      <c r="AF237" s="127">
        <f>SUM(AF233:AF236)</f>
        <v>0</v>
      </c>
      <c r="AG237" s="252"/>
      <c r="AH237" s="252"/>
      <c r="AI237" s="252"/>
      <c r="AJ237" s="127">
        <f>SUM(AJ233:AJ236)</f>
        <v>0</v>
      </c>
      <c r="AK237" s="127">
        <f>SUM(AK233:AK236)</f>
        <v>0</v>
      </c>
      <c r="AL237" s="127">
        <f>SUM(AL233:AL236)</f>
        <v>0</v>
      </c>
      <c r="AM237" s="127">
        <f>SUM(AM233:AM236)</f>
        <v>0</v>
      </c>
      <c r="AN237" s="127">
        <f>SUM(AN233:AN236)</f>
        <v>0</v>
      </c>
      <c r="AO237" s="253"/>
      <c r="AP237" s="254"/>
      <c r="AQ237" s="175">
        <f>SUM(AQ233:AQ236)</f>
        <v>0</v>
      </c>
      <c r="AR237" s="175">
        <f>SUM(AR233:AR236)</f>
        <v>0</v>
      </c>
      <c r="AS237" s="175">
        <f>SUM(AS233:AS236)</f>
        <v>0</v>
      </c>
      <c r="AT237" s="175">
        <f>SUM(AT233:AT236)</f>
        <v>0</v>
      </c>
      <c r="AU237" s="175">
        <f t="shared" ref="AU237:BB237" si="157">SUM(AU233:AU236)</f>
        <v>0</v>
      </c>
      <c r="AV237" s="175">
        <f t="shared" si="157"/>
        <v>0</v>
      </c>
      <c r="AW237" s="175">
        <f t="shared" si="157"/>
        <v>0</v>
      </c>
      <c r="AX237" s="175">
        <f t="shared" si="157"/>
        <v>0</v>
      </c>
      <c r="AY237" s="175">
        <f t="shared" si="157"/>
        <v>0</v>
      </c>
      <c r="AZ237" s="175">
        <f t="shared" si="157"/>
        <v>0</v>
      </c>
      <c r="BA237" s="175">
        <f t="shared" si="157"/>
        <v>0</v>
      </c>
      <c r="BB237" s="175">
        <f t="shared" si="157"/>
        <v>0</v>
      </c>
      <c r="BC237" s="169"/>
      <c r="BD237" s="169"/>
      <c r="BE237" s="169"/>
      <c r="BF237" s="169"/>
    </row>
    <row r="238" spans="1:58" s="184" customFormat="1" ht="15.75" customHeight="1" x14ac:dyDescent="0.25">
      <c r="A238" s="143"/>
      <c r="B238" s="332"/>
      <c r="C238" s="397" t="s">
        <v>265</v>
      </c>
      <c r="D238" s="397"/>
      <c r="E238" s="398"/>
      <c r="F238" s="291"/>
      <c r="G238" s="340"/>
      <c r="H238" s="144" t="s">
        <v>303</v>
      </c>
      <c r="I238" s="257"/>
      <c r="J238" s="257"/>
      <c r="K238" s="257"/>
      <c r="L238" s="258">
        <f>SUM(L243)</f>
        <v>0</v>
      </c>
      <c r="M238" s="258">
        <f>SUM(M243)</f>
        <v>0</v>
      </c>
      <c r="N238" s="257"/>
      <c r="O238" s="257"/>
      <c r="P238" s="257"/>
      <c r="Q238" s="257"/>
      <c r="R238" s="258">
        <f>SUM(R243)</f>
        <v>0</v>
      </c>
      <c r="S238" s="258">
        <f>SUM(S243)</f>
        <v>0</v>
      </c>
      <c r="T238" s="258">
        <f>SUM(T243)</f>
        <v>0</v>
      </c>
      <c r="U238" s="258">
        <f>SUM(U243)</f>
        <v>0</v>
      </c>
      <c r="V238" s="257"/>
      <c r="W238" s="257"/>
      <c r="X238" s="257"/>
      <c r="Y238" s="258">
        <f>SUM(Y243)</f>
        <v>0</v>
      </c>
      <c r="Z238" s="258"/>
      <c r="AA238" s="258"/>
      <c r="AB238" s="258">
        <f>SUM(AB243)</f>
        <v>0</v>
      </c>
      <c r="AC238" s="258">
        <f>SUM(AC243)</f>
        <v>0</v>
      </c>
      <c r="AD238" s="258">
        <f>SUM(AD243)</f>
        <v>0</v>
      </c>
      <c r="AE238" s="258">
        <f>SUM(AE243)</f>
        <v>0</v>
      </c>
      <c r="AF238" s="258">
        <f>SUM(AF243)</f>
        <v>0</v>
      </c>
      <c r="AG238" s="257"/>
      <c r="AH238" s="257"/>
      <c r="AI238" s="257"/>
      <c r="AJ238" s="258">
        <f>SUM(AJ243)</f>
        <v>0</v>
      </c>
      <c r="AK238" s="258">
        <f>SUM(AK243)</f>
        <v>0</v>
      </c>
      <c r="AL238" s="258">
        <f>SUM(AL243)</f>
        <v>0</v>
      </c>
      <c r="AM238" s="258">
        <f>SUM(AM243)</f>
        <v>0</v>
      </c>
      <c r="AN238" s="258">
        <f>SUM(AN243)</f>
        <v>0</v>
      </c>
      <c r="AO238" s="259"/>
      <c r="AP238" s="260"/>
      <c r="AQ238" s="261">
        <f>SUM(AQ243)</f>
        <v>0</v>
      </c>
      <c r="AR238" s="261">
        <f>SUM(AR243)</f>
        <v>0</v>
      </c>
      <c r="AS238" s="261">
        <f>SUM(AS243)</f>
        <v>0</v>
      </c>
      <c r="AT238" s="261">
        <f>SUM(AT243)</f>
        <v>0</v>
      </c>
      <c r="AU238" s="261">
        <f t="shared" ref="AU238:BB238" si="158">SUM(AU243)</f>
        <v>0</v>
      </c>
      <c r="AV238" s="261">
        <f t="shared" si="158"/>
        <v>0</v>
      </c>
      <c r="AW238" s="261">
        <f t="shared" si="158"/>
        <v>0</v>
      </c>
      <c r="AX238" s="261">
        <f t="shared" si="158"/>
        <v>0</v>
      </c>
      <c r="AY238" s="261">
        <f t="shared" si="158"/>
        <v>0</v>
      </c>
      <c r="AZ238" s="261">
        <f t="shared" si="158"/>
        <v>0</v>
      </c>
      <c r="BA238" s="261">
        <f t="shared" si="158"/>
        <v>0</v>
      </c>
      <c r="BB238" s="261">
        <f t="shared" si="158"/>
        <v>0</v>
      </c>
    </row>
    <row r="239" spans="1:58" ht="63" outlineLevel="2" x14ac:dyDescent="0.25">
      <c r="A239" s="115"/>
      <c r="B239" s="200"/>
      <c r="C239" s="201"/>
      <c r="D239" s="202"/>
      <c r="E239" s="354"/>
      <c r="F239" s="355"/>
      <c r="G239" s="356"/>
      <c r="H239" s="199" t="s">
        <v>525</v>
      </c>
      <c r="I239" s="130"/>
      <c r="J239" s="126"/>
      <c r="K239" s="126"/>
      <c r="L239" s="125" t="str">
        <f>IF(I239&lt;&gt;0,((VLOOKUP(I239,'1. Standard_Cost'!$B$4:$D$11,2)+VLOOKUP(I239,'1. Standard_Cost'!$B$4:$D$11,3))*J239*K239),"0")</f>
        <v>0</v>
      </c>
      <c r="M239" s="125">
        <f>L239*'1. Standard_Cost'!$F$4</f>
        <v>0</v>
      </c>
      <c r="N239" s="126"/>
      <c r="O239" s="126"/>
      <c r="P239" s="126"/>
      <c r="Q239" s="126"/>
      <c r="R239" s="127">
        <f>'1. Standard_Cost'!$B$15*N239*P239</f>
        <v>0</v>
      </c>
      <c r="S239" s="127">
        <f>N239*O239*P239*'1. Standard_Cost'!$C$15</f>
        <v>0</v>
      </c>
      <c r="T239" s="127">
        <f>N239*P239*Q239*'1. Standard_Cost'!$D$15</f>
        <v>0</v>
      </c>
      <c r="U239" s="127">
        <f>N239*O239*'1. Standard_Cost'!$E$15</f>
        <v>0</v>
      </c>
      <c r="V239" s="126"/>
      <c r="W239" s="126"/>
      <c r="X239" s="126"/>
      <c r="Y239" s="127">
        <f>+V239*((X239*'1. Standard_Cost'!$B$19)+(W239*X239*'1. Standard_Cost'!$C$19))</f>
        <v>0</v>
      </c>
      <c r="Z239" s="126"/>
      <c r="AA239" s="126"/>
      <c r="AB239" s="127">
        <f>+Z239*'1. Standard_Cost'!$B$23+AA239*'1. Standard_Cost'!$C$23</f>
        <v>0</v>
      </c>
      <c r="AC239" s="128"/>
      <c r="AD239" s="129"/>
      <c r="AE239" s="127">
        <f>SUM(AD239,AC239,AB239,Y239,U239,T239,S239,R239)*'1. Standard_Cost'!$B$31</f>
        <v>0</v>
      </c>
      <c r="AF239" s="127">
        <f>SUM(AE239,AD239,AC239,AB239,Y239,U239,T239,S239,R239)</f>
        <v>0</v>
      </c>
      <c r="AG239" s="126"/>
      <c r="AH239" s="126"/>
      <c r="AI239" s="126"/>
      <c r="AJ239" s="130"/>
      <c r="AK239" s="130"/>
      <c r="AL239" s="130"/>
      <c r="AM239" s="127">
        <f>AG239*'1. Standard_Cost'!$B$27+'Incremental_Cost Year 7'!AH239*'1. Standard_Cost'!$C$27+'Incremental_Cost Year 7'!AI239*'1. Standard_Cost'!$D$27+'Incremental_Cost Year 7'!AJ239+'Incremental_Cost Year 7'!AL239+AK239</f>
        <v>0</v>
      </c>
      <c r="AN239" s="127">
        <f>AM239*'1. Standard_Cost'!$C$31</f>
        <v>0</v>
      </c>
      <c r="AO239" s="130"/>
      <c r="AQ239" s="171">
        <f>L239+M239</f>
        <v>0</v>
      </c>
      <c r="AR239" s="171">
        <f>AF239</f>
        <v>0</v>
      </c>
      <c r="AS239" s="171">
        <f>AM239+AN239</f>
        <v>0</v>
      </c>
      <c r="AT239" s="171">
        <f>SUM(AQ239,AR239,AS239)</f>
        <v>0</v>
      </c>
      <c r="AU239" s="250">
        <f>AT239</f>
        <v>0</v>
      </c>
      <c r="AV239" s="250"/>
      <c r="AW239" s="250"/>
      <c r="AX239" s="250"/>
      <c r="AY239" s="250"/>
      <c r="AZ239" s="250"/>
      <c r="BA239" s="250"/>
      <c r="BB239" s="251">
        <f t="shared" ref="BB239:BB242" si="159">SUM(AU239:BA239)-AT239</f>
        <v>0</v>
      </c>
      <c r="BC239" s="169"/>
      <c r="BD239" s="169"/>
      <c r="BE239" s="169"/>
      <c r="BF239" s="169"/>
    </row>
    <row r="240" spans="1:58" ht="31.5" outlineLevel="2" x14ac:dyDescent="0.25">
      <c r="A240" s="115"/>
      <c r="B240" s="200"/>
      <c r="C240" s="201"/>
      <c r="D240" s="202"/>
      <c r="E240" s="357"/>
      <c r="F240" s="358"/>
      <c r="G240" s="359"/>
      <c r="H240" s="199" t="s">
        <v>526</v>
      </c>
      <c r="I240" s="130"/>
      <c r="J240" s="126"/>
      <c r="K240" s="126"/>
      <c r="L240" s="125" t="str">
        <f>IF(I240&lt;&gt;0,((VLOOKUP(I240,'1. Standard_Cost'!$B$4:$D$11,2)+VLOOKUP(I240,'1. Standard_Cost'!$B$4:$D$11,3))*J240*K240),"0")</f>
        <v>0</v>
      </c>
      <c r="M240" s="125">
        <f>L240*'1. Standard_Cost'!$F$4</f>
        <v>0</v>
      </c>
      <c r="N240" s="126"/>
      <c r="O240" s="126"/>
      <c r="P240" s="126"/>
      <c r="Q240" s="126"/>
      <c r="R240" s="127">
        <f>'1. Standard_Cost'!$B$15*N240*P240</f>
        <v>0</v>
      </c>
      <c r="S240" s="127">
        <f>N240*O240*P240*'1. Standard_Cost'!$C$15</f>
        <v>0</v>
      </c>
      <c r="T240" s="127">
        <f>N240*P240*Q240*'1. Standard_Cost'!$D$15</f>
        <v>0</v>
      </c>
      <c r="U240" s="127">
        <f>N240*O240*'1. Standard_Cost'!$E$15</f>
        <v>0</v>
      </c>
      <c r="V240" s="126"/>
      <c r="W240" s="126"/>
      <c r="X240" s="126"/>
      <c r="Y240" s="127">
        <f>+V240*((X240*'1. Standard_Cost'!$B$19)+(W240*X240*'1. Standard_Cost'!$C$19))</f>
        <v>0</v>
      </c>
      <c r="Z240" s="126"/>
      <c r="AA240" s="126"/>
      <c r="AB240" s="127">
        <f>+Z240*'1. Standard_Cost'!$B$23+AA240*'1. Standard_Cost'!$C$23</f>
        <v>0</v>
      </c>
      <c r="AC240" s="128"/>
      <c r="AD240" s="129"/>
      <c r="AE240" s="127">
        <f>SUM(AD240,AC240,AB240,Y240,U240,T240,S240,R240)*'1. Standard_Cost'!$B$31</f>
        <v>0</v>
      </c>
      <c r="AF240" s="127">
        <f>SUM(AE240,AD240,AC240,AB240,Y240,U240,T240,S240,R240)</f>
        <v>0</v>
      </c>
      <c r="AG240" s="126"/>
      <c r="AH240" s="126"/>
      <c r="AI240" s="126"/>
      <c r="AJ240" s="130"/>
      <c r="AK240" s="130"/>
      <c r="AL240" s="130"/>
      <c r="AM240" s="127">
        <f>AG240*'1. Standard_Cost'!$B$27+'Incremental_Cost Year 7'!AH240*'1. Standard_Cost'!$C$27+'Incremental_Cost Year 7'!AI240*'1. Standard_Cost'!$D$27+'Incremental_Cost Year 7'!AJ240+'Incremental_Cost Year 7'!AL240+AK240</f>
        <v>0</v>
      </c>
      <c r="AN240" s="127">
        <f>AM240*'1. Standard_Cost'!$C$31</f>
        <v>0</v>
      </c>
      <c r="AO240" s="130"/>
      <c r="AQ240" s="171">
        <f>L240+M240</f>
        <v>0</v>
      </c>
      <c r="AR240" s="171">
        <f>AF240</f>
        <v>0</v>
      </c>
      <c r="AS240" s="171">
        <f>AM240+AN240</f>
        <v>0</v>
      </c>
      <c r="AT240" s="171">
        <f>SUM(AQ240,AR240,AS240)</f>
        <v>0</v>
      </c>
      <c r="AU240" s="250">
        <f>AT240</f>
        <v>0</v>
      </c>
      <c r="AV240" s="250"/>
      <c r="AW240" s="250"/>
      <c r="AX240" s="250"/>
      <c r="AY240" s="250"/>
      <c r="AZ240" s="250"/>
      <c r="BA240" s="250"/>
      <c r="BB240" s="251">
        <f t="shared" si="159"/>
        <v>0</v>
      </c>
      <c r="BC240" s="169"/>
      <c r="BD240" s="169"/>
      <c r="BE240" s="169"/>
      <c r="BF240" s="169"/>
    </row>
    <row r="241" spans="1:58" ht="47.25" outlineLevel="2" x14ac:dyDescent="0.25">
      <c r="A241" s="115"/>
      <c r="B241" s="200"/>
      <c r="C241" s="201"/>
      <c r="D241" s="202"/>
      <c r="E241" s="357"/>
      <c r="F241" s="358"/>
      <c r="G241" s="359"/>
      <c r="H241" s="199" t="s">
        <v>527</v>
      </c>
      <c r="I241" s="130"/>
      <c r="J241" s="126"/>
      <c r="K241" s="126"/>
      <c r="L241" s="125" t="str">
        <f>IF(I241&lt;&gt;0,((VLOOKUP(I241,'1. Standard_Cost'!$B$4:$D$11,2)+VLOOKUP(I241,'1. Standard_Cost'!$B$4:$D$11,3))*J241*K241),"0")</f>
        <v>0</v>
      </c>
      <c r="M241" s="125">
        <f>L241*'1. Standard_Cost'!$F$4</f>
        <v>0</v>
      </c>
      <c r="N241" s="126"/>
      <c r="O241" s="126"/>
      <c r="P241" s="126"/>
      <c r="Q241" s="126"/>
      <c r="R241" s="127">
        <f>'1. Standard_Cost'!$B$15*N241*P241</f>
        <v>0</v>
      </c>
      <c r="S241" s="127">
        <f>N241*O241*P241*'1. Standard_Cost'!$C$15</f>
        <v>0</v>
      </c>
      <c r="T241" s="127">
        <f>N241*P241*Q241*'1. Standard_Cost'!$D$15</f>
        <v>0</v>
      </c>
      <c r="U241" s="127">
        <f>N241*O241*'1. Standard_Cost'!$E$15</f>
        <v>0</v>
      </c>
      <c r="V241" s="126"/>
      <c r="W241" s="126"/>
      <c r="X241" s="126"/>
      <c r="Y241" s="127">
        <f>+V241*((X241*'1. Standard_Cost'!$B$19)+(W241*X241*'1. Standard_Cost'!$C$19))</f>
        <v>0</v>
      </c>
      <c r="Z241" s="126"/>
      <c r="AA241" s="126"/>
      <c r="AB241" s="127">
        <f>+Z241*'1. Standard_Cost'!$B$23+AA241*'1. Standard_Cost'!$C$23</f>
        <v>0</v>
      </c>
      <c r="AC241" s="128"/>
      <c r="AD241" s="129"/>
      <c r="AE241" s="127">
        <f>SUM(AD241,AC241,AB241,Y241,U241,T241,S241,R241)*'1. Standard_Cost'!$B$31</f>
        <v>0</v>
      </c>
      <c r="AF241" s="127">
        <f>SUM(AE241,AD241,AC241,AB241,Y241,U241,T241,S241,R241)</f>
        <v>0</v>
      </c>
      <c r="AG241" s="126"/>
      <c r="AH241" s="126"/>
      <c r="AI241" s="126"/>
      <c r="AJ241" s="130"/>
      <c r="AK241" s="130"/>
      <c r="AL241" s="130"/>
      <c r="AM241" s="127">
        <f>AG241*'1. Standard_Cost'!$B$27+'Incremental_Cost Year 7'!AH241*'1. Standard_Cost'!$C$27+'Incremental_Cost Year 7'!AI241*'1. Standard_Cost'!$D$27+'Incremental_Cost Year 7'!AJ241+'Incremental_Cost Year 7'!AL241+AK241</f>
        <v>0</v>
      </c>
      <c r="AN241" s="127">
        <f>AM241*'1. Standard_Cost'!$C$31</f>
        <v>0</v>
      </c>
      <c r="AO241" s="130"/>
      <c r="AQ241" s="171">
        <f>L241+M241</f>
        <v>0</v>
      </c>
      <c r="AR241" s="171">
        <f>AF241</f>
        <v>0</v>
      </c>
      <c r="AS241" s="171">
        <f>AM241+AN241</f>
        <v>0</v>
      </c>
      <c r="AT241" s="171">
        <f>SUM(AQ241,AR241,AS241)</f>
        <v>0</v>
      </c>
      <c r="AU241" s="250">
        <f>AT241</f>
        <v>0</v>
      </c>
      <c r="AV241" s="250"/>
      <c r="AW241" s="250"/>
      <c r="AX241" s="250"/>
      <c r="AY241" s="250"/>
      <c r="AZ241" s="250"/>
      <c r="BA241" s="250"/>
      <c r="BB241" s="251">
        <f t="shared" si="159"/>
        <v>0</v>
      </c>
      <c r="BC241" s="169"/>
      <c r="BD241" s="169"/>
      <c r="BE241" s="169"/>
      <c r="BF241" s="169"/>
    </row>
    <row r="242" spans="1:58" ht="94.5" outlineLevel="2" x14ac:dyDescent="0.25">
      <c r="A242" s="115"/>
      <c r="B242" s="200"/>
      <c r="C242" s="201"/>
      <c r="D242" s="202"/>
      <c r="E242" s="360"/>
      <c r="F242" s="361"/>
      <c r="G242" s="362"/>
      <c r="H242" s="213" t="s">
        <v>528</v>
      </c>
      <c r="I242" s="130"/>
      <c r="J242" s="126"/>
      <c r="K242" s="126"/>
      <c r="L242" s="125" t="str">
        <f>IF(I242&lt;&gt;0,((VLOOKUP(I242,'1. Standard_Cost'!$B$4:$D$11,2)+VLOOKUP(I242,'1. Standard_Cost'!$B$4:$D$11,3))*J242*K242),"0")</f>
        <v>0</v>
      </c>
      <c r="M242" s="125">
        <f>L242*'1. Standard_Cost'!$F$4</f>
        <v>0</v>
      </c>
      <c r="N242" s="126"/>
      <c r="O242" s="126"/>
      <c r="P242" s="126"/>
      <c r="Q242" s="126"/>
      <c r="R242" s="127">
        <f>'1. Standard_Cost'!$B$15*N242*P242</f>
        <v>0</v>
      </c>
      <c r="S242" s="127">
        <f>N242*O242*P242*'1. Standard_Cost'!$C$15</f>
        <v>0</v>
      </c>
      <c r="T242" s="127">
        <f>N242*P242*Q242*'1. Standard_Cost'!$D$15</f>
        <v>0</v>
      </c>
      <c r="U242" s="127">
        <f>N242*O242*'1. Standard_Cost'!$E$15</f>
        <v>0</v>
      </c>
      <c r="V242" s="126"/>
      <c r="W242" s="126"/>
      <c r="X242" s="126"/>
      <c r="Y242" s="127">
        <f>+V242*((X242*'1. Standard_Cost'!$B$19)+(W242*X242*'1. Standard_Cost'!$C$19))</f>
        <v>0</v>
      </c>
      <c r="Z242" s="126"/>
      <c r="AA242" s="126"/>
      <c r="AB242" s="127">
        <f>+Z242*'1. Standard_Cost'!$B$23+AA242*'1. Standard_Cost'!$C$23</f>
        <v>0</v>
      </c>
      <c r="AC242" s="128"/>
      <c r="AD242" s="129"/>
      <c r="AE242" s="127">
        <f>SUM(AD242,AC242,AB242,Y242,U242,T242,S242,R242)*'1. Standard_Cost'!$B$31</f>
        <v>0</v>
      </c>
      <c r="AF242" s="127">
        <f>SUM(AE242,AD242,AC242,AB242,Y242,U242,T242,S242,R242)</f>
        <v>0</v>
      </c>
      <c r="AG242" s="126"/>
      <c r="AH242" s="126"/>
      <c r="AI242" s="126"/>
      <c r="AJ242" s="130"/>
      <c r="AK242" s="130"/>
      <c r="AL242" s="130"/>
      <c r="AM242" s="127">
        <f>AG242*'1. Standard_Cost'!$B$27+'Incremental_Cost Year 7'!AH242*'1. Standard_Cost'!$C$27+'Incremental_Cost Year 7'!AI242*'1. Standard_Cost'!$D$27+'Incremental_Cost Year 7'!AJ242+'Incremental_Cost Year 7'!AL242+AK242</f>
        <v>0</v>
      </c>
      <c r="AN242" s="127">
        <f>AM242*'1. Standard_Cost'!$C$31</f>
        <v>0</v>
      </c>
      <c r="AO242" s="130"/>
      <c r="AQ242" s="171">
        <f>L242+M242</f>
        <v>0</v>
      </c>
      <c r="AR242" s="171">
        <f>AF242</f>
        <v>0</v>
      </c>
      <c r="AS242" s="171">
        <f>AM242+AN242</f>
        <v>0</v>
      </c>
      <c r="AT242" s="171">
        <f>SUM(AQ242,AR242,AS242)</f>
        <v>0</v>
      </c>
      <c r="AU242" s="250">
        <f>AT242</f>
        <v>0</v>
      </c>
      <c r="AV242" s="250"/>
      <c r="AW242" s="250"/>
      <c r="AX242" s="250"/>
      <c r="AY242" s="250"/>
      <c r="AZ242" s="250"/>
      <c r="BA242" s="250"/>
      <c r="BB242" s="251">
        <f t="shared" si="159"/>
        <v>0</v>
      </c>
      <c r="BC242" s="169"/>
      <c r="BD242" s="169"/>
      <c r="BE242" s="169"/>
      <c r="BF242" s="169"/>
    </row>
    <row r="243" spans="1:58" ht="94.5" outlineLevel="1" x14ac:dyDescent="0.25">
      <c r="A243" s="115"/>
      <c r="B243" s="165"/>
      <c r="C243" s="166"/>
      <c r="D243" s="150" t="s">
        <v>564</v>
      </c>
      <c r="E243" s="212" t="s">
        <v>267</v>
      </c>
      <c r="F243" s="136">
        <v>2021</v>
      </c>
      <c r="G243" s="117">
        <v>2024</v>
      </c>
      <c r="H243" s="150" t="s">
        <v>304</v>
      </c>
      <c r="I243" s="252"/>
      <c r="J243" s="252"/>
      <c r="K243" s="252"/>
      <c r="L243" s="127">
        <f>SUM(L239:L242)</f>
        <v>0</v>
      </c>
      <c r="M243" s="127">
        <f>SUM(M239:M242)</f>
        <v>0</v>
      </c>
      <c r="N243" s="252"/>
      <c r="O243" s="252"/>
      <c r="P243" s="252"/>
      <c r="Q243" s="252"/>
      <c r="R243" s="127">
        <f>SUM(R239:R242)</f>
        <v>0</v>
      </c>
      <c r="S243" s="127">
        <f>SUM(S239:S242)</f>
        <v>0</v>
      </c>
      <c r="T243" s="127">
        <f>SUM(T239:T242)</f>
        <v>0</v>
      </c>
      <c r="U243" s="127">
        <f>SUM(U239:U242)</f>
        <v>0</v>
      </c>
      <c r="V243" s="252"/>
      <c r="W243" s="252"/>
      <c r="X243" s="252"/>
      <c r="Y243" s="127">
        <f>SUM(Y239:Y242)</f>
        <v>0</v>
      </c>
      <c r="Z243" s="127"/>
      <c r="AA243" s="252"/>
      <c r="AB243" s="127">
        <f>SUM(AB239:AB242)</f>
        <v>0</v>
      </c>
      <c r="AC243" s="127">
        <f>SUM(AC239:AC242)</f>
        <v>0</v>
      </c>
      <c r="AD243" s="127">
        <f>SUM(AD239:AD242)</f>
        <v>0</v>
      </c>
      <c r="AE243" s="127">
        <f>SUM(AE239:AE242)</f>
        <v>0</v>
      </c>
      <c r="AF243" s="127">
        <f>SUM(AF239:AF242)</f>
        <v>0</v>
      </c>
      <c r="AG243" s="252"/>
      <c r="AH243" s="252"/>
      <c r="AI243" s="252"/>
      <c r="AJ243" s="127">
        <f>SUM(AJ239:AJ242)</f>
        <v>0</v>
      </c>
      <c r="AK243" s="127">
        <f>SUM(AK239:AK242)</f>
        <v>0</v>
      </c>
      <c r="AL243" s="127">
        <f>SUM(AL239:AL242)</f>
        <v>0</v>
      </c>
      <c r="AM243" s="127">
        <f>SUM(AM239:AM242)</f>
        <v>0</v>
      </c>
      <c r="AN243" s="127">
        <f>SUM(AN239:AN242)</f>
        <v>0</v>
      </c>
      <c r="AO243" s="253"/>
      <c r="AP243" s="254"/>
      <c r="AQ243" s="175">
        <f>SUM(AQ239:AQ242)</f>
        <v>0</v>
      </c>
      <c r="AR243" s="175">
        <f>SUM(AR239:AR242)</f>
        <v>0</v>
      </c>
      <c r="AS243" s="175">
        <f>SUM(AS239:AS242)</f>
        <v>0</v>
      </c>
      <c r="AT243" s="175">
        <f>SUM(AT239:AT242)</f>
        <v>0</v>
      </c>
      <c r="AU243" s="175">
        <f t="shared" ref="AU243:BB243" si="160">SUM(AU239:AU242)</f>
        <v>0</v>
      </c>
      <c r="AV243" s="175">
        <f t="shared" si="160"/>
        <v>0</v>
      </c>
      <c r="AW243" s="175">
        <f t="shared" si="160"/>
        <v>0</v>
      </c>
      <c r="AX243" s="175">
        <f t="shared" si="160"/>
        <v>0</v>
      </c>
      <c r="AY243" s="175">
        <f t="shared" si="160"/>
        <v>0</v>
      </c>
      <c r="AZ243" s="175">
        <f t="shared" si="160"/>
        <v>0</v>
      </c>
      <c r="BA243" s="175">
        <f t="shared" si="160"/>
        <v>0</v>
      </c>
      <c r="BB243" s="175">
        <f t="shared" si="160"/>
        <v>0</v>
      </c>
      <c r="BC243" s="169"/>
      <c r="BD243" s="169"/>
      <c r="BE243" s="169"/>
      <c r="BF243" s="169"/>
    </row>
    <row r="244" spans="1:58" ht="12.75" customHeight="1" x14ac:dyDescent="0.2">
      <c r="A244" s="173"/>
      <c r="B244" s="399" t="s">
        <v>316</v>
      </c>
      <c r="C244" s="400"/>
      <c r="D244" s="400"/>
      <c r="E244" s="401"/>
      <c r="F244" s="367"/>
      <c r="G244" s="367"/>
      <c r="H244" s="188" t="s">
        <v>317</v>
      </c>
      <c r="I244" s="245"/>
      <c r="J244" s="245"/>
      <c r="K244" s="245"/>
      <c r="L244" s="245">
        <f>L245+L259+L269+L277+L284</f>
        <v>36019200</v>
      </c>
      <c r="M244" s="245">
        <f>M245+M259+M269+M277+M284</f>
        <v>6015206.4000000004</v>
      </c>
      <c r="N244" s="245"/>
      <c r="O244" s="245"/>
      <c r="P244" s="245"/>
      <c r="Q244" s="245"/>
      <c r="R244" s="245">
        <f>R245+R259+R269+R277+R284</f>
        <v>3200000</v>
      </c>
      <c r="S244" s="245">
        <f>S245+S259+S269+S277+S284</f>
        <v>2400000</v>
      </c>
      <c r="T244" s="245">
        <f>T245+T259+T269+T277+T284</f>
        <v>0</v>
      </c>
      <c r="U244" s="245">
        <f>U245+U259+U269+U277+U284</f>
        <v>3200000</v>
      </c>
      <c r="V244" s="245"/>
      <c r="W244" s="245"/>
      <c r="X244" s="245"/>
      <c r="Y244" s="245">
        <f t="shared" ref="Y244:AF244" si="161">Y245+Y259+Y269+Y277+Y284</f>
        <v>0</v>
      </c>
      <c r="Z244" s="245">
        <f t="shared" si="161"/>
        <v>0</v>
      </c>
      <c r="AA244" s="245">
        <f t="shared" si="161"/>
        <v>0</v>
      </c>
      <c r="AB244" s="245">
        <f t="shared" si="161"/>
        <v>2014000</v>
      </c>
      <c r="AC244" s="245">
        <f t="shared" si="161"/>
        <v>77641000</v>
      </c>
      <c r="AD244" s="245">
        <f t="shared" si="161"/>
        <v>529894000</v>
      </c>
      <c r="AE244" s="245">
        <f t="shared" si="161"/>
        <v>19888600</v>
      </c>
      <c r="AF244" s="245">
        <f t="shared" si="161"/>
        <v>638237600</v>
      </c>
      <c r="AG244" s="245"/>
      <c r="AH244" s="245"/>
      <c r="AI244" s="245"/>
      <c r="AJ244" s="245">
        <f>AJ245+AJ259+AJ269+AJ277+AJ284</f>
        <v>0</v>
      </c>
      <c r="AK244" s="245">
        <f>AK245+AK259+AK269+AK277+AK284</f>
        <v>0</v>
      </c>
      <c r="AL244" s="245">
        <f>AL245+AL259+AL269+AL277+AL284</f>
        <v>0</v>
      </c>
      <c r="AM244" s="245">
        <f>AM245+AM259+AM269+AM277+AM284</f>
        <v>0</v>
      </c>
      <c r="AN244" s="245">
        <f>AN245+AN259+AN269+AN277+AN284</f>
        <v>0</v>
      </c>
      <c r="AO244" s="245"/>
      <c r="AP244" s="244"/>
      <c r="AQ244" s="245">
        <f t="shared" ref="AQ244:BB244" si="162">AQ245+AQ259+AQ269+AQ277+AQ284</f>
        <v>42034406.400000006</v>
      </c>
      <c r="AR244" s="245">
        <f t="shared" si="162"/>
        <v>638237600</v>
      </c>
      <c r="AS244" s="245">
        <f t="shared" si="162"/>
        <v>0</v>
      </c>
      <c r="AT244" s="245">
        <f t="shared" si="162"/>
        <v>680272006.39999998</v>
      </c>
      <c r="AU244" s="245">
        <f t="shared" si="162"/>
        <v>67689406</v>
      </c>
      <c r="AV244" s="245">
        <f t="shared" si="162"/>
        <v>0</v>
      </c>
      <c r="AW244" s="245">
        <f t="shared" si="162"/>
        <v>0</v>
      </c>
      <c r="AX244" s="245">
        <f t="shared" si="162"/>
        <v>0</v>
      </c>
      <c r="AY244" s="245">
        <f t="shared" si="162"/>
        <v>0</v>
      </c>
      <c r="AZ244" s="245">
        <f t="shared" si="162"/>
        <v>0</v>
      </c>
      <c r="BA244" s="245">
        <f t="shared" si="162"/>
        <v>0</v>
      </c>
      <c r="BB244" s="245">
        <f t="shared" si="162"/>
        <v>-612582600.39999998</v>
      </c>
      <c r="BC244" s="170"/>
      <c r="BD244" s="170"/>
      <c r="BE244" s="170"/>
      <c r="BF244" s="170"/>
    </row>
    <row r="245" spans="1:58" ht="12.75" customHeight="1" x14ac:dyDescent="0.2">
      <c r="A245" s="179"/>
      <c r="B245" s="290"/>
      <c r="C245" s="391" t="s">
        <v>318</v>
      </c>
      <c r="D245" s="391"/>
      <c r="E245" s="392"/>
      <c r="F245" s="287"/>
      <c r="G245" s="289"/>
      <c r="H245" s="368" t="s">
        <v>319</v>
      </c>
      <c r="I245" s="270"/>
      <c r="J245" s="271"/>
      <c r="K245" s="271"/>
      <c r="L245" s="261">
        <f>L250+L254+L258</f>
        <v>5191200</v>
      </c>
      <c r="M245" s="261">
        <f>M250+M254+M258</f>
        <v>866930.4</v>
      </c>
      <c r="N245" s="271"/>
      <c r="O245" s="271"/>
      <c r="P245" s="271"/>
      <c r="Q245" s="271"/>
      <c r="R245" s="261">
        <f>R250+R254+R258</f>
        <v>3200000</v>
      </c>
      <c r="S245" s="261">
        <f>S250+S254+S258</f>
        <v>2400000</v>
      </c>
      <c r="T245" s="261">
        <f>T250+T254+T258</f>
        <v>0</v>
      </c>
      <c r="U245" s="261">
        <f>U250+U254+U258</f>
        <v>3200000</v>
      </c>
      <c r="V245" s="271"/>
      <c r="W245" s="271"/>
      <c r="X245" s="271"/>
      <c r="Y245" s="261">
        <f>Y250+Y254+Y258</f>
        <v>0</v>
      </c>
      <c r="Z245" s="261">
        <f>Z250+Z254+Z258</f>
        <v>0</v>
      </c>
      <c r="AA245" s="271"/>
      <c r="AB245" s="261">
        <f>AB250+AB254+AB258</f>
        <v>1634000</v>
      </c>
      <c r="AC245" s="261">
        <f>AC250+AC254+AC258</f>
        <v>51980000</v>
      </c>
      <c r="AD245" s="261">
        <f>AD250+AD254+AD258</f>
        <v>184500000</v>
      </c>
      <c r="AE245" s="261">
        <f>AE250+AE254+AE258</f>
        <v>1361400</v>
      </c>
      <c r="AF245" s="261">
        <f>AF250+AF254+AF258</f>
        <v>248275400</v>
      </c>
      <c r="AG245" s="271"/>
      <c r="AH245" s="271"/>
      <c r="AI245" s="271"/>
      <c r="AJ245" s="261">
        <f>AJ250+AJ254+AJ258</f>
        <v>0</v>
      </c>
      <c r="AK245" s="261">
        <f>AK250+AK254+AK258</f>
        <v>0</v>
      </c>
      <c r="AL245" s="261">
        <f>AL250+AL254+AL258</f>
        <v>0</v>
      </c>
      <c r="AM245" s="261">
        <f>AM250+AM254+AM258</f>
        <v>0</v>
      </c>
      <c r="AN245" s="261">
        <f>AN250+AN254+AN258</f>
        <v>0</v>
      </c>
      <c r="AO245" s="272"/>
      <c r="AP245" s="260"/>
      <c r="AQ245" s="261">
        <f t="shared" ref="AQ245:BB245" si="163">AQ250+AQ254+AQ258</f>
        <v>6058130.4000000004</v>
      </c>
      <c r="AR245" s="261">
        <f t="shared" si="163"/>
        <v>248275400</v>
      </c>
      <c r="AS245" s="261">
        <f t="shared" si="163"/>
        <v>0</v>
      </c>
      <c r="AT245" s="261">
        <f t="shared" si="163"/>
        <v>254333530.39999998</v>
      </c>
      <c r="AU245" s="261">
        <f t="shared" si="163"/>
        <v>6058130.4000000004</v>
      </c>
      <c r="AV245" s="261">
        <f t="shared" si="163"/>
        <v>0</v>
      </c>
      <c r="AW245" s="261">
        <f t="shared" si="163"/>
        <v>0</v>
      </c>
      <c r="AX245" s="261">
        <f t="shared" si="163"/>
        <v>0</v>
      </c>
      <c r="AY245" s="261">
        <f t="shared" si="163"/>
        <v>0</v>
      </c>
      <c r="AZ245" s="261">
        <f t="shared" si="163"/>
        <v>0</v>
      </c>
      <c r="BA245" s="261">
        <f t="shared" si="163"/>
        <v>0</v>
      </c>
      <c r="BB245" s="261">
        <f t="shared" si="163"/>
        <v>-248275400</v>
      </c>
      <c r="BC245" s="184"/>
      <c r="BD245" s="184"/>
      <c r="BE245" s="184"/>
      <c r="BF245" s="184"/>
    </row>
    <row r="246" spans="1:58" ht="94.5" x14ac:dyDescent="0.25">
      <c r="A246" s="172"/>
      <c r="B246" s="200"/>
      <c r="C246" s="201"/>
      <c r="D246" s="346"/>
      <c r="E246" s="355"/>
      <c r="F246" s="355"/>
      <c r="G246" s="356"/>
      <c r="H246" s="199" t="s">
        <v>320</v>
      </c>
      <c r="I246" s="178" t="s">
        <v>3</v>
      </c>
      <c r="J246" s="174">
        <v>3</v>
      </c>
      <c r="K246" s="174">
        <v>6</v>
      </c>
      <c r="L246" s="125">
        <f>IF(I246&lt;&gt;0,((VLOOKUP(I246,'1. Standard_Cost'!$B$4:$D$11,2)+VLOOKUP(I246,'1. Standard_Cost'!$B$4:$D$11,3))*J246*K246),"0")</f>
        <v>1814400</v>
      </c>
      <c r="M246" s="125">
        <f>L246*'1. Standard_Cost'!$F$4</f>
        <v>303004.79999999999</v>
      </c>
      <c r="N246" s="174"/>
      <c r="O246" s="174"/>
      <c r="P246" s="174"/>
      <c r="Q246" s="174"/>
      <c r="R246" s="127">
        <f>'1. Standard_Cost'!$B$15*N246*P246</f>
        <v>0</v>
      </c>
      <c r="S246" s="127">
        <f>N246*O246*P246*'1. Standard_Cost'!$C$15</f>
        <v>0</v>
      </c>
      <c r="T246" s="127">
        <f>N246*P246*Q246*'1. Standard_Cost'!$D$15</f>
        <v>0</v>
      </c>
      <c r="U246" s="127">
        <f>N246*O246*'1. Standard_Cost'!$E$15</f>
        <v>0</v>
      </c>
      <c r="V246" s="174"/>
      <c r="W246" s="174"/>
      <c r="X246" s="174"/>
      <c r="Y246" s="127">
        <f>+V246*((X246*'1. Standard_Cost'!$B$19)+(W246*X246*'1. Standard_Cost'!$C$19))</f>
        <v>0</v>
      </c>
      <c r="Z246" s="174"/>
      <c r="AA246" s="174"/>
      <c r="AB246" s="127">
        <f>+Z246*'1. Standard_Cost'!$B$23+AA246*'1. Standard_Cost'!$C$23</f>
        <v>0</v>
      </c>
      <c r="AC246" s="176"/>
      <c r="AD246" s="177">
        <f>246000000*25%</f>
        <v>61500000</v>
      </c>
      <c r="AE246" s="127"/>
      <c r="AF246" s="127">
        <f>SUM(AE246,AD246,AC246,AB246,Y246,U246,T246,S246,R246)</f>
        <v>61500000</v>
      </c>
      <c r="AG246" s="174"/>
      <c r="AH246" s="174"/>
      <c r="AI246" s="174"/>
      <c r="AJ246" s="178"/>
      <c r="AK246" s="178"/>
      <c r="AL246" s="178"/>
      <c r="AM246" s="127">
        <f>AG246*'1. Standard_Cost'!$B$27+'Incremental_Cost Year 7'!AH246*'1. Standard_Cost'!$C$27+'Incremental_Cost Year 7'!AI246*'1. Standard_Cost'!$D$27+'Incremental_Cost Year 7'!AJ246+'Incremental_Cost Year 7'!AL246+AK246</f>
        <v>0</v>
      </c>
      <c r="AN246" s="127">
        <f>AM246*'1. Standard_Cost'!$C$31</f>
        <v>0</v>
      </c>
      <c r="AO246" s="178"/>
      <c r="AP246" s="256"/>
      <c r="AQ246" s="171">
        <f>L246+M246</f>
        <v>2117404.7999999998</v>
      </c>
      <c r="AR246" s="171">
        <f>AF246</f>
        <v>61500000</v>
      </c>
      <c r="AS246" s="171">
        <f>AM246+AN246</f>
        <v>0</v>
      </c>
      <c r="AT246" s="171">
        <f>SUM(AQ246,AR246,AS246)</f>
        <v>63617404.799999997</v>
      </c>
      <c r="AU246" s="250">
        <f>AQ246</f>
        <v>2117404.7999999998</v>
      </c>
      <c r="AV246" s="250"/>
      <c r="AW246" s="250"/>
      <c r="AX246" s="250"/>
      <c r="AY246" s="250"/>
      <c r="AZ246" s="250"/>
      <c r="BA246" s="250"/>
      <c r="BB246" s="251">
        <f t="shared" ref="BB246:BB249" si="164">SUM(AU246:BA246)-AT246</f>
        <v>-61500000</v>
      </c>
      <c r="BC246" s="169"/>
      <c r="BD246" s="169"/>
      <c r="BE246" s="169"/>
      <c r="BF246" s="169"/>
    </row>
    <row r="247" spans="1:58" ht="63" x14ac:dyDescent="0.25">
      <c r="A247" s="172"/>
      <c r="B247" s="200"/>
      <c r="C247" s="201"/>
      <c r="D247" s="203"/>
      <c r="E247" s="358"/>
      <c r="F247" s="358"/>
      <c r="G247" s="359"/>
      <c r="H247" s="199" t="s">
        <v>321</v>
      </c>
      <c r="I247" s="178" t="s">
        <v>3</v>
      </c>
      <c r="J247" s="174">
        <v>0.5</v>
      </c>
      <c r="K247" s="174">
        <v>1</v>
      </c>
      <c r="L247" s="125">
        <f>IF(I247&lt;&gt;0,((VLOOKUP(I247,'1. Standard_Cost'!$B$4:$D$11,2)+VLOOKUP(I247,'1. Standard_Cost'!$B$4:$D$11,3))*J247*K247),"0")</f>
        <v>50400</v>
      </c>
      <c r="M247" s="125">
        <f>L247*'1. Standard_Cost'!$F$4</f>
        <v>8416.8000000000011</v>
      </c>
      <c r="N247" s="174"/>
      <c r="O247" s="174"/>
      <c r="P247" s="174"/>
      <c r="Q247" s="174"/>
      <c r="R247" s="127">
        <f>'1. Standard_Cost'!$B$15*N247*P247</f>
        <v>0</v>
      </c>
      <c r="S247" s="127">
        <f>N247*O247*P247*'1. Standard_Cost'!$C$15</f>
        <v>0</v>
      </c>
      <c r="T247" s="127">
        <f>N247*P247*Q247*'1. Standard_Cost'!$D$15</f>
        <v>0</v>
      </c>
      <c r="U247" s="127">
        <f>N247*O247*'1. Standard_Cost'!$E$15</f>
        <v>0</v>
      </c>
      <c r="V247" s="174"/>
      <c r="W247" s="174"/>
      <c r="X247" s="174"/>
      <c r="Y247" s="127">
        <f>+V247*((X247*'1. Standard_Cost'!$B$19)+(W247*X247*'1. Standard_Cost'!$C$19))</f>
        <v>0</v>
      </c>
      <c r="Z247" s="174"/>
      <c r="AA247" s="174"/>
      <c r="AB247" s="127">
        <f>+Z247*'1. Standard_Cost'!$B$23+AA247*'1. Standard_Cost'!$C$23</f>
        <v>0</v>
      </c>
      <c r="AC247" s="176">
        <v>1500000</v>
      </c>
      <c r="AD247" s="177"/>
      <c r="AE247" s="127"/>
      <c r="AF247" s="127">
        <f>SUM(AE247,AD247,AC247,AB247,Y247,U247,T247,S247,R247)</f>
        <v>1500000</v>
      </c>
      <c r="AG247" s="174"/>
      <c r="AH247" s="174"/>
      <c r="AI247" s="174"/>
      <c r="AJ247" s="178"/>
      <c r="AK247" s="178"/>
      <c r="AL247" s="178"/>
      <c r="AM247" s="127">
        <f>AG247*'1. Standard_Cost'!$B$27+'Incremental_Cost Year 7'!AH247*'1. Standard_Cost'!$C$27+'Incremental_Cost Year 7'!AI247*'1. Standard_Cost'!$D$27+'Incremental_Cost Year 7'!AJ247+'Incremental_Cost Year 7'!AL247+AK247</f>
        <v>0</v>
      </c>
      <c r="AN247" s="127">
        <f>AM247*'1. Standard_Cost'!$C$31</f>
        <v>0</v>
      </c>
      <c r="AO247" s="178"/>
      <c r="AP247" s="256"/>
      <c r="AQ247" s="171">
        <f>L247+M247</f>
        <v>58816.800000000003</v>
      </c>
      <c r="AR247" s="171">
        <f>AF247</f>
        <v>1500000</v>
      </c>
      <c r="AS247" s="171">
        <f>AM247+AN247</f>
        <v>0</v>
      </c>
      <c r="AT247" s="171">
        <f>SUM(AQ247,AR247,AS247)</f>
        <v>1558816.8</v>
      </c>
      <c r="AU247" s="250">
        <f>AQ247</f>
        <v>58816.800000000003</v>
      </c>
      <c r="AV247" s="250"/>
      <c r="AW247" s="250"/>
      <c r="AX247" s="250"/>
      <c r="AY247" s="250"/>
      <c r="AZ247" s="250"/>
      <c r="BA247" s="250"/>
      <c r="BB247" s="251">
        <f t="shared" si="164"/>
        <v>-1500000</v>
      </c>
      <c r="BC247" s="169"/>
      <c r="BD247" s="169"/>
      <c r="BE247" s="169"/>
      <c r="BF247" s="169"/>
    </row>
    <row r="248" spans="1:58" ht="110.25" x14ac:dyDescent="0.25">
      <c r="A248" s="172"/>
      <c r="B248" s="200"/>
      <c r="C248" s="201"/>
      <c r="D248" s="203"/>
      <c r="E248" s="358"/>
      <c r="F248" s="358"/>
      <c r="G248" s="359"/>
      <c r="H248" s="213" t="s">
        <v>322</v>
      </c>
      <c r="I248" s="178" t="s">
        <v>3</v>
      </c>
      <c r="J248" s="174">
        <v>0.5</v>
      </c>
      <c r="K248" s="174">
        <v>2</v>
      </c>
      <c r="L248" s="125">
        <f>IF(I248&lt;&gt;0,((VLOOKUP(I248,'1. Standard_Cost'!$B$4:$D$11,2)+VLOOKUP(I248,'1. Standard_Cost'!$B$4:$D$11,3))*J248*K248),"0")</f>
        <v>100800</v>
      </c>
      <c r="M248" s="125">
        <f>L248*'1. Standard_Cost'!$F$4</f>
        <v>16833.600000000002</v>
      </c>
      <c r="N248" s="174"/>
      <c r="O248" s="174"/>
      <c r="P248" s="174"/>
      <c r="Q248" s="174"/>
      <c r="R248" s="127">
        <f>'1. Standard_Cost'!$B$15*N248*P248</f>
        <v>0</v>
      </c>
      <c r="S248" s="127">
        <f>N248*O248*P248*'1. Standard_Cost'!$C$15</f>
        <v>0</v>
      </c>
      <c r="T248" s="127">
        <f>N248*P248*Q248*'1. Standard_Cost'!$D$15</f>
        <v>0</v>
      </c>
      <c r="U248" s="127">
        <f>N248*O248*'1. Standard_Cost'!$E$15</f>
        <v>0</v>
      </c>
      <c r="V248" s="174"/>
      <c r="W248" s="174"/>
      <c r="X248" s="174"/>
      <c r="Y248" s="127">
        <f>+V248*((X248*'1. Standard_Cost'!$B$19)+(W248*X248*'1. Standard_Cost'!$C$19))</f>
        <v>0</v>
      </c>
      <c r="Z248" s="174"/>
      <c r="AA248" s="174"/>
      <c r="AB248" s="127">
        <f>+Z248*'1. Standard_Cost'!$B$23+AA248*'1. Standard_Cost'!$C$23</f>
        <v>0</v>
      </c>
      <c r="AC248" s="176">
        <f>1000000*50</f>
        <v>50000000</v>
      </c>
      <c r="AD248" s="177"/>
      <c r="AE248" s="127"/>
      <c r="AF248" s="127">
        <f>SUM(AE248,AD248,AC248,AB248,Y248,U248,T248,S248,R248)</f>
        <v>50000000</v>
      </c>
      <c r="AG248" s="174"/>
      <c r="AH248" s="174"/>
      <c r="AI248" s="174"/>
      <c r="AJ248" s="178"/>
      <c r="AK248" s="178"/>
      <c r="AL248" s="178"/>
      <c r="AM248" s="127">
        <f>AG248*'1. Standard_Cost'!$B$27+'Incremental_Cost Year 7'!AH248*'1. Standard_Cost'!$C$27+'Incremental_Cost Year 7'!AI248*'1. Standard_Cost'!$D$27+'Incremental_Cost Year 7'!AJ248+'Incremental_Cost Year 7'!AL248+AK248</f>
        <v>0</v>
      </c>
      <c r="AN248" s="127">
        <f>AM248*'1. Standard_Cost'!$C$31</f>
        <v>0</v>
      </c>
      <c r="AO248" s="178"/>
      <c r="AP248" s="256"/>
      <c r="AQ248" s="171">
        <f>L248+M248</f>
        <v>117633.60000000001</v>
      </c>
      <c r="AR248" s="171">
        <f>AF248</f>
        <v>50000000</v>
      </c>
      <c r="AS248" s="171">
        <f>AM248+AN248</f>
        <v>0</v>
      </c>
      <c r="AT248" s="171">
        <f>SUM(AQ248,AR248,AS248)</f>
        <v>50117633.600000001</v>
      </c>
      <c r="AU248" s="250">
        <f>AQ248</f>
        <v>117633.60000000001</v>
      </c>
      <c r="AV248" s="250"/>
      <c r="AW248" s="250"/>
      <c r="AX248" s="250"/>
      <c r="AY248" s="250"/>
      <c r="AZ248" s="250"/>
      <c r="BA248" s="250"/>
      <c r="BB248" s="251">
        <f t="shared" si="164"/>
        <v>-50000000</v>
      </c>
      <c r="BC248" s="169"/>
      <c r="BD248" s="169"/>
      <c r="BE248" s="169"/>
      <c r="BF248" s="169"/>
    </row>
    <row r="249" spans="1:58" ht="47.25" x14ac:dyDescent="0.25">
      <c r="A249" s="172"/>
      <c r="B249" s="200"/>
      <c r="C249" s="201"/>
      <c r="D249" s="133"/>
      <c r="E249" s="361"/>
      <c r="F249" s="361"/>
      <c r="G249" s="362"/>
      <c r="H249" s="199" t="s">
        <v>323</v>
      </c>
      <c r="I249" s="178"/>
      <c r="J249" s="174"/>
      <c r="K249" s="174"/>
      <c r="L249" s="125" t="str">
        <f>IF(I249&lt;&gt;0,((VLOOKUP(I249,'1. Standard_Cost'!$B$4:$D$11,2)+VLOOKUP(I249,'1. Standard_Cost'!$B$4:$D$11,3))*J249*K249),"0")</f>
        <v>0</v>
      </c>
      <c r="M249" s="125">
        <f>L249*'1. Standard_Cost'!$F$4</f>
        <v>0</v>
      </c>
      <c r="N249" s="174"/>
      <c r="O249" s="174"/>
      <c r="P249" s="174"/>
      <c r="Q249" s="174"/>
      <c r="R249" s="127">
        <f>'1. Standard_Cost'!$B$15*N249*P249</f>
        <v>0</v>
      </c>
      <c r="S249" s="127">
        <f>N249*O249*P249*'1. Standard_Cost'!$C$15</f>
        <v>0</v>
      </c>
      <c r="T249" s="127">
        <f>N249*P249*Q249*'1. Standard_Cost'!$D$15</f>
        <v>0</v>
      </c>
      <c r="U249" s="127">
        <f>N249*O249*'1. Standard_Cost'!$E$15</f>
        <v>0</v>
      </c>
      <c r="V249" s="174"/>
      <c r="W249" s="174"/>
      <c r="X249" s="174"/>
      <c r="Y249" s="127">
        <f>+V249*((X249*'1. Standard_Cost'!$B$19)+(W249*X249*'1. Standard_Cost'!$C$19))</f>
        <v>0</v>
      </c>
      <c r="Z249" s="174"/>
      <c r="AA249" s="174"/>
      <c r="AB249" s="127">
        <f>+Z249*'1. Standard_Cost'!$B$23+AA249*'1. Standard_Cost'!$C$23</f>
        <v>0</v>
      </c>
      <c r="AC249" s="176"/>
      <c r="AD249" s="177"/>
      <c r="AE249" s="127">
        <f>SUM(AD249,AC249,AB249,Y249,U249,T249,S249,R249)*'1. Standard_Cost'!$B$31</f>
        <v>0</v>
      </c>
      <c r="AF249" s="127">
        <f>SUM(AE249,AD249,AC249,AB249,Y249,U249,T249,S249,R249)</f>
        <v>0</v>
      </c>
      <c r="AG249" s="174"/>
      <c r="AH249" s="174"/>
      <c r="AI249" s="174"/>
      <c r="AJ249" s="178"/>
      <c r="AK249" s="178"/>
      <c r="AL249" s="178"/>
      <c r="AM249" s="127">
        <f>AG249*'1. Standard_Cost'!$B$27+'Incremental_Cost Year 7'!AH249*'1. Standard_Cost'!$C$27+'Incremental_Cost Year 7'!AI249*'1. Standard_Cost'!$D$27+'Incremental_Cost Year 7'!AJ249+'Incremental_Cost Year 7'!AL249+AK249</f>
        <v>0</v>
      </c>
      <c r="AN249" s="127">
        <f>AM249*'1. Standard_Cost'!$C$31</f>
        <v>0</v>
      </c>
      <c r="AO249" s="178"/>
      <c r="AP249" s="256"/>
      <c r="AQ249" s="171">
        <f>L249+M249</f>
        <v>0</v>
      </c>
      <c r="AR249" s="171">
        <f>AF249</f>
        <v>0</v>
      </c>
      <c r="AS249" s="171">
        <f>AM249+AN249</f>
        <v>0</v>
      </c>
      <c r="AT249" s="171">
        <f>SUM(AQ249,AR249,AS249)</f>
        <v>0</v>
      </c>
      <c r="AU249" s="250"/>
      <c r="AV249" s="250"/>
      <c r="AW249" s="250"/>
      <c r="AX249" s="250"/>
      <c r="AY249" s="250"/>
      <c r="AZ249" s="250"/>
      <c r="BA249" s="250"/>
      <c r="BB249" s="251">
        <f t="shared" si="164"/>
        <v>0</v>
      </c>
      <c r="BC249" s="169"/>
      <c r="BD249" s="169"/>
      <c r="BE249" s="169"/>
      <c r="BF249" s="169"/>
    </row>
    <row r="250" spans="1:58" ht="30" x14ac:dyDescent="0.25">
      <c r="A250" s="172"/>
      <c r="B250" s="363"/>
      <c r="C250" s="364"/>
      <c r="D250" s="365" t="s">
        <v>559</v>
      </c>
      <c r="E250" s="365" t="s">
        <v>324</v>
      </c>
      <c r="F250" s="366">
        <v>2025</v>
      </c>
      <c r="G250" s="209">
        <v>2030</v>
      </c>
      <c r="H250" s="180" t="s">
        <v>325</v>
      </c>
      <c r="I250" s="273"/>
      <c r="J250" s="273"/>
      <c r="K250" s="273"/>
      <c r="L250" s="175">
        <f>SUM(L246:L249)</f>
        <v>1965600</v>
      </c>
      <c r="M250" s="175">
        <f>SUM(M246:M249)</f>
        <v>328255.19999999995</v>
      </c>
      <c r="N250" s="273"/>
      <c r="O250" s="273"/>
      <c r="P250" s="273"/>
      <c r="Q250" s="273"/>
      <c r="R250" s="175">
        <f>SUM(R246:R249)</f>
        <v>0</v>
      </c>
      <c r="S250" s="175">
        <f>SUM(S246:S249)</f>
        <v>0</v>
      </c>
      <c r="T250" s="175">
        <f>SUM(T246:T249)</f>
        <v>0</v>
      </c>
      <c r="U250" s="175">
        <f>SUM(U246:U249)</f>
        <v>0</v>
      </c>
      <c r="V250" s="273"/>
      <c r="W250" s="273"/>
      <c r="X250" s="273"/>
      <c r="Y250" s="175">
        <f>SUM(Y246:Y249)</f>
        <v>0</v>
      </c>
      <c r="Z250" s="273"/>
      <c r="AA250" s="273"/>
      <c r="AB250" s="175">
        <f>SUM(AB246:AB249)</f>
        <v>0</v>
      </c>
      <c r="AC250" s="175">
        <f>SUM(AC246:AC249)</f>
        <v>51500000</v>
      </c>
      <c r="AD250" s="175">
        <f>SUM(AD246:AD249)</f>
        <v>61500000</v>
      </c>
      <c r="AE250" s="175">
        <f>SUM(AE246:AE249)</f>
        <v>0</v>
      </c>
      <c r="AF250" s="175">
        <f>SUM(AF246:AF249)</f>
        <v>113000000</v>
      </c>
      <c r="AG250" s="273"/>
      <c r="AH250" s="273"/>
      <c r="AI250" s="273"/>
      <c r="AJ250" s="175">
        <f>SUM(AJ246:AJ249)</f>
        <v>0</v>
      </c>
      <c r="AK250" s="175">
        <f>SUM(AK246:AK249)</f>
        <v>0</v>
      </c>
      <c r="AL250" s="175">
        <f>SUM(AL246:AL249)</f>
        <v>0</v>
      </c>
      <c r="AM250" s="175">
        <f>SUM(AM246:AM249)</f>
        <v>0</v>
      </c>
      <c r="AN250" s="175">
        <f>SUM(AN246:AN249)</f>
        <v>0</v>
      </c>
      <c r="AO250" s="274"/>
      <c r="AP250" s="254"/>
      <c r="AQ250" s="175">
        <f t="shared" ref="AQ250:AT250" si="165">SUM(AQ246:AQ249)</f>
        <v>2293855.1999999997</v>
      </c>
      <c r="AR250" s="175">
        <f t="shared" si="165"/>
        <v>113000000</v>
      </c>
      <c r="AS250" s="175">
        <f t="shared" si="165"/>
        <v>0</v>
      </c>
      <c r="AT250" s="175">
        <f t="shared" si="165"/>
        <v>115293855.19999999</v>
      </c>
      <c r="AU250" s="175">
        <f t="shared" ref="AU250:BB250" si="166">SUM(AU246:AU249)</f>
        <v>2293855.1999999997</v>
      </c>
      <c r="AV250" s="175">
        <f t="shared" si="166"/>
        <v>0</v>
      </c>
      <c r="AW250" s="175">
        <f t="shared" si="166"/>
        <v>0</v>
      </c>
      <c r="AX250" s="175">
        <f t="shared" si="166"/>
        <v>0</v>
      </c>
      <c r="AY250" s="175">
        <f t="shared" si="166"/>
        <v>0</v>
      </c>
      <c r="AZ250" s="175">
        <f t="shared" si="166"/>
        <v>0</v>
      </c>
      <c r="BA250" s="175">
        <f t="shared" si="166"/>
        <v>0</v>
      </c>
      <c r="BB250" s="175">
        <f t="shared" si="166"/>
        <v>-113000000</v>
      </c>
      <c r="BC250" s="169"/>
      <c r="BD250" s="169"/>
      <c r="BE250" s="169"/>
      <c r="BF250" s="169"/>
    </row>
    <row r="251" spans="1:58" ht="63" customHeight="1" x14ac:dyDescent="0.25">
      <c r="A251" s="172"/>
      <c r="B251" s="200"/>
      <c r="C251" s="201"/>
      <c r="D251" s="202"/>
      <c r="E251" s="354"/>
      <c r="F251" s="355"/>
      <c r="G251" s="356"/>
      <c r="H251" s="213" t="s">
        <v>361</v>
      </c>
      <c r="I251" s="178"/>
      <c r="J251" s="174"/>
      <c r="K251" s="174"/>
      <c r="L251" s="125" t="str">
        <f>IF(I251&lt;&gt;0,((VLOOKUP(I251,'1. Standard_Cost'!$B$4:$D$11,2)+VLOOKUP(I251,'1. Standard_Cost'!$B$4:$D$11,3))*J251*K251),"0")</f>
        <v>0</v>
      </c>
      <c r="M251" s="125">
        <f>L251*'1. Standard_Cost'!$F$4</f>
        <v>0</v>
      </c>
      <c r="N251" s="174"/>
      <c r="O251" s="174"/>
      <c r="P251" s="174"/>
      <c r="Q251" s="174"/>
      <c r="R251" s="127">
        <f>'1. Standard_Cost'!$B$15*N251*P251</f>
        <v>0</v>
      </c>
      <c r="S251" s="127">
        <f>N251*O251*P251*'1. Standard_Cost'!$C$15</f>
        <v>0</v>
      </c>
      <c r="T251" s="127">
        <f>N251*P251*Q251*'1. Standard_Cost'!$D$15</f>
        <v>0</v>
      </c>
      <c r="U251" s="127">
        <f>N251*O251*'1. Standard_Cost'!$E$15</f>
        <v>0</v>
      </c>
      <c r="V251" s="174"/>
      <c r="W251" s="174"/>
      <c r="X251" s="174"/>
      <c r="Y251" s="127">
        <f>+V251*((X251*'1. Standard_Cost'!$B$19)+(W251*X251*'1. Standard_Cost'!$C$19))</f>
        <v>0</v>
      </c>
      <c r="Z251" s="174"/>
      <c r="AA251" s="174"/>
      <c r="AB251" s="127">
        <f>+Z251*'1. Standard_Cost'!$B$23+AA251*'1. Standard_Cost'!$C$23</f>
        <v>0</v>
      </c>
      <c r="AC251" s="176"/>
      <c r="AD251" s="177"/>
      <c r="AE251" s="127">
        <f>SUM(AD251,AC251,AB251,Y251,U251,T251,S251,R251)*'1. Standard_Cost'!$B$31</f>
        <v>0</v>
      </c>
      <c r="AF251" s="127">
        <f>SUM(AE251,AD251,AC251,AB251,Y251,U251,T251,S251,R251)</f>
        <v>0</v>
      </c>
      <c r="AG251" s="174"/>
      <c r="AH251" s="174"/>
      <c r="AI251" s="174"/>
      <c r="AJ251" s="178"/>
      <c r="AK251" s="178"/>
      <c r="AL251" s="178"/>
      <c r="AM251" s="127">
        <f>AG251*'1. Standard_Cost'!$B$27+'Incremental_Cost Year 7'!AH251*'1. Standard_Cost'!$C$27+'Incremental_Cost Year 7'!AI251*'1. Standard_Cost'!$D$27+'Incremental_Cost Year 7'!AJ251+'Incremental_Cost Year 7'!AL251+AK251</f>
        <v>0</v>
      </c>
      <c r="AN251" s="127">
        <f>AM251*'1. Standard_Cost'!$C$31</f>
        <v>0</v>
      </c>
      <c r="AO251" s="178"/>
      <c r="AP251" s="256"/>
      <c r="AQ251" s="171">
        <f>L251+M251</f>
        <v>0</v>
      </c>
      <c r="AR251" s="171">
        <f>AF251</f>
        <v>0</v>
      </c>
      <c r="AS251" s="171">
        <f>AM251+AN251</f>
        <v>0</v>
      </c>
      <c r="AT251" s="171">
        <f>SUM(AQ251,AR251,AS251)</f>
        <v>0</v>
      </c>
      <c r="AU251" s="250"/>
      <c r="AV251" s="250"/>
      <c r="AW251" s="250">
        <f>AT251</f>
        <v>0</v>
      </c>
      <c r="AX251" s="250"/>
      <c r="AY251" s="250"/>
      <c r="AZ251" s="250"/>
      <c r="BA251" s="250"/>
      <c r="BB251" s="251">
        <f t="shared" ref="BB251:BB253" si="167">SUM(AU251:BA251)-AT251</f>
        <v>0</v>
      </c>
      <c r="BC251" s="169"/>
      <c r="BD251" s="169"/>
      <c r="BE251" s="169"/>
      <c r="BF251" s="169"/>
    </row>
    <row r="252" spans="1:58" ht="189" x14ac:dyDescent="0.25">
      <c r="A252" s="172"/>
      <c r="B252" s="200"/>
      <c r="C252" s="201"/>
      <c r="D252" s="202"/>
      <c r="E252" s="357"/>
      <c r="F252" s="358"/>
      <c r="G252" s="359"/>
      <c r="H252" s="199" t="s">
        <v>326</v>
      </c>
      <c r="I252" s="178" t="s">
        <v>3</v>
      </c>
      <c r="J252" s="174">
        <v>3</v>
      </c>
      <c r="K252" s="174">
        <v>3</v>
      </c>
      <c r="L252" s="125">
        <f>IF(I252&lt;&gt;0,((VLOOKUP(I252,'1. Standard_Cost'!$B$4:$D$11,2)+VLOOKUP(I252,'1. Standard_Cost'!$B$4:$D$11,3))*J252*K252),"0")</f>
        <v>907200</v>
      </c>
      <c r="M252" s="125">
        <f>L252*'1. Standard_Cost'!$F$4</f>
        <v>151502.39999999999</v>
      </c>
      <c r="N252" s="174">
        <v>30</v>
      </c>
      <c r="O252" s="174">
        <v>1</v>
      </c>
      <c r="P252" s="174">
        <v>20</v>
      </c>
      <c r="Q252" s="174"/>
      <c r="R252" s="127">
        <f>'1. Standard_Cost'!$B$15*N252*P252</f>
        <v>1200000</v>
      </c>
      <c r="S252" s="127">
        <f>N252*O252*P252*'1. Standard_Cost'!$C$15</f>
        <v>900000</v>
      </c>
      <c r="T252" s="127">
        <f>N252*P252*Q252*'1. Standard_Cost'!$D$15</f>
        <v>0</v>
      </c>
      <c r="U252" s="127">
        <f>N252*O252*'1. Standard_Cost'!$E$15</f>
        <v>1200000</v>
      </c>
      <c r="V252" s="174"/>
      <c r="W252" s="174"/>
      <c r="X252" s="174"/>
      <c r="Y252" s="127">
        <f>+V252*((X252*'1. Standard_Cost'!$B$19)+(W252*X252*'1. Standard_Cost'!$C$19))</f>
        <v>0</v>
      </c>
      <c r="Z252" s="174"/>
      <c r="AA252" s="174">
        <v>33</v>
      </c>
      <c r="AB252" s="127">
        <f>+Z252*'1. Standard_Cost'!$B$23+AA252*'1. Standard_Cost'!$C$23</f>
        <v>627000</v>
      </c>
      <c r="AC252" s="176">
        <f>600*300</f>
        <v>180000</v>
      </c>
      <c r="AD252" s="177"/>
      <c r="AE252" s="127"/>
      <c r="AF252" s="127">
        <f>SUM(AE252,AD252,AC252,AB252,Y252,U252,T252,S252,R252)</f>
        <v>4107000</v>
      </c>
      <c r="AG252" s="174"/>
      <c r="AH252" s="174"/>
      <c r="AI252" s="174"/>
      <c r="AJ252" s="178"/>
      <c r="AK252" s="178"/>
      <c r="AL252" s="178"/>
      <c r="AM252" s="127">
        <f>AG252*'1. Standard_Cost'!$B$27+'Incremental_Cost Year 7'!AH252*'1. Standard_Cost'!$C$27+'Incremental_Cost Year 7'!AI252*'1. Standard_Cost'!$D$27+'Incremental_Cost Year 7'!AJ252+'Incremental_Cost Year 7'!AL252+AK252</f>
        <v>0</v>
      </c>
      <c r="AN252" s="127">
        <f>AM252*'1. Standard_Cost'!$C$31</f>
        <v>0</v>
      </c>
      <c r="AO252" s="178"/>
      <c r="AP252" s="256"/>
      <c r="AQ252" s="171">
        <f>L252+M252</f>
        <v>1058702.3999999999</v>
      </c>
      <c r="AR252" s="171">
        <f>AF252</f>
        <v>4107000</v>
      </c>
      <c r="AS252" s="171">
        <f>AM252+AN252</f>
        <v>0</v>
      </c>
      <c r="AT252" s="171">
        <f>SUM(AQ252,AR252,AS252)</f>
        <v>5165702.4000000004</v>
      </c>
      <c r="AU252" s="250">
        <f>AQ252</f>
        <v>1058702.3999999999</v>
      </c>
      <c r="AV252" s="250"/>
      <c r="AW252" s="250"/>
      <c r="AX252" s="250"/>
      <c r="AY252" s="250"/>
      <c r="AZ252" s="250"/>
      <c r="BA252" s="250"/>
      <c r="BB252" s="251">
        <f t="shared" si="167"/>
        <v>-4107000.0000000005</v>
      </c>
      <c r="BC252" s="169"/>
      <c r="BD252" s="169"/>
      <c r="BE252" s="169"/>
      <c r="BF252" s="169"/>
    </row>
    <row r="253" spans="1:58" ht="141.75" x14ac:dyDescent="0.25">
      <c r="A253" s="172"/>
      <c r="B253" s="200"/>
      <c r="C253" s="201"/>
      <c r="D253" s="202"/>
      <c r="E253" s="360"/>
      <c r="F253" s="361"/>
      <c r="G253" s="362"/>
      <c r="H253" s="199" t="s">
        <v>327</v>
      </c>
      <c r="I253" s="178" t="s">
        <v>3</v>
      </c>
      <c r="J253" s="174">
        <v>3</v>
      </c>
      <c r="K253" s="174">
        <v>3</v>
      </c>
      <c r="L253" s="125">
        <f>IF(I253&lt;&gt;0,((VLOOKUP(I253,'1. Standard_Cost'!$B$4:$D$11,2)+VLOOKUP(I253,'1. Standard_Cost'!$B$4:$D$11,3))*J253*K253),"0")</f>
        <v>907200</v>
      </c>
      <c r="M253" s="125">
        <f>L253*'1. Standard_Cost'!$F$4</f>
        <v>151502.39999999999</v>
      </c>
      <c r="N253" s="174">
        <v>50</v>
      </c>
      <c r="O253" s="174">
        <v>1</v>
      </c>
      <c r="P253" s="174">
        <v>20</v>
      </c>
      <c r="Q253" s="174"/>
      <c r="R253" s="127">
        <f>'1. Standard_Cost'!$B$15*N253*P253</f>
        <v>2000000</v>
      </c>
      <c r="S253" s="127">
        <f>N253*O253*P253*'1. Standard_Cost'!$C$15</f>
        <v>1500000</v>
      </c>
      <c r="T253" s="127">
        <f>N253*P253*Q253*'1. Standard_Cost'!$D$15</f>
        <v>0</v>
      </c>
      <c r="U253" s="127">
        <f>N253*O253*'1. Standard_Cost'!$E$15</f>
        <v>2000000</v>
      </c>
      <c r="V253" s="174"/>
      <c r="W253" s="174"/>
      <c r="X253" s="174"/>
      <c r="Y253" s="127">
        <f>+V253*((X253*'1. Standard_Cost'!$B$19)+(W253*X253*'1. Standard_Cost'!$C$19))</f>
        <v>0</v>
      </c>
      <c r="Z253" s="174"/>
      <c r="AA253" s="174">
        <v>53</v>
      </c>
      <c r="AB253" s="127">
        <f>+Z253*'1. Standard_Cost'!$B$23+AA253*'1. Standard_Cost'!$C$23</f>
        <v>1007000</v>
      </c>
      <c r="AC253" s="176">
        <f>1000*300</f>
        <v>300000</v>
      </c>
      <c r="AD253" s="177"/>
      <c r="AE253" s="127">
        <f>SUM(AD253,AC253,AB253,Y253,U253,T253,S253,R253)*'1. Standard_Cost'!$B$31</f>
        <v>1361400</v>
      </c>
      <c r="AF253" s="127">
        <f>SUM(AE253,AD253,AC253,AB253,Y253,U253,T253,S253,R253)</f>
        <v>8168400</v>
      </c>
      <c r="AG253" s="174"/>
      <c r="AH253" s="174"/>
      <c r="AI253" s="174"/>
      <c r="AJ253" s="178"/>
      <c r="AK253" s="178"/>
      <c r="AL253" s="178"/>
      <c r="AM253" s="127">
        <f>AG253*'1. Standard_Cost'!$B$27+'Incremental_Cost Year 7'!AH253*'1. Standard_Cost'!$C$27+'Incremental_Cost Year 7'!AI253*'1. Standard_Cost'!$D$27+'Incremental_Cost Year 7'!AJ253+'Incremental_Cost Year 7'!AL253+AK253</f>
        <v>0</v>
      </c>
      <c r="AN253" s="127">
        <f>AM253*'1. Standard_Cost'!$C$31</f>
        <v>0</v>
      </c>
      <c r="AO253" s="178"/>
      <c r="AP253" s="256"/>
      <c r="AQ253" s="171">
        <f>L253+M253</f>
        <v>1058702.3999999999</v>
      </c>
      <c r="AR253" s="171">
        <f>AF253</f>
        <v>8168400</v>
      </c>
      <c r="AS253" s="171">
        <f>AM253+AN253</f>
        <v>0</v>
      </c>
      <c r="AT253" s="171">
        <f>SUM(AQ253,AR253,AS253)</f>
        <v>9227102.4000000004</v>
      </c>
      <c r="AU253" s="250">
        <f>AQ253</f>
        <v>1058702.3999999999</v>
      </c>
      <c r="AV253" s="250"/>
      <c r="AW253" s="250"/>
      <c r="AX253" s="250"/>
      <c r="AY253" s="250"/>
      <c r="AZ253" s="250"/>
      <c r="BA253" s="250"/>
      <c r="BB253" s="251">
        <f t="shared" si="167"/>
        <v>-8168400</v>
      </c>
      <c r="BC253" s="169"/>
      <c r="BD253" s="169"/>
      <c r="BE253" s="169"/>
      <c r="BF253" s="169"/>
    </row>
    <row r="254" spans="1:58" ht="51" x14ac:dyDescent="0.2">
      <c r="A254" s="172"/>
      <c r="B254" s="168"/>
      <c r="C254" s="204"/>
      <c r="D254" s="195" t="s">
        <v>558</v>
      </c>
      <c r="E254" s="205" t="s">
        <v>328</v>
      </c>
      <c r="F254" s="206">
        <v>2021</v>
      </c>
      <c r="G254" s="209">
        <v>2030</v>
      </c>
      <c r="H254" s="180" t="s">
        <v>329</v>
      </c>
      <c r="I254" s="273"/>
      <c r="J254" s="273"/>
      <c r="K254" s="273"/>
      <c r="L254" s="175">
        <f>SUM(L251:L253)</f>
        <v>1814400</v>
      </c>
      <c r="M254" s="175">
        <f>SUM(M251:M253)</f>
        <v>303004.79999999999</v>
      </c>
      <c r="N254" s="273"/>
      <c r="O254" s="273"/>
      <c r="P254" s="273"/>
      <c r="Q254" s="273"/>
      <c r="R254" s="175">
        <f>SUM(R251:R253)</f>
        <v>3200000</v>
      </c>
      <c r="S254" s="175">
        <f>SUM(S251:S253)</f>
        <v>2400000</v>
      </c>
      <c r="T254" s="175">
        <f>SUM(T251:T253)</f>
        <v>0</v>
      </c>
      <c r="U254" s="175">
        <f>SUM(U251:U253)</f>
        <v>3200000</v>
      </c>
      <c r="V254" s="273"/>
      <c r="W254" s="273"/>
      <c r="X254" s="273"/>
      <c r="Y254" s="175">
        <f>SUM(Y251:Y253)</f>
        <v>0</v>
      </c>
      <c r="Z254" s="273"/>
      <c r="AA254" s="273"/>
      <c r="AB254" s="175">
        <f>SUM(AB251:AB253)</f>
        <v>1634000</v>
      </c>
      <c r="AC254" s="175">
        <f>SUM(AC251:AC253)</f>
        <v>480000</v>
      </c>
      <c r="AD254" s="175">
        <f>SUM(AD251:AD253)</f>
        <v>0</v>
      </c>
      <c r="AE254" s="175">
        <f>SUM(AE251:AE253)</f>
        <v>1361400</v>
      </c>
      <c r="AF254" s="175">
        <f>SUM(AF251:AF253)</f>
        <v>12275400</v>
      </c>
      <c r="AG254" s="273"/>
      <c r="AH254" s="273"/>
      <c r="AI254" s="273"/>
      <c r="AJ254" s="175">
        <f>SUM(AJ251:AJ253)</f>
        <v>0</v>
      </c>
      <c r="AK254" s="175">
        <f>SUM(AK251:AK253)</f>
        <v>0</v>
      </c>
      <c r="AL254" s="175">
        <f>SUM(AL251:AL253)</f>
        <v>0</v>
      </c>
      <c r="AM254" s="175">
        <f>SUM(AM251:AM253)</f>
        <v>0</v>
      </c>
      <c r="AN254" s="175">
        <f>SUM(AN251:AN253)</f>
        <v>0</v>
      </c>
      <c r="AO254" s="274"/>
      <c r="AP254" s="254"/>
      <c r="AQ254" s="175">
        <f t="shared" ref="AQ254:AT254" si="168">SUM(AQ251:AQ253)</f>
        <v>2117404.7999999998</v>
      </c>
      <c r="AR254" s="175">
        <f t="shared" si="168"/>
        <v>12275400</v>
      </c>
      <c r="AS254" s="175">
        <f t="shared" si="168"/>
        <v>0</v>
      </c>
      <c r="AT254" s="175">
        <f t="shared" si="168"/>
        <v>14392804.800000001</v>
      </c>
      <c r="AU254" s="175">
        <f t="shared" ref="AU254:BB254" si="169">SUM(AU251:AU253)</f>
        <v>2117404.7999999998</v>
      </c>
      <c r="AV254" s="175">
        <f t="shared" si="169"/>
        <v>0</v>
      </c>
      <c r="AW254" s="175">
        <f t="shared" si="169"/>
        <v>0</v>
      </c>
      <c r="AX254" s="175">
        <f t="shared" si="169"/>
        <v>0</v>
      </c>
      <c r="AY254" s="175">
        <f t="shared" si="169"/>
        <v>0</v>
      </c>
      <c r="AZ254" s="175">
        <f t="shared" si="169"/>
        <v>0</v>
      </c>
      <c r="BA254" s="175">
        <f t="shared" si="169"/>
        <v>0</v>
      </c>
      <c r="BB254" s="175">
        <f t="shared" si="169"/>
        <v>-12275400</v>
      </c>
      <c r="BC254" s="169"/>
      <c r="BD254" s="169"/>
      <c r="BE254" s="169"/>
      <c r="BF254" s="169"/>
    </row>
    <row r="255" spans="1:58" ht="78.75" x14ac:dyDescent="0.25">
      <c r="A255" s="172"/>
      <c r="B255" s="200"/>
      <c r="C255" s="201"/>
      <c r="D255" s="202"/>
      <c r="E255" s="354"/>
      <c r="F255" s="355"/>
      <c r="G255" s="356"/>
      <c r="H255" s="213" t="s">
        <v>330</v>
      </c>
      <c r="I255" s="178" t="s">
        <v>3</v>
      </c>
      <c r="J255" s="174">
        <v>1</v>
      </c>
      <c r="K255" s="174">
        <v>2</v>
      </c>
      <c r="L255" s="125">
        <f>IF(I255&lt;&gt;0,((VLOOKUP(I255,'1. Standard_Cost'!$B$4:$D$11,2)+VLOOKUP(I255,'1. Standard_Cost'!$B$4:$D$11,3))*J255*K255),"0")</f>
        <v>201600</v>
      </c>
      <c r="M255" s="125">
        <f>L255*'1. Standard_Cost'!$F$4</f>
        <v>33667.200000000004</v>
      </c>
      <c r="N255" s="174"/>
      <c r="O255" s="174"/>
      <c r="P255" s="174"/>
      <c r="Q255" s="174"/>
      <c r="R255" s="127">
        <f>'1. Standard_Cost'!$B$15*N255*P255</f>
        <v>0</v>
      </c>
      <c r="S255" s="127">
        <f>N255*O255*P255*'1. Standard_Cost'!$C$15</f>
        <v>0</v>
      </c>
      <c r="T255" s="127">
        <f>N255*P255*Q255*'1. Standard_Cost'!$D$15</f>
        <v>0</v>
      </c>
      <c r="U255" s="127">
        <f>N255*O255*'1. Standard_Cost'!$E$15</f>
        <v>0</v>
      </c>
      <c r="V255" s="174"/>
      <c r="W255" s="174"/>
      <c r="X255" s="174"/>
      <c r="Y255" s="127">
        <f>+V255*((X255*'1. Standard_Cost'!$B$19)+(W255*X255*'1. Standard_Cost'!$C$19))</f>
        <v>0</v>
      </c>
      <c r="Z255" s="174"/>
      <c r="AA255" s="174"/>
      <c r="AB255" s="127">
        <f>+Z255*'1. Standard_Cost'!$B$23+AA255*'1. Standard_Cost'!$C$23</f>
        <v>0</v>
      </c>
      <c r="AC255" s="176"/>
      <c r="AD255" s="177">
        <f>123000000*25%</f>
        <v>30750000</v>
      </c>
      <c r="AE255" s="127"/>
      <c r="AF255" s="127">
        <f>SUM(AE255,AD255,AC255,AB255,Y255,U255,T255,S255,R255)</f>
        <v>30750000</v>
      </c>
      <c r="AG255" s="174"/>
      <c r="AH255" s="174"/>
      <c r="AI255" s="174"/>
      <c r="AJ255" s="178"/>
      <c r="AK255" s="178"/>
      <c r="AL255" s="178"/>
      <c r="AM255" s="127">
        <f>AG255*'1. Standard_Cost'!$B$27+'Incremental_Cost Year 7'!AH255*'1. Standard_Cost'!$C$27+'Incremental_Cost Year 7'!AI255*'1. Standard_Cost'!$D$27+'Incremental_Cost Year 7'!AJ255+'Incremental_Cost Year 7'!AL255+AK255</f>
        <v>0</v>
      </c>
      <c r="AN255" s="127">
        <f>AM255*'1. Standard_Cost'!$C$31</f>
        <v>0</v>
      </c>
      <c r="AO255" s="178"/>
      <c r="AP255" s="256"/>
      <c r="AQ255" s="171">
        <f>L255+M255</f>
        <v>235267.20000000001</v>
      </c>
      <c r="AR255" s="171">
        <f>AF255</f>
        <v>30750000</v>
      </c>
      <c r="AS255" s="171">
        <f>AM255+AN255</f>
        <v>0</v>
      </c>
      <c r="AT255" s="171">
        <f>SUM(AQ255,AR255,AS255)</f>
        <v>30985267.199999999</v>
      </c>
      <c r="AU255" s="250">
        <f>AQ255</f>
        <v>235267.20000000001</v>
      </c>
      <c r="AV255" s="250"/>
      <c r="AW255" s="250"/>
      <c r="AX255" s="250"/>
      <c r="AY255" s="250"/>
      <c r="AZ255" s="250"/>
      <c r="BA255" s="250"/>
      <c r="BB255" s="251">
        <f t="shared" ref="BB255:BB257" si="170">SUM(AU255:BA255)-AT255</f>
        <v>-30750000</v>
      </c>
      <c r="BC255" s="169"/>
      <c r="BD255" s="169"/>
      <c r="BE255" s="169"/>
      <c r="BF255" s="169"/>
    </row>
    <row r="256" spans="1:58" ht="78.75" x14ac:dyDescent="0.25">
      <c r="A256" s="172"/>
      <c r="B256" s="200"/>
      <c r="C256" s="201"/>
      <c r="D256" s="202"/>
      <c r="E256" s="357"/>
      <c r="F256" s="358"/>
      <c r="G256" s="359"/>
      <c r="H256" s="199" t="s">
        <v>331</v>
      </c>
      <c r="I256" s="178" t="s">
        <v>3</v>
      </c>
      <c r="J256" s="174">
        <v>2</v>
      </c>
      <c r="K256" s="174">
        <v>6</v>
      </c>
      <c r="L256" s="125">
        <f>IF(I256&lt;&gt;0,((VLOOKUP(I256,'1. Standard_Cost'!$B$4:$D$11,2)+VLOOKUP(I256,'1. Standard_Cost'!$B$4:$D$11,3))*J256*K256),"0")</f>
        <v>1209600</v>
      </c>
      <c r="M256" s="125">
        <f>L256*'1. Standard_Cost'!$F$4</f>
        <v>202003.20000000001</v>
      </c>
      <c r="N256" s="174"/>
      <c r="O256" s="174"/>
      <c r="P256" s="174"/>
      <c r="Q256" s="174"/>
      <c r="R256" s="127">
        <f>'1. Standard_Cost'!$B$15*N256*P256</f>
        <v>0</v>
      </c>
      <c r="S256" s="127">
        <f>N256*O256*P256*'1. Standard_Cost'!$C$15</f>
        <v>0</v>
      </c>
      <c r="T256" s="127">
        <f>N256*P256*Q256*'1. Standard_Cost'!$D$15</f>
        <v>0</v>
      </c>
      <c r="U256" s="127">
        <f>N256*O256*'1. Standard_Cost'!$E$15</f>
        <v>0</v>
      </c>
      <c r="V256" s="174"/>
      <c r="W256" s="174"/>
      <c r="X256" s="174"/>
      <c r="Y256" s="127">
        <f>+V256*((X256*'1. Standard_Cost'!$B$19)+(W256*X256*'1. Standard_Cost'!$C$19))</f>
        <v>0</v>
      </c>
      <c r="Z256" s="174"/>
      <c r="AA256" s="174"/>
      <c r="AB256" s="127">
        <f>+Z256*'1. Standard_Cost'!$B$23+AA256*'1. Standard_Cost'!$C$23</f>
        <v>0</v>
      </c>
      <c r="AC256" s="176"/>
      <c r="AD256" s="177"/>
      <c r="AE256" s="127">
        <f>SUM(AD256,AC256,AB256,Y256,U256,T256,S256,R256)*'1. Standard_Cost'!$B$31</f>
        <v>0</v>
      </c>
      <c r="AF256" s="127">
        <f>SUM(AE256,AD256,AC256,AB256,Y256,U256,T256,S256,R256)</f>
        <v>0</v>
      </c>
      <c r="AG256" s="174"/>
      <c r="AH256" s="174"/>
      <c r="AI256" s="174"/>
      <c r="AJ256" s="178"/>
      <c r="AK256" s="178"/>
      <c r="AL256" s="178"/>
      <c r="AM256" s="127">
        <f>AG256*'1. Standard_Cost'!$B$27+'Incremental_Cost Year 7'!AH256*'1. Standard_Cost'!$C$27+'Incremental_Cost Year 7'!AI256*'1. Standard_Cost'!$D$27+'Incremental_Cost Year 7'!AJ256+'Incremental_Cost Year 7'!AL256+AK256</f>
        <v>0</v>
      </c>
      <c r="AN256" s="127">
        <f>AM256*'1. Standard_Cost'!$C$31</f>
        <v>0</v>
      </c>
      <c r="AO256" s="178"/>
      <c r="AP256" s="256"/>
      <c r="AQ256" s="171">
        <f>L256+M256</f>
        <v>1411603.2</v>
      </c>
      <c r="AR256" s="171">
        <f>AF256</f>
        <v>0</v>
      </c>
      <c r="AS256" s="171">
        <f>AM256+AN256</f>
        <v>0</v>
      </c>
      <c r="AT256" s="171">
        <f>SUM(AQ256,AR256,AS256)</f>
        <v>1411603.2</v>
      </c>
      <c r="AU256" s="250">
        <f>AT256</f>
        <v>1411603.2</v>
      </c>
      <c r="AV256" s="250"/>
      <c r="AW256" s="250"/>
      <c r="AX256" s="250"/>
      <c r="AY256" s="250"/>
      <c r="AZ256" s="250"/>
      <c r="BA256" s="250"/>
      <c r="BB256" s="251">
        <f t="shared" si="170"/>
        <v>0</v>
      </c>
      <c r="BC256" s="169"/>
      <c r="BD256" s="169"/>
      <c r="BE256" s="169"/>
      <c r="BF256" s="169"/>
    </row>
    <row r="257" spans="1:58" ht="94.5" x14ac:dyDescent="0.25">
      <c r="A257" s="172"/>
      <c r="B257" s="200"/>
      <c r="C257" s="201"/>
      <c r="D257" s="202"/>
      <c r="E257" s="360"/>
      <c r="F257" s="361"/>
      <c r="G257" s="362"/>
      <c r="H257" s="199" t="s">
        <v>332</v>
      </c>
      <c r="I257" s="178"/>
      <c r="J257" s="174"/>
      <c r="K257" s="174"/>
      <c r="L257" s="125" t="str">
        <f>IF(I257&lt;&gt;0,((VLOOKUP(I257,'1. Standard_Cost'!$B$4:$D$11,2)+VLOOKUP(I257,'1. Standard_Cost'!$B$4:$D$11,3))*J257*K257),"0")</f>
        <v>0</v>
      </c>
      <c r="M257" s="125">
        <f>L257*'1. Standard_Cost'!$F$4</f>
        <v>0</v>
      </c>
      <c r="N257" s="174"/>
      <c r="O257" s="174"/>
      <c r="P257" s="174"/>
      <c r="Q257" s="174"/>
      <c r="R257" s="127">
        <f>'1. Standard_Cost'!$B$15*N257*P257</f>
        <v>0</v>
      </c>
      <c r="S257" s="127">
        <f>N257*O257*P257*'1. Standard_Cost'!$C$15</f>
        <v>0</v>
      </c>
      <c r="T257" s="127">
        <f>N257*P257*Q257*'1. Standard_Cost'!$D$15</f>
        <v>0</v>
      </c>
      <c r="U257" s="127">
        <f>N257*O257*'1. Standard_Cost'!$E$15</f>
        <v>0</v>
      </c>
      <c r="V257" s="174"/>
      <c r="W257" s="174"/>
      <c r="X257" s="174"/>
      <c r="Y257" s="127">
        <f>+V257*((X257*'1. Standard_Cost'!$B$19)+(W257*X257*'1. Standard_Cost'!$C$19))</f>
        <v>0</v>
      </c>
      <c r="Z257" s="174"/>
      <c r="AA257" s="174"/>
      <c r="AB257" s="127">
        <f>+Z257*'1. Standard_Cost'!$B$23+AA257*'1. Standard_Cost'!$C$23</f>
        <v>0</v>
      </c>
      <c r="AC257" s="176"/>
      <c r="AD257" s="177">
        <f>369000000*25%</f>
        <v>92250000</v>
      </c>
      <c r="AE257" s="127"/>
      <c r="AF257" s="127">
        <f>SUM(AE257,AD257,AC257,AB257,Y257,U257,T257,S257,R257)</f>
        <v>92250000</v>
      </c>
      <c r="AG257" s="174"/>
      <c r="AH257" s="174"/>
      <c r="AI257" s="174"/>
      <c r="AJ257" s="178"/>
      <c r="AK257" s="178"/>
      <c r="AL257" s="178"/>
      <c r="AM257" s="127">
        <f>AG257*'1. Standard_Cost'!$B$27+'Incremental_Cost Year 7'!AH257*'1. Standard_Cost'!$C$27+'Incremental_Cost Year 7'!AI257*'1. Standard_Cost'!$D$27+'Incremental_Cost Year 7'!AJ257+'Incremental_Cost Year 7'!AL257+AK257</f>
        <v>0</v>
      </c>
      <c r="AN257" s="127">
        <f>AM257*'1. Standard_Cost'!$C$31</f>
        <v>0</v>
      </c>
      <c r="AO257" s="178"/>
      <c r="AP257" s="256"/>
      <c r="AQ257" s="171">
        <f>L257+M257</f>
        <v>0</v>
      </c>
      <c r="AR257" s="171">
        <f>AF257</f>
        <v>92250000</v>
      </c>
      <c r="AS257" s="171">
        <f>AM257+AN257</f>
        <v>0</v>
      </c>
      <c r="AT257" s="171">
        <f>SUM(AQ257,AR257,AS257)</f>
        <v>92250000</v>
      </c>
      <c r="AU257" s="250"/>
      <c r="AV257" s="250"/>
      <c r="AW257" s="250"/>
      <c r="AX257" s="250"/>
      <c r="AY257" s="250"/>
      <c r="AZ257" s="250"/>
      <c r="BA257" s="250"/>
      <c r="BB257" s="251">
        <f t="shared" si="170"/>
        <v>-92250000</v>
      </c>
      <c r="BC257" s="169"/>
      <c r="BD257" s="169"/>
      <c r="BE257" s="169"/>
      <c r="BF257" s="169"/>
    </row>
    <row r="258" spans="1:58" ht="38.25" x14ac:dyDescent="0.2">
      <c r="A258" s="172"/>
      <c r="B258" s="168"/>
      <c r="C258" s="204"/>
      <c r="D258" s="195" t="s">
        <v>559</v>
      </c>
      <c r="E258" s="205" t="s">
        <v>333</v>
      </c>
      <c r="F258" s="206">
        <v>2025</v>
      </c>
      <c r="G258" s="207">
        <v>2030</v>
      </c>
      <c r="H258" s="180" t="s">
        <v>334</v>
      </c>
      <c r="I258" s="273"/>
      <c r="J258" s="273"/>
      <c r="K258" s="273"/>
      <c r="L258" s="175">
        <f>SUM(L255:L257)</f>
        <v>1411200</v>
      </c>
      <c r="M258" s="175">
        <f>SUM(M255:M257)</f>
        <v>235670.40000000002</v>
      </c>
      <c r="N258" s="273"/>
      <c r="O258" s="273"/>
      <c r="P258" s="273"/>
      <c r="Q258" s="273"/>
      <c r="R258" s="175">
        <f>SUM(R255:R257)</f>
        <v>0</v>
      </c>
      <c r="S258" s="175">
        <f>SUM(S255:S257)</f>
        <v>0</v>
      </c>
      <c r="T258" s="175">
        <f>SUM(T255:T257)</f>
        <v>0</v>
      </c>
      <c r="U258" s="175">
        <f>SUM(U255:U257)</f>
        <v>0</v>
      </c>
      <c r="V258" s="273"/>
      <c r="W258" s="273"/>
      <c r="X258" s="273"/>
      <c r="Y258" s="175">
        <f>SUM(Y255:Y257)</f>
        <v>0</v>
      </c>
      <c r="Z258" s="273"/>
      <c r="AA258" s="273"/>
      <c r="AB258" s="175">
        <f>SUM(AB255:AB257)</f>
        <v>0</v>
      </c>
      <c r="AC258" s="175">
        <f>SUM(AC255:AC257)</f>
        <v>0</v>
      </c>
      <c r="AD258" s="175">
        <f>SUM(AD255:AD257)</f>
        <v>123000000</v>
      </c>
      <c r="AE258" s="175">
        <f>SUM(AE255:AE257)</f>
        <v>0</v>
      </c>
      <c r="AF258" s="175">
        <f>SUM(AF255:AF257)</f>
        <v>123000000</v>
      </c>
      <c r="AG258" s="273"/>
      <c r="AH258" s="273"/>
      <c r="AI258" s="273"/>
      <c r="AJ258" s="175">
        <f>SUM(AJ255:AJ257)</f>
        <v>0</v>
      </c>
      <c r="AK258" s="175">
        <f>SUM(AK255:AK257)</f>
        <v>0</v>
      </c>
      <c r="AL258" s="175">
        <f>SUM(AL255:AL257)</f>
        <v>0</v>
      </c>
      <c r="AM258" s="175">
        <f>SUM(AM255:AM257)</f>
        <v>0</v>
      </c>
      <c r="AN258" s="175">
        <f>SUM(AN255:AN257)</f>
        <v>0</v>
      </c>
      <c r="AO258" s="274"/>
      <c r="AP258" s="254"/>
      <c r="AQ258" s="175">
        <f t="shared" ref="AQ258:AT258" si="171">SUM(AQ255:AQ257)</f>
        <v>1646870.4</v>
      </c>
      <c r="AR258" s="175">
        <f t="shared" si="171"/>
        <v>123000000</v>
      </c>
      <c r="AS258" s="175">
        <f t="shared" si="171"/>
        <v>0</v>
      </c>
      <c r="AT258" s="175">
        <f t="shared" si="171"/>
        <v>124646870.40000001</v>
      </c>
      <c r="AU258" s="175">
        <f t="shared" ref="AU258:BB258" si="172">SUM(AU255:AU257)</f>
        <v>1646870.4</v>
      </c>
      <c r="AV258" s="175">
        <f t="shared" si="172"/>
        <v>0</v>
      </c>
      <c r="AW258" s="175">
        <f t="shared" si="172"/>
        <v>0</v>
      </c>
      <c r="AX258" s="175">
        <f t="shared" si="172"/>
        <v>0</v>
      </c>
      <c r="AY258" s="175">
        <f t="shared" si="172"/>
        <v>0</v>
      </c>
      <c r="AZ258" s="175">
        <f t="shared" si="172"/>
        <v>0</v>
      </c>
      <c r="BA258" s="175">
        <f t="shared" si="172"/>
        <v>0</v>
      </c>
      <c r="BB258" s="175">
        <f t="shared" si="172"/>
        <v>-123000000</v>
      </c>
      <c r="BC258" s="169"/>
      <c r="BD258" s="169"/>
      <c r="BE258" s="169"/>
      <c r="BF258" s="169"/>
    </row>
    <row r="259" spans="1:58" ht="15.6" customHeight="1" x14ac:dyDescent="0.2">
      <c r="A259" s="179"/>
      <c r="B259" s="290"/>
      <c r="C259" s="391" t="s">
        <v>335</v>
      </c>
      <c r="D259" s="391"/>
      <c r="E259" s="392"/>
      <c r="F259" s="287"/>
      <c r="G259" s="289"/>
      <c r="H259" s="181" t="s">
        <v>336</v>
      </c>
      <c r="I259" s="271"/>
      <c r="J259" s="271"/>
      <c r="K259" s="271"/>
      <c r="L259" s="261">
        <f>L263+L268</f>
        <v>23066400</v>
      </c>
      <c r="M259" s="261">
        <f>M263+M268</f>
        <v>3852088.8000000003</v>
      </c>
      <c r="N259" s="271"/>
      <c r="O259" s="271"/>
      <c r="P259" s="271"/>
      <c r="Q259" s="271"/>
      <c r="R259" s="261">
        <f>R263+R268</f>
        <v>0</v>
      </c>
      <c r="S259" s="261">
        <f>S263+S268</f>
        <v>0</v>
      </c>
      <c r="T259" s="261">
        <f>T263+T268</f>
        <v>0</v>
      </c>
      <c r="U259" s="261">
        <f>U263+U268</f>
        <v>0</v>
      </c>
      <c r="V259" s="261"/>
      <c r="W259" s="271"/>
      <c r="X259" s="271"/>
      <c r="Y259" s="261">
        <f>Y263+Y268</f>
        <v>0</v>
      </c>
      <c r="Z259" s="261"/>
      <c r="AA259" s="261"/>
      <c r="AB259" s="261">
        <f>AB263+AB268</f>
        <v>0</v>
      </c>
      <c r="AC259" s="261">
        <f>AC263+AC268</f>
        <v>25655000</v>
      </c>
      <c r="AD259" s="261">
        <f>AD263+AD268</f>
        <v>345394000</v>
      </c>
      <c r="AE259" s="261">
        <f>AE263+AE268</f>
        <v>18450000</v>
      </c>
      <c r="AF259" s="261">
        <f>AF263+AF268</f>
        <v>389499000</v>
      </c>
      <c r="AG259" s="271"/>
      <c r="AH259" s="271"/>
      <c r="AI259" s="271"/>
      <c r="AJ259" s="261">
        <f>AJ263+AJ268</f>
        <v>0</v>
      </c>
      <c r="AK259" s="261">
        <f>AK263+AK268</f>
        <v>0</v>
      </c>
      <c r="AL259" s="261">
        <f>AL263+AL268</f>
        <v>0</v>
      </c>
      <c r="AM259" s="261">
        <f>AM263+AM268</f>
        <v>0</v>
      </c>
      <c r="AN259" s="261">
        <f>AN263+AN268</f>
        <v>0</v>
      </c>
      <c r="AO259" s="272"/>
      <c r="AP259" s="260"/>
      <c r="AQ259" s="261">
        <f t="shared" ref="AQ259:BB259" si="173">AQ263+AQ268</f>
        <v>26918488.800000001</v>
      </c>
      <c r="AR259" s="261">
        <f t="shared" si="173"/>
        <v>389499000</v>
      </c>
      <c r="AS259" s="261">
        <f t="shared" si="173"/>
        <v>0</v>
      </c>
      <c r="AT259" s="261">
        <f t="shared" si="173"/>
        <v>416417488.79999995</v>
      </c>
      <c r="AU259" s="261">
        <f t="shared" si="173"/>
        <v>52573488.399999999</v>
      </c>
      <c r="AV259" s="261">
        <f t="shared" si="173"/>
        <v>0</v>
      </c>
      <c r="AW259" s="261">
        <f t="shared" si="173"/>
        <v>0</v>
      </c>
      <c r="AX259" s="261">
        <f t="shared" si="173"/>
        <v>0</v>
      </c>
      <c r="AY259" s="261">
        <f t="shared" si="173"/>
        <v>0</v>
      </c>
      <c r="AZ259" s="261">
        <f t="shared" si="173"/>
        <v>0</v>
      </c>
      <c r="BA259" s="261">
        <f t="shared" si="173"/>
        <v>0</v>
      </c>
      <c r="BB259" s="261">
        <f t="shared" si="173"/>
        <v>-363844000.39999998</v>
      </c>
      <c r="BC259" s="184"/>
      <c r="BD259" s="184"/>
      <c r="BE259" s="184"/>
      <c r="BF259" s="184"/>
    </row>
    <row r="260" spans="1:58" ht="78.75" x14ac:dyDescent="0.25">
      <c r="A260" s="172"/>
      <c r="B260" s="354"/>
      <c r="C260" s="356"/>
      <c r="D260" s="342"/>
      <c r="E260" s="328"/>
      <c r="F260" s="328"/>
      <c r="G260" s="328"/>
      <c r="H260" s="199" t="s">
        <v>551</v>
      </c>
      <c r="I260" s="178" t="s">
        <v>3</v>
      </c>
      <c r="J260" s="174">
        <v>1</v>
      </c>
      <c r="K260" s="174">
        <v>2</v>
      </c>
      <c r="L260" s="125">
        <f>IF(I260&lt;&gt;0,((VLOOKUP(I260,'1. Standard_Cost'!$B$4:$D$11,2)+VLOOKUP(I260,'1. Standard_Cost'!$B$4:$D$11,3))*J260*K260),"0")</f>
        <v>201600</v>
      </c>
      <c r="M260" s="125">
        <f>L260*'1. Standard_Cost'!$F$4</f>
        <v>33667.200000000004</v>
      </c>
      <c r="N260" s="174"/>
      <c r="O260" s="174"/>
      <c r="P260" s="174"/>
      <c r="Q260" s="174"/>
      <c r="R260" s="127">
        <f>'1. Standard_Cost'!$B$15*N260*P260</f>
        <v>0</v>
      </c>
      <c r="S260" s="127">
        <f>N260*O260*P260*'1. Standard_Cost'!$C$15</f>
        <v>0</v>
      </c>
      <c r="T260" s="127">
        <f>N260*P260*Q260*'1. Standard_Cost'!$D$15</f>
        <v>0</v>
      </c>
      <c r="U260" s="127">
        <f>N260*O260*'1. Standard_Cost'!$E$15</f>
        <v>0</v>
      </c>
      <c r="V260" s="174"/>
      <c r="W260" s="174"/>
      <c r="X260" s="174"/>
      <c r="Y260" s="127">
        <f>+V260*((X260*'1. Standard_Cost'!$B$19)+(W260*X260*'1. Standard_Cost'!$C$19))</f>
        <v>0</v>
      </c>
      <c r="Z260" s="174"/>
      <c r="AA260" s="174"/>
      <c r="AB260" s="127">
        <f>+Z260*'1. Standard_Cost'!$B$23+AA260*'1. Standard_Cost'!$C$23</f>
        <v>0</v>
      </c>
      <c r="AC260" s="176"/>
      <c r="AD260" s="177">
        <f>538740000*25%</f>
        <v>134685000</v>
      </c>
      <c r="AE260" s="127"/>
      <c r="AF260" s="127">
        <f>SUM(AE260,AD260,AC260,AB260,Y260,U260,T260,S260,R260)</f>
        <v>134685000</v>
      </c>
      <c r="AG260" s="174"/>
      <c r="AH260" s="174"/>
      <c r="AI260" s="174"/>
      <c r="AJ260" s="178"/>
      <c r="AK260" s="178"/>
      <c r="AL260" s="178"/>
      <c r="AM260" s="127">
        <f>AG260*'1. Standard_Cost'!$B$27+'Incremental_Cost Year 7'!AH260*'1. Standard_Cost'!$C$27+'Incremental_Cost Year 7'!AI260*'1. Standard_Cost'!$D$27+'Incremental_Cost Year 7'!AJ260+'Incremental_Cost Year 7'!AL260+AK260</f>
        <v>0</v>
      </c>
      <c r="AN260" s="127">
        <f>AM260*'1. Standard_Cost'!$C$31</f>
        <v>0</v>
      </c>
      <c r="AO260" s="178"/>
      <c r="AP260" s="256"/>
      <c r="AQ260" s="171">
        <f>L260+M260</f>
        <v>235267.20000000001</v>
      </c>
      <c r="AR260" s="171">
        <f>AF260</f>
        <v>134685000</v>
      </c>
      <c r="AS260" s="171">
        <f>AM260+AN260</f>
        <v>0</v>
      </c>
      <c r="AT260" s="171">
        <f>SUM(AQ260,AR260,AS260)</f>
        <v>134920267.19999999</v>
      </c>
      <c r="AU260" s="250">
        <f>AQ260</f>
        <v>235267.20000000001</v>
      </c>
      <c r="AV260" s="250"/>
      <c r="AW260" s="250"/>
      <c r="AX260" s="250"/>
      <c r="AY260" s="250"/>
      <c r="AZ260" s="250"/>
      <c r="BA260" s="250"/>
      <c r="BB260" s="251">
        <f t="shared" ref="BB260:BB262" si="174">SUM(AU260:BA260)-AT260</f>
        <v>-134685000</v>
      </c>
      <c r="BC260" s="169"/>
      <c r="BD260" s="169"/>
      <c r="BE260" s="169"/>
      <c r="BF260" s="169"/>
    </row>
    <row r="261" spans="1:58" ht="63" x14ac:dyDescent="0.25">
      <c r="A261" s="172"/>
      <c r="B261" s="357"/>
      <c r="C261" s="359"/>
      <c r="D261" s="343"/>
      <c r="E261" s="328"/>
      <c r="F261" s="328"/>
      <c r="G261" s="328"/>
      <c r="H261" s="199" t="s">
        <v>337</v>
      </c>
      <c r="I261" s="178" t="s">
        <v>3</v>
      </c>
      <c r="J261" s="174">
        <v>1</v>
      </c>
      <c r="K261" s="174">
        <v>2</v>
      </c>
      <c r="L261" s="125">
        <f>IF(I261&lt;&gt;0,((VLOOKUP(I261,'1. Standard_Cost'!$B$4:$D$11,2)+VLOOKUP(I261,'1. Standard_Cost'!$B$4:$D$11,3))*J261*K261),"0")</f>
        <v>201600</v>
      </c>
      <c r="M261" s="125">
        <f>L261*'1. Standard_Cost'!$F$4</f>
        <v>33667.200000000004</v>
      </c>
      <c r="N261" s="174"/>
      <c r="O261" s="174"/>
      <c r="P261" s="174"/>
      <c r="Q261" s="174"/>
      <c r="R261" s="127">
        <f>'1. Standard_Cost'!$B$15*N261*P261</f>
        <v>0</v>
      </c>
      <c r="S261" s="127">
        <f>N261*O261*P261*'1. Standard_Cost'!$C$15</f>
        <v>0</v>
      </c>
      <c r="T261" s="127">
        <f>N261*P261*Q261*'1. Standard_Cost'!$D$15</f>
        <v>0</v>
      </c>
      <c r="U261" s="127">
        <f>N261*O261*'1. Standard_Cost'!$E$15</f>
        <v>0</v>
      </c>
      <c r="V261" s="174"/>
      <c r="W261" s="174"/>
      <c r="X261" s="174"/>
      <c r="Y261" s="127">
        <f>+V261*((X261*'1. Standard_Cost'!$B$19)+(W261*X261*'1. Standard_Cost'!$C$19))</f>
        <v>0</v>
      </c>
      <c r="Z261" s="174"/>
      <c r="AA261" s="174"/>
      <c r="AB261" s="127">
        <f>+Z261*'1. Standard_Cost'!$B$23+AA261*'1. Standard_Cost'!$C$23</f>
        <v>0</v>
      </c>
      <c r="AC261" s="176"/>
      <c r="AD261" s="177">
        <f>51700000*25%</f>
        <v>12925000</v>
      </c>
      <c r="AE261" s="127"/>
      <c r="AF261" s="127">
        <f>SUM(AE261,AD261,AC261,AB261,Y261,U261,T261,S261,R261)</f>
        <v>12925000</v>
      </c>
      <c r="AG261" s="174"/>
      <c r="AH261" s="174"/>
      <c r="AI261" s="174"/>
      <c r="AJ261" s="178"/>
      <c r="AK261" s="178"/>
      <c r="AL261" s="178"/>
      <c r="AM261" s="127">
        <f>AG261*'1. Standard_Cost'!$B$27+'Incremental_Cost Year 7'!AH261*'1. Standard_Cost'!$C$27+'Incremental_Cost Year 7'!AI261*'1. Standard_Cost'!$D$27+'Incremental_Cost Year 7'!AJ261+'Incremental_Cost Year 7'!AL261+AK261</f>
        <v>0</v>
      </c>
      <c r="AN261" s="127">
        <f>AM261*'1. Standard_Cost'!$C$31</f>
        <v>0</v>
      </c>
      <c r="AO261" s="178"/>
      <c r="AP261" s="256"/>
      <c r="AQ261" s="171">
        <f>L261+M261</f>
        <v>235267.20000000001</v>
      </c>
      <c r="AR261" s="171">
        <f>AF261</f>
        <v>12925000</v>
      </c>
      <c r="AS261" s="171">
        <f>AM261+AN261</f>
        <v>0</v>
      </c>
      <c r="AT261" s="171">
        <f>SUM(AQ261,AR261,AS261)</f>
        <v>13160267.199999999</v>
      </c>
      <c r="AU261" s="250">
        <f>AQ261</f>
        <v>235267.20000000001</v>
      </c>
      <c r="AV261" s="250"/>
      <c r="AW261" s="250"/>
      <c r="AX261" s="250"/>
      <c r="AY261" s="250"/>
      <c r="AZ261" s="250"/>
      <c r="BA261" s="250"/>
      <c r="BB261" s="251">
        <f t="shared" si="174"/>
        <v>-12925000</v>
      </c>
      <c r="BC261" s="169"/>
      <c r="BD261" s="169"/>
      <c r="BE261" s="169"/>
      <c r="BF261" s="169"/>
    </row>
    <row r="262" spans="1:58" ht="63" x14ac:dyDescent="0.25">
      <c r="A262" s="172"/>
      <c r="B262" s="357"/>
      <c r="C262" s="359"/>
      <c r="D262" s="343"/>
      <c r="E262" s="328"/>
      <c r="F262" s="328"/>
      <c r="G262" s="328"/>
      <c r="H262" s="199" t="s">
        <v>552</v>
      </c>
      <c r="I262" s="178" t="s">
        <v>3</v>
      </c>
      <c r="J262" s="174">
        <v>1</v>
      </c>
      <c r="K262" s="174">
        <v>2</v>
      </c>
      <c r="L262" s="125">
        <f>IF(I262&lt;&gt;0,((VLOOKUP(I262,'1. Standard_Cost'!$B$4:$D$11,2)+VLOOKUP(I262,'1. Standard_Cost'!$B$4:$D$11,3))*J262*K262),"0")</f>
        <v>201600</v>
      </c>
      <c r="M262" s="125">
        <f>L262*'1. Standard_Cost'!$F$4</f>
        <v>33667.200000000004</v>
      </c>
      <c r="N262" s="174"/>
      <c r="O262" s="174"/>
      <c r="P262" s="174"/>
      <c r="Q262" s="174"/>
      <c r="R262" s="127">
        <f>'1. Standard_Cost'!$B$15*N262*P262</f>
        <v>0</v>
      </c>
      <c r="S262" s="127">
        <f>N262*O262*P262*'1. Standard_Cost'!$C$15</f>
        <v>0</v>
      </c>
      <c r="T262" s="127">
        <f>N262*P262*Q262*'1. Standard_Cost'!$D$15</f>
        <v>0</v>
      </c>
      <c r="U262" s="127">
        <f>N262*O262*'1. Standard_Cost'!$E$15</f>
        <v>0</v>
      </c>
      <c r="V262" s="174"/>
      <c r="W262" s="174"/>
      <c r="X262" s="174"/>
      <c r="Y262" s="127">
        <f>+V262*((X262*'1. Standard_Cost'!$B$19)+(W262*X262*'1. Standard_Cost'!$C$19))</f>
        <v>0</v>
      </c>
      <c r="Z262" s="174"/>
      <c r="AA262" s="174"/>
      <c r="AB262" s="127">
        <f>+Z262*'1. Standard_Cost'!$B$23+AA262*'1. Standard_Cost'!$C$23</f>
        <v>0</v>
      </c>
      <c r="AC262" s="176"/>
      <c r="AD262" s="177">
        <f>53136000*25%</f>
        <v>13284000</v>
      </c>
      <c r="AE262" s="127"/>
      <c r="AF262" s="127">
        <f>SUM(AE262,AD262,AC262,AB262,Y262,U262,T262,S262,R262)</f>
        <v>13284000</v>
      </c>
      <c r="AG262" s="174"/>
      <c r="AH262" s="174"/>
      <c r="AI262" s="174"/>
      <c r="AJ262" s="178"/>
      <c r="AK262" s="178"/>
      <c r="AL262" s="178"/>
      <c r="AM262" s="127">
        <f>AG262*'1. Standard_Cost'!$B$27+'Incremental_Cost Year 7'!AH262*'1. Standard_Cost'!$C$27+'Incremental_Cost Year 7'!AI262*'1. Standard_Cost'!$D$27+'Incremental_Cost Year 7'!AJ262+'Incremental_Cost Year 7'!AL262+AK262</f>
        <v>0</v>
      </c>
      <c r="AN262" s="127">
        <f>AM262*'1. Standard_Cost'!$C$31</f>
        <v>0</v>
      </c>
      <c r="AO262" s="178"/>
      <c r="AP262" s="256"/>
      <c r="AQ262" s="171">
        <f>L262+M262</f>
        <v>235267.20000000001</v>
      </c>
      <c r="AR262" s="171">
        <f>AF262</f>
        <v>13284000</v>
      </c>
      <c r="AS262" s="171">
        <f>AM262+AN262</f>
        <v>0</v>
      </c>
      <c r="AT262" s="171">
        <f>SUM(AQ262,AR262,AS262)</f>
        <v>13519267.199999999</v>
      </c>
      <c r="AU262" s="250">
        <f>AQ262</f>
        <v>235267.20000000001</v>
      </c>
      <c r="AV262" s="250"/>
      <c r="AW262" s="250"/>
      <c r="AX262" s="250"/>
      <c r="AY262" s="250"/>
      <c r="AZ262" s="250"/>
      <c r="BA262" s="250"/>
      <c r="BB262" s="251">
        <f t="shared" si="174"/>
        <v>-13284000</v>
      </c>
      <c r="BC262" s="169"/>
      <c r="BD262" s="169"/>
      <c r="BE262" s="169"/>
      <c r="BF262" s="169"/>
    </row>
    <row r="263" spans="1:58" x14ac:dyDescent="0.25">
      <c r="A263" s="172"/>
      <c r="B263" s="357"/>
      <c r="C263" s="359"/>
      <c r="D263" s="343"/>
      <c r="E263" s="328"/>
      <c r="F263" s="328"/>
      <c r="G263" s="328"/>
      <c r="H263" s="182" t="s">
        <v>338</v>
      </c>
      <c r="I263" s="273"/>
      <c r="J263" s="273"/>
      <c r="K263" s="273"/>
      <c r="L263" s="175">
        <f>SUM(L260:L262)</f>
        <v>604800</v>
      </c>
      <c r="M263" s="175">
        <f>SUM(M260:M262)</f>
        <v>101001.60000000001</v>
      </c>
      <c r="N263" s="273"/>
      <c r="O263" s="273"/>
      <c r="P263" s="273"/>
      <c r="Q263" s="273"/>
      <c r="R263" s="175">
        <f>SUM(R260:R262)</f>
        <v>0</v>
      </c>
      <c r="S263" s="175">
        <f>SUM(S260:S262)</f>
        <v>0</v>
      </c>
      <c r="T263" s="175">
        <f>SUM(T260:T262)</f>
        <v>0</v>
      </c>
      <c r="U263" s="175">
        <f>SUM(U260:U262)</f>
        <v>0</v>
      </c>
      <c r="V263" s="273"/>
      <c r="W263" s="273"/>
      <c r="X263" s="273"/>
      <c r="Y263" s="175">
        <f>SUM(Y260:Y262)</f>
        <v>0</v>
      </c>
      <c r="Z263" s="175"/>
      <c r="AA263" s="273"/>
      <c r="AB263" s="175">
        <f>SUM(AB260:AB262)</f>
        <v>0</v>
      </c>
      <c r="AC263" s="175">
        <f>SUM(AC260:AC262)</f>
        <v>0</v>
      </c>
      <c r="AD263" s="175">
        <f>SUM(AD260:AD262)</f>
        <v>160894000</v>
      </c>
      <c r="AE263" s="175">
        <f>SUM(AE260:AE262)</f>
        <v>0</v>
      </c>
      <c r="AF263" s="175">
        <f>SUM(AF260:AF262)</f>
        <v>160894000</v>
      </c>
      <c r="AG263" s="273"/>
      <c r="AH263" s="273"/>
      <c r="AI263" s="273"/>
      <c r="AJ263" s="175">
        <f>SUM(AJ260:AJ262)</f>
        <v>0</v>
      </c>
      <c r="AK263" s="175">
        <f>SUM(AK260:AK262)</f>
        <v>0</v>
      </c>
      <c r="AL263" s="175">
        <f>SUM(AL260:AL262)</f>
        <v>0</v>
      </c>
      <c r="AM263" s="175">
        <f>SUM(AM260:AM262)</f>
        <v>0</v>
      </c>
      <c r="AN263" s="175">
        <f>SUM(AN260:AN262)</f>
        <v>0</v>
      </c>
      <c r="AO263" s="274"/>
      <c r="AP263" s="254"/>
      <c r="AQ263" s="175">
        <f t="shared" ref="AQ263:AT263" si="175">SUM(AQ260:AQ262)</f>
        <v>705801.60000000009</v>
      </c>
      <c r="AR263" s="175">
        <f t="shared" si="175"/>
        <v>160894000</v>
      </c>
      <c r="AS263" s="175">
        <f t="shared" si="175"/>
        <v>0</v>
      </c>
      <c r="AT263" s="175">
        <f t="shared" si="175"/>
        <v>161599801.59999996</v>
      </c>
      <c r="AU263" s="175">
        <f t="shared" ref="AU263:BB263" si="176">SUM(AU260:AU262)</f>
        <v>705801.60000000009</v>
      </c>
      <c r="AV263" s="175">
        <f t="shared" si="176"/>
        <v>0</v>
      </c>
      <c r="AW263" s="175">
        <f t="shared" si="176"/>
        <v>0</v>
      </c>
      <c r="AX263" s="175">
        <f t="shared" si="176"/>
        <v>0</v>
      </c>
      <c r="AY263" s="175">
        <f t="shared" si="176"/>
        <v>0</v>
      </c>
      <c r="AZ263" s="175">
        <f t="shared" si="176"/>
        <v>0</v>
      </c>
      <c r="BA263" s="175">
        <f t="shared" si="176"/>
        <v>0</v>
      </c>
      <c r="BB263" s="175">
        <f t="shared" si="176"/>
        <v>-160894000</v>
      </c>
      <c r="BC263" s="169"/>
      <c r="BD263" s="169"/>
      <c r="BE263" s="169"/>
      <c r="BF263" s="169"/>
    </row>
    <row r="264" spans="1:58" ht="78.75" x14ac:dyDescent="0.25">
      <c r="A264" s="172"/>
      <c r="B264" s="357"/>
      <c r="C264" s="359"/>
      <c r="D264" s="343"/>
      <c r="E264" s="328"/>
      <c r="F264" s="328"/>
      <c r="G264" s="328"/>
      <c r="H264" s="199" t="s">
        <v>553</v>
      </c>
      <c r="I264" s="178" t="s">
        <v>3</v>
      </c>
      <c r="J264" s="174">
        <v>2</v>
      </c>
      <c r="K264" s="174">
        <v>2</v>
      </c>
      <c r="L264" s="125">
        <f>IF(I264&lt;&gt;0,((VLOOKUP(I264,'1. Standard_Cost'!$B$4:$D$11,2)+VLOOKUP(I264,'1. Standard_Cost'!$B$4:$D$11,3))*J264*K264),"0")</f>
        <v>403200</v>
      </c>
      <c r="M264" s="125">
        <f>L264*'1. Standard_Cost'!$F$4</f>
        <v>67334.400000000009</v>
      </c>
      <c r="N264" s="174"/>
      <c r="O264" s="174"/>
      <c r="P264" s="174"/>
      <c r="Q264" s="174"/>
      <c r="R264" s="127">
        <f>'1. Standard_Cost'!$B$15*N264*P264</f>
        <v>0</v>
      </c>
      <c r="S264" s="127">
        <f>N264*O264*P264*'1. Standard_Cost'!$C$15</f>
        <v>0</v>
      </c>
      <c r="T264" s="127">
        <f>N264*P264*Q264*'1. Standard_Cost'!$D$15</f>
        <v>0</v>
      </c>
      <c r="U264" s="127">
        <f>N264*O264*'1. Standard_Cost'!$E$15</f>
        <v>0</v>
      </c>
      <c r="V264" s="174"/>
      <c r="W264" s="174"/>
      <c r="X264" s="174"/>
      <c r="Y264" s="127">
        <f>+V264*((X264*'1. Standard_Cost'!$B$19)+(W264*X264*'1. Standard_Cost'!$C$19))</f>
        <v>0</v>
      </c>
      <c r="Z264" s="174"/>
      <c r="AA264" s="174"/>
      <c r="AB264" s="127">
        <f>+Z264*'1. Standard_Cost'!$B$23+AA264*'1. Standard_Cost'!$C$23</f>
        <v>0</v>
      </c>
      <c r="AC264" s="176"/>
      <c r="AD264" s="177">
        <f>369000000*25%</f>
        <v>92250000</v>
      </c>
      <c r="AE264" s="127">
        <f>SUM(AD264,AC264,AB264,Y264,U264,T264,S264,R264)*'1. Standard_Cost'!$B$31</f>
        <v>18450000</v>
      </c>
      <c r="AF264" s="127">
        <f>SUM(AE264,AD264,AC264,AB264,Y264,U264,T264,S264,R264)</f>
        <v>110700000</v>
      </c>
      <c r="AG264" s="174"/>
      <c r="AH264" s="174"/>
      <c r="AI264" s="174"/>
      <c r="AJ264" s="178"/>
      <c r="AK264" s="178"/>
      <c r="AL264" s="178"/>
      <c r="AM264" s="127">
        <f>AG264*'1. Standard_Cost'!$B$27+'Incremental_Cost Year 7'!AH264*'1. Standard_Cost'!$C$27+'Incremental_Cost Year 7'!AI264*'1. Standard_Cost'!$D$27+'Incremental_Cost Year 7'!AJ264+'Incremental_Cost Year 7'!AL264+AK264</f>
        <v>0</v>
      </c>
      <c r="AN264" s="127">
        <f>AM264*'1. Standard_Cost'!$C$31</f>
        <v>0</v>
      </c>
      <c r="AO264" s="178"/>
      <c r="AP264" s="256"/>
      <c r="AQ264" s="171">
        <f>L264+M264</f>
        <v>470534.40000000002</v>
      </c>
      <c r="AR264" s="171">
        <f>AF264</f>
        <v>110700000</v>
      </c>
      <c r="AS264" s="171">
        <f>AM264+AN264</f>
        <v>0</v>
      </c>
      <c r="AT264" s="171">
        <f>SUM(AQ264,AR264,AS264)</f>
        <v>111170534.40000001</v>
      </c>
      <c r="AU264" s="250">
        <v>470534</v>
      </c>
      <c r="AV264" s="250"/>
      <c r="AW264" s="250"/>
      <c r="AX264" s="250"/>
      <c r="AY264" s="250"/>
      <c r="AZ264" s="250"/>
      <c r="BA264" s="250"/>
      <c r="BB264" s="251">
        <f t="shared" ref="BB264:BB267" si="177">SUM(AU264:BA264)-AT264</f>
        <v>-110700000.40000001</v>
      </c>
      <c r="BC264" s="169"/>
      <c r="BD264" s="169"/>
      <c r="BE264" s="169"/>
      <c r="BF264" s="169"/>
    </row>
    <row r="265" spans="1:58" ht="63" x14ac:dyDescent="0.25">
      <c r="A265" s="172"/>
      <c r="B265" s="357"/>
      <c r="C265" s="359"/>
      <c r="D265" s="343"/>
      <c r="E265" s="328"/>
      <c r="F265" s="328"/>
      <c r="G265" s="328"/>
      <c r="H265" s="199" t="s">
        <v>339</v>
      </c>
      <c r="I265" s="178"/>
      <c r="J265" s="174"/>
      <c r="K265" s="174"/>
      <c r="L265" s="125" t="str">
        <f>IF(I265&lt;&gt;0,((VLOOKUP(I265,'1. Standard_Cost'!$B$4:$D$11,2)+VLOOKUP(I265,'1. Standard_Cost'!$B$4:$D$11,3))*J265*K265),"0")</f>
        <v>0</v>
      </c>
      <c r="M265" s="125">
        <f>L265*'1. Standard_Cost'!$F$4</f>
        <v>0</v>
      </c>
      <c r="N265" s="174"/>
      <c r="O265" s="174"/>
      <c r="P265" s="174"/>
      <c r="Q265" s="174"/>
      <c r="R265" s="127">
        <f>'1. Standard_Cost'!$B$15*N265*P265</f>
        <v>0</v>
      </c>
      <c r="S265" s="127">
        <f>N265*O265*P265*'1. Standard_Cost'!$C$15</f>
        <v>0</v>
      </c>
      <c r="T265" s="127">
        <f>N265*P265*Q265*'1. Standard_Cost'!$D$15</f>
        <v>0</v>
      </c>
      <c r="U265" s="127">
        <f>N265*O265*'1. Standard_Cost'!$E$15</f>
        <v>0</v>
      </c>
      <c r="V265" s="174"/>
      <c r="W265" s="174"/>
      <c r="X265" s="174"/>
      <c r="Y265" s="127">
        <f>+V265*((X265*'1. Standard_Cost'!$B$19)+(W265*X265*'1. Standard_Cost'!$C$19))</f>
        <v>0</v>
      </c>
      <c r="Z265" s="174"/>
      <c r="AA265" s="174"/>
      <c r="AB265" s="127">
        <f>+Z265*'1. Standard_Cost'!$B$23+AA265*'1. Standard_Cost'!$C$23</f>
        <v>0</v>
      </c>
      <c r="AC265" s="176"/>
      <c r="AD265" s="177"/>
      <c r="AE265" s="127">
        <f>SUM(AD265,AC265,AB265,Y265,U265,T265,S265,R265)*'1. Standard_Cost'!$B$31</f>
        <v>0</v>
      </c>
      <c r="AF265" s="127">
        <f>SUM(AE265,AD265,AC265,AB265,Y265,U265,T265,S265,R265)</f>
        <v>0</v>
      </c>
      <c r="AG265" s="174"/>
      <c r="AH265" s="174"/>
      <c r="AI265" s="174"/>
      <c r="AJ265" s="178"/>
      <c r="AK265" s="178"/>
      <c r="AL265" s="178"/>
      <c r="AM265" s="127">
        <f>AG265*'1. Standard_Cost'!$B$27+'Incremental_Cost Year 7'!AH265*'1. Standard_Cost'!$C$27+'Incremental_Cost Year 7'!AI265*'1. Standard_Cost'!$D$27+'Incremental_Cost Year 7'!AJ265+'Incremental_Cost Year 7'!AL265+AK265</f>
        <v>0</v>
      </c>
      <c r="AN265" s="127">
        <f>AM265*'1. Standard_Cost'!$C$31</f>
        <v>0</v>
      </c>
      <c r="AO265" s="178"/>
      <c r="AP265" s="256"/>
      <c r="AQ265" s="171">
        <f>L265+M265</f>
        <v>0</v>
      </c>
      <c r="AR265" s="171">
        <f>AF265</f>
        <v>0</v>
      </c>
      <c r="AS265" s="171">
        <f>AM265+AN265</f>
        <v>0</v>
      </c>
      <c r="AT265" s="171">
        <f>SUM(AQ265,AR265,AS265)</f>
        <v>0</v>
      </c>
      <c r="AU265" s="250"/>
      <c r="AV265" s="250"/>
      <c r="AW265" s="250"/>
      <c r="AX265" s="250"/>
      <c r="AY265" s="250"/>
      <c r="AZ265" s="250"/>
      <c r="BA265" s="250"/>
      <c r="BB265" s="251">
        <f t="shared" si="177"/>
        <v>0</v>
      </c>
      <c r="BC265" s="169"/>
      <c r="BD265" s="169"/>
      <c r="BE265" s="169"/>
      <c r="BF265" s="169"/>
    </row>
    <row r="266" spans="1:58" ht="94.5" x14ac:dyDescent="0.25">
      <c r="A266" s="172"/>
      <c r="B266" s="357"/>
      <c r="C266" s="359"/>
      <c r="D266" s="343"/>
      <c r="E266" s="328"/>
      <c r="F266" s="328"/>
      <c r="G266" s="328"/>
      <c r="H266" s="199" t="s">
        <v>362</v>
      </c>
      <c r="I266" s="178" t="s">
        <v>5</v>
      </c>
      <c r="J266" s="174">
        <v>12</v>
      </c>
      <c r="K266" s="174">
        <v>26</v>
      </c>
      <c r="L266" s="125">
        <f>IF(I266&lt;&gt;0,((VLOOKUP(I266,'1. Standard_Cost'!$B$4:$D$11,2)+VLOOKUP(I266,'1. Standard_Cost'!$B$4:$D$11,3))*J266*K266),"0")</f>
        <v>22058400</v>
      </c>
      <c r="M266" s="125">
        <f>L266*'1. Standard_Cost'!$F$4</f>
        <v>3683752.8000000003</v>
      </c>
      <c r="N266" s="174"/>
      <c r="O266" s="174"/>
      <c r="P266" s="174"/>
      <c r="Q266" s="174"/>
      <c r="R266" s="127">
        <f>'1. Standard_Cost'!$B$15*N266*P266</f>
        <v>0</v>
      </c>
      <c r="S266" s="127">
        <f>N266*O266*P266*'1. Standard_Cost'!$C$15</f>
        <v>0</v>
      </c>
      <c r="T266" s="127">
        <f>N266*P266*Q266*'1. Standard_Cost'!$D$15</f>
        <v>0</v>
      </c>
      <c r="U266" s="127">
        <f>N266*O266*'1. Standard_Cost'!$E$15</f>
        <v>0</v>
      </c>
      <c r="V266" s="174"/>
      <c r="W266" s="174"/>
      <c r="X266" s="174"/>
      <c r="Y266" s="127">
        <f>+V266*((X266*'1. Standard_Cost'!$B$19)+(W266*X266*'1. Standard_Cost'!$C$19))</f>
        <v>0</v>
      </c>
      <c r="Z266" s="174"/>
      <c r="AA266" s="174"/>
      <c r="AB266" s="127">
        <f>+Z266*'1. Standard_Cost'!$B$23+AA266*'1. Standard_Cost'!$C$23</f>
        <v>0</v>
      </c>
      <c r="AC266" s="176">
        <v>25655000</v>
      </c>
      <c r="AD266" s="177"/>
      <c r="AE266" s="127"/>
      <c r="AF266" s="127">
        <f>SUM(AE266,AD266,AC266,AB266,Y266,U266,T266,S266,R266)</f>
        <v>25655000</v>
      </c>
      <c r="AG266" s="174"/>
      <c r="AH266" s="174"/>
      <c r="AI266" s="174"/>
      <c r="AJ266" s="178"/>
      <c r="AK266" s="178"/>
      <c r="AL266" s="178"/>
      <c r="AM266" s="127">
        <f>AG266*'1. Standard_Cost'!$B$27+'Incremental_Cost Year 7'!AH266*'1. Standard_Cost'!$C$27+'Incremental_Cost Year 7'!AI266*'1. Standard_Cost'!$D$27+'Incremental_Cost Year 7'!AJ266+'Incremental_Cost Year 7'!AL266+AK266</f>
        <v>0</v>
      </c>
      <c r="AN266" s="127">
        <f>AM266*'1. Standard_Cost'!$C$31</f>
        <v>0</v>
      </c>
      <c r="AO266" s="178"/>
      <c r="AP266" s="256"/>
      <c r="AQ266" s="171">
        <f>L266+M266</f>
        <v>25742152.800000001</v>
      </c>
      <c r="AR266" s="171">
        <f>AF266</f>
        <v>25655000</v>
      </c>
      <c r="AS266" s="171">
        <f>AM266+AN266</f>
        <v>0</v>
      </c>
      <c r="AT266" s="171">
        <f>SUM(AQ266,AR266,AS266)</f>
        <v>51397152.799999997</v>
      </c>
      <c r="AU266" s="250">
        <f>AT266</f>
        <v>51397152.799999997</v>
      </c>
      <c r="AV266" s="250"/>
      <c r="AW266" s="250"/>
      <c r="AX266" s="250"/>
      <c r="AY266" s="250"/>
      <c r="AZ266" s="250"/>
      <c r="BA266" s="250"/>
      <c r="BB266" s="251">
        <f t="shared" si="177"/>
        <v>0</v>
      </c>
      <c r="BC266" s="169"/>
      <c r="BD266" s="169"/>
      <c r="BE266" s="169"/>
      <c r="BF266" s="169"/>
    </row>
    <row r="267" spans="1:58" ht="47.25" x14ac:dyDescent="0.25">
      <c r="A267" s="172"/>
      <c r="B267" s="360"/>
      <c r="C267" s="362"/>
      <c r="D267" s="344"/>
      <c r="E267" s="328"/>
      <c r="F267" s="328"/>
      <c r="G267" s="328"/>
      <c r="H267" s="199" t="s">
        <v>554</v>
      </c>
      <c r="I267" s="178"/>
      <c r="J267" s="174"/>
      <c r="K267" s="174"/>
      <c r="L267" s="125" t="str">
        <f>IF(I267&lt;&gt;0,((VLOOKUP(I267,'1. Standard_Cost'!$B$4:$D$11,2)+VLOOKUP(I267,'1. Standard_Cost'!$B$4:$D$11,3))*J267*K267),"0")</f>
        <v>0</v>
      </c>
      <c r="M267" s="125">
        <f>L267*'1. Standard_Cost'!$F$4</f>
        <v>0</v>
      </c>
      <c r="N267" s="174"/>
      <c r="O267" s="174"/>
      <c r="P267" s="174"/>
      <c r="Q267" s="174"/>
      <c r="R267" s="127">
        <f>'1. Standard_Cost'!$B$15*N267*P267</f>
        <v>0</v>
      </c>
      <c r="S267" s="127">
        <f>N267*O267*P267*'1. Standard_Cost'!$C$15</f>
        <v>0</v>
      </c>
      <c r="T267" s="127">
        <f>N267*P267*Q267*'1. Standard_Cost'!$D$15</f>
        <v>0</v>
      </c>
      <c r="U267" s="127">
        <f>N267*O267*'1. Standard_Cost'!$E$15</f>
        <v>0</v>
      </c>
      <c r="V267" s="174"/>
      <c r="W267" s="174"/>
      <c r="X267" s="174"/>
      <c r="Y267" s="127">
        <f>+V267*((X267*'1. Standard_Cost'!$B$19)+(W267*X267*'1. Standard_Cost'!$C$19))</f>
        <v>0</v>
      </c>
      <c r="Z267" s="174"/>
      <c r="AA267" s="174"/>
      <c r="AB267" s="127">
        <f>+Z267*'1. Standard_Cost'!$B$23+AA267*'1. Standard_Cost'!$C$23</f>
        <v>0</v>
      </c>
      <c r="AC267" s="176"/>
      <c r="AD267" s="177">
        <f>25%*369000000</f>
        <v>92250000</v>
      </c>
      <c r="AE267" s="127"/>
      <c r="AF267" s="127">
        <f>SUM(AE267,AD267,AC267,AB267,Y267,U267,T267,S267,R267)</f>
        <v>92250000</v>
      </c>
      <c r="AG267" s="174"/>
      <c r="AH267" s="174"/>
      <c r="AI267" s="174"/>
      <c r="AJ267" s="178"/>
      <c r="AK267" s="178"/>
      <c r="AL267" s="178"/>
      <c r="AM267" s="127">
        <f>AG267*'1. Standard_Cost'!$B$27+'Incremental_Cost Year 7'!AH267*'1. Standard_Cost'!$C$27+'Incremental_Cost Year 7'!AI267*'1. Standard_Cost'!$D$27+'Incremental_Cost Year 7'!AJ267+'Incremental_Cost Year 7'!AL267+AK267</f>
        <v>0</v>
      </c>
      <c r="AN267" s="127">
        <f>AM267*'1. Standard_Cost'!$C$31</f>
        <v>0</v>
      </c>
      <c r="AO267" s="178"/>
      <c r="AP267" s="256"/>
      <c r="AQ267" s="171">
        <f>L267+M267</f>
        <v>0</v>
      </c>
      <c r="AR267" s="171">
        <f>AF267</f>
        <v>92250000</v>
      </c>
      <c r="AS267" s="171">
        <f>AM267+AN267</f>
        <v>0</v>
      </c>
      <c r="AT267" s="171">
        <f>SUM(AQ267,AR267,AS267)</f>
        <v>92250000</v>
      </c>
      <c r="AU267" s="250"/>
      <c r="AV267" s="250"/>
      <c r="AW267" s="250"/>
      <c r="AX267" s="250"/>
      <c r="AY267" s="250"/>
      <c r="AZ267" s="250"/>
      <c r="BA267" s="250"/>
      <c r="BB267" s="251">
        <f t="shared" si="177"/>
        <v>-92250000</v>
      </c>
      <c r="BC267" s="169"/>
      <c r="BD267" s="169"/>
      <c r="BE267" s="169"/>
      <c r="BF267" s="169"/>
    </row>
    <row r="268" spans="1:58" ht="38.25" x14ac:dyDescent="0.25">
      <c r="A268" s="172"/>
      <c r="B268" s="168"/>
      <c r="C268" s="204"/>
      <c r="D268" s="344" t="s">
        <v>560</v>
      </c>
      <c r="E268" s="205" t="s">
        <v>340</v>
      </c>
      <c r="F268" s="205">
        <v>2021</v>
      </c>
      <c r="G268" s="205">
        <v>2030</v>
      </c>
      <c r="H268" s="182" t="s">
        <v>341</v>
      </c>
      <c r="I268" s="273"/>
      <c r="J268" s="273"/>
      <c r="K268" s="273"/>
      <c r="L268" s="175">
        <f>SUM(L264:L267)</f>
        <v>22461600</v>
      </c>
      <c r="M268" s="175">
        <f>SUM(M264:M267)</f>
        <v>3751087.2</v>
      </c>
      <c r="N268" s="273"/>
      <c r="O268" s="273"/>
      <c r="P268" s="273"/>
      <c r="Q268" s="273"/>
      <c r="R268" s="175">
        <f>SUM(R264:R267)</f>
        <v>0</v>
      </c>
      <c r="S268" s="175">
        <f>SUM(S264:S267)</f>
        <v>0</v>
      </c>
      <c r="T268" s="175">
        <f>SUM(T264:T267)</f>
        <v>0</v>
      </c>
      <c r="U268" s="175">
        <f>SUM(U264:U267)</f>
        <v>0</v>
      </c>
      <c r="V268" s="273"/>
      <c r="W268" s="273"/>
      <c r="X268" s="273"/>
      <c r="Y268" s="175">
        <f>SUM(Y264:Y267)</f>
        <v>0</v>
      </c>
      <c r="Z268" s="175"/>
      <c r="AA268" s="273"/>
      <c r="AB268" s="175">
        <f>SUM(AB264:AB267)</f>
        <v>0</v>
      </c>
      <c r="AC268" s="175">
        <f>SUM(AC264:AC267)</f>
        <v>25655000</v>
      </c>
      <c r="AD268" s="175">
        <f>SUM(AD264:AD267)</f>
        <v>184500000</v>
      </c>
      <c r="AE268" s="175">
        <f>SUM(AE264:AE267)</f>
        <v>18450000</v>
      </c>
      <c r="AF268" s="175">
        <f>SUM(AF264:AF267)</f>
        <v>228605000</v>
      </c>
      <c r="AG268" s="273"/>
      <c r="AH268" s="273"/>
      <c r="AI268" s="273"/>
      <c r="AJ268" s="175">
        <f>SUM(AJ264:AJ267)</f>
        <v>0</v>
      </c>
      <c r="AK268" s="175">
        <f>SUM(AK264:AK267)</f>
        <v>0</v>
      </c>
      <c r="AL268" s="175">
        <f>SUM(AL264:AL267)</f>
        <v>0</v>
      </c>
      <c r="AM268" s="175">
        <f>SUM(AM264:AM267)</f>
        <v>0</v>
      </c>
      <c r="AN268" s="175">
        <f>SUM(AN264:AN267)</f>
        <v>0</v>
      </c>
      <c r="AO268" s="274"/>
      <c r="AP268" s="254"/>
      <c r="AQ268" s="175">
        <f t="shared" ref="AQ268:AT268" si="178">SUM(AQ264:AQ267)</f>
        <v>26212687.199999999</v>
      </c>
      <c r="AR268" s="175">
        <f t="shared" si="178"/>
        <v>228605000</v>
      </c>
      <c r="AS268" s="175">
        <f t="shared" si="178"/>
        <v>0</v>
      </c>
      <c r="AT268" s="175">
        <f t="shared" si="178"/>
        <v>254817687.19999999</v>
      </c>
      <c r="AU268" s="175">
        <f t="shared" ref="AU268:BB268" si="179">SUM(AU264:AU267)</f>
        <v>51867686.799999997</v>
      </c>
      <c r="AV268" s="175">
        <f t="shared" si="179"/>
        <v>0</v>
      </c>
      <c r="AW268" s="175">
        <f t="shared" si="179"/>
        <v>0</v>
      </c>
      <c r="AX268" s="175">
        <f t="shared" si="179"/>
        <v>0</v>
      </c>
      <c r="AY268" s="175">
        <f t="shared" si="179"/>
        <v>0</v>
      </c>
      <c r="AZ268" s="175">
        <f t="shared" si="179"/>
        <v>0</v>
      </c>
      <c r="BA268" s="175">
        <f t="shared" si="179"/>
        <v>0</v>
      </c>
      <c r="BB268" s="175">
        <f t="shared" si="179"/>
        <v>-202950000.40000001</v>
      </c>
      <c r="BC268" s="169"/>
      <c r="BD268" s="169"/>
      <c r="BE268" s="169"/>
      <c r="BF268" s="169"/>
    </row>
    <row r="269" spans="1:58" ht="15.6" customHeight="1" x14ac:dyDescent="0.2">
      <c r="A269" s="179"/>
      <c r="B269" s="290"/>
      <c r="C269" s="391" t="s">
        <v>342</v>
      </c>
      <c r="D269" s="391"/>
      <c r="E269" s="392"/>
      <c r="F269" s="287"/>
      <c r="G269" s="289"/>
      <c r="H269" s="181" t="s">
        <v>343</v>
      </c>
      <c r="I269" s="271"/>
      <c r="J269" s="271"/>
      <c r="K269" s="271"/>
      <c r="L269" s="261">
        <f>L273+L276</f>
        <v>100800</v>
      </c>
      <c r="M269" s="261">
        <f>M273+M276</f>
        <v>16833.600000000002</v>
      </c>
      <c r="N269" s="271"/>
      <c r="O269" s="271"/>
      <c r="P269" s="271"/>
      <c r="Q269" s="271"/>
      <c r="R269" s="261">
        <f>R273+R276</f>
        <v>0</v>
      </c>
      <c r="S269" s="261">
        <f>S273+S276</f>
        <v>0</v>
      </c>
      <c r="T269" s="261">
        <f>T273+T276</f>
        <v>0</v>
      </c>
      <c r="U269" s="261">
        <f>U273+U276</f>
        <v>0</v>
      </c>
      <c r="V269" s="271"/>
      <c r="W269" s="271"/>
      <c r="X269" s="271"/>
      <c r="Y269" s="261">
        <f>Y273+Y276</f>
        <v>0</v>
      </c>
      <c r="Z269" s="261"/>
      <c r="AA269" s="261"/>
      <c r="AB269" s="261">
        <f>AB273+AB276</f>
        <v>380000</v>
      </c>
      <c r="AC269" s="261">
        <f>AC273+AC276</f>
        <v>6000</v>
      </c>
      <c r="AD269" s="261">
        <f>AD273+AD276</f>
        <v>0</v>
      </c>
      <c r="AE269" s="261">
        <f>AE273+AE276</f>
        <v>77200</v>
      </c>
      <c r="AF269" s="261">
        <f>AF273+AF276</f>
        <v>463200</v>
      </c>
      <c r="AG269" s="271"/>
      <c r="AH269" s="271"/>
      <c r="AI269" s="271"/>
      <c r="AJ269" s="261">
        <f>AJ273+AJ276</f>
        <v>0</v>
      </c>
      <c r="AK269" s="261">
        <f>AK273+AK276</f>
        <v>0</v>
      </c>
      <c r="AL269" s="261">
        <f>AL273+AL276</f>
        <v>0</v>
      </c>
      <c r="AM269" s="261">
        <f>AM273+AM276</f>
        <v>0</v>
      </c>
      <c r="AN269" s="261">
        <f>AN273+AN276</f>
        <v>0</v>
      </c>
      <c r="AO269" s="272"/>
      <c r="AP269" s="260"/>
      <c r="AQ269" s="261">
        <f t="shared" ref="AQ269:BB269" si="180">AQ273+AQ276</f>
        <v>117633.60000000001</v>
      </c>
      <c r="AR269" s="261">
        <f t="shared" si="180"/>
        <v>463200</v>
      </c>
      <c r="AS269" s="261">
        <f t="shared" si="180"/>
        <v>0</v>
      </c>
      <c r="AT269" s="261">
        <f t="shared" si="180"/>
        <v>580833.6</v>
      </c>
      <c r="AU269" s="261">
        <f t="shared" si="180"/>
        <v>117633.60000000001</v>
      </c>
      <c r="AV269" s="261">
        <f t="shared" si="180"/>
        <v>0</v>
      </c>
      <c r="AW269" s="261">
        <f t="shared" si="180"/>
        <v>0</v>
      </c>
      <c r="AX269" s="261">
        <f t="shared" si="180"/>
        <v>0</v>
      </c>
      <c r="AY269" s="261">
        <f t="shared" si="180"/>
        <v>0</v>
      </c>
      <c r="AZ269" s="261">
        <f t="shared" si="180"/>
        <v>0</v>
      </c>
      <c r="BA269" s="261">
        <f t="shared" si="180"/>
        <v>0</v>
      </c>
      <c r="BB269" s="261">
        <f t="shared" si="180"/>
        <v>-463200</v>
      </c>
      <c r="BC269" s="184"/>
      <c r="BD269" s="184"/>
      <c r="BE269" s="184"/>
      <c r="BF269" s="184"/>
    </row>
    <row r="270" spans="1:58" ht="78.75" x14ac:dyDescent="0.25">
      <c r="A270" s="172"/>
      <c r="B270" s="200"/>
      <c r="C270" s="201"/>
      <c r="D270" s="202"/>
      <c r="E270" s="354"/>
      <c r="F270" s="355"/>
      <c r="G270" s="356"/>
      <c r="H270" s="199" t="s">
        <v>344</v>
      </c>
      <c r="I270" s="178"/>
      <c r="J270" s="174"/>
      <c r="K270" s="174"/>
      <c r="L270" s="125" t="str">
        <f>IF(I270&lt;&gt;0,((VLOOKUP(I270,'1. Standard_Cost'!$B$4:$D$11,2)+VLOOKUP(I270,'1. Standard_Cost'!$B$4:$D$11,3))*J270*K270),"0")</f>
        <v>0</v>
      </c>
      <c r="M270" s="125">
        <f>L270*'1. Standard_Cost'!$F$4</f>
        <v>0</v>
      </c>
      <c r="N270" s="174"/>
      <c r="O270" s="174"/>
      <c r="P270" s="174"/>
      <c r="Q270" s="174"/>
      <c r="R270" s="127">
        <f>'1. Standard_Cost'!$B$15*N270*P270</f>
        <v>0</v>
      </c>
      <c r="S270" s="127">
        <f>N270*O270*P270*'1. Standard_Cost'!$C$15</f>
        <v>0</v>
      </c>
      <c r="T270" s="127">
        <f>N270*P270*Q270*'1. Standard_Cost'!$D$15</f>
        <v>0</v>
      </c>
      <c r="U270" s="127">
        <f>N270*O270*'1. Standard_Cost'!$E$15</f>
        <v>0</v>
      </c>
      <c r="V270" s="174"/>
      <c r="W270" s="174"/>
      <c r="X270" s="174"/>
      <c r="Y270" s="127">
        <f>+V270*((X270*'1. Standard_Cost'!$B$19)+(W270*X270*'1. Standard_Cost'!$C$19))</f>
        <v>0</v>
      </c>
      <c r="Z270" s="174"/>
      <c r="AA270" s="174"/>
      <c r="AB270" s="127">
        <f>+Z270*'1. Standard_Cost'!$B$23+AA270*'1. Standard_Cost'!$C$23</f>
        <v>0</v>
      </c>
      <c r="AC270" s="176"/>
      <c r="AD270" s="177"/>
      <c r="AE270" s="127">
        <f>SUM(AD270,AC270,AB270,Y270,U270,T270,S270,R270)*'1. Standard_Cost'!$B$31</f>
        <v>0</v>
      </c>
      <c r="AF270" s="127">
        <f>SUM(AE270,AD270,AC270,AB270,Y270,U270,T270,S270,R270)</f>
        <v>0</v>
      </c>
      <c r="AG270" s="174"/>
      <c r="AH270" s="174"/>
      <c r="AI270" s="174"/>
      <c r="AJ270" s="178"/>
      <c r="AK270" s="178"/>
      <c r="AL270" s="178"/>
      <c r="AM270" s="127">
        <f>AG270*'1. Standard_Cost'!$B$27+'Incremental_Cost Year 7'!AH270*'1. Standard_Cost'!$C$27+'Incremental_Cost Year 7'!AI270*'1. Standard_Cost'!$D$27+'Incremental_Cost Year 7'!AJ270+'Incremental_Cost Year 7'!AL270+AK270</f>
        <v>0</v>
      </c>
      <c r="AN270" s="127">
        <f>AM270*'1. Standard_Cost'!$C$31</f>
        <v>0</v>
      </c>
      <c r="AO270" s="178"/>
      <c r="AP270" s="256"/>
      <c r="AQ270" s="171">
        <f>L270+M270</f>
        <v>0</v>
      </c>
      <c r="AR270" s="171">
        <f>AF270</f>
        <v>0</v>
      </c>
      <c r="AS270" s="171">
        <f>AM270+AN270</f>
        <v>0</v>
      </c>
      <c r="AT270" s="171">
        <f>SUM(AQ270,AR270,AS270)</f>
        <v>0</v>
      </c>
      <c r="AU270" s="250">
        <f>AQ270</f>
        <v>0</v>
      </c>
      <c r="AV270" s="250"/>
      <c r="AW270" s="250"/>
      <c r="AX270" s="250"/>
      <c r="AY270" s="250"/>
      <c r="AZ270" s="250"/>
      <c r="BA270" s="250"/>
      <c r="BB270" s="251">
        <f t="shared" ref="BB270:BB272" si="181">SUM(AU270:BA270)-AT270</f>
        <v>0</v>
      </c>
      <c r="BC270" s="169"/>
      <c r="BD270" s="169"/>
      <c r="BE270" s="169"/>
      <c r="BF270" s="169"/>
    </row>
    <row r="271" spans="1:58" ht="63" x14ac:dyDescent="0.25">
      <c r="A271" s="172"/>
      <c r="B271" s="200"/>
      <c r="C271" s="201"/>
      <c r="D271" s="202"/>
      <c r="E271" s="357"/>
      <c r="F271" s="358"/>
      <c r="G271" s="359"/>
      <c r="H271" s="199" t="s">
        <v>345</v>
      </c>
      <c r="I271" s="178" t="s">
        <v>3</v>
      </c>
      <c r="J271" s="174">
        <v>1</v>
      </c>
      <c r="K271" s="174">
        <v>1</v>
      </c>
      <c r="L271" s="125">
        <f>IF(I271&lt;&gt;0,((VLOOKUP(I271,'1. Standard_Cost'!$B$4:$D$11,2)+VLOOKUP(I271,'1. Standard_Cost'!$B$4:$D$11,3))*J271*K271),"0")</f>
        <v>100800</v>
      </c>
      <c r="M271" s="125">
        <f>L271*'1. Standard_Cost'!$F$4</f>
        <v>16833.600000000002</v>
      </c>
      <c r="N271" s="174"/>
      <c r="O271" s="174"/>
      <c r="P271" s="174"/>
      <c r="Q271" s="174"/>
      <c r="R271" s="127">
        <f>'1. Standard_Cost'!$B$15*N271*P271</f>
        <v>0</v>
      </c>
      <c r="S271" s="127">
        <f>N271*O271*P271*'1. Standard_Cost'!$C$15</f>
        <v>0</v>
      </c>
      <c r="T271" s="127">
        <f>N271*P271*Q271*'1. Standard_Cost'!$D$15</f>
        <v>0</v>
      </c>
      <c r="U271" s="127">
        <f>N271*O271*'1. Standard_Cost'!$E$15</f>
        <v>0</v>
      </c>
      <c r="V271" s="174"/>
      <c r="W271" s="174"/>
      <c r="X271" s="174"/>
      <c r="Y271" s="127">
        <f>+V271*((X271*'1. Standard_Cost'!$B$19)+(W271*X271*'1. Standard_Cost'!$C$19))</f>
        <v>0</v>
      </c>
      <c r="Z271" s="174"/>
      <c r="AA271" s="174">
        <v>20</v>
      </c>
      <c r="AB271" s="127">
        <f>+Z271*'1. Standard_Cost'!$B$23+AA271*'1. Standard_Cost'!$C$23</f>
        <v>380000</v>
      </c>
      <c r="AC271" s="176">
        <f>20*300</f>
        <v>6000</v>
      </c>
      <c r="AD271" s="177"/>
      <c r="AE271" s="127">
        <f>SUM(AD271,AC271,AB271,Y271,U271,T271,S271,R271)*'1. Standard_Cost'!$B$31</f>
        <v>77200</v>
      </c>
      <c r="AF271" s="127">
        <f>SUM(AE271,AD271,AC271,AB271,Y271,U271,T271,S271,R271)</f>
        <v>463200</v>
      </c>
      <c r="AG271" s="174"/>
      <c r="AH271" s="174"/>
      <c r="AI271" s="174"/>
      <c r="AJ271" s="178"/>
      <c r="AK271" s="178"/>
      <c r="AL271" s="178"/>
      <c r="AM271" s="127">
        <f>AG271*'1. Standard_Cost'!$B$27+'Incremental_Cost Year 7'!AH271*'1. Standard_Cost'!$C$27+'Incremental_Cost Year 7'!AI271*'1. Standard_Cost'!$D$27+'Incremental_Cost Year 7'!AJ271+'Incremental_Cost Year 7'!AL271+AK271</f>
        <v>0</v>
      </c>
      <c r="AN271" s="127">
        <f>AM271*'1. Standard_Cost'!$C$31</f>
        <v>0</v>
      </c>
      <c r="AO271" s="178"/>
      <c r="AP271" s="256"/>
      <c r="AQ271" s="171">
        <f>L271+M271</f>
        <v>117633.60000000001</v>
      </c>
      <c r="AR271" s="171">
        <f>AF271</f>
        <v>463200</v>
      </c>
      <c r="AS271" s="171">
        <f>AM271+AN271</f>
        <v>0</v>
      </c>
      <c r="AT271" s="171">
        <f>SUM(AQ271,AR271,AS271)</f>
        <v>580833.6</v>
      </c>
      <c r="AU271" s="250">
        <f>AQ271</f>
        <v>117633.60000000001</v>
      </c>
      <c r="AV271" s="250"/>
      <c r="AW271" s="250"/>
      <c r="AX271" s="250"/>
      <c r="AY271" s="250"/>
      <c r="AZ271" s="250"/>
      <c r="BA271" s="250"/>
      <c r="BB271" s="251">
        <f t="shared" si="181"/>
        <v>-463200</v>
      </c>
      <c r="BC271" s="169"/>
      <c r="BD271" s="169"/>
      <c r="BE271" s="169"/>
      <c r="BF271" s="169"/>
    </row>
    <row r="272" spans="1:58" ht="63" x14ac:dyDescent="0.25">
      <c r="A272" s="172"/>
      <c r="B272" s="200"/>
      <c r="C272" s="201"/>
      <c r="D272" s="202"/>
      <c r="E272" s="360"/>
      <c r="F272" s="361"/>
      <c r="G272" s="362"/>
      <c r="H272" s="199" t="s">
        <v>346</v>
      </c>
      <c r="I272" s="178"/>
      <c r="J272" s="174"/>
      <c r="K272" s="174"/>
      <c r="L272" s="125" t="str">
        <f>IF(I272&lt;&gt;0,((VLOOKUP(I272,'1. Standard_Cost'!$B$4:$D$11,2)+VLOOKUP(I272,'1. Standard_Cost'!$B$4:$D$11,3))*J272*K272),"0")</f>
        <v>0</v>
      </c>
      <c r="M272" s="125">
        <f>L272*'1. Standard_Cost'!$F$4</f>
        <v>0</v>
      </c>
      <c r="N272" s="174"/>
      <c r="O272" s="174"/>
      <c r="P272" s="174"/>
      <c r="Q272" s="174"/>
      <c r="R272" s="127">
        <f>'1. Standard_Cost'!$B$15*N272*P272</f>
        <v>0</v>
      </c>
      <c r="S272" s="127">
        <f>N272*O272*P272*'1. Standard_Cost'!$C$15</f>
        <v>0</v>
      </c>
      <c r="T272" s="127">
        <f>N272*P272*Q272*'1. Standard_Cost'!$D$15</f>
        <v>0</v>
      </c>
      <c r="U272" s="127">
        <f>N272*O272*'1. Standard_Cost'!$E$15</f>
        <v>0</v>
      </c>
      <c r="V272" s="174"/>
      <c r="W272" s="174"/>
      <c r="X272" s="174"/>
      <c r="Y272" s="127">
        <f>+V272*((X272*'1. Standard_Cost'!$B$19)+(W272*X272*'1. Standard_Cost'!$C$19))</f>
        <v>0</v>
      </c>
      <c r="Z272" s="174"/>
      <c r="AA272" s="174"/>
      <c r="AB272" s="127">
        <f>+Z272*'1. Standard_Cost'!$B$23+AA272*'1. Standard_Cost'!$C$23</f>
        <v>0</v>
      </c>
      <c r="AC272" s="176"/>
      <c r="AD272" s="177"/>
      <c r="AE272" s="127">
        <f>SUM(AD272,AC272,AB272,Y272,U272,T272,S272,R272)*'1. Standard_Cost'!$B$31</f>
        <v>0</v>
      </c>
      <c r="AF272" s="127">
        <f>SUM(AE272,AD272,AC272,AB272,Y272,U272,T272,S272,R272)</f>
        <v>0</v>
      </c>
      <c r="AG272" s="174"/>
      <c r="AH272" s="174"/>
      <c r="AI272" s="174"/>
      <c r="AJ272" s="178"/>
      <c r="AK272" s="178"/>
      <c r="AL272" s="178"/>
      <c r="AM272" s="127">
        <f>AG272*'1. Standard_Cost'!$B$27+'Incremental_Cost Year 7'!AH272*'1. Standard_Cost'!$C$27+'Incremental_Cost Year 7'!AI272*'1. Standard_Cost'!$D$27+'Incremental_Cost Year 7'!AJ272+'Incremental_Cost Year 7'!AL272+AK272</f>
        <v>0</v>
      </c>
      <c r="AN272" s="127">
        <f>AM272*'1. Standard_Cost'!$C$31</f>
        <v>0</v>
      </c>
      <c r="AO272" s="178"/>
      <c r="AP272" s="256"/>
      <c r="AQ272" s="171">
        <f>L272+M272</f>
        <v>0</v>
      </c>
      <c r="AR272" s="171">
        <f>AF272</f>
        <v>0</v>
      </c>
      <c r="AS272" s="171">
        <f>AM272+AN272</f>
        <v>0</v>
      </c>
      <c r="AT272" s="171">
        <f>SUM(AQ272,AR272,AS272)</f>
        <v>0</v>
      </c>
      <c r="AU272" s="250"/>
      <c r="AV272" s="250"/>
      <c r="AW272" s="250"/>
      <c r="AX272" s="250"/>
      <c r="AY272" s="250"/>
      <c r="AZ272" s="250"/>
      <c r="BA272" s="250"/>
      <c r="BB272" s="251">
        <f t="shared" si="181"/>
        <v>0</v>
      </c>
      <c r="BC272" s="169"/>
      <c r="BD272" s="169"/>
      <c r="BE272" s="169"/>
      <c r="BF272" s="169"/>
    </row>
    <row r="273" spans="1:58" ht="63" x14ac:dyDescent="0.2">
      <c r="A273" s="172"/>
      <c r="B273" s="168"/>
      <c r="C273" s="204"/>
      <c r="D273" s="212" t="s">
        <v>559</v>
      </c>
      <c r="E273" s="212" t="s">
        <v>347</v>
      </c>
      <c r="F273" s="206">
        <v>2026</v>
      </c>
      <c r="G273" s="207">
        <v>2028</v>
      </c>
      <c r="H273" s="182" t="s">
        <v>348</v>
      </c>
      <c r="I273" s="273"/>
      <c r="J273" s="273"/>
      <c r="K273" s="273"/>
      <c r="L273" s="175">
        <f>SUM(L270:L272)</f>
        <v>100800</v>
      </c>
      <c r="M273" s="175">
        <f>SUM(M270:M272)</f>
        <v>16833.600000000002</v>
      </c>
      <c r="N273" s="273"/>
      <c r="O273" s="273"/>
      <c r="P273" s="273"/>
      <c r="Q273" s="273"/>
      <c r="R273" s="175">
        <f>SUM(R270:R272)</f>
        <v>0</v>
      </c>
      <c r="S273" s="175">
        <f>SUM(S270:S272)</f>
        <v>0</v>
      </c>
      <c r="T273" s="175">
        <f>SUM(T270:T272)</f>
        <v>0</v>
      </c>
      <c r="U273" s="175">
        <f>SUM(U270:U272)</f>
        <v>0</v>
      </c>
      <c r="V273" s="273"/>
      <c r="W273" s="273"/>
      <c r="X273" s="273"/>
      <c r="Y273" s="175">
        <f>SUM(Y270:Y272)</f>
        <v>0</v>
      </c>
      <c r="Z273" s="175"/>
      <c r="AA273" s="273"/>
      <c r="AB273" s="175">
        <f>SUM(AB270:AB272)</f>
        <v>380000</v>
      </c>
      <c r="AC273" s="175">
        <f>SUM(AC270:AC272)</f>
        <v>6000</v>
      </c>
      <c r="AD273" s="175">
        <f>SUM(AD270:AD272)</f>
        <v>0</v>
      </c>
      <c r="AE273" s="175">
        <f>SUM(AE270:AE272)</f>
        <v>77200</v>
      </c>
      <c r="AF273" s="175">
        <f>SUM(AF270:AF272)</f>
        <v>463200</v>
      </c>
      <c r="AG273" s="273"/>
      <c r="AH273" s="273"/>
      <c r="AI273" s="273"/>
      <c r="AJ273" s="175">
        <f>SUM(AJ270:AJ272)</f>
        <v>0</v>
      </c>
      <c r="AK273" s="175">
        <f>SUM(AK270:AK272)</f>
        <v>0</v>
      </c>
      <c r="AL273" s="175">
        <f>SUM(AL270:AL272)</f>
        <v>0</v>
      </c>
      <c r="AM273" s="175">
        <f>SUM(AM270:AM272)</f>
        <v>0</v>
      </c>
      <c r="AN273" s="175">
        <f>SUM(AN270:AN272)</f>
        <v>0</v>
      </c>
      <c r="AO273" s="274"/>
      <c r="AP273" s="254"/>
      <c r="AQ273" s="175">
        <f t="shared" ref="AQ273:AT273" si="182">SUM(AQ270:AQ272)</f>
        <v>117633.60000000001</v>
      </c>
      <c r="AR273" s="175">
        <f t="shared" si="182"/>
        <v>463200</v>
      </c>
      <c r="AS273" s="175">
        <f t="shared" si="182"/>
        <v>0</v>
      </c>
      <c r="AT273" s="175">
        <f t="shared" si="182"/>
        <v>580833.6</v>
      </c>
      <c r="AU273" s="175">
        <f t="shared" ref="AU273:BB273" si="183">SUM(AU270:AU272)</f>
        <v>117633.60000000001</v>
      </c>
      <c r="AV273" s="175">
        <f t="shared" si="183"/>
        <v>0</v>
      </c>
      <c r="AW273" s="175">
        <f t="shared" si="183"/>
        <v>0</v>
      </c>
      <c r="AX273" s="175">
        <f t="shared" si="183"/>
        <v>0</v>
      </c>
      <c r="AY273" s="175">
        <f t="shared" si="183"/>
        <v>0</v>
      </c>
      <c r="AZ273" s="175">
        <f t="shared" si="183"/>
        <v>0</v>
      </c>
      <c r="BA273" s="175">
        <f t="shared" si="183"/>
        <v>0</v>
      </c>
      <c r="BB273" s="175">
        <f t="shared" si="183"/>
        <v>-463200</v>
      </c>
      <c r="BC273" s="169"/>
      <c r="BD273" s="169"/>
      <c r="BE273" s="169"/>
      <c r="BF273" s="169"/>
    </row>
    <row r="274" spans="1:58" ht="78.75" x14ac:dyDescent="0.25">
      <c r="A274" s="172"/>
      <c r="B274" s="200"/>
      <c r="C274" s="201"/>
      <c r="D274" s="202"/>
      <c r="E274" s="354"/>
      <c r="F274" s="355"/>
      <c r="G274" s="356"/>
      <c r="H274" s="199" t="s">
        <v>349</v>
      </c>
      <c r="I274" s="178"/>
      <c r="J274" s="174"/>
      <c r="K274" s="174"/>
      <c r="L274" s="125" t="str">
        <f>IF(I274&lt;&gt;0,((VLOOKUP(I274,'1. Standard_Cost'!$B$4:$D$11,2)+VLOOKUP(I274,'1. Standard_Cost'!$B$4:$D$11,3))*J274*K274),"0")</f>
        <v>0</v>
      </c>
      <c r="M274" s="125">
        <f>L274*'1. Standard_Cost'!$F$4</f>
        <v>0</v>
      </c>
      <c r="N274" s="174"/>
      <c r="O274" s="174"/>
      <c r="P274" s="174"/>
      <c r="Q274" s="174"/>
      <c r="R274" s="127">
        <f>'1. Standard_Cost'!$B$15*N274*P274</f>
        <v>0</v>
      </c>
      <c r="S274" s="127">
        <f>N274*O274*P274*'1. Standard_Cost'!$C$15</f>
        <v>0</v>
      </c>
      <c r="T274" s="127">
        <f>N274*P274*Q274*'1. Standard_Cost'!$D$15</f>
        <v>0</v>
      </c>
      <c r="U274" s="127">
        <f>N274*O274*'1. Standard_Cost'!$E$15</f>
        <v>0</v>
      </c>
      <c r="V274" s="174"/>
      <c r="W274" s="174"/>
      <c r="X274" s="174"/>
      <c r="Y274" s="127">
        <f>+V274*((X274*'1. Standard_Cost'!$B$19)+(W274*X274*'1. Standard_Cost'!$C$19))</f>
        <v>0</v>
      </c>
      <c r="Z274" s="174"/>
      <c r="AA274" s="174"/>
      <c r="AB274" s="127">
        <f>+Z274*'1. Standard_Cost'!$B$23+AA274*'1. Standard_Cost'!$C$23</f>
        <v>0</v>
      </c>
      <c r="AC274" s="176"/>
      <c r="AD274" s="177"/>
      <c r="AE274" s="127">
        <f>SUM(AD274,AC274,AB274,Y274,U274,T274,S274,R274)*'1. Standard_Cost'!$B$31</f>
        <v>0</v>
      </c>
      <c r="AF274" s="127">
        <f>SUM(AE274,AD274,AC274,AB274,Y274,U274,T274,S274,R274)</f>
        <v>0</v>
      </c>
      <c r="AG274" s="174"/>
      <c r="AH274" s="174"/>
      <c r="AI274" s="174"/>
      <c r="AJ274" s="178"/>
      <c r="AK274" s="178"/>
      <c r="AL274" s="178"/>
      <c r="AM274" s="127">
        <f>AG274*'1. Standard_Cost'!$B$27+'Incremental_Cost Year 7'!AH274*'1. Standard_Cost'!$C$27+'Incremental_Cost Year 7'!AI274*'1. Standard_Cost'!$D$27+'Incremental_Cost Year 7'!AJ274+'Incremental_Cost Year 7'!AL274+AK274</f>
        <v>0</v>
      </c>
      <c r="AN274" s="127">
        <f>AM274*'1. Standard_Cost'!$C$31</f>
        <v>0</v>
      </c>
      <c r="AO274" s="178"/>
      <c r="AP274" s="256"/>
      <c r="AQ274" s="171">
        <f>L274+M274</f>
        <v>0</v>
      </c>
      <c r="AR274" s="171">
        <f>AF274</f>
        <v>0</v>
      </c>
      <c r="AS274" s="171">
        <f>AM274+AN274</f>
        <v>0</v>
      </c>
      <c r="AT274" s="171">
        <f>SUM(AQ274,AR274,AS274)</f>
        <v>0</v>
      </c>
      <c r="AU274" s="250">
        <f>AT274</f>
        <v>0</v>
      </c>
      <c r="AV274" s="250"/>
      <c r="AW274" s="250"/>
      <c r="AX274" s="250"/>
      <c r="AY274" s="250"/>
      <c r="AZ274" s="250"/>
      <c r="BA274" s="250"/>
      <c r="BB274" s="251">
        <f t="shared" ref="BB274:BB275" si="184">SUM(AU274:BA274)-AT274</f>
        <v>0</v>
      </c>
      <c r="BC274" s="169"/>
      <c r="BD274" s="169"/>
      <c r="BE274" s="169"/>
      <c r="BF274" s="169"/>
    </row>
    <row r="275" spans="1:58" ht="110.25" x14ac:dyDescent="0.25">
      <c r="A275" s="172"/>
      <c r="B275" s="200"/>
      <c r="C275" s="201"/>
      <c r="D275" s="202"/>
      <c r="E275" s="360"/>
      <c r="F275" s="361"/>
      <c r="G275" s="362"/>
      <c r="H275" s="199" t="s">
        <v>350</v>
      </c>
      <c r="I275" s="178"/>
      <c r="J275" s="174"/>
      <c r="K275" s="174"/>
      <c r="L275" s="125" t="str">
        <f>IF(I275&lt;&gt;0,((VLOOKUP(I275,'1. Standard_Cost'!$B$4:$D$11,2)+VLOOKUP(I275,'1. Standard_Cost'!$B$4:$D$11,3))*J275*K275),"0")</f>
        <v>0</v>
      </c>
      <c r="M275" s="125">
        <f>L275*'1. Standard_Cost'!$F$4</f>
        <v>0</v>
      </c>
      <c r="N275" s="174"/>
      <c r="O275" s="174"/>
      <c r="P275" s="174"/>
      <c r="Q275" s="174"/>
      <c r="R275" s="127">
        <f>'1. Standard_Cost'!$B$15*N275*P275</f>
        <v>0</v>
      </c>
      <c r="S275" s="127">
        <f>N275*O275*P275*'1. Standard_Cost'!$C$15</f>
        <v>0</v>
      </c>
      <c r="T275" s="127">
        <f>N275*P275*Q275*'1. Standard_Cost'!$D$15</f>
        <v>0</v>
      </c>
      <c r="U275" s="127">
        <f>N275*O275*'1. Standard_Cost'!$E$15</f>
        <v>0</v>
      </c>
      <c r="V275" s="174"/>
      <c r="W275" s="174"/>
      <c r="X275" s="174"/>
      <c r="Y275" s="127">
        <f>+V275*((X275*'1. Standard_Cost'!$B$19)+(W275*X275*'1. Standard_Cost'!$C$19))</f>
        <v>0</v>
      </c>
      <c r="Z275" s="174"/>
      <c r="AA275" s="174"/>
      <c r="AB275" s="127">
        <f>+Z275*'1. Standard_Cost'!$B$23+AA275*'1. Standard_Cost'!$C$23</f>
        <v>0</v>
      </c>
      <c r="AC275" s="176"/>
      <c r="AD275" s="177"/>
      <c r="AE275" s="127">
        <f>SUM(AD275,AC275,AB275,Y275,U275,T275,S275,R275)*'1. Standard_Cost'!$B$31</f>
        <v>0</v>
      </c>
      <c r="AF275" s="127">
        <f>SUM(AE275,AD275,AC275,AB275,Y275,U275,T275,S275,R275)</f>
        <v>0</v>
      </c>
      <c r="AG275" s="174"/>
      <c r="AH275" s="174"/>
      <c r="AI275" s="174"/>
      <c r="AJ275" s="178"/>
      <c r="AK275" s="178"/>
      <c r="AL275" s="178"/>
      <c r="AM275" s="127">
        <f>AG275*'1. Standard_Cost'!$B$27+'Incremental_Cost Year 7'!AH275*'1. Standard_Cost'!$C$27+'Incremental_Cost Year 7'!AI275*'1. Standard_Cost'!$D$27+'Incremental_Cost Year 7'!AJ275+'Incremental_Cost Year 7'!AL275+AK275</f>
        <v>0</v>
      </c>
      <c r="AN275" s="127">
        <f>AM275*'1. Standard_Cost'!$C$31</f>
        <v>0</v>
      </c>
      <c r="AO275" s="178"/>
      <c r="AP275" s="256"/>
      <c r="AQ275" s="171">
        <f>L275+M275</f>
        <v>0</v>
      </c>
      <c r="AR275" s="171">
        <f>AF275</f>
        <v>0</v>
      </c>
      <c r="AS275" s="171">
        <f>AM275+AN275</f>
        <v>0</v>
      </c>
      <c r="AT275" s="171">
        <f>SUM(AQ275,AR275,AS275)</f>
        <v>0</v>
      </c>
      <c r="AU275" s="250">
        <f>AQ275</f>
        <v>0</v>
      </c>
      <c r="AV275" s="250"/>
      <c r="AW275" s="250"/>
      <c r="AX275" s="250"/>
      <c r="AY275" s="250"/>
      <c r="AZ275" s="250"/>
      <c r="BA275" s="250"/>
      <c r="BB275" s="251">
        <f t="shared" si="184"/>
        <v>0</v>
      </c>
      <c r="BC275" s="169"/>
      <c r="BD275" s="169"/>
      <c r="BE275" s="169"/>
      <c r="BF275" s="169"/>
    </row>
    <row r="276" spans="1:58" ht="78.75" x14ac:dyDescent="0.2">
      <c r="A276" s="172"/>
      <c r="B276" s="168"/>
      <c r="C276" s="204"/>
      <c r="D276" s="212" t="s">
        <v>485</v>
      </c>
      <c r="E276" s="212" t="s">
        <v>351</v>
      </c>
      <c r="F276" s="206">
        <v>2022</v>
      </c>
      <c r="G276" s="207">
        <v>2025</v>
      </c>
      <c r="H276" s="182" t="s">
        <v>352</v>
      </c>
      <c r="I276" s="273"/>
      <c r="J276" s="273"/>
      <c r="K276" s="273"/>
      <c r="L276" s="175">
        <f>SUM(L274:L275)</f>
        <v>0</v>
      </c>
      <c r="M276" s="175">
        <f>SUM(M274:M275)</f>
        <v>0</v>
      </c>
      <c r="N276" s="273"/>
      <c r="O276" s="273"/>
      <c r="P276" s="273"/>
      <c r="Q276" s="273"/>
      <c r="R276" s="175">
        <f>SUM(R274:R275)</f>
        <v>0</v>
      </c>
      <c r="S276" s="175">
        <f>SUM(S274:S275)</f>
        <v>0</v>
      </c>
      <c r="T276" s="175">
        <f>SUM(T274:T275)</f>
        <v>0</v>
      </c>
      <c r="U276" s="175">
        <f>SUM(U274:U275)</f>
        <v>0</v>
      </c>
      <c r="V276" s="273"/>
      <c r="W276" s="273"/>
      <c r="X276" s="273"/>
      <c r="Y276" s="175">
        <f>SUM(Y274:Y275)</f>
        <v>0</v>
      </c>
      <c r="Z276" s="175"/>
      <c r="AA276" s="273"/>
      <c r="AB276" s="175">
        <f>SUM(AB274:AB275)</f>
        <v>0</v>
      </c>
      <c r="AC276" s="175">
        <f>SUM(AC274:AC275)</f>
        <v>0</v>
      </c>
      <c r="AD276" s="175">
        <f>SUM(AD274:AD275)</f>
        <v>0</v>
      </c>
      <c r="AE276" s="175">
        <f>SUM(AE274:AE275)</f>
        <v>0</v>
      </c>
      <c r="AF276" s="175">
        <f>SUM(AF274:AF275)</f>
        <v>0</v>
      </c>
      <c r="AG276" s="273"/>
      <c r="AH276" s="273"/>
      <c r="AI276" s="273"/>
      <c r="AJ276" s="175">
        <f>SUM(AJ274:AJ275)</f>
        <v>0</v>
      </c>
      <c r="AK276" s="175">
        <f>SUM(AK274:AK275)</f>
        <v>0</v>
      </c>
      <c r="AL276" s="175">
        <f>SUM(AL274:AL275)</f>
        <v>0</v>
      </c>
      <c r="AM276" s="175">
        <f>SUM(AM274:AM275)</f>
        <v>0</v>
      </c>
      <c r="AN276" s="175">
        <f>SUM(AN274:AN275)</f>
        <v>0</v>
      </c>
      <c r="AO276" s="274"/>
      <c r="AP276" s="254"/>
      <c r="AQ276" s="175">
        <f t="shared" ref="AQ276:AT276" si="185">SUM(AQ274:AQ275)</f>
        <v>0</v>
      </c>
      <c r="AR276" s="175">
        <f t="shared" si="185"/>
        <v>0</v>
      </c>
      <c r="AS276" s="175">
        <f t="shared" si="185"/>
        <v>0</v>
      </c>
      <c r="AT276" s="175">
        <f t="shared" si="185"/>
        <v>0</v>
      </c>
      <c r="AU276" s="175">
        <f t="shared" ref="AU276:BB276" si="186">SUM(AU274:AU275)</f>
        <v>0</v>
      </c>
      <c r="AV276" s="175">
        <f t="shared" si="186"/>
        <v>0</v>
      </c>
      <c r="AW276" s="175">
        <f t="shared" si="186"/>
        <v>0</v>
      </c>
      <c r="AX276" s="175">
        <f t="shared" si="186"/>
        <v>0</v>
      </c>
      <c r="AY276" s="175">
        <f t="shared" si="186"/>
        <v>0</v>
      </c>
      <c r="AZ276" s="175">
        <f t="shared" si="186"/>
        <v>0</v>
      </c>
      <c r="BA276" s="175">
        <f t="shared" si="186"/>
        <v>0</v>
      </c>
      <c r="BB276" s="175">
        <f t="shared" si="186"/>
        <v>0</v>
      </c>
      <c r="BC276" s="169"/>
      <c r="BD276" s="169"/>
      <c r="BE276" s="169"/>
      <c r="BF276" s="169"/>
    </row>
    <row r="277" spans="1:58" ht="15.6" customHeight="1" x14ac:dyDescent="0.2">
      <c r="A277" s="179"/>
      <c r="B277" s="290"/>
      <c r="C277" s="391" t="s">
        <v>353</v>
      </c>
      <c r="D277" s="391"/>
      <c r="E277" s="392"/>
      <c r="F277" s="287"/>
      <c r="G277" s="289"/>
      <c r="H277" s="181" t="s">
        <v>354</v>
      </c>
      <c r="I277" s="271"/>
      <c r="J277" s="271"/>
      <c r="K277" s="271"/>
      <c r="L277" s="261">
        <f>L283</f>
        <v>7660800</v>
      </c>
      <c r="M277" s="261">
        <f>M283</f>
        <v>1279353.6000000001</v>
      </c>
      <c r="N277" s="271"/>
      <c r="O277" s="271"/>
      <c r="P277" s="271"/>
      <c r="Q277" s="271"/>
      <c r="R277" s="261">
        <f>R283</f>
        <v>0</v>
      </c>
      <c r="S277" s="261">
        <f>S283</f>
        <v>0</v>
      </c>
      <c r="T277" s="261">
        <f>T283</f>
        <v>0</v>
      </c>
      <c r="U277" s="261">
        <f>U283</f>
        <v>0</v>
      </c>
      <c r="V277" s="271"/>
      <c r="W277" s="271"/>
      <c r="X277" s="271"/>
      <c r="Y277" s="261">
        <f>Y283</f>
        <v>0</v>
      </c>
      <c r="Z277" s="261"/>
      <c r="AA277" s="261"/>
      <c r="AB277" s="261">
        <f>AB283</f>
        <v>0</v>
      </c>
      <c r="AC277" s="261">
        <f>AC283</f>
        <v>0</v>
      </c>
      <c r="AD277" s="261">
        <f>AD283</f>
        <v>0</v>
      </c>
      <c r="AE277" s="261">
        <f>AE283</f>
        <v>0</v>
      </c>
      <c r="AF277" s="261">
        <f>AF283</f>
        <v>0</v>
      </c>
      <c r="AG277" s="271"/>
      <c r="AH277" s="271"/>
      <c r="AI277" s="271"/>
      <c r="AJ277" s="261">
        <f>AJ283</f>
        <v>0</v>
      </c>
      <c r="AK277" s="261">
        <f>AK283</f>
        <v>0</v>
      </c>
      <c r="AL277" s="261">
        <f>AL283</f>
        <v>0</v>
      </c>
      <c r="AM277" s="261">
        <f>AM283</f>
        <v>0</v>
      </c>
      <c r="AN277" s="261">
        <f>AN283</f>
        <v>0</v>
      </c>
      <c r="AO277" s="272"/>
      <c r="AP277" s="260"/>
      <c r="AQ277" s="261">
        <f t="shared" ref="AQ277:BB277" si="187">AQ283</f>
        <v>8940153.5999999996</v>
      </c>
      <c r="AR277" s="261">
        <f t="shared" si="187"/>
        <v>0</v>
      </c>
      <c r="AS277" s="261">
        <f t="shared" si="187"/>
        <v>0</v>
      </c>
      <c r="AT277" s="261">
        <f t="shared" si="187"/>
        <v>8940153.5999999996</v>
      </c>
      <c r="AU277" s="261">
        <f t="shared" si="187"/>
        <v>8940153.5999999996</v>
      </c>
      <c r="AV277" s="261">
        <f t="shared" si="187"/>
        <v>0</v>
      </c>
      <c r="AW277" s="261">
        <f t="shared" si="187"/>
        <v>0</v>
      </c>
      <c r="AX277" s="261">
        <f t="shared" si="187"/>
        <v>0</v>
      </c>
      <c r="AY277" s="261">
        <f t="shared" si="187"/>
        <v>0</v>
      </c>
      <c r="AZ277" s="261">
        <f t="shared" si="187"/>
        <v>0</v>
      </c>
      <c r="BA277" s="261">
        <f t="shared" si="187"/>
        <v>0</v>
      </c>
      <c r="BB277" s="261">
        <f t="shared" si="187"/>
        <v>0</v>
      </c>
      <c r="BC277" s="184"/>
      <c r="BD277" s="184"/>
      <c r="BE277" s="184"/>
      <c r="BF277" s="184"/>
    </row>
    <row r="278" spans="1:58" ht="47.25" x14ac:dyDescent="0.25">
      <c r="A278" s="172"/>
      <c r="B278" s="200"/>
      <c r="C278" s="201"/>
      <c r="D278" s="202"/>
      <c r="E278" s="354"/>
      <c r="F278" s="355"/>
      <c r="G278" s="356"/>
      <c r="H278" s="213" t="s">
        <v>363</v>
      </c>
      <c r="I278" s="178"/>
      <c r="J278" s="174"/>
      <c r="K278" s="174"/>
      <c r="L278" s="125" t="str">
        <f>IF(I278&lt;&gt;0,((VLOOKUP(I278,'1. Standard_Cost'!$B$4:$D$11,2)+VLOOKUP(I278,'1. Standard_Cost'!$B$4:$D$11,3))*J278*K278),"0")</f>
        <v>0</v>
      </c>
      <c r="M278" s="125">
        <f>L278*'1. Standard_Cost'!$F$4</f>
        <v>0</v>
      </c>
      <c r="N278" s="174"/>
      <c r="O278" s="174"/>
      <c r="P278" s="174"/>
      <c r="Q278" s="174"/>
      <c r="R278" s="127">
        <f>'1. Standard_Cost'!$B$15*N278*P278</f>
        <v>0</v>
      </c>
      <c r="S278" s="127">
        <f>N278*O278*P278*'1. Standard_Cost'!$C$15</f>
        <v>0</v>
      </c>
      <c r="T278" s="127">
        <f>N278*P278*Q278*'1. Standard_Cost'!$D$15</f>
        <v>0</v>
      </c>
      <c r="U278" s="127">
        <f>N278*O278*'1. Standard_Cost'!$E$15</f>
        <v>0</v>
      </c>
      <c r="V278" s="174"/>
      <c r="W278" s="174"/>
      <c r="X278" s="174"/>
      <c r="Y278" s="127">
        <f>+V278*((X278*'1. Standard_Cost'!$B$19)+(W278*X278*'1. Standard_Cost'!$C$19))</f>
        <v>0</v>
      </c>
      <c r="Z278" s="174"/>
      <c r="AA278" s="174"/>
      <c r="AB278" s="127">
        <f>+Z278*'1. Standard_Cost'!$B$23+AA278*'1. Standard_Cost'!$C$23</f>
        <v>0</v>
      </c>
      <c r="AC278" s="176"/>
      <c r="AD278" s="177"/>
      <c r="AE278" s="127">
        <f>SUM(AD278,AC278,AB278,Y278,U278,T278,S278,R278)*'1. Standard_Cost'!$B$31</f>
        <v>0</v>
      </c>
      <c r="AF278" s="127">
        <f>SUM(AE278,AD278,AC278,AB278,Y278,U278,T278,S278,R278)</f>
        <v>0</v>
      </c>
      <c r="AG278" s="174"/>
      <c r="AH278" s="174"/>
      <c r="AI278" s="174"/>
      <c r="AJ278" s="178"/>
      <c r="AK278" s="178"/>
      <c r="AL278" s="178"/>
      <c r="AM278" s="127">
        <f>AG278*'1. Standard_Cost'!$B$27+'Incremental_Cost Year 7'!AH278*'1. Standard_Cost'!$C$27+'Incremental_Cost Year 7'!AI278*'1. Standard_Cost'!$D$27+'Incremental_Cost Year 7'!AJ278+'Incremental_Cost Year 7'!AL278+AK278</f>
        <v>0</v>
      </c>
      <c r="AN278" s="127">
        <f>AM278*'1. Standard_Cost'!$C$31</f>
        <v>0</v>
      </c>
      <c r="AO278" s="178"/>
      <c r="AP278" s="256"/>
      <c r="AQ278" s="171">
        <f>L278+M278</f>
        <v>0</v>
      </c>
      <c r="AR278" s="171">
        <f>AF278</f>
        <v>0</v>
      </c>
      <c r="AS278" s="171">
        <f>AM278+AN278</f>
        <v>0</v>
      </c>
      <c r="AT278" s="171">
        <f>SUM(AQ278,AR278,AS278)</f>
        <v>0</v>
      </c>
      <c r="AU278" s="250">
        <f>AT278</f>
        <v>0</v>
      </c>
      <c r="AV278" s="250"/>
      <c r="AW278" s="250"/>
      <c r="AX278" s="250"/>
      <c r="AY278" s="250"/>
      <c r="AZ278" s="250"/>
      <c r="BA278" s="250"/>
      <c r="BB278" s="251">
        <f t="shared" ref="BB278:BB282" si="188">SUM(AU278:BA278)-AT278</f>
        <v>0</v>
      </c>
      <c r="BC278" s="169"/>
      <c r="BD278" s="169"/>
      <c r="BE278" s="169"/>
      <c r="BF278" s="169"/>
    </row>
    <row r="279" spans="1:58" ht="47.25" x14ac:dyDescent="0.25">
      <c r="A279" s="172"/>
      <c r="B279" s="200"/>
      <c r="C279" s="201"/>
      <c r="D279" s="202"/>
      <c r="E279" s="357"/>
      <c r="F279" s="358"/>
      <c r="G279" s="359"/>
      <c r="H279" s="213" t="s">
        <v>364</v>
      </c>
      <c r="I279" s="178"/>
      <c r="J279" s="174"/>
      <c r="K279" s="174"/>
      <c r="L279" s="125" t="str">
        <f>IF(I279&lt;&gt;0,((VLOOKUP(I279,'1. Standard_Cost'!$B$4:$D$11,2)+VLOOKUP(I279,'1. Standard_Cost'!$B$4:$D$11,3))*J279*K279),"0")</f>
        <v>0</v>
      </c>
      <c r="M279" s="125">
        <f>L279*'1. Standard_Cost'!$F$4</f>
        <v>0</v>
      </c>
      <c r="N279" s="174"/>
      <c r="O279" s="174"/>
      <c r="P279" s="174"/>
      <c r="Q279" s="174"/>
      <c r="R279" s="127">
        <f>'1. Standard_Cost'!$B$15*N279*P279</f>
        <v>0</v>
      </c>
      <c r="S279" s="127">
        <f>N279*O279*P279*'1. Standard_Cost'!$C$15</f>
        <v>0</v>
      </c>
      <c r="T279" s="127">
        <f>N279*P279*Q279*'1. Standard_Cost'!$D$15</f>
        <v>0</v>
      </c>
      <c r="U279" s="127">
        <f>N279*O279*'1. Standard_Cost'!$E$15</f>
        <v>0</v>
      </c>
      <c r="V279" s="174"/>
      <c r="W279" s="174"/>
      <c r="X279" s="174"/>
      <c r="Y279" s="127">
        <f>+V279*((X279*'1. Standard_Cost'!$B$19)+(W279*X279*'1. Standard_Cost'!$C$19))</f>
        <v>0</v>
      </c>
      <c r="Z279" s="174"/>
      <c r="AA279" s="174"/>
      <c r="AB279" s="127">
        <f>+Z279*'1. Standard_Cost'!$B$23+AA279*'1. Standard_Cost'!$C$23</f>
        <v>0</v>
      </c>
      <c r="AC279" s="176"/>
      <c r="AD279" s="177"/>
      <c r="AE279" s="127">
        <f>SUM(AD279,AC279,AB279,Y279,U279,T279,S279,R279)*'1. Standard_Cost'!$B$31</f>
        <v>0</v>
      </c>
      <c r="AF279" s="127">
        <f>SUM(AE279,AD279,AC279,AB279,Y279,U279,T279,S279,R279)</f>
        <v>0</v>
      </c>
      <c r="AG279" s="174"/>
      <c r="AH279" s="174"/>
      <c r="AI279" s="174"/>
      <c r="AJ279" s="178"/>
      <c r="AK279" s="178"/>
      <c r="AL279" s="178"/>
      <c r="AM279" s="127">
        <f>AG279*'1. Standard_Cost'!$B$27+'Incremental_Cost Year 7'!AH279*'1. Standard_Cost'!$C$27+'Incremental_Cost Year 7'!AI279*'1. Standard_Cost'!$D$27+'Incremental_Cost Year 7'!AJ279+'Incremental_Cost Year 7'!AL279+AK279</f>
        <v>0</v>
      </c>
      <c r="AN279" s="127">
        <f>AM279*'1. Standard_Cost'!$C$31</f>
        <v>0</v>
      </c>
      <c r="AO279" s="178"/>
      <c r="AP279" s="256"/>
      <c r="AQ279" s="171">
        <f>L279+M279</f>
        <v>0</v>
      </c>
      <c r="AR279" s="171">
        <f>AF279</f>
        <v>0</v>
      </c>
      <c r="AS279" s="171">
        <f>AM279+AN279</f>
        <v>0</v>
      </c>
      <c r="AT279" s="171">
        <f>SUM(AQ279,AR279,AS279)</f>
        <v>0</v>
      </c>
      <c r="AU279" s="250">
        <f>AT279</f>
        <v>0</v>
      </c>
      <c r="AV279" s="250"/>
      <c r="AW279" s="250"/>
      <c r="AX279" s="250"/>
      <c r="AY279" s="250"/>
      <c r="AZ279" s="250"/>
      <c r="BA279" s="250"/>
      <c r="BB279" s="251">
        <f t="shared" si="188"/>
        <v>0</v>
      </c>
      <c r="BC279" s="169"/>
      <c r="BD279" s="169"/>
      <c r="BE279" s="169"/>
      <c r="BF279" s="169"/>
    </row>
    <row r="280" spans="1:58" ht="31.5" x14ac:dyDescent="0.25">
      <c r="A280" s="172"/>
      <c r="B280" s="200"/>
      <c r="C280" s="201"/>
      <c r="D280" s="202"/>
      <c r="E280" s="357"/>
      <c r="F280" s="358"/>
      <c r="G280" s="359"/>
      <c r="H280" s="213" t="s">
        <v>365</v>
      </c>
      <c r="I280" s="178" t="s">
        <v>3</v>
      </c>
      <c r="J280" s="174">
        <v>2</v>
      </c>
      <c r="K280" s="174">
        <v>20</v>
      </c>
      <c r="L280" s="125">
        <f>IF(I280&lt;&gt;0,((VLOOKUP(I280,'1. Standard_Cost'!$B$4:$D$11,2)+VLOOKUP(I280,'1. Standard_Cost'!$B$4:$D$11,3))*J280*K280),"0")</f>
        <v>4032000</v>
      </c>
      <c r="M280" s="125">
        <f>L280*'1. Standard_Cost'!$F$4</f>
        <v>673344</v>
      </c>
      <c r="N280" s="174"/>
      <c r="O280" s="174"/>
      <c r="P280" s="174"/>
      <c r="Q280" s="174"/>
      <c r="R280" s="127">
        <f>'1. Standard_Cost'!$B$15*N280*P280</f>
        <v>0</v>
      </c>
      <c r="S280" s="127">
        <f>N280*O280*P280*'1. Standard_Cost'!$C$15</f>
        <v>0</v>
      </c>
      <c r="T280" s="127">
        <f>N280*P280*Q280*'1. Standard_Cost'!$D$15</f>
        <v>0</v>
      </c>
      <c r="U280" s="127">
        <f>N280*O280*'1. Standard_Cost'!$E$15</f>
        <v>0</v>
      </c>
      <c r="V280" s="174"/>
      <c r="W280" s="174"/>
      <c r="X280" s="174"/>
      <c r="Y280" s="127">
        <f>+V280*((X280*'1. Standard_Cost'!$B$19)+(W280*X280*'1. Standard_Cost'!$C$19))</f>
        <v>0</v>
      </c>
      <c r="Z280" s="174"/>
      <c r="AA280" s="174"/>
      <c r="AB280" s="127">
        <f>+Z280*'1. Standard_Cost'!$B$23+AA280*'1. Standard_Cost'!$C$23</f>
        <v>0</v>
      </c>
      <c r="AC280" s="176"/>
      <c r="AD280" s="177"/>
      <c r="AE280" s="127">
        <f>SUM(AD280,AC280,AB280,Y280,U280,T280,S280,R280)*'1. Standard_Cost'!$B$31</f>
        <v>0</v>
      </c>
      <c r="AF280" s="127">
        <f>SUM(AE280,AD280,AC280,AB280,Y280,U280,T280,S280,R280)</f>
        <v>0</v>
      </c>
      <c r="AG280" s="174"/>
      <c r="AH280" s="174"/>
      <c r="AI280" s="174"/>
      <c r="AJ280" s="178"/>
      <c r="AK280" s="178"/>
      <c r="AL280" s="178"/>
      <c r="AM280" s="127">
        <f>AG280*'1. Standard_Cost'!$B$27+'Incremental_Cost Year 7'!AH280*'1. Standard_Cost'!$C$27+'Incremental_Cost Year 7'!AI280*'1. Standard_Cost'!$D$27+'Incremental_Cost Year 7'!AJ280+'Incremental_Cost Year 7'!AL280+AK280</f>
        <v>0</v>
      </c>
      <c r="AN280" s="127">
        <f>AM280*'1. Standard_Cost'!$C$31</f>
        <v>0</v>
      </c>
      <c r="AO280" s="178"/>
      <c r="AP280" s="256"/>
      <c r="AQ280" s="171">
        <f>L280+M280</f>
        <v>4705344</v>
      </c>
      <c r="AR280" s="171">
        <f>AF280</f>
        <v>0</v>
      </c>
      <c r="AS280" s="171">
        <f>AM280+AN280</f>
        <v>0</v>
      </c>
      <c r="AT280" s="171">
        <f>SUM(AQ280,AR280,AS280)</f>
        <v>4705344</v>
      </c>
      <c r="AU280" s="250">
        <f>AQ280</f>
        <v>4705344</v>
      </c>
      <c r="AV280" s="250"/>
      <c r="AW280" s="250"/>
      <c r="AX280" s="250"/>
      <c r="AY280" s="250"/>
      <c r="AZ280" s="250"/>
      <c r="BA280" s="250"/>
      <c r="BB280" s="251">
        <f t="shared" si="188"/>
        <v>0</v>
      </c>
      <c r="BC280" s="169"/>
      <c r="BD280" s="169"/>
      <c r="BE280" s="169"/>
      <c r="BF280" s="169"/>
    </row>
    <row r="281" spans="1:58" ht="15.75" x14ac:dyDescent="0.25">
      <c r="A281" s="172"/>
      <c r="B281" s="200"/>
      <c r="C281" s="201"/>
      <c r="D281" s="202"/>
      <c r="E281" s="357"/>
      <c r="F281" s="358"/>
      <c r="G281" s="359"/>
      <c r="H281" s="369"/>
      <c r="I281" s="178"/>
      <c r="J281" s="174"/>
      <c r="K281" s="174"/>
      <c r="L281" s="125" t="str">
        <f>IF(I281&lt;&gt;0,((VLOOKUP(I281,'1. Standard_Cost'!$B$4:$D$11,2)+VLOOKUP(I281,'1. Standard_Cost'!$B$4:$D$11,3))*J281*K281),"0")</f>
        <v>0</v>
      </c>
      <c r="M281" s="125">
        <f>L281*'1. Standard_Cost'!$F$4</f>
        <v>0</v>
      </c>
      <c r="N281" s="174"/>
      <c r="O281" s="174"/>
      <c r="P281" s="174"/>
      <c r="Q281" s="174"/>
      <c r="R281" s="127">
        <f>'1. Standard_Cost'!$B$15*N281*P281</f>
        <v>0</v>
      </c>
      <c r="S281" s="127">
        <f>N281*O281*P281*'1. Standard_Cost'!$C$15</f>
        <v>0</v>
      </c>
      <c r="T281" s="127">
        <f>N281*P281*Q281*'1. Standard_Cost'!$D$15</f>
        <v>0</v>
      </c>
      <c r="U281" s="127">
        <f>N281*O281*'1. Standard_Cost'!$E$15</f>
        <v>0</v>
      </c>
      <c r="V281" s="174"/>
      <c r="W281" s="174"/>
      <c r="X281" s="174"/>
      <c r="Y281" s="127">
        <f>+V281*((X281*'1. Standard_Cost'!$B$19)+(W281*X281*'1. Standard_Cost'!$C$19))</f>
        <v>0</v>
      </c>
      <c r="Z281" s="174"/>
      <c r="AA281" s="174"/>
      <c r="AB281" s="127">
        <f>+Z281*'1. Standard_Cost'!$B$23+AA281*'1. Standard_Cost'!$C$23</f>
        <v>0</v>
      </c>
      <c r="AC281" s="176"/>
      <c r="AD281" s="177"/>
      <c r="AE281" s="127">
        <f>SUM(AD281,AC281,AB281,Y281,U281,T281,S281,R281)*'1. Standard_Cost'!$B$31</f>
        <v>0</v>
      </c>
      <c r="AF281" s="127">
        <f>SUM(AE281,AD281,AC281,AB281,Y281,U281,T281,S281,R281)</f>
        <v>0</v>
      </c>
      <c r="AG281" s="174"/>
      <c r="AH281" s="174"/>
      <c r="AI281" s="174"/>
      <c r="AJ281" s="178"/>
      <c r="AK281" s="178"/>
      <c r="AL281" s="178"/>
      <c r="AM281" s="127">
        <f>AG281*'1. Standard_Cost'!$B$27+'Incremental_Cost Year 7'!AH281*'1. Standard_Cost'!$C$27+'Incremental_Cost Year 7'!AI281*'1. Standard_Cost'!$D$27+'Incremental_Cost Year 7'!AJ281+'Incremental_Cost Year 7'!AL281+AK281</f>
        <v>0</v>
      </c>
      <c r="AN281" s="127">
        <f>AM281*'1. Standard_Cost'!$C$31</f>
        <v>0</v>
      </c>
      <c r="AO281" s="178"/>
      <c r="AP281" s="256"/>
      <c r="AQ281" s="171">
        <f>L281+M281</f>
        <v>0</v>
      </c>
      <c r="AR281" s="171">
        <f>AF281</f>
        <v>0</v>
      </c>
      <c r="AS281" s="171">
        <f>AM281+AN281</f>
        <v>0</v>
      </c>
      <c r="AT281" s="171">
        <f>SUM(AQ281,AR281,AS281)</f>
        <v>0</v>
      </c>
      <c r="AU281" s="250">
        <f>AQ281</f>
        <v>0</v>
      </c>
      <c r="AV281" s="250"/>
      <c r="AW281" s="250"/>
      <c r="AX281" s="250"/>
      <c r="AY281" s="250"/>
      <c r="AZ281" s="250"/>
      <c r="BA281" s="250"/>
      <c r="BB281" s="251">
        <f t="shared" si="188"/>
        <v>0</v>
      </c>
      <c r="BC281" s="169"/>
      <c r="BD281" s="169"/>
      <c r="BE281" s="169"/>
      <c r="BF281" s="169"/>
    </row>
    <row r="282" spans="1:58" ht="31.5" x14ac:dyDescent="0.25">
      <c r="A282" s="172"/>
      <c r="B282" s="200"/>
      <c r="C282" s="201"/>
      <c r="D282" s="202"/>
      <c r="E282" s="360"/>
      <c r="F282" s="361"/>
      <c r="G282" s="362"/>
      <c r="H282" s="213" t="s">
        <v>366</v>
      </c>
      <c r="I282" s="178" t="s">
        <v>3</v>
      </c>
      <c r="J282" s="174">
        <v>12</v>
      </c>
      <c r="K282" s="174">
        <v>3</v>
      </c>
      <c r="L282" s="125">
        <f>IF(I282&lt;&gt;0,((VLOOKUP(I282,'1. Standard_Cost'!$B$4:$D$11,2)+VLOOKUP(I282,'1. Standard_Cost'!$B$4:$D$11,3))*J282*K282),"0")</f>
        <v>3628800</v>
      </c>
      <c r="M282" s="125">
        <f>L282*'1. Standard_Cost'!$F$4</f>
        <v>606009.59999999998</v>
      </c>
      <c r="N282" s="174"/>
      <c r="O282" s="174"/>
      <c r="P282" s="174"/>
      <c r="Q282" s="174"/>
      <c r="R282" s="127">
        <f>'1. Standard_Cost'!$B$15*N282*P282</f>
        <v>0</v>
      </c>
      <c r="S282" s="127">
        <f>N282*O282*P282*'1. Standard_Cost'!$C$15</f>
        <v>0</v>
      </c>
      <c r="T282" s="127">
        <f>N282*P282*Q282*'1. Standard_Cost'!$D$15</f>
        <v>0</v>
      </c>
      <c r="U282" s="127">
        <f>N282*O282*'1. Standard_Cost'!$E$15</f>
        <v>0</v>
      </c>
      <c r="V282" s="174"/>
      <c r="W282" s="174"/>
      <c r="X282" s="174"/>
      <c r="Y282" s="127">
        <f>+V282*((X282*'1. Standard_Cost'!$B$19)+(W282*X282*'1. Standard_Cost'!$C$19))</f>
        <v>0</v>
      </c>
      <c r="Z282" s="174"/>
      <c r="AA282" s="174"/>
      <c r="AB282" s="127">
        <f>+Z282*'1. Standard_Cost'!$B$23+AA282*'1. Standard_Cost'!$C$23</f>
        <v>0</v>
      </c>
      <c r="AC282" s="176"/>
      <c r="AD282" s="177"/>
      <c r="AE282" s="127">
        <f>SUM(AD282,AC282,AB282,Y282,U282,T282,S282,R282)*'1. Standard_Cost'!$B$31</f>
        <v>0</v>
      </c>
      <c r="AF282" s="127">
        <f>SUM(AE282,AD282,AC282,AB282,Y282,U282,T282,S282,R282)</f>
        <v>0</v>
      </c>
      <c r="AG282" s="174"/>
      <c r="AH282" s="174"/>
      <c r="AI282" s="174"/>
      <c r="AJ282" s="178"/>
      <c r="AK282" s="178"/>
      <c r="AL282" s="178"/>
      <c r="AM282" s="127">
        <f>AG282*'1. Standard_Cost'!$B$27+'Incremental_Cost Year 7'!AH282*'1. Standard_Cost'!$C$27+'Incremental_Cost Year 7'!AI282*'1. Standard_Cost'!$D$27+'Incremental_Cost Year 7'!AJ282+'Incremental_Cost Year 7'!AL282+AK282</f>
        <v>0</v>
      </c>
      <c r="AN282" s="127">
        <f>AM282*'1. Standard_Cost'!$C$31</f>
        <v>0</v>
      </c>
      <c r="AO282" s="178"/>
      <c r="AP282" s="256"/>
      <c r="AQ282" s="171">
        <f>L282+M282</f>
        <v>4234809.5999999996</v>
      </c>
      <c r="AR282" s="171">
        <f>AF282</f>
        <v>0</v>
      </c>
      <c r="AS282" s="171">
        <f>AM282+AN282</f>
        <v>0</v>
      </c>
      <c r="AT282" s="171">
        <f>SUM(AQ282,AR282,AS282)</f>
        <v>4234809.5999999996</v>
      </c>
      <c r="AU282" s="250">
        <f>AQ282</f>
        <v>4234809.5999999996</v>
      </c>
      <c r="AV282" s="250"/>
      <c r="AW282" s="250"/>
      <c r="AX282" s="250"/>
      <c r="AY282" s="250"/>
      <c r="AZ282" s="250"/>
      <c r="BA282" s="250"/>
      <c r="BB282" s="251">
        <f t="shared" si="188"/>
        <v>0</v>
      </c>
      <c r="BC282" s="169"/>
      <c r="BD282" s="169"/>
      <c r="BE282" s="169"/>
      <c r="BF282" s="169"/>
    </row>
    <row r="283" spans="1:58" ht="31.5" x14ac:dyDescent="0.2">
      <c r="A283" s="172"/>
      <c r="B283" s="168"/>
      <c r="C283" s="204"/>
      <c r="D283" s="212" t="s">
        <v>559</v>
      </c>
      <c r="E283" s="212" t="s">
        <v>355</v>
      </c>
      <c r="F283" s="212">
        <v>2021</v>
      </c>
      <c r="G283" s="212">
        <v>2030</v>
      </c>
      <c r="H283" s="182" t="s">
        <v>356</v>
      </c>
      <c r="I283" s="273"/>
      <c r="J283" s="273"/>
      <c r="K283" s="273"/>
      <c r="L283" s="175">
        <f>SUM(L278:L282)</f>
        <v>7660800</v>
      </c>
      <c r="M283" s="175">
        <f>SUM(M278:M282)</f>
        <v>1279353.6000000001</v>
      </c>
      <c r="N283" s="273"/>
      <c r="O283" s="273"/>
      <c r="P283" s="273"/>
      <c r="Q283" s="273"/>
      <c r="R283" s="175">
        <f>SUM(R278:R282)</f>
        <v>0</v>
      </c>
      <c r="S283" s="175">
        <f>SUM(S278:S282)</f>
        <v>0</v>
      </c>
      <c r="T283" s="175">
        <f>SUM(T278:T282)</f>
        <v>0</v>
      </c>
      <c r="U283" s="175">
        <f>SUM(U278:U282)</f>
        <v>0</v>
      </c>
      <c r="V283" s="273"/>
      <c r="W283" s="273"/>
      <c r="X283" s="273"/>
      <c r="Y283" s="175">
        <f>SUM(Y278:Y282)</f>
        <v>0</v>
      </c>
      <c r="Z283" s="175"/>
      <c r="AA283" s="273"/>
      <c r="AB283" s="175">
        <f>SUM(AB278:AB282)</f>
        <v>0</v>
      </c>
      <c r="AC283" s="175">
        <f>SUM(AC278:AC282)</f>
        <v>0</v>
      </c>
      <c r="AD283" s="175">
        <f>SUM(AD278:AD282)</f>
        <v>0</v>
      </c>
      <c r="AE283" s="175">
        <f>SUM(AE278:AE282)</f>
        <v>0</v>
      </c>
      <c r="AF283" s="175">
        <f>SUM(AF278:AF282)</f>
        <v>0</v>
      </c>
      <c r="AG283" s="273"/>
      <c r="AH283" s="273"/>
      <c r="AI283" s="273"/>
      <c r="AJ283" s="175">
        <f>SUM(AJ278:AJ282)</f>
        <v>0</v>
      </c>
      <c r="AK283" s="175">
        <f>SUM(AK278:AK282)</f>
        <v>0</v>
      </c>
      <c r="AL283" s="175">
        <f>SUM(AL278:AL282)</f>
        <v>0</v>
      </c>
      <c r="AM283" s="175">
        <f>SUM(AM278:AM282)</f>
        <v>0</v>
      </c>
      <c r="AN283" s="175">
        <f>SUM(AN278:AN282)</f>
        <v>0</v>
      </c>
      <c r="AO283" s="274"/>
      <c r="AP283" s="254"/>
      <c r="AQ283" s="175">
        <f t="shared" ref="AQ283:AT283" si="189">SUM(AQ278:AQ282)</f>
        <v>8940153.5999999996</v>
      </c>
      <c r="AR283" s="175">
        <f t="shared" si="189"/>
        <v>0</v>
      </c>
      <c r="AS283" s="175">
        <f t="shared" si="189"/>
        <v>0</v>
      </c>
      <c r="AT283" s="175">
        <f t="shared" si="189"/>
        <v>8940153.5999999996</v>
      </c>
      <c r="AU283" s="175">
        <f t="shared" ref="AU283:BB283" si="190">SUM(AU278:AU282)</f>
        <v>8940153.5999999996</v>
      </c>
      <c r="AV283" s="175">
        <f t="shared" si="190"/>
        <v>0</v>
      </c>
      <c r="AW283" s="175">
        <f t="shared" si="190"/>
        <v>0</v>
      </c>
      <c r="AX283" s="175">
        <f t="shared" si="190"/>
        <v>0</v>
      </c>
      <c r="AY283" s="175">
        <f t="shared" si="190"/>
        <v>0</v>
      </c>
      <c r="AZ283" s="175">
        <f t="shared" si="190"/>
        <v>0</v>
      </c>
      <c r="BA283" s="175">
        <f t="shared" si="190"/>
        <v>0</v>
      </c>
      <c r="BB283" s="175">
        <f t="shared" si="190"/>
        <v>0</v>
      </c>
      <c r="BC283" s="169"/>
      <c r="BD283" s="169"/>
      <c r="BE283" s="169"/>
      <c r="BF283" s="169"/>
    </row>
    <row r="284" spans="1:58" ht="15.6" customHeight="1" x14ac:dyDescent="0.2">
      <c r="A284" s="179"/>
      <c r="B284" s="290"/>
      <c r="C284" s="391" t="s">
        <v>357</v>
      </c>
      <c r="D284" s="391"/>
      <c r="E284" s="392"/>
      <c r="F284" s="287"/>
      <c r="G284" s="289"/>
      <c r="H284" s="181" t="s">
        <v>358</v>
      </c>
      <c r="I284" s="271"/>
      <c r="J284" s="271"/>
      <c r="K284" s="271"/>
      <c r="L284" s="261">
        <f>L289</f>
        <v>0</v>
      </c>
      <c r="M284" s="261">
        <f>M289</f>
        <v>0</v>
      </c>
      <c r="N284" s="271"/>
      <c r="O284" s="271"/>
      <c r="P284" s="271"/>
      <c r="Q284" s="271"/>
      <c r="R284" s="261">
        <f>R289</f>
        <v>0</v>
      </c>
      <c r="S284" s="261">
        <f>S289</f>
        <v>0</v>
      </c>
      <c r="T284" s="261">
        <f>T289</f>
        <v>0</v>
      </c>
      <c r="U284" s="261">
        <f>U289</f>
        <v>0</v>
      </c>
      <c r="V284" s="271"/>
      <c r="W284" s="271"/>
      <c r="X284" s="271"/>
      <c r="Y284" s="261">
        <f>Y289</f>
        <v>0</v>
      </c>
      <c r="Z284" s="261"/>
      <c r="AA284" s="261"/>
      <c r="AB284" s="261">
        <f>AB289</f>
        <v>0</v>
      </c>
      <c r="AC284" s="261">
        <f>AC289</f>
        <v>0</v>
      </c>
      <c r="AD284" s="261">
        <f>AD289</f>
        <v>0</v>
      </c>
      <c r="AE284" s="261">
        <f>AE289</f>
        <v>0</v>
      </c>
      <c r="AF284" s="261">
        <f>AF289</f>
        <v>0</v>
      </c>
      <c r="AG284" s="271"/>
      <c r="AH284" s="271"/>
      <c r="AI284" s="271"/>
      <c r="AJ284" s="261">
        <f>AJ289</f>
        <v>0</v>
      </c>
      <c r="AK284" s="261">
        <f>AK289</f>
        <v>0</v>
      </c>
      <c r="AL284" s="261">
        <f>AL289</f>
        <v>0</v>
      </c>
      <c r="AM284" s="261">
        <f>AM289</f>
        <v>0</v>
      </c>
      <c r="AN284" s="261">
        <f>AN289</f>
        <v>0</v>
      </c>
      <c r="AO284" s="272"/>
      <c r="AP284" s="260"/>
      <c r="AQ284" s="261">
        <f t="shared" ref="AQ284:BB284" si="191">AQ289</f>
        <v>0</v>
      </c>
      <c r="AR284" s="261">
        <f t="shared" si="191"/>
        <v>0</v>
      </c>
      <c r="AS284" s="261">
        <f t="shared" si="191"/>
        <v>0</v>
      </c>
      <c r="AT284" s="261">
        <f t="shared" si="191"/>
        <v>0</v>
      </c>
      <c r="AU284" s="261">
        <f t="shared" si="191"/>
        <v>0</v>
      </c>
      <c r="AV284" s="261">
        <f t="shared" si="191"/>
        <v>0</v>
      </c>
      <c r="AW284" s="261">
        <f t="shared" si="191"/>
        <v>0</v>
      </c>
      <c r="AX284" s="261">
        <f t="shared" si="191"/>
        <v>0</v>
      </c>
      <c r="AY284" s="261">
        <f t="shared" si="191"/>
        <v>0</v>
      </c>
      <c r="AZ284" s="261">
        <f t="shared" si="191"/>
        <v>0</v>
      </c>
      <c r="BA284" s="261">
        <f t="shared" si="191"/>
        <v>0</v>
      </c>
      <c r="BB284" s="261">
        <f t="shared" si="191"/>
        <v>0</v>
      </c>
      <c r="BC284" s="184"/>
      <c r="BD284" s="184"/>
      <c r="BE284" s="184"/>
      <c r="BF284" s="184"/>
    </row>
    <row r="285" spans="1:58" ht="157.5" x14ac:dyDescent="0.25">
      <c r="A285" s="172"/>
      <c r="B285" s="354"/>
      <c r="C285" s="356"/>
      <c r="D285" s="342"/>
      <c r="E285" s="328"/>
      <c r="F285" s="328"/>
      <c r="G285" s="328"/>
      <c r="H285" s="213" t="s">
        <v>550</v>
      </c>
      <c r="I285" s="178"/>
      <c r="J285" s="174"/>
      <c r="K285" s="174"/>
      <c r="L285" s="125" t="str">
        <f>IF(I285&lt;&gt;0,((VLOOKUP(I285,'1. Standard_Cost'!$B$4:$D$11,2)+VLOOKUP(I285,'1. Standard_Cost'!$B$4:$D$11,3))*J285*K285),"0")</f>
        <v>0</v>
      </c>
      <c r="M285" s="125">
        <f>L285*'1. Standard_Cost'!$F$4</f>
        <v>0</v>
      </c>
      <c r="N285" s="174"/>
      <c r="O285" s="174"/>
      <c r="P285" s="174"/>
      <c r="Q285" s="174"/>
      <c r="R285" s="127">
        <f>'1. Standard_Cost'!$B$15*N285*P285</f>
        <v>0</v>
      </c>
      <c r="S285" s="127">
        <f>N285*O285*P285*'1. Standard_Cost'!$C$15</f>
        <v>0</v>
      </c>
      <c r="T285" s="127">
        <f>N285*P285*Q285*'1. Standard_Cost'!$D$15</f>
        <v>0</v>
      </c>
      <c r="U285" s="127">
        <f>N285*O285*'1. Standard_Cost'!$E$15</f>
        <v>0</v>
      </c>
      <c r="V285" s="174"/>
      <c r="W285" s="174"/>
      <c r="X285" s="174"/>
      <c r="Y285" s="127">
        <f>+V285*((X285*'1. Standard_Cost'!$B$19)+(W285*X285*'1. Standard_Cost'!$C$19))</f>
        <v>0</v>
      </c>
      <c r="Z285" s="174"/>
      <c r="AA285" s="174"/>
      <c r="AB285" s="127">
        <f>+Z285*'1. Standard_Cost'!$B$23+AA285*'1. Standard_Cost'!$C$23</f>
        <v>0</v>
      </c>
      <c r="AC285" s="176"/>
      <c r="AD285" s="177"/>
      <c r="AE285" s="127">
        <f>SUM(AD285,AC285,AB285,Y285,U285,T285,S285,R285)*'1. Standard_Cost'!$B$31</f>
        <v>0</v>
      </c>
      <c r="AF285" s="127">
        <f>SUM(AE285,AD285,AC285,AB285,Y285,U285,T285,S285,R285)</f>
        <v>0</v>
      </c>
      <c r="AG285" s="174"/>
      <c r="AH285" s="174"/>
      <c r="AI285" s="174"/>
      <c r="AJ285" s="178"/>
      <c r="AK285" s="178"/>
      <c r="AL285" s="178"/>
      <c r="AM285" s="127">
        <f>AG285*'1. Standard_Cost'!$B$27+'Incremental_Cost Year 7'!AH285*'1. Standard_Cost'!$C$27+'Incremental_Cost Year 7'!AI285*'1. Standard_Cost'!$D$27+'Incremental_Cost Year 7'!AJ285+'Incremental_Cost Year 7'!AL285+AK285</f>
        <v>0</v>
      </c>
      <c r="AN285" s="127">
        <f>AM285*'1. Standard_Cost'!$C$31</f>
        <v>0</v>
      </c>
      <c r="AO285" s="178"/>
      <c r="AP285" s="256"/>
      <c r="AQ285" s="171">
        <f>L285+M285</f>
        <v>0</v>
      </c>
      <c r="AR285" s="171">
        <f>AF285</f>
        <v>0</v>
      </c>
      <c r="AS285" s="171">
        <f>AM285+AN285</f>
        <v>0</v>
      </c>
      <c r="AT285" s="171">
        <f>SUM(AQ285,AR285,AS285)</f>
        <v>0</v>
      </c>
      <c r="AU285" s="250"/>
      <c r="AV285" s="250"/>
      <c r="AW285" s="250"/>
      <c r="AX285" s="250"/>
      <c r="AY285" s="250"/>
      <c r="AZ285" s="250"/>
      <c r="BA285" s="250"/>
      <c r="BB285" s="251">
        <f t="shared" ref="BB285:BB288" si="192">SUM(AU285:BA285)-AT285</f>
        <v>0</v>
      </c>
      <c r="BC285" s="169"/>
      <c r="BD285" s="169"/>
      <c r="BE285" s="169"/>
      <c r="BF285" s="169"/>
    </row>
    <row r="286" spans="1:58" ht="78.75" customHeight="1" x14ac:dyDescent="0.25">
      <c r="A286" s="172"/>
      <c r="B286" s="357"/>
      <c r="C286" s="359"/>
      <c r="D286" s="343"/>
      <c r="E286" s="328"/>
      <c r="F286" s="328"/>
      <c r="G286" s="328"/>
      <c r="H286" s="213" t="s">
        <v>555</v>
      </c>
      <c r="I286" s="178"/>
      <c r="J286" s="174"/>
      <c r="K286" s="174"/>
      <c r="L286" s="125" t="str">
        <f>IF(I286&lt;&gt;0,((VLOOKUP(I286,'1. Standard_Cost'!$B$4:$D$11,2)+VLOOKUP(I286,'1. Standard_Cost'!$B$4:$D$11,3))*J286*K286),"0")</f>
        <v>0</v>
      </c>
      <c r="M286" s="125">
        <f>L286*'1. Standard_Cost'!$F$4</f>
        <v>0</v>
      </c>
      <c r="N286" s="174"/>
      <c r="O286" s="174"/>
      <c r="P286" s="174"/>
      <c r="Q286" s="174"/>
      <c r="R286" s="127">
        <f>'1. Standard_Cost'!$B$15*N286*P286</f>
        <v>0</v>
      </c>
      <c r="S286" s="127">
        <f>N286*O286*P286*'1. Standard_Cost'!$C$15</f>
        <v>0</v>
      </c>
      <c r="T286" s="127">
        <f>N286*P286*Q286*'1. Standard_Cost'!$D$15</f>
        <v>0</v>
      </c>
      <c r="U286" s="127">
        <f>N286*O286*'1. Standard_Cost'!$E$15</f>
        <v>0</v>
      </c>
      <c r="V286" s="174"/>
      <c r="W286" s="174"/>
      <c r="X286" s="174"/>
      <c r="Y286" s="127">
        <f>+V286*((X286*'1. Standard_Cost'!$B$19)+(W286*X286*'1. Standard_Cost'!$C$19))</f>
        <v>0</v>
      </c>
      <c r="Z286" s="174"/>
      <c r="AA286" s="174"/>
      <c r="AB286" s="127">
        <f>+Z286*'1. Standard_Cost'!$B$23+AA286*'1. Standard_Cost'!$C$23</f>
        <v>0</v>
      </c>
      <c r="AC286" s="176"/>
      <c r="AD286" s="177"/>
      <c r="AE286" s="127">
        <f>SUM(AD286,AC286,AB286,Y286,U286,T286,S286,R286)*'1. Standard_Cost'!$B$31</f>
        <v>0</v>
      </c>
      <c r="AF286" s="127">
        <f>SUM(AE286,AD286,AC286,AB286,Y286,U286,T286,S286,R286)</f>
        <v>0</v>
      </c>
      <c r="AG286" s="174"/>
      <c r="AH286" s="174"/>
      <c r="AI286" s="174"/>
      <c r="AJ286" s="178"/>
      <c r="AK286" s="178"/>
      <c r="AL286" s="178"/>
      <c r="AM286" s="127">
        <f>AG286*'1. Standard_Cost'!$B$27+'Incremental_Cost Year 7'!AH286*'1. Standard_Cost'!$C$27+'Incremental_Cost Year 7'!AI286*'1. Standard_Cost'!$D$27+'Incremental_Cost Year 7'!AJ286+'Incremental_Cost Year 7'!AL286+AK286</f>
        <v>0</v>
      </c>
      <c r="AN286" s="127">
        <f>AM286*'1. Standard_Cost'!$C$31</f>
        <v>0</v>
      </c>
      <c r="AO286" s="178"/>
      <c r="AP286" s="256"/>
      <c r="AQ286" s="171">
        <f>L286+M286</f>
        <v>0</v>
      </c>
      <c r="AR286" s="171">
        <f>AF286</f>
        <v>0</v>
      </c>
      <c r="AS286" s="171">
        <f>AM286+AN286</f>
        <v>0</v>
      </c>
      <c r="AT286" s="171">
        <f>SUM(AQ286,AR286,AS286)</f>
        <v>0</v>
      </c>
      <c r="AU286" s="250"/>
      <c r="AV286" s="250"/>
      <c r="AW286" s="250"/>
      <c r="AX286" s="250"/>
      <c r="AY286" s="250"/>
      <c r="AZ286" s="250"/>
      <c r="BA286" s="250"/>
      <c r="BB286" s="251">
        <f t="shared" si="192"/>
        <v>0</v>
      </c>
      <c r="BC286" s="169"/>
      <c r="BD286" s="169"/>
      <c r="BE286" s="169"/>
      <c r="BF286" s="169"/>
    </row>
    <row r="287" spans="1:58" ht="110.25" x14ac:dyDescent="0.25">
      <c r="A287" s="172"/>
      <c r="B287" s="357"/>
      <c r="C287" s="359"/>
      <c r="D287" s="343"/>
      <c r="E287" s="328"/>
      <c r="F287" s="328"/>
      <c r="G287" s="328"/>
      <c r="H287" s="213" t="s">
        <v>367</v>
      </c>
      <c r="I287" s="178"/>
      <c r="J287" s="174"/>
      <c r="K287" s="174"/>
      <c r="L287" s="125" t="str">
        <f>IF(I287&lt;&gt;0,((VLOOKUP(I287,'1. Standard_Cost'!$B$4:$D$11,2)+VLOOKUP(I287,'1. Standard_Cost'!$B$4:$D$11,3))*J287*K287),"0")</f>
        <v>0</v>
      </c>
      <c r="M287" s="125">
        <f>L287*'1. Standard_Cost'!$F$4</f>
        <v>0</v>
      </c>
      <c r="N287" s="174"/>
      <c r="O287" s="174"/>
      <c r="P287" s="174"/>
      <c r="Q287" s="174"/>
      <c r="R287" s="127">
        <f>'1. Standard_Cost'!$B$15*N287*P287</f>
        <v>0</v>
      </c>
      <c r="S287" s="127">
        <f>N287*O287*P287*'1. Standard_Cost'!$C$15</f>
        <v>0</v>
      </c>
      <c r="T287" s="127">
        <f>N287*P287*Q287*'1. Standard_Cost'!$D$15</f>
        <v>0</v>
      </c>
      <c r="U287" s="127">
        <f>N287*O287*'1. Standard_Cost'!$E$15</f>
        <v>0</v>
      </c>
      <c r="V287" s="174"/>
      <c r="W287" s="174"/>
      <c r="X287" s="174"/>
      <c r="Y287" s="127">
        <f>+V287*((X287*'1. Standard_Cost'!$B$19)+(W287*X287*'1. Standard_Cost'!$C$19))</f>
        <v>0</v>
      </c>
      <c r="Z287" s="174"/>
      <c r="AA287" s="174"/>
      <c r="AB287" s="127">
        <f>+Z287*'1. Standard_Cost'!$B$23+AA287*'1. Standard_Cost'!$C$23</f>
        <v>0</v>
      </c>
      <c r="AC287" s="176"/>
      <c r="AD287" s="177"/>
      <c r="AE287" s="127">
        <f>SUM(AD287,AC287,AB287,Y287,U287,T287,S287,R287)*'1. Standard_Cost'!$B$31</f>
        <v>0</v>
      </c>
      <c r="AF287" s="127">
        <f>SUM(AE287,AD287,AC287,AB287,Y287,U287,T287,S287,R287)</f>
        <v>0</v>
      </c>
      <c r="AG287" s="174"/>
      <c r="AH287" s="174"/>
      <c r="AI287" s="174"/>
      <c r="AJ287" s="178"/>
      <c r="AK287" s="178"/>
      <c r="AL287" s="178"/>
      <c r="AM287" s="127">
        <f>AG287*'1. Standard_Cost'!$B$27+'Incremental_Cost Year 7'!AH287*'1. Standard_Cost'!$C$27+'Incremental_Cost Year 7'!AI287*'1. Standard_Cost'!$D$27+'Incremental_Cost Year 7'!AJ287+'Incremental_Cost Year 7'!AL287+AK287</f>
        <v>0</v>
      </c>
      <c r="AN287" s="127">
        <f>AM287*'1. Standard_Cost'!$C$31</f>
        <v>0</v>
      </c>
      <c r="AO287" s="178"/>
      <c r="AP287" s="256"/>
      <c r="AQ287" s="171">
        <f>L287+M287</f>
        <v>0</v>
      </c>
      <c r="AR287" s="171">
        <f>AF287</f>
        <v>0</v>
      </c>
      <c r="AS287" s="171">
        <f>AM287+AN287</f>
        <v>0</v>
      </c>
      <c r="AT287" s="171">
        <f>SUM(AQ287,AR287,AS287)</f>
        <v>0</v>
      </c>
      <c r="AU287" s="250">
        <f>AT287</f>
        <v>0</v>
      </c>
      <c r="AV287" s="250"/>
      <c r="AW287" s="250"/>
      <c r="AX287" s="250"/>
      <c r="AY287" s="250"/>
      <c r="AZ287" s="250"/>
      <c r="BA287" s="250"/>
      <c r="BB287" s="251">
        <f t="shared" si="192"/>
        <v>0</v>
      </c>
      <c r="BC287" s="169"/>
      <c r="BD287" s="169"/>
      <c r="BE287" s="169"/>
      <c r="BF287" s="169"/>
    </row>
    <row r="288" spans="1:58" ht="110.25" x14ac:dyDescent="0.25">
      <c r="A288" s="172"/>
      <c r="B288" s="360"/>
      <c r="C288" s="362"/>
      <c r="D288" s="344"/>
      <c r="E288" s="328"/>
      <c r="F288" s="328"/>
      <c r="G288" s="328"/>
      <c r="H288" s="213" t="s">
        <v>368</v>
      </c>
      <c r="I288" s="178"/>
      <c r="J288" s="174"/>
      <c r="K288" s="174"/>
      <c r="L288" s="125" t="str">
        <f>IF(I288&lt;&gt;0,((VLOOKUP(I288,'1. Standard_Cost'!$B$4:$D$11,2)+VLOOKUP(I288,'1. Standard_Cost'!$B$4:$D$11,3))*J288*K288),"0")</f>
        <v>0</v>
      </c>
      <c r="M288" s="125">
        <f>L288*'1. Standard_Cost'!$F$4</f>
        <v>0</v>
      </c>
      <c r="N288" s="174"/>
      <c r="O288" s="174"/>
      <c r="P288" s="174"/>
      <c r="Q288" s="174"/>
      <c r="R288" s="127">
        <f>'1. Standard_Cost'!$B$15*N288*P288</f>
        <v>0</v>
      </c>
      <c r="S288" s="127">
        <f>N288*O288*P288*'1. Standard_Cost'!$C$15</f>
        <v>0</v>
      </c>
      <c r="T288" s="127">
        <f>N288*P288*Q288*'1. Standard_Cost'!$D$15</f>
        <v>0</v>
      </c>
      <c r="U288" s="127">
        <f>N288*O288*'1. Standard_Cost'!$E$15</f>
        <v>0</v>
      </c>
      <c r="V288" s="174"/>
      <c r="W288" s="174"/>
      <c r="X288" s="174"/>
      <c r="Y288" s="127">
        <f>+V288*((X288*'1. Standard_Cost'!$B$19)+(W288*X288*'1. Standard_Cost'!$C$19))</f>
        <v>0</v>
      </c>
      <c r="Z288" s="174"/>
      <c r="AA288" s="174"/>
      <c r="AB288" s="127">
        <f>+Z288*'1. Standard_Cost'!$B$23+AA288*'1. Standard_Cost'!$C$23</f>
        <v>0</v>
      </c>
      <c r="AC288" s="176"/>
      <c r="AD288" s="177"/>
      <c r="AE288" s="127">
        <f>SUM(AD288,AC288,AB288,Y288,U288,T288,S288,R288)*'1. Standard_Cost'!$B$31</f>
        <v>0</v>
      </c>
      <c r="AF288" s="127">
        <f>SUM(AE288,AD288,AC288,AB288,Y288,U288,T288,S288,R288)</f>
        <v>0</v>
      </c>
      <c r="AG288" s="174"/>
      <c r="AH288" s="174"/>
      <c r="AI288" s="174"/>
      <c r="AJ288" s="178"/>
      <c r="AK288" s="178"/>
      <c r="AL288" s="178"/>
      <c r="AM288" s="127">
        <f>AG288*'1. Standard_Cost'!$B$27+'Incremental_Cost Year 7'!AH288*'1. Standard_Cost'!$C$27+'Incremental_Cost Year 7'!AI288*'1. Standard_Cost'!$D$27+'Incremental_Cost Year 7'!AJ288+'Incremental_Cost Year 7'!AL288+AK288</f>
        <v>0</v>
      </c>
      <c r="AN288" s="127">
        <f>AM288*'1. Standard_Cost'!$C$31</f>
        <v>0</v>
      </c>
      <c r="AO288" s="178"/>
      <c r="AP288" s="256"/>
      <c r="AQ288" s="171">
        <f>L288+M288</f>
        <v>0</v>
      </c>
      <c r="AR288" s="171">
        <f>AF288</f>
        <v>0</v>
      </c>
      <c r="AS288" s="171">
        <f>AM288+AN288</f>
        <v>0</v>
      </c>
      <c r="AT288" s="171">
        <f>SUM(AQ288,AR288,AS288)</f>
        <v>0</v>
      </c>
      <c r="AU288" s="250">
        <f>AT288</f>
        <v>0</v>
      </c>
      <c r="AV288" s="250"/>
      <c r="AW288" s="250"/>
      <c r="AX288" s="250"/>
      <c r="AY288" s="250"/>
      <c r="AZ288" s="250"/>
      <c r="BA288" s="250"/>
      <c r="BB288" s="251">
        <f t="shared" si="192"/>
        <v>0</v>
      </c>
      <c r="BC288" s="169"/>
      <c r="BD288" s="169"/>
      <c r="BE288" s="169"/>
      <c r="BF288" s="169"/>
    </row>
    <row r="289" spans="1:54" ht="31.5" x14ac:dyDescent="0.25">
      <c r="A289" s="167"/>
      <c r="B289" s="168"/>
      <c r="C289" s="204"/>
      <c r="D289" s="212" t="s">
        <v>388</v>
      </c>
      <c r="E289" s="212" t="s">
        <v>359</v>
      </c>
      <c r="F289" s="212">
        <v>2021</v>
      </c>
      <c r="G289" s="212">
        <v>2023</v>
      </c>
      <c r="H289" s="182" t="s">
        <v>360</v>
      </c>
      <c r="I289" s="273"/>
      <c r="J289" s="273"/>
      <c r="K289" s="273"/>
      <c r="L289" s="175">
        <f>SUM(L285:L288)</f>
        <v>0</v>
      </c>
      <c r="M289" s="175">
        <f>SUM(M285:M288)</f>
        <v>0</v>
      </c>
      <c r="N289" s="273"/>
      <c r="O289" s="273"/>
      <c r="P289" s="273"/>
      <c r="Q289" s="273"/>
      <c r="R289" s="175">
        <f>SUM(R285:R288)</f>
        <v>0</v>
      </c>
      <c r="S289" s="175">
        <f>SUM(S285:S288)</f>
        <v>0</v>
      </c>
      <c r="T289" s="175">
        <f>SUM(T285:T288)</f>
        <v>0</v>
      </c>
      <c r="U289" s="175">
        <f>SUM(U285:U288)</f>
        <v>0</v>
      </c>
      <c r="V289" s="273"/>
      <c r="W289" s="273"/>
      <c r="X289" s="273"/>
      <c r="Y289" s="175">
        <f>SUM(Y285:Y288)</f>
        <v>0</v>
      </c>
      <c r="Z289" s="175"/>
      <c r="AA289" s="273"/>
      <c r="AB289" s="175">
        <f>SUM(AB285:AB288)</f>
        <v>0</v>
      </c>
      <c r="AC289" s="175">
        <f>SUM(AC285:AC287)</f>
        <v>0</v>
      </c>
      <c r="AD289" s="175">
        <f>SUM(AD285:AD287)</f>
        <v>0</v>
      </c>
      <c r="AE289" s="175">
        <f>SUM(AE285:AE288)</f>
        <v>0</v>
      </c>
      <c r="AF289" s="175">
        <f>SUM(AF285:AF288)</f>
        <v>0</v>
      </c>
      <c r="AG289" s="273"/>
      <c r="AH289" s="273"/>
      <c r="AI289" s="273"/>
      <c r="AJ289" s="175">
        <f>SUM(AJ285:AJ288)</f>
        <v>0</v>
      </c>
      <c r="AK289" s="175">
        <f>SUM(AK285:AK288)</f>
        <v>0</v>
      </c>
      <c r="AL289" s="175">
        <f>SUM(AL285:AL288)</f>
        <v>0</v>
      </c>
      <c r="AM289" s="175">
        <f>SUM(AM285:AM288)</f>
        <v>0</v>
      </c>
      <c r="AN289" s="175">
        <f>SUM(AN285:AN288)</f>
        <v>0</v>
      </c>
      <c r="AO289" s="274"/>
      <c r="AP289" s="254"/>
      <c r="AQ289" s="175">
        <f t="shared" ref="AQ289:AT289" si="193">SUM(AQ285:AQ288)</f>
        <v>0</v>
      </c>
      <c r="AR289" s="175">
        <f t="shared" si="193"/>
        <v>0</v>
      </c>
      <c r="AS289" s="175">
        <f t="shared" si="193"/>
        <v>0</v>
      </c>
      <c r="AT289" s="175">
        <f t="shared" si="193"/>
        <v>0</v>
      </c>
      <c r="AU289" s="175">
        <f t="shared" ref="AU289:BB289" si="194">SUM(AU285:AU288)</f>
        <v>0</v>
      </c>
      <c r="AV289" s="175">
        <f t="shared" si="194"/>
        <v>0</v>
      </c>
      <c r="AW289" s="175">
        <f t="shared" si="194"/>
        <v>0</v>
      </c>
      <c r="AX289" s="175">
        <f t="shared" si="194"/>
        <v>0</v>
      </c>
      <c r="AY289" s="175">
        <f t="shared" si="194"/>
        <v>0</v>
      </c>
      <c r="AZ289" s="175">
        <f t="shared" si="194"/>
        <v>0</v>
      </c>
      <c r="BA289" s="175">
        <f t="shared" si="194"/>
        <v>0</v>
      </c>
      <c r="BB289" s="175">
        <f t="shared" si="194"/>
        <v>0</v>
      </c>
    </row>
    <row r="292" spans="1:54" x14ac:dyDescent="0.25">
      <c r="AQ292" s="239">
        <f>AQ5+AQ78+AQ150+AQ197+AQ244</f>
        <v>16412099133.467142</v>
      </c>
      <c r="AR292" s="239">
        <f t="shared" ref="AR292:BB292" si="195">AR5+AR78+AR150+AR197+AR244</f>
        <v>35661790991.199997</v>
      </c>
      <c r="AS292" s="239">
        <f t="shared" si="195"/>
        <v>11500000</v>
      </c>
      <c r="AT292" s="239">
        <f t="shared" si="195"/>
        <v>52085390124.667145</v>
      </c>
      <c r="AU292" s="239">
        <f t="shared" si="195"/>
        <v>49329563924.522858</v>
      </c>
      <c r="AV292" s="239">
        <f t="shared" si="195"/>
        <v>0</v>
      </c>
      <c r="AW292" s="239">
        <f t="shared" si="195"/>
        <v>0</v>
      </c>
      <c r="AX292" s="239">
        <f t="shared" si="195"/>
        <v>0</v>
      </c>
      <c r="AY292" s="239">
        <f t="shared" si="195"/>
        <v>2346000</v>
      </c>
      <c r="AZ292" s="239">
        <f t="shared" si="195"/>
        <v>0</v>
      </c>
      <c r="BA292" s="239">
        <f t="shared" si="195"/>
        <v>0</v>
      </c>
      <c r="BB292" s="239">
        <f t="shared" si="195"/>
        <v>-2753480200.1442857</v>
      </c>
    </row>
  </sheetData>
  <mergeCells count="38">
    <mergeCell ref="C269:E269"/>
    <mergeCell ref="C277:E277"/>
    <mergeCell ref="C284:E284"/>
    <mergeCell ref="C232:E232"/>
    <mergeCell ref="C238:E238"/>
    <mergeCell ref="B244:E244"/>
    <mergeCell ref="C245:E245"/>
    <mergeCell ref="C259:E259"/>
    <mergeCell ref="B197:E197"/>
    <mergeCell ref="C198:E198"/>
    <mergeCell ref="C213:E213"/>
    <mergeCell ref="C221:E221"/>
    <mergeCell ref="C226:E226"/>
    <mergeCell ref="C140:E140"/>
    <mergeCell ref="B150:E150"/>
    <mergeCell ref="C151:E151"/>
    <mergeCell ref="C163:E163"/>
    <mergeCell ref="C182:E182"/>
    <mergeCell ref="C106:E106"/>
    <mergeCell ref="C111:E111"/>
    <mergeCell ref="C118:E118"/>
    <mergeCell ref="C123:E123"/>
    <mergeCell ref="C134:E134"/>
    <mergeCell ref="C61:E61"/>
    <mergeCell ref="B78:E78"/>
    <mergeCell ref="C79:E79"/>
    <mergeCell ref="C93:E93"/>
    <mergeCell ref="C100:E100"/>
    <mergeCell ref="C6:E6"/>
    <mergeCell ref="C16:E16"/>
    <mergeCell ref="C20:E20"/>
    <mergeCell ref="C40:E40"/>
    <mergeCell ref="C45:E45"/>
    <mergeCell ref="AQ2:BB2"/>
    <mergeCell ref="B2:E2"/>
    <mergeCell ref="B3:E3"/>
    <mergeCell ref="B1:H1"/>
    <mergeCell ref="B5:E5"/>
  </mergeCells>
  <conditionalFormatting sqref="BB203 BB220:BB221 BB235:BB243 BB231:BB233 BB212:BB213 BB225:BB226">
    <cfRule type="cellIs" dxfId="20357" priority="3353" operator="lessThan">
      <formula>0</formula>
    </cfRule>
    <cfRule type="cellIs" dxfId="20356" priority="3354" operator="lessThan">
      <formula>-105575</formula>
    </cfRule>
  </conditionalFormatting>
  <conditionalFormatting sqref="BB220 BB212:BB213 BB235:BB238 BB240:BB243 BB225:BB226 BB231:BB233">
    <cfRule type="cellIs" dxfId="20355" priority="3351" operator="lessThan">
      <formula>0</formula>
    </cfRule>
    <cfRule type="cellIs" dxfId="20354" priority="3352" operator="lessThan">
      <formula>-105575</formula>
    </cfRule>
  </conditionalFormatting>
  <conditionalFormatting sqref="BB220:BB221 BB243 BB226 BB231:BB236 BB238:BB241 BB203 BB213">
    <cfRule type="cellIs" dxfId="20353" priority="3349" operator="lessThan">
      <formula>0</formula>
    </cfRule>
    <cfRule type="cellIs" dxfId="20352" priority="3350" operator="lessThan">
      <formula>-105575</formula>
    </cfRule>
  </conditionalFormatting>
  <conditionalFormatting sqref="BB235:BB243 BB231:BB233 BB220 BB212:BB213 BB225:BB226">
    <cfRule type="cellIs" dxfId="20351" priority="3347" operator="lessThan">
      <formula>0</formula>
    </cfRule>
    <cfRule type="cellIs" dxfId="20350" priority="3348" operator="lessThan">
      <formula>-105575</formula>
    </cfRule>
  </conditionalFormatting>
  <conditionalFormatting sqref="BB220:BB221 BB237:BB243 BB203 BB231:BB235 BB212:BB213 BB225:BB226">
    <cfRule type="cellIs" dxfId="20349" priority="3345" operator="lessThan">
      <formula>0</formula>
    </cfRule>
    <cfRule type="cellIs" dxfId="20348" priority="3346" operator="lessThan">
      <formula>-105575</formula>
    </cfRule>
  </conditionalFormatting>
  <conditionalFormatting sqref="BB220:BB221 BB237:BB240 BB242:BB243 BB225:BB226 BB231:BB235">
    <cfRule type="cellIs" dxfId="20347" priority="3343" operator="lessThan">
      <formula>0</formula>
    </cfRule>
    <cfRule type="cellIs" dxfId="20346" priority="3344" operator="lessThan">
      <formula>-105575</formula>
    </cfRule>
  </conditionalFormatting>
  <conditionalFormatting sqref="BB212 BB231 BB233:BB238 BB240:BB243 BB225">
    <cfRule type="cellIs" dxfId="20345" priority="3341" operator="lessThan">
      <formula>0</formula>
    </cfRule>
    <cfRule type="cellIs" dxfId="20344" priority="3342" operator="lessThan">
      <formula>-105575</formula>
    </cfRule>
  </conditionalFormatting>
  <conditionalFormatting sqref="BB237:BB243 BB231:BB235 BB220:BB221 BB225:BB226">
    <cfRule type="cellIs" dxfId="20343" priority="3339" operator="lessThan">
      <formula>0</formula>
    </cfRule>
    <cfRule type="cellIs" dxfId="20342" priority="3340" operator="lessThan">
      <formula>-105575</formula>
    </cfRule>
  </conditionalFormatting>
  <conditionalFormatting sqref="BB233:BB237 BB231 BB239:BB243">
    <cfRule type="cellIs" dxfId="20341" priority="3337" operator="lessThan">
      <formula>0</formula>
    </cfRule>
    <cfRule type="cellIs" dxfId="20340" priority="3338" operator="lessThan">
      <formula>-105575</formula>
    </cfRule>
  </conditionalFormatting>
  <conditionalFormatting sqref="BB233:BB237 BB231 BB239:BB243">
    <cfRule type="cellIs" dxfId="20339" priority="3335" operator="lessThan">
      <formula>0</formula>
    </cfRule>
    <cfRule type="cellIs" dxfId="20338" priority="3336" operator="lessThan">
      <formula>-105575</formula>
    </cfRule>
  </conditionalFormatting>
  <conditionalFormatting sqref="BB119:BB128 BB106:BB117 BB101:BB104 BB80:BB98">
    <cfRule type="cellIs" dxfId="20337" priority="3333" operator="lessThan">
      <formula>0</formula>
    </cfRule>
    <cfRule type="cellIs" dxfId="20336" priority="3334" operator="lessThan">
      <formula>-105575</formula>
    </cfRule>
  </conditionalFormatting>
  <conditionalFormatting sqref="BB130 BB132 BB134">
    <cfRule type="cellIs" dxfId="20335" priority="3331" operator="lessThan">
      <formula>0</formula>
    </cfRule>
    <cfRule type="cellIs" dxfId="20334" priority="3332" operator="lessThan">
      <formula>-105575</formula>
    </cfRule>
  </conditionalFormatting>
  <conditionalFormatting sqref="BB130 BB132 BB134">
    <cfRule type="cellIs" dxfId="20333" priority="3329" operator="lessThan">
      <formula>0</formula>
    </cfRule>
    <cfRule type="cellIs" dxfId="20332" priority="3330" operator="lessThan">
      <formula>-105575</formula>
    </cfRule>
  </conditionalFormatting>
  <conditionalFormatting sqref="BB129 BB131 BB133 BB135">
    <cfRule type="cellIs" dxfId="20331" priority="3327" operator="lessThan">
      <formula>0</formula>
    </cfRule>
    <cfRule type="cellIs" dxfId="20330" priority="3328" operator="lessThan">
      <formula>-105575</formula>
    </cfRule>
  </conditionalFormatting>
  <conditionalFormatting sqref="BB140 BB145 BB142:BB143 BB137:BB138">
    <cfRule type="cellIs" dxfId="20329" priority="3317" operator="lessThan">
      <formula>0</formula>
    </cfRule>
    <cfRule type="cellIs" dxfId="20328" priority="3318" operator="lessThan">
      <formula>-105575</formula>
    </cfRule>
  </conditionalFormatting>
  <conditionalFormatting sqref="BB149">
    <cfRule type="cellIs" dxfId="20327" priority="3313" operator="lessThan">
      <formula>0</formula>
    </cfRule>
    <cfRule type="cellIs" dxfId="20326" priority="3314" operator="lessThan">
      <formula>-105575</formula>
    </cfRule>
  </conditionalFormatting>
  <conditionalFormatting sqref="BB129:BB138 BB140:BB149">
    <cfRule type="cellIs" dxfId="20325" priority="3311" operator="lessThan">
      <formula>0</formula>
    </cfRule>
    <cfRule type="cellIs" dxfId="20324" priority="3312" operator="lessThan">
      <formula>-105575</formula>
    </cfRule>
  </conditionalFormatting>
  <conditionalFormatting sqref="BB94:BB98 BB86:BB87 BB89:BB91 BB141:BB149 BB124:BB133 BB107:BB110 BB112:BB117 BB119:BB122 BB135:BB138 BB101:BB104 BB80:BB84">
    <cfRule type="cellIs" dxfId="20323" priority="3307" operator="lessThan">
      <formula>0</formula>
    </cfRule>
    <cfRule type="cellIs" dxfId="20322" priority="3308" operator="lessThan">
      <formula>-105575</formula>
    </cfRule>
  </conditionalFormatting>
  <conditionalFormatting sqref="BB129 BB131 BB133 BB135">
    <cfRule type="cellIs" dxfId="20321" priority="3325" operator="lessThan">
      <formula>0</formula>
    </cfRule>
    <cfRule type="cellIs" dxfId="20320" priority="3326" operator="lessThan">
      <formula>-105575</formula>
    </cfRule>
  </conditionalFormatting>
  <conditionalFormatting sqref="BB146 BB144 BB141">
    <cfRule type="cellIs" dxfId="20319" priority="3323" operator="lessThan">
      <formula>0</formula>
    </cfRule>
    <cfRule type="cellIs" dxfId="20318" priority="3324" operator="lessThan">
      <formula>-105575</formula>
    </cfRule>
  </conditionalFormatting>
  <conditionalFormatting sqref="BB146 BB144 BB141">
    <cfRule type="cellIs" dxfId="20317" priority="3321" operator="lessThan">
      <formula>0</formula>
    </cfRule>
    <cfRule type="cellIs" dxfId="20316" priority="3322" operator="lessThan">
      <formula>-105575</formula>
    </cfRule>
  </conditionalFormatting>
  <conditionalFormatting sqref="BB140 BB145 BB142:BB143 BB137:BB138">
    <cfRule type="cellIs" dxfId="20315" priority="3319" operator="lessThan">
      <formula>0</formula>
    </cfRule>
    <cfRule type="cellIs" dxfId="20314" priority="3320" operator="lessThan">
      <formula>-105575</formula>
    </cfRule>
  </conditionalFormatting>
  <conditionalFormatting sqref="BB149">
    <cfRule type="cellIs" dxfId="20313" priority="3315" operator="lessThan">
      <formula>0</formula>
    </cfRule>
    <cfRule type="cellIs" dxfId="20312" priority="3316" operator="lessThan">
      <formula>-105575</formula>
    </cfRule>
  </conditionalFormatting>
  <conditionalFormatting sqref="BB94:BB98 BB86:BB87 BB89:BB91 BB141:BB149 BB124:BB133 BB107:BB110 BB112:BB117 BB119:BB122 BB135:BB138 BB101:BB104 BB80:BB84">
    <cfRule type="cellIs" dxfId="20311" priority="3309" operator="lessThan">
      <formula>0</formula>
    </cfRule>
    <cfRule type="cellIs" dxfId="20310" priority="3310" operator="lessThan">
      <formula>-105575</formula>
    </cfRule>
  </conditionalFormatting>
  <conditionalFormatting sqref="BB246:BB249 BB262 BB267 BB279:BB282 BB285:BB288 BB274:BB275 BB306:BB309 BB311:BB325 BB327:BB330 BB332:BB341 BB344:BB347 BB349:BB353 BB355:BB358 BB360:BB384 BB386:BB389 BB392:BB395 BB397:BB411 BB413:BB416 BB418:BB432 BB434:BB437 BB439:BB453 BB455:BB458 BB460:BB469 BB7:BB10 BB12:BB14 BB17:BB18 BB21:BB24 BB26:BB28 BB30:BB36 BB38 BB41:BB43 BB46:BB49 BB51:BB55 BB57:BB59 BB62:BB76 BB251:BB253 BB255:BB257 BB293:BB304 BB264:BB265 BB260 BB290:BB291 BB270:BB272">
    <cfRule type="cellIs" dxfId="20309" priority="3357" operator="lessThan">
      <formula>0</formula>
    </cfRule>
    <cfRule type="cellIs" dxfId="20308" priority="3358" operator="lessThan">
      <formula>-105575</formula>
    </cfRule>
  </conditionalFormatting>
  <conditionalFormatting sqref="BB41">
    <cfRule type="cellIs" dxfId="20307" priority="3355" operator="lessThan">
      <formula>0</formula>
    </cfRule>
    <cfRule type="cellIs" dxfId="20306" priority="3356" operator="lessThan">
      <formula>-105575</formula>
    </cfRule>
  </conditionalFormatting>
  <conditionalFormatting sqref="BB152:BB155">
    <cfRule type="cellIs" dxfId="20305" priority="3305" operator="lessThan">
      <formula>0</formula>
    </cfRule>
    <cfRule type="cellIs" dxfId="20304" priority="3306" operator="lessThan">
      <formula>-105575</formula>
    </cfRule>
  </conditionalFormatting>
  <conditionalFormatting sqref="BB152:BB155">
    <cfRule type="cellIs" dxfId="20303" priority="3301" operator="lessThan">
      <formula>0</formula>
    </cfRule>
    <cfRule type="cellIs" dxfId="20302" priority="3302" operator="lessThan">
      <formula>-105575</formula>
    </cfRule>
  </conditionalFormatting>
  <conditionalFormatting sqref="BB152:BB155">
    <cfRule type="cellIs" dxfId="20301" priority="3303" operator="lessThan">
      <formula>0</formula>
    </cfRule>
    <cfRule type="cellIs" dxfId="20300" priority="3304" operator="lessThan">
      <formula>-105575</formula>
    </cfRule>
  </conditionalFormatting>
  <conditionalFormatting sqref="BB157:BB158">
    <cfRule type="cellIs" dxfId="20299" priority="3299" operator="lessThan">
      <formula>0</formula>
    </cfRule>
    <cfRule type="cellIs" dxfId="20298" priority="3300" operator="lessThan">
      <formula>-105575</formula>
    </cfRule>
  </conditionalFormatting>
  <conditionalFormatting sqref="BB157:BB158">
    <cfRule type="cellIs" dxfId="20297" priority="3295" operator="lessThan">
      <formula>0</formula>
    </cfRule>
    <cfRule type="cellIs" dxfId="20296" priority="3296" operator="lessThan">
      <formula>-105575</formula>
    </cfRule>
  </conditionalFormatting>
  <conditionalFormatting sqref="BB157:BB158">
    <cfRule type="cellIs" dxfId="20295" priority="3297" operator="lessThan">
      <formula>0</formula>
    </cfRule>
    <cfRule type="cellIs" dxfId="20294" priority="3298" operator="lessThan">
      <formula>-105575</formula>
    </cfRule>
  </conditionalFormatting>
  <conditionalFormatting sqref="BB160:BB161">
    <cfRule type="cellIs" dxfId="20293" priority="3293" operator="lessThan">
      <formula>0</formula>
    </cfRule>
    <cfRule type="cellIs" dxfId="20292" priority="3294" operator="lessThan">
      <formula>-105575</formula>
    </cfRule>
  </conditionalFormatting>
  <conditionalFormatting sqref="BB160:BB161">
    <cfRule type="cellIs" dxfId="20291" priority="3289" operator="lessThan">
      <formula>0</formula>
    </cfRule>
    <cfRule type="cellIs" dxfId="20290" priority="3290" operator="lessThan">
      <formula>-105575</formula>
    </cfRule>
  </conditionalFormatting>
  <conditionalFormatting sqref="BB160:BB161">
    <cfRule type="cellIs" dxfId="20289" priority="3291" operator="lessThan">
      <formula>0</formula>
    </cfRule>
    <cfRule type="cellIs" dxfId="20288" priority="3292" operator="lessThan">
      <formula>-105575</formula>
    </cfRule>
  </conditionalFormatting>
  <conditionalFormatting sqref="BB164:BB167">
    <cfRule type="cellIs" dxfId="20287" priority="3287" operator="lessThan">
      <formula>0</formula>
    </cfRule>
    <cfRule type="cellIs" dxfId="20286" priority="3288" operator="lessThan">
      <formula>-105575</formula>
    </cfRule>
  </conditionalFormatting>
  <conditionalFormatting sqref="BB164:BB167">
    <cfRule type="cellIs" dxfId="20285" priority="3283" operator="lessThan">
      <formula>0</formula>
    </cfRule>
    <cfRule type="cellIs" dxfId="20284" priority="3284" operator="lessThan">
      <formula>-105575</formula>
    </cfRule>
  </conditionalFormatting>
  <conditionalFormatting sqref="BB164:BB167">
    <cfRule type="cellIs" dxfId="20283" priority="3285" operator="lessThan">
      <formula>0</formula>
    </cfRule>
    <cfRule type="cellIs" dxfId="20282" priority="3286" operator="lessThan">
      <formula>-105575</formula>
    </cfRule>
  </conditionalFormatting>
  <conditionalFormatting sqref="BB169:BB177">
    <cfRule type="cellIs" dxfId="20281" priority="3281" operator="lessThan">
      <formula>0</formula>
    </cfRule>
    <cfRule type="cellIs" dxfId="20280" priority="3282" operator="lessThan">
      <formula>-105575</formula>
    </cfRule>
  </conditionalFormatting>
  <conditionalFormatting sqref="BB169:BB177">
    <cfRule type="cellIs" dxfId="20279" priority="3277" operator="lessThan">
      <formula>0</formula>
    </cfRule>
    <cfRule type="cellIs" dxfId="20278" priority="3278" operator="lessThan">
      <formula>-105575</formula>
    </cfRule>
  </conditionalFormatting>
  <conditionalFormatting sqref="BB169:BB177">
    <cfRule type="cellIs" dxfId="20277" priority="3279" operator="lessThan">
      <formula>0</formula>
    </cfRule>
    <cfRule type="cellIs" dxfId="20276" priority="3280" operator="lessThan">
      <formula>-105575</formula>
    </cfRule>
  </conditionalFormatting>
  <conditionalFormatting sqref="BB179:BB180">
    <cfRule type="cellIs" dxfId="20275" priority="3275" operator="lessThan">
      <formula>0</formula>
    </cfRule>
    <cfRule type="cellIs" dxfId="20274" priority="3276" operator="lessThan">
      <formula>-105575</formula>
    </cfRule>
  </conditionalFormatting>
  <conditionalFormatting sqref="BB179:BB180">
    <cfRule type="cellIs" dxfId="20273" priority="3271" operator="lessThan">
      <formula>0</formula>
    </cfRule>
    <cfRule type="cellIs" dxfId="20272" priority="3272" operator="lessThan">
      <formula>-105575</formula>
    </cfRule>
  </conditionalFormatting>
  <conditionalFormatting sqref="BB179:BB180">
    <cfRule type="cellIs" dxfId="20271" priority="3273" operator="lessThan">
      <formula>0</formula>
    </cfRule>
    <cfRule type="cellIs" dxfId="20270" priority="3274" operator="lessThan">
      <formula>-105575</formula>
    </cfRule>
  </conditionalFormatting>
  <conditionalFormatting sqref="BB183:BB189">
    <cfRule type="cellIs" dxfId="20269" priority="3269" operator="lessThan">
      <formula>0</formula>
    </cfRule>
    <cfRule type="cellIs" dxfId="20268" priority="3270" operator="lessThan">
      <formula>-105575</formula>
    </cfRule>
  </conditionalFormatting>
  <conditionalFormatting sqref="BB183:BB189">
    <cfRule type="cellIs" dxfId="20267" priority="3265" operator="lessThan">
      <formula>0</formula>
    </cfRule>
    <cfRule type="cellIs" dxfId="20266" priority="3266" operator="lessThan">
      <formula>-105575</formula>
    </cfRule>
  </conditionalFormatting>
  <conditionalFormatting sqref="BB183:BB189">
    <cfRule type="cellIs" dxfId="20265" priority="3267" operator="lessThan">
      <formula>0</formula>
    </cfRule>
    <cfRule type="cellIs" dxfId="20264" priority="3268" operator="lessThan">
      <formula>-105575</formula>
    </cfRule>
  </conditionalFormatting>
  <conditionalFormatting sqref="BB191:BB192">
    <cfRule type="cellIs" dxfId="20263" priority="3263" operator="lessThan">
      <formula>0</formula>
    </cfRule>
    <cfRule type="cellIs" dxfId="20262" priority="3264" operator="lessThan">
      <formula>-105575</formula>
    </cfRule>
  </conditionalFormatting>
  <conditionalFormatting sqref="BB191:BB192">
    <cfRule type="cellIs" dxfId="20261" priority="3259" operator="lessThan">
      <formula>0</formula>
    </cfRule>
    <cfRule type="cellIs" dxfId="20260" priority="3260" operator="lessThan">
      <formula>-105575</formula>
    </cfRule>
  </conditionalFormatting>
  <conditionalFormatting sqref="BB191:BB192">
    <cfRule type="cellIs" dxfId="20259" priority="3261" operator="lessThan">
      <formula>0</formula>
    </cfRule>
    <cfRule type="cellIs" dxfId="20258" priority="3262" operator="lessThan">
      <formula>-105575</formula>
    </cfRule>
  </conditionalFormatting>
  <conditionalFormatting sqref="BB194:BB195">
    <cfRule type="cellIs" dxfId="20257" priority="3257" operator="lessThan">
      <formula>0</formula>
    </cfRule>
    <cfRule type="cellIs" dxfId="20256" priority="3258" operator="lessThan">
      <formula>-105575</formula>
    </cfRule>
  </conditionalFormatting>
  <conditionalFormatting sqref="BB194:BB195">
    <cfRule type="cellIs" dxfId="20255" priority="3253" operator="lessThan">
      <formula>0</formula>
    </cfRule>
    <cfRule type="cellIs" dxfId="20254" priority="3254" operator="lessThan">
      <formula>-105575</formula>
    </cfRule>
  </conditionalFormatting>
  <conditionalFormatting sqref="BB194:BB195">
    <cfRule type="cellIs" dxfId="20253" priority="3255" operator="lessThan">
      <formula>0</formula>
    </cfRule>
    <cfRule type="cellIs" dxfId="20252" priority="3256" operator="lessThan">
      <formula>-105575</formula>
    </cfRule>
  </conditionalFormatting>
  <conditionalFormatting sqref="BB199:BB202">
    <cfRule type="cellIs" dxfId="20251" priority="3251" operator="lessThan">
      <formula>0</formula>
    </cfRule>
    <cfRule type="cellIs" dxfId="20250" priority="3252" operator="lessThan">
      <formula>-105575</formula>
    </cfRule>
  </conditionalFormatting>
  <conditionalFormatting sqref="BB199:BB202">
    <cfRule type="cellIs" dxfId="20249" priority="3247" operator="lessThan">
      <formula>0</formula>
    </cfRule>
    <cfRule type="cellIs" dxfId="20248" priority="3248" operator="lessThan">
      <formula>-105575</formula>
    </cfRule>
  </conditionalFormatting>
  <conditionalFormatting sqref="BB199:BB202">
    <cfRule type="cellIs" dxfId="20247" priority="3249" operator="lessThan">
      <formula>0</formula>
    </cfRule>
    <cfRule type="cellIs" dxfId="20246" priority="3250" operator="lessThan">
      <formula>-105575</formula>
    </cfRule>
  </conditionalFormatting>
  <conditionalFormatting sqref="BB204:BB208">
    <cfRule type="cellIs" dxfId="20245" priority="3245" operator="lessThan">
      <formula>0</formula>
    </cfRule>
    <cfRule type="cellIs" dxfId="20244" priority="3246" operator="lessThan">
      <formula>-105575</formula>
    </cfRule>
  </conditionalFormatting>
  <conditionalFormatting sqref="BB204:BB208">
    <cfRule type="cellIs" dxfId="20243" priority="3241" operator="lessThan">
      <formula>0</formula>
    </cfRule>
    <cfRule type="cellIs" dxfId="20242" priority="3242" operator="lessThan">
      <formula>-105575</formula>
    </cfRule>
  </conditionalFormatting>
  <conditionalFormatting sqref="BB204:BB208">
    <cfRule type="cellIs" dxfId="20241" priority="3243" operator="lessThan">
      <formula>0</formula>
    </cfRule>
    <cfRule type="cellIs" dxfId="20240" priority="3244" operator="lessThan">
      <formula>-105575</formula>
    </cfRule>
  </conditionalFormatting>
  <conditionalFormatting sqref="BB210:BB211">
    <cfRule type="cellIs" dxfId="20239" priority="3239" operator="lessThan">
      <formula>0</formula>
    </cfRule>
    <cfRule type="cellIs" dxfId="20238" priority="3240" operator="lessThan">
      <formula>-105575</formula>
    </cfRule>
  </conditionalFormatting>
  <conditionalFormatting sqref="BB210:BB211">
    <cfRule type="cellIs" dxfId="20237" priority="3235" operator="lessThan">
      <formula>0</formula>
    </cfRule>
    <cfRule type="cellIs" dxfId="20236" priority="3236" operator="lessThan">
      <formula>-105575</formula>
    </cfRule>
  </conditionalFormatting>
  <conditionalFormatting sqref="BB210:BB211">
    <cfRule type="cellIs" dxfId="20235" priority="3237" operator="lessThan">
      <formula>0</formula>
    </cfRule>
    <cfRule type="cellIs" dxfId="20234" priority="3238" operator="lessThan">
      <formula>-105575</formula>
    </cfRule>
  </conditionalFormatting>
  <conditionalFormatting sqref="BB214:BB219">
    <cfRule type="cellIs" dxfId="20233" priority="3233" operator="lessThan">
      <formula>0</formula>
    </cfRule>
    <cfRule type="cellIs" dxfId="20232" priority="3234" operator="lessThan">
      <formula>-105575</formula>
    </cfRule>
  </conditionalFormatting>
  <conditionalFormatting sqref="BB214:BB219">
    <cfRule type="cellIs" dxfId="20231" priority="3229" operator="lessThan">
      <formula>0</formula>
    </cfRule>
    <cfRule type="cellIs" dxfId="20230" priority="3230" operator="lessThan">
      <formula>-105575</formula>
    </cfRule>
  </conditionalFormatting>
  <conditionalFormatting sqref="BB214:BB219">
    <cfRule type="cellIs" dxfId="20229" priority="3231" operator="lessThan">
      <formula>0</formula>
    </cfRule>
    <cfRule type="cellIs" dxfId="20228" priority="3232" operator="lessThan">
      <formula>-105575</formula>
    </cfRule>
  </conditionalFormatting>
  <conditionalFormatting sqref="BB222:BB224">
    <cfRule type="cellIs" dxfId="20227" priority="3227" operator="lessThan">
      <formula>0</formula>
    </cfRule>
    <cfRule type="cellIs" dxfId="20226" priority="3228" operator="lessThan">
      <formula>-105575</formula>
    </cfRule>
  </conditionalFormatting>
  <conditionalFormatting sqref="BB222:BB224">
    <cfRule type="cellIs" dxfId="20225" priority="3223" operator="lessThan">
      <formula>0</formula>
    </cfRule>
    <cfRule type="cellIs" dxfId="20224" priority="3224" operator="lessThan">
      <formula>-105575</formula>
    </cfRule>
  </conditionalFormatting>
  <conditionalFormatting sqref="BB222:BB224">
    <cfRule type="cellIs" dxfId="20223" priority="3225" operator="lessThan">
      <formula>0</formula>
    </cfRule>
    <cfRule type="cellIs" dxfId="20222" priority="3226" operator="lessThan">
      <formula>-105575</formula>
    </cfRule>
  </conditionalFormatting>
  <conditionalFormatting sqref="BB227:BB230">
    <cfRule type="cellIs" dxfId="20221" priority="3221" operator="lessThan">
      <formula>0</formula>
    </cfRule>
    <cfRule type="cellIs" dxfId="20220" priority="3222" operator="lessThan">
      <formula>-105575</formula>
    </cfRule>
  </conditionalFormatting>
  <conditionalFormatting sqref="BB227:BB230">
    <cfRule type="cellIs" dxfId="20219" priority="3217" operator="lessThan">
      <formula>0</formula>
    </cfRule>
    <cfRule type="cellIs" dxfId="20218" priority="3218" operator="lessThan">
      <formula>-105575</formula>
    </cfRule>
  </conditionalFormatting>
  <conditionalFormatting sqref="BB227:BB230">
    <cfRule type="cellIs" dxfId="20217" priority="3219" operator="lessThan">
      <formula>0</formula>
    </cfRule>
    <cfRule type="cellIs" dxfId="20216" priority="3220" operator="lessThan">
      <formula>-105575</formula>
    </cfRule>
  </conditionalFormatting>
  <conditionalFormatting sqref="BB203 BB220:BB221 BB235:BB243 BB231:BB233 BB212:BB213 BB225:BB226">
    <cfRule type="cellIs" dxfId="20215" priority="3215" operator="lessThan">
      <formula>0</formula>
    </cfRule>
    <cfRule type="cellIs" dxfId="20214" priority="3216" operator="lessThan">
      <formula>-105575</formula>
    </cfRule>
  </conditionalFormatting>
  <conditionalFormatting sqref="BB220 BB212:BB213 BB235:BB238 BB240:BB243 BB225:BB226 BB231:BB233">
    <cfRule type="cellIs" dxfId="20213" priority="3213" operator="lessThan">
      <formula>0</formula>
    </cfRule>
    <cfRule type="cellIs" dxfId="20212" priority="3214" operator="lessThan">
      <formula>-105575</formula>
    </cfRule>
  </conditionalFormatting>
  <conditionalFormatting sqref="BB220:BB221 BB243 BB226 BB231:BB236 BB238:BB241 BB203 BB213">
    <cfRule type="cellIs" dxfId="20211" priority="3211" operator="lessThan">
      <formula>0</formula>
    </cfRule>
    <cfRule type="cellIs" dxfId="20210" priority="3212" operator="lessThan">
      <formula>-105575</formula>
    </cfRule>
  </conditionalFormatting>
  <conditionalFormatting sqref="BB235:BB243 BB231:BB233 BB220 BB212:BB213 BB225:BB226">
    <cfRule type="cellIs" dxfId="20209" priority="3209" operator="lessThan">
      <formula>0</formula>
    </cfRule>
    <cfRule type="cellIs" dxfId="20208" priority="3210" operator="lessThan">
      <formula>-105575</formula>
    </cfRule>
  </conditionalFormatting>
  <conditionalFormatting sqref="BB220:BB221 BB237:BB243 BB203 BB231:BB235 BB212:BB213 BB225:BB226">
    <cfRule type="cellIs" dxfId="20207" priority="3207" operator="lessThan">
      <formula>0</formula>
    </cfRule>
    <cfRule type="cellIs" dxfId="20206" priority="3208" operator="lessThan">
      <formula>-105575</formula>
    </cfRule>
  </conditionalFormatting>
  <conditionalFormatting sqref="BB220:BB221 BB237:BB240 BB242:BB243 BB225:BB226 BB231:BB235">
    <cfRule type="cellIs" dxfId="20205" priority="3205" operator="lessThan">
      <formula>0</formula>
    </cfRule>
    <cfRule type="cellIs" dxfId="20204" priority="3206" operator="lessThan">
      <formula>-105575</formula>
    </cfRule>
  </conditionalFormatting>
  <conditionalFormatting sqref="BB212 BB231 BB233:BB238 BB240:BB243 BB225">
    <cfRule type="cellIs" dxfId="20203" priority="3203" operator="lessThan">
      <formula>0</formula>
    </cfRule>
    <cfRule type="cellIs" dxfId="20202" priority="3204" operator="lessThan">
      <formula>-105575</formula>
    </cfRule>
  </conditionalFormatting>
  <conditionalFormatting sqref="BB237:BB243 BB231:BB235 BB220:BB221 BB225:BB226">
    <cfRule type="cellIs" dxfId="20201" priority="3201" operator="lessThan">
      <formula>0</formula>
    </cfRule>
    <cfRule type="cellIs" dxfId="20200" priority="3202" operator="lessThan">
      <formula>-105575</formula>
    </cfRule>
  </conditionalFormatting>
  <conditionalFormatting sqref="BB233:BB237 BB231 BB239:BB243">
    <cfRule type="cellIs" dxfId="20199" priority="3199" operator="lessThan">
      <formula>0</formula>
    </cfRule>
    <cfRule type="cellIs" dxfId="20198" priority="3200" operator="lessThan">
      <formula>-105575</formula>
    </cfRule>
  </conditionalFormatting>
  <conditionalFormatting sqref="BB233:BB237 BB231 BB239:BB243">
    <cfRule type="cellIs" dxfId="20197" priority="3197" operator="lessThan">
      <formula>0</formula>
    </cfRule>
    <cfRule type="cellIs" dxfId="20196" priority="3198" operator="lessThan">
      <formula>-105575</formula>
    </cfRule>
  </conditionalFormatting>
  <conditionalFormatting sqref="BB119:BB128 BB106:BB117 BB101:BB104 BB80:BB98">
    <cfRule type="cellIs" dxfId="20195" priority="3195" operator="lessThan">
      <formula>0</formula>
    </cfRule>
    <cfRule type="cellIs" dxfId="20194" priority="3196" operator="lessThan">
      <formula>-105575</formula>
    </cfRule>
  </conditionalFormatting>
  <conditionalFormatting sqref="BB130 BB132 BB134">
    <cfRule type="cellIs" dxfId="20193" priority="3193" operator="lessThan">
      <formula>0</formula>
    </cfRule>
    <cfRule type="cellIs" dxfId="20192" priority="3194" operator="lessThan">
      <formula>-105575</formula>
    </cfRule>
  </conditionalFormatting>
  <conditionalFormatting sqref="BB130 BB132 BB134">
    <cfRule type="cellIs" dxfId="20191" priority="3191" operator="lessThan">
      <formula>0</formula>
    </cfRule>
    <cfRule type="cellIs" dxfId="20190" priority="3192" operator="lessThan">
      <formula>-105575</formula>
    </cfRule>
  </conditionalFormatting>
  <conditionalFormatting sqref="BB129 BB131 BB133 BB135">
    <cfRule type="cellIs" dxfId="20189" priority="3189" operator="lessThan">
      <formula>0</formula>
    </cfRule>
    <cfRule type="cellIs" dxfId="20188" priority="3190" operator="lessThan">
      <formula>-105575</formula>
    </cfRule>
  </conditionalFormatting>
  <conditionalFormatting sqref="BB140 BB145 BB142:BB143 BB137:BB138">
    <cfRule type="cellIs" dxfId="20187" priority="3187" operator="lessThan">
      <formula>0</formula>
    </cfRule>
    <cfRule type="cellIs" dxfId="20186" priority="3188" operator="lessThan">
      <formula>-105575</formula>
    </cfRule>
  </conditionalFormatting>
  <conditionalFormatting sqref="BB149">
    <cfRule type="cellIs" dxfId="20185" priority="3185" operator="lessThan">
      <formula>0</formula>
    </cfRule>
    <cfRule type="cellIs" dxfId="20184" priority="3186" operator="lessThan">
      <formula>-105575</formula>
    </cfRule>
  </conditionalFormatting>
  <conditionalFormatting sqref="BB129:BB138 BB140:BB149">
    <cfRule type="cellIs" dxfId="20183" priority="3183" operator="lessThan">
      <formula>0</formula>
    </cfRule>
    <cfRule type="cellIs" dxfId="20182" priority="3184" operator="lessThan">
      <formula>-105575</formula>
    </cfRule>
  </conditionalFormatting>
  <conditionalFormatting sqref="BB94:BB98 BB86:BB87 BB89:BB91 BB141:BB149 BB124:BB133 BB107:BB110 BB112:BB117 BB119:BB122 BB135:BB138 BB101:BB104 BB80:BB84">
    <cfRule type="cellIs" dxfId="20181" priority="3181" operator="lessThan">
      <formula>0</formula>
    </cfRule>
    <cfRule type="cellIs" dxfId="20180" priority="3182" operator="lessThan">
      <formula>-105575</formula>
    </cfRule>
  </conditionalFormatting>
  <conditionalFormatting sqref="BB129 BB131 BB133 BB135">
    <cfRule type="cellIs" dxfId="20179" priority="3179" operator="lessThan">
      <formula>0</formula>
    </cfRule>
    <cfRule type="cellIs" dxfId="20178" priority="3180" operator="lessThan">
      <formula>-105575</formula>
    </cfRule>
  </conditionalFormatting>
  <conditionalFormatting sqref="BB146 BB144 BB141">
    <cfRule type="cellIs" dxfId="20177" priority="3177" operator="lessThan">
      <formula>0</formula>
    </cfRule>
    <cfRule type="cellIs" dxfId="20176" priority="3178" operator="lessThan">
      <formula>-105575</formula>
    </cfRule>
  </conditionalFormatting>
  <conditionalFormatting sqref="BB146 BB144 BB141">
    <cfRule type="cellIs" dxfId="20175" priority="3175" operator="lessThan">
      <formula>0</formula>
    </cfRule>
    <cfRule type="cellIs" dxfId="20174" priority="3176" operator="lessThan">
      <formula>-105575</formula>
    </cfRule>
  </conditionalFormatting>
  <conditionalFormatting sqref="BB140 BB145 BB142:BB143 BB137:BB138">
    <cfRule type="cellIs" dxfId="20173" priority="3173" operator="lessThan">
      <formula>0</formula>
    </cfRule>
    <cfRule type="cellIs" dxfId="20172" priority="3174" operator="lessThan">
      <formula>-105575</formula>
    </cfRule>
  </conditionalFormatting>
  <conditionalFormatting sqref="BB149">
    <cfRule type="cellIs" dxfId="20171" priority="3171" operator="lessThan">
      <formula>0</formula>
    </cfRule>
    <cfRule type="cellIs" dxfId="20170" priority="3172" operator="lessThan">
      <formula>-105575</formula>
    </cfRule>
  </conditionalFormatting>
  <conditionalFormatting sqref="BB94:BB98 BB86:BB87 BB89:BB91 BB141:BB149 BB124:BB133 BB107:BB110 BB112:BB117 BB119:BB122 BB135:BB138 BB101:BB104 BB80:BB84">
    <cfRule type="cellIs" dxfId="20169" priority="3169" operator="lessThan">
      <formula>0</formula>
    </cfRule>
    <cfRule type="cellIs" dxfId="20168" priority="3170" operator="lessThan">
      <formula>-105575</formula>
    </cfRule>
  </conditionalFormatting>
  <conditionalFormatting sqref="BB62:BB76 BB306:BB309 BB311:BB325 BB327:BB330 BB332:BB341 BB344:BB347 BB349:BB353 BB355:BB358 BB360:BB384 BB386:BB389 BB392:BB395 BB397:BB411 BB413:BB416 BB418:BB432 BB434:BB437 BB439:BB453 BB455:BB458 BB460:BB469 BB7:BB10 BB12:BB14 BB17:BB18 BB21:BB24 BB26:BB28 BB30:BB36 BB38 BB41:BB43 BB46:BB49 BB51:BB55 BB57:BB59 BB290:BB291 BB293:BB304">
    <cfRule type="cellIs" dxfId="20167" priority="3167" operator="lessThan">
      <formula>0</formula>
    </cfRule>
    <cfRule type="cellIs" dxfId="20166" priority="3168" operator="lessThan">
      <formula>-105575</formula>
    </cfRule>
  </conditionalFormatting>
  <conditionalFormatting sqref="BB41">
    <cfRule type="cellIs" dxfId="20165" priority="3165" operator="lessThan">
      <formula>0</formula>
    </cfRule>
    <cfRule type="cellIs" dxfId="20164" priority="3166" operator="lessThan">
      <formula>-105575</formula>
    </cfRule>
  </conditionalFormatting>
  <conditionalFormatting sqref="BB152:BB155">
    <cfRule type="cellIs" dxfId="20163" priority="3163" operator="lessThan">
      <formula>0</formula>
    </cfRule>
    <cfRule type="cellIs" dxfId="20162" priority="3164" operator="lessThan">
      <formula>-105575</formula>
    </cfRule>
  </conditionalFormatting>
  <conditionalFormatting sqref="BB152:BB155">
    <cfRule type="cellIs" dxfId="20161" priority="3161" operator="lessThan">
      <formula>0</formula>
    </cfRule>
    <cfRule type="cellIs" dxfId="20160" priority="3162" operator="lessThan">
      <formula>-105575</formula>
    </cfRule>
  </conditionalFormatting>
  <conditionalFormatting sqref="BB152:BB155">
    <cfRule type="cellIs" dxfId="20159" priority="3159" operator="lessThan">
      <formula>0</formula>
    </cfRule>
    <cfRule type="cellIs" dxfId="20158" priority="3160" operator="lessThan">
      <formula>-105575</formula>
    </cfRule>
  </conditionalFormatting>
  <conditionalFormatting sqref="BB157:BB158">
    <cfRule type="cellIs" dxfId="20157" priority="3157" operator="lessThan">
      <formula>0</formula>
    </cfRule>
    <cfRule type="cellIs" dxfId="20156" priority="3158" operator="lessThan">
      <formula>-105575</formula>
    </cfRule>
  </conditionalFormatting>
  <conditionalFormatting sqref="BB157:BB158">
    <cfRule type="cellIs" dxfId="20155" priority="3155" operator="lessThan">
      <formula>0</formula>
    </cfRule>
    <cfRule type="cellIs" dxfId="20154" priority="3156" operator="lessThan">
      <formula>-105575</formula>
    </cfRule>
  </conditionalFormatting>
  <conditionalFormatting sqref="BB157:BB158">
    <cfRule type="cellIs" dxfId="20153" priority="3153" operator="lessThan">
      <formula>0</formula>
    </cfRule>
    <cfRule type="cellIs" dxfId="20152" priority="3154" operator="lessThan">
      <formula>-105575</formula>
    </cfRule>
  </conditionalFormatting>
  <conditionalFormatting sqref="BB160:BB161">
    <cfRule type="cellIs" dxfId="20151" priority="3151" operator="lessThan">
      <formula>0</formula>
    </cfRule>
    <cfRule type="cellIs" dxfId="20150" priority="3152" operator="lessThan">
      <formula>-105575</formula>
    </cfRule>
  </conditionalFormatting>
  <conditionalFormatting sqref="BB160:BB161">
    <cfRule type="cellIs" dxfId="20149" priority="3149" operator="lessThan">
      <formula>0</formula>
    </cfRule>
    <cfRule type="cellIs" dxfId="20148" priority="3150" operator="lessThan">
      <formula>-105575</formula>
    </cfRule>
  </conditionalFormatting>
  <conditionalFormatting sqref="BB160:BB161">
    <cfRule type="cellIs" dxfId="20147" priority="3147" operator="lessThan">
      <formula>0</formula>
    </cfRule>
    <cfRule type="cellIs" dxfId="20146" priority="3148" operator="lessThan">
      <formula>-105575</formula>
    </cfRule>
  </conditionalFormatting>
  <conditionalFormatting sqref="BB164:BB167">
    <cfRule type="cellIs" dxfId="20145" priority="3145" operator="lessThan">
      <formula>0</formula>
    </cfRule>
    <cfRule type="cellIs" dxfId="20144" priority="3146" operator="lessThan">
      <formula>-105575</formula>
    </cfRule>
  </conditionalFormatting>
  <conditionalFormatting sqref="BB164:BB167">
    <cfRule type="cellIs" dxfId="20143" priority="3143" operator="lessThan">
      <formula>0</formula>
    </cfRule>
    <cfRule type="cellIs" dxfId="20142" priority="3144" operator="lessThan">
      <formula>-105575</formula>
    </cfRule>
  </conditionalFormatting>
  <conditionalFormatting sqref="BB164:BB167">
    <cfRule type="cellIs" dxfId="20141" priority="3141" operator="lessThan">
      <formula>0</formula>
    </cfRule>
    <cfRule type="cellIs" dxfId="20140" priority="3142" operator="lessThan">
      <formula>-105575</formula>
    </cfRule>
  </conditionalFormatting>
  <conditionalFormatting sqref="BB169:BB177">
    <cfRule type="cellIs" dxfId="20139" priority="3139" operator="lessThan">
      <formula>0</formula>
    </cfRule>
    <cfRule type="cellIs" dxfId="20138" priority="3140" operator="lessThan">
      <formula>-105575</formula>
    </cfRule>
  </conditionalFormatting>
  <conditionalFormatting sqref="BB169:BB177">
    <cfRule type="cellIs" dxfId="20137" priority="3137" operator="lessThan">
      <formula>0</formula>
    </cfRule>
    <cfRule type="cellIs" dxfId="20136" priority="3138" operator="lessThan">
      <formula>-105575</formula>
    </cfRule>
  </conditionalFormatting>
  <conditionalFormatting sqref="BB169:BB177">
    <cfRule type="cellIs" dxfId="20135" priority="3135" operator="lessThan">
      <formula>0</formula>
    </cfRule>
    <cfRule type="cellIs" dxfId="20134" priority="3136" operator="lessThan">
      <formula>-105575</formula>
    </cfRule>
  </conditionalFormatting>
  <conditionalFormatting sqref="BB179:BB180">
    <cfRule type="cellIs" dxfId="20133" priority="3133" operator="lessThan">
      <formula>0</formula>
    </cfRule>
    <cfRule type="cellIs" dxfId="20132" priority="3134" operator="lessThan">
      <formula>-105575</formula>
    </cfRule>
  </conditionalFormatting>
  <conditionalFormatting sqref="BB179:BB180">
    <cfRule type="cellIs" dxfId="20131" priority="3131" operator="lessThan">
      <formula>0</formula>
    </cfRule>
    <cfRule type="cellIs" dxfId="20130" priority="3132" operator="lessThan">
      <formula>-105575</formula>
    </cfRule>
  </conditionalFormatting>
  <conditionalFormatting sqref="BB179:BB180">
    <cfRule type="cellIs" dxfId="20129" priority="3129" operator="lessThan">
      <formula>0</formula>
    </cfRule>
    <cfRule type="cellIs" dxfId="20128" priority="3130" operator="lessThan">
      <formula>-105575</formula>
    </cfRule>
  </conditionalFormatting>
  <conditionalFormatting sqref="BB183:BB189">
    <cfRule type="cellIs" dxfId="20127" priority="3127" operator="lessThan">
      <formula>0</formula>
    </cfRule>
    <cfRule type="cellIs" dxfId="20126" priority="3128" operator="lessThan">
      <formula>-105575</formula>
    </cfRule>
  </conditionalFormatting>
  <conditionalFormatting sqref="BB183:BB189">
    <cfRule type="cellIs" dxfId="20125" priority="3125" operator="lessThan">
      <formula>0</formula>
    </cfRule>
    <cfRule type="cellIs" dxfId="20124" priority="3126" operator="lessThan">
      <formula>-105575</formula>
    </cfRule>
  </conditionalFormatting>
  <conditionalFormatting sqref="BB183:BB189">
    <cfRule type="cellIs" dxfId="20123" priority="3123" operator="lessThan">
      <formula>0</formula>
    </cfRule>
    <cfRule type="cellIs" dxfId="20122" priority="3124" operator="lessThan">
      <formula>-105575</formula>
    </cfRule>
  </conditionalFormatting>
  <conditionalFormatting sqref="BB191:BB192">
    <cfRule type="cellIs" dxfId="20121" priority="3121" operator="lessThan">
      <formula>0</formula>
    </cfRule>
    <cfRule type="cellIs" dxfId="20120" priority="3122" operator="lessThan">
      <formula>-105575</formula>
    </cfRule>
  </conditionalFormatting>
  <conditionalFormatting sqref="BB191:BB192">
    <cfRule type="cellIs" dxfId="20119" priority="3119" operator="lessThan">
      <formula>0</formula>
    </cfRule>
    <cfRule type="cellIs" dxfId="20118" priority="3120" operator="lessThan">
      <formula>-105575</formula>
    </cfRule>
  </conditionalFormatting>
  <conditionalFormatting sqref="BB191:BB192">
    <cfRule type="cellIs" dxfId="20117" priority="3117" operator="lessThan">
      <formula>0</formula>
    </cfRule>
    <cfRule type="cellIs" dxfId="20116" priority="3118" operator="lessThan">
      <formula>-105575</formula>
    </cfRule>
  </conditionalFormatting>
  <conditionalFormatting sqref="BB194:BB195">
    <cfRule type="cellIs" dxfId="20115" priority="3115" operator="lessThan">
      <formula>0</formula>
    </cfRule>
    <cfRule type="cellIs" dxfId="20114" priority="3116" operator="lessThan">
      <formula>-105575</formula>
    </cfRule>
  </conditionalFormatting>
  <conditionalFormatting sqref="BB194:BB195">
    <cfRule type="cellIs" dxfId="20113" priority="3113" operator="lessThan">
      <formula>0</formula>
    </cfRule>
    <cfRule type="cellIs" dxfId="20112" priority="3114" operator="lessThan">
      <formula>-105575</formula>
    </cfRule>
  </conditionalFormatting>
  <conditionalFormatting sqref="BB194:BB195">
    <cfRule type="cellIs" dxfId="20111" priority="3111" operator="lessThan">
      <formula>0</formula>
    </cfRule>
    <cfRule type="cellIs" dxfId="20110" priority="3112" operator="lessThan">
      <formula>-105575</formula>
    </cfRule>
  </conditionalFormatting>
  <conditionalFormatting sqref="BB199:BB202">
    <cfRule type="cellIs" dxfId="20109" priority="3109" operator="lessThan">
      <formula>0</formula>
    </cfRule>
    <cfRule type="cellIs" dxfId="20108" priority="3110" operator="lessThan">
      <formula>-105575</formula>
    </cfRule>
  </conditionalFormatting>
  <conditionalFormatting sqref="BB199:BB202">
    <cfRule type="cellIs" dxfId="20107" priority="3107" operator="lessThan">
      <formula>0</formula>
    </cfRule>
    <cfRule type="cellIs" dxfId="20106" priority="3108" operator="lessThan">
      <formula>-105575</formula>
    </cfRule>
  </conditionalFormatting>
  <conditionalFormatting sqref="BB199:BB202">
    <cfRule type="cellIs" dxfId="20105" priority="3105" operator="lessThan">
      <formula>0</formula>
    </cfRule>
    <cfRule type="cellIs" dxfId="20104" priority="3106" operator="lessThan">
      <formula>-105575</formula>
    </cfRule>
  </conditionalFormatting>
  <conditionalFormatting sqref="BB204:BB208">
    <cfRule type="cellIs" dxfId="20103" priority="3103" operator="lessThan">
      <formula>0</formula>
    </cfRule>
    <cfRule type="cellIs" dxfId="20102" priority="3104" operator="lessThan">
      <formula>-105575</formula>
    </cfRule>
  </conditionalFormatting>
  <conditionalFormatting sqref="BB204:BB208">
    <cfRule type="cellIs" dxfId="20101" priority="3101" operator="lessThan">
      <formula>0</formula>
    </cfRule>
    <cfRule type="cellIs" dxfId="20100" priority="3102" operator="lessThan">
      <formula>-105575</formula>
    </cfRule>
  </conditionalFormatting>
  <conditionalFormatting sqref="BB204:BB208">
    <cfRule type="cellIs" dxfId="20099" priority="3099" operator="lessThan">
      <formula>0</formula>
    </cfRule>
    <cfRule type="cellIs" dxfId="20098" priority="3100" operator="lessThan">
      <formula>-105575</formula>
    </cfRule>
  </conditionalFormatting>
  <conditionalFormatting sqref="BB210:BB211">
    <cfRule type="cellIs" dxfId="20097" priority="3097" operator="lessThan">
      <formula>0</formula>
    </cfRule>
    <cfRule type="cellIs" dxfId="20096" priority="3098" operator="lessThan">
      <formula>-105575</formula>
    </cfRule>
  </conditionalFormatting>
  <conditionalFormatting sqref="BB210:BB211">
    <cfRule type="cellIs" dxfId="20095" priority="3095" operator="lessThan">
      <formula>0</formula>
    </cfRule>
    <cfRule type="cellIs" dxfId="20094" priority="3096" operator="lessThan">
      <formula>-105575</formula>
    </cfRule>
  </conditionalFormatting>
  <conditionalFormatting sqref="BB210:BB211">
    <cfRule type="cellIs" dxfId="20093" priority="3093" operator="lessThan">
      <formula>0</formula>
    </cfRule>
    <cfRule type="cellIs" dxfId="20092" priority="3094" operator="lessThan">
      <formula>-105575</formula>
    </cfRule>
  </conditionalFormatting>
  <conditionalFormatting sqref="BB214:BB219">
    <cfRule type="cellIs" dxfId="20091" priority="3091" operator="lessThan">
      <formula>0</formula>
    </cfRule>
    <cfRule type="cellIs" dxfId="20090" priority="3092" operator="lessThan">
      <formula>-105575</formula>
    </cfRule>
  </conditionalFormatting>
  <conditionalFormatting sqref="BB214:BB219">
    <cfRule type="cellIs" dxfId="20089" priority="3089" operator="lessThan">
      <formula>0</formula>
    </cfRule>
    <cfRule type="cellIs" dxfId="20088" priority="3090" operator="lessThan">
      <formula>-105575</formula>
    </cfRule>
  </conditionalFormatting>
  <conditionalFormatting sqref="BB214:BB219">
    <cfRule type="cellIs" dxfId="20087" priority="3087" operator="lessThan">
      <formula>0</formula>
    </cfRule>
    <cfRule type="cellIs" dxfId="20086" priority="3088" operator="lessThan">
      <formula>-105575</formula>
    </cfRule>
  </conditionalFormatting>
  <conditionalFormatting sqref="BB222:BB224">
    <cfRule type="cellIs" dxfId="20085" priority="3085" operator="lessThan">
      <formula>0</formula>
    </cfRule>
    <cfRule type="cellIs" dxfId="20084" priority="3086" operator="lessThan">
      <formula>-105575</formula>
    </cfRule>
  </conditionalFormatting>
  <conditionalFormatting sqref="BB222:BB224">
    <cfRule type="cellIs" dxfId="20083" priority="3083" operator="lessThan">
      <formula>0</formula>
    </cfRule>
    <cfRule type="cellIs" dxfId="20082" priority="3084" operator="lessThan">
      <formula>-105575</formula>
    </cfRule>
  </conditionalFormatting>
  <conditionalFormatting sqref="BB222:BB224">
    <cfRule type="cellIs" dxfId="20081" priority="3081" operator="lessThan">
      <formula>0</formula>
    </cfRule>
    <cfRule type="cellIs" dxfId="20080" priority="3082" operator="lessThan">
      <formula>-105575</formula>
    </cfRule>
  </conditionalFormatting>
  <conditionalFormatting sqref="BB227:BB230">
    <cfRule type="cellIs" dxfId="20079" priority="3079" operator="lessThan">
      <formula>0</formula>
    </cfRule>
    <cfRule type="cellIs" dxfId="20078" priority="3080" operator="lessThan">
      <formula>-105575</formula>
    </cfRule>
  </conditionalFormatting>
  <conditionalFormatting sqref="BB227:BB230">
    <cfRule type="cellIs" dxfId="20077" priority="3077" operator="lessThan">
      <formula>0</formula>
    </cfRule>
    <cfRule type="cellIs" dxfId="20076" priority="3078" operator="lessThan">
      <formula>-105575</formula>
    </cfRule>
  </conditionalFormatting>
  <conditionalFormatting sqref="BB227:BB230">
    <cfRule type="cellIs" dxfId="20075" priority="3075" operator="lessThan">
      <formula>0</formula>
    </cfRule>
    <cfRule type="cellIs" dxfId="20074" priority="3076" operator="lessThan">
      <formula>-105575</formula>
    </cfRule>
  </conditionalFormatting>
  <conditionalFormatting sqref="BB246:BB249">
    <cfRule type="cellIs" dxfId="20073" priority="3073" operator="lessThan">
      <formula>0</formula>
    </cfRule>
    <cfRule type="cellIs" dxfId="20072" priority="3074" operator="lessThan">
      <formula>-105575</formula>
    </cfRule>
  </conditionalFormatting>
  <conditionalFormatting sqref="BB246:BB249">
    <cfRule type="cellIs" dxfId="20071" priority="3071" operator="lessThan">
      <formula>0</formula>
    </cfRule>
    <cfRule type="cellIs" dxfId="20070" priority="3072" operator="lessThan">
      <formula>-105575</formula>
    </cfRule>
  </conditionalFormatting>
  <conditionalFormatting sqref="BB246:BB249">
    <cfRule type="cellIs" dxfId="20069" priority="3069" operator="lessThan">
      <formula>0</formula>
    </cfRule>
    <cfRule type="cellIs" dxfId="20068" priority="3070" operator="lessThan">
      <formula>-105575</formula>
    </cfRule>
  </conditionalFormatting>
  <conditionalFormatting sqref="BB246:BB249">
    <cfRule type="cellIs" dxfId="20067" priority="3067" operator="lessThan">
      <formula>0</formula>
    </cfRule>
    <cfRule type="cellIs" dxfId="20066" priority="3068" operator="lessThan">
      <formula>-105575</formula>
    </cfRule>
  </conditionalFormatting>
  <conditionalFormatting sqref="BB246:BB249">
    <cfRule type="cellIs" dxfId="20065" priority="3065" operator="lessThan">
      <formula>0</formula>
    </cfRule>
    <cfRule type="cellIs" dxfId="20064" priority="3066" operator="lessThan">
      <formula>-105575</formula>
    </cfRule>
  </conditionalFormatting>
  <conditionalFormatting sqref="BB246:BB249">
    <cfRule type="cellIs" dxfId="20063" priority="3063" operator="lessThan">
      <formula>0</formula>
    </cfRule>
    <cfRule type="cellIs" dxfId="20062" priority="3064" operator="lessThan">
      <formula>-105575</formula>
    </cfRule>
  </conditionalFormatting>
  <conditionalFormatting sqref="BB246:BB249">
    <cfRule type="cellIs" dxfId="20061" priority="3061" operator="lessThan">
      <formula>0</formula>
    </cfRule>
    <cfRule type="cellIs" dxfId="20060" priority="3062" operator="lessThan">
      <formula>-105575</formula>
    </cfRule>
  </conditionalFormatting>
  <conditionalFormatting sqref="BB246:BB249">
    <cfRule type="cellIs" dxfId="20059" priority="3059" operator="lessThan">
      <formula>0</formula>
    </cfRule>
    <cfRule type="cellIs" dxfId="20058" priority="3060" operator="lessThan">
      <formula>-105575</formula>
    </cfRule>
  </conditionalFormatting>
  <conditionalFormatting sqref="BB246:BB249">
    <cfRule type="cellIs" dxfId="20057" priority="3057" operator="lessThan">
      <formula>0</formula>
    </cfRule>
    <cfRule type="cellIs" dxfId="20056" priority="3058" operator="lessThan">
      <formula>-105575</formula>
    </cfRule>
  </conditionalFormatting>
  <conditionalFormatting sqref="BB251:BB253">
    <cfRule type="cellIs" dxfId="20055" priority="3055" operator="lessThan">
      <formula>0</formula>
    </cfRule>
    <cfRule type="cellIs" dxfId="20054" priority="3056" operator="lessThan">
      <formula>-105575</formula>
    </cfRule>
  </conditionalFormatting>
  <conditionalFormatting sqref="BB251:BB253">
    <cfRule type="cellIs" dxfId="20053" priority="3053" operator="lessThan">
      <formula>0</formula>
    </cfRule>
    <cfRule type="cellIs" dxfId="20052" priority="3054" operator="lessThan">
      <formula>-105575</formula>
    </cfRule>
  </conditionalFormatting>
  <conditionalFormatting sqref="BB251:BB253">
    <cfRule type="cellIs" dxfId="20051" priority="3051" operator="lessThan">
      <formula>0</formula>
    </cfRule>
    <cfRule type="cellIs" dxfId="20050" priority="3052" operator="lessThan">
      <formula>-105575</formula>
    </cfRule>
  </conditionalFormatting>
  <conditionalFormatting sqref="BB251:BB253">
    <cfRule type="cellIs" dxfId="20049" priority="3049" operator="lessThan">
      <formula>0</formula>
    </cfRule>
    <cfRule type="cellIs" dxfId="20048" priority="3050" operator="lessThan">
      <formula>-105575</formula>
    </cfRule>
  </conditionalFormatting>
  <conditionalFormatting sqref="BB251:BB253">
    <cfRule type="cellIs" dxfId="20047" priority="3047" operator="lessThan">
      <formula>0</formula>
    </cfRule>
    <cfRule type="cellIs" dxfId="20046" priority="3048" operator="lessThan">
      <formula>-105575</formula>
    </cfRule>
  </conditionalFormatting>
  <conditionalFormatting sqref="BB251:BB253">
    <cfRule type="cellIs" dxfId="20045" priority="3045" operator="lessThan">
      <formula>0</formula>
    </cfRule>
    <cfRule type="cellIs" dxfId="20044" priority="3046" operator="lessThan">
      <formula>-105575</formula>
    </cfRule>
  </conditionalFormatting>
  <conditionalFormatting sqref="BB251:BB253">
    <cfRule type="cellIs" dxfId="20043" priority="3043" operator="lessThan">
      <formula>0</formula>
    </cfRule>
    <cfRule type="cellIs" dxfId="20042" priority="3044" operator="lessThan">
      <formula>-105575</formula>
    </cfRule>
  </conditionalFormatting>
  <conditionalFormatting sqref="BB251:BB253">
    <cfRule type="cellIs" dxfId="20041" priority="3041" operator="lessThan">
      <formula>0</formula>
    </cfRule>
    <cfRule type="cellIs" dxfId="20040" priority="3042" operator="lessThan">
      <formula>-105575</formula>
    </cfRule>
  </conditionalFormatting>
  <conditionalFormatting sqref="BB251:BB253">
    <cfRule type="cellIs" dxfId="20039" priority="3039" operator="lessThan">
      <formula>0</formula>
    </cfRule>
    <cfRule type="cellIs" dxfId="20038" priority="3040" operator="lessThan">
      <formula>-105575</formula>
    </cfRule>
  </conditionalFormatting>
  <conditionalFormatting sqref="BB255:BB257">
    <cfRule type="cellIs" dxfId="20037" priority="3037" operator="lessThan">
      <formula>0</formula>
    </cfRule>
    <cfRule type="cellIs" dxfId="20036" priority="3038" operator="lessThan">
      <formula>-105575</formula>
    </cfRule>
  </conditionalFormatting>
  <conditionalFormatting sqref="BB255:BB257">
    <cfRule type="cellIs" dxfId="20035" priority="3035" operator="lessThan">
      <formula>0</formula>
    </cfRule>
    <cfRule type="cellIs" dxfId="20034" priority="3036" operator="lessThan">
      <formula>-105575</formula>
    </cfRule>
  </conditionalFormatting>
  <conditionalFormatting sqref="BB255:BB257">
    <cfRule type="cellIs" dxfId="20033" priority="3033" operator="lessThan">
      <formula>0</formula>
    </cfRule>
    <cfRule type="cellIs" dxfId="20032" priority="3034" operator="lessThan">
      <formula>-105575</formula>
    </cfRule>
  </conditionalFormatting>
  <conditionalFormatting sqref="BB255:BB257">
    <cfRule type="cellIs" dxfId="20031" priority="3031" operator="lessThan">
      <formula>0</formula>
    </cfRule>
    <cfRule type="cellIs" dxfId="20030" priority="3032" operator="lessThan">
      <formula>-105575</formula>
    </cfRule>
  </conditionalFormatting>
  <conditionalFormatting sqref="BB255:BB257">
    <cfRule type="cellIs" dxfId="20029" priority="3029" operator="lessThan">
      <formula>0</formula>
    </cfRule>
    <cfRule type="cellIs" dxfId="20028" priority="3030" operator="lessThan">
      <formula>-105575</formula>
    </cfRule>
  </conditionalFormatting>
  <conditionalFormatting sqref="BB255:BB257">
    <cfRule type="cellIs" dxfId="20027" priority="3027" operator="lessThan">
      <formula>0</formula>
    </cfRule>
    <cfRule type="cellIs" dxfId="20026" priority="3028" operator="lessThan">
      <formula>-105575</formula>
    </cfRule>
  </conditionalFormatting>
  <conditionalFormatting sqref="BB255:BB257">
    <cfRule type="cellIs" dxfId="20025" priority="3025" operator="lessThan">
      <formula>0</formula>
    </cfRule>
    <cfRule type="cellIs" dxfId="20024" priority="3026" operator="lessThan">
      <formula>-105575</formula>
    </cfRule>
  </conditionalFormatting>
  <conditionalFormatting sqref="BB255:BB257">
    <cfRule type="cellIs" dxfId="20023" priority="3023" operator="lessThan">
      <formula>0</formula>
    </cfRule>
    <cfRule type="cellIs" dxfId="20022" priority="3024" operator="lessThan">
      <formula>-105575</formula>
    </cfRule>
  </conditionalFormatting>
  <conditionalFormatting sqref="BB255:BB257">
    <cfRule type="cellIs" dxfId="20021" priority="3021" operator="lessThan">
      <formula>0</formula>
    </cfRule>
    <cfRule type="cellIs" dxfId="20020" priority="3022" operator="lessThan">
      <formula>-105575</formula>
    </cfRule>
  </conditionalFormatting>
  <conditionalFormatting sqref="BB260:BB262">
    <cfRule type="cellIs" dxfId="20019" priority="3019" operator="lessThan">
      <formula>0</formula>
    </cfRule>
    <cfRule type="cellIs" dxfId="20018" priority="3020" operator="lessThan">
      <formula>-105575</formula>
    </cfRule>
  </conditionalFormatting>
  <conditionalFormatting sqref="BB260:BB262">
    <cfRule type="cellIs" dxfId="20017" priority="3017" operator="lessThan">
      <formula>0</formula>
    </cfRule>
    <cfRule type="cellIs" dxfId="20016" priority="3018" operator="lessThan">
      <formula>-105575</formula>
    </cfRule>
  </conditionalFormatting>
  <conditionalFormatting sqref="BB260:BB262">
    <cfRule type="cellIs" dxfId="20015" priority="3015" operator="lessThan">
      <formula>0</formula>
    </cfRule>
    <cfRule type="cellIs" dxfId="20014" priority="3016" operator="lessThan">
      <formula>-105575</formula>
    </cfRule>
  </conditionalFormatting>
  <conditionalFormatting sqref="BB260:BB262">
    <cfRule type="cellIs" dxfId="20013" priority="3013" operator="lessThan">
      <formula>0</formula>
    </cfRule>
    <cfRule type="cellIs" dxfId="20012" priority="3014" operator="lessThan">
      <formula>-105575</formula>
    </cfRule>
  </conditionalFormatting>
  <conditionalFormatting sqref="BB260:BB262">
    <cfRule type="cellIs" dxfId="20011" priority="3011" operator="lessThan">
      <formula>0</formula>
    </cfRule>
    <cfRule type="cellIs" dxfId="20010" priority="3012" operator="lessThan">
      <formula>-105575</formula>
    </cfRule>
  </conditionalFormatting>
  <conditionalFormatting sqref="BB260:BB262">
    <cfRule type="cellIs" dxfId="20009" priority="3009" operator="lessThan">
      <formula>0</formula>
    </cfRule>
    <cfRule type="cellIs" dxfId="20008" priority="3010" operator="lessThan">
      <formula>-105575</formula>
    </cfRule>
  </conditionalFormatting>
  <conditionalFormatting sqref="BB260:BB262">
    <cfRule type="cellIs" dxfId="20007" priority="3007" operator="lessThan">
      <formula>0</formula>
    </cfRule>
    <cfRule type="cellIs" dxfId="20006" priority="3008" operator="lessThan">
      <formula>-105575</formula>
    </cfRule>
  </conditionalFormatting>
  <conditionalFormatting sqref="BB260:BB262">
    <cfRule type="cellIs" dxfId="20005" priority="3005" operator="lessThan">
      <formula>0</formula>
    </cfRule>
    <cfRule type="cellIs" dxfId="20004" priority="3006" operator="lessThan">
      <formula>-105575</formula>
    </cfRule>
  </conditionalFormatting>
  <conditionalFormatting sqref="BB260:BB262">
    <cfRule type="cellIs" dxfId="20003" priority="3003" operator="lessThan">
      <formula>0</formula>
    </cfRule>
    <cfRule type="cellIs" dxfId="20002" priority="3004" operator="lessThan">
      <formula>-105575</formula>
    </cfRule>
  </conditionalFormatting>
  <conditionalFormatting sqref="BB264:BB267">
    <cfRule type="cellIs" dxfId="20001" priority="3001" operator="lessThan">
      <formula>0</formula>
    </cfRule>
    <cfRule type="cellIs" dxfId="20000" priority="3002" operator="lessThan">
      <formula>-105575</formula>
    </cfRule>
  </conditionalFormatting>
  <conditionalFormatting sqref="BB264:BB267">
    <cfRule type="cellIs" dxfId="19999" priority="2999" operator="lessThan">
      <formula>0</formula>
    </cfRule>
    <cfRule type="cellIs" dxfId="19998" priority="3000" operator="lessThan">
      <formula>-105575</formula>
    </cfRule>
  </conditionalFormatting>
  <conditionalFormatting sqref="BB264:BB267">
    <cfRule type="cellIs" dxfId="19997" priority="2997" operator="lessThan">
      <formula>0</formula>
    </cfRule>
    <cfRule type="cellIs" dxfId="19996" priority="2998" operator="lessThan">
      <formula>-105575</formula>
    </cfRule>
  </conditionalFormatting>
  <conditionalFormatting sqref="BB264:BB267">
    <cfRule type="cellIs" dxfId="19995" priority="2995" operator="lessThan">
      <formula>0</formula>
    </cfRule>
    <cfRule type="cellIs" dxfId="19994" priority="2996" operator="lessThan">
      <formula>-105575</formula>
    </cfRule>
  </conditionalFormatting>
  <conditionalFormatting sqref="BB264:BB267">
    <cfRule type="cellIs" dxfId="19993" priority="2993" operator="lessThan">
      <formula>0</formula>
    </cfRule>
    <cfRule type="cellIs" dxfId="19992" priority="2994" operator="lessThan">
      <formula>-105575</formula>
    </cfRule>
  </conditionalFormatting>
  <conditionalFormatting sqref="BB264:BB267">
    <cfRule type="cellIs" dxfId="19991" priority="2991" operator="lessThan">
      <formula>0</formula>
    </cfRule>
    <cfRule type="cellIs" dxfId="19990" priority="2992" operator="lessThan">
      <formula>-105575</formula>
    </cfRule>
  </conditionalFormatting>
  <conditionalFormatting sqref="BB264:BB267">
    <cfRule type="cellIs" dxfId="19989" priority="2989" operator="lessThan">
      <formula>0</formula>
    </cfRule>
    <cfRule type="cellIs" dxfId="19988" priority="2990" operator="lessThan">
      <formula>-105575</formula>
    </cfRule>
  </conditionalFormatting>
  <conditionalFormatting sqref="BB264:BB267">
    <cfRule type="cellIs" dxfId="19987" priority="2987" operator="lessThan">
      <formula>0</formula>
    </cfRule>
    <cfRule type="cellIs" dxfId="19986" priority="2988" operator="lessThan">
      <formula>-105575</formula>
    </cfRule>
  </conditionalFormatting>
  <conditionalFormatting sqref="BB264:BB267">
    <cfRule type="cellIs" dxfId="19985" priority="2985" operator="lessThan">
      <formula>0</formula>
    </cfRule>
    <cfRule type="cellIs" dxfId="19984" priority="2986" operator="lessThan">
      <formula>-105575</formula>
    </cfRule>
  </conditionalFormatting>
  <conditionalFormatting sqref="BB270:BB272">
    <cfRule type="cellIs" dxfId="19983" priority="2983" operator="lessThan">
      <formula>0</formula>
    </cfRule>
    <cfRule type="cellIs" dxfId="19982" priority="2984" operator="lessThan">
      <formula>-105575</formula>
    </cfRule>
  </conditionalFormatting>
  <conditionalFormatting sqref="BB270:BB272">
    <cfRule type="cellIs" dxfId="19981" priority="2981" operator="lessThan">
      <formula>0</formula>
    </cfRule>
    <cfRule type="cellIs" dxfId="19980" priority="2982" operator="lessThan">
      <formula>-105575</formula>
    </cfRule>
  </conditionalFormatting>
  <conditionalFormatting sqref="BB270:BB272">
    <cfRule type="cellIs" dxfId="19979" priority="2979" operator="lessThan">
      <formula>0</formula>
    </cfRule>
    <cfRule type="cellIs" dxfId="19978" priority="2980" operator="lessThan">
      <formula>-105575</formula>
    </cfRule>
  </conditionalFormatting>
  <conditionalFormatting sqref="BB270:BB272">
    <cfRule type="cellIs" dxfId="19977" priority="2977" operator="lessThan">
      <formula>0</formula>
    </cfRule>
    <cfRule type="cellIs" dxfId="19976" priority="2978" operator="lessThan">
      <formula>-105575</formula>
    </cfRule>
  </conditionalFormatting>
  <conditionalFormatting sqref="BB270:BB272">
    <cfRule type="cellIs" dxfId="19975" priority="2975" operator="lessThan">
      <formula>0</formula>
    </cfRule>
    <cfRule type="cellIs" dxfId="19974" priority="2976" operator="lessThan">
      <formula>-105575</formula>
    </cfRule>
  </conditionalFormatting>
  <conditionalFormatting sqref="BB270:BB272">
    <cfRule type="cellIs" dxfId="19973" priority="2973" operator="lessThan">
      <formula>0</formula>
    </cfRule>
    <cfRule type="cellIs" dxfId="19972" priority="2974" operator="lessThan">
      <formula>-105575</formula>
    </cfRule>
  </conditionalFormatting>
  <conditionalFormatting sqref="BB270:BB272">
    <cfRule type="cellIs" dxfId="19971" priority="2971" operator="lessThan">
      <formula>0</formula>
    </cfRule>
    <cfRule type="cellIs" dxfId="19970" priority="2972" operator="lessThan">
      <formula>-105575</formula>
    </cfRule>
  </conditionalFormatting>
  <conditionalFormatting sqref="BB270:BB272">
    <cfRule type="cellIs" dxfId="19969" priority="2969" operator="lessThan">
      <formula>0</formula>
    </cfRule>
    <cfRule type="cellIs" dxfId="19968" priority="2970" operator="lessThan">
      <formula>-105575</formula>
    </cfRule>
  </conditionalFormatting>
  <conditionalFormatting sqref="BB270:BB272">
    <cfRule type="cellIs" dxfId="19967" priority="2967" operator="lessThan">
      <formula>0</formula>
    </cfRule>
    <cfRule type="cellIs" dxfId="19966" priority="2968" operator="lessThan">
      <formula>-105575</formula>
    </cfRule>
  </conditionalFormatting>
  <conditionalFormatting sqref="BB274:BB275">
    <cfRule type="cellIs" dxfId="19965" priority="2965" operator="lessThan">
      <formula>0</formula>
    </cfRule>
    <cfRule type="cellIs" dxfId="19964" priority="2966" operator="lessThan">
      <formula>-105575</formula>
    </cfRule>
  </conditionalFormatting>
  <conditionalFormatting sqref="BB274:BB275">
    <cfRule type="cellIs" dxfId="19963" priority="2963" operator="lessThan">
      <formula>0</formula>
    </cfRule>
    <cfRule type="cellIs" dxfId="19962" priority="2964" operator="lessThan">
      <formula>-105575</formula>
    </cfRule>
  </conditionalFormatting>
  <conditionalFormatting sqref="BB274:BB275">
    <cfRule type="cellIs" dxfId="19961" priority="2961" operator="lessThan">
      <formula>0</formula>
    </cfRule>
    <cfRule type="cellIs" dxfId="19960" priority="2962" operator="lessThan">
      <formula>-105575</formula>
    </cfRule>
  </conditionalFormatting>
  <conditionalFormatting sqref="BB274:BB275">
    <cfRule type="cellIs" dxfId="19959" priority="2959" operator="lessThan">
      <formula>0</formula>
    </cfRule>
    <cfRule type="cellIs" dxfId="19958" priority="2960" operator="lessThan">
      <formula>-105575</formula>
    </cfRule>
  </conditionalFormatting>
  <conditionalFormatting sqref="BB274:BB275">
    <cfRule type="cellIs" dxfId="19957" priority="2957" operator="lessThan">
      <formula>0</formula>
    </cfRule>
    <cfRule type="cellIs" dxfId="19956" priority="2958" operator="lessThan">
      <formula>-105575</formula>
    </cfRule>
  </conditionalFormatting>
  <conditionalFormatting sqref="BB274:BB275">
    <cfRule type="cellIs" dxfId="19955" priority="2955" operator="lessThan">
      <formula>0</formula>
    </cfRule>
    <cfRule type="cellIs" dxfId="19954" priority="2956" operator="lessThan">
      <formula>-105575</formula>
    </cfRule>
  </conditionalFormatting>
  <conditionalFormatting sqref="BB274:BB275">
    <cfRule type="cellIs" dxfId="19953" priority="2953" operator="lessThan">
      <formula>0</formula>
    </cfRule>
    <cfRule type="cellIs" dxfId="19952" priority="2954" operator="lessThan">
      <formula>-105575</formula>
    </cfRule>
  </conditionalFormatting>
  <conditionalFormatting sqref="BB274:BB275">
    <cfRule type="cellIs" dxfId="19951" priority="2951" operator="lessThan">
      <formula>0</formula>
    </cfRule>
    <cfRule type="cellIs" dxfId="19950" priority="2952" operator="lessThan">
      <formula>-105575</formula>
    </cfRule>
  </conditionalFormatting>
  <conditionalFormatting sqref="BB274:BB275">
    <cfRule type="cellIs" dxfId="19949" priority="2949" operator="lessThan">
      <formula>0</formula>
    </cfRule>
    <cfRule type="cellIs" dxfId="19948" priority="2950" operator="lessThan">
      <formula>-105575</formula>
    </cfRule>
  </conditionalFormatting>
  <conditionalFormatting sqref="BB278:BB282">
    <cfRule type="cellIs" dxfId="19947" priority="2947" operator="lessThan">
      <formula>0</formula>
    </cfRule>
    <cfRule type="cellIs" dxfId="19946" priority="2948" operator="lessThan">
      <formula>-105575</formula>
    </cfRule>
  </conditionalFormatting>
  <conditionalFormatting sqref="BB278:BB282">
    <cfRule type="cellIs" dxfId="19945" priority="2945" operator="lessThan">
      <formula>0</formula>
    </cfRule>
    <cfRule type="cellIs" dxfId="19944" priority="2946" operator="lessThan">
      <formula>-105575</formula>
    </cfRule>
  </conditionalFormatting>
  <conditionalFormatting sqref="BB278:BB282">
    <cfRule type="cellIs" dxfId="19943" priority="2943" operator="lessThan">
      <formula>0</formula>
    </cfRule>
    <cfRule type="cellIs" dxfId="19942" priority="2944" operator="lessThan">
      <formula>-105575</formula>
    </cfRule>
  </conditionalFormatting>
  <conditionalFormatting sqref="BB278:BB282">
    <cfRule type="cellIs" dxfId="19941" priority="2941" operator="lessThan">
      <formula>0</formula>
    </cfRule>
    <cfRule type="cellIs" dxfId="19940" priority="2942" operator="lessThan">
      <formula>-105575</formula>
    </cfRule>
  </conditionalFormatting>
  <conditionalFormatting sqref="BB278:BB282">
    <cfRule type="cellIs" dxfId="19939" priority="2939" operator="lessThan">
      <formula>0</formula>
    </cfRule>
    <cfRule type="cellIs" dxfId="19938" priority="2940" operator="lessThan">
      <formula>-105575</formula>
    </cfRule>
  </conditionalFormatting>
  <conditionalFormatting sqref="BB278:BB282">
    <cfRule type="cellIs" dxfId="19937" priority="2937" operator="lessThan">
      <formula>0</formula>
    </cfRule>
    <cfRule type="cellIs" dxfId="19936" priority="2938" operator="lessThan">
      <formula>-105575</formula>
    </cfRule>
  </conditionalFormatting>
  <conditionalFormatting sqref="BB278:BB282">
    <cfRule type="cellIs" dxfId="19935" priority="2935" operator="lessThan">
      <formula>0</formula>
    </cfRule>
    <cfRule type="cellIs" dxfId="19934" priority="2936" operator="lessThan">
      <formula>-105575</formula>
    </cfRule>
  </conditionalFormatting>
  <conditionalFormatting sqref="BB278:BB282">
    <cfRule type="cellIs" dxfId="19933" priority="2933" operator="lessThan">
      <formula>0</formula>
    </cfRule>
    <cfRule type="cellIs" dxfId="19932" priority="2934" operator="lessThan">
      <formula>-105575</formula>
    </cfRule>
  </conditionalFormatting>
  <conditionalFormatting sqref="BB278:BB282">
    <cfRule type="cellIs" dxfId="19931" priority="2931" operator="lessThan">
      <formula>0</formula>
    </cfRule>
    <cfRule type="cellIs" dxfId="19930" priority="2932" operator="lessThan">
      <formula>-105575</formula>
    </cfRule>
  </conditionalFormatting>
  <conditionalFormatting sqref="BB285:BB288">
    <cfRule type="cellIs" dxfId="19929" priority="2929" operator="lessThan">
      <formula>0</formula>
    </cfRule>
    <cfRule type="cellIs" dxfId="19928" priority="2930" operator="lessThan">
      <formula>-105575</formula>
    </cfRule>
  </conditionalFormatting>
  <conditionalFormatting sqref="BB285:BB288">
    <cfRule type="cellIs" dxfId="19927" priority="2927" operator="lessThan">
      <formula>0</formula>
    </cfRule>
    <cfRule type="cellIs" dxfId="19926" priority="2928" operator="lessThan">
      <formula>-105575</formula>
    </cfRule>
  </conditionalFormatting>
  <conditionalFormatting sqref="BB285:BB288">
    <cfRule type="cellIs" dxfId="19925" priority="2925" operator="lessThan">
      <formula>0</formula>
    </cfRule>
    <cfRule type="cellIs" dxfId="19924" priority="2926" operator="lessThan">
      <formula>-105575</formula>
    </cfRule>
  </conditionalFormatting>
  <conditionalFormatting sqref="BB285:BB288">
    <cfRule type="cellIs" dxfId="19923" priority="2923" operator="lessThan">
      <formula>0</formula>
    </cfRule>
    <cfRule type="cellIs" dxfId="19922" priority="2924" operator="lessThan">
      <formula>-105575</formula>
    </cfRule>
  </conditionalFormatting>
  <conditionalFormatting sqref="BB285:BB288">
    <cfRule type="cellIs" dxfId="19921" priority="2921" operator="lessThan">
      <formula>0</formula>
    </cfRule>
    <cfRule type="cellIs" dxfId="19920" priority="2922" operator="lessThan">
      <formula>-105575</formula>
    </cfRule>
  </conditionalFormatting>
  <conditionalFormatting sqref="BB285:BB288">
    <cfRule type="cellIs" dxfId="19919" priority="2919" operator="lessThan">
      <formula>0</formula>
    </cfRule>
    <cfRule type="cellIs" dxfId="19918" priority="2920" operator="lessThan">
      <formula>-105575</formula>
    </cfRule>
  </conditionalFormatting>
  <conditionalFormatting sqref="BB285:BB288">
    <cfRule type="cellIs" dxfId="19917" priority="2917" operator="lessThan">
      <formula>0</formula>
    </cfRule>
    <cfRule type="cellIs" dxfId="19916" priority="2918" operator="lessThan">
      <formula>-105575</formula>
    </cfRule>
  </conditionalFormatting>
  <conditionalFormatting sqref="BB285:BB288">
    <cfRule type="cellIs" dxfId="19915" priority="2915" operator="lessThan">
      <formula>0</formula>
    </cfRule>
    <cfRule type="cellIs" dxfId="19914" priority="2916" operator="lessThan">
      <formula>-105575</formula>
    </cfRule>
  </conditionalFormatting>
  <conditionalFormatting sqref="BB285:BB288">
    <cfRule type="cellIs" dxfId="19913" priority="2913" operator="lessThan">
      <formula>0</formula>
    </cfRule>
    <cfRule type="cellIs" dxfId="19912" priority="2914" operator="lessThan">
      <formula>-105575</formula>
    </cfRule>
  </conditionalFormatting>
  <conditionalFormatting sqref="BB203 BB220:BB221 BB235:BB243 BB231:BB233 BB212:BB213 BB225:BB226">
    <cfRule type="cellIs" dxfId="19911" priority="2911" operator="lessThan">
      <formula>0</formula>
    </cfRule>
    <cfRule type="cellIs" dxfId="19910" priority="2912" operator="lessThan">
      <formula>-105575</formula>
    </cfRule>
  </conditionalFormatting>
  <conditionalFormatting sqref="BB220 BB212:BB213 BB235:BB238 BB240:BB243 BB225:BB226 BB231:BB233">
    <cfRule type="cellIs" dxfId="19909" priority="2909" operator="lessThan">
      <formula>0</formula>
    </cfRule>
    <cfRule type="cellIs" dxfId="19908" priority="2910" operator="lessThan">
      <formula>-105575</formula>
    </cfRule>
  </conditionalFormatting>
  <conditionalFormatting sqref="BB220:BB221 BB243 BB226 BB231:BB236 BB238:BB241 BB203 BB213">
    <cfRule type="cellIs" dxfId="19907" priority="2907" operator="lessThan">
      <formula>0</formula>
    </cfRule>
    <cfRule type="cellIs" dxfId="19906" priority="2908" operator="lessThan">
      <formula>-105575</formula>
    </cfRule>
  </conditionalFormatting>
  <conditionalFormatting sqref="BB235:BB243 BB231:BB233 BB220 BB212:BB213 BB225:BB226">
    <cfRule type="cellIs" dxfId="19905" priority="2905" operator="lessThan">
      <formula>0</formula>
    </cfRule>
    <cfRule type="cellIs" dxfId="19904" priority="2906" operator="lessThan">
      <formula>-105575</formula>
    </cfRule>
  </conditionalFormatting>
  <conditionalFormatting sqref="BB220:BB221 BB237:BB243 BB203 BB231:BB235 BB212:BB213 BB225:BB226">
    <cfRule type="cellIs" dxfId="19903" priority="2903" operator="lessThan">
      <formula>0</formula>
    </cfRule>
    <cfRule type="cellIs" dxfId="19902" priority="2904" operator="lessThan">
      <formula>-105575</formula>
    </cfRule>
  </conditionalFormatting>
  <conditionalFormatting sqref="BB220:BB221 BB237:BB240 BB242:BB243 BB225:BB226 BB231:BB235">
    <cfRule type="cellIs" dxfId="19901" priority="2901" operator="lessThan">
      <formula>0</formula>
    </cfRule>
    <cfRule type="cellIs" dxfId="19900" priority="2902" operator="lessThan">
      <formula>-105575</formula>
    </cfRule>
  </conditionalFormatting>
  <conditionalFormatting sqref="BB212 BB231 BB233:BB238 BB240:BB243 BB225">
    <cfRule type="cellIs" dxfId="19899" priority="2899" operator="lessThan">
      <formula>0</formula>
    </cfRule>
    <cfRule type="cellIs" dxfId="19898" priority="2900" operator="lessThan">
      <formula>-105575</formula>
    </cfRule>
  </conditionalFormatting>
  <conditionalFormatting sqref="BB237:BB243 BB231:BB235 BB220:BB221 BB225:BB226">
    <cfRule type="cellIs" dxfId="19897" priority="2897" operator="lessThan">
      <formula>0</formula>
    </cfRule>
    <cfRule type="cellIs" dxfId="19896" priority="2898" operator="lessThan">
      <formula>-105575</formula>
    </cfRule>
  </conditionalFormatting>
  <conditionalFormatting sqref="BB233:BB237 BB231 BB239:BB243">
    <cfRule type="cellIs" dxfId="19895" priority="2895" operator="lessThan">
      <formula>0</formula>
    </cfRule>
    <cfRule type="cellIs" dxfId="19894" priority="2896" operator="lessThan">
      <formula>-105575</formula>
    </cfRule>
  </conditionalFormatting>
  <conditionalFormatting sqref="BB233:BB237 BB231 BB239:BB243">
    <cfRule type="cellIs" dxfId="19893" priority="2893" operator="lessThan">
      <formula>0</formula>
    </cfRule>
    <cfRule type="cellIs" dxfId="19892" priority="2894" operator="lessThan">
      <formula>-105575</formula>
    </cfRule>
  </conditionalFormatting>
  <conditionalFormatting sqref="BB119:BB128 BB106:BB117 BB101:BB104 BB80:BB98">
    <cfRule type="cellIs" dxfId="19891" priority="2891" operator="lessThan">
      <formula>0</formula>
    </cfRule>
    <cfRule type="cellIs" dxfId="19890" priority="2892" operator="lessThan">
      <formula>-105575</formula>
    </cfRule>
  </conditionalFormatting>
  <conditionalFormatting sqref="BB130 BB132 BB134">
    <cfRule type="cellIs" dxfId="19889" priority="2889" operator="lessThan">
      <formula>0</formula>
    </cfRule>
    <cfRule type="cellIs" dxfId="19888" priority="2890" operator="lessThan">
      <formula>-105575</formula>
    </cfRule>
  </conditionalFormatting>
  <conditionalFormatting sqref="BB130 BB132 BB134">
    <cfRule type="cellIs" dxfId="19887" priority="2887" operator="lessThan">
      <formula>0</formula>
    </cfRule>
    <cfRule type="cellIs" dxfId="19886" priority="2888" operator="lessThan">
      <formula>-105575</formula>
    </cfRule>
  </conditionalFormatting>
  <conditionalFormatting sqref="BB129 BB131 BB133 BB135">
    <cfRule type="cellIs" dxfId="19885" priority="2885" operator="lessThan">
      <formula>0</formula>
    </cfRule>
    <cfRule type="cellIs" dxfId="19884" priority="2886" operator="lessThan">
      <formula>-105575</formula>
    </cfRule>
  </conditionalFormatting>
  <conditionalFormatting sqref="BB140 BB145 BB142:BB143 BB137:BB138">
    <cfRule type="cellIs" dxfId="19883" priority="2883" operator="lessThan">
      <formula>0</formula>
    </cfRule>
    <cfRule type="cellIs" dxfId="19882" priority="2884" operator="lessThan">
      <formula>-105575</formula>
    </cfRule>
  </conditionalFormatting>
  <conditionalFormatting sqref="BB149">
    <cfRule type="cellIs" dxfId="19881" priority="2881" operator="lessThan">
      <formula>0</formula>
    </cfRule>
    <cfRule type="cellIs" dxfId="19880" priority="2882" operator="lessThan">
      <formula>-105575</formula>
    </cfRule>
  </conditionalFormatting>
  <conditionalFormatting sqref="BB129:BB138 BB140:BB149">
    <cfRule type="cellIs" dxfId="19879" priority="2879" operator="lessThan">
      <formula>0</formula>
    </cfRule>
    <cfRule type="cellIs" dxfId="19878" priority="2880" operator="lessThan">
      <formula>-105575</formula>
    </cfRule>
  </conditionalFormatting>
  <conditionalFormatting sqref="BB94:BB98 BB86:BB87 BB89:BB91 BB141:BB149 BB124:BB133 BB107:BB110 BB112:BB117 BB119:BB122 BB135:BB138 BB101:BB104 BB80:BB84">
    <cfRule type="cellIs" dxfId="19877" priority="2877" operator="lessThan">
      <formula>0</formula>
    </cfRule>
    <cfRule type="cellIs" dxfId="19876" priority="2878" operator="lessThan">
      <formula>-105575</formula>
    </cfRule>
  </conditionalFormatting>
  <conditionalFormatting sqref="BB129 BB131 BB133 BB135">
    <cfRule type="cellIs" dxfId="19875" priority="2875" operator="lessThan">
      <formula>0</formula>
    </cfRule>
    <cfRule type="cellIs" dxfId="19874" priority="2876" operator="lessThan">
      <formula>-105575</formula>
    </cfRule>
  </conditionalFormatting>
  <conditionalFormatting sqref="BB146 BB144 BB141">
    <cfRule type="cellIs" dxfId="19873" priority="2873" operator="lessThan">
      <formula>0</formula>
    </cfRule>
    <cfRule type="cellIs" dxfId="19872" priority="2874" operator="lessThan">
      <formula>-105575</formula>
    </cfRule>
  </conditionalFormatting>
  <conditionalFormatting sqref="BB146 BB144 BB141">
    <cfRule type="cellIs" dxfId="19871" priority="2871" operator="lessThan">
      <formula>0</formula>
    </cfRule>
    <cfRule type="cellIs" dxfId="19870" priority="2872" operator="lessThan">
      <formula>-105575</formula>
    </cfRule>
  </conditionalFormatting>
  <conditionalFormatting sqref="BB140 BB145 BB142:BB143 BB137:BB138">
    <cfRule type="cellIs" dxfId="19869" priority="2869" operator="lessThan">
      <formula>0</formula>
    </cfRule>
    <cfRule type="cellIs" dxfId="19868" priority="2870" operator="lessThan">
      <formula>-105575</formula>
    </cfRule>
  </conditionalFormatting>
  <conditionalFormatting sqref="BB149">
    <cfRule type="cellIs" dxfId="19867" priority="2867" operator="lessThan">
      <formula>0</formula>
    </cfRule>
    <cfRule type="cellIs" dxfId="19866" priority="2868" operator="lessThan">
      <formula>-105575</formula>
    </cfRule>
  </conditionalFormatting>
  <conditionalFormatting sqref="BB94:BB98 BB86:BB87 BB89:BB91 BB141:BB149 BB124:BB133 BB107:BB110 BB112:BB117 BB119:BB122 BB135:BB138 BB101:BB104 BB80:BB84">
    <cfRule type="cellIs" dxfId="19865" priority="2865" operator="lessThan">
      <formula>0</formula>
    </cfRule>
    <cfRule type="cellIs" dxfId="19864" priority="2866" operator="lessThan">
      <formula>-105575</formula>
    </cfRule>
  </conditionalFormatting>
  <conditionalFormatting sqref="BB246:BB249 BB262 BB267 BB279:BB282 BB285:BB288 BB274:BB275 BB306:BB309 BB311:BB325 BB327:BB330 BB332:BB341 BB344:BB347 BB349:BB353 BB355:BB358 BB360:BB384 BB386:BB389 BB392:BB395 BB397:BB411 BB413:BB416 BB418:BB432 BB434:BB437 BB439:BB453 BB455:BB458 BB460:BB469 BB7:BB10 BB12:BB14 BB17:BB18 BB21:BB24 BB26:BB28 BB30:BB36 BB38 BB41:BB43 BB46:BB49 BB51:BB55 BB57:BB59 BB62:BB76 BB251:BB253 BB255:BB257 BB293:BB304 BB264:BB265 BB260 BB290:BB291 BB270:BB272">
    <cfRule type="cellIs" dxfId="19863" priority="2863" operator="lessThan">
      <formula>0</formula>
    </cfRule>
    <cfRule type="cellIs" dxfId="19862" priority="2864" operator="lessThan">
      <formula>-105575</formula>
    </cfRule>
  </conditionalFormatting>
  <conditionalFormatting sqref="BB41">
    <cfRule type="cellIs" dxfId="19861" priority="2861" operator="lessThan">
      <formula>0</formula>
    </cfRule>
    <cfRule type="cellIs" dxfId="19860" priority="2862" operator="lessThan">
      <formula>-105575</formula>
    </cfRule>
  </conditionalFormatting>
  <conditionalFormatting sqref="BB152:BB155">
    <cfRule type="cellIs" dxfId="19859" priority="2859" operator="lessThan">
      <formula>0</formula>
    </cfRule>
    <cfRule type="cellIs" dxfId="19858" priority="2860" operator="lessThan">
      <formula>-105575</formula>
    </cfRule>
  </conditionalFormatting>
  <conditionalFormatting sqref="BB152:BB155">
    <cfRule type="cellIs" dxfId="19857" priority="2857" operator="lessThan">
      <formula>0</formula>
    </cfRule>
    <cfRule type="cellIs" dxfId="19856" priority="2858" operator="lessThan">
      <formula>-105575</formula>
    </cfRule>
  </conditionalFormatting>
  <conditionalFormatting sqref="BB152:BB155">
    <cfRule type="cellIs" dxfId="19855" priority="2855" operator="lessThan">
      <formula>0</formula>
    </cfRule>
    <cfRule type="cellIs" dxfId="19854" priority="2856" operator="lessThan">
      <formula>-105575</formula>
    </cfRule>
  </conditionalFormatting>
  <conditionalFormatting sqref="BB157:BB158">
    <cfRule type="cellIs" dxfId="19853" priority="2853" operator="lessThan">
      <formula>0</formula>
    </cfRule>
    <cfRule type="cellIs" dxfId="19852" priority="2854" operator="lessThan">
      <formula>-105575</formula>
    </cfRule>
  </conditionalFormatting>
  <conditionalFormatting sqref="BB157:BB158">
    <cfRule type="cellIs" dxfId="19851" priority="2851" operator="lessThan">
      <formula>0</formula>
    </cfRule>
    <cfRule type="cellIs" dxfId="19850" priority="2852" operator="lessThan">
      <formula>-105575</formula>
    </cfRule>
  </conditionalFormatting>
  <conditionalFormatting sqref="BB157:BB158">
    <cfRule type="cellIs" dxfId="19849" priority="2849" operator="lessThan">
      <formula>0</formula>
    </cfRule>
    <cfRule type="cellIs" dxfId="19848" priority="2850" operator="lessThan">
      <formula>-105575</formula>
    </cfRule>
  </conditionalFormatting>
  <conditionalFormatting sqref="BB160:BB161">
    <cfRule type="cellIs" dxfId="19847" priority="2847" operator="lessThan">
      <formula>0</formula>
    </cfRule>
    <cfRule type="cellIs" dxfId="19846" priority="2848" operator="lessThan">
      <formula>-105575</formula>
    </cfRule>
  </conditionalFormatting>
  <conditionalFormatting sqref="BB160:BB161">
    <cfRule type="cellIs" dxfId="19845" priority="2845" operator="lessThan">
      <formula>0</formula>
    </cfRule>
    <cfRule type="cellIs" dxfId="19844" priority="2846" operator="lessThan">
      <formula>-105575</formula>
    </cfRule>
  </conditionalFormatting>
  <conditionalFormatting sqref="BB160:BB161">
    <cfRule type="cellIs" dxfId="19843" priority="2843" operator="lessThan">
      <formula>0</formula>
    </cfRule>
    <cfRule type="cellIs" dxfId="19842" priority="2844" operator="lessThan">
      <formula>-105575</formula>
    </cfRule>
  </conditionalFormatting>
  <conditionalFormatting sqref="BB164:BB167">
    <cfRule type="cellIs" dxfId="19841" priority="2841" operator="lessThan">
      <formula>0</formula>
    </cfRule>
    <cfRule type="cellIs" dxfId="19840" priority="2842" operator="lessThan">
      <formula>-105575</formula>
    </cfRule>
  </conditionalFormatting>
  <conditionalFormatting sqref="BB164:BB167">
    <cfRule type="cellIs" dxfId="19839" priority="2839" operator="lessThan">
      <formula>0</formula>
    </cfRule>
    <cfRule type="cellIs" dxfId="19838" priority="2840" operator="lessThan">
      <formula>-105575</formula>
    </cfRule>
  </conditionalFormatting>
  <conditionalFormatting sqref="BB164:BB167">
    <cfRule type="cellIs" dxfId="19837" priority="2837" operator="lessThan">
      <formula>0</formula>
    </cfRule>
    <cfRule type="cellIs" dxfId="19836" priority="2838" operator="lessThan">
      <formula>-105575</formula>
    </cfRule>
  </conditionalFormatting>
  <conditionalFormatting sqref="BB169:BB177">
    <cfRule type="cellIs" dxfId="19835" priority="2835" operator="lessThan">
      <formula>0</formula>
    </cfRule>
    <cfRule type="cellIs" dxfId="19834" priority="2836" operator="lessThan">
      <formula>-105575</formula>
    </cfRule>
  </conditionalFormatting>
  <conditionalFormatting sqref="BB169:BB177">
    <cfRule type="cellIs" dxfId="19833" priority="2833" operator="lessThan">
      <formula>0</formula>
    </cfRule>
    <cfRule type="cellIs" dxfId="19832" priority="2834" operator="lessThan">
      <formula>-105575</formula>
    </cfRule>
  </conditionalFormatting>
  <conditionalFormatting sqref="BB169:BB177">
    <cfRule type="cellIs" dxfId="19831" priority="2831" operator="lessThan">
      <formula>0</formula>
    </cfRule>
    <cfRule type="cellIs" dxfId="19830" priority="2832" operator="lessThan">
      <formula>-105575</formula>
    </cfRule>
  </conditionalFormatting>
  <conditionalFormatting sqref="BB179:BB180">
    <cfRule type="cellIs" dxfId="19829" priority="2829" operator="lessThan">
      <formula>0</formula>
    </cfRule>
    <cfRule type="cellIs" dxfId="19828" priority="2830" operator="lessThan">
      <formula>-105575</formula>
    </cfRule>
  </conditionalFormatting>
  <conditionalFormatting sqref="BB179:BB180">
    <cfRule type="cellIs" dxfId="19827" priority="2827" operator="lessThan">
      <formula>0</formula>
    </cfRule>
    <cfRule type="cellIs" dxfId="19826" priority="2828" operator="lessThan">
      <formula>-105575</formula>
    </cfRule>
  </conditionalFormatting>
  <conditionalFormatting sqref="BB179:BB180">
    <cfRule type="cellIs" dxfId="19825" priority="2825" operator="lessThan">
      <formula>0</formula>
    </cfRule>
    <cfRule type="cellIs" dxfId="19824" priority="2826" operator="lessThan">
      <formula>-105575</formula>
    </cfRule>
  </conditionalFormatting>
  <conditionalFormatting sqref="BB183:BB189">
    <cfRule type="cellIs" dxfId="19823" priority="2823" operator="lessThan">
      <formula>0</formula>
    </cfRule>
    <cfRule type="cellIs" dxfId="19822" priority="2824" operator="lessThan">
      <formula>-105575</formula>
    </cfRule>
  </conditionalFormatting>
  <conditionalFormatting sqref="BB183:BB189">
    <cfRule type="cellIs" dxfId="19821" priority="2821" operator="lessThan">
      <formula>0</formula>
    </cfRule>
    <cfRule type="cellIs" dxfId="19820" priority="2822" operator="lessThan">
      <formula>-105575</formula>
    </cfRule>
  </conditionalFormatting>
  <conditionalFormatting sqref="BB183:BB189">
    <cfRule type="cellIs" dxfId="19819" priority="2819" operator="lessThan">
      <formula>0</formula>
    </cfRule>
    <cfRule type="cellIs" dxfId="19818" priority="2820" operator="lessThan">
      <formula>-105575</formula>
    </cfRule>
  </conditionalFormatting>
  <conditionalFormatting sqref="BB191:BB192">
    <cfRule type="cellIs" dxfId="19817" priority="2817" operator="lessThan">
      <formula>0</formula>
    </cfRule>
    <cfRule type="cellIs" dxfId="19816" priority="2818" operator="lessThan">
      <formula>-105575</formula>
    </cfRule>
  </conditionalFormatting>
  <conditionalFormatting sqref="BB191:BB192">
    <cfRule type="cellIs" dxfId="19815" priority="2815" operator="lessThan">
      <formula>0</formula>
    </cfRule>
    <cfRule type="cellIs" dxfId="19814" priority="2816" operator="lessThan">
      <formula>-105575</formula>
    </cfRule>
  </conditionalFormatting>
  <conditionalFormatting sqref="BB191:BB192">
    <cfRule type="cellIs" dxfId="19813" priority="2813" operator="lessThan">
      <formula>0</formula>
    </cfRule>
    <cfRule type="cellIs" dxfId="19812" priority="2814" operator="lessThan">
      <formula>-105575</formula>
    </cfRule>
  </conditionalFormatting>
  <conditionalFormatting sqref="BB194:BB195">
    <cfRule type="cellIs" dxfId="19811" priority="2811" operator="lessThan">
      <formula>0</formula>
    </cfRule>
    <cfRule type="cellIs" dxfId="19810" priority="2812" operator="lessThan">
      <formula>-105575</formula>
    </cfRule>
  </conditionalFormatting>
  <conditionalFormatting sqref="BB194:BB195">
    <cfRule type="cellIs" dxfId="19809" priority="2809" operator="lessThan">
      <formula>0</formula>
    </cfRule>
    <cfRule type="cellIs" dxfId="19808" priority="2810" operator="lessThan">
      <formula>-105575</formula>
    </cfRule>
  </conditionalFormatting>
  <conditionalFormatting sqref="BB194:BB195">
    <cfRule type="cellIs" dxfId="19807" priority="2807" operator="lessThan">
      <formula>0</formula>
    </cfRule>
    <cfRule type="cellIs" dxfId="19806" priority="2808" operator="lessThan">
      <formula>-105575</formula>
    </cfRule>
  </conditionalFormatting>
  <conditionalFormatting sqref="BB199:BB202">
    <cfRule type="cellIs" dxfId="19805" priority="2805" operator="lessThan">
      <formula>0</formula>
    </cfRule>
    <cfRule type="cellIs" dxfId="19804" priority="2806" operator="lessThan">
      <formula>-105575</formula>
    </cfRule>
  </conditionalFormatting>
  <conditionalFormatting sqref="BB199:BB202">
    <cfRule type="cellIs" dxfId="19803" priority="2803" operator="lessThan">
      <formula>0</formula>
    </cfRule>
    <cfRule type="cellIs" dxfId="19802" priority="2804" operator="lessThan">
      <formula>-105575</formula>
    </cfRule>
  </conditionalFormatting>
  <conditionalFormatting sqref="BB199:BB202">
    <cfRule type="cellIs" dxfId="19801" priority="2801" operator="lessThan">
      <formula>0</formula>
    </cfRule>
    <cfRule type="cellIs" dxfId="19800" priority="2802" operator="lessThan">
      <formula>-105575</formula>
    </cfRule>
  </conditionalFormatting>
  <conditionalFormatting sqref="BB204:BB208">
    <cfRule type="cellIs" dxfId="19799" priority="2799" operator="lessThan">
      <formula>0</formula>
    </cfRule>
    <cfRule type="cellIs" dxfId="19798" priority="2800" operator="lessThan">
      <formula>-105575</formula>
    </cfRule>
  </conditionalFormatting>
  <conditionalFormatting sqref="BB204:BB208">
    <cfRule type="cellIs" dxfId="19797" priority="2797" operator="lessThan">
      <formula>0</formula>
    </cfRule>
    <cfRule type="cellIs" dxfId="19796" priority="2798" operator="lessThan">
      <formula>-105575</formula>
    </cfRule>
  </conditionalFormatting>
  <conditionalFormatting sqref="BB204:BB208">
    <cfRule type="cellIs" dxfId="19795" priority="2795" operator="lessThan">
      <formula>0</formula>
    </cfRule>
    <cfRule type="cellIs" dxfId="19794" priority="2796" operator="lessThan">
      <formula>-105575</formula>
    </cfRule>
  </conditionalFormatting>
  <conditionalFormatting sqref="BB210:BB211">
    <cfRule type="cellIs" dxfId="19793" priority="2793" operator="lessThan">
      <formula>0</formula>
    </cfRule>
    <cfRule type="cellIs" dxfId="19792" priority="2794" operator="lessThan">
      <formula>-105575</formula>
    </cfRule>
  </conditionalFormatting>
  <conditionalFormatting sqref="BB210:BB211">
    <cfRule type="cellIs" dxfId="19791" priority="2791" operator="lessThan">
      <formula>0</formula>
    </cfRule>
    <cfRule type="cellIs" dxfId="19790" priority="2792" operator="lessThan">
      <formula>-105575</formula>
    </cfRule>
  </conditionalFormatting>
  <conditionalFormatting sqref="BB210:BB211">
    <cfRule type="cellIs" dxfId="19789" priority="2789" operator="lessThan">
      <formula>0</formula>
    </cfRule>
    <cfRule type="cellIs" dxfId="19788" priority="2790" operator="lessThan">
      <formula>-105575</formula>
    </cfRule>
  </conditionalFormatting>
  <conditionalFormatting sqref="BB214:BB219">
    <cfRule type="cellIs" dxfId="19787" priority="2787" operator="lessThan">
      <formula>0</formula>
    </cfRule>
    <cfRule type="cellIs" dxfId="19786" priority="2788" operator="lessThan">
      <formula>-105575</formula>
    </cfRule>
  </conditionalFormatting>
  <conditionalFormatting sqref="BB214:BB219">
    <cfRule type="cellIs" dxfId="19785" priority="2785" operator="lessThan">
      <formula>0</formula>
    </cfRule>
    <cfRule type="cellIs" dxfId="19784" priority="2786" operator="lessThan">
      <formula>-105575</formula>
    </cfRule>
  </conditionalFormatting>
  <conditionalFormatting sqref="BB214:BB219">
    <cfRule type="cellIs" dxfId="19783" priority="2783" operator="lessThan">
      <formula>0</formula>
    </cfRule>
    <cfRule type="cellIs" dxfId="19782" priority="2784" operator="lessThan">
      <formula>-105575</formula>
    </cfRule>
  </conditionalFormatting>
  <conditionalFormatting sqref="BB222:BB224">
    <cfRule type="cellIs" dxfId="19781" priority="2781" operator="lessThan">
      <formula>0</formula>
    </cfRule>
    <cfRule type="cellIs" dxfId="19780" priority="2782" operator="lessThan">
      <formula>-105575</formula>
    </cfRule>
  </conditionalFormatting>
  <conditionalFormatting sqref="BB222:BB224">
    <cfRule type="cellIs" dxfId="19779" priority="2779" operator="lessThan">
      <formula>0</formula>
    </cfRule>
    <cfRule type="cellIs" dxfId="19778" priority="2780" operator="lessThan">
      <formula>-105575</formula>
    </cfRule>
  </conditionalFormatting>
  <conditionalFormatting sqref="BB222:BB224">
    <cfRule type="cellIs" dxfId="19777" priority="2777" operator="lessThan">
      <formula>0</formula>
    </cfRule>
    <cfRule type="cellIs" dxfId="19776" priority="2778" operator="lessThan">
      <formula>-105575</formula>
    </cfRule>
  </conditionalFormatting>
  <conditionalFormatting sqref="BB227:BB230">
    <cfRule type="cellIs" dxfId="19775" priority="2775" operator="lessThan">
      <formula>0</formula>
    </cfRule>
    <cfRule type="cellIs" dxfId="19774" priority="2776" operator="lessThan">
      <formula>-105575</formula>
    </cfRule>
  </conditionalFormatting>
  <conditionalFormatting sqref="BB227:BB230">
    <cfRule type="cellIs" dxfId="19773" priority="2773" operator="lessThan">
      <formula>0</formula>
    </cfRule>
    <cfRule type="cellIs" dxfId="19772" priority="2774" operator="lessThan">
      <formula>-105575</formula>
    </cfRule>
  </conditionalFormatting>
  <conditionalFormatting sqref="BB227:BB230">
    <cfRule type="cellIs" dxfId="19771" priority="2771" operator="lessThan">
      <formula>0</formula>
    </cfRule>
    <cfRule type="cellIs" dxfId="19770" priority="2772" operator="lessThan">
      <formula>-105575</formula>
    </cfRule>
  </conditionalFormatting>
  <conditionalFormatting sqref="BB203 BB220:BB221 BB235:BB243 BB231:BB233 BB212:BB213 BB225:BB226">
    <cfRule type="cellIs" dxfId="19769" priority="2769" operator="lessThan">
      <formula>0</formula>
    </cfRule>
    <cfRule type="cellIs" dxfId="19768" priority="2770" operator="lessThan">
      <formula>-105575</formula>
    </cfRule>
  </conditionalFormatting>
  <conditionalFormatting sqref="BB220 BB212:BB213 BB235:BB238 BB240:BB243 BB225:BB226 BB231:BB233">
    <cfRule type="cellIs" dxfId="19767" priority="2767" operator="lessThan">
      <formula>0</formula>
    </cfRule>
    <cfRule type="cellIs" dxfId="19766" priority="2768" operator="lessThan">
      <formula>-105575</formula>
    </cfRule>
  </conditionalFormatting>
  <conditionalFormatting sqref="BB220:BB221 BB243 BB226 BB231:BB236 BB238:BB241 BB203 BB213">
    <cfRule type="cellIs" dxfId="19765" priority="2765" operator="lessThan">
      <formula>0</formula>
    </cfRule>
    <cfRule type="cellIs" dxfId="19764" priority="2766" operator="lessThan">
      <formula>-105575</formula>
    </cfRule>
  </conditionalFormatting>
  <conditionalFormatting sqref="BB235:BB243 BB231:BB233 BB220 BB212:BB213 BB225:BB226">
    <cfRule type="cellIs" dxfId="19763" priority="2763" operator="lessThan">
      <formula>0</formula>
    </cfRule>
    <cfRule type="cellIs" dxfId="19762" priority="2764" operator="lessThan">
      <formula>-105575</formula>
    </cfRule>
  </conditionalFormatting>
  <conditionalFormatting sqref="BB220:BB221 BB237:BB243 BB203 BB231:BB235 BB212:BB213 BB225:BB226">
    <cfRule type="cellIs" dxfId="19761" priority="2761" operator="lessThan">
      <formula>0</formula>
    </cfRule>
    <cfRule type="cellIs" dxfId="19760" priority="2762" operator="lessThan">
      <formula>-105575</formula>
    </cfRule>
  </conditionalFormatting>
  <conditionalFormatting sqref="BB220:BB221 BB237:BB240 BB242:BB243 BB225:BB226 BB231:BB235">
    <cfRule type="cellIs" dxfId="19759" priority="2759" operator="lessThan">
      <formula>0</formula>
    </cfRule>
    <cfRule type="cellIs" dxfId="19758" priority="2760" operator="lessThan">
      <formula>-105575</formula>
    </cfRule>
  </conditionalFormatting>
  <conditionalFormatting sqref="BB212 BB231 BB233:BB238 BB240:BB243 BB225">
    <cfRule type="cellIs" dxfId="19757" priority="2757" operator="lessThan">
      <formula>0</formula>
    </cfRule>
    <cfRule type="cellIs" dxfId="19756" priority="2758" operator="lessThan">
      <formula>-105575</formula>
    </cfRule>
  </conditionalFormatting>
  <conditionalFormatting sqref="BB237:BB243 BB231:BB235 BB220:BB221 BB225:BB226">
    <cfRule type="cellIs" dxfId="19755" priority="2755" operator="lessThan">
      <formula>0</formula>
    </cfRule>
    <cfRule type="cellIs" dxfId="19754" priority="2756" operator="lessThan">
      <formula>-105575</formula>
    </cfRule>
  </conditionalFormatting>
  <conditionalFormatting sqref="BB233:BB237 BB231 BB239:BB243">
    <cfRule type="cellIs" dxfId="19753" priority="2753" operator="lessThan">
      <formula>0</formula>
    </cfRule>
    <cfRule type="cellIs" dxfId="19752" priority="2754" operator="lessThan">
      <formula>-105575</formula>
    </cfRule>
  </conditionalFormatting>
  <conditionalFormatting sqref="BB233:BB237 BB231 BB239:BB243">
    <cfRule type="cellIs" dxfId="19751" priority="2751" operator="lessThan">
      <formula>0</formula>
    </cfRule>
    <cfRule type="cellIs" dxfId="19750" priority="2752" operator="lessThan">
      <formula>-105575</formula>
    </cfRule>
  </conditionalFormatting>
  <conditionalFormatting sqref="BB119:BB128 BB106:BB117 BB101:BB104 BB80:BB98">
    <cfRule type="cellIs" dxfId="19749" priority="2749" operator="lessThan">
      <formula>0</formula>
    </cfRule>
    <cfRule type="cellIs" dxfId="19748" priority="2750" operator="lessThan">
      <formula>-105575</formula>
    </cfRule>
  </conditionalFormatting>
  <conditionalFormatting sqref="BB130 BB132 BB134">
    <cfRule type="cellIs" dxfId="19747" priority="2747" operator="lessThan">
      <formula>0</formula>
    </cfRule>
    <cfRule type="cellIs" dxfId="19746" priority="2748" operator="lessThan">
      <formula>-105575</formula>
    </cfRule>
  </conditionalFormatting>
  <conditionalFormatting sqref="BB130 BB132 BB134">
    <cfRule type="cellIs" dxfId="19745" priority="2745" operator="lessThan">
      <formula>0</formula>
    </cfRule>
    <cfRule type="cellIs" dxfId="19744" priority="2746" operator="lessThan">
      <formula>-105575</formula>
    </cfRule>
  </conditionalFormatting>
  <conditionalFormatting sqref="BB129 BB131 BB133 BB135">
    <cfRule type="cellIs" dxfId="19743" priority="2743" operator="lessThan">
      <formula>0</formula>
    </cfRule>
    <cfRule type="cellIs" dxfId="19742" priority="2744" operator="lessThan">
      <formula>-105575</formula>
    </cfRule>
  </conditionalFormatting>
  <conditionalFormatting sqref="BB140 BB145 BB142:BB143 BB137:BB138">
    <cfRule type="cellIs" dxfId="19741" priority="2741" operator="lessThan">
      <formula>0</formula>
    </cfRule>
    <cfRule type="cellIs" dxfId="19740" priority="2742" operator="lessThan">
      <formula>-105575</formula>
    </cfRule>
  </conditionalFormatting>
  <conditionalFormatting sqref="BB149">
    <cfRule type="cellIs" dxfId="19739" priority="2739" operator="lessThan">
      <formula>0</formula>
    </cfRule>
    <cfRule type="cellIs" dxfId="19738" priority="2740" operator="lessThan">
      <formula>-105575</formula>
    </cfRule>
  </conditionalFormatting>
  <conditionalFormatting sqref="BB129:BB138 BB140:BB149">
    <cfRule type="cellIs" dxfId="19737" priority="2737" operator="lessThan">
      <formula>0</formula>
    </cfRule>
    <cfRule type="cellIs" dxfId="19736" priority="2738" operator="lessThan">
      <formula>-105575</formula>
    </cfRule>
  </conditionalFormatting>
  <conditionalFormatting sqref="BB94:BB98 BB86:BB87 BB89:BB91 BB141:BB149 BB124:BB133 BB107:BB110 BB112:BB117 BB119:BB122 BB135:BB138 BB101:BB104 BB80:BB84">
    <cfRule type="cellIs" dxfId="19735" priority="2735" operator="lessThan">
      <formula>0</formula>
    </cfRule>
    <cfRule type="cellIs" dxfId="19734" priority="2736" operator="lessThan">
      <formula>-105575</formula>
    </cfRule>
  </conditionalFormatting>
  <conditionalFormatting sqref="BB129 BB131 BB133 BB135">
    <cfRule type="cellIs" dxfId="19733" priority="2733" operator="lessThan">
      <formula>0</formula>
    </cfRule>
    <cfRule type="cellIs" dxfId="19732" priority="2734" operator="lessThan">
      <formula>-105575</formula>
    </cfRule>
  </conditionalFormatting>
  <conditionalFormatting sqref="BB146 BB144 BB141">
    <cfRule type="cellIs" dxfId="19731" priority="2731" operator="lessThan">
      <formula>0</formula>
    </cfRule>
    <cfRule type="cellIs" dxfId="19730" priority="2732" operator="lessThan">
      <formula>-105575</formula>
    </cfRule>
  </conditionalFormatting>
  <conditionalFormatting sqref="BB146 BB144 BB141">
    <cfRule type="cellIs" dxfId="19729" priority="2729" operator="lessThan">
      <formula>0</formula>
    </cfRule>
    <cfRule type="cellIs" dxfId="19728" priority="2730" operator="lessThan">
      <formula>-105575</formula>
    </cfRule>
  </conditionalFormatting>
  <conditionalFormatting sqref="BB140 BB145 BB142:BB143 BB137:BB138">
    <cfRule type="cellIs" dxfId="19727" priority="2727" operator="lessThan">
      <formula>0</formula>
    </cfRule>
    <cfRule type="cellIs" dxfId="19726" priority="2728" operator="lessThan">
      <formula>-105575</formula>
    </cfRule>
  </conditionalFormatting>
  <conditionalFormatting sqref="BB149">
    <cfRule type="cellIs" dxfId="19725" priority="2725" operator="lessThan">
      <formula>0</formula>
    </cfRule>
    <cfRule type="cellIs" dxfId="19724" priority="2726" operator="lessThan">
      <formula>-105575</formula>
    </cfRule>
  </conditionalFormatting>
  <conditionalFormatting sqref="BB94:BB98 BB86:BB87 BB89:BB91 BB141:BB149 BB124:BB133 BB107:BB110 BB112:BB117 BB119:BB122 BB135:BB138 BB101:BB104 BB80:BB84">
    <cfRule type="cellIs" dxfId="19723" priority="2723" operator="lessThan">
      <formula>0</formula>
    </cfRule>
    <cfRule type="cellIs" dxfId="19722" priority="2724" operator="lessThan">
      <formula>-105575</formula>
    </cfRule>
  </conditionalFormatting>
  <conditionalFormatting sqref="BB62:BB76 BB306:BB309 BB311:BB325 BB327:BB330 BB332:BB341 BB344:BB347 BB349:BB353 BB355:BB358 BB360:BB384 BB386:BB389 BB392:BB395 BB397:BB411 BB413:BB416 BB418:BB432 BB434:BB437 BB439:BB453 BB455:BB458 BB460:BB469 BB7:BB10 BB12:BB14 BB17:BB18 BB21:BB24 BB26:BB28 BB30:BB36 BB38 BB41:BB43 BB46:BB49 BB51:BB55 BB57:BB59 BB290:BB291 BB293:BB304">
    <cfRule type="cellIs" dxfId="19721" priority="2721" operator="lessThan">
      <formula>0</formula>
    </cfRule>
    <cfRule type="cellIs" dxfId="19720" priority="2722" operator="lessThan">
      <formula>-105575</formula>
    </cfRule>
  </conditionalFormatting>
  <conditionalFormatting sqref="BB41">
    <cfRule type="cellIs" dxfId="19719" priority="2719" operator="lessThan">
      <formula>0</formula>
    </cfRule>
    <cfRule type="cellIs" dxfId="19718" priority="2720" operator="lessThan">
      <formula>-105575</formula>
    </cfRule>
  </conditionalFormatting>
  <conditionalFormatting sqref="BB152:BB155">
    <cfRule type="cellIs" dxfId="19717" priority="2717" operator="lessThan">
      <formula>0</formula>
    </cfRule>
    <cfRule type="cellIs" dxfId="19716" priority="2718" operator="lessThan">
      <formula>-105575</formula>
    </cfRule>
  </conditionalFormatting>
  <conditionalFormatting sqref="BB152:BB155">
    <cfRule type="cellIs" dxfId="19715" priority="2715" operator="lessThan">
      <formula>0</formula>
    </cfRule>
    <cfRule type="cellIs" dxfId="19714" priority="2716" operator="lessThan">
      <formula>-105575</formula>
    </cfRule>
  </conditionalFormatting>
  <conditionalFormatting sqref="BB152:BB155">
    <cfRule type="cellIs" dxfId="19713" priority="2713" operator="lessThan">
      <formula>0</formula>
    </cfRule>
    <cfRule type="cellIs" dxfId="19712" priority="2714" operator="lessThan">
      <formula>-105575</formula>
    </cfRule>
  </conditionalFormatting>
  <conditionalFormatting sqref="BB157:BB158">
    <cfRule type="cellIs" dxfId="19711" priority="2711" operator="lessThan">
      <formula>0</formula>
    </cfRule>
    <cfRule type="cellIs" dxfId="19710" priority="2712" operator="lessThan">
      <formula>-105575</formula>
    </cfRule>
  </conditionalFormatting>
  <conditionalFormatting sqref="BB157:BB158">
    <cfRule type="cellIs" dxfId="19709" priority="2709" operator="lessThan">
      <formula>0</formula>
    </cfRule>
    <cfRule type="cellIs" dxfId="19708" priority="2710" operator="lessThan">
      <formula>-105575</formula>
    </cfRule>
  </conditionalFormatting>
  <conditionalFormatting sqref="BB157:BB158">
    <cfRule type="cellIs" dxfId="19707" priority="2707" operator="lessThan">
      <formula>0</formula>
    </cfRule>
    <cfRule type="cellIs" dxfId="19706" priority="2708" operator="lessThan">
      <formula>-105575</formula>
    </cfRule>
  </conditionalFormatting>
  <conditionalFormatting sqref="BB160:BB161">
    <cfRule type="cellIs" dxfId="19705" priority="2705" operator="lessThan">
      <formula>0</formula>
    </cfRule>
    <cfRule type="cellIs" dxfId="19704" priority="2706" operator="lessThan">
      <formula>-105575</formula>
    </cfRule>
  </conditionalFormatting>
  <conditionalFormatting sqref="BB160:BB161">
    <cfRule type="cellIs" dxfId="19703" priority="2703" operator="lessThan">
      <formula>0</formula>
    </cfRule>
    <cfRule type="cellIs" dxfId="19702" priority="2704" operator="lessThan">
      <formula>-105575</formula>
    </cfRule>
  </conditionalFormatting>
  <conditionalFormatting sqref="BB160:BB161">
    <cfRule type="cellIs" dxfId="19701" priority="2701" operator="lessThan">
      <formula>0</formula>
    </cfRule>
    <cfRule type="cellIs" dxfId="19700" priority="2702" operator="lessThan">
      <formula>-105575</formula>
    </cfRule>
  </conditionalFormatting>
  <conditionalFormatting sqref="BB164:BB167">
    <cfRule type="cellIs" dxfId="19699" priority="2699" operator="lessThan">
      <formula>0</formula>
    </cfRule>
    <cfRule type="cellIs" dxfId="19698" priority="2700" operator="lessThan">
      <formula>-105575</formula>
    </cfRule>
  </conditionalFormatting>
  <conditionalFormatting sqref="BB164:BB167">
    <cfRule type="cellIs" dxfId="19697" priority="2697" operator="lessThan">
      <formula>0</formula>
    </cfRule>
    <cfRule type="cellIs" dxfId="19696" priority="2698" operator="lessThan">
      <formula>-105575</formula>
    </cfRule>
  </conditionalFormatting>
  <conditionalFormatting sqref="BB164:BB167">
    <cfRule type="cellIs" dxfId="19695" priority="2695" operator="lessThan">
      <formula>0</formula>
    </cfRule>
    <cfRule type="cellIs" dxfId="19694" priority="2696" operator="lessThan">
      <formula>-105575</formula>
    </cfRule>
  </conditionalFormatting>
  <conditionalFormatting sqref="BB169:BB177">
    <cfRule type="cellIs" dxfId="19693" priority="2693" operator="lessThan">
      <formula>0</formula>
    </cfRule>
    <cfRule type="cellIs" dxfId="19692" priority="2694" operator="lessThan">
      <formula>-105575</formula>
    </cfRule>
  </conditionalFormatting>
  <conditionalFormatting sqref="BB169:BB177">
    <cfRule type="cellIs" dxfId="19691" priority="2691" operator="lessThan">
      <formula>0</formula>
    </cfRule>
    <cfRule type="cellIs" dxfId="19690" priority="2692" operator="lessThan">
      <formula>-105575</formula>
    </cfRule>
  </conditionalFormatting>
  <conditionalFormatting sqref="BB169:BB177">
    <cfRule type="cellIs" dxfId="19689" priority="2689" operator="lessThan">
      <formula>0</formula>
    </cfRule>
    <cfRule type="cellIs" dxfId="19688" priority="2690" operator="lessThan">
      <formula>-105575</formula>
    </cfRule>
  </conditionalFormatting>
  <conditionalFormatting sqref="BB179:BB180">
    <cfRule type="cellIs" dxfId="19687" priority="2687" operator="lessThan">
      <formula>0</formula>
    </cfRule>
    <cfRule type="cellIs" dxfId="19686" priority="2688" operator="lessThan">
      <formula>-105575</formula>
    </cfRule>
  </conditionalFormatting>
  <conditionalFormatting sqref="BB179:BB180">
    <cfRule type="cellIs" dxfId="19685" priority="2685" operator="lessThan">
      <formula>0</formula>
    </cfRule>
    <cfRule type="cellIs" dxfId="19684" priority="2686" operator="lessThan">
      <formula>-105575</formula>
    </cfRule>
  </conditionalFormatting>
  <conditionalFormatting sqref="BB179:BB180">
    <cfRule type="cellIs" dxfId="19683" priority="2683" operator="lessThan">
      <formula>0</formula>
    </cfRule>
    <cfRule type="cellIs" dxfId="19682" priority="2684" operator="lessThan">
      <formula>-105575</formula>
    </cfRule>
  </conditionalFormatting>
  <conditionalFormatting sqref="BB183:BB189">
    <cfRule type="cellIs" dxfId="19681" priority="2681" operator="lessThan">
      <formula>0</formula>
    </cfRule>
    <cfRule type="cellIs" dxfId="19680" priority="2682" operator="lessThan">
      <formula>-105575</formula>
    </cfRule>
  </conditionalFormatting>
  <conditionalFormatting sqref="BB183:BB189">
    <cfRule type="cellIs" dxfId="19679" priority="2679" operator="lessThan">
      <formula>0</formula>
    </cfRule>
    <cfRule type="cellIs" dxfId="19678" priority="2680" operator="lessThan">
      <formula>-105575</formula>
    </cfRule>
  </conditionalFormatting>
  <conditionalFormatting sqref="BB183:BB189">
    <cfRule type="cellIs" dxfId="19677" priority="2677" operator="lessThan">
      <formula>0</formula>
    </cfRule>
    <cfRule type="cellIs" dxfId="19676" priority="2678" operator="lessThan">
      <formula>-105575</formula>
    </cfRule>
  </conditionalFormatting>
  <conditionalFormatting sqref="BB191:BB192">
    <cfRule type="cellIs" dxfId="19675" priority="2675" operator="lessThan">
      <formula>0</formula>
    </cfRule>
    <cfRule type="cellIs" dxfId="19674" priority="2676" operator="lessThan">
      <formula>-105575</formula>
    </cfRule>
  </conditionalFormatting>
  <conditionalFormatting sqref="BB191:BB192">
    <cfRule type="cellIs" dxfId="19673" priority="2673" operator="lessThan">
      <formula>0</formula>
    </cfRule>
    <cfRule type="cellIs" dxfId="19672" priority="2674" operator="lessThan">
      <formula>-105575</formula>
    </cfRule>
  </conditionalFormatting>
  <conditionalFormatting sqref="BB191:BB192">
    <cfRule type="cellIs" dxfId="19671" priority="2671" operator="lessThan">
      <formula>0</formula>
    </cfRule>
    <cfRule type="cellIs" dxfId="19670" priority="2672" operator="lessThan">
      <formula>-105575</formula>
    </cfRule>
  </conditionalFormatting>
  <conditionalFormatting sqref="BB194:BB195">
    <cfRule type="cellIs" dxfId="19669" priority="2669" operator="lessThan">
      <formula>0</formula>
    </cfRule>
    <cfRule type="cellIs" dxfId="19668" priority="2670" operator="lessThan">
      <formula>-105575</formula>
    </cfRule>
  </conditionalFormatting>
  <conditionalFormatting sqref="BB194:BB195">
    <cfRule type="cellIs" dxfId="19667" priority="2667" operator="lessThan">
      <formula>0</formula>
    </cfRule>
    <cfRule type="cellIs" dxfId="19666" priority="2668" operator="lessThan">
      <formula>-105575</formula>
    </cfRule>
  </conditionalFormatting>
  <conditionalFormatting sqref="BB194:BB195">
    <cfRule type="cellIs" dxfId="19665" priority="2665" operator="lessThan">
      <formula>0</formula>
    </cfRule>
    <cfRule type="cellIs" dxfId="19664" priority="2666" operator="lessThan">
      <formula>-105575</formula>
    </cfRule>
  </conditionalFormatting>
  <conditionalFormatting sqref="BB199:BB202">
    <cfRule type="cellIs" dxfId="19663" priority="2663" operator="lessThan">
      <formula>0</formula>
    </cfRule>
    <cfRule type="cellIs" dxfId="19662" priority="2664" operator="lessThan">
      <formula>-105575</formula>
    </cfRule>
  </conditionalFormatting>
  <conditionalFormatting sqref="BB199:BB202">
    <cfRule type="cellIs" dxfId="19661" priority="2661" operator="lessThan">
      <formula>0</formula>
    </cfRule>
    <cfRule type="cellIs" dxfId="19660" priority="2662" operator="lessThan">
      <formula>-105575</formula>
    </cfRule>
  </conditionalFormatting>
  <conditionalFormatting sqref="BB199:BB202">
    <cfRule type="cellIs" dxfId="19659" priority="2659" operator="lessThan">
      <formula>0</formula>
    </cfRule>
    <cfRule type="cellIs" dxfId="19658" priority="2660" operator="lessThan">
      <formula>-105575</formula>
    </cfRule>
  </conditionalFormatting>
  <conditionalFormatting sqref="BB204:BB208">
    <cfRule type="cellIs" dxfId="19657" priority="2657" operator="lessThan">
      <formula>0</formula>
    </cfRule>
    <cfRule type="cellIs" dxfId="19656" priority="2658" operator="lessThan">
      <formula>-105575</formula>
    </cfRule>
  </conditionalFormatting>
  <conditionalFormatting sqref="BB204:BB208">
    <cfRule type="cellIs" dxfId="19655" priority="2655" operator="lessThan">
      <formula>0</formula>
    </cfRule>
    <cfRule type="cellIs" dxfId="19654" priority="2656" operator="lessThan">
      <formula>-105575</formula>
    </cfRule>
  </conditionalFormatting>
  <conditionalFormatting sqref="BB204:BB208">
    <cfRule type="cellIs" dxfId="19653" priority="2653" operator="lessThan">
      <formula>0</formula>
    </cfRule>
    <cfRule type="cellIs" dxfId="19652" priority="2654" operator="lessThan">
      <formula>-105575</formula>
    </cfRule>
  </conditionalFormatting>
  <conditionalFormatting sqref="BB210:BB211">
    <cfRule type="cellIs" dxfId="19651" priority="2651" operator="lessThan">
      <formula>0</formula>
    </cfRule>
    <cfRule type="cellIs" dxfId="19650" priority="2652" operator="lessThan">
      <formula>-105575</formula>
    </cfRule>
  </conditionalFormatting>
  <conditionalFormatting sqref="BB210:BB211">
    <cfRule type="cellIs" dxfId="19649" priority="2649" operator="lessThan">
      <formula>0</formula>
    </cfRule>
    <cfRule type="cellIs" dxfId="19648" priority="2650" operator="lessThan">
      <formula>-105575</formula>
    </cfRule>
  </conditionalFormatting>
  <conditionalFormatting sqref="BB210:BB211">
    <cfRule type="cellIs" dxfId="19647" priority="2647" operator="lessThan">
      <formula>0</formula>
    </cfRule>
    <cfRule type="cellIs" dxfId="19646" priority="2648" operator="lessThan">
      <formula>-105575</formula>
    </cfRule>
  </conditionalFormatting>
  <conditionalFormatting sqref="BB214:BB219">
    <cfRule type="cellIs" dxfId="19645" priority="2645" operator="lessThan">
      <formula>0</formula>
    </cfRule>
    <cfRule type="cellIs" dxfId="19644" priority="2646" operator="lessThan">
      <formula>-105575</formula>
    </cfRule>
  </conditionalFormatting>
  <conditionalFormatting sqref="BB214:BB219">
    <cfRule type="cellIs" dxfId="19643" priority="2643" operator="lessThan">
      <formula>0</formula>
    </cfRule>
    <cfRule type="cellIs" dxfId="19642" priority="2644" operator="lessThan">
      <formula>-105575</formula>
    </cfRule>
  </conditionalFormatting>
  <conditionalFormatting sqref="BB214:BB219">
    <cfRule type="cellIs" dxfId="19641" priority="2641" operator="lessThan">
      <formula>0</formula>
    </cfRule>
    <cfRule type="cellIs" dxfId="19640" priority="2642" operator="lessThan">
      <formula>-105575</formula>
    </cfRule>
  </conditionalFormatting>
  <conditionalFormatting sqref="BB222:BB224">
    <cfRule type="cellIs" dxfId="19639" priority="2639" operator="lessThan">
      <formula>0</formula>
    </cfRule>
    <cfRule type="cellIs" dxfId="19638" priority="2640" operator="lessThan">
      <formula>-105575</formula>
    </cfRule>
  </conditionalFormatting>
  <conditionalFormatting sqref="BB222:BB224">
    <cfRule type="cellIs" dxfId="19637" priority="2637" operator="lessThan">
      <formula>0</formula>
    </cfRule>
    <cfRule type="cellIs" dxfId="19636" priority="2638" operator="lessThan">
      <formula>-105575</formula>
    </cfRule>
  </conditionalFormatting>
  <conditionalFormatting sqref="BB222:BB224">
    <cfRule type="cellIs" dxfId="19635" priority="2635" operator="lessThan">
      <formula>0</formula>
    </cfRule>
    <cfRule type="cellIs" dxfId="19634" priority="2636" operator="lessThan">
      <formula>-105575</formula>
    </cfRule>
  </conditionalFormatting>
  <conditionalFormatting sqref="BB227:BB230">
    <cfRule type="cellIs" dxfId="19633" priority="2633" operator="lessThan">
      <formula>0</formula>
    </cfRule>
    <cfRule type="cellIs" dxfId="19632" priority="2634" operator="lessThan">
      <formula>-105575</formula>
    </cfRule>
  </conditionalFormatting>
  <conditionalFormatting sqref="BB227:BB230">
    <cfRule type="cellIs" dxfId="19631" priority="2631" operator="lessThan">
      <formula>0</formula>
    </cfRule>
    <cfRule type="cellIs" dxfId="19630" priority="2632" operator="lessThan">
      <formula>-105575</formula>
    </cfRule>
  </conditionalFormatting>
  <conditionalFormatting sqref="BB227:BB230">
    <cfRule type="cellIs" dxfId="19629" priority="2629" operator="lessThan">
      <formula>0</formula>
    </cfRule>
    <cfRule type="cellIs" dxfId="19628" priority="2630" operator="lessThan">
      <formula>-105575</formula>
    </cfRule>
  </conditionalFormatting>
  <conditionalFormatting sqref="BB246:BB249">
    <cfRule type="cellIs" dxfId="19627" priority="2627" operator="lessThan">
      <formula>0</formula>
    </cfRule>
    <cfRule type="cellIs" dxfId="19626" priority="2628" operator="lessThan">
      <formula>-105575</formula>
    </cfRule>
  </conditionalFormatting>
  <conditionalFormatting sqref="BB246:BB249">
    <cfRule type="cellIs" dxfId="19625" priority="2625" operator="lessThan">
      <formula>0</formula>
    </cfRule>
    <cfRule type="cellIs" dxfId="19624" priority="2626" operator="lessThan">
      <formula>-105575</formula>
    </cfRule>
  </conditionalFormatting>
  <conditionalFormatting sqref="BB246:BB249">
    <cfRule type="cellIs" dxfId="19623" priority="2623" operator="lessThan">
      <formula>0</formula>
    </cfRule>
    <cfRule type="cellIs" dxfId="19622" priority="2624" operator="lessThan">
      <formula>-105575</formula>
    </cfRule>
  </conditionalFormatting>
  <conditionalFormatting sqref="BB246:BB249">
    <cfRule type="cellIs" dxfId="19621" priority="2621" operator="lessThan">
      <formula>0</formula>
    </cfRule>
    <cfRule type="cellIs" dxfId="19620" priority="2622" operator="lessThan">
      <formula>-105575</formula>
    </cfRule>
  </conditionalFormatting>
  <conditionalFormatting sqref="BB246:BB249">
    <cfRule type="cellIs" dxfId="19619" priority="2619" operator="lessThan">
      <formula>0</formula>
    </cfRule>
    <cfRule type="cellIs" dxfId="19618" priority="2620" operator="lessThan">
      <formula>-105575</formula>
    </cfRule>
  </conditionalFormatting>
  <conditionalFormatting sqref="BB246:BB249">
    <cfRule type="cellIs" dxfId="19617" priority="2617" operator="lessThan">
      <formula>0</formula>
    </cfRule>
    <cfRule type="cellIs" dxfId="19616" priority="2618" operator="lessThan">
      <formula>-105575</formula>
    </cfRule>
  </conditionalFormatting>
  <conditionalFormatting sqref="BB246:BB249">
    <cfRule type="cellIs" dxfId="19615" priority="2615" operator="lessThan">
      <formula>0</formula>
    </cfRule>
    <cfRule type="cellIs" dxfId="19614" priority="2616" operator="lessThan">
      <formula>-105575</formula>
    </cfRule>
  </conditionalFormatting>
  <conditionalFormatting sqref="BB246:BB249">
    <cfRule type="cellIs" dxfId="19613" priority="2613" operator="lessThan">
      <formula>0</formula>
    </cfRule>
    <cfRule type="cellIs" dxfId="19612" priority="2614" operator="lessThan">
      <formula>-105575</formula>
    </cfRule>
  </conditionalFormatting>
  <conditionalFormatting sqref="BB246:BB249">
    <cfRule type="cellIs" dxfId="19611" priority="2611" operator="lessThan">
      <formula>0</formula>
    </cfRule>
    <cfRule type="cellIs" dxfId="19610" priority="2612" operator="lessThan">
      <formula>-105575</formula>
    </cfRule>
  </conditionalFormatting>
  <conditionalFormatting sqref="BB251:BB253">
    <cfRule type="cellIs" dxfId="19609" priority="2609" operator="lessThan">
      <formula>0</formula>
    </cfRule>
    <cfRule type="cellIs" dxfId="19608" priority="2610" operator="lessThan">
      <formula>-105575</formula>
    </cfRule>
  </conditionalFormatting>
  <conditionalFormatting sqref="BB251:BB253">
    <cfRule type="cellIs" dxfId="19607" priority="2607" operator="lessThan">
      <formula>0</formula>
    </cfRule>
    <cfRule type="cellIs" dxfId="19606" priority="2608" operator="lessThan">
      <formula>-105575</formula>
    </cfRule>
  </conditionalFormatting>
  <conditionalFormatting sqref="BB251:BB253">
    <cfRule type="cellIs" dxfId="19605" priority="2605" operator="lessThan">
      <formula>0</formula>
    </cfRule>
    <cfRule type="cellIs" dxfId="19604" priority="2606" operator="lessThan">
      <formula>-105575</formula>
    </cfRule>
  </conditionalFormatting>
  <conditionalFormatting sqref="BB251:BB253">
    <cfRule type="cellIs" dxfId="19603" priority="2603" operator="lessThan">
      <formula>0</formula>
    </cfRule>
    <cfRule type="cellIs" dxfId="19602" priority="2604" operator="lessThan">
      <formula>-105575</formula>
    </cfRule>
  </conditionalFormatting>
  <conditionalFormatting sqref="BB251:BB253">
    <cfRule type="cellIs" dxfId="19601" priority="2601" operator="lessThan">
      <formula>0</formula>
    </cfRule>
    <cfRule type="cellIs" dxfId="19600" priority="2602" operator="lessThan">
      <formula>-105575</formula>
    </cfRule>
  </conditionalFormatting>
  <conditionalFormatting sqref="BB251:BB253">
    <cfRule type="cellIs" dxfId="19599" priority="2599" operator="lessThan">
      <formula>0</formula>
    </cfRule>
    <cfRule type="cellIs" dxfId="19598" priority="2600" operator="lessThan">
      <formula>-105575</formula>
    </cfRule>
  </conditionalFormatting>
  <conditionalFormatting sqref="BB251:BB253">
    <cfRule type="cellIs" dxfId="19597" priority="2597" operator="lessThan">
      <formula>0</formula>
    </cfRule>
    <cfRule type="cellIs" dxfId="19596" priority="2598" operator="lessThan">
      <formula>-105575</formula>
    </cfRule>
  </conditionalFormatting>
  <conditionalFormatting sqref="BB251:BB253">
    <cfRule type="cellIs" dxfId="19595" priority="2595" operator="lessThan">
      <formula>0</formula>
    </cfRule>
    <cfRule type="cellIs" dxfId="19594" priority="2596" operator="lessThan">
      <formula>-105575</formula>
    </cfRule>
  </conditionalFormatting>
  <conditionalFormatting sqref="BB251:BB253">
    <cfRule type="cellIs" dxfId="19593" priority="2593" operator="lessThan">
      <formula>0</formula>
    </cfRule>
    <cfRule type="cellIs" dxfId="19592" priority="2594" operator="lessThan">
      <formula>-105575</formula>
    </cfRule>
  </conditionalFormatting>
  <conditionalFormatting sqref="BB255:BB257">
    <cfRule type="cellIs" dxfId="19591" priority="2591" operator="lessThan">
      <formula>0</formula>
    </cfRule>
    <cfRule type="cellIs" dxfId="19590" priority="2592" operator="lessThan">
      <formula>-105575</formula>
    </cfRule>
  </conditionalFormatting>
  <conditionalFormatting sqref="BB255:BB257">
    <cfRule type="cellIs" dxfId="19589" priority="2589" operator="lessThan">
      <formula>0</formula>
    </cfRule>
    <cfRule type="cellIs" dxfId="19588" priority="2590" operator="lessThan">
      <formula>-105575</formula>
    </cfRule>
  </conditionalFormatting>
  <conditionalFormatting sqref="BB255:BB257">
    <cfRule type="cellIs" dxfId="19587" priority="2587" operator="lessThan">
      <formula>0</formula>
    </cfRule>
    <cfRule type="cellIs" dxfId="19586" priority="2588" operator="lessThan">
      <formula>-105575</formula>
    </cfRule>
  </conditionalFormatting>
  <conditionalFormatting sqref="BB255:BB257">
    <cfRule type="cellIs" dxfId="19585" priority="2585" operator="lessThan">
      <formula>0</formula>
    </cfRule>
    <cfRule type="cellIs" dxfId="19584" priority="2586" operator="lessThan">
      <formula>-105575</formula>
    </cfRule>
  </conditionalFormatting>
  <conditionalFormatting sqref="BB255:BB257">
    <cfRule type="cellIs" dxfId="19583" priority="2583" operator="lessThan">
      <formula>0</formula>
    </cfRule>
    <cfRule type="cellIs" dxfId="19582" priority="2584" operator="lessThan">
      <formula>-105575</formula>
    </cfRule>
  </conditionalFormatting>
  <conditionalFormatting sqref="BB255:BB257">
    <cfRule type="cellIs" dxfId="19581" priority="2581" operator="lessThan">
      <formula>0</formula>
    </cfRule>
    <cfRule type="cellIs" dxfId="19580" priority="2582" operator="lessThan">
      <formula>-105575</formula>
    </cfRule>
  </conditionalFormatting>
  <conditionalFormatting sqref="BB255:BB257">
    <cfRule type="cellIs" dxfId="19579" priority="2579" operator="lessThan">
      <formula>0</formula>
    </cfRule>
    <cfRule type="cellIs" dxfId="19578" priority="2580" operator="lessThan">
      <formula>-105575</formula>
    </cfRule>
  </conditionalFormatting>
  <conditionalFormatting sqref="BB255:BB257">
    <cfRule type="cellIs" dxfId="19577" priority="2577" operator="lessThan">
      <formula>0</formula>
    </cfRule>
    <cfRule type="cellIs" dxfId="19576" priority="2578" operator="lessThan">
      <formula>-105575</formula>
    </cfRule>
  </conditionalFormatting>
  <conditionalFormatting sqref="BB255:BB257">
    <cfRule type="cellIs" dxfId="19575" priority="2575" operator="lessThan">
      <formula>0</formula>
    </cfRule>
    <cfRule type="cellIs" dxfId="19574" priority="2576" operator="lessThan">
      <formula>-105575</formula>
    </cfRule>
  </conditionalFormatting>
  <conditionalFormatting sqref="BB260:BB262">
    <cfRule type="cellIs" dxfId="19573" priority="2573" operator="lessThan">
      <formula>0</formula>
    </cfRule>
    <cfRule type="cellIs" dxfId="19572" priority="2574" operator="lessThan">
      <formula>-105575</formula>
    </cfRule>
  </conditionalFormatting>
  <conditionalFormatting sqref="BB260:BB262">
    <cfRule type="cellIs" dxfId="19571" priority="2571" operator="lessThan">
      <formula>0</formula>
    </cfRule>
    <cfRule type="cellIs" dxfId="19570" priority="2572" operator="lessThan">
      <formula>-105575</formula>
    </cfRule>
  </conditionalFormatting>
  <conditionalFormatting sqref="BB260:BB262">
    <cfRule type="cellIs" dxfId="19569" priority="2569" operator="lessThan">
      <formula>0</formula>
    </cfRule>
    <cfRule type="cellIs" dxfId="19568" priority="2570" operator="lessThan">
      <formula>-105575</formula>
    </cfRule>
  </conditionalFormatting>
  <conditionalFormatting sqref="BB260:BB262">
    <cfRule type="cellIs" dxfId="19567" priority="2567" operator="lessThan">
      <formula>0</formula>
    </cfRule>
    <cfRule type="cellIs" dxfId="19566" priority="2568" operator="lessThan">
      <formula>-105575</formula>
    </cfRule>
  </conditionalFormatting>
  <conditionalFormatting sqref="BB260:BB262">
    <cfRule type="cellIs" dxfId="19565" priority="2565" operator="lessThan">
      <formula>0</formula>
    </cfRule>
    <cfRule type="cellIs" dxfId="19564" priority="2566" operator="lessThan">
      <formula>-105575</formula>
    </cfRule>
  </conditionalFormatting>
  <conditionalFormatting sqref="BB260:BB262">
    <cfRule type="cellIs" dxfId="19563" priority="2563" operator="lessThan">
      <formula>0</formula>
    </cfRule>
    <cfRule type="cellIs" dxfId="19562" priority="2564" operator="lessThan">
      <formula>-105575</formula>
    </cfRule>
  </conditionalFormatting>
  <conditionalFormatting sqref="BB260:BB262">
    <cfRule type="cellIs" dxfId="19561" priority="2561" operator="lessThan">
      <formula>0</formula>
    </cfRule>
    <cfRule type="cellIs" dxfId="19560" priority="2562" operator="lessThan">
      <formula>-105575</formula>
    </cfRule>
  </conditionalFormatting>
  <conditionalFormatting sqref="BB260:BB262">
    <cfRule type="cellIs" dxfId="19559" priority="2559" operator="lessThan">
      <formula>0</formula>
    </cfRule>
    <cfRule type="cellIs" dxfId="19558" priority="2560" operator="lessThan">
      <formula>-105575</formula>
    </cfRule>
  </conditionalFormatting>
  <conditionalFormatting sqref="BB260:BB262">
    <cfRule type="cellIs" dxfId="19557" priority="2557" operator="lessThan">
      <formula>0</formula>
    </cfRule>
    <cfRule type="cellIs" dxfId="19556" priority="2558" operator="lessThan">
      <formula>-105575</formula>
    </cfRule>
  </conditionalFormatting>
  <conditionalFormatting sqref="BB264:BB267">
    <cfRule type="cellIs" dxfId="19555" priority="2555" operator="lessThan">
      <formula>0</formula>
    </cfRule>
    <cfRule type="cellIs" dxfId="19554" priority="2556" operator="lessThan">
      <formula>-105575</formula>
    </cfRule>
  </conditionalFormatting>
  <conditionalFormatting sqref="BB264:BB267">
    <cfRule type="cellIs" dxfId="19553" priority="2553" operator="lessThan">
      <formula>0</formula>
    </cfRule>
    <cfRule type="cellIs" dxfId="19552" priority="2554" operator="lessThan">
      <formula>-105575</formula>
    </cfRule>
  </conditionalFormatting>
  <conditionalFormatting sqref="BB264:BB267">
    <cfRule type="cellIs" dxfId="19551" priority="2551" operator="lessThan">
      <formula>0</formula>
    </cfRule>
    <cfRule type="cellIs" dxfId="19550" priority="2552" operator="lessThan">
      <formula>-105575</formula>
    </cfRule>
  </conditionalFormatting>
  <conditionalFormatting sqref="BB264:BB267">
    <cfRule type="cellIs" dxfId="19549" priority="2549" operator="lessThan">
      <formula>0</formula>
    </cfRule>
    <cfRule type="cellIs" dxfId="19548" priority="2550" operator="lessThan">
      <formula>-105575</formula>
    </cfRule>
  </conditionalFormatting>
  <conditionalFormatting sqref="BB264:BB267">
    <cfRule type="cellIs" dxfId="19547" priority="2547" operator="lessThan">
      <formula>0</formula>
    </cfRule>
    <cfRule type="cellIs" dxfId="19546" priority="2548" operator="lessThan">
      <formula>-105575</formula>
    </cfRule>
  </conditionalFormatting>
  <conditionalFormatting sqref="BB264:BB267">
    <cfRule type="cellIs" dxfId="19545" priority="2545" operator="lessThan">
      <formula>0</formula>
    </cfRule>
    <cfRule type="cellIs" dxfId="19544" priority="2546" operator="lessThan">
      <formula>-105575</formula>
    </cfRule>
  </conditionalFormatting>
  <conditionalFormatting sqref="BB264:BB267">
    <cfRule type="cellIs" dxfId="19543" priority="2543" operator="lessThan">
      <formula>0</formula>
    </cfRule>
    <cfRule type="cellIs" dxfId="19542" priority="2544" operator="lessThan">
      <formula>-105575</formula>
    </cfRule>
  </conditionalFormatting>
  <conditionalFormatting sqref="BB264:BB267">
    <cfRule type="cellIs" dxfId="19541" priority="2541" operator="lessThan">
      <formula>0</formula>
    </cfRule>
    <cfRule type="cellIs" dxfId="19540" priority="2542" operator="lessThan">
      <formula>-105575</formula>
    </cfRule>
  </conditionalFormatting>
  <conditionalFormatting sqref="BB264:BB267">
    <cfRule type="cellIs" dxfId="19539" priority="2539" operator="lessThan">
      <formula>0</formula>
    </cfRule>
    <cfRule type="cellIs" dxfId="19538" priority="2540" operator="lessThan">
      <formula>-105575</formula>
    </cfRule>
  </conditionalFormatting>
  <conditionalFormatting sqref="BB270:BB272">
    <cfRule type="cellIs" dxfId="19537" priority="2537" operator="lessThan">
      <formula>0</formula>
    </cfRule>
    <cfRule type="cellIs" dxfId="19536" priority="2538" operator="lessThan">
      <formula>-105575</formula>
    </cfRule>
  </conditionalFormatting>
  <conditionalFormatting sqref="BB270:BB272">
    <cfRule type="cellIs" dxfId="19535" priority="2535" operator="lessThan">
      <formula>0</formula>
    </cfRule>
    <cfRule type="cellIs" dxfId="19534" priority="2536" operator="lessThan">
      <formula>-105575</formula>
    </cfRule>
  </conditionalFormatting>
  <conditionalFormatting sqref="BB270:BB272">
    <cfRule type="cellIs" dxfId="19533" priority="2533" operator="lessThan">
      <formula>0</formula>
    </cfRule>
    <cfRule type="cellIs" dxfId="19532" priority="2534" operator="lessThan">
      <formula>-105575</formula>
    </cfRule>
  </conditionalFormatting>
  <conditionalFormatting sqref="BB270:BB272">
    <cfRule type="cellIs" dxfId="19531" priority="2531" operator="lessThan">
      <formula>0</formula>
    </cfRule>
    <cfRule type="cellIs" dxfId="19530" priority="2532" operator="lessThan">
      <formula>-105575</formula>
    </cfRule>
  </conditionalFormatting>
  <conditionalFormatting sqref="BB270:BB272">
    <cfRule type="cellIs" dxfId="19529" priority="2529" operator="lessThan">
      <formula>0</formula>
    </cfRule>
    <cfRule type="cellIs" dxfId="19528" priority="2530" operator="lessThan">
      <formula>-105575</formula>
    </cfRule>
  </conditionalFormatting>
  <conditionalFormatting sqref="BB270:BB272">
    <cfRule type="cellIs" dxfId="19527" priority="2527" operator="lessThan">
      <formula>0</formula>
    </cfRule>
    <cfRule type="cellIs" dxfId="19526" priority="2528" operator="lessThan">
      <formula>-105575</formula>
    </cfRule>
  </conditionalFormatting>
  <conditionalFormatting sqref="BB270:BB272">
    <cfRule type="cellIs" dxfId="19525" priority="2525" operator="lessThan">
      <formula>0</formula>
    </cfRule>
    <cfRule type="cellIs" dxfId="19524" priority="2526" operator="lessThan">
      <formula>-105575</formula>
    </cfRule>
  </conditionalFormatting>
  <conditionalFormatting sqref="BB270:BB272">
    <cfRule type="cellIs" dxfId="19523" priority="2523" operator="lessThan">
      <formula>0</formula>
    </cfRule>
    <cfRule type="cellIs" dxfId="19522" priority="2524" operator="lessThan">
      <formula>-105575</formula>
    </cfRule>
  </conditionalFormatting>
  <conditionalFormatting sqref="BB270:BB272">
    <cfRule type="cellIs" dxfId="19521" priority="2521" operator="lessThan">
      <formula>0</formula>
    </cfRule>
    <cfRule type="cellIs" dxfId="19520" priority="2522" operator="lessThan">
      <formula>-105575</formula>
    </cfRule>
  </conditionalFormatting>
  <conditionalFormatting sqref="BB274:BB275">
    <cfRule type="cellIs" dxfId="19519" priority="2519" operator="lessThan">
      <formula>0</formula>
    </cfRule>
    <cfRule type="cellIs" dxfId="19518" priority="2520" operator="lessThan">
      <formula>-105575</formula>
    </cfRule>
  </conditionalFormatting>
  <conditionalFormatting sqref="BB274:BB275">
    <cfRule type="cellIs" dxfId="19517" priority="2517" operator="lessThan">
      <formula>0</formula>
    </cfRule>
    <cfRule type="cellIs" dxfId="19516" priority="2518" operator="lessThan">
      <formula>-105575</formula>
    </cfRule>
  </conditionalFormatting>
  <conditionalFormatting sqref="BB274:BB275">
    <cfRule type="cellIs" dxfId="19515" priority="2515" operator="lessThan">
      <formula>0</formula>
    </cfRule>
    <cfRule type="cellIs" dxfId="19514" priority="2516" operator="lessThan">
      <formula>-105575</formula>
    </cfRule>
  </conditionalFormatting>
  <conditionalFormatting sqref="BB274:BB275">
    <cfRule type="cellIs" dxfId="19513" priority="2513" operator="lessThan">
      <formula>0</formula>
    </cfRule>
    <cfRule type="cellIs" dxfId="19512" priority="2514" operator="lessThan">
      <formula>-105575</formula>
    </cfRule>
  </conditionalFormatting>
  <conditionalFormatting sqref="BB274:BB275">
    <cfRule type="cellIs" dxfId="19511" priority="2511" operator="lessThan">
      <formula>0</formula>
    </cfRule>
    <cfRule type="cellIs" dxfId="19510" priority="2512" operator="lessThan">
      <formula>-105575</formula>
    </cfRule>
  </conditionalFormatting>
  <conditionalFormatting sqref="BB274:BB275">
    <cfRule type="cellIs" dxfId="19509" priority="2509" operator="lessThan">
      <formula>0</formula>
    </cfRule>
    <cfRule type="cellIs" dxfId="19508" priority="2510" operator="lessThan">
      <formula>-105575</formula>
    </cfRule>
  </conditionalFormatting>
  <conditionalFormatting sqref="BB274:BB275">
    <cfRule type="cellIs" dxfId="19507" priority="2507" operator="lessThan">
      <formula>0</formula>
    </cfRule>
    <cfRule type="cellIs" dxfId="19506" priority="2508" operator="lessThan">
      <formula>-105575</formula>
    </cfRule>
  </conditionalFormatting>
  <conditionalFormatting sqref="BB274:BB275">
    <cfRule type="cellIs" dxfId="19505" priority="2505" operator="lessThan">
      <formula>0</formula>
    </cfRule>
    <cfRule type="cellIs" dxfId="19504" priority="2506" operator="lessThan">
      <formula>-105575</formula>
    </cfRule>
  </conditionalFormatting>
  <conditionalFormatting sqref="BB274:BB275">
    <cfRule type="cellIs" dxfId="19503" priority="2503" operator="lessThan">
      <formula>0</formula>
    </cfRule>
    <cfRule type="cellIs" dxfId="19502" priority="2504" operator="lessThan">
      <formula>-105575</formula>
    </cfRule>
  </conditionalFormatting>
  <conditionalFormatting sqref="BB278:BB282">
    <cfRule type="cellIs" dxfId="19501" priority="2501" operator="lessThan">
      <formula>0</formula>
    </cfRule>
    <cfRule type="cellIs" dxfId="19500" priority="2502" operator="lessThan">
      <formula>-105575</formula>
    </cfRule>
  </conditionalFormatting>
  <conditionalFormatting sqref="BB278:BB282">
    <cfRule type="cellIs" dxfId="19499" priority="2499" operator="lessThan">
      <formula>0</formula>
    </cfRule>
    <cfRule type="cellIs" dxfId="19498" priority="2500" operator="lessThan">
      <formula>-105575</formula>
    </cfRule>
  </conditionalFormatting>
  <conditionalFormatting sqref="BB278:BB282">
    <cfRule type="cellIs" dxfId="19497" priority="2497" operator="lessThan">
      <formula>0</formula>
    </cfRule>
    <cfRule type="cellIs" dxfId="19496" priority="2498" operator="lessThan">
      <formula>-105575</formula>
    </cfRule>
  </conditionalFormatting>
  <conditionalFormatting sqref="BB278:BB282">
    <cfRule type="cellIs" dxfId="19495" priority="2495" operator="lessThan">
      <formula>0</formula>
    </cfRule>
    <cfRule type="cellIs" dxfId="19494" priority="2496" operator="lessThan">
      <formula>-105575</formula>
    </cfRule>
  </conditionalFormatting>
  <conditionalFormatting sqref="BB278:BB282">
    <cfRule type="cellIs" dxfId="19493" priority="2493" operator="lessThan">
      <formula>0</formula>
    </cfRule>
    <cfRule type="cellIs" dxfId="19492" priority="2494" operator="lessThan">
      <formula>-105575</formula>
    </cfRule>
  </conditionalFormatting>
  <conditionalFormatting sqref="BB278:BB282">
    <cfRule type="cellIs" dxfId="19491" priority="2491" operator="lessThan">
      <formula>0</formula>
    </cfRule>
    <cfRule type="cellIs" dxfId="19490" priority="2492" operator="lessThan">
      <formula>-105575</formula>
    </cfRule>
  </conditionalFormatting>
  <conditionalFormatting sqref="BB278:BB282">
    <cfRule type="cellIs" dxfId="19489" priority="2489" operator="lessThan">
      <formula>0</formula>
    </cfRule>
    <cfRule type="cellIs" dxfId="19488" priority="2490" operator="lessThan">
      <formula>-105575</formula>
    </cfRule>
  </conditionalFormatting>
  <conditionalFormatting sqref="BB278:BB282">
    <cfRule type="cellIs" dxfId="19487" priority="2487" operator="lessThan">
      <formula>0</formula>
    </cfRule>
    <cfRule type="cellIs" dxfId="19486" priority="2488" operator="lessThan">
      <formula>-105575</formula>
    </cfRule>
  </conditionalFormatting>
  <conditionalFormatting sqref="BB278:BB282">
    <cfRule type="cellIs" dxfId="19485" priority="2485" operator="lessThan">
      <formula>0</formula>
    </cfRule>
    <cfRule type="cellIs" dxfId="19484" priority="2486" operator="lessThan">
      <formula>-105575</formula>
    </cfRule>
  </conditionalFormatting>
  <conditionalFormatting sqref="BB285:BB288">
    <cfRule type="cellIs" dxfId="19483" priority="2483" operator="lessThan">
      <formula>0</formula>
    </cfRule>
    <cfRule type="cellIs" dxfId="19482" priority="2484" operator="lessThan">
      <formula>-105575</formula>
    </cfRule>
  </conditionalFormatting>
  <conditionalFormatting sqref="BB285:BB288">
    <cfRule type="cellIs" dxfId="19481" priority="2481" operator="lessThan">
      <formula>0</formula>
    </cfRule>
    <cfRule type="cellIs" dxfId="19480" priority="2482" operator="lessThan">
      <formula>-105575</formula>
    </cfRule>
  </conditionalFormatting>
  <conditionalFormatting sqref="BB285:BB288">
    <cfRule type="cellIs" dxfId="19479" priority="2479" operator="lessThan">
      <formula>0</formula>
    </cfRule>
    <cfRule type="cellIs" dxfId="19478" priority="2480" operator="lessThan">
      <formula>-105575</formula>
    </cfRule>
  </conditionalFormatting>
  <conditionalFormatting sqref="BB285:BB288">
    <cfRule type="cellIs" dxfId="19477" priority="2477" operator="lessThan">
      <formula>0</formula>
    </cfRule>
    <cfRule type="cellIs" dxfId="19476" priority="2478" operator="lessThan">
      <formula>-105575</formula>
    </cfRule>
  </conditionalFormatting>
  <conditionalFormatting sqref="BB285:BB288">
    <cfRule type="cellIs" dxfId="19475" priority="2475" operator="lessThan">
      <formula>0</formula>
    </cfRule>
    <cfRule type="cellIs" dxfId="19474" priority="2476" operator="lessThan">
      <formula>-105575</formula>
    </cfRule>
  </conditionalFormatting>
  <conditionalFormatting sqref="BB285:BB288">
    <cfRule type="cellIs" dxfId="19473" priority="2473" operator="lessThan">
      <formula>0</formula>
    </cfRule>
    <cfRule type="cellIs" dxfId="19472" priority="2474" operator="lessThan">
      <formula>-105575</formula>
    </cfRule>
  </conditionalFormatting>
  <conditionalFormatting sqref="BB285:BB288">
    <cfRule type="cellIs" dxfId="19471" priority="2471" operator="lessThan">
      <formula>0</formula>
    </cfRule>
    <cfRule type="cellIs" dxfId="19470" priority="2472" operator="lessThan">
      <formula>-105575</formula>
    </cfRule>
  </conditionalFormatting>
  <conditionalFormatting sqref="BB285:BB288">
    <cfRule type="cellIs" dxfId="19469" priority="2469" operator="lessThan">
      <formula>0</formula>
    </cfRule>
    <cfRule type="cellIs" dxfId="19468" priority="2470" operator="lessThan">
      <formula>-105575</formula>
    </cfRule>
  </conditionalFormatting>
  <conditionalFormatting sqref="BB285:BB288">
    <cfRule type="cellIs" dxfId="19467" priority="2467" operator="lessThan">
      <formula>0</formula>
    </cfRule>
    <cfRule type="cellIs" dxfId="19466" priority="2468" operator="lessThan">
      <formula>-105575</formula>
    </cfRule>
  </conditionalFormatting>
  <conditionalFormatting sqref="BB203 BB220:BB221 BB235:BB243 BB231:BB233 BB212:BB213 BB225:BB226">
    <cfRule type="cellIs" dxfId="19465" priority="2465" operator="lessThan">
      <formula>0</formula>
    </cfRule>
    <cfRule type="cellIs" dxfId="19464" priority="2466" operator="lessThan">
      <formula>-105575</formula>
    </cfRule>
  </conditionalFormatting>
  <conditionalFormatting sqref="BB220 BB212:BB213 BB235:BB238 BB240:BB243 BB225:BB226 BB231:BB233">
    <cfRule type="cellIs" dxfId="19463" priority="2463" operator="lessThan">
      <formula>0</formula>
    </cfRule>
    <cfRule type="cellIs" dxfId="19462" priority="2464" operator="lessThan">
      <formula>-105575</formula>
    </cfRule>
  </conditionalFormatting>
  <conditionalFormatting sqref="BB220:BB221 BB243 BB226 BB231:BB236 BB238:BB241 BB203 BB213">
    <cfRule type="cellIs" dxfId="19461" priority="2461" operator="lessThan">
      <formula>0</formula>
    </cfRule>
    <cfRule type="cellIs" dxfId="19460" priority="2462" operator="lessThan">
      <formula>-105575</formula>
    </cfRule>
  </conditionalFormatting>
  <conditionalFormatting sqref="BB235:BB243 BB231:BB233 BB220 BB212:BB213 BB225:BB226">
    <cfRule type="cellIs" dxfId="19459" priority="2459" operator="lessThan">
      <formula>0</formula>
    </cfRule>
    <cfRule type="cellIs" dxfId="19458" priority="2460" operator="lessThan">
      <formula>-105575</formula>
    </cfRule>
  </conditionalFormatting>
  <conditionalFormatting sqref="BB220:BB221 BB237:BB243 BB203 BB231:BB235 BB212:BB213 BB225:BB226">
    <cfRule type="cellIs" dxfId="19457" priority="2457" operator="lessThan">
      <formula>0</formula>
    </cfRule>
    <cfRule type="cellIs" dxfId="19456" priority="2458" operator="lessThan">
      <formula>-105575</formula>
    </cfRule>
  </conditionalFormatting>
  <conditionalFormatting sqref="BB220:BB221 BB237:BB240 BB242:BB243 BB225:BB226 BB231:BB235">
    <cfRule type="cellIs" dxfId="19455" priority="2455" operator="lessThan">
      <formula>0</formula>
    </cfRule>
    <cfRule type="cellIs" dxfId="19454" priority="2456" operator="lessThan">
      <formula>-105575</formula>
    </cfRule>
  </conditionalFormatting>
  <conditionalFormatting sqref="BB212 BB231 BB233:BB238 BB240:BB243 BB225">
    <cfRule type="cellIs" dxfId="19453" priority="2453" operator="lessThan">
      <formula>0</formula>
    </cfRule>
    <cfRule type="cellIs" dxfId="19452" priority="2454" operator="lessThan">
      <formula>-105575</formula>
    </cfRule>
  </conditionalFormatting>
  <conditionalFormatting sqref="BB237:BB243 BB231:BB235 BB220:BB221 BB225:BB226">
    <cfRule type="cellIs" dxfId="19451" priority="2451" operator="lessThan">
      <formula>0</formula>
    </cfRule>
    <cfRule type="cellIs" dxfId="19450" priority="2452" operator="lessThan">
      <formula>-105575</formula>
    </cfRule>
  </conditionalFormatting>
  <conditionalFormatting sqref="BB233:BB237 BB231 BB239:BB243">
    <cfRule type="cellIs" dxfId="19449" priority="2449" operator="lessThan">
      <formula>0</formula>
    </cfRule>
    <cfRule type="cellIs" dxfId="19448" priority="2450" operator="lessThan">
      <formula>-105575</formula>
    </cfRule>
  </conditionalFormatting>
  <conditionalFormatting sqref="BB233:BB237 BB231 BB239:BB243">
    <cfRule type="cellIs" dxfId="19447" priority="2447" operator="lessThan">
      <formula>0</formula>
    </cfRule>
    <cfRule type="cellIs" dxfId="19446" priority="2448" operator="lessThan">
      <formula>-105575</formula>
    </cfRule>
  </conditionalFormatting>
  <conditionalFormatting sqref="BB119:BB128 BB106:BB117 BB101:BB104 BB80:BB98">
    <cfRule type="cellIs" dxfId="19445" priority="2445" operator="lessThan">
      <formula>0</formula>
    </cfRule>
    <cfRule type="cellIs" dxfId="19444" priority="2446" operator="lessThan">
      <formula>-105575</formula>
    </cfRule>
  </conditionalFormatting>
  <conditionalFormatting sqref="BB130 BB132 BB134">
    <cfRule type="cellIs" dxfId="19443" priority="2443" operator="lessThan">
      <formula>0</formula>
    </cfRule>
    <cfRule type="cellIs" dxfId="19442" priority="2444" operator="lessThan">
      <formula>-105575</formula>
    </cfRule>
  </conditionalFormatting>
  <conditionalFormatting sqref="BB130 BB132 BB134">
    <cfRule type="cellIs" dxfId="19441" priority="2441" operator="lessThan">
      <formula>0</formula>
    </cfRule>
    <cfRule type="cellIs" dxfId="19440" priority="2442" operator="lessThan">
      <formula>-105575</formula>
    </cfRule>
  </conditionalFormatting>
  <conditionalFormatting sqref="BB129 BB131 BB133 BB135">
    <cfRule type="cellIs" dxfId="19439" priority="2439" operator="lessThan">
      <formula>0</formula>
    </cfRule>
    <cfRule type="cellIs" dxfId="19438" priority="2440" operator="lessThan">
      <formula>-105575</formula>
    </cfRule>
  </conditionalFormatting>
  <conditionalFormatting sqref="BB140 BB145 BB142:BB143 BB137:BB138">
    <cfRule type="cellIs" dxfId="19437" priority="2437" operator="lessThan">
      <formula>0</formula>
    </cfRule>
    <cfRule type="cellIs" dxfId="19436" priority="2438" operator="lessThan">
      <formula>-105575</formula>
    </cfRule>
  </conditionalFormatting>
  <conditionalFormatting sqref="BB149">
    <cfRule type="cellIs" dxfId="19435" priority="2435" operator="lessThan">
      <formula>0</formula>
    </cfRule>
    <cfRule type="cellIs" dxfId="19434" priority="2436" operator="lessThan">
      <formula>-105575</formula>
    </cfRule>
  </conditionalFormatting>
  <conditionalFormatting sqref="BB129:BB138 BB140:BB149">
    <cfRule type="cellIs" dxfId="19433" priority="2433" operator="lessThan">
      <formula>0</formula>
    </cfRule>
    <cfRule type="cellIs" dxfId="19432" priority="2434" operator="lessThan">
      <formula>-105575</formula>
    </cfRule>
  </conditionalFormatting>
  <conditionalFormatting sqref="BB94:BB98 BB86:BB87 BB89:BB91 BB141:BB149 BB124:BB133 BB107:BB110 BB112:BB117 BB119:BB122 BB135:BB138 BB101:BB104 BB80:BB84">
    <cfRule type="cellIs" dxfId="19431" priority="2431" operator="lessThan">
      <formula>0</formula>
    </cfRule>
    <cfRule type="cellIs" dxfId="19430" priority="2432" operator="lessThan">
      <formula>-105575</formula>
    </cfRule>
  </conditionalFormatting>
  <conditionalFormatting sqref="BB129 BB131 BB133 BB135">
    <cfRule type="cellIs" dxfId="19429" priority="2429" operator="lessThan">
      <formula>0</formula>
    </cfRule>
    <cfRule type="cellIs" dxfId="19428" priority="2430" operator="lessThan">
      <formula>-105575</formula>
    </cfRule>
  </conditionalFormatting>
  <conditionalFormatting sqref="BB146 BB144 BB141">
    <cfRule type="cellIs" dxfId="19427" priority="2427" operator="lessThan">
      <formula>0</formula>
    </cfRule>
    <cfRule type="cellIs" dxfId="19426" priority="2428" operator="lessThan">
      <formula>-105575</formula>
    </cfRule>
  </conditionalFormatting>
  <conditionalFormatting sqref="BB146 BB144 BB141">
    <cfRule type="cellIs" dxfId="19425" priority="2425" operator="lessThan">
      <formula>0</formula>
    </cfRule>
    <cfRule type="cellIs" dxfId="19424" priority="2426" operator="lessThan">
      <formula>-105575</formula>
    </cfRule>
  </conditionalFormatting>
  <conditionalFormatting sqref="BB140 BB145 BB142:BB143 BB137:BB138">
    <cfRule type="cellIs" dxfId="19423" priority="2423" operator="lessThan">
      <formula>0</formula>
    </cfRule>
    <cfRule type="cellIs" dxfId="19422" priority="2424" operator="lessThan">
      <formula>-105575</formula>
    </cfRule>
  </conditionalFormatting>
  <conditionalFormatting sqref="BB149">
    <cfRule type="cellIs" dxfId="19421" priority="2421" operator="lessThan">
      <formula>0</formula>
    </cfRule>
    <cfRule type="cellIs" dxfId="19420" priority="2422" operator="lessThan">
      <formula>-105575</formula>
    </cfRule>
  </conditionalFormatting>
  <conditionalFormatting sqref="BB94:BB98 BB86:BB87 BB89:BB91 BB141:BB149 BB124:BB133 BB107:BB110 BB112:BB117 BB119:BB122 BB135:BB138 BB101:BB104 BB80:BB84">
    <cfRule type="cellIs" dxfId="19419" priority="2419" operator="lessThan">
      <formula>0</formula>
    </cfRule>
    <cfRule type="cellIs" dxfId="19418" priority="2420" operator="lessThan">
      <formula>-105575</formula>
    </cfRule>
  </conditionalFormatting>
  <conditionalFormatting sqref="BB246:BB249 BB262 BB267 BB279:BB282 BB285:BB288 BB274:BB275 BB306:BB309 BB311:BB325 BB327:BB330 BB332:BB341 BB344:BB347 BB349:BB353 BB355:BB358 BB360:BB384 BB386:BB389 BB392:BB395 BB397:BB411 BB413:BB416 BB418:BB432 BB434:BB437 BB439:BB453 BB455:BB458 BB460:BB469 BB7:BB10 BB12:BB14 BB17:BB18 BB21:BB24 BB26:BB28 BB30:BB36 BB38 BB41:BB43 BB46:BB49 BB51:BB55 BB57:BB59 BB62:BB76 BB251:BB253 BB255:BB257 BB293:BB304 BB264:BB265 BB260 BB290:BB291 BB270:BB272">
    <cfRule type="cellIs" dxfId="19417" priority="2417" operator="lessThan">
      <formula>0</formula>
    </cfRule>
    <cfRule type="cellIs" dxfId="19416" priority="2418" operator="lessThan">
      <formula>-105575</formula>
    </cfRule>
  </conditionalFormatting>
  <conditionalFormatting sqref="BB41">
    <cfRule type="cellIs" dxfId="19415" priority="2415" operator="lessThan">
      <formula>0</formula>
    </cfRule>
    <cfRule type="cellIs" dxfId="19414" priority="2416" operator="lessThan">
      <formula>-105575</formula>
    </cfRule>
  </conditionalFormatting>
  <conditionalFormatting sqref="BB152:BB155">
    <cfRule type="cellIs" dxfId="19413" priority="2413" operator="lessThan">
      <formula>0</formula>
    </cfRule>
    <cfRule type="cellIs" dxfId="19412" priority="2414" operator="lessThan">
      <formula>-105575</formula>
    </cfRule>
  </conditionalFormatting>
  <conditionalFormatting sqref="BB152:BB155">
    <cfRule type="cellIs" dxfId="19411" priority="2411" operator="lessThan">
      <formula>0</formula>
    </cfRule>
    <cfRule type="cellIs" dxfId="19410" priority="2412" operator="lessThan">
      <formula>-105575</formula>
    </cfRule>
  </conditionalFormatting>
  <conditionalFormatting sqref="BB152:BB155">
    <cfRule type="cellIs" dxfId="19409" priority="2409" operator="lessThan">
      <formula>0</formula>
    </cfRule>
    <cfRule type="cellIs" dxfId="19408" priority="2410" operator="lessThan">
      <formula>-105575</formula>
    </cfRule>
  </conditionalFormatting>
  <conditionalFormatting sqref="BB157:BB158">
    <cfRule type="cellIs" dxfId="19407" priority="2407" operator="lessThan">
      <formula>0</formula>
    </cfRule>
    <cfRule type="cellIs" dxfId="19406" priority="2408" operator="lessThan">
      <formula>-105575</formula>
    </cfRule>
  </conditionalFormatting>
  <conditionalFormatting sqref="BB157:BB158">
    <cfRule type="cellIs" dxfId="19405" priority="2405" operator="lessThan">
      <formula>0</formula>
    </cfRule>
    <cfRule type="cellIs" dxfId="19404" priority="2406" operator="lessThan">
      <formula>-105575</formula>
    </cfRule>
  </conditionalFormatting>
  <conditionalFormatting sqref="BB157:BB158">
    <cfRule type="cellIs" dxfId="19403" priority="2403" operator="lessThan">
      <formula>0</formula>
    </cfRule>
    <cfRule type="cellIs" dxfId="19402" priority="2404" operator="lessThan">
      <formula>-105575</formula>
    </cfRule>
  </conditionalFormatting>
  <conditionalFormatting sqref="BB160:BB161">
    <cfRule type="cellIs" dxfId="19401" priority="2401" operator="lessThan">
      <formula>0</formula>
    </cfRule>
    <cfRule type="cellIs" dxfId="19400" priority="2402" operator="lessThan">
      <formula>-105575</formula>
    </cfRule>
  </conditionalFormatting>
  <conditionalFormatting sqref="BB160:BB161">
    <cfRule type="cellIs" dxfId="19399" priority="2399" operator="lessThan">
      <formula>0</formula>
    </cfRule>
    <cfRule type="cellIs" dxfId="19398" priority="2400" operator="lessThan">
      <formula>-105575</formula>
    </cfRule>
  </conditionalFormatting>
  <conditionalFormatting sqref="BB160:BB161">
    <cfRule type="cellIs" dxfId="19397" priority="2397" operator="lessThan">
      <formula>0</formula>
    </cfRule>
    <cfRule type="cellIs" dxfId="19396" priority="2398" operator="lessThan">
      <formula>-105575</formula>
    </cfRule>
  </conditionalFormatting>
  <conditionalFormatting sqref="BB164:BB167">
    <cfRule type="cellIs" dxfId="19395" priority="2395" operator="lessThan">
      <formula>0</formula>
    </cfRule>
    <cfRule type="cellIs" dxfId="19394" priority="2396" operator="lessThan">
      <formula>-105575</formula>
    </cfRule>
  </conditionalFormatting>
  <conditionalFormatting sqref="BB164:BB167">
    <cfRule type="cellIs" dxfId="19393" priority="2393" operator="lessThan">
      <formula>0</formula>
    </cfRule>
    <cfRule type="cellIs" dxfId="19392" priority="2394" operator="lessThan">
      <formula>-105575</formula>
    </cfRule>
  </conditionalFormatting>
  <conditionalFormatting sqref="BB164:BB167">
    <cfRule type="cellIs" dxfId="19391" priority="2391" operator="lessThan">
      <formula>0</formula>
    </cfRule>
    <cfRule type="cellIs" dxfId="19390" priority="2392" operator="lessThan">
      <formula>-105575</formula>
    </cfRule>
  </conditionalFormatting>
  <conditionalFormatting sqref="BB169:BB177">
    <cfRule type="cellIs" dxfId="19389" priority="2389" operator="lessThan">
      <formula>0</formula>
    </cfRule>
    <cfRule type="cellIs" dxfId="19388" priority="2390" operator="lessThan">
      <formula>-105575</formula>
    </cfRule>
  </conditionalFormatting>
  <conditionalFormatting sqref="BB169:BB177">
    <cfRule type="cellIs" dxfId="19387" priority="2387" operator="lessThan">
      <formula>0</formula>
    </cfRule>
    <cfRule type="cellIs" dxfId="19386" priority="2388" operator="lessThan">
      <formula>-105575</formula>
    </cfRule>
  </conditionalFormatting>
  <conditionalFormatting sqref="BB169:BB177">
    <cfRule type="cellIs" dxfId="19385" priority="2385" operator="lessThan">
      <formula>0</formula>
    </cfRule>
    <cfRule type="cellIs" dxfId="19384" priority="2386" operator="lessThan">
      <formula>-105575</formula>
    </cfRule>
  </conditionalFormatting>
  <conditionalFormatting sqref="BB179:BB180">
    <cfRule type="cellIs" dxfId="19383" priority="2383" operator="lessThan">
      <formula>0</formula>
    </cfRule>
    <cfRule type="cellIs" dxfId="19382" priority="2384" operator="lessThan">
      <formula>-105575</formula>
    </cfRule>
  </conditionalFormatting>
  <conditionalFormatting sqref="BB179:BB180">
    <cfRule type="cellIs" dxfId="19381" priority="2381" operator="lessThan">
      <formula>0</formula>
    </cfRule>
    <cfRule type="cellIs" dxfId="19380" priority="2382" operator="lessThan">
      <formula>-105575</formula>
    </cfRule>
  </conditionalFormatting>
  <conditionalFormatting sqref="BB179:BB180">
    <cfRule type="cellIs" dxfId="19379" priority="2379" operator="lessThan">
      <formula>0</formula>
    </cfRule>
    <cfRule type="cellIs" dxfId="19378" priority="2380" operator="lessThan">
      <formula>-105575</formula>
    </cfRule>
  </conditionalFormatting>
  <conditionalFormatting sqref="BB183:BB189">
    <cfRule type="cellIs" dxfId="19377" priority="2377" operator="lessThan">
      <formula>0</formula>
    </cfRule>
    <cfRule type="cellIs" dxfId="19376" priority="2378" operator="lessThan">
      <formula>-105575</formula>
    </cfRule>
  </conditionalFormatting>
  <conditionalFormatting sqref="BB183:BB189">
    <cfRule type="cellIs" dxfId="19375" priority="2375" operator="lessThan">
      <formula>0</formula>
    </cfRule>
    <cfRule type="cellIs" dxfId="19374" priority="2376" operator="lessThan">
      <formula>-105575</formula>
    </cfRule>
  </conditionalFormatting>
  <conditionalFormatting sqref="BB183:BB189">
    <cfRule type="cellIs" dxfId="19373" priority="2373" operator="lessThan">
      <formula>0</formula>
    </cfRule>
    <cfRule type="cellIs" dxfId="19372" priority="2374" operator="lessThan">
      <formula>-105575</formula>
    </cfRule>
  </conditionalFormatting>
  <conditionalFormatting sqref="BB191:BB192">
    <cfRule type="cellIs" dxfId="19371" priority="2371" operator="lessThan">
      <formula>0</formula>
    </cfRule>
    <cfRule type="cellIs" dxfId="19370" priority="2372" operator="lessThan">
      <formula>-105575</formula>
    </cfRule>
  </conditionalFormatting>
  <conditionalFormatting sqref="BB191:BB192">
    <cfRule type="cellIs" dxfId="19369" priority="2369" operator="lessThan">
      <formula>0</formula>
    </cfRule>
    <cfRule type="cellIs" dxfId="19368" priority="2370" operator="lessThan">
      <formula>-105575</formula>
    </cfRule>
  </conditionalFormatting>
  <conditionalFormatting sqref="BB191:BB192">
    <cfRule type="cellIs" dxfId="19367" priority="2367" operator="lessThan">
      <formula>0</formula>
    </cfRule>
    <cfRule type="cellIs" dxfId="19366" priority="2368" operator="lessThan">
      <formula>-105575</formula>
    </cfRule>
  </conditionalFormatting>
  <conditionalFormatting sqref="BB194:BB195">
    <cfRule type="cellIs" dxfId="19365" priority="2365" operator="lessThan">
      <formula>0</formula>
    </cfRule>
    <cfRule type="cellIs" dxfId="19364" priority="2366" operator="lessThan">
      <formula>-105575</formula>
    </cfRule>
  </conditionalFormatting>
  <conditionalFormatting sqref="BB194:BB195">
    <cfRule type="cellIs" dxfId="19363" priority="2363" operator="lessThan">
      <formula>0</formula>
    </cfRule>
    <cfRule type="cellIs" dxfId="19362" priority="2364" operator="lessThan">
      <formula>-105575</formula>
    </cfRule>
  </conditionalFormatting>
  <conditionalFormatting sqref="BB194:BB195">
    <cfRule type="cellIs" dxfId="19361" priority="2361" operator="lessThan">
      <formula>0</formula>
    </cfRule>
    <cfRule type="cellIs" dxfId="19360" priority="2362" operator="lessThan">
      <formula>-105575</formula>
    </cfRule>
  </conditionalFormatting>
  <conditionalFormatting sqref="BB199:BB202">
    <cfRule type="cellIs" dxfId="19359" priority="2359" operator="lessThan">
      <formula>0</formula>
    </cfRule>
    <cfRule type="cellIs" dxfId="19358" priority="2360" operator="lessThan">
      <formula>-105575</formula>
    </cfRule>
  </conditionalFormatting>
  <conditionalFormatting sqref="BB199:BB202">
    <cfRule type="cellIs" dxfId="19357" priority="2357" operator="lessThan">
      <formula>0</formula>
    </cfRule>
    <cfRule type="cellIs" dxfId="19356" priority="2358" operator="lessThan">
      <formula>-105575</formula>
    </cfRule>
  </conditionalFormatting>
  <conditionalFormatting sqref="BB199:BB202">
    <cfRule type="cellIs" dxfId="19355" priority="2355" operator="lessThan">
      <formula>0</formula>
    </cfRule>
    <cfRule type="cellIs" dxfId="19354" priority="2356" operator="lessThan">
      <formula>-105575</formula>
    </cfRule>
  </conditionalFormatting>
  <conditionalFormatting sqref="BB204:BB208">
    <cfRule type="cellIs" dxfId="19353" priority="2353" operator="lessThan">
      <formula>0</formula>
    </cfRule>
    <cfRule type="cellIs" dxfId="19352" priority="2354" operator="lessThan">
      <formula>-105575</formula>
    </cfRule>
  </conditionalFormatting>
  <conditionalFormatting sqref="BB204:BB208">
    <cfRule type="cellIs" dxfId="19351" priority="2351" operator="lessThan">
      <formula>0</formula>
    </cfRule>
    <cfRule type="cellIs" dxfId="19350" priority="2352" operator="lessThan">
      <formula>-105575</formula>
    </cfRule>
  </conditionalFormatting>
  <conditionalFormatting sqref="BB204:BB208">
    <cfRule type="cellIs" dxfId="19349" priority="2349" operator="lessThan">
      <formula>0</formula>
    </cfRule>
    <cfRule type="cellIs" dxfId="19348" priority="2350" operator="lessThan">
      <formula>-105575</formula>
    </cfRule>
  </conditionalFormatting>
  <conditionalFormatting sqref="BB210:BB211">
    <cfRule type="cellIs" dxfId="19347" priority="2347" operator="lessThan">
      <formula>0</formula>
    </cfRule>
    <cfRule type="cellIs" dxfId="19346" priority="2348" operator="lessThan">
      <formula>-105575</formula>
    </cfRule>
  </conditionalFormatting>
  <conditionalFormatting sqref="BB210:BB211">
    <cfRule type="cellIs" dxfId="19345" priority="2345" operator="lessThan">
      <formula>0</formula>
    </cfRule>
    <cfRule type="cellIs" dxfId="19344" priority="2346" operator="lessThan">
      <formula>-105575</formula>
    </cfRule>
  </conditionalFormatting>
  <conditionalFormatting sqref="BB210:BB211">
    <cfRule type="cellIs" dxfId="19343" priority="2343" operator="lessThan">
      <formula>0</formula>
    </cfRule>
    <cfRule type="cellIs" dxfId="19342" priority="2344" operator="lessThan">
      <formula>-105575</formula>
    </cfRule>
  </conditionalFormatting>
  <conditionalFormatting sqref="BB214:BB219">
    <cfRule type="cellIs" dxfId="19341" priority="2341" operator="lessThan">
      <formula>0</formula>
    </cfRule>
    <cfRule type="cellIs" dxfId="19340" priority="2342" operator="lessThan">
      <formula>-105575</formula>
    </cfRule>
  </conditionalFormatting>
  <conditionalFormatting sqref="BB214:BB219">
    <cfRule type="cellIs" dxfId="19339" priority="2339" operator="lessThan">
      <formula>0</formula>
    </cfRule>
    <cfRule type="cellIs" dxfId="19338" priority="2340" operator="lessThan">
      <formula>-105575</formula>
    </cfRule>
  </conditionalFormatting>
  <conditionalFormatting sqref="BB214:BB219">
    <cfRule type="cellIs" dxfId="19337" priority="2337" operator="lessThan">
      <formula>0</formula>
    </cfRule>
    <cfRule type="cellIs" dxfId="19336" priority="2338" operator="lessThan">
      <formula>-105575</formula>
    </cfRule>
  </conditionalFormatting>
  <conditionalFormatting sqref="BB222:BB224">
    <cfRule type="cellIs" dxfId="19335" priority="2335" operator="lessThan">
      <formula>0</formula>
    </cfRule>
    <cfRule type="cellIs" dxfId="19334" priority="2336" operator="lessThan">
      <formula>-105575</formula>
    </cfRule>
  </conditionalFormatting>
  <conditionalFormatting sqref="BB222:BB224">
    <cfRule type="cellIs" dxfId="19333" priority="2333" operator="lessThan">
      <formula>0</formula>
    </cfRule>
    <cfRule type="cellIs" dxfId="19332" priority="2334" operator="lessThan">
      <formula>-105575</formula>
    </cfRule>
  </conditionalFormatting>
  <conditionalFormatting sqref="BB222:BB224">
    <cfRule type="cellIs" dxfId="19331" priority="2331" operator="lessThan">
      <formula>0</formula>
    </cfRule>
    <cfRule type="cellIs" dxfId="19330" priority="2332" operator="lessThan">
      <formula>-105575</formula>
    </cfRule>
  </conditionalFormatting>
  <conditionalFormatting sqref="BB227:BB230">
    <cfRule type="cellIs" dxfId="19329" priority="2329" operator="lessThan">
      <formula>0</formula>
    </cfRule>
    <cfRule type="cellIs" dxfId="19328" priority="2330" operator="lessThan">
      <formula>-105575</formula>
    </cfRule>
  </conditionalFormatting>
  <conditionalFormatting sqref="BB227:BB230">
    <cfRule type="cellIs" dxfId="19327" priority="2327" operator="lessThan">
      <formula>0</formula>
    </cfRule>
    <cfRule type="cellIs" dxfId="19326" priority="2328" operator="lessThan">
      <formula>-105575</formula>
    </cfRule>
  </conditionalFormatting>
  <conditionalFormatting sqref="BB227:BB230">
    <cfRule type="cellIs" dxfId="19325" priority="2325" operator="lessThan">
      <formula>0</formula>
    </cfRule>
    <cfRule type="cellIs" dxfId="19324" priority="2326" operator="lessThan">
      <formula>-105575</formula>
    </cfRule>
  </conditionalFormatting>
  <conditionalFormatting sqref="BB203 BB220:BB221 BB235:BB243 BB231:BB233 BB212:BB213 BB225:BB226">
    <cfRule type="cellIs" dxfId="19323" priority="2323" operator="lessThan">
      <formula>0</formula>
    </cfRule>
    <cfRule type="cellIs" dxfId="19322" priority="2324" operator="lessThan">
      <formula>-105575</formula>
    </cfRule>
  </conditionalFormatting>
  <conditionalFormatting sqref="BB220 BB212:BB213 BB235:BB238 BB240:BB243 BB225:BB226 BB231:BB233">
    <cfRule type="cellIs" dxfId="19321" priority="2321" operator="lessThan">
      <formula>0</formula>
    </cfRule>
    <cfRule type="cellIs" dxfId="19320" priority="2322" operator="lessThan">
      <formula>-105575</formula>
    </cfRule>
  </conditionalFormatting>
  <conditionalFormatting sqref="BB220:BB221 BB243 BB226 BB231:BB236 BB238:BB241 BB203 BB213">
    <cfRule type="cellIs" dxfId="19319" priority="2319" operator="lessThan">
      <formula>0</formula>
    </cfRule>
    <cfRule type="cellIs" dxfId="19318" priority="2320" operator="lessThan">
      <formula>-105575</formula>
    </cfRule>
  </conditionalFormatting>
  <conditionalFormatting sqref="BB235:BB243 BB231:BB233 BB220 BB212:BB213 BB225:BB226">
    <cfRule type="cellIs" dxfId="19317" priority="2317" operator="lessThan">
      <formula>0</formula>
    </cfRule>
    <cfRule type="cellIs" dxfId="19316" priority="2318" operator="lessThan">
      <formula>-105575</formula>
    </cfRule>
  </conditionalFormatting>
  <conditionalFormatting sqref="BB220:BB221 BB237:BB243 BB203 BB231:BB235 BB212:BB213 BB225:BB226">
    <cfRule type="cellIs" dxfId="19315" priority="2315" operator="lessThan">
      <formula>0</formula>
    </cfRule>
    <cfRule type="cellIs" dxfId="19314" priority="2316" operator="lessThan">
      <formula>-105575</formula>
    </cfRule>
  </conditionalFormatting>
  <conditionalFormatting sqref="BB220:BB221 BB237:BB240 BB242:BB243 BB225:BB226 BB231:BB235">
    <cfRule type="cellIs" dxfId="19313" priority="2313" operator="lessThan">
      <formula>0</formula>
    </cfRule>
    <cfRule type="cellIs" dxfId="19312" priority="2314" operator="lessThan">
      <formula>-105575</formula>
    </cfRule>
  </conditionalFormatting>
  <conditionalFormatting sqref="BB212 BB231 BB233:BB238 BB240:BB243 BB225">
    <cfRule type="cellIs" dxfId="19311" priority="2311" operator="lessThan">
      <formula>0</formula>
    </cfRule>
    <cfRule type="cellIs" dxfId="19310" priority="2312" operator="lessThan">
      <formula>-105575</formula>
    </cfRule>
  </conditionalFormatting>
  <conditionalFormatting sqref="BB237:BB243 BB231:BB235 BB220:BB221 BB225:BB226">
    <cfRule type="cellIs" dxfId="19309" priority="2309" operator="lessThan">
      <formula>0</formula>
    </cfRule>
    <cfRule type="cellIs" dxfId="19308" priority="2310" operator="lessThan">
      <formula>-105575</formula>
    </cfRule>
  </conditionalFormatting>
  <conditionalFormatting sqref="BB233:BB237 BB231 BB239:BB243">
    <cfRule type="cellIs" dxfId="19307" priority="2307" operator="lessThan">
      <formula>0</formula>
    </cfRule>
    <cfRule type="cellIs" dxfId="19306" priority="2308" operator="lessThan">
      <formula>-105575</formula>
    </cfRule>
  </conditionalFormatting>
  <conditionalFormatting sqref="BB233:BB237 BB231 BB239:BB243">
    <cfRule type="cellIs" dxfId="19305" priority="2305" operator="lessThan">
      <formula>0</formula>
    </cfRule>
    <cfRule type="cellIs" dxfId="19304" priority="2306" operator="lessThan">
      <formula>-105575</formula>
    </cfRule>
  </conditionalFormatting>
  <conditionalFormatting sqref="BB119:BB128 BB106:BB117 BB101:BB104 BB80:BB98">
    <cfRule type="cellIs" dxfId="19303" priority="2303" operator="lessThan">
      <formula>0</formula>
    </cfRule>
    <cfRule type="cellIs" dxfId="19302" priority="2304" operator="lessThan">
      <formula>-105575</formula>
    </cfRule>
  </conditionalFormatting>
  <conditionalFormatting sqref="BB130 BB132 BB134">
    <cfRule type="cellIs" dxfId="19301" priority="2301" operator="lessThan">
      <formula>0</formula>
    </cfRule>
    <cfRule type="cellIs" dxfId="19300" priority="2302" operator="lessThan">
      <formula>-105575</formula>
    </cfRule>
  </conditionalFormatting>
  <conditionalFormatting sqref="BB130 BB132 BB134">
    <cfRule type="cellIs" dxfId="19299" priority="2299" operator="lessThan">
      <formula>0</formula>
    </cfRule>
    <cfRule type="cellIs" dxfId="19298" priority="2300" operator="lessThan">
      <formula>-105575</formula>
    </cfRule>
  </conditionalFormatting>
  <conditionalFormatting sqref="BB129 BB131 BB133 BB135">
    <cfRule type="cellIs" dxfId="19297" priority="2297" operator="lessThan">
      <formula>0</formula>
    </cfRule>
    <cfRule type="cellIs" dxfId="19296" priority="2298" operator="lessThan">
      <formula>-105575</formula>
    </cfRule>
  </conditionalFormatting>
  <conditionalFormatting sqref="BB140 BB145 BB142:BB143 BB137:BB138">
    <cfRule type="cellIs" dxfId="19295" priority="2295" operator="lessThan">
      <formula>0</formula>
    </cfRule>
    <cfRule type="cellIs" dxfId="19294" priority="2296" operator="lessThan">
      <formula>-105575</formula>
    </cfRule>
  </conditionalFormatting>
  <conditionalFormatting sqref="BB149">
    <cfRule type="cellIs" dxfId="19293" priority="2293" operator="lessThan">
      <formula>0</formula>
    </cfRule>
    <cfRule type="cellIs" dxfId="19292" priority="2294" operator="lessThan">
      <formula>-105575</formula>
    </cfRule>
  </conditionalFormatting>
  <conditionalFormatting sqref="BB129:BB138 BB140:BB149">
    <cfRule type="cellIs" dxfId="19291" priority="2291" operator="lessThan">
      <formula>0</formula>
    </cfRule>
    <cfRule type="cellIs" dxfId="19290" priority="2292" operator="lessThan">
      <formula>-105575</formula>
    </cfRule>
  </conditionalFormatting>
  <conditionalFormatting sqref="BB94:BB98 BB86:BB87 BB89:BB91 BB141:BB149 BB124:BB133 BB107:BB110 BB112:BB117 BB119:BB122 BB135:BB138 BB101:BB104 BB80:BB84">
    <cfRule type="cellIs" dxfId="19289" priority="2289" operator="lessThan">
      <formula>0</formula>
    </cfRule>
    <cfRule type="cellIs" dxfId="19288" priority="2290" operator="lessThan">
      <formula>-105575</formula>
    </cfRule>
  </conditionalFormatting>
  <conditionalFormatting sqref="BB129 BB131 BB133 BB135">
    <cfRule type="cellIs" dxfId="19287" priority="2287" operator="lessThan">
      <formula>0</formula>
    </cfRule>
    <cfRule type="cellIs" dxfId="19286" priority="2288" operator="lessThan">
      <formula>-105575</formula>
    </cfRule>
  </conditionalFormatting>
  <conditionalFormatting sqref="BB146 BB144 BB141">
    <cfRule type="cellIs" dxfId="19285" priority="2285" operator="lessThan">
      <formula>0</formula>
    </cfRule>
    <cfRule type="cellIs" dxfId="19284" priority="2286" operator="lessThan">
      <formula>-105575</formula>
    </cfRule>
  </conditionalFormatting>
  <conditionalFormatting sqref="BB146 BB144 BB141">
    <cfRule type="cellIs" dxfId="19283" priority="2283" operator="lessThan">
      <formula>0</formula>
    </cfRule>
    <cfRule type="cellIs" dxfId="19282" priority="2284" operator="lessThan">
      <formula>-105575</formula>
    </cfRule>
  </conditionalFormatting>
  <conditionalFormatting sqref="BB140 BB145 BB142:BB143 BB137:BB138">
    <cfRule type="cellIs" dxfId="19281" priority="2281" operator="lessThan">
      <formula>0</formula>
    </cfRule>
    <cfRule type="cellIs" dxfId="19280" priority="2282" operator="lessThan">
      <formula>-105575</formula>
    </cfRule>
  </conditionalFormatting>
  <conditionalFormatting sqref="BB149">
    <cfRule type="cellIs" dxfId="19279" priority="2279" operator="lessThan">
      <formula>0</formula>
    </cfRule>
    <cfRule type="cellIs" dxfId="19278" priority="2280" operator="lessThan">
      <formula>-105575</formula>
    </cfRule>
  </conditionalFormatting>
  <conditionalFormatting sqref="BB94:BB98 BB86:BB87 BB89:BB91 BB141:BB149 BB124:BB133 BB107:BB110 BB112:BB117 BB119:BB122 BB135:BB138 BB101:BB104 BB80:BB84">
    <cfRule type="cellIs" dxfId="19277" priority="2277" operator="lessThan">
      <formula>0</formula>
    </cfRule>
    <cfRule type="cellIs" dxfId="19276" priority="2278" operator="lessThan">
      <formula>-105575</formula>
    </cfRule>
  </conditionalFormatting>
  <conditionalFormatting sqref="BB62:BB76 BB306:BB309 BB311:BB325 BB327:BB330 BB332:BB341 BB344:BB347 BB349:BB353 BB355:BB358 BB360:BB384 BB386:BB389 BB392:BB395 BB397:BB411 BB413:BB416 BB418:BB432 BB434:BB437 BB439:BB453 BB455:BB458 BB460:BB469 BB7:BB10 BB12:BB14 BB17:BB18 BB21:BB24 BB26:BB28 BB30:BB36 BB38 BB41:BB43 BB46:BB49 BB51:BB55 BB57:BB59 BB290:BB291 BB293:BB304">
    <cfRule type="cellIs" dxfId="19275" priority="2275" operator="lessThan">
      <formula>0</formula>
    </cfRule>
    <cfRule type="cellIs" dxfId="19274" priority="2276" operator="lessThan">
      <formula>-105575</formula>
    </cfRule>
  </conditionalFormatting>
  <conditionalFormatting sqref="BB41">
    <cfRule type="cellIs" dxfId="19273" priority="2273" operator="lessThan">
      <formula>0</formula>
    </cfRule>
    <cfRule type="cellIs" dxfId="19272" priority="2274" operator="lessThan">
      <formula>-105575</formula>
    </cfRule>
  </conditionalFormatting>
  <conditionalFormatting sqref="BB152:BB155">
    <cfRule type="cellIs" dxfId="19271" priority="2271" operator="lessThan">
      <formula>0</formula>
    </cfRule>
    <cfRule type="cellIs" dxfId="19270" priority="2272" operator="lessThan">
      <formula>-105575</formula>
    </cfRule>
  </conditionalFormatting>
  <conditionalFormatting sqref="BB152:BB155">
    <cfRule type="cellIs" dxfId="19269" priority="2269" operator="lessThan">
      <formula>0</formula>
    </cfRule>
    <cfRule type="cellIs" dxfId="19268" priority="2270" operator="lessThan">
      <formula>-105575</formula>
    </cfRule>
  </conditionalFormatting>
  <conditionalFormatting sqref="BB152:BB155">
    <cfRule type="cellIs" dxfId="19267" priority="2267" operator="lessThan">
      <formula>0</formula>
    </cfRule>
    <cfRule type="cellIs" dxfId="19266" priority="2268" operator="lessThan">
      <formula>-105575</formula>
    </cfRule>
  </conditionalFormatting>
  <conditionalFormatting sqref="BB157:BB158">
    <cfRule type="cellIs" dxfId="19265" priority="2265" operator="lessThan">
      <formula>0</formula>
    </cfRule>
    <cfRule type="cellIs" dxfId="19264" priority="2266" operator="lessThan">
      <formula>-105575</formula>
    </cfRule>
  </conditionalFormatting>
  <conditionalFormatting sqref="BB157:BB158">
    <cfRule type="cellIs" dxfId="19263" priority="2263" operator="lessThan">
      <formula>0</formula>
    </cfRule>
    <cfRule type="cellIs" dxfId="19262" priority="2264" operator="lessThan">
      <formula>-105575</formula>
    </cfRule>
  </conditionalFormatting>
  <conditionalFormatting sqref="BB157:BB158">
    <cfRule type="cellIs" dxfId="19261" priority="2261" operator="lessThan">
      <formula>0</formula>
    </cfRule>
    <cfRule type="cellIs" dxfId="19260" priority="2262" operator="lessThan">
      <formula>-105575</formula>
    </cfRule>
  </conditionalFormatting>
  <conditionalFormatting sqref="BB160:BB161">
    <cfRule type="cellIs" dxfId="19259" priority="2259" operator="lessThan">
      <formula>0</formula>
    </cfRule>
    <cfRule type="cellIs" dxfId="19258" priority="2260" operator="lessThan">
      <formula>-105575</formula>
    </cfRule>
  </conditionalFormatting>
  <conditionalFormatting sqref="BB160:BB161">
    <cfRule type="cellIs" dxfId="19257" priority="2257" operator="lessThan">
      <formula>0</formula>
    </cfRule>
    <cfRule type="cellIs" dxfId="19256" priority="2258" operator="lessThan">
      <formula>-105575</formula>
    </cfRule>
  </conditionalFormatting>
  <conditionalFormatting sqref="BB160:BB161">
    <cfRule type="cellIs" dxfId="19255" priority="2255" operator="lessThan">
      <formula>0</formula>
    </cfRule>
    <cfRule type="cellIs" dxfId="19254" priority="2256" operator="lessThan">
      <formula>-105575</formula>
    </cfRule>
  </conditionalFormatting>
  <conditionalFormatting sqref="BB164:BB167">
    <cfRule type="cellIs" dxfId="19253" priority="2253" operator="lessThan">
      <formula>0</formula>
    </cfRule>
    <cfRule type="cellIs" dxfId="19252" priority="2254" operator="lessThan">
      <formula>-105575</formula>
    </cfRule>
  </conditionalFormatting>
  <conditionalFormatting sqref="BB164:BB167">
    <cfRule type="cellIs" dxfId="19251" priority="2251" operator="lessThan">
      <formula>0</formula>
    </cfRule>
    <cfRule type="cellIs" dxfId="19250" priority="2252" operator="lessThan">
      <formula>-105575</formula>
    </cfRule>
  </conditionalFormatting>
  <conditionalFormatting sqref="BB164:BB167">
    <cfRule type="cellIs" dxfId="19249" priority="2249" operator="lessThan">
      <formula>0</formula>
    </cfRule>
    <cfRule type="cellIs" dxfId="19248" priority="2250" operator="lessThan">
      <formula>-105575</formula>
    </cfRule>
  </conditionalFormatting>
  <conditionalFormatting sqref="BB169:BB177">
    <cfRule type="cellIs" dxfId="19247" priority="2247" operator="lessThan">
      <formula>0</formula>
    </cfRule>
    <cfRule type="cellIs" dxfId="19246" priority="2248" operator="lessThan">
      <formula>-105575</formula>
    </cfRule>
  </conditionalFormatting>
  <conditionalFormatting sqref="BB169:BB177">
    <cfRule type="cellIs" dxfId="19245" priority="2245" operator="lessThan">
      <formula>0</formula>
    </cfRule>
    <cfRule type="cellIs" dxfId="19244" priority="2246" operator="lessThan">
      <formula>-105575</formula>
    </cfRule>
  </conditionalFormatting>
  <conditionalFormatting sqref="BB169:BB177">
    <cfRule type="cellIs" dxfId="19243" priority="2243" operator="lessThan">
      <formula>0</formula>
    </cfRule>
    <cfRule type="cellIs" dxfId="19242" priority="2244" operator="lessThan">
      <formula>-105575</formula>
    </cfRule>
  </conditionalFormatting>
  <conditionalFormatting sqref="BB179:BB180">
    <cfRule type="cellIs" dxfId="19241" priority="2241" operator="lessThan">
      <formula>0</formula>
    </cfRule>
    <cfRule type="cellIs" dxfId="19240" priority="2242" operator="lessThan">
      <formula>-105575</formula>
    </cfRule>
  </conditionalFormatting>
  <conditionalFormatting sqref="BB179:BB180">
    <cfRule type="cellIs" dxfId="19239" priority="2239" operator="lessThan">
      <formula>0</formula>
    </cfRule>
    <cfRule type="cellIs" dxfId="19238" priority="2240" operator="lessThan">
      <formula>-105575</formula>
    </cfRule>
  </conditionalFormatting>
  <conditionalFormatting sqref="BB179:BB180">
    <cfRule type="cellIs" dxfId="19237" priority="2237" operator="lessThan">
      <formula>0</formula>
    </cfRule>
    <cfRule type="cellIs" dxfId="19236" priority="2238" operator="lessThan">
      <formula>-105575</formula>
    </cfRule>
  </conditionalFormatting>
  <conditionalFormatting sqref="BB183:BB189">
    <cfRule type="cellIs" dxfId="19235" priority="2235" operator="lessThan">
      <formula>0</formula>
    </cfRule>
    <cfRule type="cellIs" dxfId="19234" priority="2236" operator="lessThan">
      <formula>-105575</formula>
    </cfRule>
  </conditionalFormatting>
  <conditionalFormatting sqref="BB183:BB189">
    <cfRule type="cellIs" dxfId="19233" priority="2233" operator="lessThan">
      <formula>0</formula>
    </cfRule>
    <cfRule type="cellIs" dxfId="19232" priority="2234" operator="lessThan">
      <formula>-105575</formula>
    </cfRule>
  </conditionalFormatting>
  <conditionalFormatting sqref="BB183:BB189">
    <cfRule type="cellIs" dxfId="19231" priority="2231" operator="lessThan">
      <formula>0</formula>
    </cfRule>
    <cfRule type="cellIs" dxfId="19230" priority="2232" operator="lessThan">
      <formula>-105575</formula>
    </cfRule>
  </conditionalFormatting>
  <conditionalFormatting sqref="BB191:BB192">
    <cfRule type="cellIs" dxfId="19229" priority="2229" operator="lessThan">
      <formula>0</formula>
    </cfRule>
    <cfRule type="cellIs" dxfId="19228" priority="2230" operator="lessThan">
      <formula>-105575</formula>
    </cfRule>
  </conditionalFormatting>
  <conditionalFormatting sqref="BB191:BB192">
    <cfRule type="cellIs" dxfId="19227" priority="2227" operator="lessThan">
      <formula>0</formula>
    </cfRule>
    <cfRule type="cellIs" dxfId="19226" priority="2228" operator="lessThan">
      <formula>-105575</formula>
    </cfRule>
  </conditionalFormatting>
  <conditionalFormatting sqref="BB191:BB192">
    <cfRule type="cellIs" dxfId="19225" priority="2225" operator="lessThan">
      <formula>0</formula>
    </cfRule>
    <cfRule type="cellIs" dxfId="19224" priority="2226" operator="lessThan">
      <formula>-105575</formula>
    </cfRule>
  </conditionalFormatting>
  <conditionalFormatting sqref="BB194:BB195">
    <cfRule type="cellIs" dxfId="19223" priority="2223" operator="lessThan">
      <formula>0</formula>
    </cfRule>
    <cfRule type="cellIs" dxfId="19222" priority="2224" operator="lessThan">
      <formula>-105575</formula>
    </cfRule>
  </conditionalFormatting>
  <conditionalFormatting sqref="BB194:BB195">
    <cfRule type="cellIs" dxfId="19221" priority="2221" operator="lessThan">
      <formula>0</formula>
    </cfRule>
    <cfRule type="cellIs" dxfId="19220" priority="2222" operator="lessThan">
      <formula>-105575</formula>
    </cfRule>
  </conditionalFormatting>
  <conditionalFormatting sqref="BB194:BB195">
    <cfRule type="cellIs" dxfId="19219" priority="2219" operator="lessThan">
      <formula>0</formula>
    </cfRule>
    <cfRule type="cellIs" dxfId="19218" priority="2220" operator="lessThan">
      <formula>-105575</formula>
    </cfRule>
  </conditionalFormatting>
  <conditionalFormatting sqref="BB199:BB202">
    <cfRule type="cellIs" dxfId="19217" priority="2217" operator="lessThan">
      <formula>0</formula>
    </cfRule>
    <cfRule type="cellIs" dxfId="19216" priority="2218" operator="lessThan">
      <formula>-105575</formula>
    </cfRule>
  </conditionalFormatting>
  <conditionalFormatting sqref="BB199:BB202">
    <cfRule type="cellIs" dxfId="19215" priority="2215" operator="lessThan">
      <formula>0</formula>
    </cfRule>
    <cfRule type="cellIs" dxfId="19214" priority="2216" operator="lessThan">
      <formula>-105575</formula>
    </cfRule>
  </conditionalFormatting>
  <conditionalFormatting sqref="BB199:BB202">
    <cfRule type="cellIs" dxfId="19213" priority="2213" operator="lessThan">
      <formula>0</formula>
    </cfRule>
    <cfRule type="cellIs" dxfId="19212" priority="2214" operator="lessThan">
      <formula>-105575</formula>
    </cfRule>
  </conditionalFormatting>
  <conditionalFormatting sqref="BB204:BB208">
    <cfRule type="cellIs" dxfId="19211" priority="2211" operator="lessThan">
      <formula>0</formula>
    </cfRule>
    <cfRule type="cellIs" dxfId="19210" priority="2212" operator="lessThan">
      <formula>-105575</formula>
    </cfRule>
  </conditionalFormatting>
  <conditionalFormatting sqref="BB204:BB208">
    <cfRule type="cellIs" dxfId="19209" priority="2209" operator="lessThan">
      <formula>0</formula>
    </cfRule>
    <cfRule type="cellIs" dxfId="19208" priority="2210" operator="lessThan">
      <formula>-105575</formula>
    </cfRule>
  </conditionalFormatting>
  <conditionalFormatting sqref="BB204:BB208">
    <cfRule type="cellIs" dxfId="19207" priority="2207" operator="lessThan">
      <formula>0</formula>
    </cfRule>
    <cfRule type="cellIs" dxfId="19206" priority="2208" operator="lessThan">
      <formula>-105575</formula>
    </cfRule>
  </conditionalFormatting>
  <conditionalFormatting sqref="BB210:BB211">
    <cfRule type="cellIs" dxfId="19205" priority="2205" operator="lessThan">
      <formula>0</formula>
    </cfRule>
    <cfRule type="cellIs" dxfId="19204" priority="2206" operator="lessThan">
      <formula>-105575</formula>
    </cfRule>
  </conditionalFormatting>
  <conditionalFormatting sqref="BB210:BB211">
    <cfRule type="cellIs" dxfId="19203" priority="2203" operator="lessThan">
      <formula>0</formula>
    </cfRule>
    <cfRule type="cellIs" dxfId="19202" priority="2204" operator="lessThan">
      <formula>-105575</formula>
    </cfRule>
  </conditionalFormatting>
  <conditionalFormatting sqref="BB210:BB211">
    <cfRule type="cellIs" dxfId="19201" priority="2201" operator="lessThan">
      <formula>0</formula>
    </cfRule>
    <cfRule type="cellIs" dxfId="19200" priority="2202" operator="lessThan">
      <formula>-105575</formula>
    </cfRule>
  </conditionalFormatting>
  <conditionalFormatting sqref="BB214:BB219">
    <cfRule type="cellIs" dxfId="19199" priority="2199" operator="lessThan">
      <formula>0</formula>
    </cfRule>
    <cfRule type="cellIs" dxfId="19198" priority="2200" operator="lessThan">
      <formula>-105575</formula>
    </cfRule>
  </conditionalFormatting>
  <conditionalFormatting sqref="BB214:BB219">
    <cfRule type="cellIs" dxfId="19197" priority="2197" operator="lessThan">
      <formula>0</formula>
    </cfRule>
    <cfRule type="cellIs" dxfId="19196" priority="2198" operator="lessThan">
      <formula>-105575</formula>
    </cfRule>
  </conditionalFormatting>
  <conditionalFormatting sqref="BB214:BB219">
    <cfRule type="cellIs" dxfId="19195" priority="2195" operator="lessThan">
      <formula>0</formula>
    </cfRule>
    <cfRule type="cellIs" dxfId="19194" priority="2196" operator="lessThan">
      <formula>-105575</formula>
    </cfRule>
  </conditionalFormatting>
  <conditionalFormatting sqref="BB222:BB224">
    <cfRule type="cellIs" dxfId="19193" priority="2193" operator="lessThan">
      <formula>0</formula>
    </cfRule>
    <cfRule type="cellIs" dxfId="19192" priority="2194" operator="lessThan">
      <formula>-105575</formula>
    </cfRule>
  </conditionalFormatting>
  <conditionalFormatting sqref="BB222:BB224">
    <cfRule type="cellIs" dxfId="19191" priority="2191" operator="lessThan">
      <formula>0</formula>
    </cfRule>
    <cfRule type="cellIs" dxfId="19190" priority="2192" operator="lessThan">
      <formula>-105575</formula>
    </cfRule>
  </conditionalFormatting>
  <conditionalFormatting sqref="BB222:BB224">
    <cfRule type="cellIs" dxfId="19189" priority="2189" operator="lessThan">
      <formula>0</formula>
    </cfRule>
    <cfRule type="cellIs" dxfId="19188" priority="2190" operator="lessThan">
      <formula>-105575</formula>
    </cfRule>
  </conditionalFormatting>
  <conditionalFormatting sqref="BB227:BB230">
    <cfRule type="cellIs" dxfId="19187" priority="2187" operator="lessThan">
      <formula>0</formula>
    </cfRule>
    <cfRule type="cellIs" dxfId="19186" priority="2188" operator="lessThan">
      <formula>-105575</formula>
    </cfRule>
  </conditionalFormatting>
  <conditionalFormatting sqref="BB227:BB230">
    <cfRule type="cellIs" dxfId="19185" priority="2185" operator="lessThan">
      <formula>0</formula>
    </cfRule>
    <cfRule type="cellIs" dxfId="19184" priority="2186" operator="lessThan">
      <formula>-105575</formula>
    </cfRule>
  </conditionalFormatting>
  <conditionalFormatting sqref="BB227:BB230">
    <cfRule type="cellIs" dxfId="19183" priority="2183" operator="lessThan">
      <formula>0</formula>
    </cfRule>
    <cfRule type="cellIs" dxfId="19182" priority="2184" operator="lessThan">
      <formula>-105575</formula>
    </cfRule>
  </conditionalFormatting>
  <conditionalFormatting sqref="BB246:BB249">
    <cfRule type="cellIs" dxfId="19181" priority="2181" operator="lessThan">
      <formula>0</formula>
    </cfRule>
    <cfRule type="cellIs" dxfId="19180" priority="2182" operator="lessThan">
      <formula>-105575</formula>
    </cfRule>
  </conditionalFormatting>
  <conditionalFormatting sqref="BB246:BB249">
    <cfRule type="cellIs" dxfId="19179" priority="2179" operator="lessThan">
      <formula>0</formula>
    </cfRule>
    <cfRule type="cellIs" dxfId="19178" priority="2180" operator="lessThan">
      <formula>-105575</formula>
    </cfRule>
  </conditionalFormatting>
  <conditionalFormatting sqref="BB246:BB249">
    <cfRule type="cellIs" dxfId="19177" priority="2177" operator="lessThan">
      <formula>0</formula>
    </cfRule>
    <cfRule type="cellIs" dxfId="19176" priority="2178" operator="lessThan">
      <formula>-105575</formula>
    </cfRule>
  </conditionalFormatting>
  <conditionalFormatting sqref="BB246:BB249">
    <cfRule type="cellIs" dxfId="19175" priority="2175" operator="lessThan">
      <formula>0</formula>
    </cfRule>
    <cfRule type="cellIs" dxfId="19174" priority="2176" operator="lessThan">
      <formula>-105575</formula>
    </cfRule>
  </conditionalFormatting>
  <conditionalFormatting sqref="BB246:BB249">
    <cfRule type="cellIs" dxfId="19173" priority="2173" operator="lessThan">
      <formula>0</formula>
    </cfRule>
    <cfRule type="cellIs" dxfId="19172" priority="2174" operator="lessThan">
      <formula>-105575</formula>
    </cfRule>
  </conditionalFormatting>
  <conditionalFormatting sqref="BB246:BB249">
    <cfRule type="cellIs" dxfId="19171" priority="2171" operator="lessThan">
      <formula>0</formula>
    </cfRule>
    <cfRule type="cellIs" dxfId="19170" priority="2172" operator="lessThan">
      <formula>-105575</formula>
    </cfRule>
  </conditionalFormatting>
  <conditionalFormatting sqref="BB246:BB249">
    <cfRule type="cellIs" dxfId="19169" priority="2169" operator="lessThan">
      <formula>0</formula>
    </cfRule>
    <cfRule type="cellIs" dxfId="19168" priority="2170" operator="lessThan">
      <formula>-105575</formula>
    </cfRule>
  </conditionalFormatting>
  <conditionalFormatting sqref="BB246:BB249">
    <cfRule type="cellIs" dxfId="19167" priority="2167" operator="lessThan">
      <formula>0</formula>
    </cfRule>
    <cfRule type="cellIs" dxfId="19166" priority="2168" operator="lessThan">
      <formula>-105575</formula>
    </cfRule>
  </conditionalFormatting>
  <conditionalFormatting sqref="BB246:BB249">
    <cfRule type="cellIs" dxfId="19165" priority="2165" operator="lessThan">
      <formula>0</formula>
    </cfRule>
    <cfRule type="cellIs" dxfId="19164" priority="2166" operator="lessThan">
      <formula>-105575</formula>
    </cfRule>
  </conditionalFormatting>
  <conditionalFormatting sqref="BB251:BB253">
    <cfRule type="cellIs" dxfId="19163" priority="2163" operator="lessThan">
      <formula>0</formula>
    </cfRule>
    <cfRule type="cellIs" dxfId="19162" priority="2164" operator="lessThan">
      <formula>-105575</formula>
    </cfRule>
  </conditionalFormatting>
  <conditionalFormatting sqref="BB251:BB253">
    <cfRule type="cellIs" dxfId="19161" priority="2161" operator="lessThan">
      <formula>0</formula>
    </cfRule>
    <cfRule type="cellIs" dxfId="19160" priority="2162" operator="lessThan">
      <formula>-105575</formula>
    </cfRule>
  </conditionalFormatting>
  <conditionalFormatting sqref="BB251:BB253">
    <cfRule type="cellIs" dxfId="19159" priority="2159" operator="lessThan">
      <formula>0</formula>
    </cfRule>
    <cfRule type="cellIs" dxfId="19158" priority="2160" operator="lessThan">
      <formula>-105575</formula>
    </cfRule>
  </conditionalFormatting>
  <conditionalFormatting sqref="BB251:BB253">
    <cfRule type="cellIs" dxfId="19157" priority="2157" operator="lessThan">
      <formula>0</formula>
    </cfRule>
    <cfRule type="cellIs" dxfId="19156" priority="2158" operator="lessThan">
      <formula>-105575</formula>
    </cfRule>
  </conditionalFormatting>
  <conditionalFormatting sqref="BB251:BB253">
    <cfRule type="cellIs" dxfId="19155" priority="2155" operator="lessThan">
      <formula>0</formula>
    </cfRule>
    <cfRule type="cellIs" dxfId="19154" priority="2156" operator="lessThan">
      <formula>-105575</formula>
    </cfRule>
  </conditionalFormatting>
  <conditionalFormatting sqref="BB251:BB253">
    <cfRule type="cellIs" dxfId="19153" priority="2153" operator="lessThan">
      <formula>0</formula>
    </cfRule>
    <cfRule type="cellIs" dxfId="19152" priority="2154" operator="lessThan">
      <formula>-105575</formula>
    </cfRule>
  </conditionalFormatting>
  <conditionalFormatting sqref="BB251:BB253">
    <cfRule type="cellIs" dxfId="19151" priority="2151" operator="lessThan">
      <formula>0</formula>
    </cfRule>
    <cfRule type="cellIs" dxfId="19150" priority="2152" operator="lessThan">
      <formula>-105575</formula>
    </cfRule>
  </conditionalFormatting>
  <conditionalFormatting sqref="BB251:BB253">
    <cfRule type="cellIs" dxfId="19149" priority="2149" operator="lessThan">
      <formula>0</formula>
    </cfRule>
    <cfRule type="cellIs" dxfId="19148" priority="2150" operator="lessThan">
      <formula>-105575</formula>
    </cfRule>
  </conditionalFormatting>
  <conditionalFormatting sqref="BB251:BB253">
    <cfRule type="cellIs" dxfId="19147" priority="2147" operator="lessThan">
      <formula>0</formula>
    </cfRule>
    <cfRule type="cellIs" dxfId="19146" priority="2148" operator="lessThan">
      <formula>-105575</formula>
    </cfRule>
  </conditionalFormatting>
  <conditionalFormatting sqref="BB255:BB257">
    <cfRule type="cellIs" dxfId="19145" priority="2145" operator="lessThan">
      <formula>0</formula>
    </cfRule>
    <cfRule type="cellIs" dxfId="19144" priority="2146" operator="lessThan">
      <formula>-105575</formula>
    </cfRule>
  </conditionalFormatting>
  <conditionalFormatting sqref="BB255:BB257">
    <cfRule type="cellIs" dxfId="19143" priority="2143" operator="lessThan">
      <formula>0</formula>
    </cfRule>
    <cfRule type="cellIs" dxfId="19142" priority="2144" operator="lessThan">
      <formula>-105575</formula>
    </cfRule>
  </conditionalFormatting>
  <conditionalFormatting sqref="BB255:BB257">
    <cfRule type="cellIs" dxfId="19141" priority="2141" operator="lessThan">
      <formula>0</formula>
    </cfRule>
    <cfRule type="cellIs" dxfId="19140" priority="2142" operator="lessThan">
      <formula>-105575</formula>
    </cfRule>
  </conditionalFormatting>
  <conditionalFormatting sqref="BB255:BB257">
    <cfRule type="cellIs" dxfId="19139" priority="2139" operator="lessThan">
      <formula>0</formula>
    </cfRule>
    <cfRule type="cellIs" dxfId="19138" priority="2140" operator="lessThan">
      <formula>-105575</formula>
    </cfRule>
  </conditionalFormatting>
  <conditionalFormatting sqref="BB255:BB257">
    <cfRule type="cellIs" dxfId="19137" priority="2137" operator="lessThan">
      <formula>0</formula>
    </cfRule>
    <cfRule type="cellIs" dxfId="19136" priority="2138" operator="lessThan">
      <formula>-105575</formula>
    </cfRule>
  </conditionalFormatting>
  <conditionalFormatting sqref="BB255:BB257">
    <cfRule type="cellIs" dxfId="19135" priority="2135" operator="lessThan">
      <formula>0</formula>
    </cfRule>
    <cfRule type="cellIs" dxfId="19134" priority="2136" operator="lessThan">
      <formula>-105575</formula>
    </cfRule>
  </conditionalFormatting>
  <conditionalFormatting sqref="BB255:BB257">
    <cfRule type="cellIs" dxfId="19133" priority="2133" operator="lessThan">
      <formula>0</formula>
    </cfRule>
    <cfRule type="cellIs" dxfId="19132" priority="2134" operator="lessThan">
      <formula>-105575</formula>
    </cfRule>
  </conditionalFormatting>
  <conditionalFormatting sqref="BB255:BB257">
    <cfRule type="cellIs" dxfId="19131" priority="2131" operator="lessThan">
      <formula>0</formula>
    </cfRule>
    <cfRule type="cellIs" dxfId="19130" priority="2132" operator="lessThan">
      <formula>-105575</formula>
    </cfRule>
  </conditionalFormatting>
  <conditionalFormatting sqref="BB255:BB257">
    <cfRule type="cellIs" dxfId="19129" priority="2129" operator="lessThan">
      <formula>0</formula>
    </cfRule>
    <cfRule type="cellIs" dxfId="19128" priority="2130" operator="lessThan">
      <formula>-105575</formula>
    </cfRule>
  </conditionalFormatting>
  <conditionalFormatting sqref="BB260:BB262">
    <cfRule type="cellIs" dxfId="19127" priority="2127" operator="lessThan">
      <formula>0</formula>
    </cfRule>
    <cfRule type="cellIs" dxfId="19126" priority="2128" operator="lessThan">
      <formula>-105575</formula>
    </cfRule>
  </conditionalFormatting>
  <conditionalFormatting sqref="BB260:BB262">
    <cfRule type="cellIs" dxfId="19125" priority="2125" operator="lessThan">
      <formula>0</formula>
    </cfRule>
    <cfRule type="cellIs" dxfId="19124" priority="2126" operator="lessThan">
      <formula>-105575</formula>
    </cfRule>
  </conditionalFormatting>
  <conditionalFormatting sqref="BB260:BB262">
    <cfRule type="cellIs" dxfId="19123" priority="2123" operator="lessThan">
      <formula>0</formula>
    </cfRule>
    <cfRule type="cellIs" dxfId="19122" priority="2124" operator="lessThan">
      <formula>-105575</formula>
    </cfRule>
  </conditionalFormatting>
  <conditionalFormatting sqref="BB260:BB262">
    <cfRule type="cellIs" dxfId="19121" priority="2121" operator="lessThan">
      <formula>0</formula>
    </cfRule>
    <cfRule type="cellIs" dxfId="19120" priority="2122" operator="lessThan">
      <formula>-105575</formula>
    </cfRule>
  </conditionalFormatting>
  <conditionalFormatting sqref="BB260:BB262">
    <cfRule type="cellIs" dxfId="19119" priority="2119" operator="lessThan">
      <formula>0</formula>
    </cfRule>
    <cfRule type="cellIs" dxfId="19118" priority="2120" operator="lessThan">
      <formula>-105575</formula>
    </cfRule>
  </conditionalFormatting>
  <conditionalFormatting sqref="BB260:BB262">
    <cfRule type="cellIs" dxfId="19117" priority="2117" operator="lessThan">
      <formula>0</formula>
    </cfRule>
    <cfRule type="cellIs" dxfId="19116" priority="2118" operator="lessThan">
      <formula>-105575</formula>
    </cfRule>
  </conditionalFormatting>
  <conditionalFormatting sqref="BB260:BB262">
    <cfRule type="cellIs" dxfId="19115" priority="2115" operator="lessThan">
      <formula>0</formula>
    </cfRule>
    <cfRule type="cellIs" dxfId="19114" priority="2116" operator="lessThan">
      <formula>-105575</formula>
    </cfRule>
  </conditionalFormatting>
  <conditionalFormatting sqref="BB260:BB262">
    <cfRule type="cellIs" dxfId="19113" priority="2113" operator="lessThan">
      <formula>0</formula>
    </cfRule>
    <cfRule type="cellIs" dxfId="19112" priority="2114" operator="lessThan">
      <formula>-105575</formula>
    </cfRule>
  </conditionalFormatting>
  <conditionalFormatting sqref="BB260:BB262">
    <cfRule type="cellIs" dxfId="19111" priority="2111" operator="lessThan">
      <formula>0</formula>
    </cfRule>
    <cfRule type="cellIs" dxfId="19110" priority="2112" operator="lessThan">
      <formula>-105575</formula>
    </cfRule>
  </conditionalFormatting>
  <conditionalFormatting sqref="BB264:BB267">
    <cfRule type="cellIs" dxfId="19109" priority="2109" operator="lessThan">
      <formula>0</formula>
    </cfRule>
    <cfRule type="cellIs" dxfId="19108" priority="2110" operator="lessThan">
      <formula>-105575</formula>
    </cfRule>
  </conditionalFormatting>
  <conditionalFormatting sqref="BB264:BB267">
    <cfRule type="cellIs" dxfId="19107" priority="2107" operator="lessThan">
      <formula>0</formula>
    </cfRule>
    <cfRule type="cellIs" dxfId="19106" priority="2108" operator="lessThan">
      <formula>-105575</formula>
    </cfRule>
  </conditionalFormatting>
  <conditionalFormatting sqref="BB264:BB267">
    <cfRule type="cellIs" dxfId="19105" priority="2105" operator="lessThan">
      <formula>0</formula>
    </cfRule>
    <cfRule type="cellIs" dxfId="19104" priority="2106" operator="lessThan">
      <formula>-105575</formula>
    </cfRule>
  </conditionalFormatting>
  <conditionalFormatting sqref="BB264:BB267">
    <cfRule type="cellIs" dxfId="19103" priority="2103" operator="lessThan">
      <formula>0</formula>
    </cfRule>
    <cfRule type="cellIs" dxfId="19102" priority="2104" operator="lessThan">
      <formula>-105575</formula>
    </cfRule>
  </conditionalFormatting>
  <conditionalFormatting sqref="BB264:BB267">
    <cfRule type="cellIs" dxfId="19101" priority="2101" operator="lessThan">
      <formula>0</formula>
    </cfRule>
    <cfRule type="cellIs" dxfId="19100" priority="2102" operator="lessThan">
      <formula>-105575</formula>
    </cfRule>
  </conditionalFormatting>
  <conditionalFormatting sqref="BB264:BB267">
    <cfRule type="cellIs" dxfId="19099" priority="2099" operator="lessThan">
      <formula>0</formula>
    </cfRule>
    <cfRule type="cellIs" dxfId="19098" priority="2100" operator="lessThan">
      <formula>-105575</formula>
    </cfRule>
  </conditionalFormatting>
  <conditionalFormatting sqref="BB264:BB267">
    <cfRule type="cellIs" dxfId="19097" priority="2097" operator="lessThan">
      <formula>0</formula>
    </cfRule>
    <cfRule type="cellIs" dxfId="19096" priority="2098" operator="lessThan">
      <formula>-105575</formula>
    </cfRule>
  </conditionalFormatting>
  <conditionalFormatting sqref="BB264:BB267">
    <cfRule type="cellIs" dxfId="19095" priority="2095" operator="lessThan">
      <formula>0</formula>
    </cfRule>
    <cfRule type="cellIs" dxfId="19094" priority="2096" operator="lessThan">
      <formula>-105575</formula>
    </cfRule>
  </conditionalFormatting>
  <conditionalFormatting sqref="BB264:BB267">
    <cfRule type="cellIs" dxfId="19093" priority="2093" operator="lessThan">
      <formula>0</formula>
    </cfRule>
    <cfRule type="cellIs" dxfId="19092" priority="2094" operator="lessThan">
      <formula>-105575</formula>
    </cfRule>
  </conditionalFormatting>
  <conditionalFormatting sqref="BB270:BB272">
    <cfRule type="cellIs" dxfId="19091" priority="2091" operator="lessThan">
      <formula>0</formula>
    </cfRule>
    <cfRule type="cellIs" dxfId="19090" priority="2092" operator="lessThan">
      <formula>-105575</formula>
    </cfRule>
  </conditionalFormatting>
  <conditionalFormatting sqref="BB270:BB272">
    <cfRule type="cellIs" dxfId="19089" priority="2089" operator="lessThan">
      <formula>0</formula>
    </cfRule>
    <cfRule type="cellIs" dxfId="19088" priority="2090" operator="lessThan">
      <formula>-105575</formula>
    </cfRule>
  </conditionalFormatting>
  <conditionalFormatting sqref="BB270:BB272">
    <cfRule type="cellIs" dxfId="19087" priority="2087" operator="lessThan">
      <formula>0</formula>
    </cfRule>
    <cfRule type="cellIs" dxfId="19086" priority="2088" operator="lessThan">
      <formula>-105575</formula>
    </cfRule>
  </conditionalFormatting>
  <conditionalFormatting sqref="BB270:BB272">
    <cfRule type="cellIs" dxfId="19085" priority="2085" operator="lessThan">
      <formula>0</formula>
    </cfRule>
    <cfRule type="cellIs" dxfId="19084" priority="2086" operator="lessThan">
      <formula>-105575</formula>
    </cfRule>
  </conditionalFormatting>
  <conditionalFormatting sqref="BB270:BB272">
    <cfRule type="cellIs" dxfId="19083" priority="2083" operator="lessThan">
      <formula>0</formula>
    </cfRule>
    <cfRule type="cellIs" dxfId="19082" priority="2084" operator="lessThan">
      <formula>-105575</formula>
    </cfRule>
  </conditionalFormatting>
  <conditionalFormatting sqref="BB270:BB272">
    <cfRule type="cellIs" dxfId="19081" priority="2081" operator="lessThan">
      <formula>0</formula>
    </cfRule>
    <cfRule type="cellIs" dxfId="19080" priority="2082" operator="lessThan">
      <formula>-105575</formula>
    </cfRule>
  </conditionalFormatting>
  <conditionalFormatting sqref="BB270:BB272">
    <cfRule type="cellIs" dxfId="19079" priority="2079" operator="lessThan">
      <formula>0</formula>
    </cfRule>
    <cfRule type="cellIs" dxfId="19078" priority="2080" operator="lessThan">
      <formula>-105575</formula>
    </cfRule>
  </conditionalFormatting>
  <conditionalFormatting sqref="BB270:BB272">
    <cfRule type="cellIs" dxfId="19077" priority="2077" operator="lessThan">
      <formula>0</formula>
    </cfRule>
    <cfRule type="cellIs" dxfId="19076" priority="2078" operator="lessThan">
      <formula>-105575</formula>
    </cfRule>
  </conditionalFormatting>
  <conditionalFormatting sqref="BB270:BB272">
    <cfRule type="cellIs" dxfId="19075" priority="2075" operator="lessThan">
      <formula>0</formula>
    </cfRule>
    <cfRule type="cellIs" dxfId="19074" priority="2076" operator="lessThan">
      <formula>-105575</formula>
    </cfRule>
  </conditionalFormatting>
  <conditionalFormatting sqref="BB274:BB275">
    <cfRule type="cellIs" dxfId="19073" priority="2073" operator="lessThan">
      <formula>0</formula>
    </cfRule>
    <cfRule type="cellIs" dxfId="19072" priority="2074" operator="lessThan">
      <formula>-105575</formula>
    </cfRule>
  </conditionalFormatting>
  <conditionalFormatting sqref="BB274:BB275">
    <cfRule type="cellIs" dxfId="19071" priority="2071" operator="lessThan">
      <formula>0</formula>
    </cfRule>
    <cfRule type="cellIs" dxfId="19070" priority="2072" operator="lessThan">
      <formula>-105575</formula>
    </cfRule>
  </conditionalFormatting>
  <conditionalFormatting sqref="BB274:BB275">
    <cfRule type="cellIs" dxfId="19069" priority="2069" operator="lessThan">
      <formula>0</formula>
    </cfRule>
    <cfRule type="cellIs" dxfId="19068" priority="2070" operator="lessThan">
      <formula>-105575</formula>
    </cfRule>
  </conditionalFormatting>
  <conditionalFormatting sqref="BB274:BB275">
    <cfRule type="cellIs" dxfId="19067" priority="2067" operator="lessThan">
      <formula>0</formula>
    </cfRule>
    <cfRule type="cellIs" dxfId="19066" priority="2068" operator="lessThan">
      <formula>-105575</formula>
    </cfRule>
  </conditionalFormatting>
  <conditionalFormatting sqref="BB274:BB275">
    <cfRule type="cellIs" dxfId="19065" priority="2065" operator="lessThan">
      <formula>0</formula>
    </cfRule>
    <cfRule type="cellIs" dxfId="19064" priority="2066" operator="lessThan">
      <formula>-105575</formula>
    </cfRule>
  </conditionalFormatting>
  <conditionalFormatting sqref="BB274:BB275">
    <cfRule type="cellIs" dxfId="19063" priority="2063" operator="lessThan">
      <formula>0</formula>
    </cfRule>
    <cfRule type="cellIs" dxfId="19062" priority="2064" operator="lessThan">
      <formula>-105575</formula>
    </cfRule>
  </conditionalFormatting>
  <conditionalFormatting sqref="BB274:BB275">
    <cfRule type="cellIs" dxfId="19061" priority="2061" operator="lessThan">
      <formula>0</formula>
    </cfRule>
    <cfRule type="cellIs" dxfId="19060" priority="2062" operator="lessThan">
      <formula>-105575</formula>
    </cfRule>
  </conditionalFormatting>
  <conditionalFormatting sqref="BB274:BB275">
    <cfRule type="cellIs" dxfId="19059" priority="2059" operator="lessThan">
      <formula>0</formula>
    </cfRule>
    <cfRule type="cellIs" dxfId="19058" priority="2060" operator="lessThan">
      <formula>-105575</formula>
    </cfRule>
  </conditionalFormatting>
  <conditionalFormatting sqref="BB274:BB275">
    <cfRule type="cellIs" dxfId="19057" priority="2057" operator="lessThan">
      <formula>0</formula>
    </cfRule>
    <cfRule type="cellIs" dxfId="19056" priority="2058" operator="lessThan">
      <formula>-105575</formula>
    </cfRule>
  </conditionalFormatting>
  <conditionalFormatting sqref="BB278:BB282">
    <cfRule type="cellIs" dxfId="19055" priority="2055" operator="lessThan">
      <formula>0</formula>
    </cfRule>
    <cfRule type="cellIs" dxfId="19054" priority="2056" operator="lessThan">
      <formula>-105575</formula>
    </cfRule>
  </conditionalFormatting>
  <conditionalFormatting sqref="BB278:BB282">
    <cfRule type="cellIs" dxfId="19053" priority="2053" operator="lessThan">
      <formula>0</formula>
    </cfRule>
    <cfRule type="cellIs" dxfId="19052" priority="2054" operator="lessThan">
      <formula>-105575</formula>
    </cfRule>
  </conditionalFormatting>
  <conditionalFormatting sqref="BB278:BB282">
    <cfRule type="cellIs" dxfId="19051" priority="2051" operator="lessThan">
      <formula>0</formula>
    </cfRule>
    <cfRule type="cellIs" dxfId="19050" priority="2052" operator="lessThan">
      <formula>-105575</formula>
    </cfRule>
  </conditionalFormatting>
  <conditionalFormatting sqref="BB278:BB282">
    <cfRule type="cellIs" dxfId="19049" priority="2049" operator="lessThan">
      <formula>0</formula>
    </cfRule>
    <cfRule type="cellIs" dxfId="19048" priority="2050" operator="lessThan">
      <formula>-105575</formula>
    </cfRule>
  </conditionalFormatting>
  <conditionalFormatting sqref="BB278:BB282">
    <cfRule type="cellIs" dxfId="19047" priority="2047" operator="lessThan">
      <formula>0</formula>
    </cfRule>
    <cfRule type="cellIs" dxfId="19046" priority="2048" operator="lessThan">
      <formula>-105575</formula>
    </cfRule>
  </conditionalFormatting>
  <conditionalFormatting sqref="BB278:BB282">
    <cfRule type="cellIs" dxfId="19045" priority="2045" operator="lessThan">
      <formula>0</formula>
    </cfRule>
    <cfRule type="cellIs" dxfId="19044" priority="2046" operator="lessThan">
      <formula>-105575</formula>
    </cfRule>
  </conditionalFormatting>
  <conditionalFormatting sqref="BB278:BB282">
    <cfRule type="cellIs" dxfId="19043" priority="2043" operator="lessThan">
      <formula>0</formula>
    </cfRule>
    <cfRule type="cellIs" dxfId="19042" priority="2044" operator="lessThan">
      <formula>-105575</formula>
    </cfRule>
  </conditionalFormatting>
  <conditionalFormatting sqref="BB278:BB282">
    <cfRule type="cellIs" dxfId="19041" priority="2041" operator="lessThan">
      <formula>0</formula>
    </cfRule>
    <cfRule type="cellIs" dxfId="19040" priority="2042" operator="lessThan">
      <formula>-105575</formula>
    </cfRule>
  </conditionalFormatting>
  <conditionalFormatting sqref="BB278:BB282">
    <cfRule type="cellIs" dxfId="19039" priority="2039" operator="lessThan">
      <formula>0</formula>
    </cfRule>
    <cfRule type="cellIs" dxfId="19038" priority="2040" operator="lessThan">
      <formula>-105575</formula>
    </cfRule>
  </conditionalFormatting>
  <conditionalFormatting sqref="BB285:BB288">
    <cfRule type="cellIs" dxfId="19037" priority="2037" operator="lessThan">
      <formula>0</formula>
    </cfRule>
    <cfRule type="cellIs" dxfId="19036" priority="2038" operator="lessThan">
      <formula>-105575</formula>
    </cfRule>
  </conditionalFormatting>
  <conditionalFormatting sqref="BB285:BB288">
    <cfRule type="cellIs" dxfId="19035" priority="2035" operator="lessThan">
      <formula>0</formula>
    </cfRule>
    <cfRule type="cellIs" dxfId="19034" priority="2036" operator="lessThan">
      <formula>-105575</formula>
    </cfRule>
  </conditionalFormatting>
  <conditionalFormatting sqref="BB285:BB288">
    <cfRule type="cellIs" dxfId="19033" priority="2033" operator="lessThan">
      <formula>0</formula>
    </cfRule>
    <cfRule type="cellIs" dxfId="19032" priority="2034" operator="lessThan">
      <formula>-105575</formula>
    </cfRule>
  </conditionalFormatting>
  <conditionalFormatting sqref="BB285:BB288">
    <cfRule type="cellIs" dxfId="19031" priority="2031" operator="lessThan">
      <formula>0</formula>
    </cfRule>
    <cfRule type="cellIs" dxfId="19030" priority="2032" operator="lessThan">
      <formula>-105575</formula>
    </cfRule>
  </conditionalFormatting>
  <conditionalFormatting sqref="BB285:BB288">
    <cfRule type="cellIs" dxfId="19029" priority="2029" operator="lessThan">
      <formula>0</formula>
    </cfRule>
    <cfRule type="cellIs" dxfId="19028" priority="2030" operator="lessThan">
      <formula>-105575</formula>
    </cfRule>
  </conditionalFormatting>
  <conditionalFormatting sqref="BB285:BB288">
    <cfRule type="cellIs" dxfId="19027" priority="2027" operator="lessThan">
      <formula>0</formula>
    </cfRule>
    <cfRule type="cellIs" dxfId="19026" priority="2028" operator="lessThan">
      <formula>-105575</formula>
    </cfRule>
  </conditionalFormatting>
  <conditionalFormatting sqref="BB285:BB288">
    <cfRule type="cellIs" dxfId="19025" priority="2025" operator="lessThan">
      <formula>0</formula>
    </cfRule>
    <cfRule type="cellIs" dxfId="19024" priority="2026" operator="lessThan">
      <formula>-105575</formula>
    </cfRule>
  </conditionalFormatting>
  <conditionalFormatting sqref="BB285:BB288">
    <cfRule type="cellIs" dxfId="19023" priority="2023" operator="lessThan">
      <formula>0</formula>
    </cfRule>
    <cfRule type="cellIs" dxfId="19022" priority="2024" operator="lessThan">
      <formula>-105575</formula>
    </cfRule>
  </conditionalFormatting>
  <conditionalFormatting sqref="BB285:BB288">
    <cfRule type="cellIs" dxfId="19021" priority="2021" operator="lessThan">
      <formula>0</formula>
    </cfRule>
    <cfRule type="cellIs" dxfId="19020" priority="2022" operator="lessThan">
      <formula>-105575</formula>
    </cfRule>
  </conditionalFormatting>
  <conditionalFormatting sqref="BB203 BB220:BB221 BB235:BB243 BB231:BB233 BB212:BB213 BB225:BB226">
    <cfRule type="cellIs" dxfId="19019" priority="2019" operator="lessThan">
      <formula>0</formula>
    </cfRule>
    <cfRule type="cellIs" dxfId="19018" priority="2020" operator="lessThan">
      <formula>-105575</formula>
    </cfRule>
  </conditionalFormatting>
  <conditionalFormatting sqref="BB220 BB212:BB213 BB235:BB238 BB240:BB243 BB225:BB226 BB231:BB233">
    <cfRule type="cellIs" dxfId="19017" priority="2017" operator="lessThan">
      <formula>0</formula>
    </cfRule>
    <cfRule type="cellIs" dxfId="19016" priority="2018" operator="lessThan">
      <formula>-105575</formula>
    </cfRule>
  </conditionalFormatting>
  <conditionalFormatting sqref="BB220:BB221 BB243 BB226 BB231:BB236 BB238:BB241 BB203 BB213">
    <cfRule type="cellIs" dxfId="19015" priority="2015" operator="lessThan">
      <formula>0</formula>
    </cfRule>
    <cfRule type="cellIs" dxfId="19014" priority="2016" operator="lessThan">
      <formula>-105575</formula>
    </cfRule>
  </conditionalFormatting>
  <conditionalFormatting sqref="BB235:BB243 BB231:BB233 BB220 BB212:BB213 BB225:BB226">
    <cfRule type="cellIs" dxfId="19013" priority="2013" operator="lessThan">
      <formula>0</formula>
    </cfRule>
    <cfRule type="cellIs" dxfId="19012" priority="2014" operator="lessThan">
      <formula>-105575</formula>
    </cfRule>
  </conditionalFormatting>
  <conditionalFormatting sqref="BB220:BB221 BB237:BB243 BB203 BB231:BB235 BB212:BB213 BB225:BB226">
    <cfRule type="cellIs" dxfId="19011" priority="2011" operator="lessThan">
      <formula>0</formula>
    </cfRule>
    <cfRule type="cellIs" dxfId="19010" priority="2012" operator="lessThan">
      <formula>-105575</formula>
    </cfRule>
  </conditionalFormatting>
  <conditionalFormatting sqref="BB220:BB221 BB237:BB240 BB242:BB243 BB225:BB226 BB231:BB235">
    <cfRule type="cellIs" dxfId="19009" priority="2009" operator="lessThan">
      <formula>0</formula>
    </cfRule>
    <cfRule type="cellIs" dxfId="19008" priority="2010" operator="lessThan">
      <formula>-105575</formula>
    </cfRule>
  </conditionalFormatting>
  <conditionalFormatting sqref="BB212 BB231 BB233:BB238 BB240:BB243 BB225">
    <cfRule type="cellIs" dxfId="19007" priority="2007" operator="lessThan">
      <formula>0</formula>
    </cfRule>
    <cfRule type="cellIs" dxfId="19006" priority="2008" operator="lessThan">
      <formula>-105575</formula>
    </cfRule>
  </conditionalFormatting>
  <conditionalFormatting sqref="BB237:BB243 BB231:BB235 BB220:BB221 BB225:BB226">
    <cfRule type="cellIs" dxfId="19005" priority="2005" operator="lessThan">
      <formula>0</formula>
    </cfRule>
    <cfRule type="cellIs" dxfId="19004" priority="2006" operator="lessThan">
      <formula>-105575</formula>
    </cfRule>
  </conditionalFormatting>
  <conditionalFormatting sqref="BB233:BB237 BB231 BB239:BB243">
    <cfRule type="cellIs" dxfId="19003" priority="2003" operator="lessThan">
      <formula>0</formula>
    </cfRule>
    <cfRule type="cellIs" dxfId="19002" priority="2004" operator="lessThan">
      <formula>-105575</formula>
    </cfRule>
  </conditionalFormatting>
  <conditionalFormatting sqref="BB233:BB237 BB231 BB239:BB243">
    <cfRule type="cellIs" dxfId="19001" priority="2001" operator="lessThan">
      <formula>0</formula>
    </cfRule>
    <cfRule type="cellIs" dxfId="19000" priority="2002" operator="lessThan">
      <formula>-105575</formula>
    </cfRule>
  </conditionalFormatting>
  <conditionalFormatting sqref="BB119:BB128 BB106:BB117 BB101:BB104 BB80:BB98">
    <cfRule type="cellIs" dxfId="18999" priority="1999" operator="lessThan">
      <formula>0</formula>
    </cfRule>
    <cfRule type="cellIs" dxfId="18998" priority="2000" operator="lessThan">
      <formula>-105575</formula>
    </cfRule>
  </conditionalFormatting>
  <conditionalFormatting sqref="BB130 BB132 BB134">
    <cfRule type="cellIs" dxfId="18997" priority="1997" operator="lessThan">
      <formula>0</formula>
    </cfRule>
    <cfRule type="cellIs" dxfId="18996" priority="1998" operator="lessThan">
      <formula>-105575</formula>
    </cfRule>
  </conditionalFormatting>
  <conditionalFormatting sqref="BB130 BB132 BB134">
    <cfRule type="cellIs" dxfId="18995" priority="1995" operator="lessThan">
      <formula>0</formula>
    </cfRule>
    <cfRule type="cellIs" dxfId="18994" priority="1996" operator="lessThan">
      <formula>-105575</formula>
    </cfRule>
  </conditionalFormatting>
  <conditionalFormatting sqref="BB129 BB131 BB133 BB135">
    <cfRule type="cellIs" dxfId="18993" priority="1993" operator="lessThan">
      <formula>0</formula>
    </cfRule>
    <cfRule type="cellIs" dxfId="18992" priority="1994" operator="lessThan">
      <formula>-105575</formula>
    </cfRule>
  </conditionalFormatting>
  <conditionalFormatting sqref="BB140 BB145 BB142:BB143 BB137:BB138">
    <cfRule type="cellIs" dxfId="18991" priority="1991" operator="lessThan">
      <formula>0</formula>
    </cfRule>
    <cfRule type="cellIs" dxfId="18990" priority="1992" operator="lessThan">
      <formula>-105575</formula>
    </cfRule>
  </conditionalFormatting>
  <conditionalFormatting sqref="BB149">
    <cfRule type="cellIs" dxfId="18989" priority="1989" operator="lessThan">
      <formula>0</formula>
    </cfRule>
    <cfRule type="cellIs" dxfId="18988" priority="1990" operator="lessThan">
      <formula>-105575</formula>
    </cfRule>
  </conditionalFormatting>
  <conditionalFormatting sqref="BB129:BB138 BB140:BB149">
    <cfRule type="cellIs" dxfId="18987" priority="1987" operator="lessThan">
      <formula>0</formula>
    </cfRule>
    <cfRule type="cellIs" dxfId="18986" priority="1988" operator="lessThan">
      <formula>-105575</formula>
    </cfRule>
  </conditionalFormatting>
  <conditionalFormatting sqref="BB94:BB98 BB86:BB87 BB89:BB91 BB141:BB149 BB124:BB133 BB107:BB110 BB112:BB117 BB119:BB122 BB135:BB138 BB101:BB104 BB80:BB84">
    <cfRule type="cellIs" dxfId="18985" priority="1985" operator="lessThan">
      <formula>0</formula>
    </cfRule>
    <cfRule type="cellIs" dxfId="18984" priority="1986" operator="lessThan">
      <formula>-105575</formula>
    </cfRule>
  </conditionalFormatting>
  <conditionalFormatting sqref="BB129 BB131 BB133 BB135">
    <cfRule type="cellIs" dxfId="18983" priority="1983" operator="lessThan">
      <formula>0</formula>
    </cfRule>
    <cfRule type="cellIs" dxfId="18982" priority="1984" operator="lessThan">
      <formula>-105575</formula>
    </cfRule>
  </conditionalFormatting>
  <conditionalFormatting sqref="BB146 BB144 BB141">
    <cfRule type="cellIs" dxfId="18981" priority="1981" operator="lessThan">
      <formula>0</formula>
    </cfRule>
    <cfRule type="cellIs" dxfId="18980" priority="1982" operator="lessThan">
      <formula>-105575</formula>
    </cfRule>
  </conditionalFormatting>
  <conditionalFormatting sqref="BB146 BB144 BB141">
    <cfRule type="cellIs" dxfId="18979" priority="1979" operator="lessThan">
      <formula>0</formula>
    </cfRule>
    <cfRule type="cellIs" dxfId="18978" priority="1980" operator="lessThan">
      <formula>-105575</formula>
    </cfRule>
  </conditionalFormatting>
  <conditionalFormatting sqref="BB140 BB145 BB142:BB143 BB137:BB138">
    <cfRule type="cellIs" dxfId="18977" priority="1977" operator="lessThan">
      <formula>0</formula>
    </cfRule>
    <cfRule type="cellIs" dxfId="18976" priority="1978" operator="lessThan">
      <formula>-105575</formula>
    </cfRule>
  </conditionalFormatting>
  <conditionalFormatting sqref="BB149">
    <cfRule type="cellIs" dxfId="18975" priority="1975" operator="lessThan">
      <formula>0</formula>
    </cfRule>
    <cfRule type="cellIs" dxfId="18974" priority="1976" operator="lessThan">
      <formula>-105575</formula>
    </cfRule>
  </conditionalFormatting>
  <conditionalFormatting sqref="BB94:BB98 BB86:BB87 BB89:BB91 BB141:BB149 BB124:BB133 BB107:BB110 BB112:BB117 BB119:BB122 BB135:BB138 BB101:BB104 BB80:BB84">
    <cfRule type="cellIs" dxfId="18973" priority="1973" operator="lessThan">
      <formula>0</formula>
    </cfRule>
    <cfRule type="cellIs" dxfId="18972" priority="1974" operator="lessThan">
      <formula>-105575</formula>
    </cfRule>
  </conditionalFormatting>
  <conditionalFormatting sqref="BB246:BB249 BB262 BB267 BB279:BB282 BB285:BB288 BB274:BB275 BB306:BB309 BB311:BB325 BB327:BB330 BB332:BB341 BB344:BB347 BB349:BB353 BB355:BB358 BB360:BB384 BB386:BB389 BB392:BB395 BB397:BB411 BB413:BB416 BB418:BB432 BB434:BB437 BB439:BB453 BB455:BB458 BB460:BB469 BB7:BB10 BB12:BB14 BB17:BB18 BB21:BB24 BB26:BB28 BB30:BB36 BB38 BB41:BB43 BB46:BB49 BB51:BB55 BB57:BB59 BB62:BB76 BB251:BB253 BB255:BB257 BB293:BB304 BB264:BB265 BB260 BB290:BB291 BB270:BB272">
    <cfRule type="cellIs" dxfId="18971" priority="1971" operator="lessThan">
      <formula>0</formula>
    </cfRule>
    <cfRule type="cellIs" dxfId="18970" priority="1972" operator="lessThan">
      <formula>-105575</formula>
    </cfRule>
  </conditionalFormatting>
  <conditionalFormatting sqref="BB41">
    <cfRule type="cellIs" dxfId="18969" priority="1969" operator="lessThan">
      <formula>0</formula>
    </cfRule>
    <cfRule type="cellIs" dxfId="18968" priority="1970" operator="lessThan">
      <formula>-105575</formula>
    </cfRule>
  </conditionalFormatting>
  <conditionalFormatting sqref="BB152:BB155">
    <cfRule type="cellIs" dxfId="18967" priority="1967" operator="lessThan">
      <formula>0</formula>
    </cfRule>
    <cfRule type="cellIs" dxfId="18966" priority="1968" operator="lessThan">
      <formula>-105575</formula>
    </cfRule>
  </conditionalFormatting>
  <conditionalFormatting sqref="BB152:BB155">
    <cfRule type="cellIs" dxfId="18965" priority="1965" operator="lessThan">
      <formula>0</formula>
    </cfRule>
    <cfRule type="cellIs" dxfId="18964" priority="1966" operator="lessThan">
      <formula>-105575</formula>
    </cfRule>
  </conditionalFormatting>
  <conditionalFormatting sqref="BB152:BB155">
    <cfRule type="cellIs" dxfId="18963" priority="1963" operator="lessThan">
      <formula>0</formula>
    </cfRule>
    <cfRule type="cellIs" dxfId="18962" priority="1964" operator="lessThan">
      <formula>-105575</formula>
    </cfRule>
  </conditionalFormatting>
  <conditionalFormatting sqref="BB157:BB158">
    <cfRule type="cellIs" dxfId="18961" priority="1961" operator="lessThan">
      <formula>0</formula>
    </cfRule>
    <cfRule type="cellIs" dxfId="18960" priority="1962" operator="lessThan">
      <formula>-105575</formula>
    </cfRule>
  </conditionalFormatting>
  <conditionalFormatting sqref="BB157:BB158">
    <cfRule type="cellIs" dxfId="18959" priority="1959" operator="lessThan">
      <formula>0</formula>
    </cfRule>
    <cfRule type="cellIs" dxfId="18958" priority="1960" operator="lessThan">
      <formula>-105575</formula>
    </cfRule>
  </conditionalFormatting>
  <conditionalFormatting sqref="BB157:BB158">
    <cfRule type="cellIs" dxfId="18957" priority="1957" operator="lessThan">
      <formula>0</formula>
    </cfRule>
    <cfRule type="cellIs" dxfId="18956" priority="1958" operator="lessThan">
      <formula>-105575</formula>
    </cfRule>
  </conditionalFormatting>
  <conditionalFormatting sqref="BB160:BB161">
    <cfRule type="cellIs" dxfId="18955" priority="1955" operator="lessThan">
      <formula>0</formula>
    </cfRule>
    <cfRule type="cellIs" dxfId="18954" priority="1956" operator="lessThan">
      <formula>-105575</formula>
    </cfRule>
  </conditionalFormatting>
  <conditionalFormatting sqref="BB160:BB161">
    <cfRule type="cellIs" dxfId="18953" priority="1953" operator="lessThan">
      <formula>0</formula>
    </cfRule>
    <cfRule type="cellIs" dxfId="18952" priority="1954" operator="lessThan">
      <formula>-105575</formula>
    </cfRule>
  </conditionalFormatting>
  <conditionalFormatting sqref="BB160:BB161">
    <cfRule type="cellIs" dxfId="18951" priority="1951" operator="lessThan">
      <formula>0</formula>
    </cfRule>
    <cfRule type="cellIs" dxfId="18950" priority="1952" operator="lessThan">
      <formula>-105575</formula>
    </cfRule>
  </conditionalFormatting>
  <conditionalFormatting sqref="BB164:BB167">
    <cfRule type="cellIs" dxfId="18949" priority="1949" operator="lessThan">
      <formula>0</formula>
    </cfRule>
    <cfRule type="cellIs" dxfId="18948" priority="1950" operator="lessThan">
      <formula>-105575</formula>
    </cfRule>
  </conditionalFormatting>
  <conditionalFormatting sqref="BB164:BB167">
    <cfRule type="cellIs" dxfId="18947" priority="1947" operator="lessThan">
      <formula>0</formula>
    </cfRule>
    <cfRule type="cellIs" dxfId="18946" priority="1948" operator="lessThan">
      <formula>-105575</formula>
    </cfRule>
  </conditionalFormatting>
  <conditionalFormatting sqref="BB164:BB167">
    <cfRule type="cellIs" dxfId="18945" priority="1945" operator="lessThan">
      <formula>0</formula>
    </cfRule>
    <cfRule type="cellIs" dxfId="18944" priority="1946" operator="lessThan">
      <formula>-105575</formula>
    </cfRule>
  </conditionalFormatting>
  <conditionalFormatting sqref="BB169:BB177">
    <cfRule type="cellIs" dxfId="18943" priority="1943" operator="lessThan">
      <formula>0</formula>
    </cfRule>
    <cfRule type="cellIs" dxfId="18942" priority="1944" operator="lessThan">
      <formula>-105575</formula>
    </cfRule>
  </conditionalFormatting>
  <conditionalFormatting sqref="BB169:BB177">
    <cfRule type="cellIs" dxfId="18941" priority="1941" operator="lessThan">
      <formula>0</formula>
    </cfRule>
    <cfRule type="cellIs" dxfId="18940" priority="1942" operator="lessThan">
      <formula>-105575</formula>
    </cfRule>
  </conditionalFormatting>
  <conditionalFormatting sqref="BB169:BB177">
    <cfRule type="cellIs" dxfId="18939" priority="1939" operator="lessThan">
      <formula>0</formula>
    </cfRule>
    <cfRule type="cellIs" dxfId="18938" priority="1940" operator="lessThan">
      <formula>-105575</formula>
    </cfRule>
  </conditionalFormatting>
  <conditionalFormatting sqref="BB179:BB180">
    <cfRule type="cellIs" dxfId="18937" priority="1937" operator="lessThan">
      <formula>0</formula>
    </cfRule>
    <cfRule type="cellIs" dxfId="18936" priority="1938" operator="lessThan">
      <formula>-105575</formula>
    </cfRule>
  </conditionalFormatting>
  <conditionalFormatting sqref="BB179:BB180">
    <cfRule type="cellIs" dxfId="18935" priority="1935" operator="lessThan">
      <formula>0</formula>
    </cfRule>
    <cfRule type="cellIs" dxfId="18934" priority="1936" operator="lessThan">
      <formula>-105575</formula>
    </cfRule>
  </conditionalFormatting>
  <conditionalFormatting sqref="BB179:BB180">
    <cfRule type="cellIs" dxfId="18933" priority="1933" operator="lessThan">
      <formula>0</formula>
    </cfRule>
    <cfRule type="cellIs" dxfId="18932" priority="1934" operator="lessThan">
      <formula>-105575</formula>
    </cfRule>
  </conditionalFormatting>
  <conditionalFormatting sqref="BB183:BB189">
    <cfRule type="cellIs" dxfId="18931" priority="1931" operator="lessThan">
      <formula>0</formula>
    </cfRule>
    <cfRule type="cellIs" dxfId="18930" priority="1932" operator="lessThan">
      <formula>-105575</formula>
    </cfRule>
  </conditionalFormatting>
  <conditionalFormatting sqref="BB183:BB189">
    <cfRule type="cellIs" dxfId="18929" priority="1929" operator="lessThan">
      <formula>0</formula>
    </cfRule>
    <cfRule type="cellIs" dxfId="18928" priority="1930" operator="lessThan">
      <formula>-105575</formula>
    </cfRule>
  </conditionalFormatting>
  <conditionalFormatting sqref="BB183:BB189">
    <cfRule type="cellIs" dxfId="18927" priority="1927" operator="lessThan">
      <formula>0</formula>
    </cfRule>
    <cfRule type="cellIs" dxfId="18926" priority="1928" operator="lessThan">
      <formula>-105575</formula>
    </cfRule>
  </conditionalFormatting>
  <conditionalFormatting sqref="BB191:BB192">
    <cfRule type="cellIs" dxfId="18925" priority="1925" operator="lessThan">
      <formula>0</formula>
    </cfRule>
    <cfRule type="cellIs" dxfId="18924" priority="1926" operator="lessThan">
      <formula>-105575</formula>
    </cfRule>
  </conditionalFormatting>
  <conditionalFormatting sqref="BB191:BB192">
    <cfRule type="cellIs" dxfId="18923" priority="1923" operator="lessThan">
      <formula>0</formula>
    </cfRule>
    <cfRule type="cellIs" dxfId="18922" priority="1924" operator="lessThan">
      <formula>-105575</formula>
    </cfRule>
  </conditionalFormatting>
  <conditionalFormatting sqref="BB191:BB192">
    <cfRule type="cellIs" dxfId="18921" priority="1921" operator="lessThan">
      <formula>0</formula>
    </cfRule>
    <cfRule type="cellIs" dxfId="18920" priority="1922" operator="lessThan">
      <formula>-105575</formula>
    </cfRule>
  </conditionalFormatting>
  <conditionalFormatting sqref="BB194:BB195">
    <cfRule type="cellIs" dxfId="18919" priority="1919" operator="lessThan">
      <formula>0</formula>
    </cfRule>
    <cfRule type="cellIs" dxfId="18918" priority="1920" operator="lessThan">
      <formula>-105575</formula>
    </cfRule>
  </conditionalFormatting>
  <conditionalFormatting sqref="BB194:BB195">
    <cfRule type="cellIs" dxfId="18917" priority="1917" operator="lessThan">
      <formula>0</formula>
    </cfRule>
    <cfRule type="cellIs" dxfId="18916" priority="1918" operator="lessThan">
      <formula>-105575</formula>
    </cfRule>
  </conditionalFormatting>
  <conditionalFormatting sqref="BB194:BB195">
    <cfRule type="cellIs" dxfId="18915" priority="1915" operator="lessThan">
      <formula>0</formula>
    </cfRule>
    <cfRule type="cellIs" dxfId="18914" priority="1916" operator="lessThan">
      <formula>-105575</formula>
    </cfRule>
  </conditionalFormatting>
  <conditionalFormatting sqref="BB199:BB202">
    <cfRule type="cellIs" dxfId="18913" priority="1913" operator="lessThan">
      <formula>0</formula>
    </cfRule>
    <cfRule type="cellIs" dxfId="18912" priority="1914" operator="lessThan">
      <formula>-105575</formula>
    </cfRule>
  </conditionalFormatting>
  <conditionalFormatting sqref="BB199:BB202">
    <cfRule type="cellIs" dxfId="18911" priority="1911" operator="lessThan">
      <formula>0</formula>
    </cfRule>
    <cfRule type="cellIs" dxfId="18910" priority="1912" operator="lessThan">
      <formula>-105575</formula>
    </cfRule>
  </conditionalFormatting>
  <conditionalFormatting sqref="BB199:BB202">
    <cfRule type="cellIs" dxfId="18909" priority="1909" operator="lessThan">
      <formula>0</formula>
    </cfRule>
    <cfRule type="cellIs" dxfId="18908" priority="1910" operator="lessThan">
      <formula>-105575</formula>
    </cfRule>
  </conditionalFormatting>
  <conditionalFormatting sqref="BB204:BB208">
    <cfRule type="cellIs" dxfId="18907" priority="1907" operator="lessThan">
      <formula>0</formula>
    </cfRule>
    <cfRule type="cellIs" dxfId="18906" priority="1908" operator="lessThan">
      <formula>-105575</formula>
    </cfRule>
  </conditionalFormatting>
  <conditionalFormatting sqref="BB204:BB208">
    <cfRule type="cellIs" dxfId="18905" priority="1905" operator="lessThan">
      <formula>0</formula>
    </cfRule>
    <cfRule type="cellIs" dxfId="18904" priority="1906" operator="lessThan">
      <formula>-105575</formula>
    </cfRule>
  </conditionalFormatting>
  <conditionalFormatting sqref="BB204:BB208">
    <cfRule type="cellIs" dxfId="18903" priority="1903" operator="lessThan">
      <formula>0</formula>
    </cfRule>
    <cfRule type="cellIs" dxfId="18902" priority="1904" operator="lessThan">
      <formula>-105575</formula>
    </cfRule>
  </conditionalFormatting>
  <conditionalFormatting sqref="BB210:BB211">
    <cfRule type="cellIs" dxfId="18901" priority="1901" operator="lessThan">
      <formula>0</formula>
    </cfRule>
    <cfRule type="cellIs" dxfId="18900" priority="1902" operator="lessThan">
      <formula>-105575</formula>
    </cfRule>
  </conditionalFormatting>
  <conditionalFormatting sqref="BB210:BB211">
    <cfRule type="cellIs" dxfId="18899" priority="1899" operator="lessThan">
      <formula>0</formula>
    </cfRule>
    <cfRule type="cellIs" dxfId="18898" priority="1900" operator="lessThan">
      <formula>-105575</formula>
    </cfRule>
  </conditionalFormatting>
  <conditionalFormatting sqref="BB210:BB211">
    <cfRule type="cellIs" dxfId="18897" priority="1897" operator="lessThan">
      <formula>0</formula>
    </cfRule>
    <cfRule type="cellIs" dxfId="18896" priority="1898" operator="lessThan">
      <formula>-105575</formula>
    </cfRule>
  </conditionalFormatting>
  <conditionalFormatting sqref="BB214:BB219">
    <cfRule type="cellIs" dxfId="18895" priority="1895" operator="lessThan">
      <formula>0</formula>
    </cfRule>
    <cfRule type="cellIs" dxfId="18894" priority="1896" operator="lessThan">
      <formula>-105575</formula>
    </cfRule>
  </conditionalFormatting>
  <conditionalFormatting sqref="BB214:BB219">
    <cfRule type="cellIs" dxfId="18893" priority="1893" operator="lessThan">
      <formula>0</formula>
    </cfRule>
    <cfRule type="cellIs" dxfId="18892" priority="1894" operator="lessThan">
      <formula>-105575</formula>
    </cfRule>
  </conditionalFormatting>
  <conditionalFormatting sqref="BB214:BB219">
    <cfRule type="cellIs" dxfId="18891" priority="1891" operator="lessThan">
      <formula>0</formula>
    </cfRule>
    <cfRule type="cellIs" dxfId="18890" priority="1892" operator="lessThan">
      <formula>-105575</formula>
    </cfRule>
  </conditionalFormatting>
  <conditionalFormatting sqref="BB222:BB224">
    <cfRule type="cellIs" dxfId="18889" priority="1889" operator="lessThan">
      <formula>0</formula>
    </cfRule>
    <cfRule type="cellIs" dxfId="18888" priority="1890" operator="lessThan">
      <formula>-105575</formula>
    </cfRule>
  </conditionalFormatting>
  <conditionalFormatting sqref="BB222:BB224">
    <cfRule type="cellIs" dxfId="18887" priority="1887" operator="lessThan">
      <formula>0</formula>
    </cfRule>
    <cfRule type="cellIs" dxfId="18886" priority="1888" operator="lessThan">
      <formula>-105575</formula>
    </cfRule>
  </conditionalFormatting>
  <conditionalFormatting sqref="BB222:BB224">
    <cfRule type="cellIs" dxfId="18885" priority="1885" operator="lessThan">
      <formula>0</formula>
    </cfRule>
    <cfRule type="cellIs" dxfId="18884" priority="1886" operator="lessThan">
      <formula>-105575</formula>
    </cfRule>
  </conditionalFormatting>
  <conditionalFormatting sqref="BB227:BB230">
    <cfRule type="cellIs" dxfId="18883" priority="1883" operator="lessThan">
      <formula>0</formula>
    </cfRule>
    <cfRule type="cellIs" dxfId="18882" priority="1884" operator="lessThan">
      <formula>-105575</formula>
    </cfRule>
  </conditionalFormatting>
  <conditionalFormatting sqref="BB227:BB230">
    <cfRule type="cellIs" dxfId="18881" priority="1881" operator="lessThan">
      <formula>0</formula>
    </cfRule>
    <cfRule type="cellIs" dxfId="18880" priority="1882" operator="lessThan">
      <formula>-105575</formula>
    </cfRule>
  </conditionalFormatting>
  <conditionalFormatting sqref="BB227:BB230">
    <cfRule type="cellIs" dxfId="18879" priority="1879" operator="lessThan">
      <formula>0</formula>
    </cfRule>
    <cfRule type="cellIs" dxfId="18878" priority="1880" operator="lessThan">
      <formula>-105575</formula>
    </cfRule>
  </conditionalFormatting>
  <conditionalFormatting sqref="BB203 BB220:BB221 BB235:BB243 BB231:BB233 BB212:BB213 BB225:BB226">
    <cfRule type="cellIs" dxfId="18877" priority="1877" operator="lessThan">
      <formula>0</formula>
    </cfRule>
    <cfRule type="cellIs" dxfId="18876" priority="1878" operator="lessThan">
      <formula>-105575</formula>
    </cfRule>
  </conditionalFormatting>
  <conditionalFormatting sqref="BB220 BB212:BB213 BB235:BB238 BB240:BB243 BB225:BB226 BB231:BB233">
    <cfRule type="cellIs" dxfId="18875" priority="1875" operator="lessThan">
      <formula>0</formula>
    </cfRule>
    <cfRule type="cellIs" dxfId="18874" priority="1876" operator="lessThan">
      <formula>-105575</formula>
    </cfRule>
  </conditionalFormatting>
  <conditionalFormatting sqref="BB220:BB221 BB243 BB226 BB231:BB236 BB238:BB241 BB203 BB213">
    <cfRule type="cellIs" dxfId="18873" priority="1873" operator="lessThan">
      <formula>0</formula>
    </cfRule>
    <cfRule type="cellIs" dxfId="18872" priority="1874" operator="lessThan">
      <formula>-105575</formula>
    </cfRule>
  </conditionalFormatting>
  <conditionalFormatting sqref="BB235:BB243 BB231:BB233 BB220 BB212:BB213 BB225:BB226">
    <cfRule type="cellIs" dxfId="18871" priority="1871" operator="lessThan">
      <formula>0</formula>
    </cfRule>
    <cfRule type="cellIs" dxfId="18870" priority="1872" operator="lessThan">
      <formula>-105575</formula>
    </cfRule>
  </conditionalFormatting>
  <conditionalFormatting sqref="BB220:BB221 BB237:BB243 BB203 BB231:BB235 BB212:BB213 BB225:BB226">
    <cfRule type="cellIs" dxfId="18869" priority="1869" operator="lessThan">
      <formula>0</formula>
    </cfRule>
    <cfRule type="cellIs" dxfId="18868" priority="1870" operator="lessThan">
      <formula>-105575</formula>
    </cfRule>
  </conditionalFormatting>
  <conditionalFormatting sqref="BB220:BB221 BB237:BB240 BB242:BB243 BB225:BB226 BB231:BB235">
    <cfRule type="cellIs" dxfId="18867" priority="1867" operator="lessThan">
      <formula>0</formula>
    </cfRule>
    <cfRule type="cellIs" dxfId="18866" priority="1868" operator="lessThan">
      <formula>-105575</formula>
    </cfRule>
  </conditionalFormatting>
  <conditionalFormatting sqref="BB212 BB231 BB233:BB238 BB240:BB243 BB225">
    <cfRule type="cellIs" dxfId="18865" priority="1865" operator="lessThan">
      <formula>0</formula>
    </cfRule>
    <cfRule type="cellIs" dxfId="18864" priority="1866" operator="lessThan">
      <formula>-105575</formula>
    </cfRule>
  </conditionalFormatting>
  <conditionalFormatting sqref="BB237:BB243 BB231:BB235 BB220:BB221 BB225:BB226">
    <cfRule type="cellIs" dxfId="18863" priority="1863" operator="lessThan">
      <formula>0</formula>
    </cfRule>
    <cfRule type="cellIs" dxfId="18862" priority="1864" operator="lessThan">
      <formula>-105575</formula>
    </cfRule>
  </conditionalFormatting>
  <conditionalFormatting sqref="BB233:BB237 BB231 BB239:BB243">
    <cfRule type="cellIs" dxfId="18861" priority="1861" operator="lessThan">
      <formula>0</formula>
    </cfRule>
    <cfRule type="cellIs" dxfId="18860" priority="1862" operator="lessThan">
      <formula>-105575</formula>
    </cfRule>
  </conditionalFormatting>
  <conditionalFormatting sqref="BB233:BB237 BB231 BB239:BB243">
    <cfRule type="cellIs" dxfId="18859" priority="1859" operator="lessThan">
      <formula>0</formula>
    </cfRule>
    <cfRule type="cellIs" dxfId="18858" priority="1860" operator="lessThan">
      <formula>-105575</formula>
    </cfRule>
  </conditionalFormatting>
  <conditionalFormatting sqref="BB119:BB128 BB106:BB117 BB101:BB104 BB80:BB98">
    <cfRule type="cellIs" dxfId="18857" priority="1857" operator="lessThan">
      <formula>0</formula>
    </cfRule>
    <cfRule type="cellIs" dxfId="18856" priority="1858" operator="lessThan">
      <formula>-105575</formula>
    </cfRule>
  </conditionalFormatting>
  <conditionalFormatting sqref="BB130 BB132 BB134">
    <cfRule type="cellIs" dxfId="18855" priority="1855" operator="lessThan">
      <formula>0</formula>
    </cfRule>
    <cfRule type="cellIs" dxfId="18854" priority="1856" operator="lessThan">
      <formula>-105575</formula>
    </cfRule>
  </conditionalFormatting>
  <conditionalFormatting sqref="BB130 BB132 BB134">
    <cfRule type="cellIs" dxfId="18853" priority="1853" operator="lessThan">
      <formula>0</formula>
    </cfRule>
    <cfRule type="cellIs" dxfId="18852" priority="1854" operator="lessThan">
      <formula>-105575</formula>
    </cfRule>
  </conditionalFormatting>
  <conditionalFormatting sqref="BB129 BB131 BB133 BB135">
    <cfRule type="cellIs" dxfId="18851" priority="1851" operator="lessThan">
      <formula>0</formula>
    </cfRule>
    <cfRule type="cellIs" dxfId="18850" priority="1852" operator="lessThan">
      <formula>-105575</formula>
    </cfRule>
  </conditionalFormatting>
  <conditionalFormatting sqref="BB140 BB145 BB142:BB143 BB137:BB138">
    <cfRule type="cellIs" dxfId="18849" priority="1849" operator="lessThan">
      <formula>0</formula>
    </cfRule>
    <cfRule type="cellIs" dxfId="18848" priority="1850" operator="lessThan">
      <formula>-105575</formula>
    </cfRule>
  </conditionalFormatting>
  <conditionalFormatting sqref="BB149">
    <cfRule type="cellIs" dxfId="18847" priority="1847" operator="lessThan">
      <formula>0</formula>
    </cfRule>
    <cfRule type="cellIs" dxfId="18846" priority="1848" operator="lessThan">
      <formula>-105575</formula>
    </cfRule>
  </conditionalFormatting>
  <conditionalFormatting sqref="BB129:BB138 BB140:BB149">
    <cfRule type="cellIs" dxfId="18845" priority="1845" operator="lessThan">
      <formula>0</formula>
    </cfRule>
    <cfRule type="cellIs" dxfId="18844" priority="1846" operator="lessThan">
      <formula>-105575</formula>
    </cfRule>
  </conditionalFormatting>
  <conditionalFormatting sqref="BB94:BB98 BB86:BB87 BB89:BB91 BB141:BB149 BB124:BB133 BB107:BB110 BB112:BB117 BB119:BB122 BB135:BB138 BB101:BB104 BB80:BB84">
    <cfRule type="cellIs" dxfId="18843" priority="1843" operator="lessThan">
      <formula>0</formula>
    </cfRule>
    <cfRule type="cellIs" dxfId="18842" priority="1844" operator="lessThan">
      <formula>-105575</formula>
    </cfRule>
  </conditionalFormatting>
  <conditionalFormatting sqref="BB129 BB131 BB133 BB135">
    <cfRule type="cellIs" dxfId="18841" priority="1841" operator="lessThan">
      <formula>0</formula>
    </cfRule>
    <cfRule type="cellIs" dxfId="18840" priority="1842" operator="lessThan">
      <formula>-105575</formula>
    </cfRule>
  </conditionalFormatting>
  <conditionalFormatting sqref="BB146 BB144 BB141">
    <cfRule type="cellIs" dxfId="18839" priority="1839" operator="lessThan">
      <formula>0</formula>
    </cfRule>
    <cfRule type="cellIs" dxfId="18838" priority="1840" operator="lessThan">
      <formula>-105575</formula>
    </cfRule>
  </conditionalFormatting>
  <conditionalFormatting sqref="BB146 BB144 BB141">
    <cfRule type="cellIs" dxfId="18837" priority="1837" operator="lessThan">
      <formula>0</formula>
    </cfRule>
    <cfRule type="cellIs" dxfId="18836" priority="1838" operator="lessThan">
      <formula>-105575</formula>
    </cfRule>
  </conditionalFormatting>
  <conditionalFormatting sqref="BB140 BB145 BB142:BB143 BB137:BB138">
    <cfRule type="cellIs" dxfId="18835" priority="1835" operator="lessThan">
      <formula>0</formula>
    </cfRule>
    <cfRule type="cellIs" dxfId="18834" priority="1836" operator="lessThan">
      <formula>-105575</formula>
    </cfRule>
  </conditionalFormatting>
  <conditionalFormatting sqref="BB149">
    <cfRule type="cellIs" dxfId="18833" priority="1833" operator="lessThan">
      <formula>0</formula>
    </cfRule>
    <cfRule type="cellIs" dxfId="18832" priority="1834" operator="lessThan">
      <formula>-105575</formula>
    </cfRule>
  </conditionalFormatting>
  <conditionalFormatting sqref="BB94:BB98 BB86:BB87 BB89:BB91 BB141:BB149 BB124:BB133 BB107:BB110 BB112:BB117 BB119:BB122 BB135:BB138 BB101:BB104 BB80:BB84">
    <cfRule type="cellIs" dxfId="18831" priority="1831" operator="lessThan">
      <formula>0</formula>
    </cfRule>
    <cfRule type="cellIs" dxfId="18830" priority="1832" operator="lessThan">
      <formula>-105575</formula>
    </cfRule>
  </conditionalFormatting>
  <conditionalFormatting sqref="BB62:BB76 BB306:BB309 BB311:BB325 BB327:BB330 BB332:BB341 BB344:BB347 BB349:BB353 BB355:BB358 BB360:BB384 BB386:BB389 BB392:BB395 BB397:BB411 BB413:BB416 BB418:BB432 BB434:BB437 BB439:BB453 BB455:BB458 BB460:BB469 BB7:BB10 BB12:BB14 BB17:BB18 BB21:BB24 BB26:BB28 BB30:BB36 BB38 BB41:BB43 BB46:BB49 BB51:BB55 BB57:BB59 BB290:BB291 BB293:BB304">
    <cfRule type="cellIs" dxfId="18829" priority="1829" operator="lessThan">
      <formula>0</formula>
    </cfRule>
    <cfRule type="cellIs" dxfId="18828" priority="1830" operator="lessThan">
      <formula>-105575</formula>
    </cfRule>
  </conditionalFormatting>
  <conditionalFormatting sqref="BB41">
    <cfRule type="cellIs" dxfId="18827" priority="1827" operator="lessThan">
      <formula>0</formula>
    </cfRule>
    <cfRule type="cellIs" dxfId="18826" priority="1828" operator="lessThan">
      <formula>-105575</formula>
    </cfRule>
  </conditionalFormatting>
  <conditionalFormatting sqref="BB152:BB155">
    <cfRule type="cellIs" dxfId="18825" priority="1825" operator="lessThan">
      <formula>0</formula>
    </cfRule>
    <cfRule type="cellIs" dxfId="18824" priority="1826" operator="lessThan">
      <formula>-105575</formula>
    </cfRule>
  </conditionalFormatting>
  <conditionalFormatting sqref="BB152:BB155">
    <cfRule type="cellIs" dxfId="18823" priority="1823" operator="lessThan">
      <formula>0</formula>
    </cfRule>
    <cfRule type="cellIs" dxfId="18822" priority="1824" operator="lessThan">
      <formula>-105575</formula>
    </cfRule>
  </conditionalFormatting>
  <conditionalFormatting sqref="BB152:BB155">
    <cfRule type="cellIs" dxfId="18821" priority="1821" operator="lessThan">
      <formula>0</formula>
    </cfRule>
    <cfRule type="cellIs" dxfId="18820" priority="1822" operator="lessThan">
      <formula>-105575</formula>
    </cfRule>
  </conditionalFormatting>
  <conditionalFormatting sqref="BB157:BB158">
    <cfRule type="cellIs" dxfId="18819" priority="1819" operator="lessThan">
      <formula>0</formula>
    </cfRule>
    <cfRule type="cellIs" dxfId="18818" priority="1820" operator="lessThan">
      <formula>-105575</formula>
    </cfRule>
  </conditionalFormatting>
  <conditionalFormatting sqref="BB157:BB158">
    <cfRule type="cellIs" dxfId="18817" priority="1817" operator="lessThan">
      <formula>0</formula>
    </cfRule>
    <cfRule type="cellIs" dxfId="18816" priority="1818" operator="lessThan">
      <formula>-105575</formula>
    </cfRule>
  </conditionalFormatting>
  <conditionalFormatting sqref="BB157:BB158">
    <cfRule type="cellIs" dxfId="18815" priority="1815" operator="lessThan">
      <formula>0</formula>
    </cfRule>
    <cfRule type="cellIs" dxfId="18814" priority="1816" operator="lessThan">
      <formula>-105575</formula>
    </cfRule>
  </conditionalFormatting>
  <conditionalFormatting sqref="BB160:BB161">
    <cfRule type="cellIs" dxfId="18813" priority="1813" operator="lessThan">
      <formula>0</formula>
    </cfRule>
    <cfRule type="cellIs" dxfId="18812" priority="1814" operator="lessThan">
      <formula>-105575</formula>
    </cfRule>
  </conditionalFormatting>
  <conditionalFormatting sqref="BB160:BB161">
    <cfRule type="cellIs" dxfId="18811" priority="1811" operator="lessThan">
      <formula>0</formula>
    </cfRule>
    <cfRule type="cellIs" dxfId="18810" priority="1812" operator="lessThan">
      <formula>-105575</formula>
    </cfRule>
  </conditionalFormatting>
  <conditionalFormatting sqref="BB160:BB161">
    <cfRule type="cellIs" dxfId="18809" priority="1809" operator="lessThan">
      <formula>0</formula>
    </cfRule>
    <cfRule type="cellIs" dxfId="18808" priority="1810" operator="lessThan">
      <formula>-105575</formula>
    </cfRule>
  </conditionalFormatting>
  <conditionalFormatting sqref="BB164:BB167">
    <cfRule type="cellIs" dxfId="18807" priority="1807" operator="lessThan">
      <formula>0</formula>
    </cfRule>
    <cfRule type="cellIs" dxfId="18806" priority="1808" operator="lessThan">
      <formula>-105575</formula>
    </cfRule>
  </conditionalFormatting>
  <conditionalFormatting sqref="BB164:BB167">
    <cfRule type="cellIs" dxfId="18805" priority="1805" operator="lessThan">
      <formula>0</formula>
    </cfRule>
    <cfRule type="cellIs" dxfId="18804" priority="1806" operator="lessThan">
      <formula>-105575</formula>
    </cfRule>
  </conditionalFormatting>
  <conditionalFormatting sqref="BB164:BB167">
    <cfRule type="cellIs" dxfId="18803" priority="1803" operator="lessThan">
      <formula>0</formula>
    </cfRule>
    <cfRule type="cellIs" dxfId="18802" priority="1804" operator="lessThan">
      <formula>-105575</formula>
    </cfRule>
  </conditionalFormatting>
  <conditionalFormatting sqref="BB169:BB177">
    <cfRule type="cellIs" dxfId="18801" priority="1801" operator="lessThan">
      <formula>0</formula>
    </cfRule>
    <cfRule type="cellIs" dxfId="18800" priority="1802" operator="lessThan">
      <formula>-105575</formula>
    </cfRule>
  </conditionalFormatting>
  <conditionalFormatting sqref="BB169:BB177">
    <cfRule type="cellIs" dxfId="18799" priority="1799" operator="lessThan">
      <formula>0</formula>
    </cfRule>
    <cfRule type="cellIs" dxfId="18798" priority="1800" operator="lessThan">
      <formula>-105575</formula>
    </cfRule>
  </conditionalFormatting>
  <conditionalFormatting sqref="BB169:BB177">
    <cfRule type="cellIs" dxfId="18797" priority="1797" operator="lessThan">
      <formula>0</formula>
    </cfRule>
    <cfRule type="cellIs" dxfId="18796" priority="1798" operator="lessThan">
      <formula>-105575</formula>
    </cfRule>
  </conditionalFormatting>
  <conditionalFormatting sqref="BB179:BB180">
    <cfRule type="cellIs" dxfId="18795" priority="1795" operator="lessThan">
      <formula>0</formula>
    </cfRule>
    <cfRule type="cellIs" dxfId="18794" priority="1796" operator="lessThan">
      <formula>-105575</formula>
    </cfRule>
  </conditionalFormatting>
  <conditionalFormatting sqref="BB179:BB180">
    <cfRule type="cellIs" dxfId="18793" priority="1793" operator="lessThan">
      <formula>0</formula>
    </cfRule>
    <cfRule type="cellIs" dxfId="18792" priority="1794" operator="lessThan">
      <formula>-105575</formula>
    </cfRule>
  </conditionalFormatting>
  <conditionalFormatting sqref="BB179:BB180">
    <cfRule type="cellIs" dxfId="18791" priority="1791" operator="lessThan">
      <formula>0</formula>
    </cfRule>
    <cfRule type="cellIs" dxfId="18790" priority="1792" operator="lessThan">
      <formula>-105575</formula>
    </cfRule>
  </conditionalFormatting>
  <conditionalFormatting sqref="BB183:BB189">
    <cfRule type="cellIs" dxfId="18789" priority="1789" operator="lessThan">
      <formula>0</formula>
    </cfRule>
    <cfRule type="cellIs" dxfId="18788" priority="1790" operator="lessThan">
      <formula>-105575</formula>
    </cfRule>
  </conditionalFormatting>
  <conditionalFormatting sqref="BB183:BB189">
    <cfRule type="cellIs" dxfId="18787" priority="1787" operator="lessThan">
      <formula>0</formula>
    </cfRule>
    <cfRule type="cellIs" dxfId="18786" priority="1788" operator="lessThan">
      <formula>-105575</formula>
    </cfRule>
  </conditionalFormatting>
  <conditionalFormatting sqref="BB183:BB189">
    <cfRule type="cellIs" dxfId="18785" priority="1785" operator="lessThan">
      <formula>0</formula>
    </cfRule>
    <cfRule type="cellIs" dxfId="18784" priority="1786" operator="lessThan">
      <formula>-105575</formula>
    </cfRule>
  </conditionalFormatting>
  <conditionalFormatting sqref="BB191:BB192">
    <cfRule type="cellIs" dxfId="18783" priority="1783" operator="lessThan">
      <formula>0</formula>
    </cfRule>
    <cfRule type="cellIs" dxfId="18782" priority="1784" operator="lessThan">
      <formula>-105575</formula>
    </cfRule>
  </conditionalFormatting>
  <conditionalFormatting sqref="BB191:BB192">
    <cfRule type="cellIs" dxfId="18781" priority="1781" operator="lessThan">
      <formula>0</formula>
    </cfRule>
    <cfRule type="cellIs" dxfId="18780" priority="1782" operator="lessThan">
      <formula>-105575</formula>
    </cfRule>
  </conditionalFormatting>
  <conditionalFormatting sqref="BB191:BB192">
    <cfRule type="cellIs" dxfId="18779" priority="1779" operator="lessThan">
      <formula>0</formula>
    </cfRule>
    <cfRule type="cellIs" dxfId="18778" priority="1780" operator="lessThan">
      <formula>-105575</formula>
    </cfRule>
  </conditionalFormatting>
  <conditionalFormatting sqref="BB194:BB195">
    <cfRule type="cellIs" dxfId="18777" priority="1777" operator="lessThan">
      <formula>0</formula>
    </cfRule>
    <cfRule type="cellIs" dxfId="18776" priority="1778" operator="lessThan">
      <formula>-105575</formula>
    </cfRule>
  </conditionalFormatting>
  <conditionalFormatting sqref="BB194:BB195">
    <cfRule type="cellIs" dxfId="18775" priority="1775" operator="lessThan">
      <formula>0</formula>
    </cfRule>
    <cfRule type="cellIs" dxfId="18774" priority="1776" operator="lessThan">
      <formula>-105575</formula>
    </cfRule>
  </conditionalFormatting>
  <conditionalFormatting sqref="BB194:BB195">
    <cfRule type="cellIs" dxfId="18773" priority="1773" operator="lessThan">
      <formula>0</formula>
    </cfRule>
    <cfRule type="cellIs" dxfId="18772" priority="1774" operator="lessThan">
      <formula>-105575</formula>
    </cfRule>
  </conditionalFormatting>
  <conditionalFormatting sqref="BB199:BB202">
    <cfRule type="cellIs" dxfId="18771" priority="1771" operator="lessThan">
      <formula>0</formula>
    </cfRule>
    <cfRule type="cellIs" dxfId="18770" priority="1772" operator="lessThan">
      <formula>-105575</formula>
    </cfRule>
  </conditionalFormatting>
  <conditionalFormatting sqref="BB199:BB202">
    <cfRule type="cellIs" dxfId="18769" priority="1769" operator="lessThan">
      <formula>0</formula>
    </cfRule>
    <cfRule type="cellIs" dxfId="18768" priority="1770" operator="lessThan">
      <formula>-105575</formula>
    </cfRule>
  </conditionalFormatting>
  <conditionalFormatting sqref="BB199:BB202">
    <cfRule type="cellIs" dxfId="18767" priority="1767" operator="lessThan">
      <formula>0</formula>
    </cfRule>
    <cfRule type="cellIs" dxfId="18766" priority="1768" operator="lessThan">
      <formula>-105575</formula>
    </cfRule>
  </conditionalFormatting>
  <conditionalFormatting sqref="BB204:BB208">
    <cfRule type="cellIs" dxfId="18765" priority="1765" operator="lessThan">
      <formula>0</formula>
    </cfRule>
    <cfRule type="cellIs" dxfId="18764" priority="1766" operator="lessThan">
      <formula>-105575</formula>
    </cfRule>
  </conditionalFormatting>
  <conditionalFormatting sqref="BB204:BB208">
    <cfRule type="cellIs" dxfId="18763" priority="1763" operator="lessThan">
      <formula>0</formula>
    </cfRule>
    <cfRule type="cellIs" dxfId="18762" priority="1764" operator="lessThan">
      <formula>-105575</formula>
    </cfRule>
  </conditionalFormatting>
  <conditionalFormatting sqref="BB204:BB208">
    <cfRule type="cellIs" dxfId="18761" priority="1761" operator="lessThan">
      <formula>0</formula>
    </cfRule>
    <cfRule type="cellIs" dxfId="18760" priority="1762" operator="lessThan">
      <formula>-105575</formula>
    </cfRule>
  </conditionalFormatting>
  <conditionalFormatting sqref="BB210:BB211">
    <cfRule type="cellIs" dxfId="18759" priority="1759" operator="lessThan">
      <formula>0</formula>
    </cfRule>
    <cfRule type="cellIs" dxfId="18758" priority="1760" operator="lessThan">
      <formula>-105575</formula>
    </cfRule>
  </conditionalFormatting>
  <conditionalFormatting sqref="BB210:BB211">
    <cfRule type="cellIs" dxfId="18757" priority="1757" operator="lessThan">
      <formula>0</formula>
    </cfRule>
    <cfRule type="cellIs" dxfId="18756" priority="1758" operator="lessThan">
      <formula>-105575</formula>
    </cfRule>
  </conditionalFormatting>
  <conditionalFormatting sqref="BB210:BB211">
    <cfRule type="cellIs" dxfId="18755" priority="1755" operator="lessThan">
      <formula>0</formula>
    </cfRule>
    <cfRule type="cellIs" dxfId="18754" priority="1756" operator="lessThan">
      <formula>-105575</formula>
    </cfRule>
  </conditionalFormatting>
  <conditionalFormatting sqref="BB214:BB219">
    <cfRule type="cellIs" dxfId="18753" priority="1753" operator="lessThan">
      <formula>0</formula>
    </cfRule>
    <cfRule type="cellIs" dxfId="18752" priority="1754" operator="lessThan">
      <formula>-105575</formula>
    </cfRule>
  </conditionalFormatting>
  <conditionalFormatting sqref="BB214:BB219">
    <cfRule type="cellIs" dxfId="18751" priority="1751" operator="lessThan">
      <formula>0</formula>
    </cfRule>
    <cfRule type="cellIs" dxfId="18750" priority="1752" operator="lessThan">
      <formula>-105575</formula>
    </cfRule>
  </conditionalFormatting>
  <conditionalFormatting sqref="BB214:BB219">
    <cfRule type="cellIs" dxfId="18749" priority="1749" operator="lessThan">
      <formula>0</formula>
    </cfRule>
    <cfRule type="cellIs" dxfId="18748" priority="1750" operator="lessThan">
      <formula>-105575</formula>
    </cfRule>
  </conditionalFormatting>
  <conditionalFormatting sqref="BB222:BB224">
    <cfRule type="cellIs" dxfId="18747" priority="1747" operator="lessThan">
      <formula>0</formula>
    </cfRule>
    <cfRule type="cellIs" dxfId="18746" priority="1748" operator="lessThan">
      <formula>-105575</formula>
    </cfRule>
  </conditionalFormatting>
  <conditionalFormatting sqref="BB222:BB224">
    <cfRule type="cellIs" dxfId="18745" priority="1745" operator="lessThan">
      <formula>0</formula>
    </cfRule>
    <cfRule type="cellIs" dxfId="18744" priority="1746" operator="lessThan">
      <formula>-105575</formula>
    </cfRule>
  </conditionalFormatting>
  <conditionalFormatting sqref="BB222:BB224">
    <cfRule type="cellIs" dxfId="18743" priority="1743" operator="lessThan">
      <formula>0</formula>
    </cfRule>
    <cfRule type="cellIs" dxfId="18742" priority="1744" operator="lessThan">
      <formula>-105575</formula>
    </cfRule>
  </conditionalFormatting>
  <conditionalFormatting sqref="BB227:BB230">
    <cfRule type="cellIs" dxfId="18741" priority="1741" operator="lessThan">
      <formula>0</formula>
    </cfRule>
    <cfRule type="cellIs" dxfId="18740" priority="1742" operator="lessThan">
      <formula>-105575</formula>
    </cfRule>
  </conditionalFormatting>
  <conditionalFormatting sqref="BB227:BB230">
    <cfRule type="cellIs" dxfId="18739" priority="1739" operator="lessThan">
      <formula>0</formula>
    </cfRule>
    <cfRule type="cellIs" dxfId="18738" priority="1740" operator="lessThan">
      <formula>-105575</formula>
    </cfRule>
  </conditionalFormatting>
  <conditionalFormatting sqref="BB227:BB230">
    <cfRule type="cellIs" dxfId="18737" priority="1737" operator="lessThan">
      <formula>0</formula>
    </cfRule>
    <cfRule type="cellIs" dxfId="18736" priority="1738" operator="lessThan">
      <formula>-105575</formula>
    </cfRule>
  </conditionalFormatting>
  <conditionalFormatting sqref="BB246:BB249">
    <cfRule type="cellIs" dxfId="18735" priority="1735" operator="lessThan">
      <formula>0</formula>
    </cfRule>
    <cfRule type="cellIs" dxfId="18734" priority="1736" operator="lessThan">
      <formula>-105575</formula>
    </cfRule>
  </conditionalFormatting>
  <conditionalFormatting sqref="BB246:BB249">
    <cfRule type="cellIs" dxfId="18733" priority="1733" operator="lessThan">
      <formula>0</formula>
    </cfRule>
    <cfRule type="cellIs" dxfId="18732" priority="1734" operator="lessThan">
      <formula>-105575</formula>
    </cfRule>
  </conditionalFormatting>
  <conditionalFormatting sqref="BB246:BB249">
    <cfRule type="cellIs" dxfId="18731" priority="1731" operator="lessThan">
      <formula>0</formula>
    </cfRule>
    <cfRule type="cellIs" dxfId="18730" priority="1732" operator="lessThan">
      <formula>-105575</formula>
    </cfRule>
  </conditionalFormatting>
  <conditionalFormatting sqref="BB246:BB249">
    <cfRule type="cellIs" dxfId="18729" priority="1729" operator="lessThan">
      <formula>0</formula>
    </cfRule>
    <cfRule type="cellIs" dxfId="18728" priority="1730" operator="lessThan">
      <formula>-105575</formula>
    </cfRule>
  </conditionalFormatting>
  <conditionalFormatting sqref="BB246:BB249">
    <cfRule type="cellIs" dxfId="18727" priority="1727" operator="lessThan">
      <formula>0</formula>
    </cfRule>
    <cfRule type="cellIs" dxfId="18726" priority="1728" operator="lessThan">
      <formula>-105575</formula>
    </cfRule>
  </conditionalFormatting>
  <conditionalFormatting sqref="BB246:BB249">
    <cfRule type="cellIs" dxfId="18725" priority="1725" operator="lessThan">
      <formula>0</formula>
    </cfRule>
    <cfRule type="cellIs" dxfId="18724" priority="1726" operator="lessThan">
      <formula>-105575</formula>
    </cfRule>
  </conditionalFormatting>
  <conditionalFormatting sqref="BB246:BB249">
    <cfRule type="cellIs" dxfId="18723" priority="1723" operator="lessThan">
      <formula>0</formula>
    </cfRule>
    <cfRule type="cellIs" dxfId="18722" priority="1724" operator="lessThan">
      <formula>-105575</formula>
    </cfRule>
  </conditionalFormatting>
  <conditionalFormatting sqref="BB246:BB249">
    <cfRule type="cellIs" dxfId="18721" priority="1721" operator="lessThan">
      <formula>0</formula>
    </cfRule>
    <cfRule type="cellIs" dxfId="18720" priority="1722" operator="lessThan">
      <formula>-105575</formula>
    </cfRule>
  </conditionalFormatting>
  <conditionalFormatting sqref="BB246:BB249">
    <cfRule type="cellIs" dxfId="18719" priority="1719" operator="lessThan">
      <formula>0</formula>
    </cfRule>
    <cfRule type="cellIs" dxfId="18718" priority="1720" operator="lessThan">
      <formula>-105575</formula>
    </cfRule>
  </conditionalFormatting>
  <conditionalFormatting sqref="BB251:BB253">
    <cfRule type="cellIs" dxfId="18717" priority="1717" operator="lessThan">
      <formula>0</formula>
    </cfRule>
    <cfRule type="cellIs" dxfId="18716" priority="1718" operator="lessThan">
      <formula>-105575</formula>
    </cfRule>
  </conditionalFormatting>
  <conditionalFormatting sqref="BB251:BB253">
    <cfRule type="cellIs" dxfId="18715" priority="1715" operator="lessThan">
      <formula>0</formula>
    </cfRule>
    <cfRule type="cellIs" dxfId="18714" priority="1716" operator="lessThan">
      <formula>-105575</formula>
    </cfRule>
  </conditionalFormatting>
  <conditionalFormatting sqref="BB251:BB253">
    <cfRule type="cellIs" dxfId="18713" priority="1713" operator="lessThan">
      <formula>0</formula>
    </cfRule>
    <cfRule type="cellIs" dxfId="18712" priority="1714" operator="lessThan">
      <formula>-105575</formula>
    </cfRule>
  </conditionalFormatting>
  <conditionalFormatting sqref="BB251:BB253">
    <cfRule type="cellIs" dxfId="18711" priority="1711" operator="lessThan">
      <formula>0</formula>
    </cfRule>
    <cfRule type="cellIs" dxfId="18710" priority="1712" operator="lessThan">
      <formula>-105575</formula>
    </cfRule>
  </conditionalFormatting>
  <conditionalFormatting sqref="BB251:BB253">
    <cfRule type="cellIs" dxfId="18709" priority="1709" operator="lessThan">
      <formula>0</formula>
    </cfRule>
    <cfRule type="cellIs" dxfId="18708" priority="1710" operator="lessThan">
      <formula>-105575</formula>
    </cfRule>
  </conditionalFormatting>
  <conditionalFormatting sqref="BB251:BB253">
    <cfRule type="cellIs" dxfId="18707" priority="1707" operator="lessThan">
      <formula>0</formula>
    </cfRule>
    <cfRule type="cellIs" dxfId="18706" priority="1708" operator="lessThan">
      <formula>-105575</formula>
    </cfRule>
  </conditionalFormatting>
  <conditionalFormatting sqref="BB251:BB253">
    <cfRule type="cellIs" dxfId="18705" priority="1705" operator="lessThan">
      <formula>0</formula>
    </cfRule>
    <cfRule type="cellIs" dxfId="18704" priority="1706" operator="lessThan">
      <formula>-105575</formula>
    </cfRule>
  </conditionalFormatting>
  <conditionalFormatting sqref="BB251:BB253">
    <cfRule type="cellIs" dxfId="18703" priority="1703" operator="lessThan">
      <formula>0</formula>
    </cfRule>
    <cfRule type="cellIs" dxfId="18702" priority="1704" operator="lessThan">
      <formula>-105575</formula>
    </cfRule>
  </conditionalFormatting>
  <conditionalFormatting sqref="BB251:BB253">
    <cfRule type="cellIs" dxfId="18701" priority="1701" operator="lessThan">
      <formula>0</formula>
    </cfRule>
    <cfRule type="cellIs" dxfId="18700" priority="1702" operator="lessThan">
      <formula>-105575</formula>
    </cfRule>
  </conditionalFormatting>
  <conditionalFormatting sqref="BB255:BB257">
    <cfRule type="cellIs" dxfId="18699" priority="1699" operator="lessThan">
      <formula>0</formula>
    </cfRule>
    <cfRule type="cellIs" dxfId="18698" priority="1700" operator="lessThan">
      <formula>-105575</formula>
    </cfRule>
  </conditionalFormatting>
  <conditionalFormatting sqref="BB255:BB257">
    <cfRule type="cellIs" dxfId="18697" priority="1697" operator="lessThan">
      <formula>0</formula>
    </cfRule>
    <cfRule type="cellIs" dxfId="18696" priority="1698" operator="lessThan">
      <formula>-105575</formula>
    </cfRule>
  </conditionalFormatting>
  <conditionalFormatting sqref="BB255:BB257">
    <cfRule type="cellIs" dxfId="18695" priority="1695" operator="lessThan">
      <formula>0</formula>
    </cfRule>
    <cfRule type="cellIs" dxfId="18694" priority="1696" operator="lessThan">
      <formula>-105575</formula>
    </cfRule>
  </conditionalFormatting>
  <conditionalFormatting sqref="BB255:BB257">
    <cfRule type="cellIs" dxfId="18693" priority="1693" operator="lessThan">
      <formula>0</formula>
    </cfRule>
    <cfRule type="cellIs" dxfId="18692" priority="1694" operator="lessThan">
      <formula>-105575</formula>
    </cfRule>
  </conditionalFormatting>
  <conditionalFormatting sqref="BB255:BB257">
    <cfRule type="cellIs" dxfId="18691" priority="1691" operator="lessThan">
      <formula>0</formula>
    </cfRule>
    <cfRule type="cellIs" dxfId="18690" priority="1692" operator="lessThan">
      <formula>-105575</formula>
    </cfRule>
  </conditionalFormatting>
  <conditionalFormatting sqref="BB255:BB257">
    <cfRule type="cellIs" dxfId="18689" priority="1689" operator="lessThan">
      <formula>0</formula>
    </cfRule>
    <cfRule type="cellIs" dxfId="18688" priority="1690" operator="lessThan">
      <formula>-105575</formula>
    </cfRule>
  </conditionalFormatting>
  <conditionalFormatting sqref="BB255:BB257">
    <cfRule type="cellIs" dxfId="18687" priority="1687" operator="lessThan">
      <formula>0</formula>
    </cfRule>
    <cfRule type="cellIs" dxfId="18686" priority="1688" operator="lessThan">
      <formula>-105575</formula>
    </cfRule>
  </conditionalFormatting>
  <conditionalFormatting sqref="BB255:BB257">
    <cfRule type="cellIs" dxfId="18685" priority="1685" operator="lessThan">
      <formula>0</formula>
    </cfRule>
    <cfRule type="cellIs" dxfId="18684" priority="1686" operator="lessThan">
      <formula>-105575</formula>
    </cfRule>
  </conditionalFormatting>
  <conditionalFormatting sqref="BB255:BB257">
    <cfRule type="cellIs" dxfId="18683" priority="1683" operator="lessThan">
      <formula>0</formula>
    </cfRule>
    <cfRule type="cellIs" dxfId="18682" priority="1684" operator="lessThan">
      <formula>-105575</formula>
    </cfRule>
  </conditionalFormatting>
  <conditionalFormatting sqref="BB260:BB262">
    <cfRule type="cellIs" dxfId="18681" priority="1681" operator="lessThan">
      <formula>0</formula>
    </cfRule>
    <cfRule type="cellIs" dxfId="18680" priority="1682" operator="lessThan">
      <formula>-105575</formula>
    </cfRule>
  </conditionalFormatting>
  <conditionalFormatting sqref="BB260:BB262">
    <cfRule type="cellIs" dxfId="18679" priority="1679" operator="lessThan">
      <formula>0</formula>
    </cfRule>
    <cfRule type="cellIs" dxfId="18678" priority="1680" operator="lessThan">
      <formula>-105575</formula>
    </cfRule>
  </conditionalFormatting>
  <conditionalFormatting sqref="BB260:BB262">
    <cfRule type="cellIs" dxfId="18677" priority="1677" operator="lessThan">
      <formula>0</formula>
    </cfRule>
    <cfRule type="cellIs" dxfId="18676" priority="1678" operator="lessThan">
      <formula>-105575</formula>
    </cfRule>
  </conditionalFormatting>
  <conditionalFormatting sqref="BB260:BB262">
    <cfRule type="cellIs" dxfId="18675" priority="1675" operator="lessThan">
      <formula>0</formula>
    </cfRule>
    <cfRule type="cellIs" dxfId="18674" priority="1676" operator="lessThan">
      <formula>-105575</formula>
    </cfRule>
  </conditionalFormatting>
  <conditionalFormatting sqref="BB260:BB262">
    <cfRule type="cellIs" dxfId="18673" priority="1673" operator="lessThan">
      <formula>0</formula>
    </cfRule>
    <cfRule type="cellIs" dxfId="18672" priority="1674" operator="lessThan">
      <formula>-105575</formula>
    </cfRule>
  </conditionalFormatting>
  <conditionalFormatting sqref="BB260:BB262">
    <cfRule type="cellIs" dxfId="18671" priority="1671" operator="lessThan">
      <formula>0</formula>
    </cfRule>
    <cfRule type="cellIs" dxfId="18670" priority="1672" operator="lessThan">
      <formula>-105575</formula>
    </cfRule>
  </conditionalFormatting>
  <conditionalFormatting sqref="BB260:BB262">
    <cfRule type="cellIs" dxfId="18669" priority="1669" operator="lessThan">
      <formula>0</formula>
    </cfRule>
    <cfRule type="cellIs" dxfId="18668" priority="1670" operator="lessThan">
      <formula>-105575</formula>
    </cfRule>
  </conditionalFormatting>
  <conditionalFormatting sqref="BB260:BB262">
    <cfRule type="cellIs" dxfId="18667" priority="1667" operator="lessThan">
      <formula>0</formula>
    </cfRule>
    <cfRule type="cellIs" dxfId="18666" priority="1668" operator="lessThan">
      <formula>-105575</formula>
    </cfRule>
  </conditionalFormatting>
  <conditionalFormatting sqref="BB260:BB262">
    <cfRule type="cellIs" dxfId="18665" priority="1665" operator="lessThan">
      <formula>0</formula>
    </cfRule>
    <cfRule type="cellIs" dxfId="18664" priority="1666" operator="lessThan">
      <formula>-105575</formula>
    </cfRule>
  </conditionalFormatting>
  <conditionalFormatting sqref="BB264:BB267">
    <cfRule type="cellIs" dxfId="18663" priority="1663" operator="lessThan">
      <formula>0</formula>
    </cfRule>
    <cfRule type="cellIs" dxfId="18662" priority="1664" operator="lessThan">
      <formula>-105575</formula>
    </cfRule>
  </conditionalFormatting>
  <conditionalFormatting sqref="BB264:BB267">
    <cfRule type="cellIs" dxfId="18661" priority="1661" operator="lessThan">
      <formula>0</formula>
    </cfRule>
    <cfRule type="cellIs" dxfId="18660" priority="1662" operator="lessThan">
      <formula>-105575</formula>
    </cfRule>
  </conditionalFormatting>
  <conditionalFormatting sqref="BB264:BB267">
    <cfRule type="cellIs" dxfId="18659" priority="1659" operator="lessThan">
      <formula>0</formula>
    </cfRule>
    <cfRule type="cellIs" dxfId="18658" priority="1660" operator="lessThan">
      <formula>-105575</formula>
    </cfRule>
  </conditionalFormatting>
  <conditionalFormatting sqref="BB264:BB267">
    <cfRule type="cellIs" dxfId="18657" priority="1657" operator="lessThan">
      <formula>0</formula>
    </cfRule>
    <cfRule type="cellIs" dxfId="18656" priority="1658" operator="lessThan">
      <formula>-105575</formula>
    </cfRule>
  </conditionalFormatting>
  <conditionalFormatting sqref="BB264:BB267">
    <cfRule type="cellIs" dxfId="18655" priority="1655" operator="lessThan">
      <formula>0</formula>
    </cfRule>
    <cfRule type="cellIs" dxfId="18654" priority="1656" operator="lessThan">
      <formula>-105575</formula>
    </cfRule>
  </conditionalFormatting>
  <conditionalFormatting sqref="BB264:BB267">
    <cfRule type="cellIs" dxfId="18653" priority="1653" operator="lessThan">
      <formula>0</formula>
    </cfRule>
    <cfRule type="cellIs" dxfId="18652" priority="1654" operator="lessThan">
      <formula>-105575</formula>
    </cfRule>
  </conditionalFormatting>
  <conditionalFormatting sqref="BB264:BB267">
    <cfRule type="cellIs" dxfId="18651" priority="1651" operator="lessThan">
      <formula>0</formula>
    </cfRule>
    <cfRule type="cellIs" dxfId="18650" priority="1652" operator="lessThan">
      <formula>-105575</formula>
    </cfRule>
  </conditionalFormatting>
  <conditionalFormatting sqref="BB264:BB267">
    <cfRule type="cellIs" dxfId="18649" priority="1649" operator="lessThan">
      <formula>0</formula>
    </cfRule>
    <cfRule type="cellIs" dxfId="18648" priority="1650" operator="lessThan">
      <formula>-105575</formula>
    </cfRule>
  </conditionalFormatting>
  <conditionalFormatting sqref="BB264:BB267">
    <cfRule type="cellIs" dxfId="18647" priority="1647" operator="lessThan">
      <formula>0</formula>
    </cfRule>
    <cfRule type="cellIs" dxfId="18646" priority="1648" operator="lessThan">
      <formula>-105575</formula>
    </cfRule>
  </conditionalFormatting>
  <conditionalFormatting sqref="BB270:BB272">
    <cfRule type="cellIs" dxfId="18645" priority="1645" operator="lessThan">
      <formula>0</formula>
    </cfRule>
    <cfRule type="cellIs" dxfId="18644" priority="1646" operator="lessThan">
      <formula>-105575</formula>
    </cfRule>
  </conditionalFormatting>
  <conditionalFormatting sqref="BB270:BB272">
    <cfRule type="cellIs" dxfId="18643" priority="1643" operator="lessThan">
      <formula>0</formula>
    </cfRule>
    <cfRule type="cellIs" dxfId="18642" priority="1644" operator="lessThan">
      <formula>-105575</formula>
    </cfRule>
  </conditionalFormatting>
  <conditionalFormatting sqref="BB270:BB272">
    <cfRule type="cellIs" dxfId="18641" priority="1641" operator="lessThan">
      <formula>0</formula>
    </cfRule>
    <cfRule type="cellIs" dxfId="18640" priority="1642" operator="lessThan">
      <formula>-105575</formula>
    </cfRule>
  </conditionalFormatting>
  <conditionalFormatting sqref="BB270:BB272">
    <cfRule type="cellIs" dxfId="18639" priority="1639" operator="lessThan">
      <formula>0</formula>
    </cfRule>
    <cfRule type="cellIs" dxfId="18638" priority="1640" operator="lessThan">
      <formula>-105575</formula>
    </cfRule>
  </conditionalFormatting>
  <conditionalFormatting sqref="BB270:BB272">
    <cfRule type="cellIs" dxfId="18637" priority="1637" operator="lessThan">
      <formula>0</formula>
    </cfRule>
    <cfRule type="cellIs" dxfId="18636" priority="1638" operator="lessThan">
      <formula>-105575</formula>
    </cfRule>
  </conditionalFormatting>
  <conditionalFormatting sqref="BB270:BB272">
    <cfRule type="cellIs" dxfId="18635" priority="1635" operator="lessThan">
      <formula>0</formula>
    </cfRule>
    <cfRule type="cellIs" dxfId="18634" priority="1636" operator="lessThan">
      <formula>-105575</formula>
    </cfRule>
  </conditionalFormatting>
  <conditionalFormatting sqref="BB270:BB272">
    <cfRule type="cellIs" dxfId="18633" priority="1633" operator="lessThan">
      <formula>0</formula>
    </cfRule>
    <cfRule type="cellIs" dxfId="18632" priority="1634" operator="lessThan">
      <formula>-105575</formula>
    </cfRule>
  </conditionalFormatting>
  <conditionalFormatting sqref="BB270:BB272">
    <cfRule type="cellIs" dxfId="18631" priority="1631" operator="lessThan">
      <formula>0</formula>
    </cfRule>
    <cfRule type="cellIs" dxfId="18630" priority="1632" operator="lessThan">
      <formula>-105575</formula>
    </cfRule>
  </conditionalFormatting>
  <conditionalFormatting sqref="BB270:BB272">
    <cfRule type="cellIs" dxfId="18629" priority="1629" operator="lessThan">
      <formula>0</formula>
    </cfRule>
    <cfRule type="cellIs" dxfId="18628" priority="1630" operator="lessThan">
      <formula>-105575</formula>
    </cfRule>
  </conditionalFormatting>
  <conditionalFormatting sqref="BB274:BB275">
    <cfRule type="cellIs" dxfId="18627" priority="1627" operator="lessThan">
      <formula>0</formula>
    </cfRule>
    <cfRule type="cellIs" dxfId="18626" priority="1628" operator="lessThan">
      <formula>-105575</formula>
    </cfRule>
  </conditionalFormatting>
  <conditionalFormatting sqref="BB274:BB275">
    <cfRule type="cellIs" dxfId="18625" priority="1625" operator="lessThan">
      <formula>0</formula>
    </cfRule>
    <cfRule type="cellIs" dxfId="18624" priority="1626" operator="lessThan">
      <formula>-105575</formula>
    </cfRule>
  </conditionalFormatting>
  <conditionalFormatting sqref="BB274:BB275">
    <cfRule type="cellIs" dxfId="18623" priority="1623" operator="lessThan">
      <formula>0</formula>
    </cfRule>
    <cfRule type="cellIs" dxfId="18622" priority="1624" operator="lessThan">
      <formula>-105575</formula>
    </cfRule>
  </conditionalFormatting>
  <conditionalFormatting sqref="BB274:BB275">
    <cfRule type="cellIs" dxfId="18621" priority="1621" operator="lessThan">
      <formula>0</formula>
    </cfRule>
    <cfRule type="cellIs" dxfId="18620" priority="1622" operator="lessThan">
      <formula>-105575</formula>
    </cfRule>
  </conditionalFormatting>
  <conditionalFormatting sqref="BB274:BB275">
    <cfRule type="cellIs" dxfId="18619" priority="1619" operator="lessThan">
      <formula>0</formula>
    </cfRule>
    <cfRule type="cellIs" dxfId="18618" priority="1620" operator="lessThan">
      <formula>-105575</formula>
    </cfRule>
  </conditionalFormatting>
  <conditionalFormatting sqref="BB274:BB275">
    <cfRule type="cellIs" dxfId="18617" priority="1617" operator="lessThan">
      <formula>0</formula>
    </cfRule>
    <cfRule type="cellIs" dxfId="18616" priority="1618" operator="lessThan">
      <formula>-105575</formula>
    </cfRule>
  </conditionalFormatting>
  <conditionalFormatting sqref="BB274:BB275">
    <cfRule type="cellIs" dxfId="18615" priority="1615" operator="lessThan">
      <formula>0</formula>
    </cfRule>
    <cfRule type="cellIs" dxfId="18614" priority="1616" operator="lessThan">
      <formula>-105575</formula>
    </cfRule>
  </conditionalFormatting>
  <conditionalFormatting sqref="BB274:BB275">
    <cfRule type="cellIs" dxfId="18613" priority="1613" operator="lessThan">
      <formula>0</formula>
    </cfRule>
    <cfRule type="cellIs" dxfId="18612" priority="1614" operator="lessThan">
      <formula>-105575</formula>
    </cfRule>
  </conditionalFormatting>
  <conditionalFormatting sqref="BB274:BB275">
    <cfRule type="cellIs" dxfId="18611" priority="1611" operator="lessThan">
      <formula>0</formula>
    </cfRule>
    <cfRule type="cellIs" dxfId="18610" priority="1612" operator="lessThan">
      <formula>-105575</formula>
    </cfRule>
  </conditionalFormatting>
  <conditionalFormatting sqref="BB278:BB282">
    <cfRule type="cellIs" dxfId="18609" priority="1609" operator="lessThan">
      <formula>0</formula>
    </cfRule>
    <cfRule type="cellIs" dxfId="18608" priority="1610" operator="lessThan">
      <formula>-105575</formula>
    </cfRule>
  </conditionalFormatting>
  <conditionalFormatting sqref="BB278:BB282">
    <cfRule type="cellIs" dxfId="18607" priority="1607" operator="lessThan">
      <formula>0</formula>
    </cfRule>
    <cfRule type="cellIs" dxfId="18606" priority="1608" operator="lessThan">
      <formula>-105575</formula>
    </cfRule>
  </conditionalFormatting>
  <conditionalFormatting sqref="BB278:BB282">
    <cfRule type="cellIs" dxfId="18605" priority="1605" operator="lessThan">
      <formula>0</formula>
    </cfRule>
    <cfRule type="cellIs" dxfId="18604" priority="1606" operator="lessThan">
      <formula>-105575</formula>
    </cfRule>
  </conditionalFormatting>
  <conditionalFormatting sqref="BB278:BB282">
    <cfRule type="cellIs" dxfId="18603" priority="1603" operator="lessThan">
      <formula>0</formula>
    </cfRule>
    <cfRule type="cellIs" dxfId="18602" priority="1604" operator="lessThan">
      <formula>-105575</formula>
    </cfRule>
  </conditionalFormatting>
  <conditionalFormatting sqref="BB278:BB282">
    <cfRule type="cellIs" dxfId="18601" priority="1601" operator="lessThan">
      <formula>0</formula>
    </cfRule>
    <cfRule type="cellIs" dxfId="18600" priority="1602" operator="lessThan">
      <formula>-105575</formula>
    </cfRule>
  </conditionalFormatting>
  <conditionalFormatting sqref="BB278:BB282">
    <cfRule type="cellIs" dxfId="18599" priority="1599" operator="lessThan">
      <formula>0</formula>
    </cfRule>
    <cfRule type="cellIs" dxfId="18598" priority="1600" operator="lessThan">
      <formula>-105575</formula>
    </cfRule>
  </conditionalFormatting>
  <conditionalFormatting sqref="BB278:BB282">
    <cfRule type="cellIs" dxfId="18597" priority="1597" operator="lessThan">
      <formula>0</formula>
    </cfRule>
    <cfRule type="cellIs" dxfId="18596" priority="1598" operator="lessThan">
      <formula>-105575</formula>
    </cfRule>
  </conditionalFormatting>
  <conditionalFormatting sqref="BB278:BB282">
    <cfRule type="cellIs" dxfId="18595" priority="1595" operator="lessThan">
      <formula>0</formula>
    </cfRule>
    <cfRule type="cellIs" dxfId="18594" priority="1596" operator="lessThan">
      <formula>-105575</formula>
    </cfRule>
  </conditionalFormatting>
  <conditionalFormatting sqref="BB278:BB282">
    <cfRule type="cellIs" dxfId="18593" priority="1593" operator="lessThan">
      <formula>0</formula>
    </cfRule>
    <cfRule type="cellIs" dxfId="18592" priority="1594" operator="lessThan">
      <formula>-105575</formula>
    </cfRule>
  </conditionalFormatting>
  <conditionalFormatting sqref="BB285:BB288">
    <cfRule type="cellIs" dxfId="18591" priority="1591" operator="lessThan">
      <formula>0</formula>
    </cfRule>
    <cfRule type="cellIs" dxfId="18590" priority="1592" operator="lessThan">
      <formula>-105575</formula>
    </cfRule>
  </conditionalFormatting>
  <conditionalFormatting sqref="BB285:BB288">
    <cfRule type="cellIs" dxfId="18589" priority="1589" operator="lessThan">
      <formula>0</formula>
    </cfRule>
    <cfRule type="cellIs" dxfId="18588" priority="1590" operator="lessThan">
      <formula>-105575</formula>
    </cfRule>
  </conditionalFormatting>
  <conditionalFormatting sqref="BB285:BB288">
    <cfRule type="cellIs" dxfId="18587" priority="1587" operator="lessThan">
      <formula>0</formula>
    </cfRule>
    <cfRule type="cellIs" dxfId="18586" priority="1588" operator="lessThan">
      <formula>-105575</formula>
    </cfRule>
  </conditionalFormatting>
  <conditionalFormatting sqref="BB285:BB288">
    <cfRule type="cellIs" dxfId="18585" priority="1585" operator="lessThan">
      <formula>0</formula>
    </cfRule>
    <cfRule type="cellIs" dxfId="18584" priority="1586" operator="lessThan">
      <formula>-105575</formula>
    </cfRule>
  </conditionalFormatting>
  <conditionalFormatting sqref="BB285:BB288">
    <cfRule type="cellIs" dxfId="18583" priority="1583" operator="lessThan">
      <formula>0</formula>
    </cfRule>
    <cfRule type="cellIs" dxfId="18582" priority="1584" operator="lessThan">
      <formula>-105575</formula>
    </cfRule>
  </conditionalFormatting>
  <conditionalFormatting sqref="BB285:BB288">
    <cfRule type="cellIs" dxfId="18581" priority="1581" operator="lessThan">
      <formula>0</formula>
    </cfRule>
    <cfRule type="cellIs" dxfId="18580" priority="1582" operator="lessThan">
      <formula>-105575</formula>
    </cfRule>
  </conditionalFormatting>
  <conditionalFormatting sqref="BB285:BB288">
    <cfRule type="cellIs" dxfId="18579" priority="1579" operator="lessThan">
      <formula>0</formula>
    </cfRule>
    <cfRule type="cellIs" dxfId="18578" priority="1580" operator="lessThan">
      <formula>-105575</formula>
    </cfRule>
  </conditionalFormatting>
  <conditionalFormatting sqref="BB285:BB288">
    <cfRule type="cellIs" dxfId="18577" priority="1577" operator="lessThan">
      <formula>0</formula>
    </cfRule>
    <cfRule type="cellIs" dxfId="18576" priority="1578" operator="lessThan">
      <formula>-105575</formula>
    </cfRule>
  </conditionalFormatting>
  <conditionalFormatting sqref="BB285:BB288">
    <cfRule type="cellIs" dxfId="18575" priority="1575" operator="lessThan">
      <formula>0</formula>
    </cfRule>
    <cfRule type="cellIs" dxfId="18574" priority="1576" operator="lessThan">
      <formula>-105575</formula>
    </cfRule>
  </conditionalFormatting>
  <conditionalFormatting sqref="BB203 BB220:BB221 BB235:BB243 BB231:BB233 BB212:BB213 BB225:BB226">
    <cfRule type="cellIs" dxfId="18573" priority="1573" operator="lessThan">
      <formula>0</formula>
    </cfRule>
    <cfRule type="cellIs" dxfId="18572" priority="1574" operator="lessThan">
      <formula>-105575</formula>
    </cfRule>
  </conditionalFormatting>
  <conditionalFormatting sqref="BB220 BB212:BB213 BB235:BB238 BB240:BB243 BB225:BB226 BB231:BB233">
    <cfRule type="cellIs" dxfId="18571" priority="1571" operator="lessThan">
      <formula>0</formula>
    </cfRule>
    <cfRule type="cellIs" dxfId="18570" priority="1572" operator="lessThan">
      <formula>-105575</formula>
    </cfRule>
  </conditionalFormatting>
  <conditionalFormatting sqref="BB220:BB221 BB243 BB226 BB231:BB236 BB238:BB241 BB203 BB213">
    <cfRule type="cellIs" dxfId="18569" priority="1569" operator="lessThan">
      <formula>0</formula>
    </cfRule>
    <cfRule type="cellIs" dxfId="18568" priority="1570" operator="lessThan">
      <formula>-105575</formula>
    </cfRule>
  </conditionalFormatting>
  <conditionalFormatting sqref="BB235:BB243 BB231:BB233 BB220 BB212:BB213 BB225:BB226">
    <cfRule type="cellIs" dxfId="18567" priority="1567" operator="lessThan">
      <formula>0</formula>
    </cfRule>
    <cfRule type="cellIs" dxfId="18566" priority="1568" operator="lessThan">
      <formula>-105575</formula>
    </cfRule>
  </conditionalFormatting>
  <conditionalFormatting sqref="BB220:BB221 BB237:BB243 BB203 BB231:BB235 BB212:BB213 BB225:BB226">
    <cfRule type="cellIs" dxfId="18565" priority="1565" operator="lessThan">
      <formula>0</formula>
    </cfRule>
    <cfRule type="cellIs" dxfId="18564" priority="1566" operator="lessThan">
      <formula>-105575</formula>
    </cfRule>
  </conditionalFormatting>
  <conditionalFormatting sqref="BB220:BB221 BB237:BB240 BB242:BB243 BB225:BB226 BB231:BB235">
    <cfRule type="cellIs" dxfId="18563" priority="1563" operator="lessThan">
      <formula>0</formula>
    </cfRule>
    <cfRule type="cellIs" dxfId="18562" priority="1564" operator="lessThan">
      <formula>-105575</formula>
    </cfRule>
  </conditionalFormatting>
  <conditionalFormatting sqref="BB212 BB231 BB233:BB238 BB240:BB243 BB225">
    <cfRule type="cellIs" dxfId="18561" priority="1561" operator="lessThan">
      <formula>0</formula>
    </cfRule>
    <cfRule type="cellIs" dxfId="18560" priority="1562" operator="lessThan">
      <formula>-105575</formula>
    </cfRule>
  </conditionalFormatting>
  <conditionalFormatting sqref="BB237:BB243 BB231:BB235 BB220:BB221 BB225:BB226">
    <cfRule type="cellIs" dxfId="18559" priority="1559" operator="lessThan">
      <formula>0</formula>
    </cfRule>
    <cfRule type="cellIs" dxfId="18558" priority="1560" operator="lessThan">
      <formula>-105575</formula>
    </cfRule>
  </conditionalFormatting>
  <conditionalFormatting sqref="BB233:BB237 BB231 BB239:BB243">
    <cfRule type="cellIs" dxfId="18557" priority="1557" operator="lessThan">
      <formula>0</formula>
    </cfRule>
    <cfRule type="cellIs" dxfId="18556" priority="1558" operator="lessThan">
      <formula>-105575</formula>
    </cfRule>
  </conditionalFormatting>
  <conditionalFormatting sqref="BB233:BB237 BB231 BB239:BB243">
    <cfRule type="cellIs" dxfId="18555" priority="1555" operator="lessThan">
      <formula>0</formula>
    </cfRule>
    <cfRule type="cellIs" dxfId="18554" priority="1556" operator="lessThan">
      <formula>-105575</formula>
    </cfRule>
  </conditionalFormatting>
  <conditionalFormatting sqref="BB119:BB128 BB106:BB117 BB101:BB104 BB80:BB98">
    <cfRule type="cellIs" dxfId="18553" priority="1553" operator="lessThan">
      <formula>0</formula>
    </cfRule>
    <cfRule type="cellIs" dxfId="18552" priority="1554" operator="lessThan">
      <formula>-105575</formula>
    </cfRule>
  </conditionalFormatting>
  <conditionalFormatting sqref="BB130 BB132 BB134">
    <cfRule type="cellIs" dxfId="18551" priority="1551" operator="lessThan">
      <formula>0</formula>
    </cfRule>
    <cfRule type="cellIs" dxfId="18550" priority="1552" operator="lessThan">
      <formula>-105575</formula>
    </cfRule>
  </conditionalFormatting>
  <conditionalFormatting sqref="BB130 BB132 BB134">
    <cfRule type="cellIs" dxfId="18549" priority="1549" operator="lessThan">
      <formula>0</formula>
    </cfRule>
    <cfRule type="cellIs" dxfId="18548" priority="1550" operator="lessThan">
      <formula>-105575</formula>
    </cfRule>
  </conditionalFormatting>
  <conditionalFormatting sqref="BB129 BB131 BB133 BB135">
    <cfRule type="cellIs" dxfId="18547" priority="1547" operator="lessThan">
      <formula>0</formula>
    </cfRule>
    <cfRule type="cellIs" dxfId="18546" priority="1548" operator="lessThan">
      <formula>-105575</formula>
    </cfRule>
  </conditionalFormatting>
  <conditionalFormatting sqref="BB140 BB145 BB142:BB143 BB137:BB138">
    <cfRule type="cellIs" dxfId="18545" priority="1545" operator="lessThan">
      <formula>0</formula>
    </cfRule>
    <cfRule type="cellIs" dxfId="18544" priority="1546" operator="lessThan">
      <formula>-105575</formula>
    </cfRule>
  </conditionalFormatting>
  <conditionalFormatting sqref="BB149">
    <cfRule type="cellIs" dxfId="18543" priority="1543" operator="lessThan">
      <formula>0</formula>
    </cfRule>
    <cfRule type="cellIs" dxfId="18542" priority="1544" operator="lessThan">
      <formula>-105575</formula>
    </cfRule>
  </conditionalFormatting>
  <conditionalFormatting sqref="BB129:BB138 BB140:BB149">
    <cfRule type="cellIs" dxfId="18541" priority="1541" operator="lessThan">
      <formula>0</formula>
    </cfRule>
    <cfRule type="cellIs" dxfId="18540" priority="1542" operator="lessThan">
      <formula>-105575</formula>
    </cfRule>
  </conditionalFormatting>
  <conditionalFormatting sqref="BB94:BB98 BB86:BB87 BB89:BB91 BB141:BB149 BB124:BB133 BB107:BB110 BB112:BB117 BB119:BB122 BB135:BB138 BB101:BB104 BB80:BB84">
    <cfRule type="cellIs" dxfId="18539" priority="1539" operator="lessThan">
      <formula>0</formula>
    </cfRule>
    <cfRule type="cellIs" dxfId="18538" priority="1540" operator="lessThan">
      <formula>-105575</formula>
    </cfRule>
  </conditionalFormatting>
  <conditionalFormatting sqref="BB129 BB131 BB133 BB135">
    <cfRule type="cellIs" dxfId="18537" priority="1537" operator="lessThan">
      <formula>0</formula>
    </cfRule>
    <cfRule type="cellIs" dxfId="18536" priority="1538" operator="lessThan">
      <formula>-105575</formula>
    </cfRule>
  </conditionalFormatting>
  <conditionalFormatting sqref="BB146 BB144 BB141">
    <cfRule type="cellIs" dxfId="18535" priority="1535" operator="lessThan">
      <formula>0</formula>
    </cfRule>
    <cfRule type="cellIs" dxfId="18534" priority="1536" operator="lessThan">
      <formula>-105575</formula>
    </cfRule>
  </conditionalFormatting>
  <conditionalFormatting sqref="BB146 BB144 BB141">
    <cfRule type="cellIs" dxfId="18533" priority="1533" operator="lessThan">
      <formula>0</formula>
    </cfRule>
    <cfRule type="cellIs" dxfId="18532" priority="1534" operator="lessThan">
      <formula>-105575</formula>
    </cfRule>
  </conditionalFormatting>
  <conditionalFormatting sqref="BB140 BB145 BB142:BB143 BB137:BB138">
    <cfRule type="cellIs" dxfId="18531" priority="1531" operator="lessThan">
      <formula>0</formula>
    </cfRule>
    <cfRule type="cellIs" dxfId="18530" priority="1532" operator="lessThan">
      <formula>-105575</formula>
    </cfRule>
  </conditionalFormatting>
  <conditionalFormatting sqref="BB149">
    <cfRule type="cellIs" dxfId="18529" priority="1529" operator="lessThan">
      <formula>0</formula>
    </cfRule>
    <cfRule type="cellIs" dxfId="18528" priority="1530" operator="lessThan">
      <formula>-105575</formula>
    </cfRule>
  </conditionalFormatting>
  <conditionalFormatting sqref="BB94:BB98 BB86:BB87 BB89:BB91 BB141:BB149 BB124:BB133 BB107:BB110 BB112:BB117 BB119:BB122 BB135:BB138 BB101:BB104 BB80:BB84">
    <cfRule type="cellIs" dxfId="18527" priority="1527" operator="lessThan">
      <formula>0</formula>
    </cfRule>
    <cfRule type="cellIs" dxfId="18526" priority="1528" operator="lessThan">
      <formula>-105575</formula>
    </cfRule>
  </conditionalFormatting>
  <conditionalFormatting sqref="BB246:BB249 BB262 BB267 BB279:BB282 BB285:BB288 BB274:BB275 BB306:BB309 BB311:BB325 BB327:BB330 BB332:BB341 BB344:BB347 BB349:BB353 BB355:BB358 BB360:BB384 BB386:BB389 BB392:BB395 BB397:BB411 BB413:BB416 BB418:BB432 BB434:BB437 BB439:BB453 BB455:BB458 BB460:BB469 BB7:BB10 BB12:BB14 BB17:BB18 BB21:BB24 BB26:BB28 BB30:BB36 BB38 BB41:BB43 BB46:BB49 BB51:BB55 BB57:BB59 BB62:BB76 BB251:BB253 BB255:BB257 BB293:BB304 BB264:BB265 BB260 BB290:BB291 BB270:BB272">
    <cfRule type="cellIs" dxfId="18525" priority="1525" operator="lessThan">
      <formula>0</formula>
    </cfRule>
    <cfRule type="cellIs" dxfId="18524" priority="1526" operator="lessThan">
      <formula>-105575</formula>
    </cfRule>
  </conditionalFormatting>
  <conditionalFormatting sqref="BB41">
    <cfRule type="cellIs" dxfId="18523" priority="1523" operator="lessThan">
      <formula>0</formula>
    </cfRule>
    <cfRule type="cellIs" dxfId="18522" priority="1524" operator="lessThan">
      <formula>-105575</formula>
    </cfRule>
  </conditionalFormatting>
  <conditionalFormatting sqref="BB152:BB155">
    <cfRule type="cellIs" dxfId="18521" priority="1521" operator="lessThan">
      <formula>0</formula>
    </cfRule>
    <cfRule type="cellIs" dxfId="18520" priority="1522" operator="lessThan">
      <formula>-105575</formula>
    </cfRule>
  </conditionalFormatting>
  <conditionalFormatting sqref="BB152:BB155">
    <cfRule type="cellIs" dxfId="18519" priority="1519" operator="lessThan">
      <formula>0</formula>
    </cfRule>
    <cfRule type="cellIs" dxfId="18518" priority="1520" operator="lessThan">
      <formula>-105575</formula>
    </cfRule>
  </conditionalFormatting>
  <conditionalFormatting sqref="BB152:BB155">
    <cfRule type="cellIs" dxfId="18517" priority="1517" operator="lessThan">
      <formula>0</formula>
    </cfRule>
    <cfRule type="cellIs" dxfId="18516" priority="1518" operator="lessThan">
      <formula>-105575</formula>
    </cfRule>
  </conditionalFormatting>
  <conditionalFormatting sqref="BB157:BB158">
    <cfRule type="cellIs" dxfId="18515" priority="1515" operator="lessThan">
      <formula>0</formula>
    </cfRule>
    <cfRule type="cellIs" dxfId="18514" priority="1516" operator="lessThan">
      <formula>-105575</formula>
    </cfRule>
  </conditionalFormatting>
  <conditionalFormatting sqref="BB157:BB158">
    <cfRule type="cellIs" dxfId="18513" priority="1513" operator="lessThan">
      <formula>0</formula>
    </cfRule>
    <cfRule type="cellIs" dxfId="18512" priority="1514" operator="lessThan">
      <formula>-105575</formula>
    </cfRule>
  </conditionalFormatting>
  <conditionalFormatting sqref="BB157:BB158">
    <cfRule type="cellIs" dxfId="18511" priority="1511" operator="lessThan">
      <formula>0</formula>
    </cfRule>
    <cfRule type="cellIs" dxfId="18510" priority="1512" operator="lessThan">
      <formula>-105575</formula>
    </cfRule>
  </conditionalFormatting>
  <conditionalFormatting sqref="BB160:BB161">
    <cfRule type="cellIs" dxfId="18509" priority="1509" operator="lessThan">
      <formula>0</formula>
    </cfRule>
    <cfRule type="cellIs" dxfId="18508" priority="1510" operator="lessThan">
      <formula>-105575</formula>
    </cfRule>
  </conditionalFormatting>
  <conditionalFormatting sqref="BB160:BB161">
    <cfRule type="cellIs" dxfId="18507" priority="1507" operator="lessThan">
      <formula>0</formula>
    </cfRule>
    <cfRule type="cellIs" dxfId="18506" priority="1508" operator="lessThan">
      <formula>-105575</formula>
    </cfRule>
  </conditionalFormatting>
  <conditionalFormatting sqref="BB160:BB161">
    <cfRule type="cellIs" dxfId="18505" priority="1505" operator="lessThan">
      <formula>0</formula>
    </cfRule>
    <cfRule type="cellIs" dxfId="18504" priority="1506" operator="lessThan">
      <formula>-105575</formula>
    </cfRule>
  </conditionalFormatting>
  <conditionalFormatting sqref="BB164:BB167">
    <cfRule type="cellIs" dxfId="18503" priority="1503" operator="lessThan">
      <formula>0</formula>
    </cfRule>
    <cfRule type="cellIs" dxfId="18502" priority="1504" operator="lessThan">
      <formula>-105575</formula>
    </cfRule>
  </conditionalFormatting>
  <conditionalFormatting sqref="BB164:BB167">
    <cfRule type="cellIs" dxfId="18501" priority="1501" operator="lessThan">
      <formula>0</formula>
    </cfRule>
    <cfRule type="cellIs" dxfId="18500" priority="1502" operator="lessThan">
      <formula>-105575</formula>
    </cfRule>
  </conditionalFormatting>
  <conditionalFormatting sqref="BB164:BB167">
    <cfRule type="cellIs" dxfId="18499" priority="1499" operator="lessThan">
      <formula>0</formula>
    </cfRule>
    <cfRule type="cellIs" dxfId="18498" priority="1500" operator="lessThan">
      <formula>-105575</formula>
    </cfRule>
  </conditionalFormatting>
  <conditionalFormatting sqref="BB169:BB177">
    <cfRule type="cellIs" dxfId="18497" priority="1497" operator="lessThan">
      <formula>0</formula>
    </cfRule>
    <cfRule type="cellIs" dxfId="18496" priority="1498" operator="lessThan">
      <formula>-105575</formula>
    </cfRule>
  </conditionalFormatting>
  <conditionalFormatting sqref="BB169:BB177">
    <cfRule type="cellIs" dxfId="18495" priority="1495" operator="lessThan">
      <formula>0</formula>
    </cfRule>
    <cfRule type="cellIs" dxfId="18494" priority="1496" operator="lessThan">
      <formula>-105575</formula>
    </cfRule>
  </conditionalFormatting>
  <conditionalFormatting sqref="BB169:BB177">
    <cfRule type="cellIs" dxfId="18493" priority="1493" operator="lessThan">
      <formula>0</formula>
    </cfRule>
    <cfRule type="cellIs" dxfId="18492" priority="1494" operator="lessThan">
      <formula>-105575</formula>
    </cfRule>
  </conditionalFormatting>
  <conditionalFormatting sqref="BB179:BB180">
    <cfRule type="cellIs" dxfId="18491" priority="1491" operator="lessThan">
      <formula>0</formula>
    </cfRule>
    <cfRule type="cellIs" dxfId="18490" priority="1492" operator="lessThan">
      <formula>-105575</formula>
    </cfRule>
  </conditionalFormatting>
  <conditionalFormatting sqref="BB179:BB180">
    <cfRule type="cellIs" dxfId="18489" priority="1489" operator="lessThan">
      <formula>0</formula>
    </cfRule>
    <cfRule type="cellIs" dxfId="18488" priority="1490" operator="lessThan">
      <formula>-105575</formula>
    </cfRule>
  </conditionalFormatting>
  <conditionalFormatting sqref="BB179:BB180">
    <cfRule type="cellIs" dxfId="18487" priority="1487" operator="lessThan">
      <formula>0</formula>
    </cfRule>
    <cfRule type="cellIs" dxfId="18486" priority="1488" operator="lessThan">
      <formula>-105575</formula>
    </cfRule>
  </conditionalFormatting>
  <conditionalFormatting sqref="BB183:BB189">
    <cfRule type="cellIs" dxfId="18485" priority="1485" operator="lessThan">
      <formula>0</formula>
    </cfRule>
    <cfRule type="cellIs" dxfId="18484" priority="1486" operator="lessThan">
      <formula>-105575</formula>
    </cfRule>
  </conditionalFormatting>
  <conditionalFormatting sqref="BB183:BB189">
    <cfRule type="cellIs" dxfId="18483" priority="1483" operator="lessThan">
      <formula>0</formula>
    </cfRule>
    <cfRule type="cellIs" dxfId="18482" priority="1484" operator="lessThan">
      <formula>-105575</formula>
    </cfRule>
  </conditionalFormatting>
  <conditionalFormatting sqref="BB183:BB189">
    <cfRule type="cellIs" dxfId="18481" priority="1481" operator="lessThan">
      <formula>0</formula>
    </cfRule>
    <cfRule type="cellIs" dxfId="18480" priority="1482" operator="lessThan">
      <formula>-105575</formula>
    </cfRule>
  </conditionalFormatting>
  <conditionalFormatting sqref="BB191:BB192">
    <cfRule type="cellIs" dxfId="18479" priority="1479" operator="lessThan">
      <formula>0</formula>
    </cfRule>
    <cfRule type="cellIs" dxfId="18478" priority="1480" operator="lessThan">
      <formula>-105575</formula>
    </cfRule>
  </conditionalFormatting>
  <conditionalFormatting sqref="BB191:BB192">
    <cfRule type="cellIs" dxfId="18477" priority="1477" operator="lessThan">
      <formula>0</formula>
    </cfRule>
    <cfRule type="cellIs" dxfId="18476" priority="1478" operator="lessThan">
      <formula>-105575</formula>
    </cfRule>
  </conditionalFormatting>
  <conditionalFormatting sqref="BB191:BB192">
    <cfRule type="cellIs" dxfId="18475" priority="1475" operator="lessThan">
      <formula>0</formula>
    </cfRule>
    <cfRule type="cellIs" dxfId="18474" priority="1476" operator="lessThan">
      <formula>-105575</formula>
    </cfRule>
  </conditionalFormatting>
  <conditionalFormatting sqref="BB194:BB195">
    <cfRule type="cellIs" dxfId="18473" priority="1473" operator="lessThan">
      <formula>0</formula>
    </cfRule>
    <cfRule type="cellIs" dxfId="18472" priority="1474" operator="lessThan">
      <formula>-105575</formula>
    </cfRule>
  </conditionalFormatting>
  <conditionalFormatting sqref="BB194:BB195">
    <cfRule type="cellIs" dxfId="18471" priority="1471" operator="lessThan">
      <formula>0</formula>
    </cfRule>
    <cfRule type="cellIs" dxfId="18470" priority="1472" operator="lessThan">
      <formula>-105575</formula>
    </cfRule>
  </conditionalFormatting>
  <conditionalFormatting sqref="BB194:BB195">
    <cfRule type="cellIs" dxfId="18469" priority="1469" operator="lessThan">
      <formula>0</formula>
    </cfRule>
    <cfRule type="cellIs" dxfId="18468" priority="1470" operator="lessThan">
      <formula>-105575</formula>
    </cfRule>
  </conditionalFormatting>
  <conditionalFormatting sqref="BB199:BB202">
    <cfRule type="cellIs" dxfId="18467" priority="1467" operator="lessThan">
      <formula>0</formula>
    </cfRule>
    <cfRule type="cellIs" dxfId="18466" priority="1468" operator="lessThan">
      <formula>-105575</formula>
    </cfRule>
  </conditionalFormatting>
  <conditionalFormatting sqref="BB199:BB202">
    <cfRule type="cellIs" dxfId="18465" priority="1465" operator="lessThan">
      <formula>0</formula>
    </cfRule>
    <cfRule type="cellIs" dxfId="18464" priority="1466" operator="lessThan">
      <formula>-105575</formula>
    </cfRule>
  </conditionalFormatting>
  <conditionalFormatting sqref="BB199:BB202">
    <cfRule type="cellIs" dxfId="18463" priority="1463" operator="lessThan">
      <formula>0</formula>
    </cfRule>
    <cfRule type="cellIs" dxfId="18462" priority="1464" operator="lessThan">
      <formula>-105575</formula>
    </cfRule>
  </conditionalFormatting>
  <conditionalFormatting sqref="BB204:BB208">
    <cfRule type="cellIs" dxfId="18461" priority="1461" operator="lessThan">
      <formula>0</formula>
    </cfRule>
    <cfRule type="cellIs" dxfId="18460" priority="1462" operator="lessThan">
      <formula>-105575</formula>
    </cfRule>
  </conditionalFormatting>
  <conditionalFormatting sqref="BB204:BB208">
    <cfRule type="cellIs" dxfId="18459" priority="1459" operator="lessThan">
      <formula>0</formula>
    </cfRule>
    <cfRule type="cellIs" dxfId="18458" priority="1460" operator="lessThan">
      <formula>-105575</formula>
    </cfRule>
  </conditionalFormatting>
  <conditionalFormatting sqref="BB204:BB208">
    <cfRule type="cellIs" dxfId="18457" priority="1457" operator="lessThan">
      <formula>0</formula>
    </cfRule>
    <cfRule type="cellIs" dxfId="18456" priority="1458" operator="lessThan">
      <formula>-105575</formula>
    </cfRule>
  </conditionalFormatting>
  <conditionalFormatting sqref="BB210:BB211">
    <cfRule type="cellIs" dxfId="18455" priority="1455" operator="lessThan">
      <formula>0</formula>
    </cfRule>
    <cfRule type="cellIs" dxfId="18454" priority="1456" operator="lessThan">
      <formula>-105575</formula>
    </cfRule>
  </conditionalFormatting>
  <conditionalFormatting sqref="BB210:BB211">
    <cfRule type="cellIs" dxfId="18453" priority="1453" operator="lessThan">
      <formula>0</formula>
    </cfRule>
    <cfRule type="cellIs" dxfId="18452" priority="1454" operator="lessThan">
      <formula>-105575</formula>
    </cfRule>
  </conditionalFormatting>
  <conditionalFormatting sqref="BB210:BB211">
    <cfRule type="cellIs" dxfId="18451" priority="1451" operator="lessThan">
      <formula>0</formula>
    </cfRule>
    <cfRule type="cellIs" dxfId="18450" priority="1452" operator="lessThan">
      <formula>-105575</formula>
    </cfRule>
  </conditionalFormatting>
  <conditionalFormatting sqref="BB214:BB219">
    <cfRule type="cellIs" dxfId="18449" priority="1449" operator="lessThan">
      <formula>0</formula>
    </cfRule>
    <cfRule type="cellIs" dxfId="18448" priority="1450" operator="lessThan">
      <formula>-105575</formula>
    </cfRule>
  </conditionalFormatting>
  <conditionalFormatting sqref="BB214:BB219">
    <cfRule type="cellIs" dxfId="18447" priority="1447" operator="lessThan">
      <formula>0</formula>
    </cfRule>
    <cfRule type="cellIs" dxfId="18446" priority="1448" operator="lessThan">
      <formula>-105575</formula>
    </cfRule>
  </conditionalFormatting>
  <conditionalFormatting sqref="BB214:BB219">
    <cfRule type="cellIs" dxfId="18445" priority="1445" operator="lessThan">
      <formula>0</formula>
    </cfRule>
    <cfRule type="cellIs" dxfId="18444" priority="1446" operator="lessThan">
      <formula>-105575</formula>
    </cfRule>
  </conditionalFormatting>
  <conditionalFormatting sqref="BB222:BB224">
    <cfRule type="cellIs" dxfId="18443" priority="1443" operator="lessThan">
      <formula>0</formula>
    </cfRule>
    <cfRule type="cellIs" dxfId="18442" priority="1444" operator="lessThan">
      <formula>-105575</formula>
    </cfRule>
  </conditionalFormatting>
  <conditionalFormatting sqref="BB222:BB224">
    <cfRule type="cellIs" dxfId="18441" priority="1441" operator="lessThan">
      <formula>0</formula>
    </cfRule>
    <cfRule type="cellIs" dxfId="18440" priority="1442" operator="lessThan">
      <formula>-105575</formula>
    </cfRule>
  </conditionalFormatting>
  <conditionalFormatting sqref="BB222:BB224">
    <cfRule type="cellIs" dxfId="18439" priority="1439" operator="lessThan">
      <formula>0</formula>
    </cfRule>
    <cfRule type="cellIs" dxfId="18438" priority="1440" operator="lessThan">
      <formula>-105575</formula>
    </cfRule>
  </conditionalFormatting>
  <conditionalFormatting sqref="BB227:BB230">
    <cfRule type="cellIs" dxfId="18437" priority="1437" operator="lessThan">
      <formula>0</formula>
    </cfRule>
    <cfRule type="cellIs" dxfId="18436" priority="1438" operator="lessThan">
      <formula>-105575</formula>
    </cfRule>
  </conditionalFormatting>
  <conditionalFormatting sqref="BB227:BB230">
    <cfRule type="cellIs" dxfId="18435" priority="1435" operator="lessThan">
      <formula>0</formula>
    </cfRule>
    <cfRule type="cellIs" dxfId="18434" priority="1436" operator="lessThan">
      <formula>-105575</formula>
    </cfRule>
  </conditionalFormatting>
  <conditionalFormatting sqref="BB227:BB230">
    <cfRule type="cellIs" dxfId="18433" priority="1433" operator="lessThan">
      <formula>0</formula>
    </cfRule>
    <cfRule type="cellIs" dxfId="18432" priority="1434" operator="lessThan">
      <formula>-105575</formula>
    </cfRule>
  </conditionalFormatting>
  <conditionalFormatting sqref="BB203 BB220:BB221 BB235:BB243 BB231:BB233 BB212:BB213 BB225:BB226">
    <cfRule type="cellIs" dxfId="18431" priority="1431" operator="lessThan">
      <formula>0</formula>
    </cfRule>
    <cfRule type="cellIs" dxfId="18430" priority="1432" operator="lessThan">
      <formula>-105575</formula>
    </cfRule>
  </conditionalFormatting>
  <conditionalFormatting sqref="BB220 BB212:BB213 BB235:BB238 BB240:BB243 BB225:BB226 BB231:BB233">
    <cfRule type="cellIs" dxfId="18429" priority="1429" operator="lessThan">
      <formula>0</formula>
    </cfRule>
    <cfRule type="cellIs" dxfId="18428" priority="1430" operator="lessThan">
      <formula>-105575</formula>
    </cfRule>
  </conditionalFormatting>
  <conditionalFormatting sqref="BB220:BB221 BB243 BB226 BB231:BB236 BB238:BB241 BB203 BB213">
    <cfRule type="cellIs" dxfId="18427" priority="1427" operator="lessThan">
      <formula>0</formula>
    </cfRule>
    <cfRule type="cellIs" dxfId="18426" priority="1428" operator="lessThan">
      <formula>-105575</formula>
    </cfRule>
  </conditionalFormatting>
  <conditionalFormatting sqref="BB235:BB243 BB231:BB233 BB220 BB212:BB213 BB225:BB226">
    <cfRule type="cellIs" dxfId="18425" priority="1425" operator="lessThan">
      <formula>0</formula>
    </cfRule>
    <cfRule type="cellIs" dxfId="18424" priority="1426" operator="lessThan">
      <formula>-105575</formula>
    </cfRule>
  </conditionalFormatting>
  <conditionalFormatting sqref="BB220:BB221 BB237:BB243 BB203 BB231:BB235 BB212:BB213 BB225:BB226">
    <cfRule type="cellIs" dxfId="18423" priority="1423" operator="lessThan">
      <formula>0</formula>
    </cfRule>
    <cfRule type="cellIs" dxfId="18422" priority="1424" operator="lessThan">
      <formula>-105575</formula>
    </cfRule>
  </conditionalFormatting>
  <conditionalFormatting sqref="BB220:BB221 BB237:BB240 BB242:BB243 BB225:BB226 BB231:BB235">
    <cfRule type="cellIs" dxfId="18421" priority="1421" operator="lessThan">
      <formula>0</formula>
    </cfRule>
    <cfRule type="cellIs" dxfId="18420" priority="1422" operator="lessThan">
      <formula>-105575</formula>
    </cfRule>
  </conditionalFormatting>
  <conditionalFormatting sqref="BB212 BB231 BB233:BB238 BB240:BB243 BB225">
    <cfRule type="cellIs" dxfId="18419" priority="1419" operator="lessThan">
      <formula>0</formula>
    </cfRule>
    <cfRule type="cellIs" dxfId="18418" priority="1420" operator="lessThan">
      <formula>-105575</formula>
    </cfRule>
  </conditionalFormatting>
  <conditionalFormatting sqref="BB237:BB243 BB231:BB235 BB220:BB221 BB225:BB226">
    <cfRule type="cellIs" dxfId="18417" priority="1417" operator="lessThan">
      <formula>0</formula>
    </cfRule>
    <cfRule type="cellIs" dxfId="18416" priority="1418" operator="lessThan">
      <formula>-105575</formula>
    </cfRule>
  </conditionalFormatting>
  <conditionalFormatting sqref="BB233:BB237 BB231 BB239:BB243">
    <cfRule type="cellIs" dxfId="18415" priority="1415" operator="lessThan">
      <formula>0</formula>
    </cfRule>
    <cfRule type="cellIs" dxfId="18414" priority="1416" operator="lessThan">
      <formula>-105575</formula>
    </cfRule>
  </conditionalFormatting>
  <conditionalFormatting sqref="BB233:BB237 BB231 BB239:BB243">
    <cfRule type="cellIs" dxfId="18413" priority="1413" operator="lessThan">
      <formula>0</formula>
    </cfRule>
    <cfRule type="cellIs" dxfId="18412" priority="1414" operator="lessThan">
      <formula>-105575</formula>
    </cfRule>
  </conditionalFormatting>
  <conditionalFormatting sqref="BB119:BB128 BB106:BB117 BB101:BB104 BB80:BB98">
    <cfRule type="cellIs" dxfId="18411" priority="1411" operator="lessThan">
      <formula>0</formula>
    </cfRule>
    <cfRule type="cellIs" dxfId="18410" priority="1412" operator="lessThan">
      <formula>-105575</formula>
    </cfRule>
  </conditionalFormatting>
  <conditionalFormatting sqref="BB130 BB132 BB134">
    <cfRule type="cellIs" dxfId="18409" priority="1409" operator="lessThan">
      <formula>0</formula>
    </cfRule>
    <cfRule type="cellIs" dxfId="18408" priority="1410" operator="lessThan">
      <formula>-105575</formula>
    </cfRule>
  </conditionalFormatting>
  <conditionalFormatting sqref="BB130 BB132 BB134">
    <cfRule type="cellIs" dxfId="18407" priority="1407" operator="lessThan">
      <formula>0</formula>
    </cfRule>
    <cfRule type="cellIs" dxfId="18406" priority="1408" operator="lessThan">
      <formula>-105575</formula>
    </cfRule>
  </conditionalFormatting>
  <conditionalFormatting sqref="BB129 BB131 BB133 BB135">
    <cfRule type="cellIs" dxfId="18405" priority="1405" operator="lessThan">
      <formula>0</formula>
    </cfRule>
    <cfRule type="cellIs" dxfId="18404" priority="1406" operator="lessThan">
      <formula>-105575</formula>
    </cfRule>
  </conditionalFormatting>
  <conditionalFormatting sqref="BB140 BB145 BB142:BB143 BB137:BB138">
    <cfRule type="cellIs" dxfId="18403" priority="1403" operator="lessThan">
      <formula>0</formula>
    </cfRule>
    <cfRule type="cellIs" dxfId="18402" priority="1404" operator="lessThan">
      <formula>-105575</formula>
    </cfRule>
  </conditionalFormatting>
  <conditionalFormatting sqref="BB149">
    <cfRule type="cellIs" dxfId="18401" priority="1401" operator="lessThan">
      <formula>0</formula>
    </cfRule>
    <cfRule type="cellIs" dxfId="18400" priority="1402" operator="lessThan">
      <formula>-105575</formula>
    </cfRule>
  </conditionalFormatting>
  <conditionalFormatting sqref="BB129:BB138 BB140:BB149">
    <cfRule type="cellIs" dxfId="18399" priority="1399" operator="lessThan">
      <formula>0</formula>
    </cfRule>
    <cfRule type="cellIs" dxfId="18398" priority="1400" operator="lessThan">
      <formula>-105575</formula>
    </cfRule>
  </conditionalFormatting>
  <conditionalFormatting sqref="BB94:BB98 BB86:BB87 BB89:BB91 BB141:BB149 BB124:BB133 BB107:BB110 BB112:BB117 BB119:BB122 BB135:BB138 BB101:BB104 BB80:BB84">
    <cfRule type="cellIs" dxfId="18397" priority="1397" operator="lessThan">
      <formula>0</formula>
    </cfRule>
    <cfRule type="cellIs" dxfId="18396" priority="1398" operator="lessThan">
      <formula>-105575</formula>
    </cfRule>
  </conditionalFormatting>
  <conditionalFormatting sqref="BB129 BB131 BB133 BB135">
    <cfRule type="cellIs" dxfId="18395" priority="1395" operator="lessThan">
      <formula>0</formula>
    </cfRule>
    <cfRule type="cellIs" dxfId="18394" priority="1396" operator="lessThan">
      <formula>-105575</formula>
    </cfRule>
  </conditionalFormatting>
  <conditionalFormatting sqref="BB146 BB144 BB141">
    <cfRule type="cellIs" dxfId="18393" priority="1393" operator="lessThan">
      <formula>0</formula>
    </cfRule>
    <cfRule type="cellIs" dxfId="18392" priority="1394" operator="lessThan">
      <formula>-105575</formula>
    </cfRule>
  </conditionalFormatting>
  <conditionalFormatting sqref="BB146 BB144 BB141">
    <cfRule type="cellIs" dxfId="18391" priority="1391" operator="lessThan">
      <formula>0</formula>
    </cfRule>
    <cfRule type="cellIs" dxfId="18390" priority="1392" operator="lessThan">
      <formula>-105575</formula>
    </cfRule>
  </conditionalFormatting>
  <conditionalFormatting sqref="BB140 BB145 BB142:BB143 BB137:BB138">
    <cfRule type="cellIs" dxfId="18389" priority="1389" operator="lessThan">
      <formula>0</formula>
    </cfRule>
    <cfRule type="cellIs" dxfId="18388" priority="1390" operator="lessThan">
      <formula>-105575</formula>
    </cfRule>
  </conditionalFormatting>
  <conditionalFormatting sqref="BB149">
    <cfRule type="cellIs" dxfId="18387" priority="1387" operator="lessThan">
      <formula>0</formula>
    </cfRule>
    <cfRule type="cellIs" dxfId="18386" priority="1388" operator="lessThan">
      <formula>-105575</formula>
    </cfRule>
  </conditionalFormatting>
  <conditionalFormatting sqref="BB94:BB98 BB86:BB87 BB89:BB91 BB141:BB149 BB124:BB133 BB107:BB110 BB112:BB117 BB119:BB122 BB135:BB138 BB101:BB104 BB80:BB84">
    <cfRule type="cellIs" dxfId="18385" priority="1385" operator="lessThan">
      <formula>0</formula>
    </cfRule>
    <cfRule type="cellIs" dxfId="18384" priority="1386" operator="lessThan">
      <formula>-105575</formula>
    </cfRule>
  </conditionalFormatting>
  <conditionalFormatting sqref="BB62:BB76 BB306:BB309 BB311:BB325 BB327:BB330 BB332:BB341 BB344:BB347 BB349:BB353 BB355:BB358 BB360:BB384 BB386:BB389 BB392:BB395 BB397:BB411 BB413:BB416 BB418:BB432 BB434:BB437 BB439:BB453 BB455:BB458 BB460:BB469 BB7:BB10 BB12:BB14 BB17:BB18 BB21:BB24 BB26:BB28 BB30:BB36 BB38 BB41:BB43 BB46:BB49 BB51:BB55 BB57:BB59 BB290:BB291 BB293:BB304">
    <cfRule type="cellIs" dxfId="18383" priority="1383" operator="lessThan">
      <formula>0</formula>
    </cfRule>
    <cfRule type="cellIs" dxfId="18382" priority="1384" operator="lessThan">
      <formula>-105575</formula>
    </cfRule>
  </conditionalFormatting>
  <conditionalFormatting sqref="BB41">
    <cfRule type="cellIs" dxfId="18381" priority="1381" operator="lessThan">
      <formula>0</formula>
    </cfRule>
    <cfRule type="cellIs" dxfId="18380" priority="1382" operator="lessThan">
      <formula>-105575</formula>
    </cfRule>
  </conditionalFormatting>
  <conditionalFormatting sqref="BB152:BB155">
    <cfRule type="cellIs" dxfId="18379" priority="1379" operator="lessThan">
      <formula>0</formula>
    </cfRule>
    <cfRule type="cellIs" dxfId="18378" priority="1380" operator="lessThan">
      <formula>-105575</formula>
    </cfRule>
  </conditionalFormatting>
  <conditionalFormatting sqref="BB152:BB155">
    <cfRule type="cellIs" dxfId="18377" priority="1377" operator="lessThan">
      <formula>0</formula>
    </cfRule>
    <cfRule type="cellIs" dxfId="18376" priority="1378" operator="lessThan">
      <formula>-105575</formula>
    </cfRule>
  </conditionalFormatting>
  <conditionalFormatting sqref="BB152:BB155">
    <cfRule type="cellIs" dxfId="18375" priority="1375" operator="lessThan">
      <formula>0</formula>
    </cfRule>
    <cfRule type="cellIs" dxfId="18374" priority="1376" operator="lessThan">
      <formula>-105575</formula>
    </cfRule>
  </conditionalFormatting>
  <conditionalFormatting sqref="BB157:BB158">
    <cfRule type="cellIs" dxfId="18373" priority="1373" operator="lessThan">
      <formula>0</formula>
    </cfRule>
    <cfRule type="cellIs" dxfId="18372" priority="1374" operator="lessThan">
      <formula>-105575</formula>
    </cfRule>
  </conditionalFormatting>
  <conditionalFormatting sqref="BB157:BB158">
    <cfRule type="cellIs" dxfId="18371" priority="1371" operator="lessThan">
      <formula>0</formula>
    </cfRule>
    <cfRule type="cellIs" dxfId="18370" priority="1372" operator="lessThan">
      <formula>-105575</formula>
    </cfRule>
  </conditionalFormatting>
  <conditionalFormatting sqref="BB157:BB158">
    <cfRule type="cellIs" dxfId="18369" priority="1369" operator="lessThan">
      <formula>0</formula>
    </cfRule>
    <cfRule type="cellIs" dxfId="18368" priority="1370" operator="lessThan">
      <formula>-105575</formula>
    </cfRule>
  </conditionalFormatting>
  <conditionalFormatting sqref="BB160:BB161">
    <cfRule type="cellIs" dxfId="18367" priority="1367" operator="lessThan">
      <formula>0</formula>
    </cfRule>
    <cfRule type="cellIs" dxfId="18366" priority="1368" operator="lessThan">
      <formula>-105575</formula>
    </cfRule>
  </conditionalFormatting>
  <conditionalFormatting sqref="BB160:BB161">
    <cfRule type="cellIs" dxfId="18365" priority="1365" operator="lessThan">
      <formula>0</formula>
    </cfRule>
    <cfRule type="cellIs" dxfId="18364" priority="1366" operator="lessThan">
      <formula>-105575</formula>
    </cfRule>
  </conditionalFormatting>
  <conditionalFormatting sqref="BB160:BB161">
    <cfRule type="cellIs" dxfId="18363" priority="1363" operator="lessThan">
      <formula>0</formula>
    </cfRule>
    <cfRule type="cellIs" dxfId="18362" priority="1364" operator="lessThan">
      <formula>-105575</formula>
    </cfRule>
  </conditionalFormatting>
  <conditionalFormatting sqref="BB164:BB167">
    <cfRule type="cellIs" dxfId="18361" priority="1361" operator="lessThan">
      <formula>0</formula>
    </cfRule>
    <cfRule type="cellIs" dxfId="18360" priority="1362" operator="lessThan">
      <formula>-105575</formula>
    </cfRule>
  </conditionalFormatting>
  <conditionalFormatting sqref="BB164:BB167">
    <cfRule type="cellIs" dxfId="18359" priority="1359" operator="lessThan">
      <formula>0</formula>
    </cfRule>
    <cfRule type="cellIs" dxfId="18358" priority="1360" operator="lessThan">
      <formula>-105575</formula>
    </cfRule>
  </conditionalFormatting>
  <conditionalFormatting sqref="BB164:BB167">
    <cfRule type="cellIs" dxfId="18357" priority="1357" operator="lessThan">
      <formula>0</formula>
    </cfRule>
    <cfRule type="cellIs" dxfId="18356" priority="1358" operator="lessThan">
      <formula>-105575</formula>
    </cfRule>
  </conditionalFormatting>
  <conditionalFormatting sqref="BB169:BB177">
    <cfRule type="cellIs" dxfId="18355" priority="1355" operator="lessThan">
      <formula>0</formula>
    </cfRule>
    <cfRule type="cellIs" dxfId="18354" priority="1356" operator="lessThan">
      <formula>-105575</formula>
    </cfRule>
  </conditionalFormatting>
  <conditionalFormatting sqref="BB169:BB177">
    <cfRule type="cellIs" dxfId="18353" priority="1353" operator="lessThan">
      <formula>0</formula>
    </cfRule>
    <cfRule type="cellIs" dxfId="18352" priority="1354" operator="lessThan">
      <formula>-105575</formula>
    </cfRule>
  </conditionalFormatting>
  <conditionalFormatting sqref="BB169:BB177">
    <cfRule type="cellIs" dxfId="18351" priority="1351" operator="lessThan">
      <formula>0</formula>
    </cfRule>
    <cfRule type="cellIs" dxfId="18350" priority="1352" operator="lessThan">
      <formula>-105575</formula>
    </cfRule>
  </conditionalFormatting>
  <conditionalFormatting sqref="BB179:BB180">
    <cfRule type="cellIs" dxfId="18349" priority="1349" operator="lessThan">
      <formula>0</formula>
    </cfRule>
    <cfRule type="cellIs" dxfId="18348" priority="1350" operator="lessThan">
      <formula>-105575</formula>
    </cfRule>
  </conditionalFormatting>
  <conditionalFormatting sqref="BB179:BB180">
    <cfRule type="cellIs" dxfId="18347" priority="1347" operator="lessThan">
      <formula>0</formula>
    </cfRule>
    <cfRule type="cellIs" dxfId="18346" priority="1348" operator="lessThan">
      <formula>-105575</formula>
    </cfRule>
  </conditionalFormatting>
  <conditionalFormatting sqref="BB179:BB180">
    <cfRule type="cellIs" dxfId="18345" priority="1345" operator="lessThan">
      <formula>0</formula>
    </cfRule>
    <cfRule type="cellIs" dxfId="18344" priority="1346" operator="lessThan">
      <formula>-105575</formula>
    </cfRule>
  </conditionalFormatting>
  <conditionalFormatting sqref="BB183:BB189">
    <cfRule type="cellIs" dxfId="18343" priority="1343" operator="lessThan">
      <formula>0</formula>
    </cfRule>
    <cfRule type="cellIs" dxfId="18342" priority="1344" operator="lessThan">
      <formula>-105575</formula>
    </cfRule>
  </conditionalFormatting>
  <conditionalFormatting sqref="BB183:BB189">
    <cfRule type="cellIs" dxfId="18341" priority="1341" operator="lessThan">
      <formula>0</formula>
    </cfRule>
    <cfRule type="cellIs" dxfId="18340" priority="1342" operator="lessThan">
      <formula>-105575</formula>
    </cfRule>
  </conditionalFormatting>
  <conditionalFormatting sqref="BB183:BB189">
    <cfRule type="cellIs" dxfId="18339" priority="1339" operator="lessThan">
      <formula>0</formula>
    </cfRule>
    <cfRule type="cellIs" dxfId="18338" priority="1340" operator="lessThan">
      <formula>-105575</formula>
    </cfRule>
  </conditionalFormatting>
  <conditionalFormatting sqref="BB191:BB192">
    <cfRule type="cellIs" dxfId="18337" priority="1337" operator="lessThan">
      <formula>0</formula>
    </cfRule>
    <cfRule type="cellIs" dxfId="18336" priority="1338" operator="lessThan">
      <formula>-105575</formula>
    </cfRule>
  </conditionalFormatting>
  <conditionalFormatting sqref="BB191:BB192">
    <cfRule type="cellIs" dxfId="18335" priority="1335" operator="lessThan">
      <formula>0</formula>
    </cfRule>
    <cfRule type="cellIs" dxfId="18334" priority="1336" operator="lessThan">
      <formula>-105575</formula>
    </cfRule>
  </conditionalFormatting>
  <conditionalFormatting sqref="BB191:BB192">
    <cfRule type="cellIs" dxfId="18333" priority="1333" operator="lessThan">
      <formula>0</formula>
    </cfRule>
    <cfRule type="cellIs" dxfId="18332" priority="1334" operator="lessThan">
      <formula>-105575</formula>
    </cfRule>
  </conditionalFormatting>
  <conditionalFormatting sqref="BB194:BB195">
    <cfRule type="cellIs" dxfId="18331" priority="1331" operator="lessThan">
      <formula>0</formula>
    </cfRule>
    <cfRule type="cellIs" dxfId="18330" priority="1332" operator="lessThan">
      <formula>-105575</formula>
    </cfRule>
  </conditionalFormatting>
  <conditionalFormatting sqref="BB194:BB195">
    <cfRule type="cellIs" dxfId="18329" priority="1329" operator="lessThan">
      <formula>0</formula>
    </cfRule>
    <cfRule type="cellIs" dxfId="18328" priority="1330" operator="lessThan">
      <formula>-105575</formula>
    </cfRule>
  </conditionalFormatting>
  <conditionalFormatting sqref="BB194:BB195">
    <cfRule type="cellIs" dxfId="18327" priority="1327" operator="lessThan">
      <formula>0</formula>
    </cfRule>
    <cfRule type="cellIs" dxfId="18326" priority="1328" operator="lessThan">
      <formula>-105575</formula>
    </cfRule>
  </conditionalFormatting>
  <conditionalFormatting sqref="BB199:BB202">
    <cfRule type="cellIs" dxfId="18325" priority="1325" operator="lessThan">
      <formula>0</formula>
    </cfRule>
    <cfRule type="cellIs" dxfId="18324" priority="1326" operator="lessThan">
      <formula>-105575</formula>
    </cfRule>
  </conditionalFormatting>
  <conditionalFormatting sqref="BB199:BB202">
    <cfRule type="cellIs" dxfId="18323" priority="1323" operator="lessThan">
      <formula>0</formula>
    </cfRule>
    <cfRule type="cellIs" dxfId="18322" priority="1324" operator="lessThan">
      <formula>-105575</formula>
    </cfRule>
  </conditionalFormatting>
  <conditionalFormatting sqref="BB199:BB202">
    <cfRule type="cellIs" dxfId="18321" priority="1321" operator="lessThan">
      <formula>0</formula>
    </cfRule>
    <cfRule type="cellIs" dxfId="18320" priority="1322" operator="lessThan">
      <formula>-105575</formula>
    </cfRule>
  </conditionalFormatting>
  <conditionalFormatting sqref="BB204:BB208">
    <cfRule type="cellIs" dxfId="18319" priority="1319" operator="lessThan">
      <formula>0</formula>
    </cfRule>
    <cfRule type="cellIs" dxfId="18318" priority="1320" operator="lessThan">
      <formula>-105575</formula>
    </cfRule>
  </conditionalFormatting>
  <conditionalFormatting sqref="BB204:BB208">
    <cfRule type="cellIs" dxfId="18317" priority="1317" operator="lessThan">
      <formula>0</formula>
    </cfRule>
    <cfRule type="cellIs" dxfId="18316" priority="1318" operator="lessThan">
      <formula>-105575</formula>
    </cfRule>
  </conditionalFormatting>
  <conditionalFormatting sqref="BB204:BB208">
    <cfRule type="cellIs" dxfId="18315" priority="1315" operator="lessThan">
      <formula>0</formula>
    </cfRule>
    <cfRule type="cellIs" dxfId="18314" priority="1316" operator="lessThan">
      <formula>-105575</formula>
    </cfRule>
  </conditionalFormatting>
  <conditionalFormatting sqref="BB210:BB211">
    <cfRule type="cellIs" dxfId="18313" priority="1313" operator="lessThan">
      <formula>0</formula>
    </cfRule>
    <cfRule type="cellIs" dxfId="18312" priority="1314" operator="lessThan">
      <formula>-105575</formula>
    </cfRule>
  </conditionalFormatting>
  <conditionalFormatting sqref="BB210:BB211">
    <cfRule type="cellIs" dxfId="18311" priority="1311" operator="lessThan">
      <formula>0</formula>
    </cfRule>
    <cfRule type="cellIs" dxfId="18310" priority="1312" operator="lessThan">
      <formula>-105575</formula>
    </cfRule>
  </conditionalFormatting>
  <conditionalFormatting sqref="BB210:BB211">
    <cfRule type="cellIs" dxfId="18309" priority="1309" operator="lessThan">
      <formula>0</formula>
    </cfRule>
    <cfRule type="cellIs" dxfId="18308" priority="1310" operator="lessThan">
      <formula>-105575</formula>
    </cfRule>
  </conditionalFormatting>
  <conditionalFormatting sqref="BB214:BB219">
    <cfRule type="cellIs" dxfId="18307" priority="1307" operator="lessThan">
      <formula>0</formula>
    </cfRule>
    <cfRule type="cellIs" dxfId="18306" priority="1308" operator="lessThan">
      <formula>-105575</formula>
    </cfRule>
  </conditionalFormatting>
  <conditionalFormatting sqref="BB214:BB219">
    <cfRule type="cellIs" dxfId="18305" priority="1305" operator="lessThan">
      <formula>0</formula>
    </cfRule>
    <cfRule type="cellIs" dxfId="18304" priority="1306" operator="lessThan">
      <formula>-105575</formula>
    </cfRule>
  </conditionalFormatting>
  <conditionalFormatting sqref="BB214:BB219">
    <cfRule type="cellIs" dxfId="18303" priority="1303" operator="lessThan">
      <formula>0</formula>
    </cfRule>
    <cfRule type="cellIs" dxfId="18302" priority="1304" operator="lessThan">
      <formula>-105575</formula>
    </cfRule>
  </conditionalFormatting>
  <conditionalFormatting sqref="BB222:BB224">
    <cfRule type="cellIs" dxfId="18301" priority="1301" operator="lessThan">
      <formula>0</formula>
    </cfRule>
    <cfRule type="cellIs" dxfId="18300" priority="1302" operator="lessThan">
      <formula>-105575</formula>
    </cfRule>
  </conditionalFormatting>
  <conditionalFormatting sqref="BB222:BB224">
    <cfRule type="cellIs" dxfId="18299" priority="1299" operator="lessThan">
      <formula>0</formula>
    </cfRule>
    <cfRule type="cellIs" dxfId="18298" priority="1300" operator="lessThan">
      <formula>-105575</formula>
    </cfRule>
  </conditionalFormatting>
  <conditionalFormatting sqref="BB222:BB224">
    <cfRule type="cellIs" dxfId="18297" priority="1297" operator="lessThan">
      <formula>0</formula>
    </cfRule>
    <cfRule type="cellIs" dxfId="18296" priority="1298" operator="lessThan">
      <formula>-105575</formula>
    </cfRule>
  </conditionalFormatting>
  <conditionalFormatting sqref="BB227:BB230">
    <cfRule type="cellIs" dxfId="18295" priority="1295" operator="lessThan">
      <formula>0</formula>
    </cfRule>
    <cfRule type="cellIs" dxfId="18294" priority="1296" operator="lessThan">
      <formula>-105575</formula>
    </cfRule>
  </conditionalFormatting>
  <conditionalFormatting sqref="BB227:BB230">
    <cfRule type="cellIs" dxfId="18293" priority="1293" operator="lessThan">
      <formula>0</formula>
    </cfRule>
    <cfRule type="cellIs" dxfId="18292" priority="1294" operator="lessThan">
      <formula>-105575</formula>
    </cfRule>
  </conditionalFormatting>
  <conditionalFormatting sqref="BB227:BB230">
    <cfRule type="cellIs" dxfId="18291" priority="1291" operator="lessThan">
      <formula>0</formula>
    </cfRule>
    <cfRule type="cellIs" dxfId="18290" priority="1292" operator="lessThan">
      <formula>-105575</formula>
    </cfRule>
  </conditionalFormatting>
  <conditionalFormatting sqref="BB246:BB249">
    <cfRule type="cellIs" dxfId="18289" priority="1289" operator="lessThan">
      <formula>0</formula>
    </cfRule>
    <cfRule type="cellIs" dxfId="18288" priority="1290" operator="lessThan">
      <formula>-105575</formula>
    </cfRule>
  </conditionalFormatting>
  <conditionalFormatting sqref="BB246:BB249">
    <cfRule type="cellIs" dxfId="18287" priority="1287" operator="lessThan">
      <formula>0</formula>
    </cfRule>
    <cfRule type="cellIs" dxfId="18286" priority="1288" operator="lessThan">
      <formula>-105575</formula>
    </cfRule>
  </conditionalFormatting>
  <conditionalFormatting sqref="BB246:BB249">
    <cfRule type="cellIs" dxfId="18285" priority="1285" operator="lessThan">
      <formula>0</formula>
    </cfRule>
    <cfRule type="cellIs" dxfId="18284" priority="1286" operator="lessThan">
      <formula>-105575</formula>
    </cfRule>
  </conditionalFormatting>
  <conditionalFormatting sqref="BB246:BB249">
    <cfRule type="cellIs" dxfId="18283" priority="1283" operator="lessThan">
      <formula>0</formula>
    </cfRule>
    <cfRule type="cellIs" dxfId="18282" priority="1284" operator="lessThan">
      <formula>-105575</formula>
    </cfRule>
  </conditionalFormatting>
  <conditionalFormatting sqref="BB246:BB249">
    <cfRule type="cellIs" dxfId="18281" priority="1281" operator="lessThan">
      <formula>0</formula>
    </cfRule>
    <cfRule type="cellIs" dxfId="18280" priority="1282" operator="lessThan">
      <formula>-105575</formula>
    </cfRule>
  </conditionalFormatting>
  <conditionalFormatting sqref="BB246:BB249">
    <cfRule type="cellIs" dxfId="18279" priority="1279" operator="lessThan">
      <formula>0</formula>
    </cfRule>
    <cfRule type="cellIs" dxfId="18278" priority="1280" operator="lessThan">
      <formula>-105575</formula>
    </cfRule>
  </conditionalFormatting>
  <conditionalFormatting sqref="BB246:BB249">
    <cfRule type="cellIs" dxfId="18277" priority="1277" operator="lessThan">
      <formula>0</formula>
    </cfRule>
    <cfRule type="cellIs" dxfId="18276" priority="1278" operator="lessThan">
      <formula>-105575</formula>
    </cfRule>
  </conditionalFormatting>
  <conditionalFormatting sqref="BB246:BB249">
    <cfRule type="cellIs" dxfId="18275" priority="1275" operator="lessThan">
      <formula>0</formula>
    </cfRule>
    <cfRule type="cellIs" dxfId="18274" priority="1276" operator="lessThan">
      <formula>-105575</formula>
    </cfRule>
  </conditionalFormatting>
  <conditionalFormatting sqref="BB246:BB249">
    <cfRule type="cellIs" dxfId="18273" priority="1273" operator="lessThan">
      <formula>0</formula>
    </cfRule>
    <cfRule type="cellIs" dxfId="18272" priority="1274" operator="lessThan">
      <formula>-105575</formula>
    </cfRule>
  </conditionalFormatting>
  <conditionalFormatting sqref="BB251:BB253">
    <cfRule type="cellIs" dxfId="18271" priority="1271" operator="lessThan">
      <formula>0</formula>
    </cfRule>
    <cfRule type="cellIs" dxfId="18270" priority="1272" operator="lessThan">
      <formula>-105575</formula>
    </cfRule>
  </conditionalFormatting>
  <conditionalFormatting sqref="BB251:BB253">
    <cfRule type="cellIs" dxfId="18269" priority="1269" operator="lessThan">
      <formula>0</formula>
    </cfRule>
    <cfRule type="cellIs" dxfId="18268" priority="1270" operator="lessThan">
      <formula>-105575</formula>
    </cfRule>
  </conditionalFormatting>
  <conditionalFormatting sqref="BB251:BB253">
    <cfRule type="cellIs" dxfId="18267" priority="1267" operator="lessThan">
      <formula>0</formula>
    </cfRule>
    <cfRule type="cellIs" dxfId="18266" priority="1268" operator="lessThan">
      <formula>-105575</formula>
    </cfRule>
  </conditionalFormatting>
  <conditionalFormatting sqref="BB251:BB253">
    <cfRule type="cellIs" dxfId="18265" priority="1265" operator="lessThan">
      <formula>0</formula>
    </cfRule>
    <cfRule type="cellIs" dxfId="18264" priority="1266" operator="lessThan">
      <formula>-105575</formula>
    </cfRule>
  </conditionalFormatting>
  <conditionalFormatting sqref="BB251:BB253">
    <cfRule type="cellIs" dxfId="18263" priority="1263" operator="lessThan">
      <formula>0</formula>
    </cfRule>
    <cfRule type="cellIs" dxfId="18262" priority="1264" operator="lessThan">
      <formula>-105575</formula>
    </cfRule>
  </conditionalFormatting>
  <conditionalFormatting sqref="BB251:BB253">
    <cfRule type="cellIs" dxfId="18261" priority="1261" operator="lessThan">
      <formula>0</formula>
    </cfRule>
    <cfRule type="cellIs" dxfId="18260" priority="1262" operator="lessThan">
      <formula>-105575</formula>
    </cfRule>
  </conditionalFormatting>
  <conditionalFormatting sqref="BB251:BB253">
    <cfRule type="cellIs" dxfId="18259" priority="1259" operator="lessThan">
      <formula>0</formula>
    </cfRule>
    <cfRule type="cellIs" dxfId="18258" priority="1260" operator="lessThan">
      <formula>-105575</formula>
    </cfRule>
  </conditionalFormatting>
  <conditionalFormatting sqref="BB251:BB253">
    <cfRule type="cellIs" dxfId="18257" priority="1257" operator="lessThan">
      <formula>0</formula>
    </cfRule>
    <cfRule type="cellIs" dxfId="18256" priority="1258" operator="lessThan">
      <formula>-105575</formula>
    </cfRule>
  </conditionalFormatting>
  <conditionalFormatting sqref="BB251:BB253">
    <cfRule type="cellIs" dxfId="18255" priority="1255" operator="lessThan">
      <formula>0</formula>
    </cfRule>
    <cfRule type="cellIs" dxfId="18254" priority="1256" operator="lessThan">
      <formula>-105575</formula>
    </cfRule>
  </conditionalFormatting>
  <conditionalFormatting sqref="BB255:BB257">
    <cfRule type="cellIs" dxfId="18253" priority="1253" operator="lessThan">
      <formula>0</formula>
    </cfRule>
    <cfRule type="cellIs" dxfId="18252" priority="1254" operator="lessThan">
      <formula>-105575</formula>
    </cfRule>
  </conditionalFormatting>
  <conditionalFormatting sqref="BB255:BB257">
    <cfRule type="cellIs" dxfId="18251" priority="1251" operator="lessThan">
      <formula>0</formula>
    </cfRule>
    <cfRule type="cellIs" dxfId="18250" priority="1252" operator="lessThan">
      <formula>-105575</formula>
    </cfRule>
  </conditionalFormatting>
  <conditionalFormatting sqref="BB255:BB257">
    <cfRule type="cellIs" dxfId="18249" priority="1249" operator="lessThan">
      <formula>0</formula>
    </cfRule>
    <cfRule type="cellIs" dxfId="18248" priority="1250" operator="lessThan">
      <formula>-105575</formula>
    </cfRule>
  </conditionalFormatting>
  <conditionalFormatting sqref="BB255:BB257">
    <cfRule type="cellIs" dxfId="18247" priority="1247" operator="lessThan">
      <formula>0</formula>
    </cfRule>
    <cfRule type="cellIs" dxfId="18246" priority="1248" operator="lessThan">
      <formula>-105575</formula>
    </cfRule>
  </conditionalFormatting>
  <conditionalFormatting sqref="BB255:BB257">
    <cfRule type="cellIs" dxfId="18245" priority="1245" operator="lessThan">
      <formula>0</formula>
    </cfRule>
    <cfRule type="cellIs" dxfId="18244" priority="1246" operator="lessThan">
      <formula>-105575</formula>
    </cfRule>
  </conditionalFormatting>
  <conditionalFormatting sqref="BB255:BB257">
    <cfRule type="cellIs" dxfId="18243" priority="1243" operator="lessThan">
      <formula>0</formula>
    </cfRule>
    <cfRule type="cellIs" dxfId="18242" priority="1244" operator="lessThan">
      <formula>-105575</formula>
    </cfRule>
  </conditionalFormatting>
  <conditionalFormatting sqref="BB255:BB257">
    <cfRule type="cellIs" dxfId="18241" priority="1241" operator="lessThan">
      <formula>0</formula>
    </cfRule>
    <cfRule type="cellIs" dxfId="18240" priority="1242" operator="lessThan">
      <formula>-105575</formula>
    </cfRule>
  </conditionalFormatting>
  <conditionalFormatting sqref="BB255:BB257">
    <cfRule type="cellIs" dxfId="18239" priority="1239" operator="lessThan">
      <formula>0</formula>
    </cfRule>
    <cfRule type="cellIs" dxfId="18238" priority="1240" operator="lessThan">
      <formula>-105575</formula>
    </cfRule>
  </conditionalFormatting>
  <conditionalFormatting sqref="BB255:BB257">
    <cfRule type="cellIs" dxfId="18237" priority="1237" operator="lessThan">
      <formula>0</formula>
    </cfRule>
    <cfRule type="cellIs" dxfId="18236" priority="1238" operator="lessThan">
      <formula>-105575</formula>
    </cfRule>
  </conditionalFormatting>
  <conditionalFormatting sqref="BB260:BB262">
    <cfRule type="cellIs" dxfId="18235" priority="1235" operator="lessThan">
      <formula>0</formula>
    </cfRule>
    <cfRule type="cellIs" dxfId="18234" priority="1236" operator="lessThan">
      <formula>-105575</formula>
    </cfRule>
  </conditionalFormatting>
  <conditionalFormatting sqref="BB260:BB262">
    <cfRule type="cellIs" dxfId="18233" priority="1233" operator="lessThan">
      <formula>0</formula>
    </cfRule>
    <cfRule type="cellIs" dxfId="18232" priority="1234" operator="lessThan">
      <formula>-105575</formula>
    </cfRule>
  </conditionalFormatting>
  <conditionalFormatting sqref="BB260:BB262">
    <cfRule type="cellIs" dxfId="18231" priority="1231" operator="lessThan">
      <formula>0</formula>
    </cfRule>
    <cfRule type="cellIs" dxfId="18230" priority="1232" operator="lessThan">
      <formula>-105575</formula>
    </cfRule>
  </conditionalFormatting>
  <conditionalFormatting sqref="BB260:BB262">
    <cfRule type="cellIs" dxfId="18229" priority="1229" operator="lessThan">
      <formula>0</formula>
    </cfRule>
    <cfRule type="cellIs" dxfId="18228" priority="1230" operator="lessThan">
      <formula>-105575</formula>
    </cfRule>
  </conditionalFormatting>
  <conditionalFormatting sqref="BB260:BB262">
    <cfRule type="cellIs" dxfId="18227" priority="1227" operator="lessThan">
      <formula>0</formula>
    </cfRule>
    <cfRule type="cellIs" dxfId="18226" priority="1228" operator="lessThan">
      <formula>-105575</formula>
    </cfRule>
  </conditionalFormatting>
  <conditionalFormatting sqref="BB260:BB262">
    <cfRule type="cellIs" dxfId="18225" priority="1225" operator="lessThan">
      <formula>0</formula>
    </cfRule>
    <cfRule type="cellIs" dxfId="18224" priority="1226" operator="lessThan">
      <formula>-105575</formula>
    </cfRule>
  </conditionalFormatting>
  <conditionalFormatting sqref="BB260:BB262">
    <cfRule type="cellIs" dxfId="18223" priority="1223" operator="lessThan">
      <formula>0</formula>
    </cfRule>
    <cfRule type="cellIs" dxfId="18222" priority="1224" operator="lessThan">
      <formula>-105575</formula>
    </cfRule>
  </conditionalFormatting>
  <conditionalFormatting sqref="BB260:BB262">
    <cfRule type="cellIs" dxfId="18221" priority="1221" operator="lessThan">
      <formula>0</formula>
    </cfRule>
    <cfRule type="cellIs" dxfId="18220" priority="1222" operator="lessThan">
      <formula>-105575</formula>
    </cfRule>
  </conditionalFormatting>
  <conditionalFormatting sqref="BB260:BB262">
    <cfRule type="cellIs" dxfId="18219" priority="1219" operator="lessThan">
      <formula>0</formula>
    </cfRule>
    <cfRule type="cellIs" dxfId="18218" priority="1220" operator="lessThan">
      <formula>-105575</formula>
    </cfRule>
  </conditionalFormatting>
  <conditionalFormatting sqref="BB264:BB267">
    <cfRule type="cellIs" dxfId="18217" priority="1217" operator="lessThan">
      <formula>0</formula>
    </cfRule>
    <cfRule type="cellIs" dxfId="18216" priority="1218" operator="lessThan">
      <formula>-105575</formula>
    </cfRule>
  </conditionalFormatting>
  <conditionalFormatting sqref="BB264:BB267">
    <cfRule type="cellIs" dxfId="18215" priority="1215" operator="lessThan">
      <formula>0</formula>
    </cfRule>
    <cfRule type="cellIs" dxfId="18214" priority="1216" operator="lessThan">
      <formula>-105575</formula>
    </cfRule>
  </conditionalFormatting>
  <conditionalFormatting sqref="BB264:BB267">
    <cfRule type="cellIs" dxfId="18213" priority="1213" operator="lessThan">
      <formula>0</formula>
    </cfRule>
    <cfRule type="cellIs" dxfId="18212" priority="1214" operator="lessThan">
      <formula>-105575</formula>
    </cfRule>
  </conditionalFormatting>
  <conditionalFormatting sqref="BB264:BB267">
    <cfRule type="cellIs" dxfId="18211" priority="1211" operator="lessThan">
      <formula>0</formula>
    </cfRule>
    <cfRule type="cellIs" dxfId="18210" priority="1212" operator="lessThan">
      <formula>-105575</formula>
    </cfRule>
  </conditionalFormatting>
  <conditionalFormatting sqref="BB264:BB267">
    <cfRule type="cellIs" dxfId="18209" priority="1209" operator="lessThan">
      <formula>0</formula>
    </cfRule>
    <cfRule type="cellIs" dxfId="18208" priority="1210" operator="lessThan">
      <formula>-105575</formula>
    </cfRule>
  </conditionalFormatting>
  <conditionalFormatting sqref="BB264:BB267">
    <cfRule type="cellIs" dxfId="18207" priority="1207" operator="lessThan">
      <formula>0</formula>
    </cfRule>
    <cfRule type="cellIs" dxfId="18206" priority="1208" operator="lessThan">
      <formula>-105575</formula>
    </cfRule>
  </conditionalFormatting>
  <conditionalFormatting sqref="BB264:BB267">
    <cfRule type="cellIs" dxfId="18205" priority="1205" operator="lessThan">
      <formula>0</formula>
    </cfRule>
    <cfRule type="cellIs" dxfId="18204" priority="1206" operator="lessThan">
      <formula>-105575</formula>
    </cfRule>
  </conditionalFormatting>
  <conditionalFormatting sqref="BB264:BB267">
    <cfRule type="cellIs" dxfId="18203" priority="1203" operator="lessThan">
      <formula>0</formula>
    </cfRule>
    <cfRule type="cellIs" dxfId="18202" priority="1204" operator="lessThan">
      <formula>-105575</formula>
    </cfRule>
  </conditionalFormatting>
  <conditionalFormatting sqref="BB264:BB267">
    <cfRule type="cellIs" dxfId="18201" priority="1201" operator="lessThan">
      <formula>0</formula>
    </cfRule>
    <cfRule type="cellIs" dxfId="18200" priority="1202" operator="lessThan">
      <formula>-105575</formula>
    </cfRule>
  </conditionalFormatting>
  <conditionalFormatting sqref="BB270:BB272">
    <cfRule type="cellIs" dxfId="18199" priority="1199" operator="lessThan">
      <formula>0</formula>
    </cfRule>
    <cfRule type="cellIs" dxfId="18198" priority="1200" operator="lessThan">
      <formula>-105575</formula>
    </cfRule>
  </conditionalFormatting>
  <conditionalFormatting sqref="BB270:BB272">
    <cfRule type="cellIs" dxfId="18197" priority="1197" operator="lessThan">
      <formula>0</formula>
    </cfRule>
    <cfRule type="cellIs" dxfId="18196" priority="1198" operator="lessThan">
      <formula>-105575</formula>
    </cfRule>
  </conditionalFormatting>
  <conditionalFormatting sqref="BB270:BB272">
    <cfRule type="cellIs" dxfId="18195" priority="1195" operator="lessThan">
      <formula>0</formula>
    </cfRule>
    <cfRule type="cellIs" dxfId="18194" priority="1196" operator="lessThan">
      <formula>-105575</formula>
    </cfRule>
  </conditionalFormatting>
  <conditionalFormatting sqref="BB270:BB272">
    <cfRule type="cellIs" dxfId="18193" priority="1193" operator="lessThan">
      <formula>0</formula>
    </cfRule>
    <cfRule type="cellIs" dxfId="18192" priority="1194" operator="lessThan">
      <formula>-105575</formula>
    </cfRule>
  </conditionalFormatting>
  <conditionalFormatting sqref="BB270:BB272">
    <cfRule type="cellIs" dxfId="18191" priority="1191" operator="lessThan">
      <formula>0</formula>
    </cfRule>
    <cfRule type="cellIs" dxfId="18190" priority="1192" operator="lessThan">
      <formula>-105575</formula>
    </cfRule>
  </conditionalFormatting>
  <conditionalFormatting sqref="BB270:BB272">
    <cfRule type="cellIs" dxfId="18189" priority="1189" operator="lessThan">
      <formula>0</formula>
    </cfRule>
    <cfRule type="cellIs" dxfId="18188" priority="1190" operator="lessThan">
      <formula>-105575</formula>
    </cfRule>
  </conditionalFormatting>
  <conditionalFormatting sqref="BB270:BB272">
    <cfRule type="cellIs" dxfId="18187" priority="1187" operator="lessThan">
      <formula>0</formula>
    </cfRule>
    <cfRule type="cellIs" dxfId="18186" priority="1188" operator="lessThan">
      <formula>-105575</formula>
    </cfRule>
  </conditionalFormatting>
  <conditionalFormatting sqref="BB270:BB272">
    <cfRule type="cellIs" dxfId="18185" priority="1185" operator="lessThan">
      <formula>0</formula>
    </cfRule>
    <cfRule type="cellIs" dxfId="18184" priority="1186" operator="lessThan">
      <formula>-105575</formula>
    </cfRule>
  </conditionalFormatting>
  <conditionalFormatting sqref="BB270:BB272">
    <cfRule type="cellIs" dxfId="18183" priority="1183" operator="lessThan">
      <formula>0</formula>
    </cfRule>
    <cfRule type="cellIs" dxfId="18182" priority="1184" operator="lessThan">
      <formula>-105575</formula>
    </cfRule>
  </conditionalFormatting>
  <conditionalFormatting sqref="BB274:BB275">
    <cfRule type="cellIs" dxfId="18181" priority="1181" operator="lessThan">
      <formula>0</formula>
    </cfRule>
    <cfRule type="cellIs" dxfId="18180" priority="1182" operator="lessThan">
      <formula>-105575</formula>
    </cfRule>
  </conditionalFormatting>
  <conditionalFormatting sqref="BB274:BB275">
    <cfRule type="cellIs" dxfId="18179" priority="1179" operator="lessThan">
      <formula>0</formula>
    </cfRule>
    <cfRule type="cellIs" dxfId="18178" priority="1180" operator="lessThan">
      <formula>-105575</formula>
    </cfRule>
  </conditionalFormatting>
  <conditionalFormatting sqref="BB274:BB275">
    <cfRule type="cellIs" dxfId="18177" priority="1177" operator="lessThan">
      <formula>0</formula>
    </cfRule>
    <cfRule type="cellIs" dxfId="18176" priority="1178" operator="lessThan">
      <formula>-105575</formula>
    </cfRule>
  </conditionalFormatting>
  <conditionalFormatting sqref="BB274:BB275">
    <cfRule type="cellIs" dxfId="18175" priority="1175" operator="lessThan">
      <formula>0</formula>
    </cfRule>
    <cfRule type="cellIs" dxfId="18174" priority="1176" operator="lessThan">
      <formula>-105575</formula>
    </cfRule>
  </conditionalFormatting>
  <conditionalFormatting sqref="BB274:BB275">
    <cfRule type="cellIs" dxfId="18173" priority="1173" operator="lessThan">
      <formula>0</formula>
    </cfRule>
    <cfRule type="cellIs" dxfId="18172" priority="1174" operator="lessThan">
      <formula>-105575</formula>
    </cfRule>
  </conditionalFormatting>
  <conditionalFormatting sqref="BB274:BB275">
    <cfRule type="cellIs" dxfId="18171" priority="1171" operator="lessThan">
      <formula>0</formula>
    </cfRule>
    <cfRule type="cellIs" dxfId="18170" priority="1172" operator="lessThan">
      <formula>-105575</formula>
    </cfRule>
  </conditionalFormatting>
  <conditionalFormatting sqref="BB274:BB275">
    <cfRule type="cellIs" dxfId="18169" priority="1169" operator="lessThan">
      <formula>0</formula>
    </cfRule>
    <cfRule type="cellIs" dxfId="18168" priority="1170" operator="lessThan">
      <formula>-105575</formula>
    </cfRule>
  </conditionalFormatting>
  <conditionalFormatting sqref="BB274:BB275">
    <cfRule type="cellIs" dxfId="18167" priority="1167" operator="lessThan">
      <formula>0</formula>
    </cfRule>
    <cfRule type="cellIs" dxfId="18166" priority="1168" operator="lessThan">
      <formula>-105575</formula>
    </cfRule>
  </conditionalFormatting>
  <conditionalFormatting sqref="BB274:BB275">
    <cfRule type="cellIs" dxfId="18165" priority="1165" operator="lessThan">
      <formula>0</formula>
    </cfRule>
    <cfRule type="cellIs" dxfId="18164" priority="1166" operator="lessThan">
      <formula>-105575</formula>
    </cfRule>
  </conditionalFormatting>
  <conditionalFormatting sqref="BB278:BB282">
    <cfRule type="cellIs" dxfId="18163" priority="1163" operator="lessThan">
      <formula>0</formula>
    </cfRule>
    <cfRule type="cellIs" dxfId="18162" priority="1164" operator="lessThan">
      <formula>-105575</formula>
    </cfRule>
  </conditionalFormatting>
  <conditionalFormatting sqref="BB278:BB282">
    <cfRule type="cellIs" dxfId="18161" priority="1161" operator="lessThan">
      <formula>0</formula>
    </cfRule>
    <cfRule type="cellIs" dxfId="18160" priority="1162" operator="lessThan">
      <formula>-105575</formula>
    </cfRule>
  </conditionalFormatting>
  <conditionalFormatting sqref="BB278:BB282">
    <cfRule type="cellIs" dxfId="18159" priority="1159" operator="lessThan">
      <formula>0</formula>
    </cfRule>
    <cfRule type="cellIs" dxfId="18158" priority="1160" operator="lessThan">
      <formula>-105575</formula>
    </cfRule>
  </conditionalFormatting>
  <conditionalFormatting sqref="BB278:BB282">
    <cfRule type="cellIs" dxfId="18157" priority="1157" operator="lessThan">
      <formula>0</formula>
    </cfRule>
    <cfRule type="cellIs" dxfId="18156" priority="1158" operator="lessThan">
      <formula>-105575</formula>
    </cfRule>
  </conditionalFormatting>
  <conditionalFormatting sqref="BB278:BB282">
    <cfRule type="cellIs" dxfId="18155" priority="1155" operator="lessThan">
      <formula>0</formula>
    </cfRule>
    <cfRule type="cellIs" dxfId="18154" priority="1156" operator="lessThan">
      <formula>-105575</formula>
    </cfRule>
  </conditionalFormatting>
  <conditionalFormatting sqref="BB278:BB282">
    <cfRule type="cellIs" dxfId="18153" priority="1153" operator="lessThan">
      <formula>0</formula>
    </cfRule>
    <cfRule type="cellIs" dxfId="18152" priority="1154" operator="lessThan">
      <formula>-105575</formula>
    </cfRule>
  </conditionalFormatting>
  <conditionalFormatting sqref="BB278:BB282">
    <cfRule type="cellIs" dxfId="18151" priority="1151" operator="lessThan">
      <formula>0</formula>
    </cfRule>
    <cfRule type="cellIs" dxfId="18150" priority="1152" operator="lessThan">
      <formula>-105575</formula>
    </cfRule>
  </conditionalFormatting>
  <conditionalFormatting sqref="BB278:BB282">
    <cfRule type="cellIs" dxfId="18149" priority="1149" operator="lessThan">
      <formula>0</formula>
    </cfRule>
    <cfRule type="cellIs" dxfId="18148" priority="1150" operator="lessThan">
      <formula>-105575</formula>
    </cfRule>
  </conditionalFormatting>
  <conditionalFormatting sqref="BB278:BB282">
    <cfRule type="cellIs" dxfId="18147" priority="1147" operator="lessThan">
      <formula>0</formula>
    </cfRule>
    <cfRule type="cellIs" dxfId="18146" priority="1148" operator="lessThan">
      <formula>-105575</formula>
    </cfRule>
  </conditionalFormatting>
  <conditionalFormatting sqref="BB285:BB288">
    <cfRule type="cellIs" dxfId="18145" priority="1145" operator="lessThan">
      <formula>0</formula>
    </cfRule>
    <cfRule type="cellIs" dxfId="18144" priority="1146" operator="lessThan">
      <formula>-105575</formula>
    </cfRule>
  </conditionalFormatting>
  <conditionalFormatting sqref="BB285:BB288">
    <cfRule type="cellIs" dxfId="18143" priority="1143" operator="lessThan">
      <formula>0</formula>
    </cfRule>
    <cfRule type="cellIs" dxfId="18142" priority="1144" operator="lessThan">
      <formula>-105575</formula>
    </cfRule>
  </conditionalFormatting>
  <conditionalFormatting sqref="BB285:BB288">
    <cfRule type="cellIs" dxfId="18141" priority="1141" operator="lessThan">
      <formula>0</formula>
    </cfRule>
    <cfRule type="cellIs" dxfId="18140" priority="1142" operator="lessThan">
      <formula>-105575</formula>
    </cfRule>
  </conditionalFormatting>
  <conditionalFormatting sqref="BB285:BB288">
    <cfRule type="cellIs" dxfId="18139" priority="1139" operator="lessThan">
      <formula>0</formula>
    </cfRule>
    <cfRule type="cellIs" dxfId="18138" priority="1140" operator="lessThan">
      <formula>-105575</formula>
    </cfRule>
  </conditionalFormatting>
  <conditionalFormatting sqref="BB285:BB288">
    <cfRule type="cellIs" dxfId="18137" priority="1137" operator="lessThan">
      <formula>0</formula>
    </cfRule>
    <cfRule type="cellIs" dxfId="18136" priority="1138" operator="lessThan">
      <formula>-105575</formula>
    </cfRule>
  </conditionalFormatting>
  <conditionalFormatting sqref="BB285:BB288">
    <cfRule type="cellIs" dxfId="18135" priority="1135" operator="lessThan">
      <formula>0</formula>
    </cfRule>
    <cfRule type="cellIs" dxfId="18134" priority="1136" operator="lessThan">
      <formula>-105575</formula>
    </cfRule>
  </conditionalFormatting>
  <conditionalFormatting sqref="BB285:BB288">
    <cfRule type="cellIs" dxfId="18133" priority="1133" operator="lessThan">
      <formula>0</formula>
    </cfRule>
    <cfRule type="cellIs" dxfId="18132" priority="1134" operator="lessThan">
      <formula>-105575</formula>
    </cfRule>
  </conditionalFormatting>
  <conditionalFormatting sqref="BB285:BB288">
    <cfRule type="cellIs" dxfId="18131" priority="1131" operator="lessThan">
      <formula>0</formula>
    </cfRule>
    <cfRule type="cellIs" dxfId="18130" priority="1132" operator="lessThan">
      <formula>-105575</formula>
    </cfRule>
  </conditionalFormatting>
  <conditionalFormatting sqref="BB285:BB288">
    <cfRule type="cellIs" dxfId="18129" priority="1129" operator="lessThan">
      <formula>0</formula>
    </cfRule>
    <cfRule type="cellIs" dxfId="18128" priority="1130" operator="lessThan">
      <formula>-105575</formula>
    </cfRule>
  </conditionalFormatting>
  <conditionalFormatting sqref="BB203 BB220:BB221 BB235:BB243 BB231:BB233 BB212:BB213 BB225:BB226">
    <cfRule type="cellIs" dxfId="18127" priority="1127" operator="lessThan">
      <formula>0</formula>
    </cfRule>
    <cfRule type="cellIs" dxfId="18126" priority="1128" operator="lessThan">
      <formula>-105575</formula>
    </cfRule>
  </conditionalFormatting>
  <conditionalFormatting sqref="BB220 BB212:BB213 BB235:BB238 BB240:BB243 BB225:BB226 BB231:BB233">
    <cfRule type="cellIs" dxfId="18125" priority="1125" operator="lessThan">
      <formula>0</formula>
    </cfRule>
    <cfRule type="cellIs" dxfId="18124" priority="1126" operator="lessThan">
      <formula>-105575</formula>
    </cfRule>
  </conditionalFormatting>
  <conditionalFormatting sqref="BB220:BB221 BB243 BB226 BB231:BB236 BB238:BB241 BB203 BB213">
    <cfRule type="cellIs" dxfId="18123" priority="1123" operator="lessThan">
      <formula>0</formula>
    </cfRule>
    <cfRule type="cellIs" dxfId="18122" priority="1124" operator="lessThan">
      <formula>-105575</formula>
    </cfRule>
  </conditionalFormatting>
  <conditionalFormatting sqref="BB235:BB243 BB231:BB233 BB220 BB212:BB213 BB225:BB226">
    <cfRule type="cellIs" dxfId="18121" priority="1121" operator="lessThan">
      <formula>0</formula>
    </cfRule>
    <cfRule type="cellIs" dxfId="18120" priority="1122" operator="lessThan">
      <formula>-105575</formula>
    </cfRule>
  </conditionalFormatting>
  <conditionalFormatting sqref="BB220:BB221 BB237:BB243 BB203 BB231:BB235 BB212:BB213 BB225:BB226">
    <cfRule type="cellIs" dxfId="18119" priority="1119" operator="lessThan">
      <formula>0</formula>
    </cfRule>
    <cfRule type="cellIs" dxfId="18118" priority="1120" operator="lessThan">
      <formula>-105575</formula>
    </cfRule>
  </conditionalFormatting>
  <conditionalFormatting sqref="BB220:BB221 BB237:BB240 BB242:BB243 BB225:BB226 BB231:BB235">
    <cfRule type="cellIs" dxfId="18117" priority="1117" operator="lessThan">
      <formula>0</formula>
    </cfRule>
    <cfRule type="cellIs" dxfId="18116" priority="1118" operator="lessThan">
      <formula>-105575</formula>
    </cfRule>
  </conditionalFormatting>
  <conditionalFormatting sqref="BB212 BB231 BB233:BB238 BB240:BB243 BB225">
    <cfRule type="cellIs" dxfId="18115" priority="1115" operator="lessThan">
      <formula>0</formula>
    </cfRule>
    <cfRule type="cellIs" dxfId="18114" priority="1116" operator="lessThan">
      <formula>-105575</formula>
    </cfRule>
  </conditionalFormatting>
  <conditionalFormatting sqref="BB237:BB243 BB231:BB235 BB220:BB221 BB225:BB226">
    <cfRule type="cellIs" dxfId="18113" priority="1113" operator="lessThan">
      <formula>0</formula>
    </cfRule>
    <cfRule type="cellIs" dxfId="18112" priority="1114" operator="lessThan">
      <formula>-105575</formula>
    </cfRule>
  </conditionalFormatting>
  <conditionalFormatting sqref="BB233:BB237 BB231 BB239:BB243">
    <cfRule type="cellIs" dxfId="18111" priority="1111" operator="lessThan">
      <formula>0</formula>
    </cfRule>
    <cfRule type="cellIs" dxfId="18110" priority="1112" operator="lessThan">
      <formula>-105575</formula>
    </cfRule>
  </conditionalFormatting>
  <conditionalFormatting sqref="BB233:BB237 BB231 BB239:BB243">
    <cfRule type="cellIs" dxfId="18109" priority="1109" operator="lessThan">
      <formula>0</formula>
    </cfRule>
    <cfRule type="cellIs" dxfId="18108" priority="1110" operator="lessThan">
      <formula>-105575</formula>
    </cfRule>
  </conditionalFormatting>
  <conditionalFormatting sqref="BB119:BB128 BB106:BB117 BB101:BB104 BB80:BB98">
    <cfRule type="cellIs" dxfId="18107" priority="1107" operator="lessThan">
      <formula>0</formula>
    </cfRule>
    <cfRule type="cellIs" dxfId="18106" priority="1108" operator="lessThan">
      <formula>-105575</formula>
    </cfRule>
  </conditionalFormatting>
  <conditionalFormatting sqref="BB130 BB132 BB134">
    <cfRule type="cellIs" dxfId="18105" priority="1105" operator="lessThan">
      <formula>0</formula>
    </cfRule>
    <cfRule type="cellIs" dxfId="18104" priority="1106" operator="lessThan">
      <formula>-105575</formula>
    </cfRule>
  </conditionalFormatting>
  <conditionalFormatting sqref="BB130 BB132 BB134">
    <cfRule type="cellIs" dxfId="18103" priority="1103" operator="lessThan">
      <formula>0</formula>
    </cfRule>
    <cfRule type="cellIs" dxfId="18102" priority="1104" operator="lessThan">
      <formula>-105575</formula>
    </cfRule>
  </conditionalFormatting>
  <conditionalFormatting sqref="BB129 BB131 BB133 BB135">
    <cfRule type="cellIs" dxfId="18101" priority="1101" operator="lessThan">
      <formula>0</formula>
    </cfRule>
    <cfRule type="cellIs" dxfId="18100" priority="1102" operator="lessThan">
      <formula>-105575</formula>
    </cfRule>
  </conditionalFormatting>
  <conditionalFormatting sqref="BB140 BB145 BB142:BB143 BB137:BB138">
    <cfRule type="cellIs" dxfId="18099" priority="1099" operator="lessThan">
      <formula>0</formula>
    </cfRule>
    <cfRule type="cellIs" dxfId="18098" priority="1100" operator="lessThan">
      <formula>-105575</formula>
    </cfRule>
  </conditionalFormatting>
  <conditionalFormatting sqref="BB149">
    <cfRule type="cellIs" dxfId="18097" priority="1097" operator="lessThan">
      <formula>0</formula>
    </cfRule>
    <cfRule type="cellIs" dxfId="18096" priority="1098" operator="lessThan">
      <formula>-105575</formula>
    </cfRule>
  </conditionalFormatting>
  <conditionalFormatting sqref="BB129:BB138 BB140:BB149">
    <cfRule type="cellIs" dxfId="18095" priority="1095" operator="lessThan">
      <formula>0</formula>
    </cfRule>
    <cfRule type="cellIs" dxfId="18094" priority="1096" operator="lessThan">
      <formula>-105575</formula>
    </cfRule>
  </conditionalFormatting>
  <conditionalFormatting sqref="BB94:BB98 BB86:BB87 BB89:BB91 BB141:BB149 BB124:BB133 BB107:BB110 BB112:BB117 BB119:BB122 BB135:BB138 BB101:BB104 BB80:BB84">
    <cfRule type="cellIs" dxfId="18093" priority="1093" operator="lessThan">
      <formula>0</formula>
    </cfRule>
    <cfRule type="cellIs" dxfId="18092" priority="1094" operator="lessThan">
      <formula>-105575</formula>
    </cfRule>
  </conditionalFormatting>
  <conditionalFormatting sqref="BB129 BB131 BB133 BB135">
    <cfRule type="cellIs" dxfId="18091" priority="1091" operator="lessThan">
      <formula>0</formula>
    </cfRule>
    <cfRule type="cellIs" dxfId="18090" priority="1092" operator="lessThan">
      <formula>-105575</formula>
    </cfRule>
  </conditionalFormatting>
  <conditionalFormatting sqref="BB146 BB144 BB141">
    <cfRule type="cellIs" dxfId="18089" priority="1089" operator="lessThan">
      <formula>0</formula>
    </cfRule>
    <cfRule type="cellIs" dxfId="18088" priority="1090" operator="lessThan">
      <formula>-105575</formula>
    </cfRule>
  </conditionalFormatting>
  <conditionalFormatting sqref="BB146 BB144 BB141">
    <cfRule type="cellIs" dxfId="18087" priority="1087" operator="lessThan">
      <formula>0</formula>
    </cfRule>
    <cfRule type="cellIs" dxfId="18086" priority="1088" operator="lessThan">
      <formula>-105575</formula>
    </cfRule>
  </conditionalFormatting>
  <conditionalFormatting sqref="BB140 BB145 BB142:BB143 BB137:BB138">
    <cfRule type="cellIs" dxfId="18085" priority="1085" operator="lessThan">
      <formula>0</formula>
    </cfRule>
    <cfRule type="cellIs" dxfId="18084" priority="1086" operator="lessThan">
      <formula>-105575</formula>
    </cfRule>
  </conditionalFormatting>
  <conditionalFormatting sqref="BB149">
    <cfRule type="cellIs" dxfId="18083" priority="1083" operator="lessThan">
      <formula>0</formula>
    </cfRule>
    <cfRule type="cellIs" dxfId="18082" priority="1084" operator="lessThan">
      <formula>-105575</formula>
    </cfRule>
  </conditionalFormatting>
  <conditionalFormatting sqref="BB94:BB98 BB86:BB87 BB89:BB91 BB141:BB149 BB124:BB133 BB107:BB110 BB112:BB117 BB119:BB122 BB135:BB138 BB101:BB104 BB80:BB84">
    <cfRule type="cellIs" dxfId="18081" priority="1081" operator="lessThan">
      <formula>0</formula>
    </cfRule>
    <cfRule type="cellIs" dxfId="18080" priority="1082" operator="lessThan">
      <formula>-105575</formula>
    </cfRule>
  </conditionalFormatting>
  <conditionalFormatting sqref="BB246:BB249 BB262 BB267 BB279:BB282 BB285:BB288 BB274:BB275 BB306:BB309 BB311:BB325 BB327:BB330 BB332:BB341 BB344:BB347 BB349:BB353 BB355:BB358 BB360:BB384 BB386:BB389 BB392:BB395 BB397:BB411 BB413:BB416 BB418:BB432 BB434:BB437 BB439:BB453 BB455:BB458 BB460:BB469 BB7:BB10 BB12:BB14 BB17:BB18 BB21:BB24 BB26:BB28 BB30:BB36 BB38 BB41:BB43 BB46:BB49 BB51:BB55 BB57:BB59 BB62:BB76 BB251:BB253 BB255:BB257 BB293:BB304 BB264:BB265 BB260 BB290:BB291 BB270:BB272">
    <cfRule type="cellIs" dxfId="18079" priority="1079" operator="lessThan">
      <formula>0</formula>
    </cfRule>
    <cfRule type="cellIs" dxfId="18078" priority="1080" operator="lessThan">
      <formula>-105575</formula>
    </cfRule>
  </conditionalFormatting>
  <conditionalFormatting sqref="BB41">
    <cfRule type="cellIs" dxfId="18077" priority="1077" operator="lessThan">
      <formula>0</formula>
    </cfRule>
    <cfRule type="cellIs" dxfId="18076" priority="1078" operator="lessThan">
      <formula>-105575</formula>
    </cfRule>
  </conditionalFormatting>
  <conditionalFormatting sqref="BB152:BB155">
    <cfRule type="cellIs" dxfId="18075" priority="1075" operator="lessThan">
      <formula>0</formula>
    </cfRule>
    <cfRule type="cellIs" dxfId="18074" priority="1076" operator="lessThan">
      <formula>-105575</formula>
    </cfRule>
  </conditionalFormatting>
  <conditionalFormatting sqref="BB152:BB155">
    <cfRule type="cellIs" dxfId="18073" priority="1073" operator="lessThan">
      <formula>0</formula>
    </cfRule>
    <cfRule type="cellIs" dxfId="18072" priority="1074" operator="lessThan">
      <formula>-105575</formula>
    </cfRule>
  </conditionalFormatting>
  <conditionalFormatting sqref="BB152:BB155">
    <cfRule type="cellIs" dxfId="18071" priority="1071" operator="lessThan">
      <formula>0</formula>
    </cfRule>
    <cfRule type="cellIs" dxfId="18070" priority="1072" operator="lessThan">
      <formula>-105575</formula>
    </cfRule>
  </conditionalFormatting>
  <conditionalFormatting sqref="BB157:BB158">
    <cfRule type="cellIs" dxfId="18069" priority="1069" operator="lessThan">
      <formula>0</formula>
    </cfRule>
    <cfRule type="cellIs" dxfId="18068" priority="1070" operator="lessThan">
      <formula>-105575</formula>
    </cfRule>
  </conditionalFormatting>
  <conditionalFormatting sqref="BB157:BB158">
    <cfRule type="cellIs" dxfId="18067" priority="1067" operator="lessThan">
      <formula>0</formula>
    </cfRule>
    <cfRule type="cellIs" dxfId="18066" priority="1068" operator="lessThan">
      <formula>-105575</formula>
    </cfRule>
  </conditionalFormatting>
  <conditionalFormatting sqref="BB157:BB158">
    <cfRule type="cellIs" dxfId="18065" priority="1065" operator="lessThan">
      <formula>0</formula>
    </cfRule>
    <cfRule type="cellIs" dxfId="18064" priority="1066" operator="lessThan">
      <formula>-105575</formula>
    </cfRule>
  </conditionalFormatting>
  <conditionalFormatting sqref="BB160:BB161">
    <cfRule type="cellIs" dxfId="18063" priority="1063" operator="lessThan">
      <formula>0</formula>
    </cfRule>
    <cfRule type="cellIs" dxfId="18062" priority="1064" operator="lessThan">
      <formula>-105575</formula>
    </cfRule>
  </conditionalFormatting>
  <conditionalFormatting sqref="BB160:BB161">
    <cfRule type="cellIs" dxfId="18061" priority="1061" operator="lessThan">
      <formula>0</formula>
    </cfRule>
    <cfRule type="cellIs" dxfId="18060" priority="1062" operator="lessThan">
      <formula>-105575</formula>
    </cfRule>
  </conditionalFormatting>
  <conditionalFormatting sqref="BB160:BB161">
    <cfRule type="cellIs" dxfId="18059" priority="1059" operator="lessThan">
      <formula>0</formula>
    </cfRule>
    <cfRule type="cellIs" dxfId="18058" priority="1060" operator="lessThan">
      <formula>-105575</formula>
    </cfRule>
  </conditionalFormatting>
  <conditionalFormatting sqref="BB164:BB167">
    <cfRule type="cellIs" dxfId="18057" priority="1057" operator="lessThan">
      <formula>0</formula>
    </cfRule>
    <cfRule type="cellIs" dxfId="18056" priority="1058" operator="lessThan">
      <formula>-105575</formula>
    </cfRule>
  </conditionalFormatting>
  <conditionalFormatting sqref="BB164:BB167">
    <cfRule type="cellIs" dxfId="18055" priority="1055" operator="lessThan">
      <formula>0</formula>
    </cfRule>
    <cfRule type="cellIs" dxfId="18054" priority="1056" operator="lessThan">
      <formula>-105575</formula>
    </cfRule>
  </conditionalFormatting>
  <conditionalFormatting sqref="BB164:BB167">
    <cfRule type="cellIs" dxfId="18053" priority="1053" operator="lessThan">
      <formula>0</formula>
    </cfRule>
    <cfRule type="cellIs" dxfId="18052" priority="1054" operator="lessThan">
      <formula>-105575</formula>
    </cfRule>
  </conditionalFormatting>
  <conditionalFormatting sqref="BB169:BB177">
    <cfRule type="cellIs" dxfId="18051" priority="1051" operator="lessThan">
      <formula>0</formula>
    </cfRule>
    <cfRule type="cellIs" dxfId="18050" priority="1052" operator="lessThan">
      <formula>-105575</formula>
    </cfRule>
  </conditionalFormatting>
  <conditionalFormatting sqref="BB169:BB177">
    <cfRule type="cellIs" dxfId="18049" priority="1049" operator="lessThan">
      <formula>0</formula>
    </cfRule>
    <cfRule type="cellIs" dxfId="18048" priority="1050" operator="lessThan">
      <formula>-105575</formula>
    </cfRule>
  </conditionalFormatting>
  <conditionalFormatting sqref="BB169:BB177">
    <cfRule type="cellIs" dxfId="18047" priority="1047" operator="lessThan">
      <formula>0</formula>
    </cfRule>
    <cfRule type="cellIs" dxfId="18046" priority="1048" operator="lessThan">
      <formula>-105575</formula>
    </cfRule>
  </conditionalFormatting>
  <conditionalFormatting sqref="BB179:BB180">
    <cfRule type="cellIs" dxfId="18045" priority="1045" operator="lessThan">
      <formula>0</formula>
    </cfRule>
    <cfRule type="cellIs" dxfId="18044" priority="1046" operator="lessThan">
      <formula>-105575</formula>
    </cfRule>
  </conditionalFormatting>
  <conditionalFormatting sqref="BB179:BB180">
    <cfRule type="cellIs" dxfId="18043" priority="1043" operator="lessThan">
      <formula>0</formula>
    </cfRule>
    <cfRule type="cellIs" dxfId="18042" priority="1044" operator="lessThan">
      <formula>-105575</formula>
    </cfRule>
  </conditionalFormatting>
  <conditionalFormatting sqref="BB179:BB180">
    <cfRule type="cellIs" dxfId="18041" priority="1041" operator="lessThan">
      <formula>0</formula>
    </cfRule>
    <cfRule type="cellIs" dxfId="18040" priority="1042" operator="lessThan">
      <formula>-105575</formula>
    </cfRule>
  </conditionalFormatting>
  <conditionalFormatting sqref="BB183:BB189">
    <cfRule type="cellIs" dxfId="18039" priority="1039" operator="lessThan">
      <formula>0</formula>
    </cfRule>
    <cfRule type="cellIs" dxfId="18038" priority="1040" operator="lessThan">
      <formula>-105575</formula>
    </cfRule>
  </conditionalFormatting>
  <conditionalFormatting sqref="BB183:BB189">
    <cfRule type="cellIs" dxfId="18037" priority="1037" operator="lessThan">
      <formula>0</formula>
    </cfRule>
    <cfRule type="cellIs" dxfId="18036" priority="1038" operator="lessThan">
      <formula>-105575</formula>
    </cfRule>
  </conditionalFormatting>
  <conditionalFormatting sqref="BB183:BB189">
    <cfRule type="cellIs" dxfId="18035" priority="1035" operator="lessThan">
      <formula>0</formula>
    </cfRule>
    <cfRule type="cellIs" dxfId="18034" priority="1036" operator="lessThan">
      <formula>-105575</formula>
    </cfRule>
  </conditionalFormatting>
  <conditionalFormatting sqref="BB191:BB192">
    <cfRule type="cellIs" dxfId="18033" priority="1033" operator="lessThan">
      <formula>0</formula>
    </cfRule>
    <cfRule type="cellIs" dxfId="18032" priority="1034" operator="lessThan">
      <formula>-105575</formula>
    </cfRule>
  </conditionalFormatting>
  <conditionalFormatting sqref="BB191:BB192">
    <cfRule type="cellIs" dxfId="18031" priority="1031" operator="lessThan">
      <formula>0</formula>
    </cfRule>
    <cfRule type="cellIs" dxfId="18030" priority="1032" operator="lessThan">
      <formula>-105575</formula>
    </cfRule>
  </conditionalFormatting>
  <conditionalFormatting sqref="BB191:BB192">
    <cfRule type="cellIs" dxfId="18029" priority="1029" operator="lessThan">
      <formula>0</formula>
    </cfRule>
    <cfRule type="cellIs" dxfId="18028" priority="1030" operator="lessThan">
      <formula>-105575</formula>
    </cfRule>
  </conditionalFormatting>
  <conditionalFormatting sqref="BB194:BB195">
    <cfRule type="cellIs" dxfId="18027" priority="1027" operator="lessThan">
      <formula>0</formula>
    </cfRule>
    <cfRule type="cellIs" dxfId="18026" priority="1028" operator="lessThan">
      <formula>-105575</formula>
    </cfRule>
  </conditionalFormatting>
  <conditionalFormatting sqref="BB194:BB195">
    <cfRule type="cellIs" dxfId="18025" priority="1025" operator="lessThan">
      <formula>0</formula>
    </cfRule>
    <cfRule type="cellIs" dxfId="18024" priority="1026" operator="lessThan">
      <formula>-105575</formula>
    </cfRule>
  </conditionalFormatting>
  <conditionalFormatting sqref="BB194:BB195">
    <cfRule type="cellIs" dxfId="18023" priority="1023" operator="lessThan">
      <formula>0</formula>
    </cfRule>
    <cfRule type="cellIs" dxfId="18022" priority="1024" operator="lessThan">
      <formula>-105575</formula>
    </cfRule>
  </conditionalFormatting>
  <conditionalFormatting sqref="BB199:BB202">
    <cfRule type="cellIs" dxfId="18021" priority="1021" operator="lessThan">
      <formula>0</formula>
    </cfRule>
    <cfRule type="cellIs" dxfId="18020" priority="1022" operator="lessThan">
      <formula>-105575</formula>
    </cfRule>
  </conditionalFormatting>
  <conditionalFormatting sqref="BB199:BB202">
    <cfRule type="cellIs" dxfId="18019" priority="1019" operator="lessThan">
      <formula>0</formula>
    </cfRule>
    <cfRule type="cellIs" dxfId="18018" priority="1020" operator="lessThan">
      <formula>-105575</formula>
    </cfRule>
  </conditionalFormatting>
  <conditionalFormatting sqref="BB199:BB202">
    <cfRule type="cellIs" dxfId="18017" priority="1017" operator="lessThan">
      <formula>0</formula>
    </cfRule>
    <cfRule type="cellIs" dxfId="18016" priority="1018" operator="lessThan">
      <formula>-105575</formula>
    </cfRule>
  </conditionalFormatting>
  <conditionalFormatting sqref="BB204:BB208">
    <cfRule type="cellIs" dxfId="18015" priority="1015" operator="lessThan">
      <formula>0</formula>
    </cfRule>
    <cfRule type="cellIs" dxfId="18014" priority="1016" operator="lessThan">
      <formula>-105575</formula>
    </cfRule>
  </conditionalFormatting>
  <conditionalFormatting sqref="BB204:BB208">
    <cfRule type="cellIs" dxfId="18013" priority="1013" operator="lessThan">
      <formula>0</formula>
    </cfRule>
    <cfRule type="cellIs" dxfId="18012" priority="1014" operator="lessThan">
      <formula>-105575</formula>
    </cfRule>
  </conditionalFormatting>
  <conditionalFormatting sqref="BB204:BB208">
    <cfRule type="cellIs" dxfId="18011" priority="1011" operator="lessThan">
      <formula>0</formula>
    </cfRule>
    <cfRule type="cellIs" dxfId="18010" priority="1012" operator="lessThan">
      <formula>-105575</formula>
    </cfRule>
  </conditionalFormatting>
  <conditionalFormatting sqref="BB210:BB211">
    <cfRule type="cellIs" dxfId="18009" priority="1009" operator="lessThan">
      <formula>0</formula>
    </cfRule>
    <cfRule type="cellIs" dxfId="18008" priority="1010" operator="lessThan">
      <formula>-105575</formula>
    </cfRule>
  </conditionalFormatting>
  <conditionalFormatting sqref="BB210:BB211">
    <cfRule type="cellIs" dxfId="18007" priority="1007" operator="lessThan">
      <formula>0</formula>
    </cfRule>
    <cfRule type="cellIs" dxfId="18006" priority="1008" operator="lessThan">
      <formula>-105575</formula>
    </cfRule>
  </conditionalFormatting>
  <conditionalFormatting sqref="BB210:BB211">
    <cfRule type="cellIs" dxfId="18005" priority="1005" operator="lessThan">
      <formula>0</formula>
    </cfRule>
    <cfRule type="cellIs" dxfId="18004" priority="1006" operator="lessThan">
      <formula>-105575</formula>
    </cfRule>
  </conditionalFormatting>
  <conditionalFormatting sqref="BB214:BB219">
    <cfRule type="cellIs" dxfId="18003" priority="1003" operator="lessThan">
      <formula>0</formula>
    </cfRule>
    <cfRule type="cellIs" dxfId="18002" priority="1004" operator="lessThan">
      <formula>-105575</formula>
    </cfRule>
  </conditionalFormatting>
  <conditionalFormatting sqref="BB214:BB219">
    <cfRule type="cellIs" dxfId="18001" priority="1001" operator="lessThan">
      <formula>0</formula>
    </cfRule>
    <cfRule type="cellIs" dxfId="18000" priority="1002" operator="lessThan">
      <formula>-105575</formula>
    </cfRule>
  </conditionalFormatting>
  <conditionalFormatting sqref="BB214:BB219">
    <cfRule type="cellIs" dxfId="17999" priority="999" operator="lessThan">
      <formula>0</formula>
    </cfRule>
    <cfRule type="cellIs" dxfId="17998" priority="1000" operator="lessThan">
      <formula>-105575</formula>
    </cfRule>
  </conditionalFormatting>
  <conditionalFormatting sqref="BB222:BB224">
    <cfRule type="cellIs" dxfId="17997" priority="997" operator="lessThan">
      <formula>0</formula>
    </cfRule>
    <cfRule type="cellIs" dxfId="17996" priority="998" operator="lessThan">
      <formula>-105575</formula>
    </cfRule>
  </conditionalFormatting>
  <conditionalFormatting sqref="BB222:BB224">
    <cfRule type="cellIs" dxfId="17995" priority="995" operator="lessThan">
      <formula>0</formula>
    </cfRule>
    <cfRule type="cellIs" dxfId="17994" priority="996" operator="lessThan">
      <formula>-105575</formula>
    </cfRule>
  </conditionalFormatting>
  <conditionalFormatting sqref="BB222:BB224">
    <cfRule type="cellIs" dxfId="17993" priority="993" operator="lessThan">
      <formula>0</formula>
    </cfRule>
    <cfRule type="cellIs" dxfId="17992" priority="994" operator="lessThan">
      <formula>-105575</formula>
    </cfRule>
  </conditionalFormatting>
  <conditionalFormatting sqref="BB227:BB230">
    <cfRule type="cellIs" dxfId="17991" priority="991" operator="lessThan">
      <formula>0</formula>
    </cfRule>
    <cfRule type="cellIs" dxfId="17990" priority="992" operator="lessThan">
      <formula>-105575</formula>
    </cfRule>
  </conditionalFormatting>
  <conditionalFormatting sqref="BB227:BB230">
    <cfRule type="cellIs" dxfId="17989" priority="989" operator="lessThan">
      <formula>0</formula>
    </cfRule>
    <cfRule type="cellIs" dxfId="17988" priority="990" operator="lessThan">
      <formula>-105575</formula>
    </cfRule>
  </conditionalFormatting>
  <conditionalFormatting sqref="BB227:BB230">
    <cfRule type="cellIs" dxfId="17987" priority="987" operator="lessThan">
      <formula>0</formula>
    </cfRule>
    <cfRule type="cellIs" dxfId="17986" priority="988" operator="lessThan">
      <formula>-105575</formula>
    </cfRule>
  </conditionalFormatting>
  <conditionalFormatting sqref="BB203 BB220:BB221 BB235:BB243 BB231:BB233 BB212:BB213 BB225:BB226">
    <cfRule type="cellIs" dxfId="17985" priority="985" operator="lessThan">
      <formula>0</formula>
    </cfRule>
    <cfRule type="cellIs" dxfId="17984" priority="986" operator="lessThan">
      <formula>-105575</formula>
    </cfRule>
  </conditionalFormatting>
  <conditionalFormatting sqref="BB220 BB212:BB213 BB235:BB238 BB240:BB243 BB225:BB226 BB231:BB233">
    <cfRule type="cellIs" dxfId="17983" priority="983" operator="lessThan">
      <formula>0</formula>
    </cfRule>
    <cfRule type="cellIs" dxfId="17982" priority="984" operator="lessThan">
      <formula>-105575</formula>
    </cfRule>
  </conditionalFormatting>
  <conditionalFormatting sqref="BB220:BB221 BB243 BB226 BB231:BB236 BB238:BB241 BB203 BB213">
    <cfRule type="cellIs" dxfId="17981" priority="981" operator="lessThan">
      <formula>0</formula>
    </cfRule>
    <cfRule type="cellIs" dxfId="17980" priority="982" operator="lessThan">
      <formula>-105575</formula>
    </cfRule>
  </conditionalFormatting>
  <conditionalFormatting sqref="BB235:BB243 BB231:BB233 BB220 BB212:BB213 BB225:BB226">
    <cfRule type="cellIs" dxfId="17979" priority="979" operator="lessThan">
      <formula>0</formula>
    </cfRule>
    <cfRule type="cellIs" dxfId="17978" priority="980" operator="lessThan">
      <formula>-105575</formula>
    </cfRule>
  </conditionalFormatting>
  <conditionalFormatting sqref="BB220:BB221 BB237:BB243 BB203 BB231:BB235 BB212:BB213 BB225:BB226">
    <cfRule type="cellIs" dxfId="17977" priority="977" operator="lessThan">
      <formula>0</formula>
    </cfRule>
    <cfRule type="cellIs" dxfId="17976" priority="978" operator="lessThan">
      <formula>-105575</formula>
    </cfRule>
  </conditionalFormatting>
  <conditionalFormatting sqref="BB220:BB221 BB237:BB240 BB242:BB243 BB225:BB226 BB231:BB235">
    <cfRule type="cellIs" dxfId="17975" priority="975" operator="lessThan">
      <formula>0</formula>
    </cfRule>
    <cfRule type="cellIs" dxfId="17974" priority="976" operator="lessThan">
      <formula>-105575</formula>
    </cfRule>
  </conditionalFormatting>
  <conditionalFormatting sqref="BB212 BB231 BB233:BB238 BB240:BB243 BB225">
    <cfRule type="cellIs" dxfId="17973" priority="973" operator="lessThan">
      <formula>0</formula>
    </cfRule>
    <cfRule type="cellIs" dxfId="17972" priority="974" operator="lessThan">
      <formula>-105575</formula>
    </cfRule>
  </conditionalFormatting>
  <conditionalFormatting sqref="BB237:BB243 BB231:BB235 BB220:BB221 BB225:BB226">
    <cfRule type="cellIs" dxfId="17971" priority="971" operator="lessThan">
      <formula>0</formula>
    </cfRule>
    <cfRule type="cellIs" dxfId="17970" priority="972" operator="lessThan">
      <formula>-105575</formula>
    </cfRule>
  </conditionalFormatting>
  <conditionalFormatting sqref="BB233:BB237 BB231 BB239:BB243">
    <cfRule type="cellIs" dxfId="17969" priority="969" operator="lessThan">
      <formula>0</formula>
    </cfRule>
    <cfRule type="cellIs" dxfId="17968" priority="970" operator="lessThan">
      <formula>-105575</formula>
    </cfRule>
  </conditionalFormatting>
  <conditionalFormatting sqref="BB233:BB237 BB231 BB239:BB243">
    <cfRule type="cellIs" dxfId="17967" priority="967" operator="lessThan">
      <formula>0</formula>
    </cfRule>
    <cfRule type="cellIs" dxfId="17966" priority="968" operator="lessThan">
      <formula>-105575</formula>
    </cfRule>
  </conditionalFormatting>
  <conditionalFormatting sqref="BB119:BB128 BB106:BB117 BB101:BB104 BB80:BB98">
    <cfRule type="cellIs" dxfId="17965" priority="965" operator="lessThan">
      <formula>0</formula>
    </cfRule>
    <cfRule type="cellIs" dxfId="17964" priority="966" operator="lessThan">
      <formula>-105575</formula>
    </cfRule>
  </conditionalFormatting>
  <conditionalFormatting sqref="BB130 BB132 BB134">
    <cfRule type="cellIs" dxfId="17963" priority="963" operator="lessThan">
      <formula>0</formula>
    </cfRule>
    <cfRule type="cellIs" dxfId="17962" priority="964" operator="lessThan">
      <formula>-105575</formula>
    </cfRule>
  </conditionalFormatting>
  <conditionalFormatting sqref="BB130 BB132 BB134">
    <cfRule type="cellIs" dxfId="17961" priority="961" operator="lessThan">
      <formula>0</formula>
    </cfRule>
    <cfRule type="cellIs" dxfId="17960" priority="962" operator="lessThan">
      <formula>-105575</formula>
    </cfRule>
  </conditionalFormatting>
  <conditionalFormatting sqref="BB129 BB131 BB133 BB135">
    <cfRule type="cellIs" dxfId="17959" priority="959" operator="lessThan">
      <formula>0</formula>
    </cfRule>
    <cfRule type="cellIs" dxfId="17958" priority="960" operator="lessThan">
      <formula>-105575</formula>
    </cfRule>
  </conditionalFormatting>
  <conditionalFormatting sqref="BB140 BB145 BB142:BB143 BB137:BB138">
    <cfRule type="cellIs" dxfId="17957" priority="957" operator="lessThan">
      <formula>0</formula>
    </cfRule>
    <cfRule type="cellIs" dxfId="17956" priority="958" operator="lessThan">
      <formula>-105575</formula>
    </cfRule>
  </conditionalFormatting>
  <conditionalFormatting sqref="BB149">
    <cfRule type="cellIs" dxfId="17955" priority="955" operator="lessThan">
      <formula>0</formula>
    </cfRule>
    <cfRule type="cellIs" dxfId="17954" priority="956" operator="lessThan">
      <formula>-105575</formula>
    </cfRule>
  </conditionalFormatting>
  <conditionalFormatting sqref="BB129:BB138 BB140:BB149">
    <cfRule type="cellIs" dxfId="17953" priority="953" operator="lessThan">
      <formula>0</formula>
    </cfRule>
    <cfRule type="cellIs" dxfId="17952" priority="954" operator="lessThan">
      <formula>-105575</formula>
    </cfRule>
  </conditionalFormatting>
  <conditionalFormatting sqref="BB94:BB98 BB86:BB87 BB89:BB91 BB141:BB149 BB124:BB133 BB107:BB110 BB112:BB117 BB119:BB122 BB135:BB138 BB101:BB104 BB80:BB84">
    <cfRule type="cellIs" dxfId="17951" priority="951" operator="lessThan">
      <formula>0</formula>
    </cfRule>
    <cfRule type="cellIs" dxfId="17950" priority="952" operator="lessThan">
      <formula>-105575</formula>
    </cfRule>
  </conditionalFormatting>
  <conditionalFormatting sqref="BB129 BB131 BB133 BB135">
    <cfRule type="cellIs" dxfId="17949" priority="949" operator="lessThan">
      <formula>0</formula>
    </cfRule>
    <cfRule type="cellIs" dxfId="17948" priority="950" operator="lessThan">
      <formula>-105575</formula>
    </cfRule>
  </conditionalFormatting>
  <conditionalFormatting sqref="BB146 BB144 BB141">
    <cfRule type="cellIs" dxfId="17947" priority="947" operator="lessThan">
      <formula>0</formula>
    </cfRule>
    <cfRule type="cellIs" dxfId="17946" priority="948" operator="lessThan">
      <formula>-105575</formula>
    </cfRule>
  </conditionalFormatting>
  <conditionalFormatting sqref="BB146 BB144 BB141">
    <cfRule type="cellIs" dxfId="17945" priority="945" operator="lessThan">
      <formula>0</formula>
    </cfRule>
    <cfRule type="cellIs" dxfId="17944" priority="946" operator="lessThan">
      <formula>-105575</formula>
    </cfRule>
  </conditionalFormatting>
  <conditionalFormatting sqref="BB140 BB145 BB142:BB143 BB137:BB138">
    <cfRule type="cellIs" dxfId="17943" priority="943" operator="lessThan">
      <formula>0</formula>
    </cfRule>
    <cfRule type="cellIs" dxfId="17942" priority="944" operator="lessThan">
      <formula>-105575</formula>
    </cfRule>
  </conditionalFormatting>
  <conditionalFormatting sqref="BB149">
    <cfRule type="cellIs" dxfId="17941" priority="941" operator="lessThan">
      <formula>0</formula>
    </cfRule>
    <cfRule type="cellIs" dxfId="17940" priority="942" operator="lessThan">
      <formula>-105575</formula>
    </cfRule>
  </conditionalFormatting>
  <conditionalFormatting sqref="BB94:BB98 BB86:BB87 BB89:BB91 BB141:BB149 BB124:BB133 BB107:BB110 BB112:BB117 BB119:BB122 BB135:BB138 BB101:BB104 BB80:BB84">
    <cfRule type="cellIs" dxfId="17939" priority="939" operator="lessThan">
      <formula>0</formula>
    </cfRule>
    <cfRule type="cellIs" dxfId="17938" priority="940" operator="lessThan">
      <formula>-105575</formula>
    </cfRule>
  </conditionalFormatting>
  <conditionalFormatting sqref="BB62:BB76 BB306:BB309 BB311:BB325 BB327:BB330 BB332:BB341 BB344:BB347 BB349:BB353 BB355:BB358 BB360:BB384 BB386:BB389 BB392:BB395 BB397:BB411 BB413:BB416 BB418:BB432 BB434:BB437 BB439:BB453 BB455:BB458 BB460:BB469 BB7:BB10 BB12:BB14 BB17:BB18 BB21:BB24 BB26:BB28 BB30:BB36 BB38 BB41:BB43 BB46:BB49 BB51:BB55 BB57:BB59 BB290:BB291 BB293:BB304">
    <cfRule type="cellIs" dxfId="17937" priority="937" operator="lessThan">
      <formula>0</formula>
    </cfRule>
    <cfRule type="cellIs" dxfId="17936" priority="938" operator="lessThan">
      <formula>-105575</formula>
    </cfRule>
  </conditionalFormatting>
  <conditionalFormatting sqref="BB41">
    <cfRule type="cellIs" dxfId="17935" priority="935" operator="lessThan">
      <formula>0</formula>
    </cfRule>
    <cfRule type="cellIs" dxfId="17934" priority="936" operator="lessThan">
      <formula>-105575</formula>
    </cfRule>
  </conditionalFormatting>
  <conditionalFormatting sqref="BB152:BB155">
    <cfRule type="cellIs" dxfId="17933" priority="933" operator="lessThan">
      <formula>0</formula>
    </cfRule>
    <cfRule type="cellIs" dxfId="17932" priority="934" operator="lessThan">
      <formula>-105575</formula>
    </cfRule>
  </conditionalFormatting>
  <conditionalFormatting sqref="BB152:BB155">
    <cfRule type="cellIs" dxfId="17931" priority="931" operator="lessThan">
      <formula>0</formula>
    </cfRule>
    <cfRule type="cellIs" dxfId="17930" priority="932" operator="lessThan">
      <formula>-105575</formula>
    </cfRule>
  </conditionalFormatting>
  <conditionalFormatting sqref="BB152:BB155">
    <cfRule type="cellIs" dxfId="17929" priority="929" operator="lessThan">
      <formula>0</formula>
    </cfRule>
    <cfRule type="cellIs" dxfId="17928" priority="930" operator="lessThan">
      <formula>-105575</formula>
    </cfRule>
  </conditionalFormatting>
  <conditionalFormatting sqref="BB157:BB158">
    <cfRule type="cellIs" dxfId="17927" priority="927" operator="lessThan">
      <formula>0</formula>
    </cfRule>
    <cfRule type="cellIs" dxfId="17926" priority="928" operator="lessThan">
      <formula>-105575</formula>
    </cfRule>
  </conditionalFormatting>
  <conditionalFormatting sqref="BB157:BB158">
    <cfRule type="cellIs" dxfId="17925" priority="925" operator="lessThan">
      <formula>0</formula>
    </cfRule>
    <cfRule type="cellIs" dxfId="17924" priority="926" operator="lessThan">
      <formula>-105575</formula>
    </cfRule>
  </conditionalFormatting>
  <conditionalFormatting sqref="BB157:BB158">
    <cfRule type="cellIs" dxfId="17923" priority="923" operator="lessThan">
      <formula>0</formula>
    </cfRule>
    <cfRule type="cellIs" dxfId="17922" priority="924" operator="lessThan">
      <formula>-105575</formula>
    </cfRule>
  </conditionalFormatting>
  <conditionalFormatting sqref="BB160:BB161">
    <cfRule type="cellIs" dxfId="17921" priority="921" operator="lessThan">
      <formula>0</formula>
    </cfRule>
    <cfRule type="cellIs" dxfId="17920" priority="922" operator="lessThan">
      <formula>-105575</formula>
    </cfRule>
  </conditionalFormatting>
  <conditionalFormatting sqref="BB160:BB161">
    <cfRule type="cellIs" dxfId="17919" priority="919" operator="lessThan">
      <formula>0</formula>
    </cfRule>
    <cfRule type="cellIs" dxfId="17918" priority="920" operator="lessThan">
      <formula>-105575</formula>
    </cfRule>
  </conditionalFormatting>
  <conditionalFormatting sqref="BB160:BB161">
    <cfRule type="cellIs" dxfId="17917" priority="917" operator="lessThan">
      <formula>0</formula>
    </cfRule>
    <cfRule type="cellIs" dxfId="17916" priority="918" operator="lessThan">
      <formula>-105575</formula>
    </cfRule>
  </conditionalFormatting>
  <conditionalFormatting sqref="BB164:BB167">
    <cfRule type="cellIs" dxfId="17915" priority="915" operator="lessThan">
      <formula>0</formula>
    </cfRule>
    <cfRule type="cellIs" dxfId="17914" priority="916" operator="lessThan">
      <formula>-105575</formula>
    </cfRule>
  </conditionalFormatting>
  <conditionalFormatting sqref="BB164:BB167">
    <cfRule type="cellIs" dxfId="17913" priority="913" operator="lessThan">
      <formula>0</formula>
    </cfRule>
    <cfRule type="cellIs" dxfId="17912" priority="914" operator="lessThan">
      <formula>-105575</formula>
    </cfRule>
  </conditionalFormatting>
  <conditionalFormatting sqref="BB164:BB167">
    <cfRule type="cellIs" dxfId="17911" priority="911" operator="lessThan">
      <formula>0</formula>
    </cfRule>
    <cfRule type="cellIs" dxfId="17910" priority="912" operator="lessThan">
      <formula>-105575</formula>
    </cfRule>
  </conditionalFormatting>
  <conditionalFormatting sqref="BB169:BB177">
    <cfRule type="cellIs" dxfId="17909" priority="909" operator="lessThan">
      <formula>0</formula>
    </cfRule>
    <cfRule type="cellIs" dxfId="17908" priority="910" operator="lessThan">
      <formula>-105575</formula>
    </cfRule>
  </conditionalFormatting>
  <conditionalFormatting sqref="BB169:BB177">
    <cfRule type="cellIs" dxfId="17907" priority="907" operator="lessThan">
      <formula>0</formula>
    </cfRule>
    <cfRule type="cellIs" dxfId="17906" priority="908" operator="lessThan">
      <formula>-105575</formula>
    </cfRule>
  </conditionalFormatting>
  <conditionalFormatting sqref="BB169:BB177">
    <cfRule type="cellIs" dxfId="17905" priority="905" operator="lessThan">
      <formula>0</formula>
    </cfRule>
    <cfRule type="cellIs" dxfId="17904" priority="906" operator="lessThan">
      <formula>-105575</formula>
    </cfRule>
  </conditionalFormatting>
  <conditionalFormatting sqref="BB179:BB180">
    <cfRule type="cellIs" dxfId="17903" priority="903" operator="lessThan">
      <formula>0</formula>
    </cfRule>
    <cfRule type="cellIs" dxfId="17902" priority="904" operator="lessThan">
      <formula>-105575</formula>
    </cfRule>
  </conditionalFormatting>
  <conditionalFormatting sqref="BB179:BB180">
    <cfRule type="cellIs" dxfId="17901" priority="901" operator="lessThan">
      <formula>0</formula>
    </cfRule>
    <cfRule type="cellIs" dxfId="17900" priority="902" operator="lessThan">
      <formula>-105575</formula>
    </cfRule>
  </conditionalFormatting>
  <conditionalFormatting sqref="BB179:BB180">
    <cfRule type="cellIs" dxfId="17899" priority="899" operator="lessThan">
      <formula>0</formula>
    </cfRule>
    <cfRule type="cellIs" dxfId="17898" priority="900" operator="lessThan">
      <formula>-105575</formula>
    </cfRule>
  </conditionalFormatting>
  <conditionalFormatting sqref="BB183:BB189">
    <cfRule type="cellIs" dxfId="17897" priority="897" operator="lessThan">
      <formula>0</formula>
    </cfRule>
    <cfRule type="cellIs" dxfId="17896" priority="898" operator="lessThan">
      <formula>-105575</formula>
    </cfRule>
  </conditionalFormatting>
  <conditionalFormatting sqref="BB183:BB189">
    <cfRule type="cellIs" dxfId="17895" priority="895" operator="lessThan">
      <formula>0</formula>
    </cfRule>
    <cfRule type="cellIs" dxfId="17894" priority="896" operator="lessThan">
      <formula>-105575</formula>
    </cfRule>
  </conditionalFormatting>
  <conditionalFormatting sqref="BB183:BB189">
    <cfRule type="cellIs" dxfId="17893" priority="893" operator="lessThan">
      <formula>0</formula>
    </cfRule>
    <cfRule type="cellIs" dxfId="17892" priority="894" operator="lessThan">
      <formula>-105575</formula>
    </cfRule>
  </conditionalFormatting>
  <conditionalFormatting sqref="BB191:BB192">
    <cfRule type="cellIs" dxfId="17891" priority="891" operator="lessThan">
      <formula>0</formula>
    </cfRule>
    <cfRule type="cellIs" dxfId="17890" priority="892" operator="lessThan">
      <formula>-105575</formula>
    </cfRule>
  </conditionalFormatting>
  <conditionalFormatting sqref="BB191:BB192">
    <cfRule type="cellIs" dxfId="17889" priority="889" operator="lessThan">
      <formula>0</formula>
    </cfRule>
    <cfRule type="cellIs" dxfId="17888" priority="890" operator="lessThan">
      <formula>-105575</formula>
    </cfRule>
  </conditionalFormatting>
  <conditionalFormatting sqref="BB191:BB192">
    <cfRule type="cellIs" dxfId="17887" priority="887" operator="lessThan">
      <formula>0</formula>
    </cfRule>
    <cfRule type="cellIs" dxfId="17886" priority="888" operator="lessThan">
      <formula>-105575</formula>
    </cfRule>
  </conditionalFormatting>
  <conditionalFormatting sqref="BB194:BB195">
    <cfRule type="cellIs" dxfId="17885" priority="885" operator="lessThan">
      <formula>0</formula>
    </cfRule>
    <cfRule type="cellIs" dxfId="17884" priority="886" operator="lessThan">
      <formula>-105575</formula>
    </cfRule>
  </conditionalFormatting>
  <conditionalFormatting sqref="BB194:BB195">
    <cfRule type="cellIs" dxfId="17883" priority="883" operator="lessThan">
      <formula>0</formula>
    </cfRule>
    <cfRule type="cellIs" dxfId="17882" priority="884" operator="lessThan">
      <formula>-105575</formula>
    </cfRule>
  </conditionalFormatting>
  <conditionalFormatting sqref="BB194:BB195">
    <cfRule type="cellIs" dxfId="17881" priority="881" operator="lessThan">
      <formula>0</formula>
    </cfRule>
    <cfRule type="cellIs" dxfId="17880" priority="882" operator="lessThan">
      <formula>-105575</formula>
    </cfRule>
  </conditionalFormatting>
  <conditionalFormatting sqref="BB199:BB202">
    <cfRule type="cellIs" dxfId="17879" priority="879" operator="lessThan">
      <formula>0</formula>
    </cfRule>
    <cfRule type="cellIs" dxfId="17878" priority="880" operator="lessThan">
      <formula>-105575</formula>
    </cfRule>
  </conditionalFormatting>
  <conditionalFormatting sqref="BB199:BB202">
    <cfRule type="cellIs" dxfId="17877" priority="877" operator="lessThan">
      <formula>0</formula>
    </cfRule>
    <cfRule type="cellIs" dxfId="17876" priority="878" operator="lessThan">
      <formula>-105575</formula>
    </cfRule>
  </conditionalFormatting>
  <conditionalFormatting sqref="BB199:BB202">
    <cfRule type="cellIs" dxfId="17875" priority="875" operator="lessThan">
      <formula>0</formula>
    </cfRule>
    <cfRule type="cellIs" dxfId="17874" priority="876" operator="lessThan">
      <formula>-105575</formula>
    </cfRule>
  </conditionalFormatting>
  <conditionalFormatting sqref="BB204:BB208">
    <cfRule type="cellIs" dxfId="17873" priority="873" operator="lessThan">
      <formula>0</formula>
    </cfRule>
    <cfRule type="cellIs" dxfId="17872" priority="874" operator="lessThan">
      <formula>-105575</formula>
    </cfRule>
  </conditionalFormatting>
  <conditionalFormatting sqref="BB204:BB208">
    <cfRule type="cellIs" dxfId="17871" priority="871" operator="lessThan">
      <formula>0</formula>
    </cfRule>
    <cfRule type="cellIs" dxfId="17870" priority="872" operator="lessThan">
      <formula>-105575</formula>
    </cfRule>
  </conditionalFormatting>
  <conditionalFormatting sqref="BB204:BB208">
    <cfRule type="cellIs" dxfId="17869" priority="869" operator="lessThan">
      <formula>0</formula>
    </cfRule>
    <cfRule type="cellIs" dxfId="17868" priority="870" operator="lessThan">
      <formula>-105575</formula>
    </cfRule>
  </conditionalFormatting>
  <conditionalFormatting sqref="BB210:BB211">
    <cfRule type="cellIs" dxfId="17867" priority="867" operator="lessThan">
      <formula>0</formula>
    </cfRule>
    <cfRule type="cellIs" dxfId="17866" priority="868" operator="lessThan">
      <formula>-105575</formula>
    </cfRule>
  </conditionalFormatting>
  <conditionalFormatting sqref="BB210:BB211">
    <cfRule type="cellIs" dxfId="17865" priority="865" operator="lessThan">
      <formula>0</formula>
    </cfRule>
    <cfRule type="cellIs" dxfId="17864" priority="866" operator="lessThan">
      <formula>-105575</formula>
    </cfRule>
  </conditionalFormatting>
  <conditionalFormatting sqref="BB210:BB211">
    <cfRule type="cellIs" dxfId="17863" priority="863" operator="lessThan">
      <formula>0</formula>
    </cfRule>
    <cfRule type="cellIs" dxfId="17862" priority="864" operator="lessThan">
      <formula>-105575</formula>
    </cfRule>
  </conditionalFormatting>
  <conditionalFormatting sqref="BB214:BB219">
    <cfRule type="cellIs" dxfId="17861" priority="861" operator="lessThan">
      <formula>0</formula>
    </cfRule>
    <cfRule type="cellIs" dxfId="17860" priority="862" operator="lessThan">
      <formula>-105575</formula>
    </cfRule>
  </conditionalFormatting>
  <conditionalFormatting sqref="BB214:BB219">
    <cfRule type="cellIs" dxfId="17859" priority="859" operator="lessThan">
      <formula>0</formula>
    </cfRule>
    <cfRule type="cellIs" dxfId="17858" priority="860" operator="lessThan">
      <formula>-105575</formula>
    </cfRule>
  </conditionalFormatting>
  <conditionalFormatting sqref="BB214:BB219">
    <cfRule type="cellIs" dxfId="17857" priority="857" operator="lessThan">
      <formula>0</formula>
    </cfRule>
    <cfRule type="cellIs" dxfId="17856" priority="858" operator="lessThan">
      <formula>-105575</formula>
    </cfRule>
  </conditionalFormatting>
  <conditionalFormatting sqref="BB222:BB224">
    <cfRule type="cellIs" dxfId="17855" priority="855" operator="lessThan">
      <formula>0</formula>
    </cfRule>
    <cfRule type="cellIs" dxfId="17854" priority="856" operator="lessThan">
      <formula>-105575</formula>
    </cfRule>
  </conditionalFormatting>
  <conditionalFormatting sqref="BB222:BB224">
    <cfRule type="cellIs" dxfId="17853" priority="853" operator="lessThan">
      <formula>0</formula>
    </cfRule>
    <cfRule type="cellIs" dxfId="17852" priority="854" operator="lessThan">
      <formula>-105575</formula>
    </cfRule>
  </conditionalFormatting>
  <conditionalFormatting sqref="BB222:BB224">
    <cfRule type="cellIs" dxfId="17851" priority="851" operator="lessThan">
      <formula>0</formula>
    </cfRule>
    <cfRule type="cellIs" dxfId="17850" priority="852" operator="lessThan">
      <formula>-105575</formula>
    </cfRule>
  </conditionalFormatting>
  <conditionalFormatting sqref="BB227:BB230">
    <cfRule type="cellIs" dxfId="17849" priority="849" operator="lessThan">
      <formula>0</formula>
    </cfRule>
    <cfRule type="cellIs" dxfId="17848" priority="850" operator="lessThan">
      <formula>-105575</formula>
    </cfRule>
  </conditionalFormatting>
  <conditionalFormatting sqref="BB227:BB230">
    <cfRule type="cellIs" dxfId="17847" priority="847" operator="lessThan">
      <formula>0</formula>
    </cfRule>
    <cfRule type="cellIs" dxfId="17846" priority="848" operator="lessThan">
      <formula>-105575</formula>
    </cfRule>
  </conditionalFormatting>
  <conditionalFormatting sqref="BB227:BB230">
    <cfRule type="cellIs" dxfId="17845" priority="845" operator="lessThan">
      <formula>0</formula>
    </cfRule>
    <cfRule type="cellIs" dxfId="17844" priority="846" operator="lessThan">
      <formula>-105575</formula>
    </cfRule>
  </conditionalFormatting>
  <conditionalFormatting sqref="BB246:BB249">
    <cfRule type="cellIs" dxfId="17843" priority="843" operator="lessThan">
      <formula>0</formula>
    </cfRule>
    <cfRule type="cellIs" dxfId="17842" priority="844" operator="lessThan">
      <formula>-105575</formula>
    </cfRule>
  </conditionalFormatting>
  <conditionalFormatting sqref="BB246:BB249">
    <cfRule type="cellIs" dxfId="17841" priority="841" operator="lessThan">
      <formula>0</formula>
    </cfRule>
    <cfRule type="cellIs" dxfId="17840" priority="842" operator="lessThan">
      <formula>-105575</formula>
    </cfRule>
  </conditionalFormatting>
  <conditionalFormatting sqref="BB246:BB249">
    <cfRule type="cellIs" dxfId="17839" priority="839" operator="lessThan">
      <formula>0</formula>
    </cfRule>
    <cfRule type="cellIs" dxfId="17838" priority="840" operator="lessThan">
      <formula>-105575</formula>
    </cfRule>
  </conditionalFormatting>
  <conditionalFormatting sqref="BB246:BB249">
    <cfRule type="cellIs" dxfId="17837" priority="837" operator="lessThan">
      <formula>0</formula>
    </cfRule>
    <cfRule type="cellIs" dxfId="17836" priority="838" operator="lessThan">
      <formula>-105575</formula>
    </cfRule>
  </conditionalFormatting>
  <conditionalFormatting sqref="BB246:BB249">
    <cfRule type="cellIs" dxfId="17835" priority="835" operator="lessThan">
      <formula>0</formula>
    </cfRule>
    <cfRule type="cellIs" dxfId="17834" priority="836" operator="lessThan">
      <formula>-105575</formula>
    </cfRule>
  </conditionalFormatting>
  <conditionalFormatting sqref="BB246:BB249">
    <cfRule type="cellIs" dxfId="17833" priority="833" operator="lessThan">
      <formula>0</formula>
    </cfRule>
    <cfRule type="cellIs" dxfId="17832" priority="834" operator="lessThan">
      <formula>-105575</formula>
    </cfRule>
  </conditionalFormatting>
  <conditionalFormatting sqref="BB246:BB249">
    <cfRule type="cellIs" dxfId="17831" priority="831" operator="lessThan">
      <formula>0</formula>
    </cfRule>
    <cfRule type="cellIs" dxfId="17830" priority="832" operator="lessThan">
      <formula>-105575</formula>
    </cfRule>
  </conditionalFormatting>
  <conditionalFormatting sqref="BB246:BB249">
    <cfRule type="cellIs" dxfId="17829" priority="829" operator="lessThan">
      <formula>0</formula>
    </cfRule>
    <cfRule type="cellIs" dxfId="17828" priority="830" operator="lessThan">
      <formula>-105575</formula>
    </cfRule>
  </conditionalFormatting>
  <conditionalFormatting sqref="BB246:BB249">
    <cfRule type="cellIs" dxfId="17827" priority="827" operator="lessThan">
      <formula>0</formula>
    </cfRule>
    <cfRule type="cellIs" dxfId="17826" priority="828" operator="lessThan">
      <formula>-105575</formula>
    </cfRule>
  </conditionalFormatting>
  <conditionalFormatting sqref="BB251:BB253">
    <cfRule type="cellIs" dxfId="17825" priority="825" operator="lessThan">
      <formula>0</formula>
    </cfRule>
    <cfRule type="cellIs" dxfId="17824" priority="826" operator="lessThan">
      <formula>-105575</formula>
    </cfRule>
  </conditionalFormatting>
  <conditionalFormatting sqref="BB251:BB253">
    <cfRule type="cellIs" dxfId="17823" priority="823" operator="lessThan">
      <formula>0</formula>
    </cfRule>
    <cfRule type="cellIs" dxfId="17822" priority="824" operator="lessThan">
      <formula>-105575</formula>
    </cfRule>
  </conditionalFormatting>
  <conditionalFormatting sqref="BB251:BB253">
    <cfRule type="cellIs" dxfId="17821" priority="821" operator="lessThan">
      <formula>0</formula>
    </cfRule>
    <cfRule type="cellIs" dxfId="17820" priority="822" operator="lessThan">
      <formula>-105575</formula>
    </cfRule>
  </conditionalFormatting>
  <conditionalFormatting sqref="BB251:BB253">
    <cfRule type="cellIs" dxfId="17819" priority="819" operator="lessThan">
      <formula>0</formula>
    </cfRule>
    <cfRule type="cellIs" dxfId="17818" priority="820" operator="lessThan">
      <formula>-105575</formula>
    </cfRule>
  </conditionalFormatting>
  <conditionalFormatting sqref="BB251:BB253">
    <cfRule type="cellIs" dxfId="17817" priority="817" operator="lessThan">
      <formula>0</formula>
    </cfRule>
    <cfRule type="cellIs" dxfId="17816" priority="818" operator="lessThan">
      <formula>-105575</formula>
    </cfRule>
  </conditionalFormatting>
  <conditionalFormatting sqref="BB251:BB253">
    <cfRule type="cellIs" dxfId="17815" priority="815" operator="lessThan">
      <formula>0</formula>
    </cfRule>
    <cfRule type="cellIs" dxfId="17814" priority="816" operator="lessThan">
      <formula>-105575</formula>
    </cfRule>
  </conditionalFormatting>
  <conditionalFormatting sqref="BB251:BB253">
    <cfRule type="cellIs" dxfId="17813" priority="813" operator="lessThan">
      <formula>0</formula>
    </cfRule>
    <cfRule type="cellIs" dxfId="17812" priority="814" operator="lessThan">
      <formula>-105575</formula>
    </cfRule>
  </conditionalFormatting>
  <conditionalFormatting sqref="BB251:BB253">
    <cfRule type="cellIs" dxfId="17811" priority="811" operator="lessThan">
      <formula>0</formula>
    </cfRule>
    <cfRule type="cellIs" dxfId="17810" priority="812" operator="lessThan">
      <formula>-105575</formula>
    </cfRule>
  </conditionalFormatting>
  <conditionalFormatting sqref="BB251:BB253">
    <cfRule type="cellIs" dxfId="17809" priority="809" operator="lessThan">
      <formula>0</formula>
    </cfRule>
    <cfRule type="cellIs" dxfId="17808" priority="810" operator="lessThan">
      <formula>-105575</formula>
    </cfRule>
  </conditionalFormatting>
  <conditionalFormatting sqref="BB255:BB257">
    <cfRule type="cellIs" dxfId="17807" priority="807" operator="lessThan">
      <formula>0</formula>
    </cfRule>
    <cfRule type="cellIs" dxfId="17806" priority="808" operator="lessThan">
      <formula>-105575</formula>
    </cfRule>
  </conditionalFormatting>
  <conditionalFormatting sqref="BB255:BB257">
    <cfRule type="cellIs" dxfId="17805" priority="805" operator="lessThan">
      <formula>0</formula>
    </cfRule>
    <cfRule type="cellIs" dxfId="17804" priority="806" operator="lessThan">
      <formula>-105575</formula>
    </cfRule>
  </conditionalFormatting>
  <conditionalFormatting sqref="BB255:BB257">
    <cfRule type="cellIs" dxfId="17803" priority="803" operator="lessThan">
      <formula>0</formula>
    </cfRule>
    <cfRule type="cellIs" dxfId="17802" priority="804" operator="lessThan">
      <formula>-105575</formula>
    </cfRule>
  </conditionalFormatting>
  <conditionalFormatting sqref="BB255:BB257">
    <cfRule type="cellIs" dxfId="17801" priority="801" operator="lessThan">
      <formula>0</formula>
    </cfRule>
    <cfRule type="cellIs" dxfId="17800" priority="802" operator="lessThan">
      <formula>-105575</formula>
    </cfRule>
  </conditionalFormatting>
  <conditionalFormatting sqref="BB255:BB257">
    <cfRule type="cellIs" dxfId="17799" priority="799" operator="lessThan">
      <formula>0</formula>
    </cfRule>
    <cfRule type="cellIs" dxfId="17798" priority="800" operator="lessThan">
      <formula>-105575</formula>
    </cfRule>
  </conditionalFormatting>
  <conditionalFormatting sqref="BB255:BB257">
    <cfRule type="cellIs" dxfId="17797" priority="797" operator="lessThan">
      <formula>0</formula>
    </cfRule>
    <cfRule type="cellIs" dxfId="17796" priority="798" operator="lessThan">
      <formula>-105575</formula>
    </cfRule>
  </conditionalFormatting>
  <conditionalFormatting sqref="BB255:BB257">
    <cfRule type="cellIs" dxfId="17795" priority="795" operator="lessThan">
      <formula>0</formula>
    </cfRule>
    <cfRule type="cellIs" dxfId="17794" priority="796" operator="lessThan">
      <formula>-105575</formula>
    </cfRule>
  </conditionalFormatting>
  <conditionalFormatting sqref="BB255:BB257">
    <cfRule type="cellIs" dxfId="17793" priority="793" operator="lessThan">
      <formula>0</formula>
    </cfRule>
    <cfRule type="cellIs" dxfId="17792" priority="794" operator="lessThan">
      <formula>-105575</formula>
    </cfRule>
  </conditionalFormatting>
  <conditionalFormatting sqref="BB255:BB257">
    <cfRule type="cellIs" dxfId="17791" priority="791" operator="lessThan">
      <formula>0</formula>
    </cfRule>
    <cfRule type="cellIs" dxfId="17790" priority="792" operator="lessThan">
      <formula>-105575</formula>
    </cfRule>
  </conditionalFormatting>
  <conditionalFormatting sqref="BB260:BB262">
    <cfRule type="cellIs" dxfId="17789" priority="789" operator="lessThan">
      <formula>0</formula>
    </cfRule>
    <cfRule type="cellIs" dxfId="17788" priority="790" operator="lessThan">
      <formula>-105575</formula>
    </cfRule>
  </conditionalFormatting>
  <conditionalFormatting sqref="BB260:BB262">
    <cfRule type="cellIs" dxfId="17787" priority="787" operator="lessThan">
      <formula>0</formula>
    </cfRule>
    <cfRule type="cellIs" dxfId="17786" priority="788" operator="lessThan">
      <formula>-105575</formula>
    </cfRule>
  </conditionalFormatting>
  <conditionalFormatting sqref="BB260:BB262">
    <cfRule type="cellIs" dxfId="17785" priority="785" operator="lessThan">
      <formula>0</formula>
    </cfRule>
    <cfRule type="cellIs" dxfId="17784" priority="786" operator="lessThan">
      <formula>-105575</formula>
    </cfRule>
  </conditionalFormatting>
  <conditionalFormatting sqref="BB260:BB262">
    <cfRule type="cellIs" dxfId="17783" priority="783" operator="lessThan">
      <formula>0</formula>
    </cfRule>
    <cfRule type="cellIs" dxfId="17782" priority="784" operator="lessThan">
      <formula>-105575</formula>
    </cfRule>
  </conditionalFormatting>
  <conditionalFormatting sqref="BB260:BB262">
    <cfRule type="cellIs" dxfId="17781" priority="781" operator="lessThan">
      <formula>0</formula>
    </cfRule>
    <cfRule type="cellIs" dxfId="17780" priority="782" operator="lessThan">
      <formula>-105575</formula>
    </cfRule>
  </conditionalFormatting>
  <conditionalFormatting sqref="BB260:BB262">
    <cfRule type="cellIs" dxfId="17779" priority="779" operator="lessThan">
      <formula>0</formula>
    </cfRule>
    <cfRule type="cellIs" dxfId="17778" priority="780" operator="lessThan">
      <formula>-105575</formula>
    </cfRule>
  </conditionalFormatting>
  <conditionalFormatting sqref="BB260:BB262">
    <cfRule type="cellIs" dxfId="17777" priority="777" operator="lessThan">
      <formula>0</formula>
    </cfRule>
    <cfRule type="cellIs" dxfId="17776" priority="778" operator="lessThan">
      <formula>-105575</formula>
    </cfRule>
  </conditionalFormatting>
  <conditionalFormatting sqref="BB260:BB262">
    <cfRule type="cellIs" dxfId="17775" priority="775" operator="lessThan">
      <formula>0</formula>
    </cfRule>
    <cfRule type="cellIs" dxfId="17774" priority="776" operator="lessThan">
      <formula>-105575</formula>
    </cfRule>
  </conditionalFormatting>
  <conditionalFormatting sqref="BB260:BB262">
    <cfRule type="cellIs" dxfId="17773" priority="773" operator="lessThan">
      <formula>0</formula>
    </cfRule>
    <cfRule type="cellIs" dxfId="17772" priority="774" operator="lessThan">
      <formula>-105575</formula>
    </cfRule>
  </conditionalFormatting>
  <conditionalFormatting sqref="BB264:BB267">
    <cfRule type="cellIs" dxfId="17771" priority="771" operator="lessThan">
      <formula>0</formula>
    </cfRule>
    <cfRule type="cellIs" dxfId="17770" priority="772" operator="lessThan">
      <formula>-105575</formula>
    </cfRule>
  </conditionalFormatting>
  <conditionalFormatting sqref="BB264:BB267">
    <cfRule type="cellIs" dxfId="17769" priority="769" operator="lessThan">
      <formula>0</formula>
    </cfRule>
    <cfRule type="cellIs" dxfId="17768" priority="770" operator="lessThan">
      <formula>-105575</formula>
    </cfRule>
  </conditionalFormatting>
  <conditionalFormatting sqref="BB264:BB267">
    <cfRule type="cellIs" dxfId="17767" priority="767" operator="lessThan">
      <formula>0</formula>
    </cfRule>
    <cfRule type="cellIs" dxfId="17766" priority="768" operator="lessThan">
      <formula>-105575</formula>
    </cfRule>
  </conditionalFormatting>
  <conditionalFormatting sqref="BB264:BB267">
    <cfRule type="cellIs" dxfId="17765" priority="765" operator="lessThan">
      <formula>0</formula>
    </cfRule>
    <cfRule type="cellIs" dxfId="17764" priority="766" operator="lessThan">
      <formula>-105575</formula>
    </cfRule>
  </conditionalFormatting>
  <conditionalFormatting sqref="BB264:BB267">
    <cfRule type="cellIs" dxfId="17763" priority="763" operator="lessThan">
      <formula>0</formula>
    </cfRule>
    <cfRule type="cellIs" dxfId="17762" priority="764" operator="lessThan">
      <formula>-105575</formula>
    </cfRule>
  </conditionalFormatting>
  <conditionalFormatting sqref="BB264:BB267">
    <cfRule type="cellIs" dxfId="17761" priority="761" operator="lessThan">
      <formula>0</formula>
    </cfRule>
    <cfRule type="cellIs" dxfId="17760" priority="762" operator="lessThan">
      <formula>-105575</formula>
    </cfRule>
  </conditionalFormatting>
  <conditionalFormatting sqref="BB264:BB267">
    <cfRule type="cellIs" dxfId="17759" priority="759" operator="lessThan">
      <formula>0</formula>
    </cfRule>
    <cfRule type="cellIs" dxfId="17758" priority="760" operator="lessThan">
      <formula>-105575</formula>
    </cfRule>
  </conditionalFormatting>
  <conditionalFormatting sqref="BB264:BB267">
    <cfRule type="cellIs" dxfId="17757" priority="757" operator="lessThan">
      <formula>0</formula>
    </cfRule>
    <cfRule type="cellIs" dxfId="17756" priority="758" operator="lessThan">
      <formula>-105575</formula>
    </cfRule>
  </conditionalFormatting>
  <conditionalFormatting sqref="BB264:BB267">
    <cfRule type="cellIs" dxfId="17755" priority="755" operator="lessThan">
      <formula>0</formula>
    </cfRule>
    <cfRule type="cellIs" dxfId="17754" priority="756" operator="lessThan">
      <formula>-105575</formula>
    </cfRule>
  </conditionalFormatting>
  <conditionalFormatting sqref="BB270:BB272">
    <cfRule type="cellIs" dxfId="17753" priority="753" operator="lessThan">
      <formula>0</formula>
    </cfRule>
    <cfRule type="cellIs" dxfId="17752" priority="754" operator="lessThan">
      <formula>-105575</formula>
    </cfRule>
  </conditionalFormatting>
  <conditionalFormatting sqref="BB270:BB272">
    <cfRule type="cellIs" dxfId="17751" priority="751" operator="lessThan">
      <formula>0</formula>
    </cfRule>
    <cfRule type="cellIs" dxfId="17750" priority="752" operator="lessThan">
      <formula>-105575</formula>
    </cfRule>
  </conditionalFormatting>
  <conditionalFormatting sqref="BB270:BB272">
    <cfRule type="cellIs" dxfId="17749" priority="749" operator="lessThan">
      <formula>0</formula>
    </cfRule>
    <cfRule type="cellIs" dxfId="17748" priority="750" operator="lessThan">
      <formula>-105575</formula>
    </cfRule>
  </conditionalFormatting>
  <conditionalFormatting sqref="BB270:BB272">
    <cfRule type="cellIs" dxfId="17747" priority="747" operator="lessThan">
      <formula>0</formula>
    </cfRule>
    <cfRule type="cellIs" dxfId="17746" priority="748" operator="lessThan">
      <formula>-105575</formula>
    </cfRule>
  </conditionalFormatting>
  <conditionalFormatting sqref="BB270:BB272">
    <cfRule type="cellIs" dxfId="17745" priority="745" operator="lessThan">
      <formula>0</formula>
    </cfRule>
    <cfRule type="cellIs" dxfId="17744" priority="746" operator="lessThan">
      <formula>-105575</formula>
    </cfRule>
  </conditionalFormatting>
  <conditionalFormatting sqref="BB270:BB272">
    <cfRule type="cellIs" dxfId="17743" priority="743" operator="lessThan">
      <formula>0</formula>
    </cfRule>
    <cfRule type="cellIs" dxfId="17742" priority="744" operator="lessThan">
      <formula>-105575</formula>
    </cfRule>
  </conditionalFormatting>
  <conditionalFormatting sqref="BB270:BB272">
    <cfRule type="cellIs" dxfId="17741" priority="741" operator="lessThan">
      <formula>0</formula>
    </cfRule>
    <cfRule type="cellIs" dxfId="17740" priority="742" operator="lessThan">
      <formula>-105575</formula>
    </cfRule>
  </conditionalFormatting>
  <conditionalFormatting sqref="BB270:BB272">
    <cfRule type="cellIs" dxfId="17739" priority="739" operator="lessThan">
      <formula>0</formula>
    </cfRule>
    <cfRule type="cellIs" dxfId="17738" priority="740" operator="lessThan">
      <formula>-105575</formula>
    </cfRule>
  </conditionalFormatting>
  <conditionalFormatting sqref="BB270:BB272">
    <cfRule type="cellIs" dxfId="17737" priority="737" operator="lessThan">
      <formula>0</formula>
    </cfRule>
    <cfRule type="cellIs" dxfId="17736" priority="738" operator="lessThan">
      <formula>-105575</formula>
    </cfRule>
  </conditionalFormatting>
  <conditionalFormatting sqref="BB274:BB275">
    <cfRule type="cellIs" dxfId="17735" priority="735" operator="lessThan">
      <formula>0</formula>
    </cfRule>
    <cfRule type="cellIs" dxfId="17734" priority="736" operator="lessThan">
      <formula>-105575</formula>
    </cfRule>
  </conditionalFormatting>
  <conditionalFormatting sqref="BB274:BB275">
    <cfRule type="cellIs" dxfId="17733" priority="733" operator="lessThan">
      <formula>0</formula>
    </cfRule>
    <cfRule type="cellIs" dxfId="17732" priority="734" operator="lessThan">
      <formula>-105575</formula>
    </cfRule>
  </conditionalFormatting>
  <conditionalFormatting sqref="BB274:BB275">
    <cfRule type="cellIs" dxfId="17731" priority="731" operator="lessThan">
      <formula>0</formula>
    </cfRule>
    <cfRule type="cellIs" dxfId="17730" priority="732" operator="lessThan">
      <formula>-105575</formula>
    </cfRule>
  </conditionalFormatting>
  <conditionalFormatting sqref="BB274:BB275">
    <cfRule type="cellIs" dxfId="17729" priority="729" operator="lessThan">
      <formula>0</formula>
    </cfRule>
    <cfRule type="cellIs" dxfId="17728" priority="730" operator="lessThan">
      <formula>-105575</formula>
    </cfRule>
  </conditionalFormatting>
  <conditionalFormatting sqref="BB274:BB275">
    <cfRule type="cellIs" dxfId="17727" priority="727" operator="lessThan">
      <formula>0</formula>
    </cfRule>
    <cfRule type="cellIs" dxfId="17726" priority="728" operator="lessThan">
      <formula>-105575</formula>
    </cfRule>
  </conditionalFormatting>
  <conditionalFormatting sqref="BB274:BB275">
    <cfRule type="cellIs" dxfId="17725" priority="725" operator="lessThan">
      <formula>0</formula>
    </cfRule>
    <cfRule type="cellIs" dxfId="17724" priority="726" operator="lessThan">
      <formula>-105575</formula>
    </cfRule>
  </conditionalFormatting>
  <conditionalFormatting sqref="BB274:BB275">
    <cfRule type="cellIs" dxfId="17723" priority="723" operator="lessThan">
      <formula>0</formula>
    </cfRule>
    <cfRule type="cellIs" dxfId="17722" priority="724" operator="lessThan">
      <formula>-105575</formula>
    </cfRule>
  </conditionalFormatting>
  <conditionalFormatting sqref="BB274:BB275">
    <cfRule type="cellIs" dxfId="17721" priority="721" operator="lessThan">
      <formula>0</formula>
    </cfRule>
    <cfRule type="cellIs" dxfId="17720" priority="722" operator="lessThan">
      <formula>-105575</formula>
    </cfRule>
  </conditionalFormatting>
  <conditionalFormatting sqref="BB274:BB275">
    <cfRule type="cellIs" dxfId="17719" priority="719" operator="lessThan">
      <formula>0</formula>
    </cfRule>
    <cfRule type="cellIs" dxfId="17718" priority="720" operator="lessThan">
      <formula>-105575</formula>
    </cfRule>
  </conditionalFormatting>
  <conditionalFormatting sqref="BB278:BB282">
    <cfRule type="cellIs" dxfId="17717" priority="717" operator="lessThan">
      <formula>0</formula>
    </cfRule>
    <cfRule type="cellIs" dxfId="17716" priority="718" operator="lessThan">
      <formula>-105575</formula>
    </cfRule>
  </conditionalFormatting>
  <conditionalFormatting sqref="BB278:BB282">
    <cfRule type="cellIs" dxfId="17715" priority="715" operator="lessThan">
      <formula>0</formula>
    </cfRule>
    <cfRule type="cellIs" dxfId="17714" priority="716" operator="lessThan">
      <formula>-105575</formula>
    </cfRule>
  </conditionalFormatting>
  <conditionalFormatting sqref="BB278:BB282">
    <cfRule type="cellIs" dxfId="17713" priority="713" operator="lessThan">
      <formula>0</formula>
    </cfRule>
    <cfRule type="cellIs" dxfId="17712" priority="714" operator="lessThan">
      <formula>-105575</formula>
    </cfRule>
  </conditionalFormatting>
  <conditionalFormatting sqref="BB278:BB282">
    <cfRule type="cellIs" dxfId="17711" priority="711" operator="lessThan">
      <formula>0</formula>
    </cfRule>
    <cfRule type="cellIs" dxfId="17710" priority="712" operator="lessThan">
      <formula>-105575</formula>
    </cfRule>
  </conditionalFormatting>
  <conditionalFormatting sqref="BB278:BB282">
    <cfRule type="cellIs" dxfId="17709" priority="709" operator="lessThan">
      <formula>0</formula>
    </cfRule>
    <cfRule type="cellIs" dxfId="17708" priority="710" operator="lessThan">
      <formula>-105575</formula>
    </cfRule>
  </conditionalFormatting>
  <conditionalFormatting sqref="BB278:BB282">
    <cfRule type="cellIs" dxfId="17707" priority="707" operator="lessThan">
      <formula>0</formula>
    </cfRule>
    <cfRule type="cellIs" dxfId="17706" priority="708" operator="lessThan">
      <formula>-105575</formula>
    </cfRule>
  </conditionalFormatting>
  <conditionalFormatting sqref="BB278:BB282">
    <cfRule type="cellIs" dxfId="17705" priority="705" operator="lessThan">
      <formula>0</formula>
    </cfRule>
    <cfRule type="cellIs" dxfId="17704" priority="706" operator="lessThan">
      <formula>-105575</formula>
    </cfRule>
  </conditionalFormatting>
  <conditionalFormatting sqref="BB278:BB282">
    <cfRule type="cellIs" dxfId="17703" priority="703" operator="lessThan">
      <formula>0</formula>
    </cfRule>
    <cfRule type="cellIs" dxfId="17702" priority="704" operator="lessThan">
      <formula>-105575</formula>
    </cfRule>
  </conditionalFormatting>
  <conditionalFormatting sqref="BB278:BB282">
    <cfRule type="cellIs" dxfId="17701" priority="701" operator="lessThan">
      <formula>0</formula>
    </cfRule>
    <cfRule type="cellIs" dxfId="17700" priority="702" operator="lessThan">
      <formula>-105575</formula>
    </cfRule>
  </conditionalFormatting>
  <conditionalFormatting sqref="BB285:BB288">
    <cfRule type="cellIs" dxfId="17699" priority="699" operator="lessThan">
      <formula>0</formula>
    </cfRule>
    <cfRule type="cellIs" dxfId="17698" priority="700" operator="lessThan">
      <formula>-105575</formula>
    </cfRule>
  </conditionalFormatting>
  <conditionalFormatting sqref="BB285:BB288">
    <cfRule type="cellIs" dxfId="17697" priority="697" operator="lessThan">
      <formula>0</formula>
    </cfRule>
    <cfRule type="cellIs" dxfId="17696" priority="698" operator="lessThan">
      <formula>-105575</formula>
    </cfRule>
  </conditionalFormatting>
  <conditionalFormatting sqref="BB285:BB288">
    <cfRule type="cellIs" dxfId="17695" priority="695" operator="lessThan">
      <formula>0</formula>
    </cfRule>
    <cfRule type="cellIs" dxfId="17694" priority="696" operator="lessThan">
      <formula>-105575</formula>
    </cfRule>
  </conditionalFormatting>
  <conditionalFormatting sqref="BB285:BB288">
    <cfRule type="cellIs" dxfId="17693" priority="693" operator="lessThan">
      <formula>0</formula>
    </cfRule>
    <cfRule type="cellIs" dxfId="17692" priority="694" operator="lessThan">
      <formula>-105575</formula>
    </cfRule>
  </conditionalFormatting>
  <conditionalFormatting sqref="BB285:BB288">
    <cfRule type="cellIs" dxfId="17691" priority="691" operator="lessThan">
      <formula>0</formula>
    </cfRule>
    <cfRule type="cellIs" dxfId="17690" priority="692" operator="lessThan">
      <formula>-105575</formula>
    </cfRule>
  </conditionalFormatting>
  <conditionalFormatting sqref="BB285:BB288">
    <cfRule type="cellIs" dxfId="17689" priority="689" operator="lessThan">
      <formula>0</formula>
    </cfRule>
    <cfRule type="cellIs" dxfId="17688" priority="690" operator="lessThan">
      <formula>-105575</formula>
    </cfRule>
  </conditionalFormatting>
  <conditionalFormatting sqref="BB285:BB288">
    <cfRule type="cellIs" dxfId="17687" priority="687" operator="lessThan">
      <formula>0</formula>
    </cfRule>
    <cfRule type="cellIs" dxfId="17686" priority="688" operator="lessThan">
      <formula>-105575</formula>
    </cfRule>
  </conditionalFormatting>
  <conditionalFormatting sqref="BB285:BB288">
    <cfRule type="cellIs" dxfId="17685" priority="685" operator="lessThan">
      <formula>0</formula>
    </cfRule>
    <cfRule type="cellIs" dxfId="17684" priority="686" operator="lessThan">
      <formula>-105575</formula>
    </cfRule>
  </conditionalFormatting>
  <conditionalFormatting sqref="BB285:BB288">
    <cfRule type="cellIs" dxfId="17683" priority="683" operator="lessThan">
      <formula>0</formula>
    </cfRule>
    <cfRule type="cellIs" dxfId="17682" priority="684" operator="lessThan">
      <formula>-105575</formula>
    </cfRule>
  </conditionalFormatting>
  <conditionalFormatting sqref="BB203 BB220:BB221 BB235:BB243 BB231:BB233 BB212:BB213 BB225:BB226">
    <cfRule type="cellIs" dxfId="17681" priority="681" operator="lessThan">
      <formula>0</formula>
    </cfRule>
    <cfRule type="cellIs" dxfId="17680" priority="682" operator="lessThan">
      <formula>-105575</formula>
    </cfRule>
  </conditionalFormatting>
  <conditionalFormatting sqref="BB220 BB212:BB213 BB235:BB238 BB240:BB243 BB225:BB226 BB231:BB233">
    <cfRule type="cellIs" dxfId="17679" priority="679" operator="lessThan">
      <formula>0</formula>
    </cfRule>
    <cfRule type="cellIs" dxfId="17678" priority="680" operator="lessThan">
      <formula>-105575</formula>
    </cfRule>
  </conditionalFormatting>
  <conditionalFormatting sqref="BB220:BB221 BB243 BB226 BB231:BB236 BB238:BB241 BB203 BB213">
    <cfRule type="cellIs" dxfId="17677" priority="677" operator="lessThan">
      <formula>0</formula>
    </cfRule>
    <cfRule type="cellIs" dxfId="17676" priority="678" operator="lessThan">
      <formula>-105575</formula>
    </cfRule>
  </conditionalFormatting>
  <conditionalFormatting sqref="BB235:BB243 BB231:BB233 BB220 BB212:BB213 BB225:BB226">
    <cfRule type="cellIs" dxfId="17675" priority="675" operator="lessThan">
      <formula>0</formula>
    </cfRule>
    <cfRule type="cellIs" dxfId="17674" priority="676" operator="lessThan">
      <formula>-105575</formula>
    </cfRule>
  </conditionalFormatting>
  <conditionalFormatting sqref="BB220:BB221 BB237:BB243 BB203 BB231:BB235 BB212:BB213 BB225:BB226">
    <cfRule type="cellIs" dxfId="17673" priority="673" operator="lessThan">
      <formula>0</formula>
    </cfRule>
    <cfRule type="cellIs" dxfId="17672" priority="674" operator="lessThan">
      <formula>-105575</formula>
    </cfRule>
  </conditionalFormatting>
  <conditionalFormatting sqref="BB220:BB221 BB237:BB240 BB242:BB243 BB225:BB226 BB231:BB235">
    <cfRule type="cellIs" dxfId="17671" priority="671" operator="lessThan">
      <formula>0</formula>
    </cfRule>
    <cfRule type="cellIs" dxfId="17670" priority="672" operator="lessThan">
      <formula>-105575</formula>
    </cfRule>
  </conditionalFormatting>
  <conditionalFormatting sqref="BB212 BB231 BB233:BB238 BB240:BB243 BB225">
    <cfRule type="cellIs" dxfId="17669" priority="669" operator="lessThan">
      <formula>0</formula>
    </cfRule>
    <cfRule type="cellIs" dxfId="17668" priority="670" operator="lessThan">
      <formula>-105575</formula>
    </cfRule>
  </conditionalFormatting>
  <conditionalFormatting sqref="BB237:BB243 BB231:BB235 BB220:BB221 BB225:BB226">
    <cfRule type="cellIs" dxfId="17667" priority="667" operator="lessThan">
      <formula>0</formula>
    </cfRule>
    <cfRule type="cellIs" dxfId="17666" priority="668" operator="lessThan">
      <formula>-105575</formula>
    </cfRule>
  </conditionalFormatting>
  <conditionalFormatting sqref="BB233:BB237 BB231 BB239:BB243">
    <cfRule type="cellIs" dxfId="17665" priority="665" operator="lessThan">
      <formula>0</formula>
    </cfRule>
    <cfRule type="cellIs" dxfId="17664" priority="666" operator="lessThan">
      <formula>-105575</formula>
    </cfRule>
  </conditionalFormatting>
  <conditionalFormatting sqref="BB233:BB237 BB231 BB239:BB243">
    <cfRule type="cellIs" dxfId="17663" priority="663" operator="lessThan">
      <formula>0</formula>
    </cfRule>
    <cfRule type="cellIs" dxfId="17662" priority="664" operator="lessThan">
      <formula>-105575</formula>
    </cfRule>
  </conditionalFormatting>
  <conditionalFormatting sqref="BB119:BB128 BB106:BB117 BB101:BB104 BB80:BB98">
    <cfRule type="cellIs" dxfId="17661" priority="661" operator="lessThan">
      <formula>0</formula>
    </cfRule>
    <cfRule type="cellIs" dxfId="17660" priority="662" operator="lessThan">
      <formula>-105575</formula>
    </cfRule>
  </conditionalFormatting>
  <conditionalFormatting sqref="BB130 BB132 BB134">
    <cfRule type="cellIs" dxfId="17659" priority="659" operator="lessThan">
      <formula>0</formula>
    </cfRule>
    <cfRule type="cellIs" dxfId="17658" priority="660" operator="lessThan">
      <formula>-105575</formula>
    </cfRule>
  </conditionalFormatting>
  <conditionalFormatting sqref="BB130 BB132 BB134">
    <cfRule type="cellIs" dxfId="17657" priority="657" operator="lessThan">
      <formula>0</formula>
    </cfRule>
    <cfRule type="cellIs" dxfId="17656" priority="658" operator="lessThan">
      <formula>-105575</formula>
    </cfRule>
  </conditionalFormatting>
  <conditionalFormatting sqref="BB129 BB131 BB133 BB135">
    <cfRule type="cellIs" dxfId="17655" priority="655" operator="lessThan">
      <formula>0</formula>
    </cfRule>
    <cfRule type="cellIs" dxfId="17654" priority="656" operator="lessThan">
      <formula>-105575</formula>
    </cfRule>
  </conditionalFormatting>
  <conditionalFormatting sqref="BB140 BB145 BB142:BB143 BB137:BB138">
    <cfRule type="cellIs" dxfId="17653" priority="653" operator="lessThan">
      <formula>0</formula>
    </cfRule>
    <cfRule type="cellIs" dxfId="17652" priority="654" operator="lessThan">
      <formula>-105575</formula>
    </cfRule>
  </conditionalFormatting>
  <conditionalFormatting sqref="BB149">
    <cfRule type="cellIs" dxfId="17651" priority="651" operator="lessThan">
      <formula>0</formula>
    </cfRule>
    <cfRule type="cellIs" dxfId="17650" priority="652" operator="lessThan">
      <formula>-105575</formula>
    </cfRule>
  </conditionalFormatting>
  <conditionalFormatting sqref="BB129:BB138 BB140:BB149">
    <cfRule type="cellIs" dxfId="17649" priority="649" operator="lessThan">
      <formula>0</formula>
    </cfRule>
    <cfRule type="cellIs" dxfId="17648" priority="650" operator="lessThan">
      <formula>-105575</formula>
    </cfRule>
  </conditionalFormatting>
  <conditionalFormatting sqref="BB94:BB98 BB86:BB87 BB89:BB91 BB141:BB149 BB124:BB133 BB107:BB110 BB112:BB117 BB119:BB122 BB135:BB138 BB101:BB104 BB80:BB84">
    <cfRule type="cellIs" dxfId="17647" priority="647" operator="lessThan">
      <formula>0</formula>
    </cfRule>
    <cfRule type="cellIs" dxfId="17646" priority="648" operator="lessThan">
      <formula>-105575</formula>
    </cfRule>
  </conditionalFormatting>
  <conditionalFormatting sqref="BB129 BB131 BB133 BB135">
    <cfRule type="cellIs" dxfId="17645" priority="645" operator="lessThan">
      <formula>0</formula>
    </cfRule>
    <cfRule type="cellIs" dxfId="17644" priority="646" operator="lessThan">
      <formula>-105575</formula>
    </cfRule>
  </conditionalFormatting>
  <conditionalFormatting sqref="BB146 BB144 BB141">
    <cfRule type="cellIs" dxfId="17643" priority="643" operator="lessThan">
      <formula>0</formula>
    </cfRule>
    <cfRule type="cellIs" dxfId="17642" priority="644" operator="lessThan">
      <formula>-105575</formula>
    </cfRule>
  </conditionalFormatting>
  <conditionalFormatting sqref="BB146 BB144 BB141">
    <cfRule type="cellIs" dxfId="17641" priority="641" operator="lessThan">
      <formula>0</formula>
    </cfRule>
    <cfRule type="cellIs" dxfId="17640" priority="642" operator="lessThan">
      <formula>-105575</formula>
    </cfRule>
  </conditionalFormatting>
  <conditionalFormatting sqref="BB140 BB145 BB142:BB143 BB137:BB138">
    <cfRule type="cellIs" dxfId="17639" priority="639" operator="lessThan">
      <formula>0</formula>
    </cfRule>
    <cfRule type="cellIs" dxfId="17638" priority="640" operator="lessThan">
      <formula>-105575</formula>
    </cfRule>
  </conditionalFormatting>
  <conditionalFormatting sqref="BB149">
    <cfRule type="cellIs" dxfId="17637" priority="637" operator="lessThan">
      <formula>0</formula>
    </cfRule>
    <cfRule type="cellIs" dxfId="17636" priority="638" operator="lessThan">
      <formula>-105575</formula>
    </cfRule>
  </conditionalFormatting>
  <conditionalFormatting sqref="BB94:BB98 BB86:BB87 BB89:BB91 BB141:BB149 BB124:BB133 BB107:BB110 BB112:BB117 BB119:BB122 BB135:BB138 BB101:BB104 BB80:BB84">
    <cfRule type="cellIs" dxfId="17635" priority="635" operator="lessThan">
      <formula>0</formula>
    </cfRule>
    <cfRule type="cellIs" dxfId="17634" priority="636" operator="lessThan">
      <formula>-105575</formula>
    </cfRule>
  </conditionalFormatting>
  <conditionalFormatting sqref="BB62:BB76 BB306:BB309 BB311:BB325 BB327:BB330 BB332:BB341 BB344:BB347 BB349:BB353 BB355:BB358 BB360:BB384 BB386:BB389 BB392:BB395 BB397:BB411 BB413:BB416 BB418:BB432 BB434:BB437 BB439:BB453 BB455:BB458 BB460:BB469 BB7:BB10 BB12:BB14 BB17:BB18 BB21:BB24 BB26:BB28 BB30:BB36 BB38 BB41:BB43 BB46:BB49 BB51:BB55 BB57:BB59 BB290:BB291 BB293:BB304">
    <cfRule type="cellIs" dxfId="17633" priority="633" operator="lessThan">
      <formula>0</formula>
    </cfRule>
    <cfRule type="cellIs" dxfId="17632" priority="634" operator="lessThan">
      <formula>-105575</formula>
    </cfRule>
  </conditionalFormatting>
  <conditionalFormatting sqref="BB41">
    <cfRule type="cellIs" dxfId="17631" priority="631" operator="lessThan">
      <formula>0</formula>
    </cfRule>
    <cfRule type="cellIs" dxfId="17630" priority="632" operator="lessThan">
      <formula>-105575</formula>
    </cfRule>
  </conditionalFormatting>
  <conditionalFormatting sqref="BB152:BB155">
    <cfRule type="cellIs" dxfId="17629" priority="629" operator="lessThan">
      <formula>0</formula>
    </cfRule>
    <cfRule type="cellIs" dxfId="17628" priority="630" operator="lessThan">
      <formula>-105575</formula>
    </cfRule>
  </conditionalFormatting>
  <conditionalFormatting sqref="BB152:BB155">
    <cfRule type="cellIs" dxfId="17627" priority="627" operator="lessThan">
      <formula>0</formula>
    </cfRule>
    <cfRule type="cellIs" dxfId="17626" priority="628" operator="lessThan">
      <formula>-105575</formula>
    </cfRule>
  </conditionalFormatting>
  <conditionalFormatting sqref="BB152:BB155">
    <cfRule type="cellIs" dxfId="17625" priority="625" operator="lessThan">
      <formula>0</formula>
    </cfRule>
    <cfRule type="cellIs" dxfId="17624" priority="626" operator="lessThan">
      <formula>-105575</formula>
    </cfRule>
  </conditionalFormatting>
  <conditionalFormatting sqref="BB157:BB158">
    <cfRule type="cellIs" dxfId="17623" priority="623" operator="lessThan">
      <formula>0</formula>
    </cfRule>
    <cfRule type="cellIs" dxfId="17622" priority="624" operator="lessThan">
      <formula>-105575</formula>
    </cfRule>
  </conditionalFormatting>
  <conditionalFormatting sqref="BB157:BB158">
    <cfRule type="cellIs" dxfId="17621" priority="621" operator="lessThan">
      <formula>0</formula>
    </cfRule>
    <cfRule type="cellIs" dxfId="17620" priority="622" operator="lessThan">
      <formula>-105575</formula>
    </cfRule>
  </conditionalFormatting>
  <conditionalFormatting sqref="BB157:BB158">
    <cfRule type="cellIs" dxfId="17619" priority="619" operator="lessThan">
      <formula>0</formula>
    </cfRule>
    <cfRule type="cellIs" dxfId="17618" priority="620" operator="lessThan">
      <formula>-105575</formula>
    </cfRule>
  </conditionalFormatting>
  <conditionalFormatting sqref="BB160:BB161">
    <cfRule type="cellIs" dxfId="17617" priority="617" operator="lessThan">
      <formula>0</formula>
    </cfRule>
    <cfRule type="cellIs" dxfId="17616" priority="618" operator="lessThan">
      <formula>-105575</formula>
    </cfRule>
  </conditionalFormatting>
  <conditionalFormatting sqref="BB160:BB161">
    <cfRule type="cellIs" dxfId="17615" priority="615" operator="lessThan">
      <formula>0</formula>
    </cfRule>
    <cfRule type="cellIs" dxfId="17614" priority="616" operator="lessThan">
      <formula>-105575</formula>
    </cfRule>
  </conditionalFormatting>
  <conditionalFormatting sqref="BB160:BB161">
    <cfRule type="cellIs" dxfId="17613" priority="613" operator="lessThan">
      <formula>0</formula>
    </cfRule>
    <cfRule type="cellIs" dxfId="17612" priority="614" operator="lessThan">
      <formula>-105575</formula>
    </cfRule>
  </conditionalFormatting>
  <conditionalFormatting sqref="BB164:BB167">
    <cfRule type="cellIs" dxfId="17611" priority="611" operator="lessThan">
      <formula>0</formula>
    </cfRule>
    <cfRule type="cellIs" dxfId="17610" priority="612" operator="lessThan">
      <formula>-105575</formula>
    </cfRule>
  </conditionalFormatting>
  <conditionalFormatting sqref="BB164:BB167">
    <cfRule type="cellIs" dxfId="17609" priority="609" operator="lessThan">
      <formula>0</formula>
    </cfRule>
    <cfRule type="cellIs" dxfId="17608" priority="610" operator="lessThan">
      <formula>-105575</formula>
    </cfRule>
  </conditionalFormatting>
  <conditionalFormatting sqref="BB164:BB167">
    <cfRule type="cellIs" dxfId="17607" priority="607" operator="lessThan">
      <formula>0</formula>
    </cfRule>
    <cfRule type="cellIs" dxfId="17606" priority="608" operator="lessThan">
      <formula>-105575</formula>
    </cfRule>
  </conditionalFormatting>
  <conditionalFormatting sqref="BB169:BB177">
    <cfRule type="cellIs" dxfId="17605" priority="605" operator="lessThan">
      <formula>0</formula>
    </cfRule>
    <cfRule type="cellIs" dxfId="17604" priority="606" operator="lessThan">
      <formula>-105575</formula>
    </cfRule>
  </conditionalFormatting>
  <conditionalFormatting sqref="BB169:BB177">
    <cfRule type="cellIs" dxfId="17603" priority="603" operator="lessThan">
      <formula>0</formula>
    </cfRule>
    <cfRule type="cellIs" dxfId="17602" priority="604" operator="lessThan">
      <formula>-105575</formula>
    </cfRule>
  </conditionalFormatting>
  <conditionalFormatting sqref="BB169:BB177">
    <cfRule type="cellIs" dxfId="17601" priority="601" operator="lessThan">
      <formula>0</formula>
    </cfRule>
    <cfRule type="cellIs" dxfId="17600" priority="602" operator="lessThan">
      <formula>-105575</formula>
    </cfRule>
  </conditionalFormatting>
  <conditionalFormatting sqref="BB179:BB180">
    <cfRule type="cellIs" dxfId="17599" priority="599" operator="lessThan">
      <formula>0</formula>
    </cfRule>
    <cfRule type="cellIs" dxfId="17598" priority="600" operator="lessThan">
      <formula>-105575</formula>
    </cfRule>
  </conditionalFormatting>
  <conditionalFormatting sqref="BB179:BB180">
    <cfRule type="cellIs" dxfId="17597" priority="597" operator="lessThan">
      <formula>0</formula>
    </cfRule>
    <cfRule type="cellIs" dxfId="17596" priority="598" operator="lessThan">
      <formula>-105575</formula>
    </cfRule>
  </conditionalFormatting>
  <conditionalFormatting sqref="BB179:BB180">
    <cfRule type="cellIs" dxfId="17595" priority="595" operator="lessThan">
      <formula>0</formula>
    </cfRule>
    <cfRule type="cellIs" dxfId="17594" priority="596" operator="lessThan">
      <formula>-105575</formula>
    </cfRule>
  </conditionalFormatting>
  <conditionalFormatting sqref="BB183:BB189">
    <cfRule type="cellIs" dxfId="17593" priority="593" operator="lessThan">
      <formula>0</formula>
    </cfRule>
    <cfRule type="cellIs" dxfId="17592" priority="594" operator="lessThan">
      <formula>-105575</formula>
    </cfRule>
  </conditionalFormatting>
  <conditionalFormatting sqref="BB183:BB189">
    <cfRule type="cellIs" dxfId="17591" priority="591" operator="lessThan">
      <formula>0</formula>
    </cfRule>
    <cfRule type="cellIs" dxfId="17590" priority="592" operator="lessThan">
      <formula>-105575</formula>
    </cfRule>
  </conditionalFormatting>
  <conditionalFormatting sqref="BB183:BB189">
    <cfRule type="cellIs" dxfId="17589" priority="589" operator="lessThan">
      <formula>0</formula>
    </cfRule>
    <cfRule type="cellIs" dxfId="17588" priority="590" operator="lessThan">
      <formula>-105575</formula>
    </cfRule>
  </conditionalFormatting>
  <conditionalFormatting sqref="BB191:BB192">
    <cfRule type="cellIs" dxfId="17587" priority="587" operator="lessThan">
      <formula>0</formula>
    </cfRule>
    <cfRule type="cellIs" dxfId="17586" priority="588" operator="lessThan">
      <formula>-105575</formula>
    </cfRule>
  </conditionalFormatting>
  <conditionalFormatting sqref="BB191:BB192">
    <cfRule type="cellIs" dxfId="17585" priority="585" operator="lessThan">
      <formula>0</formula>
    </cfRule>
    <cfRule type="cellIs" dxfId="17584" priority="586" operator="lessThan">
      <formula>-105575</formula>
    </cfRule>
  </conditionalFormatting>
  <conditionalFormatting sqref="BB191:BB192">
    <cfRule type="cellIs" dxfId="17583" priority="583" operator="lessThan">
      <formula>0</formula>
    </cfRule>
    <cfRule type="cellIs" dxfId="17582" priority="584" operator="lessThan">
      <formula>-105575</formula>
    </cfRule>
  </conditionalFormatting>
  <conditionalFormatting sqref="BB194:BB195">
    <cfRule type="cellIs" dxfId="17581" priority="581" operator="lessThan">
      <formula>0</formula>
    </cfRule>
    <cfRule type="cellIs" dxfId="17580" priority="582" operator="lessThan">
      <formula>-105575</formula>
    </cfRule>
  </conditionalFormatting>
  <conditionalFormatting sqref="BB194:BB195">
    <cfRule type="cellIs" dxfId="17579" priority="579" operator="lessThan">
      <formula>0</formula>
    </cfRule>
    <cfRule type="cellIs" dxfId="17578" priority="580" operator="lessThan">
      <formula>-105575</formula>
    </cfRule>
  </conditionalFormatting>
  <conditionalFormatting sqref="BB194:BB195">
    <cfRule type="cellIs" dxfId="17577" priority="577" operator="lessThan">
      <formula>0</formula>
    </cfRule>
    <cfRule type="cellIs" dxfId="17576" priority="578" operator="lessThan">
      <formula>-105575</formula>
    </cfRule>
  </conditionalFormatting>
  <conditionalFormatting sqref="BB199:BB202">
    <cfRule type="cellIs" dxfId="17575" priority="575" operator="lessThan">
      <formula>0</formula>
    </cfRule>
    <cfRule type="cellIs" dxfId="17574" priority="576" operator="lessThan">
      <formula>-105575</formula>
    </cfRule>
  </conditionalFormatting>
  <conditionalFormatting sqref="BB199:BB202">
    <cfRule type="cellIs" dxfId="17573" priority="573" operator="lessThan">
      <formula>0</formula>
    </cfRule>
    <cfRule type="cellIs" dxfId="17572" priority="574" operator="lessThan">
      <formula>-105575</formula>
    </cfRule>
  </conditionalFormatting>
  <conditionalFormatting sqref="BB199:BB202">
    <cfRule type="cellIs" dxfId="17571" priority="571" operator="lessThan">
      <formula>0</formula>
    </cfRule>
    <cfRule type="cellIs" dxfId="17570" priority="572" operator="lessThan">
      <formula>-105575</formula>
    </cfRule>
  </conditionalFormatting>
  <conditionalFormatting sqref="BB204:BB208">
    <cfRule type="cellIs" dxfId="17569" priority="569" operator="lessThan">
      <formula>0</formula>
    </cfRule>
    <cfRule type="cellIs" dxfId="17568" priority="570" operator="lessThan">
      <formula>-105575</formula>
    </cfRule>
  </conditionalFormatting>
  <conditionalFormatting sqref="BB204:BB208">
    <cfRule type="cellIs" dxfId="17567" priority="567" operator="lessThan">
      <formula>0</formula>
    </cfRule>
    <cfRule type="cellIs" dxfId="17566" priority="568" operator="lessThan">
      <formula>-105575</formula>
    </cfRule>
  </conditionalFormatting>
  <conditionalFormatting sqref="BB204:BB208">
    <cfRule type="cellIs" dxfId="17565" priority="565" operator="lessThan">
      <formula>0</formula>
    </cfRule>
    <cfRule type="cellIs" dxfId="17564" priority="566" operator="lessThan">
      <formula>-105575</formula>
    </cfRule>
  </conditionalFormatting>
  <conditionalFormatting sqref="BB210:BB211">
    <cfRule type="cellIs" dxfId="17563" priority="563" operator="lessThan">
      <formula>0</formula>
    </cfRule>
    <cfRule type="cellIs" dxfId="17562" priority="564" operator="lessThan">
      <formula>-105575</formula>
    </cfRule>
  </conditionalFormatting>
  <conditionalFormatting sqref="BB210:BB211">
    <cfRule type="cellIs" dxfId="17561" priority="561" operator="lessThan">
      <formula>0</formula>
    </cfRule>
    <cfRule type="cellIs" dxfId="17560" priority="562" operator="lessThan">
      <formula>-105575</formula>
    </cfRule>
  </conditionalFormatting>
  <conditionalFormatting sqref="BB210:BB211">
    <cfRule type="cellIs" dxfId="17559" priority="559" operator="lessThan">
      <formula>0</formula>
    </cfRule>
    <cfRule type="cellIs" dxfId="17558" priority="560" operator="lessThan">
      <formula>-105575</formula>
    </cfRule>
  </conditionalFormatting>
  <conditionalFormatting sqref="BB214:BB219">
    <cfRule type="cellIs" dxfId="17557" priority="557" operator="lessThan">
      <formula>0</formula>
    </cfRule>
    <cfRule type="cellIs" dxfId="17556" priority="558" operator="lessThan">
      <formula>-105575</formula>
    </cfRule>
  </conditionalFormatting>
  <conditionalFormatting sqref="BB214:BB219">
    <cfRule type="cellIs" dxfId="17555" priority="555" operator="lessThan">
      <formula>0</formula>
    </cfRule>
    <cfRule type="cellIs" dxfId="17554" priority="556" operator="lessThan">
      <formula>-105575</formula>
    </cfRule>
  </conditionalFormatting>
  <conditionalFormatting sqref="BB214:BB219">
    <cfRule type="cellIs" dxfId="17553" priority="553" operator="lessThan">
      <formula>0</formula>
    </cfRule>
    <cfRule type="cellIs" dxfId="17552" priority="554" operator="lessThan">
      <formula>-105575</formula>
    </cfRule>
  </conditionalFormatting>
  <conditionalFormatting sqref="BB222:BB224">
    <cfRule type="cellIs" dxfId="17551" priority="551" operator="lessThan">
      <formula>0</formula>
    </cfRule>
    <cfRule type="cellIs" dxfId="17550" priority="552" operator="lessThan">
      <formula>-105575</formula>
    </cfRule>
  </conditionalFormatting>
  <conditionalFormatting sqref="BB222:BB224">
    <cfRule type="cellIs" dxfId="17549" priority="549" operator="lessThan">
      <formula>0</formula>
    </cfRule>
    <cfRule type="cellIs" dxfId="17548" priority="550" operator="lessThan">
      <formula>-105575</formula>
    </cfRule>
  </conditionalFormatting>
  <conditionalFormatting sqref="BB222:BB224">
    <cfRule type="cellIs" dxfId="17547" priority="547" operator="lessThan">
      <formula>0</formula>
    </cfRule>
    <cfRule type="cellIs" dxfId="17546" priority="548" operator="lessThan">
      <formula>-105575</formula>
    </cfRule>
  </conditionalFormatting>
  <conditionalFormatting sqref="BB227:BB230">
    <cfRule type="cellIs" dxfId="17545" priority="545" operator="lessThan">
      <formula>0</formula>
    </cfRule>
    <cfRule type="cellIs" dxfId="17544" priority="546" operator="lessThan">
      <formula>-105575</formula>
    </cfRule>
  </conditionalFormatting>
  <conditionalFormatting sqref="BB227:BB230">
    <cfRule type="cellIs" dxfId="17543" priority="543" operator="lessThan">
      <formula>0</formula>
    </cfRule>
    <cfRule type="cellIs" dxfId="17542" priority="544" operator="lessThan">
      <formula>-105575</formula>
    </cfRule>
  </conditionalFormatting>
  <conditionalFormatting sqref="BB227:BB230">
    <cfRule type="cellIs" dxfId="17541" priority="541" operator="lessThan">
      <formula>0</formula>
    </cfRule>
    <cfRule type="cellIs" dxfId="17540" priority="542" operator="lessThan">
      <formula>-105575</formula>
    </cfRule>
  </conditionalFormatting>
  <conditionalFormatting sqref="BB246:BB249">
    <cfRule type="cellIs" dxfId="17539" priority="539" operator="lessThan">
      <formula>0</formula>
    </cfRule>
    <cfRule type="cellIs" dxfId="17538" priority="540" operator="lessThan">
      <formula>-105575</formula>
    </cfRule>
  </conditionalFormatting>
  <conditionalFormatting sqref="BB246:BB249">
    <cfRule type="cellIs" dxfId="17537" priority="537" operator="lessThan">
      <formula>0</formula>
    </cfRule>
    <cfRule type="cellIs" dxfId="17536" priority="538" operator="lessThan">
      <formula>-105575</formula>
    </cfRule>
  </conditionalFormatting>
  <conditionalFormatting sqref="BB246:BB249">
    <cfRule type="cellIs" dxfId="17535" priority="535" operator="lessThan">
      <formula>0</formula>
    </cfRule>
    <cfRule type="cellIs" dxfId="17534" priority="536" operator="lessThan">
      <formula>-105575</formula>
    </cfRule>
  </conditionalFormatting>
  <conditionalFormatting sqref="BB246:BB249">
    <cfRule type="cellIs" dxfId="17533" priority="533" operator="lessThan">
      <formula>0</formula>
    </cfRule>
    <cfRule type="cellIs" dxfId="17532" priority="534" operator="lessThan">
      <formula>-105575</formula>
    </cfRule>
  </conditionalFormatting>
  <conditionalFormatting sqref="BB246:BB249">
    <cfRule type="cellIs" dxfId="17531" priority="531" operator="lessThan">
      <formula>0</formula>
    </cfRule>
    <cfRule type="cellIs" dxfId="17530" priority="532" operator="lessThan">
      <formula>-105575</formula>
    </cfRule>
  </conditionalFormatting>
  <conditionalFormatting sqref="BB246:BB249">
    <cfRule type="cellIs" dxfId="17529" priority="529" operator="lessThan">
      <formula>0</formula>
    </cfRule>
    <cfRule type="cellIs" dxfId="17528" priority="530" operator="lessThan">
      <formula>-105575</formula>
    </cfRule>
  </conditionalFormatting>
  <conditionalFormatting sqref="BB246:BB249">
    <cfRule type="cellIs" dxfId="17527" priority="527" operator="lessThan">
      <formula>0</formula>
    </cfRule>
    <cfRule type="cellIs" dxfId="17526" priority="528" operator="lessThan">
      <formula>-105575</formula>
    </cfRule>
  </conditionalFormatting>
  <conditionalFormatting sqref="BB246:BB249">
    <cfRule type="cellIs" dxfId="17525" priority="525" operator="lessThan">
      <formula>0</formula>
    </cfRule>
    <cfRule type="cellIs" dxfId="17524" priority="526" operator="lessThan">
      <formula>-105575</formula>
    </cfRule>
  </conditionalFormatting>
  <conditionalFormatting sqref="BB246:BB249">
    <cfRule type="cellIs" dxfId="17523" priority="523" operator="lessThan">
      <formula>0</formula>
    </cfRule>
    <cfRule type="cellIs" dxfId="17522" priority="524" operator="lessThan">
      <formula>-105575</formula>
    </cfRule>
  </conditionalFormatting>
  <conditionalFormatting sqref="BB251:BB253">
    <cfRule type="cellIs" dxfId="17521" priority="521" operator="lessThan">
      <formula>0</formula>
    </cfRule>
    <cfRule type="cellIs" dxfId="17520" priority="522" operator="lessThan">
      <formula>-105575</formula>
    </cfRule>
  </conditionalFormatting>
  <conditionalFormatting sqref="BB251:BB253">
    <cfRule type="cellIs" dxfId="17519" priority="519" operator="lessThan">
      <formula>0</formula>
    </cfRule>
    <cfRule type="cellIs" dxfId="17518" priority="520" operator="lessThan">
      <formula>-105575</formula>
    </cfRule>
  </conditionalFormatting>
  <conditionalFormatting sqref="BB251:BB253">
    <cfRule type="cellIs" dxfId="17517" priority="517" operator="lessThan">
      <formula>0</formula>
    </cfRule>
    <cfRule type="cellIs" dxfId="17516" priority="518" operator="lessThan">
      <formula>-105575</formula>
    </cfRule>
  </conditionalFormatting>
  <conditionalFormatting sqref="BB251:BB253">
    <cfRule type="cellIs" dxfId="17515" priority="515" operator="lessThan">
      <formula>0</formula>
    </cfRule>
    <cfRule type="cellIs" dxfId="17514" priority="516" operator="lessThan">
      <formula>-105575</formula>
    </cfRule>
  </conditionalFormatting>
  <conditionalFormatting sqref="BB251:BB253">
    <cfRule type="cellIs" dxfId="17513" priority="513" operator="lessThan">
      <formula>0</formula>
    </cfRule>
    <cfRule type="cellIs" dxfId="17512" priority="514" operator="lessThan">
      <formula>-105575</formula>
    </cfRule>
  </conditionalFormatting>
  <conditionalFormatting sqref="BB251:BB253">
    <cfRule type="cellIs" dxfId="17511" priority="511" operator="lessThan">
      <formula>0</formula>
    </cfRule>
    <cfRule type="cellIs" dxfId="17510" priority="512" operator="lessThan">
      <formula>-105575</formula>
    </cfRule>
  </conditionalFormatting>
  <conditionalFormatting sqref="BB251:BB253">
    <cfRule type="cellIs" dxfId="17509" priority="509" operator="lessThan">
      <formula>0</formula>
    </cfRule>
    <cfRule type="cellIs" dxfId="17508" priority="510" operator="lessThan">
      <formula>-105575</formula>
    </cfRule>
  </conditionalFormatting>
  <conditionalFormatting sqref="BB251:BB253">
    <cfRule type="cellIs" dxfId="17507" priority="507" operator="lessThan">
      <formula>0</formula>
    </cfRule>
    <cfRule type="cellIs" dxfId="17506" priority="508" operator="lessThan">
      <formula>-105575</formula>
    </cfRule>
  </conditionalFormatting>
  <conditionalFormatting sqref="BB251:BB253">
    <cfRule type="cellIs" dxfId="17505" priority="505" operator="lessThan">
      <formula>0</formula>
    </cfRule>
    <cfRule type="cellIs" dxfId="17504" priority="506" operator="lessThan">
      <formula>-105575</formula>
    </cfRule>
  </conditionalFormatting>
  <conditionalFormatting sqref="BB255:BB257">
    <cfRule type="cellIs" dxfId="17503" priority="503" operator="lessThan">
      <formula>0</formula>
    </cfRule>
    <cfRule type="cellIs" dxfId="17502" priority="504" operator="lessThan">
      <formula>-105575</formula>
    </cfRule>
  </conditionalFormatting>
  <conditionalFormatting sqref="BB255:BB257">
    <cfRule type="cellIs" dxfId="17501" priority="501" operator="lessThan">
      <formula>0</formula>
    </cfRule>
    <cfRule type="cellIs" dxfId="17500" priority="502" operator="lessThan">
      <formula>-105575</formula>
    </cfRule>
  </conditionalFormatting>
  <conditionalFormatting sqref="BB255:BB257">
    <cfRule type="cellIs" dxfId="17499" priority="499" operator="lessThan">
      <formula>0</formula>
    </cfRule>
    <cfRule type="cellIs" dxfId="17498" priority="500" operator="lessThan">
      <formula>-105575</formula>
    </cfRule>
  </conditionalFormatting>
  <conditionalFormatting sqref="BB255:BB257">
    <cfRule type="cellIs" dxfId="17497" priority="497" operator="lessThan">
      <formula>0</formula>
    </cfRule>
    <cfRule type="cellIs" dxfId="17496" priority="498" operator="lessThan">
      <formula>-105575</formula>
    </cfRule>
  </conditionalFormatting>
  <conditionalFormatting sqref="BB255:BB257">
    <cfRule type="cellIs" dxfId="17495" priority="495" operator="lessThan">
      <formula>0</formula>
    </cfRule>
    <cfRule type="cellIs" dxfId="17494" priority="496" operator="lessThan">
      <formula>-105575</formula>
    </cfRule>
  </conditionalFormatting>
  <conditionalFormatting sqref="BB255:BB257">
    <cfRule type="cellIs" dxfId="17493" priority="493" operator="lessThan">
      <formula>0</formula>
    </cfRule>
    <cfRule type="cellIs" dxfId="17492" priority="494" operator="lessThan">
      <formula>-105575</formula>
    </cfRule>
  </conditionalFormatting>
  <conditionalFormatting sqref="BB255:BB257">
    <cfRule type="cellIs" dxfId="17491" priority="491" operator="lessThan">
      <formula>0</formula>
    </cfRule>
    <cfRule type="cellIs" dxfId="17490" priority="492" operator="lessThan">
      <formula>-105575</formula>
    </cfRule>
  </conditionalFormatting>
  <conditionalFormatting sqref="BB255:BB257">
    <cfRule type="cellIs" dxfId="17489" priority="489" operator="lessThan">
      <formula>0</formula>
    </cfRule>
    <cfRule type="cellIs" dxfId="17488" priority="490" operator="lessThan">
      <formula>-105575</formula>
    </cfRule>
  </conditionalFormatting>
  <conditionalFormatting sqref="BB255:BB257">
    <cfRule type="cellIs" dxfId="17487" priority="487" operator="lessThan">
      <formula>0</formula>
    </cfRule>
    <cfRule type="cellIs" dxfId="17486" priority="488" operator="lessThan">
      <formula>-105575</formula>
    </cfRule>
  </conditionalFormatting>
  <conditionalFormatting sqref="BB260:BB262">
    <cfRule type="cellIs" dxfId="17485" priority="485" operator="lessThan">
      <formula>0</formula>
    </cfRule>
    <cfRule type="cellIs" dxfId="17484" priority="486" operator="lessThan">
      <formula>-105575</formula>
    </cfRule>
  </conditionalFormatting>
  <conditionalFormatting sqref="BB260:BB262">
    <cfRule type="cellIs" dxfId="17483" priority="483" operator="lessThan">
      <formula>0</formula>
    </cfRule>
    <cfRule type="cellIs" dxfId="17482" priority="484" operator="lessThan">
      <formula>-105575</formula>
    </cfRule>
  </conditionalFormatting>
  <conditionalFormatting sqref="BB260:BB262">
    <cfRule type="cellIs" dxfId="17481" priority="481" operator="lessThan">
      <formula>0</formula>
    </cfRule>
    <cfRule type="cellIs" dxfId="17480" priority="482" operator="lessThan">
      <formula>-105575</formula>
    </cfRule>
  </conditionalFormatting>
  <conditionalFormatting sqref="BB260:BB262">
    <cfRule type="cellIs" dxfId="17479" priority="479" operator="lessThan">
      <formula>0</formula>
    </cfRule>
    <cfRule type="cellIs" dxfId="17478" priority="480" operator="lessThan">
      <formula>-105575</formula>
    </cfRule>
  </conditionalFormatting>
  <conditionalFormatting sqref="BB260:BB262">
    <cfRule type="cellIs" dxfId="17477" priority="477" operator="lessThan">
      <formula>0</formula>
    </cfRule>
    <cfRule type="cellIs" dxfId="17476" priority="478" operator="lessThan">
      <formula>-105575</formula>
    </cfRule>
  </conditionalFormatting>
  <conditionalFormatting sqref="BB260:BB262">
    <cfRule type="cellIs" dxfId="17475" priority="475" operator="lessThan">
      <formula>0</formula>
    </cfRule>
    <cfRule type="cellIs" dxfId="17474" priority="476" operator="lessThan">
      <formula>-105575</formula>
    </cfRule>
  </conditionalFormatting>
  <conditionalFormatting sqref="BB260:BB262">
    <cfRule type="cellIs" dxfId="17473" priority="473" operator="lessThan">
      <formula>0</formula>
    </cfRule>
    <cfRule type="cellIs" dxfId="17472" priority="474" operator="lessThan">
      <formula>-105575</formula>
    </cfRule>
  </conditionalFormatting>
  <conditionalFormatting sqref="BB260:BB262">
    <cfRule type="cellIs" dxfId="17471" priority="471" operator="lessThan">
      <formula>0</formula>
    </cfRule>
    <cfRule type="cellIs" dxfId="17470" priority="472" operator="lessThan">
      <formula>-105575</formula>
    </cfRule>
  </conditionalFormatting>
  <conditionalFormatting sqref="BB260:BB262">
    <cfRule type="cellIs" dxfId="17469" priority="469" operator="lessThan">
      <formula>0</formula>
    </cfRule>
    <cfRule type="cellIs" dxfId="17468" priority="470" operator="lessThan">
      <formula>-105575</formula>
    </cfRule>
  </conditionalFormatting>
  <conditionalFormatting sqref="BB264:BB267">
    <cfRule type="cellIs" dxfId="17467" priority="467" operator="lessThan">
      <formula>0</formula>
    </cfRule>
    <cfRule type="cellIs" dxfId="17466" priority="468" operator="lessThan">
      <formula>-105575</formula>
    </cfRule>
  </conditionalFormatting>
  <conditionalFormatting sqref="BB264:BB267">
    <cfRule type="cellIs" dxfId="17465" priority="465" operator="lessThan">
      <formula>0</formula>
    </cfRule>
    <cfRule type="cellIs" dxfId="17464" priority="466" operator="lessThan">
      <formula>-105575</formula>
    </cfRule>
  </conditionalFormatting>
  <conditionalFormatting sqref="BB264:BB267">
    <cfRule type="cellIs" dxfId="17463" priority="463" operator="lessThan">
      <formula>0</formula>
    </cfRule>
    <cfRule type="cellIs" dxfId="17462" priority="464" operator="lessThan">
      <formula>-105575</formula>
    </cfRule>
  </conditionalFormatting>
  <conditionalFormatting sqref="BB264:BB267">
    <cfRule type="cellIs" dxfId="17461" priority="461" operator="lessThan">
      <formula>0</formula>
    </cfRule>
    <cfRule type="cellIs" dxfId="17460" priority="462" operator="lessThan">
      <formula>-105575</formula>
    </cfRule>
  </conditionalFormatting>
  <conditionalFormatting sqref="BB264:BB267">
    <cfRule type="cellIs" dxfId="17459" priority="459" operator="lessThan">
      <formula>0</formula>
    </cfRule>
    <cfRule type="cellIs" dxfId="17458" priority="460" operator="lessThan">
      <formula>-105575</formula>
    </cfRule>
  </conditionalFormatting>
  <conditionalFormatting sqref="BB264:BB267">
    <cfRule type="cellIs" dxfId="17457" priority="457" operator="lessThan">
      <formula>0</formula>
    </cfRule>
    <cfRule type="cellIs" dxfId="17456" priority="458" operator="lessThan">
      <formula>-105575</formula>
    </cfRule>
  </conditionalFormatting>
  <conditionalFormatting sqref="BB264:BB267">
    <cfRule type="cellIs" dxfId="17455" priority="455" operator="lessThan">
      <formula>0</formula>
    </cfRule>
    <cfRule type="cellIs" dxfId="17454" priority="456" operator="lessThan">
      <formula>-105575</formula>
    </cfRule>
  </conditionalFormatting>
  <conditionalFormatting sqref="BB264:BB267">
    <cfRule type="cellIs" dxfId="17453" priority="453" operator="lessThan">
      <formula>0</formula>
    </cfRule>
    <cfRule type="cellIs" dxfId="17452" priority="454" operator="lessThan">
      <formula>-105575</formula>
    </cfRule>
  </conditionalFormatting>
  <conditionalFormatting sqref="BB264:BB267">
    <cfRule type="cellIs" dxfId="17451" priority="451" operator="lessThan">
      <formula>0</formula>
    </cfRule>
    <cfRule type="cellIs" dxfId="17450" priority="452" operator="lessThan">
      <formula>-105575</formula>
    </cfRule>
  </conditionalFormatting>
  <conditionalFormatting sqref="BB270:BB272">
    <cfRule type="cellIs" dxfId="17449" priority="449" operator="lessThan">
      <formula>0</formula>
    </cfRule>
    <cfRule type="cellIs" dxfId="17448" priority="450" operator="lessThan">
      <formula>-105575</formula>
    </cfRule>
  </conditionalFormatting>
  <conditionalFormatting sqref="BB270:BB272">
    <cfRule type="cellIs" dxfId="17447" priority="447" operator="lessThan">
      <formula>0</formula>
    </cfRule>
    <cfRule type="cellIs" dxfId="17446" priority="448" operator="lessThan">
      <formula>-105575</formula>
    </cfRule>
  </conditionalFormatting>
  <conditionalFormatting sqref="BB270:BB272">
    <cfRule type="cellIs" dxfId="17445" priority="445" operator="lessThan">
      <formula>0</formula>
    </cfRule>
    <cfRule type="cellIs" dxfId="17444" priority="446" operator="lessThan">
      <formula>-105575</formula>
    </cfRule>
  </conditionalFormatting>
  <conditionalFormatting sqref="BB270:BB272">
    <cfRule type="cellIs" dxfId="17443" priority="443" operator="lessThan">
      <formula>0</formula>
    </cfRule>
    <cfRule type="cellIs" dxfId="17442" priority="444" operator="lessThan">
      <formula>-105575</formula>
    </cfRule>
  </conditionalFormatting>
  <conditionalFormatting sqref="BB270:BB272">
    <cfRule type="cellIs" dxfId="17441" priority="441" operator="lessThan">
      <formula>0</formula>
    </cfRule>
    <cfRule type="cellIs" dxfId="17440" priority="442" operator="lessThan">
      <formula>-105575</formula>
    </cfRule>
  </conditionalFormatting>
  <conditionalFormatting sqref="BB270:BB272">
    <cfRule type="cellIs" dxfId="17439" priority="439" operator="lessThan">
      <formula>0</formula>
    </cfRule>
    <cfRule type="cellIs" dxfId="17438" priority="440" operator="lessThan">
      <formula>-105575</formula>
    </cfRule>
  </conditionalFormatting>
  <conditionalFormatting sqref="BB270:BB272">
    <cfRule type="cellIs" dxfId="17437" priority="437" operator="lessThan">
      <formula>0</formula>
    </cfRule>
    <cfRule type="cellIs" dxfId="17436" priority="438" operator="lessThan">
      <formula>-105575</formula>
    </cfRule>
  </conditionalFormatting>
  <conditionalFormatting sqref="BB270:BB272">
    <cfRule type="cellIs" dxfId="17435" priority="435" operator="lessThan">
      <formula>0</formula>
    </cfRule>
    <cfRule type="cellIs" dxfId="17434" priority="436" operator="lessThan">
      <formula>-105575</formula>
    </cfRule>
  </conditionalFormatting>
  <conditionalFormatting sqref="BB270:BB272">
    <cfRule type="cellIs" dxfId="17433" priority="433" operator="lessThan">
      <formula>0</formula>
    </cfRule>
    <cfRule type="cellIs" dxfId="17432" priority="434" operator="lessThan">
      <formula>-105575</formula>
    </cfRule>
  </conditionalFormatting>
  <conditionalFormatting sqref="BB274:BB275">
    <cfRule type="cellIs" dxfId="17431" priority="431" operator="lessThan">
      <formula>0</formula>
    </cfRule>
    <cfRule type="cellIs" dxfId="17430" priority="432" operator="lessThan">
      <formula>-105575</formula>
    </cfRule>
  </conditionalFormatting>
  <conditionalFormatting sqref="BB274:BB275">
    <cfRule type="cellIs" dxfId="17429" priority="429" operator="lessThan">
      <formula>0</formula>
    </cfRule>
    <cfRule type="cellIs" dxfId="17428" priority="430" operator="lessThan">
      <formula>-105575</formula>
    </cfRule>
  </conditionalFormatting>
  <conditionalFormatting sqref="BB274:BB275">
    <cfRule type="cellIs" dxfId="17427" priority="427" operator="lessThan">
      <formula>0</formula>
    </cfRule>
    <cfRule type="cellIs" dxfId="17426" priority="428" operator="lessThan">
      <formula>-105575</formula>
    </cfRule>
  </conditionalFormatting>
  <conditionalFormatting sqref="BB274:BB275">
    <cfRule type="cellIs" dxfId="17425" priority="425" operator="lessThan">
      <formula>0</formula>
    </cfRule>
    <cfRule type="cellIs" dxfId="17424" priority="426" operator="lessThan">
      <formula>-105575</formula>
    </cfRule>
  </conditionalFormatting>
  <conditionalFormatting sqref="BB274:BB275">
    <cfRule type="cellIs" dxfId="17423" priority="423" operator="lessThan">
      <formula>0</formula>
    </cfRule>
    <cfRule type="cellIs" dxfId="17422" priority="424" operator="lessThan">
      <formula>-105575</formula>
    </cfRule>
  </conditionalFormatting>
  <conditionalFormatting sqref="BB274:BB275">
    <cfRule type="cellIs" dxfId="17421" priority="421" operator="lessThan">
      <formula>0</formula>
    </cfRule>
    <cfRule type="cellIs" dxfId="17420" priority="422" operator="lessThan">
      <formula>-105575</formula>
    </cfRule>
  </conditionalFormatting>
  <conditionalFormatting sqref="BB274:BB275">
    <cfRule type="cellIs" dxfId="17419" priority="419" operator="lessThan">
      <formula>0</formula>
    </cfRule>
    <cfRule type="cellIs" dxfId="17418" priority="420" operator="lessThan">
      <formula>-105575</formula>
    </cfRule>
  </conditionalFormatting>
  <conditionalFormatting sqref="BB274:BB275">
    <cfRule type="cellIs" dxfId="17417" priority="417" operator="lessThan">
      <formula>0</formula>
    </cfRule>
    <cfRule type="cellIs" dxfId="17416" priority="418" operator="lessThan">
      <formula>-105575</formula>
    </cfRule>
  </conditionalFormatting>
  <conditionalFormatting sqref="BB274:BB275">
    <cfRule type="cellIs" dxfId="17415" priority="415" operator="lessThan">
      <formula>0</formula>
    </cfRule>
    <cfRule type="cellIs" dxfId="17414" priority="416" operator="lessThan">
      <formula>-105575</formula>
    </cfRule>
  </conditionalFormatting>
  <conditionalFormatting sqref="BB278:BB282">
    <cfRule type="cellIs" dxfId="17413" priority="413" operator="lessThan">
      <formula>0</formula>
    </cfRule>
    <cfRule type="cellIs" dxfId="17412" priority="414" operator="lessThan">
      <formula>-105575</formula>
    </cfRule>
  </conditionalFormatting>
  <conditionalFormatting sqref="BB278:BB282">
    <cfRule type="cellIs" dxfId="17411" priority="411" operator="lessThan">
      <formula>0</formula>
    </cfRule>
    <cfRule type="cellIs" dxfId="17410" priority="412" operator="lessThan">
      <formula>-105575</formula>
    </cfRule>
  </conditionalFormatting>
  <conditionalFormatting sqref="BB278:BB282">
    <cfRule type="cellIs" dxfId="17409" priority="409" operator="lessThan">
      <formula>0</formula>
    </cfRule>
    <cfRule type="cellIs" dxfId="17408" priority="410" operator="lessThan">
      <formula>-105575</formula>
    </cfRule>
  </conditionalFormatting>
  <conditionalFormatting sqref="BB278:BB282">
    <cfRule type="cellIs" dxfId="17407" priority="407" operator="lessThan">
      <formula>0</formula>
    </cfRule>
    <cfRule type="cellIs" dxfId="17406" priority="408" operator="lessThan">
      <formula>-105575</formula>
    </cfRule>
  </conditionalFormatting>
  <conditionalFormatting sqref="BB278:BB282">
    <cfRule type="cellIs" dxfId="17405" priority="405" operator="lessThan">
      <formula>0</formula>
    </cfRule>
    <cfRule type="cellIs" dxfId="17404" priority="406" operator="lessThan">
      <formula>-105575</formula>
    </cfRule>
  </conditionalFormatting>
  <conditionalFormatting sqref="BB278:BB282">
    <cfRule type="cellIs" dxfId="17403" priority="403" operator="lessThan">
      <formula>0</formula>
    </cfRule>
    <cfRule type="cellIs" dxfId="17402" priority="404" operator="lessThan">
      <formula>-105575</formula>
    </cfRule>
  </conditionalFormatting>
  <conditionalFormatting sqref="BB278:BB282">
    <cfRule type="cellIs" dxfId="17401" priority="401" operator="lessThan">
      <formula>0</formula>
    </cfRule>
    <cfRule type="cellIs" dxfId="17400" priority="402" operator="lessThan">
      <formula>-105575</formula>
    </cfRule>
  </conditionalFormatting>
  <conditionalFormatting sqref="BB278:BB282">
    <cfRule type="cellIs" dxfId="17399" priority="399" operator="lessThan">
      <formula>0</formula>
    </cfRule>
    <cfRule type="cellIs" dxfId="17398" priority="400" operator="lessThan">
      <formula>-105575</formula>
    </cfRule>
  </conditionalFormatting>
  <conditionalFormatting sqref="BB278:BB282">
    <cfRule type="cellIs" dxfId="17397" priority="397" operator="lessThan">
      <formula>0</formula>
    </cfRule>
    <cfRule type="cellIs" dxfId="17396" priority="398" operator="lessThan">
      <formula>-105575</formula>
    </cfRule>
  </conditionalFormatting>
  <conditionalFormatting sqref="BB285:BB288">
    <cfRule type="cellIs" dxfId="17395" priority="395" operator="lessThan">
      <formula>0</formula>
    </cfRule>
    <cfRule type="cellIs" dxfId="17394" priority="396" operator="lessThan">
      <formula>-105575</formula>
    </cfRule>
  </conditionalFormatting>
  <conditionalFormatting sqref="BB285:BB288">
    <cfRule type="cellIs" dxfId="17393" priority="393" operator="lessThan">
      <formula>0</formula>
    </cfRule>
    <cfRule type="cellIs" dxfId="17392" priority="394" operator="lessThan">
      <formula>-105575</formula>
    </cfRule>
  </conditionalFormatting>
  <conditionalFormatting sqref="BB285:BB288">
    <cfRule type="cellIs" dxfId="17391" priority="391" operator="lessThan">
      <formula>0</formula>
    </cfRule>
    <cfRule type="cellIs" dxfId="17390" priority="392" operator="lessThan">
      <formula>-105575</formula>
    </cfRule>
  </conditionalFormatting>
  <conditionalFormatting sqref="BB285:BB288">
    <cfRule type="cellIs" dxfId="17389" priority="389" operator="lessThan">
      <formula>0</formula>
    </cfRule>
    <cfRule type="cellIs" dxfId="17388" priority="390" operator="lessThan">
      <formula>-105575</formula>
    </cfRule>
  </conditionalFormatting>
  <conditionalFormatting sqref="BB285:BB288">
    <cfRule type="cellIs" dxfId="17387" priority="387" operator="lessThan">
      <formula>0</formula>
    </cfRule>
    <cfRule type="cellIs" dxfId="17386" priority="388" operator="lessThan">
      <formula>-105575</formula>
    </cfRule>
  </conditionalFormatting>
  <conditionalFormatting sqref="BB285:BB288">
    <cfRule type="cellIs" dxfId="17385" priority="385" operator="lessThan">
      <formula>0</formula>
    </cfRule>
    <cfRule type="cellIs" dxfId="17384" priority="386" operator="lessThan">
      <formula>-105575</formula>
    </cfRule>
  </conditionalFormatting>
  <conditionalFormatting sqref="BB285:BB288">
    <cfRule type="cellIs" dxfId="17383" priority="383" operator="lessThan">
      <formula>0</formula>
    </cfRule>
    <cfRule type="cellIs" dxfId="17382" priority="384" operator="lessThan">
      <formula>-105575</formula>
    </cfRule>
  </conditionalFormatting>
  <conditionalFormatting sqref="BB285:BB288">
    <cfRule type="cellIs" dxfId="17381" priority="381" operator="lessThan">
      <formula>0</formula>
    </cfRule>
    <cfRule type="cellIs" dxfId="17380" priority="382" operator="lessThan">
      <formula>-105575</formula>
    </cfRule>
  </conditionalFormatting>
  <conditionalFormatting sqref="BB285:BB288">
    <cfRule type="cellIs" dxfId="17379" priority="379" operator="lessThan">
      <formula>0</formula>
    </cfRule>
    <cfRule type="cellIs" dxfId="17378" priority="380" operator="lessThan">
      <formula>-105575</formula>
    </cfRule>
  </conditionalFormatting>
  <conditionalFormatting sqref="BB203 BB220:BB221 BB235:BB243 BB231:BB233 BB212:BB213 BB225:BB226">
    <cfRule type="cellIs" dxfId="17377" priority="377" operator="lessThan">
      <formula>0</formula>
    </cfRule>
    <cfRule type="cellIs" dxfId="17376" priority="378" operator="lessThan">
      <formula>-105575</formula>
    </cfRule>
  </conditionalFormatting>
  <conditionalFormatting sqref="BB220 BB212:BB213 BB235:BB238 BB240:BB243 BB225:BB226 BB231:BB233">
    <cfRule type="cellIs" dxfId="17375" priority="375" operator="lessThan">
      <formula>0</formula>
    </cfRule>
    <cfRule type="cellIs" dxfId="17374" priority="376" operator="lessThan">
      <formula>-105575</formula>
    </cfRule>
  </conditionalFormatting>
  <conditionalFormatting sqref="BB220:BB221 BB243 BB226 BB231:BB236 BB238:BB241 BB203 BB213">
    <cfRule type="cellIs" dxfId="17373" priority="373" operator="lessThan">
      <formula>0</formula>
    </cfRule>
    <cfRule type="cellIs" dxfId="17372" priority="374" operator="lessThan">
      <formula>-105575</formula>
    </cfRule>
  </conditionalFormatting>
  <conditionalFormatting sqref="BB235:BB243 BB231:BB233 BB220 BB212:BB213 BB225:BB226">
    <cfRule type="cellIs" dxfId="17371" priority="371" operator="lessThan">
      <formula>0</formula>
    </cfRule>
    <cfRule type="cellIs" dxfId="17370" priority="372" operator="lessThan">
      <formula>-105575</formula>
    </cfRule>
  </conditionalFormatting>
  <conditionalFormatting sqref="BB220:BB221 BB237:BB243 BB203 BB231:BB235 BB212:BB213 BB225:BB226">
    <cfRule type="cellIs" dxfId="17369" priority="369" operator="lessThan">
      <formula>0</formula>
    </cfRule>
    <cfRule type="cellIs" dxfId="17368" priority="370" operator="lessThan">
      <formula>-105575</formula>
    </cfRule>
  </conditionalFormatting>
  <conditionalFormatting sqref="BB220:BB221 BB237:BB240 BB242:BB243 BB225:BB226 BB231:BB235">
    <cfRule type="cellIs" dxfId="17367" priority="367" operator="lessThan">
      <formula>0</formula>
    </cfRule>
    <cfRule type="cellIs" dxfId="17366" priority="368" operator="lessThan">
      <formula>-105575</formula>
    </cfRule>
  </conditionalFormatting>
  <conditionalFormatting sqref="BB212 BB231 BB233:BB238 BB240:BB243 BB225">
    <cfRule type="cellIs" dxfId="17365" priority="365" operator="lessThan">
      <formula>0</formula>
    </cfRule>
    <cfRule type="cellIs" dxfId="17364" priority="366" operator="lessThan">
      <formula>-105575</formula>
    </cfRule>
  </conditionalFormatting>
  <conditionalFormatting sqref="BB237:BB243 BB231:BB235 BB220:BB221 BB225:BB226">
    <cfRule type="cellIs" dxfId="17363" priority="363" operator="lessThan">
      <formula>0</formula>
    </cfRule>
    <cfRule type="cellIs" dxfId="17362" priority="364" operator="lessThan">
      <formula>-105575</formula>
    </cfRule>
  </conditionalFormatting>
  <conditionalFormatting sqref="BB233:BB237 BB231 BB239:BB243">
    <cfRule type="cellIs" dxfId="17361" priority="361" operator="lessThan">
      <formula>0</formula>
    </cfRule>
    <cfRule type="cellIs" dxfId="17360" priority="362" operator="lessThan">
      <formula>-105575</formula>
    </cfRule>
  </conditionalFormatting>
  <conditionalFormatting sqref="BB233:BB237 BB231 BB239:BB243">
    <cfRule type="cellIs" dxfId="17359" priority="359" operator="lessThan">
      <formula>0</formula>
    </cfRule>
    <cfRule type="cellIs" dxfId="17358" priority="360" operator="lessThan">
      <formula>-105575</formula>
    </cfRule>
  </conditionalFormatting>
  <conditionalFormatting sqref="BB119:BB128 BB106:BB117 BB101:BB104 BB80:BB99">
    <cfRule type="cellIs" dxfId="17357" priority="357" operator="lessThan">
      <formula>0</formula>
    </cfRule>
    <cfRule type="cellIs" dxfId="17356" priority="358" operator="lessThan">
      <formula>-105575</formula>
    </cfRule>
  </conditionalFormatting>
  <conditionalFormatting sqref="BB130 BB132 BB134">
    <cfRule type="cellIs" dxfId="17355" priority="355" operator="lessThan">
      <formula>0</formula>
    </cfRule>
    <cfRule type="cellIs" dxfId="17354" priority="356" operator="lessThan">
      <formula>-105575</formula>
    </cfRule>
  </conditionalFormatting>
  <conditionalFormatting sqref="BB130 BB132 BB134">
    <cfRule type="cellIs" dxfId="17353" priority="353" operator="lessThan">
      <formula>0</formula>
    </cfRule>
    <cfRule type="cellIs" dxfId="17352" priority="354" operator="lessThan">
      <formula>-105575</formula>
    </cfRule>
  </conditionalFormatting>
  <conditionalFormatting sqref="BB129 BB131 BB133 BB135">
    <cfRule type="cellIs" dxfId="17351" priority="351" operator="lessThan">
      <formula>0</formula>
    </cfRule>
    <cfRule type="cellIs" dxfId="17350" priority="352" operator="lessThan">
      <formula>-105575</formula>
    </cfRule>
  </conditionalFormatting>
  <conditionalFormatting sqref="BB140 BB145 BB142:BB143 BB137:BB138">
    <cfRule type="cellIs" dxfId="17349" priority="349" operator="lessThan">
      <formula>0</formula>
    </cfRule>
    <cfRule type="cellIs" dxfId="17348" priority="350" operator="lessThan">
      <formula>-105575</formula>
    </cfRule>
  </conditionalFormatting>
  <conditionalFormatting sqref="BB149">
    <cfRule type="cellIs" dxfId="17347" priority="347" operator="lessThan">
      <formula>0</formula>
    </cfRule>
    <cfRule type="cellIs" dxfId="17346" priority="348" operator="lessThan">
      <formula>-105575</formula>
    </cfRule>
  </conditionalFormatting>
  <conditionalFormatting sqref="BB129:BB138 BB140:BB149">
    <cfRule type="cellIs" dxfId="17345" priority="345" operator="lessThan">
      <formula>0</formula>
    </cfRule>
    <cfRule type="cellIs" dxfId="17344" priority="346" operator="lessThan">
      <formula>-105575</formula>
    </cfRule>
  </conditionalFormatting>
  <conditionalFormatting sqref="BB86:BB87 BB89:BB91 BB141:BB149 BB124:BB133 BB107:BB110 BB112:BB117 BB119:BB122 BB135:BB138 BB101:BB104 BB80:BB84 BB94:BB99">
    <cfRule type="cellIs" dxfId="17343" priority="343" operator="lessThan">
      <formula>0</formula>
    </cfRule>
    <cfRule type="cellIs" dxfId="17342" priority="344" operator="lessThan">
      <formula>-105575</formula>
    </cfRule>
  </conditionalFormatting>
  <conditionalFormatting sqref="BB129 BB131 BB133 BB135">
    <cfRule type="cellIs" dxfId="17341" priority="341" operator="lessThan">
      <formula>0</formula>
    </cfRule>
    <cfRule type="cellIs" dxfId="17340" priority="342" operator="lessThan">
      <formula>-105575</formula>
    </cfRule>
  </conditionalFormatting>
  <conditionalFormatting sqref="BB146 BB144 BB141">
    <cfRule type="cellIs" dxfId="17339" priority="339" operator="lessThan">
      <formula>0</formula>
    </cfRule>
    <cfRule type="cellIs" dxfId="17338" priority="340" operator="lessThan">
      <formula>-105575</formula>
    </cfRule>
  </conditionalFormatting>
  <conditionalFormatting sqref="BB146 BB144 BB141">
    <cfRule type="cellIs" dxfId="17337" priority="337" operator="lessThan">
      <formula>0</formula>
    </cfRule>
    <cfRule type="cellIs" dxfId="17336" priority="338" operator="lessThan">
      <formula>-105575</formula>
    </cfRule>
  </conditionalFormatting>
  <conditionalFormatting sqref="BB140 BB145 BB142:BB143 BB137:BB138">
    <cfRule type="cellIs" dxfId="17335" priority="335" operator="lessThan">
      <formula>0</formula>
    </cfRule>
    <cfRule type="cellIs" dxfId="17334" priority="336" operator="lessThan">
      <formula>-105575</formula>
    </cfRule>
  </conditionalFormatting>
  <conditionalFormatting sqref="BB149">
    <cfRule type="cellIs" dxfId="17333" priority="333" operator="lessThan">
      <formula>0</formula>
    </cfRule>
    <cfRule type="cellIs" dxfId="17332" priority="334" operator="lessThan">
      <formula>-105575</formula>
    </cfRule>
  </conditionalFormatting>
  <conditionalFormatting sqref="BB86:BB87 BB89:BB91 BB141:BB149 BB124:BB133 BB107:BB110 BB112:BB117 BB119:BB122 BB135:BB138 BB101:BB104 BB80:BB84 BB94:BB99">
    <cfRule type="cellIs" dxfId="17331" priority="331" operator="lessThan">
      <formula>0</formula>
    </cfRule>
    <cfRule type="cellIs" dxfId="17330" priority="332" operator="lessThan">
      <formula>-105575</formula>
    </cfRule>
  </conditionalFormatting>
  <conditionalFormatting sqref="BB306:BB309 BB311:BB325 BB327:BB330 BB332:BB341 BB344:BB347 BB349:BB353 BB355:BB358 BB360:BB384 BB386:BB389 BB392:BB395 BB397:BB411 BB413:BB416 BB418:BB432 BB434:BB437 BB439:BB453 BB455:BB458 BB460:BB469 BB290:BB291 BB293:BB304 BB7:BB10 BB12:BB14 BB17:BB18 BB21:BB24 BB26:BB28 BB30:BB36 BB38 BB41:BB43 BB46:BB49 BB51:BB55 BB57:BB59 BB62:BB76">
    <cfRule type="cellIs" dxfId="17329" priority="329" operator="lessThan">
      <formula>0</formula>
    </cfRule>
    <cfRule type="cellIs" dxfId="17328" priority="330" operator="lessThan">
      <formula>-105575</formula>
    </cfRule>
  </conditionalFormatting>
  <conditionalFormatting sqref="BB41">
    <cfRule type="cellIs" dxfId="17327" priority="327" operator="lessThan">
      <formula>0</formula>
    </cfRule>
    <cfRule type="cellIs" dxfId="17326" priority="328" operator="lessThan">
      <formula>-105575</formula>
    </cfRule>
  </conditionalFormatting>
  <conditionalFormatting sqref="BB152:BB155">
    <cfRule type="cellIs" dxfId="17325" priority="325" operator="lessThan">
      <formula>0</formula>
    </cfRule>
    <cfRule type="cellIs" dxfId="17324" priority="326" operator="lessThan">
      <formula>-105575</formula>
    </cfRule>
  </conditionalFormatting>
  <conditionalFormatting sqref="BB152:BB155">
    <cfRule type="cellIs" dxfId="17323" priority="323" operator="lessThan">
      <formula>0</formula>
    </cfRule>
    <cfRule type="cellIs" dxfId="17322" priority="324" operator="lessThan">
      <formula>-105575</formula>
    </cfRule>
  </conditionalFormatting>
  <conditionalFormatting sqref="BB152:BB155">
    <cfRule type="cellIs" dxfId="17321" priority="321" operator="lessThan">
      <formula>0</formula>
    </cfRule>
    <cfRule type="cellIs" dxfId="17320" priority="322" operator="lessThan">
      <formula>-105575</formula>
    </cfRule>
  </conditionalFormatting>
  <conditionalFormatting sqref="BB157:BB158">
    <cfRule type="cellIs" dxfId="17319" priority="319" operator="lessThan">
      <formula>0</formula>
    </cfRule>
    <cfRule type="cellIs" dxfId="17318" priority="320" operator="lessThan">
      <formula>-105575</formula>
    </cfRule>
  </conditionalFormatting>
  <conditionalFormatting sqref="BB157:BB158">
    <cfRule type="cellIs" dxfId="17317" priority="317" operator="lessThan">
      <formula>0</formula>
    </cfRule>
    <cfRule type="cellIs" dxfId="17316" priority="318" operator="lessThan">
      <formula>-105575</formula>
    </cfRule>
  </conditionalFormatting>
  <conditionalFormatting sqref="BB157:BB158">
    <cfRule type="cellIs" dxfId="17315" priority="315" operator="lessThan">
      <formula>0</formula>
    </cfRule>
    <cfRule type="cellIs" dxfId="17314" priority="316" operator="lessThan">
      <formula>-105575</formula>
    </cfRule>
  </conditionalFormatting>
  <conditionalFormatting sqref="BB160:BB161">
    <cfRule type="cellIs" dxfId="17313" priority="313" operator="lessThan">
      <formula>0</formula>
    </cfRule>
    <cfRule type="cellIs" dxfId="17312" priority="314" operator="lessThan">
      <formula>-105575</formula>
    </cfRule>
  </conditionalFormatting>
  <conditionalFormatting sqref="BB160:BB161">
    <cfRule type="cellIs" dxfId="17311" priority="311" operator="lessThan">
      <formula>0</formula>
    </cfRule>
    <cfRule type="cellIs" dxfId="17310" priority="312" operator="lessThan">
      <formula>-105575</formula>
    </cfRule>
  </conditionalFormatting>
  <conditionalFormatting sqref="BB160:BB161">
    <cfRule type="cellIs" dxfId="17309" priority="309" operator="lessThan">
      <formula>0</formula>
    </cfRule>
    <cfRule type="cellIs" dxfId="17308" priority="310" operator="lessThan">
      <formula>-105575</formula>
    </cfRule>
  </conditionalFormatting>
  <conditionalFormatting sqref="BB164:BB167">
    <cfRule type="cellIs" dxfId="17307" priority="307" operator="lessThan">
      <formula>0</formula>
    </cfRule>
    <cfRule type="cellIs" dxfId="17306" priority="308" operator="lessThan">
      <formula>-105575</formula>
    </cfRule>
  </conditionalFormatting>
  <conditionalFormatting sqref="BB164:BB167">
    <cfRule type="cellIs" dxfId="17305" priority="305" operator="lessThan">
      <formula>0</formula>
    </cfRule>
    <cfRule type="cellIs" dxfId="17304" priority="306" operator="lessThan">
      <formula>-105575</formula>
    </cfRule>
  </conditionalFormatting>
  <conditionalFormatting sqref="BB164:BB167">
    <cfRule type="cellIs" dxfId="17303" priority="303" operator="lessThan">
      <formula>0</formula>
    </cfRule>
    <cfRule type="cellIs" dxfId="17302" priority="304" operator="lessThan">
      <formula>-105575</formula>
    </cfRule>
  </conditionalFormatting>
  <conditionalFormatting sqref="BB169:BB177">
    <cfRule type="cellIs" dxfId="17301" priority="301" operator="lessThan">
      <formula>0</formula>
    </cfRule>
    <cfRule type="cellIs" dxfId="17300" priority="302" operator="lessThan">
      <formula>-105575</formula>
    </cfRule>
  </conditionalFormatting>
  <conditionalFormatting sqref="BB169:BB177">
    <cfRule type="cellIs" dxfId="17299" priority="299" operator="lessThan">
      <formula>0</formula>
    </cfRule>
    <cfRule type="cellIs" dxfId="17298" priority="300" operator="lessThan">
      <formula>-105575</formula>
    </cfRule>
  </conditionalFormatting>
  <conditionalFormatting sqref="BB169:BB177">
    <cfRule type="cellIs" dxfId="17297" priority="297" operator="lessThan">
      <formula>0</formula>
    </cfRule>
    <cfRule type="cellIs" dxfId="17296" priority="298" operator="lessThan">
      <formula>-105575</formula>
    </cfRule>
  </conditionalFormatting>
  <conditionalFormatting sqref="BB179:BB180">
    <cfRule type="cellIs" dxfId="17295" priority="295" operator="lessThan">
      <formula>0</formula>
    </cfRule>
    <cfRule type="cellIs" dxfId="17294" priority="296" operator="lessThan">
      <formula>-105575</formula>
    </cfRule>
  </conditionalFormatting>
  <conditionalFormatting sqref="BB179:BB180">
    <cfRule type="cellIs" dxfId="17293" priority="293" operator="lessThan">
      <formula>0</formula>
    </cfRule>
    <cfRule type="cellIs" dxfId="17292" priority="294" operator="lessThan">
      <formula>-105575</formula>
    </cfRule>
  </conditionalFormatting>
  <conditionalFormatting sqref="BB179:BB180">
    <cfRule type="cellIs" dxfId="17291" priority="291" operator="lessThan">
      <formula>0</formula>
    </cfRule>
    <cfRule type="cellIs" dxfId="17290" priority="292" operator="lessThan">
      <formula>-105575</formula>
    </cfRule>
  </conditionalFormatting>
  <conditionalFormatting sqref="BB183:BB189">
    <cfRule type="cellIs" dxfId="17289" priority="289" operator="lessThan">
      <formula>0</formula>
    </cfRule>
    <cfRule type="cellIs" dxfId="17288" priority="290" operator="lessThan">
      <formula>-105575</formula>
    </cfRule>
  </conditionalFormatting>
  <conditionalFormatting sqref="BB183:BB189">
    <cfRule type="cellIs" dxfId="17287" priority="287" operator="lessThan">
      <formula>0</formula>
    </cfRule>
    <cfRule type="cellIs" dxfId="17286" priority="288" operator="lessThan">
      <formula>-105575</formula>
    </cfRule>
  </conditionalFormatting>
  <conditionalFormatting sqref="BB183:BB189">
    <cfRule type="cellIs" dxfId="17285" priority="285" operator="lessThan">
      <formula>0</formula>
    </cfRule>
    <cfRule type="cellIs" dxfId="17284" priority="286" operator="lessThan">
      <formula>-105575</formula>
    </cfRule>
  </conditionalFormatting>
  <conditionalFormatting sqref="BB191:BB192">
    <cfRule type="cellIs" dxfId="17283" priority="283" operator="lessThan">
      <formula>0</formula>
    </cfRule>
    <cfRule type="cellIs" dxfId="17282" priority="284" operator="lessThan">
      <formula>-105575</formula>
    </cfRule>
  </conditionalFormatting>
  <conditionalFormatting sqref="BB191:BB192">
    <cfRule type="cellIs" dxfId="17281" priority="281" operator="lessThan">
      <formula>0</formula>
    </cfRule>
    <cfRule type="cellIs" dxfId="17280" priority="282" operator="lessThan">
      <formula>-105575</formula>
    </cfRule>
  </conditionalFormatting>
  <conditionalFormatting sqref="BB191:BB192">
    <cfRule type="cellIs" dxfId="17279" priority="279" operator="lessThan">
      <formula>0</formula>
    </cfRule>
    <cfRule type="cellIs" dxfId="17278" priority="280" operator="lessThan">
      <formula>-105575</formula>
    </cfRule>
  </conditionalFormatting>
  <conditionalFormatting sqref="BB194:BB195">
    <cfRule type="cellIs" dxfId="17277" priority="277" operator="lessThan">
      <formula>0</formula>
    </cfRule>
    <cfRule type="cellIs" dxfId="17276" priority="278" operator="lessThan">
      <formula>-105575</formula>
    </cfRule>
  </conditionalFormatting>
  <conditionalFormatting sqref="BB194:BB195">
    <cfRule type="cellIs" dxfId="17275" priority="275" operator="lessThan">
      <formula>0</formula>
    </cfRule>
    <cfRule type="cellIs" dxfId="17274" priority="276" operator="lessThan">
      <formula>-105575</formula>
    </cfRule>
  </conditionalFormatting>
  <conditionalFormatting sqref="BB194:BB195">
    <cfRule type="cellIs" dxfId="17273" priority="273" operator="lessThan">
      <formula>0</formula>
    </cfRule>
    <cfRule type="cellIs" dxfId="17272" priority="274" operator="lessThan">
      <formula>-105575</formula>
    </cfRule>
  </conditionalFormatting>
  <conditionalFormatting sqref="BB199:BB202">
    <cfRule type="cellIs" dxfId="17271" priority="271" operator="lessThan">
      <formula>0</formula>
    </cfRule>
    <cfRule type="cellIs" dxfId="17270" priority="272" operator="lessThan">
      <formula>-105575</formula>
    </cfRule>
  </conditionalFormatting>
  <conditionalFormatting sqref="BB199:BB202">
    <cfRule type="cellIs" dxfId="17269" priority="269" operator="lessThan">
      <formula>0</formula>
    </cfRule>
    <cfRule type="cellIs" dxfId="17268" priority="270" operator="lessThan">
      <formula>-105575</formula>
    </cfRule>
  </conditionalFormatting>
  <conditionalFormatting sqref="BB199:BB202">
    <cfRule type="cellIs" dxfId="17267" priority="267" operator="lessThan">
      <formula>0</formula>
    </cfRule>
    <cfRule type="cellIs" dxfId="17266" priority="268" operator="lessThan">
      <formula>-105575</formula>
    </cfRule>
  </conditionalFormatting>
  <conditionalFormatting sqref="BB204:BB208">
    <cfRule type="cellIs" dxfId="17265" priority="265" operator="lessThan">
      <formula>0</formula>
    </cfRule>
    <cfRule type="cellIs" dxfId="17264" priority="266" operator="lessThan">
      <formula>-105575</formula>
    </cfRule>
  </conditionalFormatting>
  <conditionalFormatting sqref="BB204:BB208">
    <cfRule type="cellIs" dxfId="17263" priority="263" operator="lessThan">
      <formula>0</formula>
    </cfRule>
    <cfRule type="cellIs" dxfId="17262" priority="264" operator="lessThan">
      <formula>-105575</formula>
    </cfRule>
  </conditionalFormatting>
  <conditionalFormatting sqref="BB204:BB208">
    <cfRule type="cellIs" dxfId="17261" priority="261" operator="lessThan">
      <formula>0</formula>
    </cfRule>
    <cfRule type="cellIs" dxfId="17260" priority="262" operator="lessThan">
      <formula>-105575</formula>
    </cfRule>
  </conditionalFormatting>
  <conditionalFormatting sqref="BB210:BB211">
    <cfRule type="cellIs" dxfId="17259" priority="259" operator="lessThan">
      <formula>0</formula>
    </cfRule>
    <cfRule type="cellIs" dxfId="17258" priority="260" operator="lessThan">
      <formula>-105575</formula>
    </cfRule>
  </conditionalFormatting>
  <conditionalFormatting sqref="BB210:BB211">
    <cfRule type="cellIs" dxfId="17257" priority="257" operator="lessThan">
      <formula>0</formula>
    </cfRule>
    <cfRule type="cellIs" dxfId="17256" priority="258" operator="lessThan">
      <formula>-105575</formula>
    </cfRule>
  </conditionalFormatting>
  <conditionalFormatting sqref="BB210:BB211">
    <cfRule type="cellIs" dxfId="17255" priority="255" operator="lessThan">
      <formula>0</formula>
    </cfRule>
    <cfRule type="cellIs" dxfId="17254" priority="256" operator="lessThan">
      <formula>-105575</formula>
    </cfRule>
  </conditionalFormatting>
  <conditionalFormatting sqref="BB214:BB219">
    <cfRule type="cellIs" dxfId="17253" priority="253" operator="lessThan">
      <formula>0</formula>
    </cfRule>
    <cfRule type="cellIs" dxfId="17252" priority="254" operator="lessThan">
      <formula>-105575</formula>
    </cfRule>
  </conditionalFormatting>
  <conditionalFormatting sqref="BB214:BB219">
    <cfRule type="cellIs" dxfId="17251" priority="251" operator="lessThan">
      <formula>0</formula>
    </cfRule>
    <cfRule type="cellIs" dxfId="17250" priority="252" operator="lessThan">
      <formula>-105575</formula>
    </cfRule>
  </conditionalFormatting>
  <conditionalFormatting sqref="BB214:BB219">
    <cfRule type="cellIs" dxfId="17249" priority="249" operator="lessThan">
      <formula>0</formula>
    </cfRule>
    <cfRule type="cellIs" dxfId="17248" priority="250" operator="lessThan">
      <formula>-105575</formula>
    </cfRule>
  </conditionalFormatting>
  <conditionalFormatting sqref="BB222:BB224">
    <cfRule type="cellIs" dxfId="17247" priority="247" operator="lessThan">
      <formula>0</formula>
    </cfRule>
    <cfRule type="cellIs" dxfId="17246" priority="248" operator="lessThan">
      <formula>-105575</formula>
    </cfRule>
  </conditionalFormatting>
  <conditionalFormatting sqref="BB222:BB224">
    <cfRule type="cellIs" dxfId="17245" priority="245" operator="lessThan">
      <formula>0</formula>
    </cfRule>
    <cfRule type="cellIs" dxfId="17244" priority="246" operator="lessThan">
      <formula>-105575</formula>
    </cfRule>
  </conditionalFormatting>
  <conditionalFormatting sqref="BB222:BB224">
    <cfRule type="cellIs" dxfId="17243" priority="243" operator="lessThan">
      <formula>0</formula>
    </cfRule>
    <cfRule type="cellIs" dxfId="17242" priority="244" operator="lessThan">
      <formula>-105575</formula>
    </cfRule>
  </conditionalFormatting>
  <conditionalFormatting sqref="BB227:BB230">
    <cfRule type="cellIs" dxfId="17241" priority="241" operator="lessThan">
      <formula>0</formula>
    </cfRule>
    <cfRule type="cellIs" dxfId="17240" priority="242" operator="lessThan">
      <formula>-105575</formula>
    </cfRule>
  </conditionalFormatting>
  <conditionalFormatting sqref="BB227:BB230">
    <cfRule type="cellIs" dxfId="17239" priority="239" operator="lessThan">
      <formula>0</formula>
    </cfRule>
    <cfRule type="cellIs" dxfId="17238" priority="240" operator="lessThan">
      <formula>-105575</formula>
    </cfRule>
  </conditionalFormatting>
  <conditionalFormatting sqref="BB227:BB230">
    <cfRule type="cellIs" dxfId="17237" priority="237" operator="lessThan">
      <formula>0</formula>
    </cfRule>
    <cfRule type="cellIs" dxfId="17236" priority="238" operator="lessThan">
      <formula>-105575</formula>
    </cfRule>
  </conditionalFormatting>
  <conditionalFormatting sqref="BB246:BB249">
    <cfRule type="cellIs" dxfId="17235" priority="235" operator="lessThan">
      <formula>0</formula>
    </cfRule>
    <cfRule type="cellIs" dxfId="17234" priority="236" operator="lessThan">
      <formula>-105575</formula>
    </cfRule>
  </conditionalFormatting>
  <conditionalFormatting sqref="BB246:BB249">
    <cfRule type="cellIs" dxfId="17233" priority="233" operator="lessThan">
      <formula>0</formula>
    </cfRule>
    <cfRule type="cellIs" dxfId="17232" priority="234" operator="lessThan">
      <formula>-105575</formula>
    </cfRule>
  </conditionalFormatting>
  <conditionalFormatting sqref="BB246:BB249">
    <cfRule type="cellIs" dxfId="17231" priority="231" operator="lessThan">
      <formula>0</formula>
    </cfRule>
    <cfRule type="cellIs" dxfId="17230" priority="232" operator="lessThan">
      <formula>-105575</formula>
    </cfRule>
  </conditionalFormatting>
  <conditionalFormatting sqref="BB246:BB249">
    <cfRule type="cellIs" dxfId="17229" priority="229" operator="lessThan">
      <formula>0</formula>
    </cfRule>
    <cfRule type="cellIs" dxfId="17228" priority="230" operator="lessThan">
      <formula>-105575</formula>
    </cfRule>
  </conditionalFormatting>
  <conditionalFormatting sqref="BB246:BB249">
    <cfRule type="cellIs" dxfId="17227" priority="227" operator="lessThan">
      <formula>0</formula>
    </cfRule>
    <cfRule type="cellIs" dxfId="17226" priority="228" operator="lessThan">
      <formula>-105575</formula>
    </cfRule>
  </conditionalFormatting>
  <conditionalFormatting sqref="BB246:BB249">
    <cfRule type="cellIs" dxfId="17225" priority="225" operator="lessThan">
      <formula>0</formula>
    </cfRule>
    <cfRule type="cellIs" dxfId="17224" priority="226" operator="lessThan">
      <formula>-105575</formula>
    </cfRule>
  </conditionalFormatting>
  <conditionalFormatting sqref="BB246:BB249">
    <cfRule type="cellIs" dxfId="17223" priority="223" operator="lessThan">
      <formula>0</formula>
    </cfRule>
    <cfRule type="cellIs" dxfId="17222" priority="224" operator="lessThan">
      <formula>-105575</formula>
    </cfRule>
  </conditionalFormatting>
  <conditionalFormatting sqref="BB246:BB249">
    <cfRule type="cellIs" dxfId="17221" priority="221" operator="lessThan">
      <formula>0</formula>
    </cfRule>
    <cfRule type="cellIs" dxfId="17220" priority="222" operator="lessThan">
      <formula>-105575</formula>
    </cfRule>
  </conditionalFormatting>
  <conditionalFormatting sqref="BB246:BB249">
    <cfRule type="cellIs" dxfId="17219" priority="219" operator="lessThan">
      <formula>0</formula>
    </cfRule>
    <cfRule type="cellIs" dxfId="17218" priority="220" operator="lessThan">
      <formula>-105575</formula>
    </cfRule>
  </conditionalFormatting>
  <conditionalFormatting sqref="BB251:BB253">
    <cfRule type="cellIs" dxfId="17217" priority="217" operator="lessThan">
      <formula>0</formula>
    </cfRule>
    <cfRule type="cellIs" dxfId="17216" priority="218" operator="lessThan">
      <formula>-105575</formula>
    </cfRule>
  </conditionalFormatting>
  <conditionalFormatting sqref="BB251:BB253">
    <cfRule type="cellIs" dxfId="17215" priority="215" operator="lessThan">
      <formula>0</formula>
    </cfRule>
    <cfRule type="cellIs" dxfId="17214" priority="216" operator="lessThan">
      <formula>-105575</formula>
    </cfRule>
  </conditionalFormatting>
  <conditionalFormatting sqref="BB251:BB253">
    <cfRule type="cellIs" dxfId="17213" priority="213" operator="lessThan">
      <formula>0</formula>
    </cfRule>
    <cfRule type="cellIs" dxfId="17212" priority="214" operator="lessThan">
      <formula>-105575</formula>
    </cfRule>
  </conditionalFormatting>
  <conditionalFormatting sqref="BB251:BB253">
    <cfRule type="cellIs" dxfId="17211" priority="211" operator="lessThan">
      <formula>0</formula>
    </cfRule>
    <cfRule type="cellIs" dxfId="17210" priority="212" operator="lessThan">
      <formula>-105575</formula>
    </cfRule>
  </conditionalFormatting>
  <conditionalFormatting sqref="BB251:BB253">
    <cfRule type="cellIs" dxfId="17209" priority="209" operator="lessThan">
      <formula>0</formula>
    </cfRule>
    <cfRule type="cellIs" dxfId="17208" priority="210" operator="lessThan">
      <formula>-105575</formula>
    </cfRule>
  </conditionalFormatting>
  <conditionalFormatting sqref="BB251:BB253">
    <cfRule type="cellIs" dxfId="17207" priority="207" operator="lessThan">
      <formula>0</formula>
    </cfRule>
    <cfRule type="cellIs" dxfId="17206" priority="208" operator="lessThan">
      <formula>-105575</formula>
    </cfRule>
  </conditionalFormatting>
  <conditionalFormatting sqref="BB251:BB253">
    <cfRule type="cellIs" dxfId="17205" priority="205" operator="lessThan">
      <formula>0</formula>
    </cfRule>
    <cfRule type="cellIs" dxfId="17204" priority="206" operator="lessThan">
      <formula>-105575</formula>
    </cfRule>
  </conditionalFormatting>
  <conditionalFormatting sqref="BB251:BB253">
    <cfRule type="cellIs" dxfId="17203" priority="203" operator="lessThan">
      <formula>0</formula>
    </cfRule>
    <cfRule type="cellIs" dxfId="17202" priority="204" operator="lessThan">
      <formula>-105575</formula>
    </cfRule>
  </conditionalFormatting>
  <conditionalFormatting sqref="BB251:BB253">
    <cfRule type="cellIs" dxfId="17201" priority="201" operator="lessThan">
      <formula>0</formula>
    </cfRule>
    <cfRule type="cellIs" dxfId="17200" priority="202" operator="lessThan">
      <formula>-105575</formula>
    </cfRule>
  </conditionalFormatting>
  <conditionalFormatting sqref="BB255:BB257">
    <cfRule type="cellIs" dxfId="17199" priority="199" operator="lessThan">
      <formula>0</formula>
    </cfRule>
    <cfRule type="cellIs" dxfId="17198" priority="200" operator="lessThan">
      <formula>-105575</formula>
    </cfRule>
  </conditionalFormatting>
  <conditionalFormatting sqref="BB255:BB257">
    <cfRule type="cellIs" dxfId="17197" priority="197" operator="lessThan">
      <formula>0</formula>
    </cfRule>
    <cfRule type="cellIs" dxfId="17196" priority="198" operator="lessThan">
      <formula>-105575</formula>
    </cfRule>
  </conditionalFormatting>
  <conditionalFormatting sqref="BB255:BB257">
    <cfRule type="cellIs" dxfId="17195" priority="195" operator="lessThan">
      <formula>0</formula>
    </cfRule>
    <cfRule type="cellIs" dxfId="17194" priority="196" operator="lessThan">
      <formula>-105575</formula>
    </cfRule>
  </conditionalFormatting>
  <conditionalFormatting sqref="BB255:BB257">
    <cfRule type="cellIs" dxfId="17193" priority="193" operator="lessThan">
      <formula>0</formula>
    </cfRule>
    <cfRule type="cellIs" dxfId="17192" priority="194" operator="lessThan">
      <formula>-105575</formula>
    </cfRule>
  </conditionalFormatting>
  <conditionalFormatting sqref="BB255:BB257">
    <cfRule type="cellIs" dxfId="17191" priority="191" operator="lessThan">
      <formula>0</formula>
    </cfRule>
    <cfRule type="cellIs" dxfId="17190" priority="192" operator="lessThan">
      <formula>-105575</formula>
    </cfRule>
  </conditionalFormatting>
  <conditionalFormatting sqref="BB255:BB257">
    <cfRule type="cellIs" dxfId="17189" priority="189" operator="lessThan">
      <formula>0</formula>
    </cfRule>
    <cfRule type="cellIs" dxfId="17188" priority="190" operator="lessThan">
      <formula>-105575</formula>
    </cfRule>
  </conditionalFormatting>
  <conditionalFormatting sqref="BB255:BB257">
    <cfRule type="cellIs" dxfId="17187" priority="187" operator="lessThan">
      <formula>0</formula>
    </cfRule>
    <cfRule type="cellIs" dxfId="17186" priority="188" operator="lessThan">
      <formula>-105575</formula>
    </cfRule>
  </conditionalFormatting>
  <conditionalFormatting sqref="BB255:BB257">
    <cfRule type="cellIs" dxfId="17185" priority="185" operator="lessThan">
      <formula>0</formula>
    </cfRule>
    <cfRule type="cellIs" dxfId="17184" priority="186" operator="lessThan">
      <formula>-105575</formula>
    </cfRule>
  </conditionalFormatting>
  <conditionalFormatting sqref="BB255:BB257">
    <cfRule type="cellIs" dxfId="17183" priority="183" operator="lessThan">
      <formula>0</formula>
    </cfRule>
    <cfRule type="cellIs" dxfId="17182" priority="184" operator="lessThan">
      <formula>-105575</formula>
    </cfRule>
  </conditionalFormatting>
  <conditionalFormatting sqref="BB260:BB262">
    <cfRule type="cellIs" dxfId="17181" priority="181" operator="lessThan">
      <formula>0</formula>
    </cfRule>
    <cfRule type="cellIs" dxfId="17180" priority="182" operator="lessThan">
      <formula>-105575</formula>
    </cfRule>
  </conditionalFormatting>
  <conditionalFormatting sqref="BB260:BB262">
    <cfRule type="cellIs" dxfId="17179" priority="179" operator="lessThan">
      <formula>0</formula>
    </cfRule>
    <cfRule type="cellIs" dxfId="17178" priority="180" operator="lessThan">
      <formula>-105575</formula>
    </cfRule>
  </conditionalFormatting>
  <conditionalFormatting sqref="BB260:BB262">
    <cfRule type="cellIs" dxfId="17177" priority="177" operator="lessThan">
      <formula>0</formula>
    </cfRule>
    <cfRule type="cellIs" dxfId="17176" priority="178" operator="lessThan">
      <formula>-105575</formula>
    </cfRule>
  </conditionalFormatting>
  <conditionalFormatting sqref="BB260:BB262">
    <cfRule type="cellIs" dxfId="17175" priority="175" operator="lessThan">
      <formula>0</formula>
    </cfRule>
    <cfRule type="cellIs" dxfId="17174" priority="176" operator="lessThan">
      <formula>-105575</formula>
    </cfRule>
  </conditionalFormatting>
  <conditionalFormatting sqref="BB260:BB262">
    <cfRule type="cellIs" dxfId="17173" priority="173" operator="lessThan">
      <formula>0</formula>
    </cfRule>
    <cfRule type="cellIs" dxfId="17172" priority="174" operator="lessThan">
      <formula>-105575</formula>
    </cfRule>
  </conditionalFormatting>
  <conditionalFormatting sqref="BB260:BB262">
    <cfRule type="cellIs" dxfId="17171" priority="171" operator="lessThan">
      <formula>0</formula>
    </cfRule>
    <cfRule type="cellIs" dxfId="17170" priority="172" operator="lessThan">
      <formula>-105575</formula>
    </cfRule>
  </conditionalFormatting>
  <conditionalFormatting sqref="BB260:BB262">
    <cfRule type="cellIs" dxfId="17169" priority="169" operator="lessThan">
      <formula>0</formula>
    </cfRule>
    <cfRule type="cellIs" dxfId="17168" priority="170" operator="lessThan">
      <formula>-105575</formula>
    </cfRule>
  </conditionalFormatting>
  <conditionalFormatting sqref="BB260:BB262">
    <cfRule type="cellIs" dxfId="17167" priority="167" operator="lessThan">
      <formula>0</formula>
    </cfRule>
    <cfRule type="cellIs" dxfId="17166" priority="168" operator="lessThan">
      <formula>-105575</formula>
    </cfRule>
  </conditionalFormatting>
  <conditionalFormatting sqref="BB260:BB262">
    <cfRule type="cellIs" dxfId="17165" priority="165" operator="lessThan">
      <formula>0</formula>
    </cfRule>
    <cfRule type="cellIs" dxfId="17164" priority="166" operator="lessThan">
      <formula>-105575</formula>
    </cfRule>
  </conditionalFormatting>
  <conditionalFormatting sqref="BB264:BB267">
    <cfRule type="cellIs" dxfId="17163" priority="163" operator="lessThan">
      <formula>0</formula>
    </cfRule>
    <cfRule type="cellIs" dxfId="17162" priority="164" operator="lessThan">
      <formula>-105575</formula>
    </cfRule>
  </conditionalFormatting>
  <conditionalFormatting sqref="BB264:BB267">
    <cfRule type="cellIs" dxfId="17161" priority="161" operator="lessThan">
      <formula>0</formula>
    </cfRule>
    <cfRule type="cellIs" dxfId="17160" priority="162" operator="lessThan">
      <formula>-105575</formula>
    </cfRule>
  </conditionalFormatting>
  <conditionalFormatting sqref="BB264:BB267">
    <cfRule type="cellIs" dxfId="17159" priority="159" operator="lessThan">
      <formula>0</formula>
    </cfRule>
    <cfRule type="cellIs" dxfId="17158" priority="160" operator="lessThan">
      <formula>-105575</formula>
    </cfRule>
  </conditionalFormatting>
  <conditionalFormatting sqref="BB264:BB267">
    <cfRule type="cellIs" dxfId="17157" priority="157" operator="lessThan">
      <formula>0</formula>
    </cfRule>
    <cfRule type="cellIs" dxfId="17156" priority="158" operator="lessThan">
      <formula>-105575</formula>
    </cfRule>
  </conditionalFormatting>
  <conditionalFormatting sqref="BB264:BB267">
    <cfRule type="cellIs" dxfId="17155" priority="155" operator="lessThan">
      <formula>0</formula>
    </cfRule>
    <cfRule type="cellIs" dxfId="17154" priority="156" operator="lessThan">
      <formula>-105575</formula>
    </cfRule>
  </conditionalFormatting>
  <conditionalFormatting sqref="BB264:BB267">
    <cfRule type="cellIs" dxfId="17153" priority="153" operator="lessThan">
      <formula>0</formula>
    </cfRule>
    <cfRule type="cellIs" dxfId="17152" priority="154" operator="lessThan">
      <formula>-105575</formula>
    </cfRule>
  </conditionalFormatting>
  <conditionalFormatting sqref="BB264:BB267">
    <cfRule type="cellIs" dxfId="17151" priority="151" operator="lessThan">
      <formula>0</formula>
    </cfRule>
    <cfRule type="cellIs" dxfId="17150" priority="152" operator="lessThan">
      <formula>-105575</formula>
    </cfRule>
  </conditionalFormatting>
  <conditionalFormatting sqref="BB264:BB267">
    <cfRule type="cellIs" dxfId="17149" priority="149" operator="lessThan">
      <formula>0</formula>
    </cfRule>
    <cfRule type="cellIs" dxfId="17148" priority="150" operator="lessThan">
      <formula>-105575</formula>
    </cfRule>
  </conditionalFormatting>
  <conditionalFormatting sqref="BB264:BB267">
    <cfRule type="cellIs" dxfId="17147" priority="147" operator="lessThan">
      <formula>0</formula>
    </cfRule>
    <cfRule type="cellIs" dxfId="17146" priority="148" operator="lessThan">
      <formula>-105575</formula>
    </cfRule>
  </conditionalFormatting>
  <conditionalFormatting sqref="BB270:BB272">
    <cfRule type="cellIs" dxfId="17145" priority="145" operator="lessThan">
      <formula>0</formula>
    </cfRule>
    <cfRule type="cellIs" dxfId="17144" priority="146" operator="lessThan">
      <formula>-105575</formula>
    </cfRule>
  </conditionalFormatting>
  <conditionalFormatting sqref="BB270:BB272">
    <cfRule type="cellIs" dxfId="17143" priority="143" operator="lessThan">
      <formula>0</formula>
    </cfRule>
    <cfRule type="cellIs" dxfId="17142" priority="144" operator="lessThan">
      <formula>-105575</formula>
    </cfRule>
  </conditionalFormatting>
  <conditionalFormatting sqref="BB270:BB272">
    <cfRule type="cellIs" dxfId="17141" priority="141" operator="lessThan">
      <formula>0</formula>
    </cfRule>
    <cfRule type="cellIs" dxfId="17140" priority="142" operator="lessThan">
      <formula>-105575</formula>
    </cfRule>
  </conditionalFormatting>
  <conditionalFormatting sqref="BB270:BB272">
    <cfRule type="cellIs" dxfId="17139" priority="139" operator="lessThan">
      <formula>0</formula>
    </cfRule>
    <cfRule type="cellIs" dxfId="17138" priority="140" operator="lessThan">
      <formula>-105575</formula>
    </cfRule>
  </conditionalFormatting>
  <conditionalFormatting sqref="BB270:BB272">
    <cfRule type="cellIs" dxfId="17137" priority="137" operator="lessThan">
      <formula>0</formula>
    </cfRule>
    <cfRule type="cellIs" dxfId="17136" priority="138" operator="lessThan">
      <formula>-105575</formula>
    </cfRule>
  </conditionalFormatting>
  <conditionalFormatting sqref="BB270:BB272">
    <cfRule type="cellIs" dxfId="17135" priority="135" operator="lessThan">
      <formula>0</formula>
    </cfRule>
    <cfRule type="cellIs" dxfId="17134" priority="136" operator="lessThan">
      <formula>-105575</formula>
    </cfRule>
  </conditionalFormatting>
  <conditionalFormatting sqref="BB270:BB272">
    <cfRule type="cellIs" dxfId="17133" priority="133" operator="lessThan">
      <formula>0</formula>
    </cfRule>
    <cfRule type="cellIs" dxfId="17132" priority="134" operator="lessThan">
      <formula>-105575</formula>
    </cfRule>
  </conditionalFormatting>
  <conditionalFormatting sqref="BB270:BB272">
    <cfRule type="cellIs" dxfId="17131" priority="131" operator="lessThan">
      <formula>0</formula>
    </cfRule>
    <cfRule type="cellIs" dxfId="17130" priority="132" operator="lessThan">
      <formula>-105575</formula>
    </cfRule>
  </conditionalFormatting>
  <conditionalFormatting sqref="BB270:BB272">
    <cfRule type="cellIs" dxfId="17129" priority="129" operator="lessThan">
      <formula>0</formula>
    </cfRule>
    <cfRule type="cellIs" dxfId="17128" priority="130" operator="lessThan">
      <formula>-105575</formula>
    </cfRule>
  </conditionalFormatting>
  <conditionalFormatting sqref="BB274:BB275">
    <cfRule type="cellIs" dxfId="17127" priority="127" operator="lessThan">
      <formula>0</formula>
    </cfRule>
    <cfRule type="cellIs" dxfId="17126" priority="128" operator="lessThan">
      <formula>-105575</formula>
    </cfRule>
  </conditionalFormatting>
  <conditionalFormatting sqref="BB274:BB275">
    <cfRule type="cellIs" dxfId="17125" priority="125" operator="lessThan">
      <formula>0</formula>
    </cfRule>
    <cfRule type="cellIs" dxfId="17124" priority="126" operator="lessThan">
      <formula>-105575</formula>
    </cfRule>
  </conditionalFormatting>
  <conditionalFormatting sqref="BB274:BB275">
    <cfRule type="cellIs" dxfId="17123" priority="123" operator="lessThan">
      <formula>0</formula>
    </cfRule>
    <cfRule type="cellIs" dxfId="17122" priority="124" operator="lessThan">
      <formula>-105575</formula>
    </cfRule>
  </conditionalFormatting>
  <conditionalFormatting sqref="BB274:BB275">
    <cfRule type="cellIs" dxfId="17121" priority="121" operator="lessThan">
      <formula>0</formula>
    </cfRule>
    <cfRule type="cellIs" dxfId="17120" priority="122" operator="lessThan">
      <formula>-105575</formula>
    </cfRule>
  </conditionalFormatting>
  <conditionalFormatting sqref="BB274:BB275">
    <cfRule type="cellIs" dxfId="17119" priority="119" operator="lessThan">
      <formula>0</formula>
    </cfRule>
    <cfRule type="cellIs" dxfId="17118" priority="120" operator="lessThan">
      <formula>-105575</formula>
    </cfRule>
  </conditionalFormatting>
  <conditionalFormatting sqref="BB274:BB275">
    <cfRule type="cellIs" dxfId="17117" priority="117" operator="lessThan">
      <formula>0</formula>
    </cfRule>
    <cfRule type="cellIs" dxfId="17116" priority="118" operator="lessThan">
      <formula>-105575</formula>
    </cfRule>
  </conditionalFormatting>
  <conditionalFormatting sqref="BB274:BB275">
    <cfRule type="cellIs" dxfId="17115" priority="115" operator="lessThan">
      <formula>0</formula>
    </cfRule>
    <cfRule type="cellIs" dxfId="17114" priority="116" operator="lessThan">
      <formula>-105575</formula>
    </cfRule>
  </conditionalFormatting>
  <conditionalFormatting sqref="BB274:BB275">
    <cfRule type="cellIs" dxfId="17113" priority="113" operator="lessThan">
      <formula>0</formula>
    </cfRule>
    <cfRule type="cellIs" dxfId="17112" priority="114" operator="lessThan">
      <formula>-105575</formula>
    </cfRule>
  </conditionalFormatting>
  <conditionalFormatting sqref="BB274:BB275">
    <cfRule type="cellIs" dxfId="17111" priority="111" operator="lessThan">
      <formula>0</formula>
    </cfRule>
    <cfRule type="cellIs" dxfId="17110" priority="112" operator="lessThan">
      <formula>-105575</formula>
    </cfRule>
  </conditionalFormatting>
  <conditionalFormatting sqref="BB278:BB282">
    <cfRule type="cellIs" dxfId="17109" priority="109" operator="lessThan">
      <formula>0</formula>
    </cfRule>
    <cfRule type="cellIs" dxfId="17108" priority="110" operator="lessThan">
      <formula>-105575</formula>
    </cfRule>
  </conditionalFormatting>
  <conditionalFormatting sqref="BB278:BB282">
    <cfRule type="cellIs" dxfId="17107" priority="107" operator="lessThan">
      <formula>0</formula>
    </cfRule>
    <cfRule type="cellIs" dxfId="17106" priority="108" operator="lessThan">
      <formula>-105575</formula>
    </cfRule>
  </conditionalFormatting>
  <conditionalFormatting sqref="BB278:BB282">
    <cfRule type="cellIs" dxfId="17105" priority="105" operator="lessThan">
      <formula>0</formula>
    </cfRule>
    <cfRule type="cellIs" dxfId="17104" priority="106" operator="lessThan">
      <formula>-105575</formula>
    </cfRule>
  </conditionalFormatting>
  <conditionalFormatting sqref="BB278:BB282">
    <cfRule type="cellIs" dxfId="17103" priority="103" operator="lessThan">
      <formula>0</formula>
    </cfRule>
    <cfRule type="cellIs" dxfId="17102" priority="104" operator="lessThan">
      <formula>-105575</formula>
    </cfRule>
  </conditionalFormatting>
  <conditionalFormatting sqref="BB278:BB282">
    <cfRule type="cellIs" dxfId="17101" priority="101" operator="lessThan">
      <formula>0</formula>
    </cfRule>
    <cfRule type="cellIs" dxfId="17100" priority="102" operator="lessThan">
      <formula>-105575</formula>
    </cfRule>
  </conditionalFormatting>
  <conditionalFormatting sqref="BB278:BB282">
    <cfRule type="cellIs" dxfId="17099" priority="99" operator="lessThan">
      <formula>0</formula>
    </cfRule>
    <cfRule type="cellIs" dxfId="17098" priority="100" operator="lessThan">
      <formula>-105575</formula>
    </cfRule>
  </conditionalFormatting>
  <conditionalFormatting sqref="BB278:BB282">
    <cfRule type="cellIs" dxfId="17097" priority="97" operator="lessThan">
      <formula>0</formula>
    </cfRule>
    <cfRule type="cellIs" dxfId="17096" priority="98" operator="lessThan">
      <formula>-105575</formula>
    </cfRule>
  </conditionalFormatting>
  <conditionalFormatting sqref="BB278:BB282">
    <cfRule type="cellIs" dxfId="17095" priority="95" operator="lessThan">
      <formula>0</formula>
    </cfRule>
    <cfRule type="cellIs" dxfId="17094" priority="96" operator="lessThan">
      <formula>-105575</formula>
    </cfRule>
  </conditionalFormatting>
  <conditionalFormatting sqref="BB278:BB282">
    <cfRule type="cellIs" dxfId="17093" priority="93" operator="lessThan">
      <formula>0</formula>
    </cfRule>
    <cfRule type="cellIs" dxfId="17092" priority="94" operator="lessThan">
      <formula>-105575</formula>
    </cfRule>
  </conditionalFormatting>
  <conditionalFormatting sqref="BB285:BB288">
    <cfRule type="cellIs" dxfId="17091" priority="91" operator="lessThan">
      <formula>0</formula>
    </cfRule>
    <cfRule type="cellIs" dxfId="17090" priority="92" operator="lessThan">
      <formula>-105575</formula>
    </cfRule>
  </conditionalFormatting>
  <conditionalFormatting sqref="BB285:BB288">
    <cfRule type="cellIs" dxfId="17089" priority="89" operator="lessThan">
      <formula>0</formula>
    </cfRule>
    <cfRule type="cellIs" dxfId="17088" priority="90" operator="lessThan">
      <formula>-105575</formula>
    </cfRule>
  </conditionalFormatting>
  <conditionalFormatting sqref="BB285:BB288">
    <cfRule type="cellIs" dxfId="17087" priority="87" operator="lessThan">
      <formula>0</formula>
    </cfRule>
    <cfRule type="cellIs" dxfId="17086" priority="88" operator="lessThan">
      <formula>-105575</formula>
    </cfRule>
  </conditionalFormatting>
  <conditionalFormatting sqref="BB285:BB288">
    <cfRule type="cellIs" dxfId="17085" priority="85" operator="lessThan">
      <formula>0</formula>
    </cfRule>
    <cfRule type="cellIs" dxfId="17084" priority="86" operator="lessThan">
      <formula>-105575</formula>
    </cfRule>
  </conditionalFormatting>
  <conditionalFormatting sqref="BB285:BB288">
    <cfRule type="cellIs" dxfId="17083" priority="83" operator="lessThan">
      <formula>0</formula>
    </cfRule>
    <cfRule type="cellIs" dxfId="17082" priority="84" operator="lessThan">
      <formula>-105575</formula>
    </cfRule>
  </conditionalFormatting>
  <conditionalFormatting sqref="BB285:BB288">
    <cfRule type="cellIs" dxfId="17081" priority="81" operator="lessThan">
      <formula>0</formula>
    </cfRule>
    <cfRule type="cellIs" dxfId="17080" priority="82" operator="lessThan">
      <formula>-105575</formula>
    </cfRule>
  </conditionalFormatting>
  <conditionalFormatting sqref="BB285:BB288">
    <cfRule type="cellIs" dxfId="17079" priority="79" operator="lessThan">
      <formula>0</formula>
    </cfRule>
    <cfRule type="cellIs" dxfId="17078" priority="80" operator="lessThan">
      <formula>-105575</formula>
    </cfRule>
  </conditionalFormatting>
  <conditionalFormatting sqref="BB285:BB288">
    <cfRule type="cellIs" dxfId="17077" priority="77" operator="lessThan">
      <formula>0</formula>
    </cfRule>
    <cfRule type="cellIs" dxfId="17076" priority="78" operator="lessThan">
      <formula>-105575</formula>
    </cfRule>
  </conditionalFormatting>
  <conditionalFormatting sqref="BB285:BB288">
    <cfRule type="cellIs" dxfId="17075" priority="75" operator="lessThan">
      <formula>0</formula>
    </cfRule>
    <cfRule type="cellIs" dxfId="17074" priority="76" operator="lessThan">
      <formula>-105575</formula>
    </cfRule>
  </conditionalFormatting>
  <conditionalFormatting sqref="BB80:BB84">
    <cfRule type="cellIs" dxfId="17073" priority="73" operator="lessThan">
      <formula>0</formula>
    </cfRule>
    <cfRule type="cellIs" dxfId="17072" priority="74" operator="lessThan">
      <formula>-105575</formula>
    </cfRule>
  </conditionalFormatting>
  <conditionalFormatting sqref="BB86:BB87">
    <cfRule type="cellIs" dxfId="17071" priority="71" operator="lessThan">
      <formula>0</formula>
    </cfRule>
    <cfRule type="cellIs" dxfId="17070" priority="72" operator="lessThan">
      <formula>-105575</formula>
    </cfRule>
  </conditionalFormatting>
  <conditionalFormatting sqref="BB89:BB91">
    <cfRule type="cellIs" dxfId="17069" priority="69" operator="lessThan">
      <formula>0</formula>
    </cfRule>
    <cfRule type="cellIs" dxfId="17068" priority="70" operator="lessThan">
      <formula>-105575</formula>
    </cfRule>
  </conditionalFormatting>
  <conditionalFormatting sqref="BB94:BB98">
    <cfRule type="cellIs" dxfId="17067" priority="67" operator="lessThan">
      <formula>0</formula>
    </cfRule>
    <cfRule type="cellIs" dxfId="17066" priority="68" operator="lessThan">
      <formula>-105575</formula>
    </cfRule>
  </conditionalFormatting>
  <conditionalFormatting sqref="BB101:BB104">
    <cfRule type="cellIs" dxfId="17065" priority="65" operator="lessThan">
      <formula>0</formula>
    </cfRule>
    <cfRule type="cellIs" dxfId="17064" priority="66" operator="lessThan">
      <formula>-105575</formula>
    </cfRule>
  </conditionalFormatting>
  <conditionalFormatting sqref="BB107:BB109">
    <cfRule type="cellIs" dxfId="17063" priority="63" operator="lessThan">
      <formula>0</formula>
    </cfRule>
    <cfRule type="cellIs" dxfId="17062" priority="64" operator="lessThan">
      <formula>-105575</formula>
    </cfRule>
  </conditionalFormatting>
  <conditionalFormatting sqref="BB112:BB116">
    <cfRule type="cellIs" dxfId="17061" priority="61" operator="lessThan">
      <formula>0</formula>
    </cfRule>
    <cfRule type="cellIs" dxfId="17060" priority="62" operator="lessThan">
      <formula>-105575</formula>
    </cfRule>
  </conditionalFormatting>
  <conditionalFormatting sqref="BB119:BB121">
    <cfRule type="cellIs" dxfId="17059" priority="59" operator="lessThan">
      <formula>0</formula>
    </cfRule>
    <cfRule type="cellIs" dxfId="17058" priority="60" operator="lessThan">
      <formula>-105575</formula>
    </cfRule>
  </conditionalFormatting>
  <conditionalFormatting sqref="BB124:BB132">
    <cfRule type="cellIs" dxfId="17057" priority="57" operator="lessThan">
      <formula>0</formula>
    </cfRule>
    <cfRule type="cellIs" dxfId="17056" priority="58" operator="lessThan">
      <formula>-105575</formula>
    </cfRule>
  </conditionalFormatting>
  <conditionalFormatting sqref="BB135:BB138">
    <cfRule type="cellIs" dxfId="17055" priority="55" operator="lessThan">
      <formula>0</formula>
    </cfRule>
    <cfRule type="cellIs" dxfId="17054" priority="56" operator="lessThan">
      <formula>-105575</formula>
    </cfRule>
  </conditionalFormatting>
  <conditionalFormatting sqref="BB141:BB148">
    <cfRule type="cellIs" dxfId="17053" priority="53" operator="lessThan">
      <formula>0</formula>
    </cfRule>
    <cfRule type="cellIs" dxfId="17052" priority="54" operator="lessThan">
      <formula>-105575</formula>
    </cfRule>
  </conditionalFormatting>
  <conditionalFormatting sqref="BB152:BB155">
    <cfRule type="cellIs" dxfId="17051" priority="51" operator="lessThan">
      <formula>0</formula>
    </cfRule>
    <cfRule type="cellIs" dxfId="17050" priority="52" operator="lessThan">
      <formula>-105575</formula>
    </cfRule>
  </conditionalFormatting>
  <conditionalFormatting sqref="BB157:BB158">
    <cfRule type="cellIs" dxfId="17049" priority="49" operator="lessThan">
      <formula>0</formula>
    </cfRule>
    <cfRule type="cellIs" dxfId="17048" priority="50" operator="lessThan">
      <formula>-105575</formula>
    </cfRule>
  </conditionalFormatting>
  <conditionalFormatting sqref="BB160:BB161">
    <cfRule type="cellIs" dxfId="17047" priority="47" operator="lessThan">
      <formula>0</formula>
    </cfRule>
    <cfRule type="cellIs" dxfId="17046" priority="48" operator="lessThan">
      <formula>-105575</formula>
    </cfRule>
  </conditionalFormatting>
  <conditionalFormatting sqref="BB164:BB167">
    <cfRule type="cellIs" dxfId="17045" priority="45" operator="lessThan">
      <formula>0</formula>
    </cfRule>
    <cfRule type="cellIs" dxfId="17044" priority="46" operator="lessThan">
      <formula>-105575</formula>
    </cfRule>
  </conditionalFormatting>
  <conditionalFormatting sqref="BB169:BB177">
    <cfRule type="cellIs" dxfId="17043" priority="43" operator="lessThan">
      <formula>0</formula>
    </cfRule>
    <cfRule type="cellIs" dxfId="17042" priority="44" operator="lessThan">
      <formula>-105575</formula>
    </cfRule>
  </conditionalFormatting>
  <conditionalFormatting sqref="BB179:BB180">
    <cfRule type="cellIs" dxfId="17041" priority="41" operator="lessThan">
      <formula>0</formula>
    </cfRule>
    <cfRule type="cellIs" dxfId="17040" priority="42" operator="lessThan">
      <formula>-105575</formula>
    </cfRule>
  </conditionalFormatting>
  <conditionalFormatting sqref="BB183:BB189">
    <cfRule type="cellIs" dxfId="17039" priority="39" operator="lessThan">
      <formula>0</formula>
    </cfRule>
    <cfRule type="cellIs" dxfId="17038" priority="40" operator="lessThan">
      <formula>-105575</formula>
    </cfRule>
  </conditionalFormatting>
  <conditionalFormatting sqref="BB191:BB192">
    <cfRule type="cellIs" dxfId="17037" priority="37" operator="lessThan">
      <formula>0</formula>
    </cfRule>
    <cfRule type="cellIs" dxfId="17036" priority="38" operator="lessThan">
      <formula>-105575</formula>
    </cfRule>
  </conditionalFormatting>
  <conditionalFormatting sqref="BB194:BB195">
    <cfRule type="cellIs" dxfId="17035" priority="35" operator="lessThan">
      <formula>0</formula>
    </cfRule>
    <cfRule type="cellIs" dxfId="17034" priority="36" operator="lessThan">
      <formula>-105575</formula>
    </cfRule>
  </conditionalFormatting>
  <conditionalFormatting sqref="BB199:BB202">
    <cfRule type="cellIs" dxfId="17033" priority="33" operator="lessThan">
      <formula>0</formula>
    </cfRule>
    <cfRule type="cellIs" dxfId="17032" priority="34" operator="lessThan">
      <formula>-105575</formula>
    </cfRule>
  </conditionalFormatting>
  <conditionalFormatting sqref="BB204:BB208">
    <cfRule type="cellIs" dxfId="17031" priority="31" operator="lessThan">
      <formula>0</formula>
    </cfRule>
    <cfRule type="cellIs" dxfId="17030" priority="32" operator="lessThan">
      <formula>-105575</formula>
    </cfRule>
  </conditionalFormatting>
  <conditionalFormatting sqref="BB210:BB211">
    <cfRule type="cellIs" dxfId="17029" priority="29" operator="lessThan">
      <formula>0</formula>
    </cfRule>
    <cfRule type="cellIs" dxfId="17028" priority="30" operator="lessThan">
      <formula>-105575</formula>
    </cfRule>
  </conditionalFormatting>
  <conditionalFormatting sqref="BB214:BB219">
    <cfRule type="cellIs" dxfId="17027" priority="27" operator="lessThan">
      <formula>0</formula>
    </cfRule>
    <cfRule type="cellIs" dxfId="17026" priority="28" operator="lessThan">
      <formula>-105575</formula>
    </cfRule>
  </conditionalFormatting>
  <conditionalFormatting sqref="BB222:BB224">
    <cfRule type="cellIs" dxfId="17025" priority="25" operator="lessThan">
      <formula>0</formula>
    </cfRule>
    <cfRule type="cellIs" dxfId="17024" priority="26" operator="lessThan">
      <formula>-105575</formula>
    </cfRule>
  </conditionalFormatting>
  <conditionalFormatting sqref="BB227:BB230">
    <cfRule type="cellIs" dxfId="17023" priority="23" operator="lessThan">
      <formula>0</formula>
    </cfRule>
    <cfRule type="cellIs" dxfId="17022" priority="24" operator="lessThan">
      <formula>-105575</formula>
    </cfRule>
  </conditionalFormatting>
  <conditionalFormatting sqref="BB233:BB236">
    <cfRule type="cellIs" dxfId="17021" priority="21" operator="lessThan">
      <formula>0</formula>
    </cfRule>
    <cfRule type="cellIs" dxfId="17020" priority="22" operator="lessThan">
      <formula>-105575</formula>
    </cfRule>
  </conditionalFormatting>
  <conditionalFormatting sqref="BB239:BB242">
    <cfRule type="cellIs" dxfId="17019" priority="19" operator="lessThan">
      <formula>0</formula>
    </cfRule>
    <cfRule type="cellIs" dxfId="17018" priority="20" operator="lessThan">
      <formula>-105575</formula>
    </cfRule>
  </conditionalFormatting>
  <conditionalFormatting sqref="BB246:BB249">
    <cfRule type="cellIs" dxfId="17017" priority="17" operator="lessThan">
      <formula>0</formula>
    </cfRule>
    <cfRule type="cellIs" dxfId="17016" priority="18" operator="lessThan">
      <formula>-105575</formula>
    </cfRule>
  </conditionalFormatting>
  <conditionalFormatting sqref="BB251:BB253">
    <cfRule type="cellIs" dxfId="17015" priority="15" operator="lessThan">
      <formula>0</formula>
    </cfRule>
    <cfRule type="cellIs" dxfId="17014" priority="16" operator="lessThan">
      <formula>-105575</formula>
    </cfRule>
  </conditionalFormatting>
  <conditionalFormatting sqref="BB255:BB257">
    <cfRule type="cellIs" dxfId="17013" priority="13" operator="lessThan">
      <formula>0</formula>
    </cfRule>
    <cfRule type="cellIs" dxfId="17012" priority="14" operator="lessThan">
      <formula>-105575</formula>
    </cfRule>
  </conditionalFormatting>
  <conditionalFormatting sqref="BB260:BB262">
    <cfRule type="cellIs" dxfId="17011" priority="11" operator="lessThan">
      <formula>0</formula>
    </cfRule>
    <cfRule type="cellIs" dxfId="17010" priority="12" operator="lessThan">
      <formula>-105575</formula>
    </cfRule>
  </conditionalFormatting>
  <conditionalFormatting sqref="BB264:BB267">
    <cfRule type="cellIs" dxfId="17009" priority="9" operator="lessThan">
      <formula>0</formula>
    </cfRule>
    <cfRule type="cellIs" dxfId="17008" priority="10" operator="lessThan">
      <formula>-105575</formula>
    </cfRule>
  </conditionalFormatting>
  <conditionalFormatting sqref="BB270:BB272">
    <cfRule type="cellIs" dxfId="17007" priority="7" operator="lessThan">
      <formula>0</formula>
    </cfRule>
    <cfRule type="cellIs" dxfId="17006" priority="8" operator="lessThan">
      <formula>-105575</formula>
    </cfRule>
  </conditionalFormatting>
  <conditionalFormatting sqref="BB274:BB275">
    <cfRule type="cellIs" dxfId="17005" priority="5" operator="lessThan">
      <formula>0</formula>
    </cfRule>
    <cfRule type="cellIs" dxfId="17004" priority="6" operator="lessThan">
      <formula>-105575</formula>
    </cfRule>
  </conditionalFormatting>
  <conditionalFormatting sqref="BB278:BB282">
    <cfRule type="cellIs" dxfId="17003" priority="3" operator="lessThan">
      <formula>0</formula>
    </cfRule>
    <cfRule type="cellIs" dxfId="17002" priority="4" operator="lessThan">
      <formula>-105575</formula>
    </cfRule>
  </conditionalFormatting>
  <conditionalFormatting sqref="BB285:BB288">
    <cfRule type="cellIs" dxfId="17001" priority="1" operator="lessThan">
      <formula>0</formula>
    </cfRule>
    <cfRule type="cellIs" dxfId="17000" priority="2" operator="lessThan">
      <formula>-105575</formula>
    </cfRule>
  </conditionalFormatting>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BF292"/>
  <sheetViews>
    <sheetView topLeftCell="AF1" zoomScale="72" zoomScaleNormal="72" workbookViewId="0">
      <selection activeCell="AQ3" sqref="AQ3:BB4"/>
    </sheetView>
  </sheetViews>
  <sheetFormatPr defaultColWidth="8.85546875" defaultRowHeight="61.9" customHeight="1" outlineLevelRow="2" outlineLevelCol="2" x14ac:dyDescent="0.25"/>
  <cols>
    <col min="1" max="1" width="4.140625" style="183" bestFit="1" customWidth="1"/>
    <col min="2" max="2" width="3.28515625" style="183" customWidth="1"/>
    <col min="3" max="3" width="2.42578125" style="101" customWidth="1"/>
    <col min="4" max="4" width="24.7109375" style="101" customWidth="1"/>
    <col min="5" max="5" width="36.28515625" style="102" customWidth="1" outlineLevel="1"/>
    <col min="6" max="6" width="12.140625" style="101" customWidth="1" outlineLevel="1"/>
    <col min="7" max="7" width="12.7109375" style="101" customWidth="1" outlineLevel="1"/>
    <col min="8" max="8" width="87.42578125" style="101" customWidth="1" outlineLevel="2"/>
    <col min="9" max="9" width="16.140625" style="239" customWidth="1" outlineLevel="2"/>
    <col min="10" max="10" width="8.42578125" style="239" bestFit="1" customWidth="1" outlineLevel="2"/>
    <col min="11" max="11" width="12" style="239" bestFit="1" customWidth="1" outlineLevel="2"/>
    <col min="12" max="12" width="21.42578125" style="239" customWidth="1" outlineLevel="1"/>
    <col min="13" max="13" width="19.140625" style="239" customWidth="1" outlineLevel="1"/>
    <col min="14" max="14" width="10.5703125" style="239" customWidth="1" outlineLevel="2"/>
    <col min="15" max="15" width="11" style="239" customWidth="1" outlineLevel="2"/>
    <col min="16" max="16" width="13.28515625" style="239" customWidth="1" outlineLevel="2"/>
    <col min="17" max="17" width="14.140625" style="239" customWidth="1" outlineLevel="2"/>
    <col min="18" max="21" width="12.140625" style="239" customWidth="1" outlineLevel="2"/>
    <col min="22" max="23" width="8.42578125" style="239" bestFit="1" customWidth="1" outlineLevel="2"/>
    <col min="24" max="24" width="7.5703125" style="239" customWidth="1" outlineLevel="2"/>
    <col min="25" max="25" width="12" style="239" bestFit="1" customWidth="1" outlineLevel="1"/>
    <col min="26" max="26" width="8.42578125" style="239" bestFit="1" customWidth="1" outlineLevel="2"/>
    <col min="27" max="27" width="9" style="239" bestFit="1" customWidth="1" outlineLevel="2"/>
    <col min="28" max="28" width="14.42578125" style="239" customWidth="1" outlineLevel="1"/>
    <col min="29" max="29" width="24.140625" style="239" customWidth="1" outlineLevel="1"/>
    <col min="30" max="30" width="12.85546875" style="239" customWidth="1" outlineLevel="2"/>
    <col min="31" max="31" width="22.28515625" style="239" customWidth="1" outlineLevel="2"/>
    <col min="32" max="32" width="20.7109375" style="239" customWidth="1" outlineLevel="1"/>
    <col min="33" max="34" width="9" style="239" bestFit="1" customWidth="1" outlineLevel="2"/>
    <col min="35" max="35" width="7.28515625" style="239" customWidth="1" outlineLevel="2"/>
    <col min="36" max="36" width="18" style="239" customWidth="1" outlineLevel="2"/>
    <col min="37" max="37" width="13.28515625" style="239" customWidth="1" outlineLevel="2"/>
    <col min="38" max="38" width="17.5703125" style="239" customWidth="1" outlineLevel="2"/>
    <col min="39" max="39" width="20.28515625" style="239" customWidth="1" outlineLevel="1"/>
    <col min="40" max="40" width="17" style="239" customWidth="1" outlineLevel="1"/>
    <col min="41" max="41" width="39.85546875" style="239" customWidth="1" outlineLevel="2"/>
    <col min="42" max="42" width="2.7109375" style="239" customWidth="1"/>
    <col min="43" max="43" width="19.5703125" style="239" customWidth="1"/>
    <col min="44" max="44" width="26" style="239" customWidth="1"/>
    <col min="45" max="45" width="20.28515625" style="239" customWidth="1"/>
    <col min="46" max="46" width="25.7109375" style="239" customWidth="1"/>
    <col min="47" max="47" width="24" style="235" customWidth="1"/>
    <col min="48" max="48" width="21.42578125" style="235" customWidth="1"/>
    <col min="49" max="49" width="17.28515625" style="235" customWidth="1"/>
    <col min="50" max="51" width="15" style="235" customWidth="1"/>
    <col min="52" max="52" width="21.42578125" style="235" customWidth="1"/>
    <col min="53" max="53" width="15" style="235" customWidth="1"/>
    <col min="54" max="54" width="22.7109375" style="235" customWidth="1"/>
    <col min="55" max="58" width="9.140625" style="167" customWidth="1"/>
    <col min="59" max="16384" width="8.85546875" style="169"/>
  </cols>
  <sheetData>
    <row r="1" spans="1:58" s="183" customFormat="1" ht="50.45" customHeight="1" x14ac:dyDescent="0.25">
      <c r="A1" s="115"/>
      <c r="B1" s="395" t="s">
        <v>155</v>
      </c>
      <c r="C1" s="395"/>
      <c r="D1" s="395"/>
      <c r="E1" s="395"/>
      <c r="F1" s="395"/>
      <c r="G1" s="395"/>
      <c r="H1" s="395"/>
      <c r="I1" s="395"/>
      <c r="J1" s="395"/>
      <c r="K1" s="395"/>
      <c r="L1" s="395"/>
      <c r="M1" s="232"/>
      <c r="N1" s="233"/>
      <c r="O1" s="233"/>
      <c r="P1" s="233"/>
      <c r="Q1" s="233"/>
      <c r="R1" s="233"/>
      <c r="S1" s="233"/>
      <c r="T1" s="233"/>
      <c r="U1" s="233"/>
      <c r="V1" s="233"/>
      <c r="W1" s="233"/>
      <c r="X1" s="233"/>
      <c r="Y1" s="233"/>
      <c r="Z1" s="233"/>
      <c r="AA1" s="233"/>
      <c r="AB1" s="233"/>
      <c r="AC1" s="233"/>
      <c r="AD1" s="233"/>
      <c r="AE1" s="233"/>
      <c r="AF1" s="233"/>
      <c r="AG1" s="233"/>
      <c r="AH1" s="233"/>
      <c r="AI1" s="233"/>
      <c r="AJ1" s="233"/>
      <c r="AK1" s="233"/>
      <c r="AL1" s="233"/>
      <c r="AM1" s="233"/>
      <c r="AN1" s="233"/>
      <c r="AO1" s="233"/>
      <c r="AP1" s="234"/>
      <c r="AQ1" s="234"/>
      <c r="AR1" s="234"/>
      <c r="AS1" s="234"/>
      <c r="AT1" s="234"/>
      <c r="AU1" s="235"/>
      <c r="AV1" s="235"/>
      <c r="AW1" s="235"/>
      <c r="AX1" s="235"/>
      <c r="AY1" s="235"/>
      <c r="AZ1" s="235"/>
      <c r="BA1" s="235"/>
      <c r="BB1" s="235"/>
    </row>
    <row r="2" spans="1:58" ht="61.9" customHeight="1" x14ac:dyDescent="0.25">
      <c r="A2" s="115" t="s">
        <v>55</v>
      </c>
      <c r="B2" s="385" t="s">
        <v>120</v>
      </c>
      <c r="C2" s="386"/>
      <c r="D2" s="386"/>
      <c r="E2" s="387"/>
      <c r="F2" s="296" t="s">
        <v>133</v>
      </c>
      <c r="G2" s="296" t="s">
        <v>134</v>
      </c>
      <c r="H2" s="116" t="s">
        <v>54</v>
      </c>
      <c r="I2" s="236" t="s">
        <v>0</v>
      </c>
      <c r="J2" s="236" t="s">
        <v>14</v>
      </c>
      <c r="K2" s="236" t="s">
        <v>15</v>
      </c>
      <c r="L2" s="237" t="s">
        <v>11</v>
      </c>
      <c r="M2" s="237" t="s">
        <v>82</v>
      </c>
      <c r="N2" s="236" t="s">
        <v>16</v>
      </c>
      <c r="O2" s="236" t="s">
        <v>7</v>
      </c>
      <c r="P2" s="236" t="s">
        <v>6</v>
      </c>
      <c r="Q2" s="236" t="s">
        <v>8</v>
      </c>
      <c r="R2" s="237" t="s">
        <v>57</v>
      </c>
      <c r="S2" s="237" t="s">
        <v>65</v>
      </c>
      <c r="T2" s="237" t="s">
        <v>64</v>
      </c>
      <c r="U2" s="237" t="s">
        <v>63</v>
      </c>
      <c r="V2" s="236" t="s">
        <v>17</v>
      </c>
      <c r="W2" s="236" t="s">
        <v>67</v>
      </c>
      <c r="X2" s="236" t="s">
        <v>6</v>
      </c>
      <c r="Y2" s="237" t="s">
        <v>71</v>
      </c>
      <c r="Z2" s="236" t="s">
        <v>10</v>
      </c>
      <c r="AA2" s="236" t="s">
        <v>9</v>
      </c>
      <c r="AB2" s="237" t="s">
        <v>70</v>
      </c>
      <c r="AC2" s="238" t="s">
        <v>18</v>
      </c>
      <c r="AD2" s="237" t="s">
        <v>79</v>
      </c>
      <c r="AE2" s="237" t="s">
        <v>23</v>
      </c>
      <c r="AF2" s="237" t="s">
        <v>80</v>
      </c>
      <c r="AG2" s="236" t="s">
        <v>20</v>
      </c>
      <c r="AH2" s="236" t="s">
        <v>21</v>
      </c>
      <c r="AI2" s="236" t="s">
        <v>22</v>
      </c>
      <c r="AJ2" s="236" t="s">
        <v>99</v>
      </c>
      <c r="AK2" s="236" t="s">
        <v>101</v>
      </c>
      <c r="AL2" s="236" t="s">
        <v>90</v>
      </c>
      <c r="AM2" s="237" t="s">
        <v>92</v>
      </c>
      <c r="AN2" s="237" t="s">
        <v>13</v>
      </c>
      <c r="AO2" s="236"/>
      <c r="AQ2" s="402" t="s">
        <v>530</v>
      </c>
      <c r="AR2" s="403"/>
      <c r="AS2" s="403"/>
      <c r="AT2" s="403"/>
      <c r="AU2" s="403"/>
      <c r="AV2" s="403"/>
      <c r="AW2" s="403"/>
      <c r="AX2" s="403"/>
      <c r="AY2" s="403"/>
      <c r="AZ2" s="403"/>
      <c r="BA2" s="403"/>
      <c r="BB2" s="404"/>
      <c r="BC2" s="169"/>
      <c r="BD2" s="169"/>
      <c r="BE2" s="169"/>
      <c r="BF2" s="169"/>
    </row>
    <row r="3" spans="1:58" s="79" customFormat="1" ht="61.9" customHeight="1" x14ac:dyDescent="0.25">
      <c r="A3" s="118" t="s">
        <v>56</v>
      </c>
      <c r="B3" s="385" t="s">
        <v>121</v>
      </c>
      <c r="C3" s="386"/>
      <c r="D3" s="386"/>
      <c r="E3" s="387"/>
      <c r="F3" s="296" t="s">
        <v>135</v>
      </c>
      <c r="G3" s="296" t="s">
        <v>135</v>
      </c>
      <c r="H3" s="119" t="s">
        <v>45</v>
      </c>
      <c r="I3" s="236" t="s">
        <v>51</v>
      </c>
      <c r="J3" s="236" t="s">
        <v>52</v>
      </c>
      <c r="K3" s="236" t="s">
        <v>53</v>
      </c>
      <c r="L3" s="237" t="s">
        <v>117</v>
      </c>
      <c r="M3" s="237" t="s">
        <v>116</v>
      </c>
      <c r="N3" s="236" t="s">
        <v>73</v>
      </c>
      <c r="O3" s="236" t="s">
        <v>72</v>
      </c>
      <c r="P3" s="236" t="s">
        <v>74</v>
      </c>
      <c r="Q3" s="236" t="s">
        <v>75</v>
      </c>
      <c r="R3" s="237" t="s">
        <v>115</v>
      </c>
      <c r="S3" s="237" t="s">
        <v>114</v>
      </c>
      <c r="T3" s="237" t="s">
        <v>113</v>
      </c>
      <c r="U3" s="237" t="s">
        <v>112</v>
      </c>
      <c r="V3" s="236" t="s">
        <v>76</v>
      </c>
      <c r="W3" s="236" t="s">
        <v>77</v>
      </c>
      <c r="X3" s="236" t="s">
        <v>78</v>
      </c>
      <c r="Y3" s="237" t="s">
        <v>111</v>
      </c>
      <c r="Z3" s="236" t="s">
        <v>68</v>
      </c>
      <c r="AA3" s="236" t="s">
        <v>69</v>
      </c>
      <c r="AB3" s="237" t="s">
        <v>110</v>
      </c>
      <c r="AC3" s="238" t="s">
        <v>109</v>
      </c>
      <c r="AD3" s="237" t="s">
        <v>108</v>
      </c>
      <c r="AE3" s="237" t="s">
        <v>107</v>
      </c>
      <c r="AF3" s="237" t="s">
        <v>106</v>
      </c>
      <c r="AG3" s="236" t="s">
        <v>87</v>
      </c>
      <c r="AH3" s="236" t="s">
        <v>89</v>
      </c>
      <c r="AI3" s="236" t="s">
        <v>88</v>
      </c>
      <c r="AJ3" s="237" t="s">
        <v>100</v>
      </c>
      <c r="AK3" s="237" t="s">
        <v>102</v>
      </c>
      <c r="AL3" s="237" t="s">
        <v>96</v>
      </c>
      <c r="AM3" s="237" t="s">
        <v>104</v>
      </c>
      <c r="AN3" s="237" t="s">
        <v>105</v>
      </c>
      <c r="AO3" s="236"/>
      <c r="AP3" s="240"/>
      <c r="AQ3" s="370" t="s">
        <v>123</v>
      </c>
      <c r="AR3" s="370" t="s">
        <v>24</v>
      </c>
      <c r="AS3" s="370" t="s">
        <v>12</v>
      </c>
      <c r="AT3" s="370" t="s">
        <v>19</v>
      </c>
      <c r="AU3" s="371" t="s">
        <v>124</v>
      </c>
      <c r="AV3" s="371" t="s">
        <v>125</v>
      </c>
      <c r="AW3" s="371" t="s">
        <v>222</v>
      </c>
      <c r="AX3" s="371" t="s">
        <v>136</v>
      </c>
      <c r="AY3" s="371" t="s">
        <v>546</v>
      </c>
      <c r="AZ3" s="371" t="s">
        <v>565</v>
      </c>
      <c r="BA3" s="372" t="s">
        <v>126</v>
      </c>
      <c r="BB3" s="371" t="s">
        <v>25</v>
      </c>
    </row>
    <row r="4" spans="1:58" s="81" customFormat="1" ht="61.9" customHeight="1" x14ac:dyDescent="0.25">
      <c r="A4" s="120"/>
      <c r="B4" s="121"/>
      <c r="C4" s="122"/>
      <c r="D4" s="122"/>
      <c r="E4" s="123"/>
      <c r="F4" s="123" t="s">
        <v>131</v>
      </c>
      <c r="G4" s="123" t="s">
        <v>132</v>
      </c>
      <c r="H4" s="116" t="s">
        <v>119</v>
      </c>
      <c r="I4" s="241" t="s">
        <v>118</v>
      </c>
      <c r="J4" s="241">
        <v>2</v>
      </c>
      <c r="K4" s="241">
        <v>3</v>
      </c>
      <c r="L4" s="241" t="s">
        <v>81</v>
      </c>
      <c r="M4" s="241" t="s">
        <v>83</v>
      </c>
      <c r="N4" s="241">
        <v>6</v>
      </c>
      <c r="O4" s="241">
        <v>7</v>
      </c>
      <c r="P4" s="241">
        <v>8</v>
      </c>
      <c r="Q4" s="241">
        <v>9</v>
      </c>
      <c r="R4" s="241" t="s">
        <v>26</v>
      </c>
      <c r="S4" s="241" t="s">
        <v>27</v>
      </c>
      <c r="T4" s="241" t="s">
        <v>28</v>
      </c>
      <c r="U4" s="241" t="s">
        <v>29</v>
      </c>
      <c r="V4" s="241">
        <v>14</v>
      </c>
      <c r="W4" s="241">
        <v>15</v>
      </c>
      <c r="X4" s="241">
        <v>16</v>
      </c>
      <c r="Y4" s="241" t="s">
        <v>84</v>
      </c>
      <c r="Z4" s="241">
        <v>18</v>
      </c>
      <c r="AA4" s="241">
        <v>19</v>
      </c>
      <c r="AB4" s="241" t="s">
        <v>85</v>
      </c>
      <c r="AC4" s="241">
        <v>21</v>
      </c>
      <c r="AD4" s="241">
        <v>22</v>
      </c>
      <c r="AE4" s="241" t="s">
        <v>94</v>
      </c>
      <c r="AF4" s="241" t="s">
        <v>86</v>
      </c>
      <c r="AG4" s="241">
        <v>25</v>
      </c>
      <c r="AH4" s="241">
        <v>26</v>
      </c>
      <c r="AI4" s="241">
        <v>27</v>
      </c>
      <c r="AJ4" s="241">
        <v>28</v>
      </c>
      <c r="AK4" s="241">
        <v>29</v>
      </c>
      <c r="AL4" s="241">
        <v>30</v>
      </c>
      <c r="AM4" s="241" t="s">
        <v>95</v>
      </c>
      <c r="AN4" s="241" t="s">
        <v>103</v>
      </c>
      <c r="AO4" s="241"/>
      <c r="AP4" s="242"/>
      <c r="AQ4" s="241" t="s">
        <v>127</v>
      </c>
      <c r="AR4" s="241" t="s">
        <v>128</v>
      </c>
      <c r="AS4" s="241" t="s">
        <v>129</v>
      </c>
      <c r="AT4" s="241" t="s">
        <v>130</v>
      </c>
      <c r="AU4" s="377">
        <v>37</v>
      </c>
      <c r="AV4" s="377">
        <v>38</v>
      </c>
      <c r="AW4" s="377">
        <v>39</v>
      </c>
      <c r="AX4" s="377">
        <v>40</v>
      </c>
      <c r="AY4" s="377"/>
      <c r="AZ4" s="377">
        <v>41</v>
      </c>
      <c r="BA4" s="377">
        <v>42</v>
      </c>
      <c r="BB4" s="377" t="s">
        <v>142</v>
      </c>
    </row>
    <row r="5" spans="1:58" s="170" customFormat="1" ht="61.9" customHeight="1" x14ac:dyDescent="0.25">
      <c r="A5" s="120"/>
      <c r="B5" s="388" t="s">
        <v>312</v>
      </c>
      <c r="C5" s="389"/>
      <c r="D5" s="389"/>
      <c r="E5" s="390"/>
      <c r="F5" s="339"/>
      <c r="G5" s="339"/>
      <c r="H5" s="339" t="s">
        <v>58</v>
      </c>
      <c r="I5" s="243"/>
      <c r="J5" s="243"/>
      <c r="K5" s="243"/>
      <c r="L5" s="243">
        <f>SUM(L6+L16+L20+L40+L45+L61)</f>
        <v>2002042068.5714285</v>
      </c>
      <c r="M5" s="243">
        <f>SUM(M6+M16+M20+M40+M45+M61)</f>
        <v>334341025.45142853</v>
      </c>
      <c r="N5" s="243"/>
      <c r="O5" s="243"/>
      <c r="P5" s="243"/>
      <c r="Q5" s="243"/>
      <c r="R5" s="243">
        <f>SUM(R6+R16+R20+R40+R45+R61)</f>
        <v>930000</v>
      </c>
      <c r="S5" s="243">
        <f>SUM(S6+S16+S20+S40+S45+S61)</f>
        <v>907500</v>
      </c>
      <c r="T5" s="243">
        <f>SUM(T6+T16+T20+T40+T45+T61)</f>
        <v>0</v>
      </c>
      <c r="U5" s="243">
        <f>SUM(U6+U16+U20+U40+U45+U61)</f>
        <v>1160000</v>
      </c>
      <c r="V5" s="243"/>
      <c r="W5" s="243"/>
      <c r="X5" s="243"/>
      <c r="Y5" s="243">
        <f>SUM(Y6+Y16+Y20+Y40+Y45+Y61)</f>
        <v>0</v>
      </c>
      <c r="Z5" s="243">
        <f t="shared" ref="Z5:AF5" si="0">SUM(Z6+Z16+Z20+Z40+Z45+Z61)</f>
        <v>0</v>
      </c>
      <c r="AA5" s="243">
        <f t="shared" si="0"/>
        <v>0</v>
      </c>
      <c r="AB5" s="243">
        <f t="shared" si="0"/>
        <v>513000</v>
      </c>
      <c r="AC5" s="243">
        <f t="shared" si="0"/>
        <v>1617945003</v>
      </c>
      <c r="AD5" s="243">
        <f t="shared" si="0"/>
        <v>0</v>
      </c>
      <c r="AE5" s="243">
        <f t="shared" si="0"/>
        <v>83021800</v>
      </c>
      <c r="AF5" s="243">
        <f t="shared" si="0"/>
        <v>1704477303</v>
      </c>
      <c r="AG5" s="243"/>
      <c r="AH5" s="243"/>
      <c r="AI5" s="243"/>
      <c r="AJ5" s="243">
        <f>SUM(AJ6+AJ16+AJ20+AJ40+AJ45+AJ61)</f>
        <v>0</v>
      </c>
      <c r="AK5" s="243">
        <f>SUM(AK6+AK16+AK20+AK40+AK45+AK61)</f>
        <v>0</v>
      </c>
      <c r="AL5" s="243">
        <f>SUM(AL6+AL16+AL20+AL40+AL45+AL61)</f>
        <v>0</v>
      </c>
      <c r="AM5" s="243">
        <f>SUM(AM6+AM16+AM20+AM40+AM45+AM61)</f>
        <v>0</v>
      </c>
      <c r="AN5" s="243">
        <f>SUM(AN6+AN16+AN20+AN40+AN45+AN61)</f>
        <v>0</v>
      </c>
      <c r="AO5" s="243"/>
      <c r="AP5" s="244"/>
      <c r="AQ5" s="245">
        <f>SUM(AQ6+AQ16+AQ20+AQ40+AQ45+AQ61)</f>
        <v>2336383094.0228567</v>
      </c>
      <c r="AR5" s="245">
        <f>SUM(AR6+AR16+AR20+AR40+AR45+AR61)</f>
        <v>1704477303</v>
      </c>
      <c r="AS5" s="245">
        <f>SUM(AS6+AS16+AS20+AS40+AS45+AS61)</f>
        <v>0</v>
      </c>
      <c r="AT5" s="245">
        <f>SUM(AT6+AT16+AT20+AT40+AT45+AT61)</f>
        <v>4040860397.0228572</v>
      </c>
      <c r="AU5" s="245">
        <f t="shared" ref="AU5:BB5" si="1">SUM(AU6+AU16+AU20+AU40+AU45+AU61)</f>
        <v>4033651997.0228572</v>
      </c>
      <c r="AV5" s="245">
        <f t="shared" si="1"/>
        <v>0</v>
      </c>
      <c r="AW5" s="245">
        <f>SUM(AW6+AW16+AW20+AW40+AW45+AW61)</f>
        <v>0</v>
      </c>
      <c r="AX5" s="245">
        <f t="shared" si="1"/>
        <v>0</v>
      </c>
      <c r="AY5" s="245">
        <f t="shared" si="1"/>
        <v>2346000</v>
      </c>
      <c r="AZ5" s="245">
        <f t="shared" si="1"/>
        <v>0</v>
      </c>
      <c r="BA5" s="245">
        <f t="shared" si="1"/>
        <v>0</v>
      </c>
      <c r="BB5" s="245">
        <f t="shared" si="1"/>
        <v>-4862400</v>
      </c>
    </row>
    <row r="6" spans="1:58" s="170" customFormat="1" ht="61.9" customHeight="1" x14ac:dyDescent="0.25">
      <c r="A6" s="120"/>
      <c r="B6" s="290"/>
      <c r="C6" s="391" t="s">
        <v>191</v>
      </c>
      <c r="D6" s="391"/>
      <c r="E6" s="392"/>
      <c r="F6" s="289"/>
      <c r="G6" s="288"/>
      <c r="H6" s="114" t="s">
        <v>59</v>
      </c>
      <c r="I6" s="246"/>
      <c r="J6" s="246"/>
      <c r="K6" s="246"/>
      <c r="L6" s="247">
        <f>SUM(L11+L15)</f>
        <v>151200</v>
      </c>
      <c r="M6" s="247">
        <f>SUM(M11+M15)</f>
        <v>25250.400000000001</v>
      </c>
      <c r="N6" s="247"/>
      <c r="O6" s="247"/>
      <c r="P6" s="247"/>
      <c r="Q6" s="247"/>
      <c r="R6" s="247">
        <f>SUM(R11+R15)</f>
        <v>150000</v>
      </c>
      <c r="S6" s="247">
        <f>SUM(S11+S15)</f>
        <v>112500</v>
      </c>
      <c r="T6" s="247">
        <f>SUM(T11+T15)</f>
        <v>0</v>
      </c>
      <c r="U6" s="247">
        <f>SUM(U11+U15)</f>
        <v>200000</v>
      </c>
      <c r="V6" s="247"/>
      <c r="W6" s="247"/>
      <c r="X6" s="247"/>
      <c r="Y6" s="247">
        <f>SUM(Y11+Y15)</f>
        <v>0</v>
      </c>
      <c r="Z6" s="247">
        <f t="shared" ref="Z6:AF6" si="2">SUM(Z11+Z15)</f>
        <v>0</v>
      </c>
      <c r="AA6" s="247">
        <f t="shared" si="2"/>
        <v>0</v>
      </c>
      <c r="AB6" s="247">
        <f t="shared" si="2"/>
        <v>114000</v>
      </c>
      <c r="AC6" s="247">
        <f t="shared" si="2"/>
        <v>247500</v>
      </c>
      <c r="AD6" s="247">
        <f t="shared" si="2"/>
        <v>0</v>
      </c>
      <c r="AE6" s="247">
        <f t="shared" si="2"/>
        <v>164800</v>
      </c>
      <c r="AF6" s="247">
        <f t="shared" si="2"/>
        <v>988800</v>
      </c>
      <c r="AG6" s="247"/>
      <c r="AH6" s="247"/>
      <c r="AI6" s="247"/>
      <c r="AJ6" s="247">
        <f>SUM(AJ11+AJ15)</f>
        <v>0</v>
      </c>
      <c r="AK6" s="247">
        <f>SUM(AK11+AK15)</f>
        <v>0</v>
      </c>
      <c r="AL6" s="247">
        <f>SUM(AL11+AL15)</f>
        <v>0</v>
      </c>
      <c r="AM6" s="247">
        <f>SUM(AM11+AM15)</f>
        <v>0</v>
      </c>
      <c r="AN6" s="247">
        <f>SUM(AN11+AN15)</f>
        <v>0</v>
      </c>
      <c r="AO6" s="247"/>
      <c r="AP6" s="244"/>
      <c r="AQ6" s="248">
        <f>SUM(AQ11+AQ15)</f>
        <v>176450.4</v>
      </c>
      <c r="AR6" s="248">
        <f>SUM(AR11+AR15)</f>
        <v>988800</v>
      </c>
      <c r="AS6" s="248">
        <f>SUM(AS11+AS15)</f>
        <v>0</v>
      </c>
      <c r="AT6" s="248">
        <f>SUM(AT11+AT15)</f>
        <v>1165250.3999999999</v>
      </c>
      <c r="AU6" s="248">
        <f t="shared" ref="AU6:BB6" si="3">SUM(AU11+AU15)</f>
        <v>176450.4</v>
      </c>
      <c r="AV6" s="248">
        <f t="shared" si="3"/>
        <v>0</v>
      </c>
      <c r="AW6" s="248">
        <f>SUM(AW11+AW15)</f>
        <v>0</v>
      </c>
      <c r="AX6" s="248">
        <f t="shared" si="3"/>
        <v>0</v>
      </c>
      <c r="AY6" s="248">
        <f t="shared" si="3"/>
        <v>0</v>
      </c>
      <c r="AZ6" s="248">
        <f t="shared" si="3"/>
        <v>0</v>
      </c>
      <c r="BA6" s="248">
        <f t="shared" si="3"/>
        <v>0</v>
      </c>
      <c r="BB6" s="248">
        <f t="shared" si="3"/>
        <v>-988799.99999999988</v>
      </c>
    </row>
    <row r="7" spans="1:58" ht="61.9" customHeight="1" outlineLevel="2" x14ac:dyDescent="0.25">
      <c r="A7" s="115"/>
      <c r="B7" s="200"/>
      <c r="C7" s="201"/>
      <c r="D7" s="138"/>
      <c r="E7" s="295"/>
      <c r="F7" s="295"/>
      <c r="G7" s="296"/>
      <c r="H7" s="199" t="s">
        <v>369</v>
      </c>
      <c r="I7" s="130"/>
      <c r="J7" s="126"/>
      <c r="K7" s="126"/>
      <c r="L7" s="125" t="str">
        <f>IF(I7&lt;&gt;0,((VLOOKUP(I7,'1. Standard_Cost'!$B$4:$D$11,2)+VLOOKUP(I7,'1. Standard_Cost'!$B$4:$D$11,3))*J7*K7),"0")</f>
        <v>0</v>
      </c>
      <c r="M7" s="125">
        <f>L7*'1. Standard_Cost'!$F$4</f>
        <v>0</v>
      </c>
      <c r="N7" s="126"/>
      <c r="O7" s="126"/>
      <c r="P7" s="126"/>
      <c r="Q7" s="126"/>
      <c r="R7" s="127">
        <f>'1. Standard_Cost'!$B$15*N7*P7</f>
        <v>0</v>
      </c>
      <c r="S7" s="127">
        <f>N7*O7*P7*'1. Standard_Cost'!$C$15</f>
        <v>0</v>
      </c>
      <c r="T7" s="127">
        <f>N7*P7*Q7*'1. Standard_Cost'!$D$15</f>
        <v>0</v>
      </c>
      <c r="U7" s="127">
        <f>N7*O7*'1. Standard_Cost'!$E$15</f>
        <v>0</v>
      </c>
      <c r="V7" s="126"/>
      <c r="W7" s="126"/>
      <c r="X7" s="126"/>
      <c r="Y7" s="127">
        <f>+V7*((X7*'1. Standard_Cost'!$B$19)+(W7*X7*'1. Standard_Cost'!$C$19))</f>
        <v>0</v>
      </c>
      <c r="Z7" s="126"/>
      <c r="AA7" s="126"/>
      <c r="AB7" s="127">
        <f>+Z7*'1. Standard_Cost'!$B$23+AA7*'1. Standard_Cost'!$C$23</f>
        <v>0</v>
      </c>
      <c r="AC7" s="128"/>
      <c r="AD7" s="129"/>
      <c r="AE7" s="127">
        <f>SUM(AD7,AC7,AB7,Y7,U7,T7,S7,R7)*'1. Standard_Cost'!$B$31</f>
        <v>0</v>
      </c>
      <c r="AF7" s="127">
        <f>SUM(AE7,AD7,AC7,AB7,Y7,U7,T7,S7,R7)</f>
        <v>0</v>
      </c>
      <c r="AG7" s="126"/>
      <c r="AH7" s="126"/>
      <c r="AI7" s="126"/>
      <c r="AJ7" s="130"/>
      <c r="AK7" s="130"/>
      <c r="AL7" s="130"/>
      <c r="AM7" s="127">
        <f>AG7*'1. Standard_Cost'!$B$27+'Incremental_Cost Year 8'!AH7*'1. Standard_Cost'!$C$27+'Incremental_Cost Year 8'!AI7*'1. Standard_Cost'!$D$27+'Incremental_Cost Year 8'!AJ7+'Incremental_Cost Year 8'!AL7+AK7</f>
        <v>0</v>
      </c>
      <c r="AN7" s="127">
        <f>AM7*'1. Standard_Cost'!$C$31</f>
        <v>0</v>
      </c>
      <c r="AO7" s="249"/>
      <c r="AQ7" s="171">
        <f>L7+M7</f>
        <v>0</v>
      </c>
      <c r="AR7" s="171">
        <f>AF7</f>
        <v>0</v>
      </c>
      <c r="AS7" s="171">
        <f>AM7+AN7</f>
        <v>0</v>
      </c>
      <c r="AT7" s="171">
        <f>SUM(AQ7,AR7,AS7)</f>
        <v>0</v>
      </c>
      <c r="AU7" s="250">
        <f>AQ7</f>
        <v>0</v>
      </c>
      <c r="AV7" s="250"/>
      <c r="AW7" s="250"/>
      <c r="AX7" s="250"/>
      <c r="AY7" s="250"/>
      <c r="AZ7" s="250"/>
      <c r="BA7" s="250"/>
      <c r="BB7" s="251">
        <f>SUM(AU7:BA7)-AT7</f>
        <v>0</v>
      </c>
      <c r="BC7" s="169"/>
      <c r="BD7" s="169"/>
      <c r="BE7" s="169"/>
      <c r="BF7" s="169"/>
    </row>
    <row r="8" spans="1:58" ht="61.9" customHeight="1" outlineLevel="2" x14ac:dyDescent="0.25">
      <c r="A8" s="115"/>
      <c r="B8" s="200"/>
      <c r="C8" s="201"/>
      <c r="D8" s="135"/>
      <c r="E8" s="219"/>
      <c r="F8" s="219"/>
      <c r="G8" s="313"/>
      <c r="H8" s="199" t="s">
        <v>370</v>
      </c>
      <c r="I8" s="130"/>
      <c r="J8" s="126"/>
      <c r="K8" s="126"/>
      <c r="L8" s="125" t="str">
        <f>IF(I8&lt;&gt;0,((VLOOKUP(I8,'1. Standard_Cost'!$B$4:$D$11,2)+VLOOKUP(I8,'1. Standard_Cost'!$B$4:$D$11,3))*J8*K8),"0")</f>
        <v>0</v>
      </c>
      <c r="M8" s="125">
        <f>L8*'1. Standard_Cost'!$F$4</f>
        <v>0</v>
      </c>
      <c r="N8" s="126"/>
      <c r="O8" s="126"/>
      <c r="P8" s="126"/>
      <c r="Q8" s="126"/>
      <c r="R8" s="127">
        <f>'1. Standard_Cost'!$B$15*N8*P8</f>
        <v>0</v>
      </c>
      <c r="S8" s="127">
        <f>N8*O8*P8*'1. Standard_Cost'!$C$15</f>
        <v>0</v>
      </c>
      <c r="T8" s="127">
        <f>N8*P8*Q8*'1. Standard_Cost'!$D$15</f>
        <v>0</v>
      </c>
      <c r="U8" s="127">
        <f>N8*O8*'1. Standard_Cost'!$E$15</f>
        <v>0</v>
      </c>
      <c r="V8" s="126"/>
      <c r="W8" s="126"/>
      <c r="X8" s="126"/>
      <c r="Y8" s="127">
        <f>+V8*((X8*'1. Standard_Cost'!$B$19)+(W8*X8*'1. Standard_Cost'!$C$19))</f>
        <v>0</v>
      </c>
      <c r="Z8" s="126"/>
      <c r="AA8" s="126"/>
      <c r="AB8" s="127">
        <f>+Z8*'1. Standard_Cost'!$B$23+AA8*'1. Standard_Cost'!$C$23</f>
        <v>0</v>
      </c>
      <c r="AC8" s="128"/>
      <c r="AD8" s="129"/>
      <c r="AE8" s="127">
        <f>SUM(AD8,AC8,AB8,Y8,U8,T8,S8,R8)*'1. Standard_Cost'!$B$31</f>
        <v>0</v>
      </c>
      <c r="AF8" s="127">
        <f>SUM(AE8,AD8,AC8,AB8,Y8,U8,T8,S8,R8)</f>
        <v>0</v>
      </c>
      <c r="AG8" s="126"/>
      <c r="AH8" s="126"/>
      <c r="AI8" s="126"/>
      <c r="AJ8" s="130"/>
      <c r="AK8" s="130"/>
      <c r="AL8" s="130"/>
      <c r="AM8" s="127">
        <f>AG8*'1. Standard_Cost'!$B$27+'Incremental_Cost Year 8'!AH8*'1. Standard_Cost'!$C$27+'Incremental_Cost Year 8'!AI8*'1. Standard_Cost'!$D$27+'Incremental_Cost Year 8'!AJ8+'Incremental_Cost Year 8'!AL8+AK8</f>
        <v>0</v>
      </c>
      <c r="AN8" s="127">
        <f>AM8*'1. Standard_Cost'!$C$31</f>
        <v>0</v>
      </c>
      <c r="AO8" s="130"/>
      <c r="AQ8" s="171">
        <f>L8+M8</f>
        <v>0</v>
      </c>
      <c r="AR8" s="171">
        <f>AF8</f>
        <v>0</v>
      </c>
      <c r="AS8" s="171">
        <f>AM8+AN8</f>
        <v>0</v>
      </c>
      <c r="AT8" s="171">
        <f>SUM(AQ8,AR8,AS8)</f>
        <v>0</v>
      </c>
      <c r="AU8" s="250">
        <f>AQ8</f>
        <v>0</v>
      </c>
      <c r="AV8" s="250"/>
      <c r="AW8" s="250"/>
      <c r="AX8" s="250"/>
      <c r="AY8" s="250"/>
      <c r="AZ8" s="250"/>
      <c r="BA8" s="250"/>
      <c r="BB8" s="251">
        <f t="shared" ref="BB8:BB14" si="4">SUM(AU8:BA8)-AT8</f>
        <v>0</v>
      </c>
      <c r="BC8" s="169"/>
      <c r="BD8" s="169"/>
      <c r="BE8" s="169"/>
      <c r="BF8" s="169"/>
    </row>
    <row r="9" spans="1:58" ht="61.9" customHeight="1" outlineLevel="2" x14ac:dyDescent="0.25">
      <c r="A9" s="115"/>
      <c r="B9" s="200"/>
      <c r="C9" s="201"/>
      <c r="D9" s="135"/>
      <c r="E9" s="219"/>
      <c r="F9" s="219"/>
      <c r="G9" s="313"/>
      <c r="H9" s="199" t="s">
        <v>371</v>
      </c>
      <c r="I9" s="130"/>
      <c r="J9" s="126"/>
      <c r="K9" s="126"/>
      <c r="L9" s="125" t="str">
        <f>IF(I9&lt;&gt;0,((VLOOKUP(I9,'1. Standard_Cost'!$B$4:$D$11,2)+VLOOKUP(I9,'1. Standard_Cost'!$B$4:$D$11,3))*J9*K9),"0")</f>
        <v>0</v>
      </c>
      <c r="M9" s="125">
        <f>L9*'1. Standard_Cost'!$F$4</f>
        <v>0</v>
      </c>
      <c r="N9" s="126"/>
      <c r="O9" s="126"/>
      <c r="P9" s="126"/>
      <c r="Q9" s="126"/>
      <c r="R9" s="127">
        <f>'1. Standard_Cost'!$B$15*N9*P9</f>
        <v>0</v>
      </c>
      <c r="S9" s="127">
        <f>N9*O9*P9*'1. Standard_Cost'!$C$15</f>
        <v>0</v>
      </c>
      <c r="T9" s="127">
        <f>N9*P9*Q9*'1. Standard_Cost'!$D$15</f>
        <v>0</v>
      </c>
      <c r="U9" s="127">
        <f>N9*O9*'1. Standard_Cost'!$E$15</f>
        <v>0</v>
      </c>
      <c r="V9" s="126"/>
      <c r="W9" s="126"/>
      <c r="X9" s="126"/>
      <c r="Y9" s="127">
        <f>+V9*((X9*'1. Standard_Cost'!$B$19)+(W9*X9*'1. Standard_Cost'!$C$19))</f>
        <v>0</v>
      </c>
      <c r="Z9" s="126"/>
      <c r="AA9" s="126">
        <v>0</v>
      </c>
      <c r="AB9" s="127">
        <f>+Z9*'1. Standard_Cost'!$B$23+AA9*'1. Standard_Cost'!$C$23</f>
        <v>0</v>
      </c>
      <c r="AC9" s="128">
        <v>0</v>
      </c>
      <c r="AD9" s="129"/>
      <c r="AE9" s="127">
        <f>SUM(AD9,AC9,AB9,Y9,U9,T9,S9,R9)*'1. Standard_Cost'!$B$31</f>
        <v>0</v>
      </c>
      <c r="AF9" s="127">
        <f>SUM(AE9,AD9,AC9,AB9,Y9,U9,T9,S9,R9)</f>
        <v>0</v>
      </c>
      <c r="AG9" s="126"/>
      <c r="AH9" s="126"/>
      <c r="AI9" s="126"/>
      <c r="AJ9" s="130"/>
      <c r="AK9" s="130"/>
      <c r="AL9" s="130"/>
      <c r="AM9" s="127">
        <f>AG9*'1. Standard_Cost'!$B$27+'Incremental_Cost Year 8'!AH9*'1. Standard_Cost'!$C$27+'Incremental_Cost Year 8'!AI9*'1. Standard_Cost'!$D$27+'Incremental_Cost Year 8'!AJ9+'Incremental_Cost Year 8'!AL9+AK9</f>
        <v>0</v>
      </c>
      <c r="AN9" s="127">
        <f>AM9*'1. Standard_Cost'!$C$31</f>
        <v>0</v>
      </c>
      <c r="AO9" s="130"/>
      <c r="AQ9" s="171">
        <f>L9+M9</f>
        <v>0</v>
      </c>
      <c r="AR9" s="171">
        <f>AF9</f>
        <v>0</v>
      </c>
      <c r="AS9" s="171">
        <f>AM9+AN9</f>
        <v>0</v>
      </c>
      <c r="AT9" s="171">
        <f>SUM(AQ9,AR9,AS9)</f>
        <v>0</v>
      </c>
      <c r="AU9" s="250">
        <f>AQ9</f>
        <v>0</v>
      </c>
      <c r="AV9" s="250"/>
      <c r="AW9" s="250"/>
      <c r="AX9" s="250"/>
      <c r="AY9" s="250"/>
      <c r="AZ9" s="250"/>
      <c r="BA9" s="250"/>
      <c r="BB9" s="251">
        <f t="shared" si="4"/>
        <v>0</v>
      </c>
      <c r="BC9" s="169"/>
      <c r="BD9" s="169"/>
      <c r="BE9" s="169"/>
      <c r="BF9" s="169"/>
    </row>
    <row r="10" spans="1:58" ht="61.9" customHeight="1" outlineLevel="2" x14ac:dyDescent="0.25">
      <c r="A10" s="115"/>
      <c r="B10" s="200"/>
      <c r="C10" s="201"/>
      <c r="D10" s="223"/>
      <c r="E10" s="219"/>
      <c r="F10" s="122"/>
      <c r="G10" s="123"/>
      <c r="H10" s="199" t="s">
        <v>372</v>
      </c>
      <c r="I10" s="130"/>
      <c r="J10" s="126"/>
      <c r="K10" s="126"/>
      <c r="L10" s="125" t="str">
        <f>IF(I10&lt;&gt;0,((VLOOKUP(I10,'1. Standard_Cost'!$B$4:$D$11,2)+VLOOKUP(I10,'1. Standard_Cost'!$B$4:$D$11,3))*J10*K10),"0")</f>
        <v>0</v>
      </c>
      <c r="M10" s="125">
        <f>L10*'1. Standard_Cost'!$F$4</f>
        <v>0</v>
      </c>
      <c r="N10" s="126"/>
      <c r="O10" s="126"/>
      <c r="P10" s="126"/>
      <c r="Q10" s="126"/>
      <c r="R10" s="127">
        <f>'1. Standard_Cost'!$B$15*N10*P10</f>
        <v>0</v>
      </c>
      <c r="S10" s="127">
        <f>N10*O10*P10*'1. Standard_Cost'!$C$15</f>
        <v>0</v>
      </c>
      <c r="T10" s="127">
        <f>N10*P10*Q10*'1. Standard_Cost'!$D$15</f>
        <v>0</v>
      </c>
      <c r="U10" s="127">
        <f>N10*O10*'1. Standard_Cost'!$E$15</f>
        <v>0</v>
      </c>
      <c r="V10" s="126"/>
      <c r="W10" s="126"/>
      <c r="X10" s="126"/>
      <c r="Y10" s="127">
        <f>+V10*((X10*'1. Standard_Cost'!$B$19)+(W10*X10*'1. Standard_Cost'!$C$19))</f>
        <v>0</v>
      </c>
      <c r="Z10" s="126"/>
      <c r="AA10" s="126"/>
      <c r="AB10" s="127">
        <f>+Z10*'1. Standard_Cost'!$B$23+AA10*'1. Standard_Cost'!$C$23</f>
        <v>0</v>
      </c>
      <c r="AC10" s="128"/>
      <c r="AD10" s="129"/>
      <c r="AE10" s="127">
        <f>SUM(AD10,AC10,AB10,Y10,U10,T10,S10,R10)*'1. Standard_Cost'!$B$31</f>
        <v>0</v>
      </c>
      <c r="AF10" s="127">
        <f>SUM(AE10,AD10,AC10,AB10,Y10,U10,T10,S10,R10)</f>
        <v>0</v>
      </c>
      <c r="AG10" s="126"/>
      <c r="AH10" s="126"/>
      <c r="AI10" s="126"/>
      <c r="AJ10" s="130"/>
      <c r="AK10" s="130"/>
      <c r="AL10" s="130"/>
      <c r="AM10" s="127">
        <f>AG10*'1. Standard_Cost'!$B$27+'Incremental_Cost Year 8'!AH10*'1. Standard_Cost'!$C$27+'Incremental_Cost Year 8'!AI10*'1. Standard_Cost'!$D$27+'Incremental_Cost Year 8'!AJ10+'Incremental_Cost Year 8'!AL10+AK10</f>
        <v>0</v>
      </c>
      <c r="AN10" s="127">
        <f>AM10*'1. Standard_Cost'!$C$31</f>
        <v>0</v>
      </c>
      <c r="AO10" s="130"/>
      <c r="AQ10" s="171">
        <f>L10+M10</f>
        <v>0</v>
      </c>
      <c r="AR10" s="171">
        <f>AF10</f>
        <v>0</v>
      </c>
      <c r="AS10" s="171">
        <f>AM10+AN10</f>
        <v>0</v>
      </c>
      <c r="AT10" s="171">
        <f>SUM(AQ10,AR10,AS10)</f>
        <v>0</v>
      </c>
      <c r="AU10" s="250">
        <f>AQ10</f>
        <v>0</v>
      </c>
      <c r="AV10" s="250"/>
      <c r="AW10" s="250"/>
      <c r="AX10" s="250"/>
      <c r="AY10" s="250"/>
      <c r="AZ10" s="250"/>
      <c r="BA10" s="250"/>
      <c r="BB10" s="251">
        <f t="shared" si="4"/>
        <v>0</v>
      </c>
      <c r="BC10" s="169"/>
      <c r="BD10" s="169"/>
      <c r="BE10" s="169"/>
      <c r="BF10" s="169"/>
    </row>
    <row r="11" spans="1:58" ht="61.9" customHeight="1" outlineLevel="1" x14ac:dyDescent="0.25">
      <c r="A11" s="115"/>
      <c r="B11" s="142"/>
      <c r="C11" s="297"/>
      <c r="D11" s="116" t="s">
        <v>373</v>
      </c>
      <c r="E11" s="209" t="s">
        <v>374</v>
      </c>
      <c r="F11" s="117">
        <v>2022</v>
      </c>
      <c r="G11" s="117">
        <v>2024</v>
      </c>
      <c r="H11" s="134" t="s">
        <v>46</v>
      </c>
      <c r="I11" s="252"/>
      <c r="J11" s="252"/>
      <c r="K11" s="252"/>
      <c r="L11" s="127">
        <f>SUM(L7:L10)</f>
        <v>0</v>
      </c>
      <c r="M11" s="127">
        <f>SUM(M7:M10)</f>
        <v>0</v>
      </c>
      <c r="N11" s="127"/>
      <c r="O11" s="252"/>
      <c r="P11" s="252"/>
      <c r="Q11" s="252"/>
      <c r="R11" s="127">
        <f>SUM(R7:R10)</f>
        <v>0</v>
      </c>
      <c r="S11" s="127">
        <f>SUM(S7:S10)</f>
        <v>0</v>
      </c>
      <c r="T11" s="127">
        <f>SUM(T7:T10)</f>
        <v>0</v>
      </c>
      <c r="U11" s="127">
        <f>SUM(U7:U10)</f>
        <v>0</v>
      </c>
      <c r="V11" s="252"/>
      <c r="W11" s="252"/>
      <c r="X11" s="252"/>
      <c r="Y11" s="127">
        <f>SUM(Y7:Y10)</f>
        <v>0</v>
      </c>
      <c r="Z11" s="252"/>
      <c r="AA11" s="252"/>
      <c r="AB11" s="127">
        <f>SUM(AB7:AB10)</f>
        <v>0</v>
      </c>
      <c r="AC11" s="127">
        <f>SUM(AC7:AC9)</f>
        <v>0</v>
      </c>
      <c r="AD11" s="127">
        <f>SUM(AD7:AD9)</f>
        <v>0</v>
      </c>
      <c r="AE11" s="127">
        <f>SUM(AE7:AE9)</f>
        <v>0</v>
      </c>
      <c r="AF11" s="127">
        <f>SUM(AF7:AF9)</f>
        <v>0</v>
      </c>
      <c r="AG11" s="252"/>
      <c r="AH11" s="252"/>
      <c r="AI11" s="252"/>
      <c r="AJ11" s="127">
        <f>SUM(AJ7:AJ9)</f>
        <v>0</v>
      </c>
      <c r="AK11" s="127">
        <f>SUM(AK7:AK9)</f>
        <v>0</v>
      </c>
      <c r="AL11" s="127">
        <f>SUM(AL7:AL9)</f>
        <v>0</v>
      </c>
      <c r="AM11" s="127">
        <f>SUM(AM7:AM9)</f>
        <v>0</v>
      </c>
      <c r="AN11" s="127">
        <f>SUM(AN7:AN9)</f>
        <v>0</v>
      </c>
      <c r="AO11" s="253"/>
      <c r="AP11" s="254"/>
      <c r="AQ11" s="175">
        <f>SUM(AQ7:AQ10)</f>
        <v>0</v>
      </c>
      <c r="AR11" s="175">
        <f>SUM(AR7:AR10)</f>
        <v>0</v>
      </c>
      <c r="AS11" s="175">
        <f>SUM(AS7:AS10)</f>
        <v>0</v>
      </c>
      <c r="AT11" s="175">
        <f>SUM(AT7:AT10)</f>
        <v>0</v>
      </c>
      <c r="AU11" s="175">
        <f t="shared" ref="AU11:BA11" si="5">SUM(AU7:AU9)</f>
        <v>0</v>
      </c>
      <c r="AV11" s="175">
        <f t="shared" si="5"/>
        <v>0</v>
      </c>
      <c r="AW11" s="175">
        <f>SUM(AW7:AW9)</f>
        <v>0</v>
      </c>
      <c r="AX11" s="175">
        <f t="shared" si="5"/>
        <v>0</v>
      </c>
      <c r="AY11" s="175">
        <f t="shared" si="5"/>
        <v>0</v>
      </c>
      <c r="AZ11" s="175">
        <f t="shared" si="5"/>
        <v>0</v>
      </c>
      <c r="BA11" s="175">
        <f t="shared" si="5"/>
        <v>0</v>
      </c>
      <c r="BB11" s="175">
        <f>SUM(BB7:BB10)</f>
        <v>0</v>
      </c>
      <c r="BC11" s="169"/>
      <c r="BD11" s="169"/>
      <c r="BE11" s="169"/>
      <c r="BF11" s="169"/>
    </row>
    <row r="12" spans="1:58" ht="61.9" customHeight="1" outlineLevel="2" x14ac:dyDescent="0.25">
      <c r="A12" s="115"/>
      <c r="B12" s="200"/>
      <c r="C12" s="201"/>
      <c r="D12" s="138"/>
      <c r="E12" s="295"/>
      <c r="F12" s="295"/>
      <c r="G12" s="296"/>
      <c r="H12" s="213" t="s">
        <v>375</v>
      </c>
      <c r="I12" s="130"/>
      <c r="J12" s="126"/>
      <c r="K12" s="126"/>
      <c r="L12" s="125" t="str">
        <f>IF(I12&lt;&gt;0,((VLOOKUP(I12,'1. Standard_Cost'!$B$4:$D$11,2)+VLOOKUP(I12,'1. Standard_Cost'!$B$4:$D$11,3))*J12*K12),"0")</f>
        <v>0</v>
      </c>
      <c r="M12" s="125">
        <f>L12*'1. Standard_Cost'!$F$4</f>
        <v>0</v>
      </c>
      <c r="N12" s="126"/>
      <c r="O12" s="126"/>
      <c r="P12" s="126"/>
      <c r="Q12" s="126"/>
      <c r="R12" s="127">
        <f>'1. Standard_Cost'!$B$15*N12*P12</f>
        <v>0</v>
      </c>
      <c r="S12" s="127">
        <f>N12*O12*P12*'1. Standard_Cost'!$C$15</f>
        <v>0</v>
      </c>
      <c r="T12" s="127">
        <f>N12*P12*Q12*'1. Standard_Cost'!$D$15</f>
        <v>0</v>
      </c>
      <c r="U12" s="127">
        <f>N12*O12*'1. Standard_Cost'!$E$15</f>
        <v>0</v>
      </c>
      <c r="V12" s="126"/>
      <c r="W12" s="126"/>
      <c r="X12" s="126"/>
      <c r="Y12" s="127">
        <f>+V12*((X12*'1. Standard_Cost'!$B$19)+(W12*X12*'1. Standard_Cost'!$C$19))</f>
        <v>0</v>
      </c>
      <c r="Z12" s="126"/>
      <c r="AA12" s="126"/>
      <c r="AB12" s="127">
        <f>+Z12*'1. Standard_Cost'!$B$23+AA12*'1. Standard_Cost'!$C$23</f>
        <v>0</v>
      </c>
      <c r="AC12" s="128"/>
      <c r="AD12" s="129"/>
      <c r="AE12" s="127">
        <f>SUM(AD12,AC12,AB12,Y12,U12,T12,S12,R12)*'1. Standard_Cost'!$B$31</f>
        <v>0</v>
      </c>
      <c r="AF12" s="127">
        <f>SUM(AE12,AD12,AC12,AB12,Y12,U12,T12,S12,R12)</f>
        <v>0</v>
      </c>
      <c r="AG12" s="126"/>
      <c r="AH12" s="126"/>
      <c r="AI12" s="126"/>
      <c r="AJ12" s="130"/>
      <c r="AK12" s="130"/>
      <c r="AL12" s="130"/>
      <c r="AM12" s="127">
        <f>AG12*'1. Standard_Cost'!$B$27+'Incremental_Cost Year 8'!AH12*'1. Standard_Cost'!$C$27+'Incremental_Cost Year 8'!AI12*'1. Standard_Cost'!$D$27+'Incremental_Cost Year 8'!AJ12+'Incremental_Cost Year 8'!AL12+AK12</f>
        <v>0</v>
      </c>
      <c r="AN12" s="127">
        <f>AM12*'1. Standard_Cost'!$C$31</f>
        <v>0</v>
      </c>
      <c r="AO12" s="130"/>
      <c r="AQ12" s="171">
        <f>L12+M12</f>
        <v>0</v>
      </c>
      <c r="AR12" s="171">
        <f>AF12</f>
        <v>0</v>
      </c>
      <c r="AS12" s="171">
        <f>AM12+AN12</f>
        <v>0</v>
      </c>
      <c r="AT12" s="171">
        <f>SUM(AQ12,AR12,AS12)</f>
        <v>0</v>
      </c>
      <c r="AU12" s="250">
        <f>AQ12</f>
        <v>0</v>
      </c>
      <c r="AV12" s="250"/>
      <c r="AW12" s="250"/>
      <c r="AX12" s="250"/>
      <c r="AY12" s="250"/>
      <c r="AZ12" s="250"/>
      <c r="BA12" s="250"/>
      <c r="BB12" s="251">
        <f t="shared" si="4"/>
        <v>0</v>
      </c>
      <c r="BC12" s="169"/>
      <c r="BD12" s="169"/>
      <c r="BE12" s="169"/>
      <c r="BF12" s="169"/>
    </row>
    <row r="13" spans="1:58" ht="61.9" customHeight="1" outlineLevel="2" x14ac:dyDescent="0.25">
      <c r="A13" s="115"/>
      <c r="B13" s="200"/>
      <c r="C13" s="201"/>
      <c r="D13" s="135"/>
      <c r="E13" s="219"/>
      <c r="F13" s="219"/>
      <c r="G13" s="313"/>
      <c r="H13" s="213" t="s">
        <v>376</v>
      </c>
      <c r="I13" s="130"/>
      <c r="J13" s="126"/>
      <c r="K13" s="126"/>
      <c r="L13" s="125" t="str">
        <f>IF(I13&lt;&gt;0,((VLOOKUP(I13,'1. Standard_Cost'!$B$4:$D$11,2)+VLOOKUP(I13,'1. Standard_Cost'!$B$4:$D$11,3))*J13*K13),"0")</f>
        <v>0</v>
      </c>
      <c r="M13" s="125">
        <f>L13*'1. Standard_Cost'!$F$4</f>
        <v>0</v>
      </c>
      <c r="N13" s="126"/>
      <c r="O13" s="126"/>
      <c r="P13" s="126"/>
      <c r="Q13" s="126"/>
      <c r="R13" s="127">
        <f>'1. Standard_Cost'!$B$15*N13*P13</f>
        <v>0</v>
      </c>
      <c r="S13" s="127">
        <f>N13*O13*P13*'1. Standard_Cost'!$C$15</f>
        <v>0</v>
      </c>
      <c r="T13" s="127">
        <f>N13*P13*Q13*'1. Standard_Cost'!$D$15</f>
        <v>0</v>
      </c>
      <c r="U13" s="127">
        <f>N13*O13*'1. Standard_Cost'!$E$15</f>
        <v>0</v>
      </c>
      <c r="V13" s="126"/>
      <c r="W13" s="126"/>
      <c r="X13" s="126"/>
      <c r="Y13" s="127">
        <f>+V13*((X13*'1. Standard_Cost'!$B$19)+(W13*X13*'1. Standard_Cost'!$C$19))</f>
        <v>0</v>
      </c>
      <c r="Z13" s="126">
        <v>0</v>
      </c>
      <c r="AA13" s="126">
        <v>0</v>
      </c>
      <c r="AB13" s="127">
        <f>+Z13*'1. Standard_Cost'!$B$23+AA13*'1. Standard_Cost'!$C$23</f>
        <v>0</v>
      </c>
      <c r="AC13" s="128">
        <v>0</v>
      </c>
      <c r="AD13" s="129"/>
      <c r="AE13" s="127">
        <f>SUM(AD13,AC13,AB13,Y13,U13,T13,S13,R13)*'1. Standard_Cost'!$B$31</f>
        <v>0</v>
      </c>
      <c r="AF13" s="127">
        <f>SUM(AE13,AD13,AC13,AB13,Y13,U13,T13,S13,R13)</f>
        <v>0</v>
      </c>
      <c r="AG13" s="126"/>
      <c r="AH13" s="126"/>
      <c r="AI13" s="126"/>
      <c r="AJ13" s="130"/>
      <c r="AK13" s="130"/>
      <c r="AL13" s="130"/>
      <c r="AM13" s="127">
        <f>AG13*'1. Standard_Cost'!$B$27+'Incremental_Cost Year 8'!AH13*'1. Standard_Cost'!$C$27+'Incremental_Cost Year 8'!AI13*'1. Standard_Cost'!$D$27+'Incremental_Cost Year 8'!AJ13+'Incremental_Cost Year 8'!AL13+AK13</f>
        <v>0</v>
      </c>
      <c r="AN13" s="127">
        <f>AM13*'1. Standard_Cost'!$C$31</f>
        <v>0</v>
      </c>
      <c r="AO13" s="130"/>
      <c r="AQ13" s="171">
        <f>L13+M13</f>
        <v>0</v>
      </c>
      <c r="AR13" s="171">
        <f>AF13</f>
        <v>0</v>
      </c>
      <c r="AS13" s="171">
        <f>AM13+AN13</f>
        <v>0</v>
      </c>
      <c r="AT13" s="171">
        <f>SUM(AQ13,AR13,AS13)</f>
        <v>0</v>
      </c>
      <c r="AU13" s="250">
        <f>AQ13</f>
        <v>0</v>
      </c>
      <c r="AV13" s="250"/>
      <c r="AW13" s="250"/>
      <c r="AX13" s="250"/>
      <c r="AY13" s="250"/>
      <c r="AZ13" s="250"/>
      <c r="BA13" s="250"/>
      <c r="BB13" s="251">
        <f t="shared" si="4"/>
        <v>0</v>
      </c>
      <c r="BC13" s="169"/>
      <c r="BD13" s="169"/>
      <c r="BE13" s="169"/>
      <c r="BF13" s="169"/>
    </row>
    <row r="14" spans="1:58" ht="61.9" customHeight="1" outlineLevel="2" x14ac:dyDescent="0.25">
      <c r="A14" s="115"/>
      <c r="B14" s="200"/>
      <c r="C14" s="201"/>
      <c r="D14" s="223"/>
      <c r="E14" s="219"/>
      <c r="F14" s="219"/>
      <c r="G14" s="313"/>
      <c r="H14" s="213" t="s">
        <v>377</v>
      </c>
      <c r="I14" s="130" t="s">
        <v>3</v>
      </c>
      <c r="J14" s="126">
        <v>0.5</v>
      </c>
      <c r="K14" s="126">
        <v>3</v>
      </c>
      <c r="L14" s="125">
        <f>IF(I14&lt;&gt;0,((VLOOKUP(I14,'1. Standard_Cost'!$B$4:$D$11,2)+VLOOKUP(I14,'1. Standard_Cost'!$B$4:$D$11,3))*J14*K14),"0")</f>
        <v>151200</v>
      </c>
      <c r="M14" s="125">
        <f>L14*'1. Standard_Cost'!$F$4</f>
        <v>25250.400000000001</v>
      </c>
      <c r="N14" s="126">
        <v>5</v>
      </c>
      <c r="O14" s="126">
        <v>1</v>
      </c>
      <c r="P14" s="126">
        <v>15</v>
      </c>
      <c r="Q14" s="126"/>
      <c r="R14" s="127">
        <f>'1. Standard_Cost'!$B$15*N14*P14</f>
        <v>150000</v>
      </c>
      <c r="S14" s="127">
        <f>N14*O14*P14*'1. Standard_Cost'!$C$15</f>
        <v>112500</v>
      </c>
      <c r="T14" s="127">
        <f>N14*P14*Q14*'1. Standard_Cost'!$D$15</f>
        <v>0</v>
      </c>
      <c r="U14" s="127">
        <f>N14*O14*'1. Standard_Cost'!$E$15</f>
        <v>200000</v>
      </c>
      <c r="V14" s="126"/>
      <c r="W14" s="126"/>
      <c r="X14" s="126"/>
      <c r="Y14" s="127">
        <f>+V14*((X14*'1. Standard_Cost'!$B$19)+(W14*X14*'1. Standard_Cost'!$C$19))</f>
        <v>0</v>
      </c>
      <c r="Z14" s="126"/>
      <c r="AA14" s="126">
        <v>6</v>
      </c>
      <c r="AB14" s="127">
        <f>+Z14*'1. Standard_Cost'!$B$23+AA14*'1. Standard_Cost'!$C$23</f>
        <v>114000</v>
      </c>
      <c r="AC14" s="128">
        <f>75*3300</f>
        <v>247500</v>
      </c>
      <c r="AD14" s="129"/>
      <c r="AE14" s="127">
        <f>SUM(AD14,AC14,AB14,Y14,U14,T14,S14,R14)*'1. Standard_Cost'!$B$31</f>
        <v>164800</v>
      </c>
      <c r="AF14" s="127">
        <f>SUM(AE14,AD14,AC14,AB14,Y14,U14,T14,S14,R14)</f>
        <v>988800</v>
      </c>
      <c r="AG14" s="126"/>
      <c r="AH14" s="126"/>
      <c r="AI14" s="126"/>
      <c r="AJ14" s="130"/>
      <c r="AK14" s="130"/>
      <c r="AL14" s="130"/>
      <c r="AM14" s="127">
        <f>AG14*'1. Standard_Cost'!$B$27+'Incremental_Cost Year 8'!AH14*'1. Standard_Cost'!$C$27+'Incremental_Cost Year 8'!AI14*'1. Standard_Cost'!$D$27+'Incremental_Cost Year 8'!AJ14+'Incremental_Cost Year 8'!AL14+AK14</f>
        <v>0</v>
      </c>
      <c r="AN14" s="127">
        <f>AM14*'1. Standard_Cost'!$C$31</f>
        <v>0</v>
      </c>
      <c r="AO14" s="130"/>
      <c r="AQ14" s="171">
        <f>L14+M14</f>
        <v>176450.4</v>
      </c>
      <c r="AR14" s="171">
        <f>AF14</f>
        <v>988800</v>
      </c>
      <c r="AS14" s="171">
        <f>AM14+AN14</f>
        <v>0</v>
      </c>
      <c r="AT14" s="171">
        <f>SUM(AQ14,AR14,AS14)</f>
        <v>1165250.3999999999</v>
      </c>
      <c r="AU14" s="250">
        <f>AQ14</f>
        <v>176450.4</v>
      </c>
      <c r="AV14" s="250"/>
      <c r="AW14" s="250"/>
      <c r="AX14" s="250"/>
      <c r="AY14" s="250"/>
      <c r="AZ14" s="250"/>
      <c r="BA14" s="250"/>
      <c r="BB14" s="251">
        <f t="shared" si="4"/>
        <v>-988799.99999999988</v>
      </c>
      <c r="BC14" s="169"/>
      <c r="BD14" s="169"/>
      <c r="BE14" s="169"/>
      <c r="BF14" s="169"/>
    </row>
    <row r="15" spans="1:58" ht="61.9" customHeight="1" outlineLevel="1" x14ac:dyDescent="0.25">
      <c r="A15" s="115"/>
      <c r="B15" s="165"/>
      <c r="C15" s="166"/>
      <c r="D15" s="110" t="s">
        <v>378</v>
      </c>
      <c r="E15" s="116" t="s">
        <v>379</v>
      </c>
      <c r="F15" s="209">
        <v>2021</v>
      </c>
      <c r="G15" s="117">
        <v>2030</v>
      </c>
      <c r="H15" s="110" t="s">
        <v>47</v>
      </c>
      <c r="I15" s="252"/>
      <c r="J15" s="252"/>
      <c r="K15" s="252"/>
      <c r="L15" s="127">
        <f>SUM(L12:L14)</f>
        <v>151200</v>
      </c>
      <c r="M15" s="127">
        <f>SUM(M12:M14)</f>
        <v>25250.400000000001</v>
      </c>
      <c r="N15" s="252"/>
      <c r="O15" s="252"/>
      <c r="P15" s="252"/>
      <c r="Q15" s="252"/>
      <c r="R15" s="127">
        <f>SUM(R12:R14)</f>
        <v>150000</v>
      </c>
      <c r="S15" s="127">
        <f>SUM(S12:S14)</f>
        <v>112500</v>
      </c>
      <c r="T15" s="127">
        <f>SUM(T12:T14)</f>
        <v>0</v>
      </c>
      <c r="U15" s="127">
        <f>SUM(U12:U14)</f>
        <v>200000</v>
      </c>
      <c r="V15" s="252"/>
      <c r="W15" s="252"/>
      <c r="X15" s="252"/>
      <c r="Y15" s="127">
        <f>SUM(Y12:Y14)</f>
        <v>0</v>
      </c>
      <c r="Z15" s="252"/>
      <c r="AA15" s="252"/>
      <c r="AB15" s="127">
        <f>SUM(AB12:AB14)</f>
        <v>114000</v>
      </c>
      <c r="AC15" s="127">
        <f>SUM(AC12:AC14)</f>
        <v>247500</v>
      </c>
      <c r="AD15" s="127">
        <f>SUM(AD12:AD14)</f>
        <v>0</v>
      </c>
      <c r="AE15" s="127">
        <f>SUM(AE12:AE14)</f>
        <v>164800</v>
      </c>
      <c r="AF15" s="127">
        <f>SUM(AF12:AF14)</f>
        <v>988800</v>
      </c>
      <c r="AG15" s="252"/>
      <c r="AH15" s="252"/>
      <c r="AI15" s="252"/>
      <c r="AJ15" s="127">
        <f>SUM(AJ12:AJ12)</f>
        <v>0</v>
      </c>
      <c r="AK15" s="127">
        <f>SUM(AK12:AK14)</f>
        <v>0</v>
      </c>
      <c r="AL15" s="127">
        <f>SUM(AL12:AL14)</f>
        <v>0</v>
      </c>
      <c r="AM15" s="127">
        <f>SUM(AM12:AM14)</f>
        <v>0</v>
      </c>
      <c r="AN15" s="127">
        <f>SUM(AN12:AN14)</f>
        <v>0</v>
      </c>
      <c r="AO15" s="253"/>
      <c r="AP15" s="254"/>
      <c r="AQ15" s="175">
        <f>SUM(AQ12:AQ14)</f>
        <v>176450.4</v>
      </c>
      <c r="AR15" s="175">
        <f>SUM(AR12:AR14)</f>
        <v>988800</v>
      </c>
      <c r="AS15" s="175">
        <f>SUM(AS12:AS14)</f>
        <v>0</v>
      </c>
      <c r="AT15" s="175">
        <f>SUM(AT12:AT14)</f>
        <v>1165250.3999999999</v>
      </c>
      <c r="AU15" s="175">
        <f t="shared" ref="AU15:BB15" si="6">SUM(AU12:AU14)</f>
        <v>176450.4</v>
      </c>
      <c r="AV15" s="175">
        <f t="shared" si="6"/>
        <v>0</v>
      </c>
      <c r="AW15" s="175">
        <f>SUM(AW12:AW14)</f>
        <v>0</v>
      </c>
      <c r="AX15" s="175">
        <f t="shared" si="6"/>
        <v>0</v>
      </c>
      <c r="AY15" s="175">
        <f t="shared" si="6"/>
        <v>0</v>
      </c>
      <c r="AZ15" s="175">
        <f t="shared" si="6"/>
        <v>0</v>
      </c>
      <c r="BA15" s="175">
        <f t="shared" si="6"/>
        <v>0</v>
      </c>
      <c r="BB15" s="175">
        <f t="shared" si="6"/>
        <v>-988799.99999999988</v>
      </c>
      <c r="BC15" s="169"/>
      <c r="BD15" s="169"/>
      <c r="BE15" s="169"/>
      <c r="BF15" s="169"/>
    </row>
    <row r="16" spans="1:58" s="170" customFormat="1" ht="61.9" customHeight="1" x14ac:dyDescent="0.25">
      <c r="A16" s="120"/>
      <c r="B16" s="290"/>
      <c r="C16" s="391" t="s">
        <v>192</v>
      </c>
      <c r="D16" s="391"/>
      <c r="E16" s="392"/>
      <c r="F16" s="288"/>
      <c r="G16" s="288"/>
      <c r="H16" s="114" t="s">
        <v>209</v>
      </c>
      <c r="I16" s="246"/>
      <c r="J16" s="246"/>
      <c r="K16" s="246"/>
      <c r="L16" s="247">
        <f>SUM(L19)</f>
        <v>0</v>
      </c>
      <c r="M16" s="247">
        <f>SUM(M19)</f>
        <v>0</v>
      </c>
      <c r="N16" s="247"/>
      <c r="O16" s="247"/>
      <c r="P16" s="247"/>
      <c r="Q16" s="247"/>
      <c r="R16" s="247">
        <f>SUM(R19)</f>
        <v>0</v>
      </c>
      <c r="S16" s="247">
        <f>SUM(S19)</f>
        <v>0</v>
      </c>
      <c r="T16" s="247">
        <f>SUM(T19)</f>
        <v>0</v>
      </c>
      <c r="U16" s="247">
        <f>SUM(U19)</f>
        <v>0</v>
      </c>
      <c r="V16" s="247"/>
      <c r="W16" s="247"/>
      <c r="X16" s="247"/>
      <c r="Y16" s="247">
        <f>SUM(Y19)</f>
        <v>0</v>
      </c>
      <c r="Z16" s="247">
        <f t="shared" ref="Z16:AA16" si="7">SUM(Z19)</f>
        <v>0</v>
      </c>
      <c r="AA16" s="247">
        <f t="shared" si="7"/>
        <v>0</v>
      </c>
      <c r="AB16" s="247">
        <f t="shared" ref="AB16:AF16" si="8">SUM(AB19)</f>
        <v>0</v>
      </c>
      <c r="AC16" s="247">
        <f t="shared" si="8"/>
        <v>0</v>
      </c>
      <c r="AD16" s="247">
        <f t="shared" si="8"/>
        <v>0</v>
      </c>
      <c r="AE16" s="247">
        <f t="shared" si="8"/>
        <v>0</v>
      </c>
      <c r="AF16" s="247">
        <f t="shared" si="8"/>
        <v>0</v>
      </c>
      <c r="AG16" s="247"/>
      <c r="AH16" s="247"/>
      <c r="AI16" s="247"/>
      <c r="AJ16" s="247">
        <f>SUM(AJ19)</f>
        <v>0</v>
      </c>
      <c r="AK16" s="247">
        <f>SUM(AK19)</f>
        <v>0</v>
      </c>
      <c r="AL16" s="247">
        <f>SUM(AL19)</f>
        <v>0</v>
      </c>
      <c r="AM16" s="247">
        <f>SUM(AM19)</f>
        <v>0</v>
      </c>
      <c r="AN16" s="247">
        <f>SUM(AN19)</f>
        <v>0</v>
      </c>
      <c r="AO16" s="247"/>
      <c r="AP16" s="244"/>
      <c r="AQ16" s="248">
        <f>SUM(AQ19)</f>
        <v>0</v>
      </c>
      <c r="AR16" s="248">
        <f>SUM(AR19)</f>
        <v>0</v>
      </c>
      <c r="AS16" s="248">
        <f>SUM(AS19)</f>
        <v>0</v>
      </c>
      <c r="AT16" s="248">
        <f>SUM(AT19)</f>
        <v>0</v>
      </c>
      <c r="AU16" s="248">
        <f t="shared" ref="AU16:BB16" si="9">SUM(AU19)</f>
        <v>0</v>
      </c>
      <c r="AV16" s="248">
        <f t="shared" si="9"/>
        <v>0</v>
      </c>
      <c r="AW16" s="248">
        <f>SUM(AW19)</f>
        <v>0</v>
      </c>
      <c r="AX16" s="248">
        <f t="shared" si="9"/>
        <v>0</v>
      </c>
      <c r="AY16" s="248">
        <f t="shared" si="9"/>
        <v>0</v>
      </c>
      <c r="AZ16" s="248">
        <f t="shared" si="9"/>
        <v>0</v>
      </c>
      <c r="BA16" s="248">
        <f t="shared" si="9"/>
        <v>0</v>
      </c>
      <c r="BB16" s="248">
        <f t="shared" si="9"/>
        <v>0</v>
      </c>
    </row>
    <row r="17" spans="1:58" ht="61.9" customHeight="1" outlineLevel="2" x14ac:dyDescent="0.25">
      <c r="A17" s="115"/>
      <c r="B17" s="200"/>
      <c r="C17" s="201"/>
      <c r="D17" s="220"/>
      <c r="E17" s="294"/>
      <c r="F17" s="295"/>
      <c r="G17" s="296"/>
      <c r="H17" s="199" t="s">
        <v>380</v>
      </c>
      <c r="I17" s="130"/>
      <c r="J17" s="126"/>
      <c r="K17" s="126"/>
      <c r="L17" s="125" t="str">
        <f>IF(I17&lt;&gt;0,((VLOOKUP(I17,'1. Standard_Cost'!$B$4:$D$11,2)+VLOOKUP(I17,'1. Standard_Cost'!$B$4:$D$11,3))*J17*K17),"0")</f>
        <v>0</v>
      </c>
      <c r="M17" s="125">
        <f>L17*'1. Standard_Cost'!$F$4</f>
        <v>0</v>
      </c>
      <c r="N17" s="126"/>
      <c r="O17" s="126"/>
      <c r="P17" s="126"/>
      <c r="Q17" s="126"/>
      <c r="R17" s="127">
        <f>'1. Standard_Cost'!$B$15*N17*P17</f>
        <v>0</v>
      </c>
      <c r="S17" s="127">
        <f>N17*O17*P17*'1. Standard_Cost'!$C$15</f>
        <v>0</v>
      </c>
      <c r="T17" s="127">
        <f>N17*P17*Q17*'1. Standard_Cost'!$D$15</f>
        <v>0</v>
      </c>
      <c r="U17" s="127">
        <f>N17*O17*'1. Standard_Cost'!$E$15</f>
        <v>0</v>
      </c>
      <c r="V17" s="126"/>
      <c r="W17" s="126"/>
      <c r="X17" s="126"/>
      <c r="Y17" s="127">
        <f>+V17*((X17*'1. Standard_Cost'!$B$19)+(W17*X17*'1. Standard_Cost'!$C$19))</f>
        <v>0</v>
      </c>
      <c r="Z17" s="126"/>
      <c r="AA17" s="126"/>
      <c r="AB17" s="127">
        <f>+Z17*'1. Standard_Cost'!$B$23+AA17*'1. Standard_Cost'!$C$23</f>
        <v>0</v>
      </c>
      <c r="AC17" s="128"/>
      <c r="AD17" s="129"/>
      <c r="AE17" s="127">
        <f>SUM(AD17,AC17,AB17,Y17,U17,T17,S17,R17)*'1. Standard_Cost'!$B$31</f>
        <v>0</v>
      </c>
      <c r="AF17" s="127">
        <f>SUM(AE17,AD17,AC17,AB17,Y17,U17,T17,S17,R17)</f>
        <v>0</v>
      </c>
      <c r="AG17" s="126"/>
      <c r="AH17" s="126"/>
      <c r="AI17" s="126"/>
      <c r="AJ17" s="130"/>
      <c r="AK17" s="130"/>
      <c r="AL17" s="130"/>
      <c r="AM17" s="127">
        <f>AG17*'1. Standard_Cost'!$B$27+'Incremental_Cost Year 8'!AH17*'1. Standard_Cost'!$C$27+'Incremental_Cost Year 8'!AI17*'1. Standard_Cost'!$D$27+'Incremental_Cost Year 8'!AJ17+'Incremental_Cost Year 8'!AL17+AK17</f>
        <v>0</v>
      </c>
      <c r="AN17" s="127">
        <f>AM17*'1. Standard_Cost'!$C$31</f>
        <v>0</v>
      </c>
      <c r="AO17" s="249"/>
      <c r="AQ17" s="171">
        <f>L17+M17</f>
        <v>0</v>
      </c>
      <c r="AR17" s="171">
        <f>AF17</f>
        <v>0</v>
      </c>
      <c r="AS17" s="171">
        <f>AM17+AN17</f>
        <v>0</v>
      </c>
      <c r="AT17" s="171">
        <f>SUM(AQ17,AR17,AS17)</f>
        <v>0</v>
      </c>
      <c r="AU17" s="250"/>
      <c r="AV17" s="250"/>
      <c r="AW17" s="250"/>
      <c r="AX17" s="250"/>
      <c r="AY17" s="250"/>
      <c r="AZ17" s="250"/>
      <c r="BA17" s="250"/>
      <c r="BB17" s="251">
        <f t="shared" ref="BB17:BB18" si="10">SUM(AU17:BA17)-AT17</f>
        <v>0</v>
      </c>
      <c r="BC17" s="169"/>
      <c r="BD17" s="169"/>
      <c r="BE17" s="169"/>
      <c r="BF17" s="169"/>
    </row>
    <row r="18" spans="1:58" ht="61.9" customHeight="1" outlineLevel="2" x14ac:dyDescent="0.25">
      <c r="A18" s="115"/>
      <c r="B18" s="200"/>
      <c r="C18" s="201"/>
      <c r="D18" s="221"/>
      <c r="E18" s="121"/>
      <c r="F18" s="122"/>
      <c r="G18" s="123"/>
      <c r="H18" s="199" t="s">
        <v>381</v>
      </c>
      <c r="I18" s="130"/>
      <c r="J18" s="126"/>
      <c r="K18" s="126"/>
      <c r="L18" s="125" t="str">
        <f>IF(I18&lt;&gt;0,((VLOOKUP(I18,'1. Standard_Cost'!$B$4:$D$11,2)+VLOOKUP(I18,'1. Standard_Cost'!$B$4:$D$11,3))*J18*K18),"0")</f>
        <v>0</v>
      </c>
      <c r="M18" s="125">
        <f>L18*'1. Standard_Cost'!$F$4</f>
        <v>0</v>
      </c>
      <c r="N18" s="126"/>
      <c r="O18" s="126"/>
      <c r="P18" s="126"/>
      <c r="Q18" s="126"/>
      <c r="R18" s="127">
        <f>'1. Standard_Cost'!$B$15*N18*P18</f>
        <v>0</v>
      </c>
      <c r="S18" s="127">
        <f>N18*O18*P18*'1. Standard_Cost'!$C$15</f>
        <v>0</v>
      </c>
      <c r="T18" s="127">
        <f>N18*P18*Q18*'1. Standard_Cost'!$D$15</f>
        <v>0</v>
      </c>
      <c r="U18" s="127">
        <f>N18*O18*'1. Standard_Cost'!$E$15</f>
        <v>0</v>
      </c>
      <c r="V18" s="126"/>
      <c r="W18" s="126"/>
      <c r="X18" s="126"/>
      <c r="Y18" s="127">
        <f>+V18*((X18*'1. Standard_Cost'!$B$19)+(W18*X18*'1. Standard_Cost'!$C$19))</f>
        <v>0</v>
      </c>
      <c r="Z18" s="126"/>
      <c r="AA18" s="126"/>
      <c r="AB18" s="127">
        <f>+Z18*'1. Standard_Cost'!$B$23+AA18*'1. Standard_Cost'!$C$23</f>
        <v>0</v>
      </c>
      <c r="AC18" s="128"/>
      <c r="AD18" s="129"/>
      <c r="AE18" s="127">
        <f>SUM(AD18,AC18,AB18,Y18,U18,T18,S18,R18)*'1. Standard_Cost'!$B$31</f>
        <v>0</v>
      </c>
      <c r="AF18" s="127">
        <f>SUM(AE18,AD18,AC18,AB18,Y18,U18,T18,S18,R18)</f>
        <v>0</v>
      </c>
      <c r="AG18" s="126"/>
      <c r="AH18" s="126"/>
      <c r="AI18" s="126"/>
      <c r="AJ18" s="130"/>
      <c r="AK18" s="130"/>
      <c r="AL18" s="130"/>
      <c r="AM18" s="127">
        <f>AG18*'1. Standard_Cost'!$B$27+'Incremental_Cost Year 8'!AH18*'1. Standard_Cost'!$C$27+'Incremental_Cost Year 8'!AI18*'1. Standard_Cost'!$D$27+'Incremental_Cost Year 8'!AJ18+'Incremental_Cost Year 8'!AL18+AK18</f>
        <v>0</v>
      </c>
      <c r="AN18" s="127">
        <f>AM18*'1. Standard_Cost'!$C$31</f>
        <v>0</v>
      </c>
      <c r="AO18" s="130"/>
      <c r="AQ18" s="171">
        <f>L18+M18</f>
        <v>0</v>
      </c>
      <c r="AR18" s="171">
        <f>AF18</f>
        <v>0</v>
      </c>
      <c r="AS18" s="171">
        <f>AM18+AN18</f>
        <v>0</v>
      </c>
      <c r="AT18" s="171">
        <f>SUM(AQ18,AR18,AS18)</f>
        <v>0</v>
      </c>
      <c r="AU18" s="250">
        <f>AQ18</f>
        <v>0</v>
      </c>
      <c r="AV18" s="250"/>
      <c r="AW18" s="250"/>
      <c r="AX18" s="250"/>
      <c r="AY18" s="250"/>
      <c r="AZ18" s="250"/>
      <c r="BA18" s="250"/>
      <c r="BB18" s="251">
        <f t="shared" si="10"/>
        <v>0</v>
      </c>
      <c r="BC18" s="169"/>
      <c r="BD18" s="169"/>
      <c r="BE18" s="169"/>
      <c r="BF18" s="169"/>
    </row>
    <row r="19" spans="1:58" ht="61.9" customHeight="1" outlineLevel="1" x14ac:dyDescent="0.25">
      <c r="A19" s="115"/>
      <c r="B19" s="200"/>
      <c r="C19" s="201"/>
      <c r="D19" s="107" t="s">
        <v>240</v>
      </c>
      <c r="E19" s="139" t="s">
        <v>193</v>
      </c>
      <c r="F19" s="136">
        <v>2024</v>
      </c>
      <c r="G19" s="117">
        <v>2027</v>
      </c>
      <c r="H19" s="134" t="s">
        <v>194</v>
      </c>
      <c r="I19" s="252"/>
      <c r="J19" s="252"/>
      <c r="K19" s="252"/>
      <c r="L19" s="127">
        <f>SUM(L17:L18)</f>
        <v>0</v>
      </c>
      <c r="M19" s="127">
        <f>SUM(M17:M18)</f>
        <v>0</v>
      </c>
      <c r="N19" s="127"/>
      <c r="O19" s="252"/>
      <c r="P19" s="252"/>
      <c r="Q19" s="252"/>
      <c r="R19" s="127">
        <f>SUM(R17:R18)</f>
        <v>0</v>
      </c>
      <c r="S19" s="127">
        <f>SUM(S17:S18)</f>
        <v>0</v>
      </c>
      <c r="T19" s="127">
        <f>SUM(T17:T18)</f>
        <v>0</v>
      </c>
      <c r="U19" s="127">
        <f>SUM(U17:U18)</f>
        <v>0</v>
      </c>
      <c r="V19" s="252"/>
      <c r="W19" s="252"/>
      <c r="X19" s="252"/>
      <c r="Y19" s="127">
        <f>SUM(Y17:Y18)</f>
        <v>0</v>
      </c>
      <c r="Z19" s="252"/>
      <c r="AA19" s="252"/>
      <c r="AB19" s="127">
        <f>SUM(AB17:AB18)</f>
        <v>0</v>
      </c>
      <c r="AC19" s="127">
        <f>SUM(AC17:AC18)</f>
        <v>0</v>
      </c>
      <c r="AD19" s="127">
        <f>SUM(AD17:AD18)</f>
        <v>0</v>
      </c>
      <c r="AE19" s="127">
        <f>SUM(AE17:AE18)</f>
        <v>0</v>
      </c>
      <c r="AF19" s="127">
        <f>SUM(AF17:AF18)</f>
        <v>0</v>
      </c>
      <c r="AG19" s="252"/>
      <c r="AH19" s="252"/>
      <c r="AI19" s="252"/>
      <c r="AJ19" s="127">
        <f>SUM(AJ17:AJ18)</f>
        <v>0</v>
      </c>
      <c r="AK19" s="127">
        <f>SUM(AK17:AK18)</f>
        <v>0</v>
      </c>
      <c r="AL19" s="127">
        <f>SUM(AL17:AL18)</f>
        <v>0</v>
      </c>
      <c r="AM19" s="127">
        <f>SUM(AM17:AM18)</f>
        <v>0</v>
      </c>
      <c r="AN19" s="127">
        <f>SUM(AN17:AN18)</f>
        <v>0</v>
      </c>
      <c r="AO19" s="253"/>
      <c r="AP19" s="254"/>
      <c r="AQ19" s="175">
        <f>SUM(AQ17:AQ18)</f>
        <v>0</v>
      </c>
      <c r="AR19" s="175">
        <f>SUM(AR17:AR18)</f>
        <v>0</v>
      </c>
      <c r="AS19" s="175">
        <f>SUM(AS17:AS18)</f>
        <v>0</v>
      </c>
      <c r="AT19" s="175">
        <f>SUM(AT17:AT18)</f>
        <v>0</v>
      </c>
      <c r="AU19" s="175">
        <f t="shared" ref="AU19:BB19" si="11">SUM(AU17:AU18)</f>
        <v>0</v>
      </c>
      <c r="AV19" s="175">
        <f t="shared" si="11"/>
        <v>0</v>
      </c>
      <c r="AW19" s="175">
        <f>SUM(AW17:AW18)</f>
        <v>0</v>
      </c>
      <c r="AX19" s="175">
        <f t="shared" si="11"/>
        <v>0</v>
      </c>
      <c r="AY19" s="175">
        <f t="shared" si="11"/>
        <v>0</v>
      </c>
      <c r="AZ19" s="175">
        <f t="shared" si="11"/>
        <v>0</v>
      </c>
      <c r="BA19" s="175">
        <f t="shared" si="11"/>
        <v>0</v>
      </c>
      <c r="BB19" s="175">
        <f t="shared" si="11"/>
        <v>0</v>
      </c>
      <c r="BC19" s="169"/>
      <c r="BD19" s="169"/>
      <c r="BE19" s="169"/>
      <c r="BF19" s="169"/>
    </row>
    <row r="20" spans="1:58" s="170" customFormat="1" ht="61.9" customHeight="1" x14ac:dyDescent="0.25">
      <c r="A20" s="120"/>
      <c r="B20" s="290"/>
      <c r="C20" s="391" t="s">
        <v>195</v>
      </c>
      <c r="D20" s="391"/>
      <c r="E20" s="392"/>
      <c r="F20" s="288"/>
      <c r="G20" s="288"/>
      <c r="H20" s="114" t="s">
        <v>208</v>
      </c>
      <c r="I20" s="246"/>
      <c r="J20" s="246"/>
      <c r="K20" s="246"/>
      <c r="L20" s="247">
        <f>SUM(L25+L29+L37+L39)</f>
        <v>279312600</v>
      </c>
      <c r="M20" s="247">
        <f>SUM(M25+M29+M37+M39)</f>
        <v>46645204.200000003</v>
      </c>
      <c r="N20" s="247"/>
      <c r="O20" s="247"/>
      <c r="P20" s="247"/>
      <c r="Q20" s="247"/>
      <c r="R20" s="247">
        <f>SUM(R25+R29+R37+R39)</f>
        <v>0</v>
      </c>
      <c r="S20" s="247">
        <f>SUM(S25+S29+S37+S39)</f>
        <v>0</v>
      </c>
      <c r="T20" s="247">
        <f>SUM(T25+T29+T37+T39)</f>
        <v>0</v>
      </c>
      <c r="U20" s="247">
        <f>SUM(U25+U29+U37+U39)</f>
        <v>0</v>
      </c>
      <c r="V20" s="247"/>
      <c r="W20" s="247"/>
      <c r="X20" s="247"/>
      <c r="Y20" s="247">
        <f>SUM(Y25+Y29+Y37+Y39)</f>
        <v>0</v>
      </c>
      <c r="Z20" s="247">
        <f t="shared" ref="Z20:AA20" si="12">SUM(Z25+Z29+Z37+Z39)</f>
        <v>0</v>
      </c>
      <c r="AA20" s="247">
        <f t="shared" si="12"/>
        <v>0</v>
      </c>
      <c r="AB20" s="247">
        <f t="shared" ref="AB20:AF20" si="13">SUM(AB25+AB29+AB37+AB39)</f>
        <v>0</v>
      </c>
      <c r="AC20" s="247">
        <f t="shared" si="13"/>
        <v>1056946503</v>
      </c>
      <c r="AD20" s="247">
        <f t="shared" si="13"/>
        <v>0</v>
      </c>
      <c r="AE20" s="247">
        <f t="shared" si="13"/>
        <v>570000</v>
      </c>
      <c r="AF20" s="247">
        <f t="shared" si="13"/>
        <v>1057516503</v>
      </c>
      <c r="AG20" s="247"/>
      <c r="AH20" s="247"/>
      <c r="AI20" s="247"/>
      <c r="AJ20" s="247">
        <f>SUM(AJ25+AJ29+AJ37+AJ39)</f>
        <v>0</v>
      </c>
      <c r="AK20" s="247">
        <f>SUM(AK25+AK29+AK37+AK39)</f>
        <v>0</v>
      </c>
      <c r="AL20" s="247">
        <f>SUM(AL25+AL29+AL37+AL39)</f>
        <v>0</v>
      </c>
      <c r="AM20" s="247">
        <f>SUM(AM25+AM29+AM37+AM39)</f>
        <v>0</v>
      </c>
      <c r="AN20" s="247">
        <f>SUM(AN25+AN29+AN37+AN39)</f>
        <v>0</v>
      </c>
      <c r="AO20" s="247"/>
      <c r="AP20" s="244"/>
      <c r="AQ20" s="248">
        <f>SUM(AQ25+AQ29+AQ37+AQ39)</f>
        <v>325957804.19999999</v>
      </c>
      <c r="AR20" s="248">
        <f>SUM(AR25+AR29+AR37+AR39)</f>
        <v>1057516503</v>
      </c>
      <c r="AS20" s="248">
        <f>SUM(AS25+AS29+AS37+AS39)</f>
        <v>0</v>
      </c>
      <c r="AT20" s="248">
        <f>SUM(AT25+AT29+AT37+AT39)</f>
        <v>1383474307.1999998</v>
      </c>
      <c r="AU20" s="248">
        <f t="shared" ref="AU20:BB20" si="14">SUM(AU25+AU29+AU37+AU39)</f>
        <v>1383474307.1999998</v>
      </c>
      <c r="AV20" s="248">
        <f t="shared" si="14"/>
        <v>0</v>
      </c>
      <c r="AW20" s="248">
        <f>SUM(AW25+AW29+AW37+AW39)</f>
        <v>0</v>
      </c>
      <c r="AX20" s="248">
        <f t="shared" si="14"/>
        <v>0</v>
      </c>
      <c r="AY20" s="248">
        <f t="shared" si="14"/>
        <v>0</v>
      </c>
      <c r="AZ20" s="248">
        <f t="shared" si="14"/>
        <v>0</v>
      </c>
      <c r="BA20" s="248">
        <f t="shared" si="14"/>
        <v>0</v>
      </c>
      <c r="BB20" s="248">
        <f t="shared" si="14"/>
        <v>0</v>
      </c>
    </row>
    <row r="21" spans="1:58" ht="61.9" customHeight="1" outlineLevel="2" x14ac:dyDescent="0.25">
      <c r="A21" s="115"/>
      <c r="B21" s="200"/>
      <c r="C21" s="201"/>
      <c r="D21" s="135"/>
      <c r="E21" s="219"/>
      <c r="F21" s="219"/>
      <c r="G21" s="313"/>
      <c r="H21" s="199" t="s">
        <v>382</v>
      </c>
      <c r="I21" s="130"/>
      <c r="J21" s="126"/>
      <c r="K21" s="126"/>
      <c r="L21" s="125" t="str">
        <f>IF(I21&lt;&gt;0,((VLOOKUP(I21,'1. Standard_Cost'!$B$4:$D$11,2)+VLOOKUP(I21,'1. Standard_Cost'!$B$4:$D$11,3))*J21*K21),"0")</f>
        <v>0</v>
      </c>
      <c r="M21" s="125">
        <f>L21*'1. Standard_Cost'!$F$4</f>
        <v>0</v>
      </c>
      <c r="N21" s="126"/>
      <c r="O21" s="126"/>
      <c r="P21" s="126"/>
      <c r="Q21" s="126"/>
      <c r="R21" s="127">
        <f>'1. Standard_Cost'!$B$15*N21*P21</f>
        <v>0</v>
      </c>
      <c r="S21" s="127">
        <f>N21*O21*P21*'1. Standard_Cost'!$C$15</f>
        <v>0</v>
      </c>
      <c r="T21" s="127">
        <f>N21*P21*Q21*'1. Standard_Cost'!$D$15</f>
        <v>0</v>
      </c>
      <c r="U21" s="127">
        <f>N21*O21*'1. Standard_Cost'!$E$15</f>
        <v>0</v>
      </c>
      <c r="V21" s="126"/>
      <c r="W21" s="126"/>
      <c r="X21" s="126"/>
      <c r="Y21" s="127">
        <f>+V21*((X21*'1. Standard_Cost'!$B$19)+(W21*X21*'1. Standard_Cost'!$C$19))</f>
        <v>0</v>
      </c>
      <c r="Z21" s="126"/>
      <c r="AA21" s="126"/>
      <c r="AB21" s="127">
        <f>+Z21*'1. Standard_Cost'!$B$23+AA21*'1. Standard_Cost'!$C$23</f>
        <v>0</v>
      </c>
      <c r="AC21" s="128">
        <v>299855914</v>
      </c>
      <c r="AD21" s="129"/>
      <c r="AE21" s="127">
        <v>0</v>
      </c>
      <c r="AF21" s="127">
        <f>SUM(AE21,AD21,AC21,AB21,Y21,U21,T21,S21,R21)</f>
        <v>299855914</v>
      </c>
      <c r="AG21" s="126"/>
      <c r="AH21" s="126"/>
      <c r="AI21" s="126"/>
      <c r="AJ21" s="130"/>
      <c r="AK21" s="130"/>
      <c r="AL21" s="130"/>
      <c r="AM21" s="127">
        <f>AG21*'1. Standard_Cost'!$B$27+'Incremental_Cost Year 8'!AH21*'1. Standard_Cost'!$C$27+'Incremental_Cost Year 8'!AI21*'1. Standard_Cost'!$D$27+'Incremental_Cost Year 8'!AJ21+'Incremental_Cost Year 8'!AL21+AK21</f>
        <v>0</v>
      </c>
      <c r="AN21" s="127">
        <f>AM21*'1. Standard_Cost'!$C$31</f>
        <v>0</v>
      </c>
      <c r="AO21" s="249"/>
      <c r="AQ21" s="171">
        <f>L21+M21</f>
        <v>0</v>
      </c>
      <c r="AR21" s="171">
        <f>AF21</f>
        <v>299855914</v>
      </c>
      <c r="AS21" s="171">
        <f>AM21+AN21</f>
        <v>0</v>
      </c>
      <c r="AT21" s="171">
        <f>SUM(AQ21,AR21,AS21)</f>
        <v>299855914</v>
      </c>
      <c r="AU21" s="250">
        <v>299855914</v>
      </c>
      <c r="AV21" s="250"/>
      <c r="AW21" s="250"/>
      <c r="AX21" s="250"/>
      <c r="AY21" s="250"/>
      <c r="AZ21" s="250"/>
      <c r="BA21" s="250"/>
      <c r="BB21" s="251">
        <f t="shared" ref="BB21:BB24" si="15">SUM(AU21:BA21)-AT21</f>
        <v>0</v>
      </c>
      <c r="BC21" s="169"/>
      <c r="BD21" s="169"/>
      <c r="BE21" s="169"/>
      <c r="BF21" s="169"/>
    </row>
    <row r="22" spans="1:58" ht="61.9" customHeight="1" outlineLevel="2" x14ac:dyDescent="0.25">
      <c r="A22" s="115"/>
      <c r="B22" s="200"/>
      <c r="C22" s="201"/>
      <c r="D22" s="135"/>
      <c r="E22" s="219"/>
      <c r="F22" s="219"/>
      <c r="G22" s="313"/>
      <c r="H22" s="199" t="s">
        <v>225</v>
      </c>
      <c r="I22" s="130" t="s">
        <v>3</v>
      </c>
      <c r="J22" s="126">
        <v>12</v>
      </c>
      <c r="K22" s="126">
        <v>10</v>
      </c>
      <c r="L22" s="125">
        <f>IF(I22&lt;&gt;0,((VLOOKUP(I22,'1. Standard_Cost'!$B$4:$D$11,2)+VLOOKUP(I22,'1. Standard_Cost'!$B$4:$D$11,3))*J22*K22),"0")</f>
        <v>12096000</v>
      </c>
      <c r="M22" s="125">
        <f>L22*'1. Standard_Cost'!$F$4</f>
        <v>2020032</v>
      </c>
      <c r="N22" s="126"/>
      <c r="O22" s="126"/>
      <c r="P22" s="126"/>
      <c r="Q22" s="126"/>
      <c r="R22" s="127">
        <f>'1. Standard_Cost'!$B$15*N22*P22</f>
        <v>0</v>
      </c>
      <c r="S22" s="127">
        <f>N22*O22*P22*'1. Standard_Cost'!$C$15</f>
        <v>0</v>
      </c>
      <c r="T22" s="127">
        <f>N22*P22*Q22*'1. Standard_Cost'!$D$15</f>
        <v>0</v>
      </c>
      <c r="U22" s="127">
        <f>N22*O22*'1. Standard_Cost'!$E$15</f>
        <v>0</v>
      </c>
      <c r="V22" s="126"/>
      <c r="W22" s="126"/>
      <c r="X22" s="126"/>
      <c r="Y22" s="127">
        <f>+V22*((X22*'1. Standard_Cost'!$B$19)+(W22*X22*'1. Standard_Cost'!$C$19))</f>
        <v>0</v>
      </c>
      <c r="Z22" s="126"/>
      <c r="AA22" s="126"/>
      <c r="AB22" s="127">
        <f>+Z22*'1. Standard_Cost'!$B$23+AA22*'1. Standard_Cost'!$C$23</f>
        <v>0</v>
      </c>
      <c r="AC22" s="128">
        <v>50000</v>
      </c>
      <c r="AD22" s="129"/>
      <c r="AE22" s="127">
        <f>SUM(AD22,AC22,AB22,Y22,U22,T22,S22,R22)*'1. Standard_Cost'!$B$31</f>
        <v>10000</v>
      </c>
      <c r="AF22" s="127">
        <f>SUM(AE22,AD22,AC22,AB22,Y22,U22,T22,S22,R22)</f>
        <v>60000</v>
      </c>
      <c r="AG22" s="126"/>
      <c r="AH22" s="126"/>
      <c r="AI22" s="126"/>
      <c r="AJ22" s="130"/>
      <c r="AK22" s="130"/>
      <c r="AL22" s="130"/>
      <c r="AM22" s="127">
        <f>AG22*'1. Standard_Cost'!$B$27+'Incremental_Cost Year 8'!AH22*'1. Standard_Cost'!$C$27+'Incremental_Cost Year 8'!AI22*'1. Standard_Cost'!$D$27+'Incremental_Cost Year 8'!AJ22+'Incremental_Cost Year 8'!AL22+AK22</f>
        <v>0</v>
      </c>
      <c r="AN22" s="127">
        <f>AM22*'1. Standard_Cost'!$C$31</f>
        <v>0</v>
      </c>
      <c r="AO22" s="249"/>
      <c r="AQ22" s="171">
        <f>L22+M22</f>
        <v>14116032</v>
      </c>
      <c r="AR22" s="171">
        <f>AF22</f>
        <v>60000</v>
      </c>
      <c r="AS22" s="171">
        <f>AM22+AN22</f>
        <v>0</v>
      </c>
      <c r="AT22" s="171">
        <f>SUM(AQ22,AR22,AS22)</f>
        <v>14176032</v>
      </c>
      <c r="AU22" s="250">
        <f>AT22</f>
        <v>14176032</v>
      </c>
      <c r="AV22" s="250"/>
      <c r="AW22" s="250"/>
      <c r="AX22" s="250"/>
      <c r="AY22" s="250"/>
      <c r="AZ22" s="250"/>
      <c r="BA22" s="250"/>
      <c r="BB22" s="251">
        <f t="shared" si="15"/>
        <v>0</v>
      </c>
      <c r="BC22" s="169"/>
      <c r="BD22" s="169"/>
      <c r="BE22" s="169"/>
      <c r="BF22" s="169"/>
    </row>
    <row r="23" spans="1:58" ht="61.9" customHeight="1" outlineLevel="2" x14ac:dyDescent="0.25">
      <c r="A23" s="115"/>
      <c r="B23" s="200"/>
      <c r="C23" s="201"/>
      <c r="D23" s="135"/>
      <c r="E23" s="219"/>
      <c r="F23" s="219"/>
      <c r="G23" s="313"/>
      <c r="H23" s="199" t="s">
        <v>383</v>
      </c>
      <c r="I23" s="130" t="s">
        <v>5</v>
      </c>
      <c r="J23" s="126">
        <v>12</v>
      </c>
      <c r="K23" s="126">
        <v>36</v>
      </c>
      <c r="L23" s="125">
        <f>IF(I23&lt;&gt;0,((VLOOKUP(I23,'1. Standard_Cost'!$B$4:$D$11,2)+VLOOKUP(I23,'1. Standard_Cost'!$B$4:$D$11,3))*J23*K23),"0")</f>
        <v>30542400</v>
      </c>
      <c r="M23" s="125">
        <f>L23*'1. Standard_Cost'!$F$4</f>
        <v>5100580.8000000007</v>
      </c>
      <c r="N23" s="126"/>
      <c r="O23" s="126"/>
      <c r="P23" s="126"/>
      <c r="Q23" s="126"/>
      <c r="R23" s="127">
        <f>'1. Standard_Cost'!$B$15*N23*P23</f>
        <v>0</v>
      </c>
      <c r="S23" s="127">
        <f>N23*O23*P23*'1. Standard_Cost'!$C$15</f>
        <v>0</v>
      </c>
      <c r="T23" s="127">
        <f>N23*P23*Q23*'1. Standard_Cost'!$D$15</f>
        <v>0</v>
      </c>
      <c r="U23" s="127">
        <f>N23*O23*'1. Standard_Cost'!$E$15</f>
        <v>0</v>
      </c>
      <c r="V23" s="126"/>
      <c r="W23" s="126"/>
      <c r="X23" s="126"/>
      <c r="Y23" s="127">
        <f>+V23*((X23*'1. Standard_Cost'!$B$19)+(W23*X23*'1. Standard_Cost'!$C$19))</f>
        <v>0</v>
      </c>
      <c r="Z23" s="126"/>
      <c r="AA23" s="126"/>
      <c r="AB23" s="127">
        <f>+Z23*'1. Standard_Cost'!$B$23+AA23*'1. Standard_Cost'!$C$23</f>
        <v>0</v>
      </c>
      <c r="AC23" s="128">
        <f>50000*36</f>
        <v>1800000</v>
      </c>
      <c r="AD23" s="129"/>
      <c r="AE23" s="127">
        <f>SUM(AD23,AC23,AB23,Y23,U23,T23,S23,R23)*'1. Standard_Cost'!$B$31</f>
        <v>360000</v>
      </c>
      <c r="AF23" s="127">
        <f>SUM(AE23,AD23,AC23,AB23,Y23,U23,T23,S23,R23)</f>
        <v>2160000</v>
      </c>
      <c r="AG23" s="126"/>
      <c r="AH23" s="126"/>
      <c r="AI23" s="126"/>
      <c r="AJ23" s="130"/>
      <c r="AK23" s="130"/>
      <c r="AL23" s="130"/>
      <c r="AM23" s="127">
        <f>AG23*'1. Standard_Cost'!$B$27+'Incremental_Cost Year 8'!AH23*'1. Standard_Cost'!$C$27+'Incremental_Cost Year 8'!AI23*'1. Standard_Cost'!$D$27+'Incremental_Cost Year 8'!AJ23+'Incremental_Cost Year 8'!AL23+AK23</f>
        <v>0</v>
      </c>
      <c r="AN23" s="127">
        <f>AM23*'1. Standard_Cost'!$C$31</f>
        <v>0</v>
      </c>
      <c r="AO23" s="249"/>
      <c r="AQ23" s="171">
        <f>L23+M23</f>
        <v>35642980.799999997</v>
      </c>
      <c r="AR23" s="171">
        <f>AF23</f>
        <v>2160000</v>
      </c>
      <c r="AS23" s="171">
        <f>AM23+AN23</f>
        <v>0</v>
      </c>
      <c r="AT23" s="171">
        <f>SUM(AQ23,AR23,AS23)</f>
        <v>37802980.799999997</v>
      </c>
      <c r="AU23" s="250">
        <f>AT23</f>
        <v>37802980.799999997</v>
      </c>
      <c r="AV23" s="250"/>
      <c r="AW23" s="250"/>
      <c r="AX23" s="250"/>
      <c r="AY23" s="250"/>
      <c r="AZ23" s="250"/>
      <c r="BA23" s="250"/>
      <c r="BB23" s="251">
        <f t="shared" si="15"/>
        <v>0</v>
      </c>
      <c r="BC23" s="169"/>
      <c r="BD23" s="169"/>
      <c r="BE23" s="169"/>
      <c r="BF23" s="169"/>
    </row>
    <row r="24" spans="1:58" ht="21" customHeight="1" outlineLevel="2" x14ac:dyDescent="0.25">
      <c r="A24" s="115"/>
      <c r="B24" s="200"/>
      <c r="C24" s="201"/>
      <c r="D24" s="211"/>
      <c r="E24" s="124"/>
      <c r="F24" s="140"/>
      <c r="G24" s="351"/>
      <c r="H24" s="199"/>
      <c r="I24" s="130"/>
      <c r="J24" s="126"/>
      <c r="K24" s="126"/>
      <c r="L24" s="125" t="str">
        <f>IF(I24&lt;&gt;0,((VLOOKUP(I24,'1. Standard_Cost'!$B$4:$D$11,2)+VLOOKUP(I24,'1. Standard_Cost'!$B$4:$D$11,3))*J24*K24),"0")</f>
        <v>0</v>
      </c>
      <c r="M24" s="125">
        <f>L24*'1. Standard_Cost'!$F$4</f>
        <v>0</v>
      </c>
      <c r="N24" s="126"/>
      <c r="O24" s="126"/>
      <c r="P24" s="126"/>
      <c r="Q24" s="126"/>
      <c r="R24" s="127">
        <f>'1. Standard_Cost'!$B$15*N24*P24</f>
        <v>0</v>
      </c>
      <c r="S24" s="127">
        <f>N24*O24*P24*'1. Standard_Cost'!$C$15</f>
        <v>0</v>
      </c>
      <c r="T24" s="127">
        <f>N24*P24*Q24*'1. Standard_Cost'!$D$15</f>
        <v>0</v>
      </c>
      <c r="U24" s="127">
        <f>N24*O24*'1. Standard_Cost'!$E$15</f>
        <v>0</v>
      </c>
      <c r="V24" s="126"/>
      <c r="W24" s="126"/>
      <c r="X24" s="126"/>
      <c r="Y24" s="127">
        <f>+V24*((X24*'1. Standard_Cost'!$B$19)+(W24*X24*'1. Standard_Cost'!$C$19))</f>
        <v>0</v>
      </c>
      <c r="Z24" s="126"/>
      <c r="AA24" s="126"/>
      <c r="AB24" s="127">
        <f>+Z24*'1. Standard_Cost'!$B$23+AA24*'1. Standard_Cost'!$C$23</f>
        <v>0</v>
      </c>
      <c r="AC24" s="128"/>
      <c r="AD24" s="129"/>
      <c r="AE24" s="127">
        <f>SUM(AD24,AC24,AB24,Y24,U24,T24,S24,R24)*'1. Standard_Cost'!$B$31</f>
        <v>0</v>
      </c>
      <c r="AF24" s="127">
        <f>SUM(AE24,AD24,AC24,AB24,Y24,U24,T24,S24,R24)</f>
        <v>0</v>
      </c>
      <c r="AG24" s="126"/>
      <c r="AH24" s="126"/>
      <c r="AI24" s="126"/>
      <c r="AJ24" s="130"/>
      <c r="AK24" s="130"/>
      <c r="AL24" s="130"/>
      <c r="AM24" s="127">
        <f>AG24*'1. Standard_Cost'!$B$27+'Incremental_Cost Year 8'!AH24*'1. Standard_Cost'!$C$27+'Incremental_Cost Year 8'!AI24*'1. Standard_Cost'!$D$27+'Incremental_Cost Year 8'!AJ24+'Incremental_Cost Year 8'!AL24+AK24</f>
        <v>0</v>
      </c>
      <c r="AN24" s="127">
        <f>AM24*'1. Standard_Cost'!$C$31</f>
        <v>0</v>
      </c>
      <c r="AO24" s="130"/>
      <c r="AQ24" s="171">
        <f>L24+M24</f>
        <v>0</v>
      </c>
      <c r="AR24" s="171">
        <f>AF24</f>
        <v>0</v>
      </c>
      <c r="AS24" s="171">
        <f>AM24+AN24</f>
        <v>0</v>
      </c>
      <c r="AT24" s="171">
        <f>SUM(AQ24,AR24,AS24)</f>
        <v>0</v>
      </c>
      <c r="AU24" s="250">
        <f>AT24</f>
        <v>0</v>
      </c>
      <c r="AV24" s="250"/>
      <c r="AW24" s="250"/>
      <c r="AX24" s="250"/>
      <c r="AY24" s="250"/>
      <c r="AZ24" s="250"/>
      <c r="BA24" s="250"/>
      <c r="BB24" s="251">
        <f t="shared" si="15"/>
        <v>0</v>
      </c>
      <c r="BC24" s="169"/>
      <c r="BD24" s="169"/>
      <c r="BE24" s="169"/>
      <c r="BF24" s="169"/>
    </row>
    <row r="25" spans="1:58" ht="61.9" customHeight="1" outlineLevel="1" x14ac:dyDescent="0.25">
      <c r="A25" s="115"/>
      <c r="B25" s="165"/>
      <c r="C25" s="166"/>
      <c r="D25" s="150" t="s">
        <v>384</v>
      </c>
      <c r="E25" s="139" t="s">
        <v>196</v>
      </c>
      <c r="F25" s="222">
        <v>2021</v>
      </c>
      <c r="G25" s="117">
        <v>2030</v>
      </c>
      <c r="H25" s="134" t="s">
        <v>197</v>
      </c>
      <c r="I25" s="252"/>
      <c r="J25" s="252"/>
      <c r="K25" s="252"/>
      <c r="L25" s="127">
        <f>SUM(L21:L24)</f>
        <v>42638400</v>
      </c>
      <c r="M25" s="127">
        <f>SUM(M21:M24)</f>
        <v>7120612.8000000007</v>
      </c>
      <c r="N25" s="127"/>
      <c r="O25" s="252"/>
      <c r="P25" s="252"/>
      <c r="Q25" s="252"/>
      <c r="R25" s="127">
        <f>SUM(R21:R24)</f>
        <v>0</v>
      </c>
      <c r="S25" s="127">
        <f>SUM(S21:S24)</f>
        <v>0</v>
      </c>
      <c r="T25" s="127">
        <f>SUM(T21:T24)</f>
        <v>0</v>
      </c>
      <c r="U25" s="127">
        <f>SUM(U21:U24)</f>
        <v>0</v>
      </c>
      <c r="V25" s="252"/>
      <c r="W25" s="252"/>
      <c r="X25" s="252"/>
      <c r="Y25" s="127">
        <f>SUM(Y21:Y24)</f>
        <v>0</v>
      </c>
      <c r="Z25" s="252"/>
      <c r="AA25" s="252"/>
      <c r="AB25" s="127">
        <f>SUM(AB21:AB24)</f>
        <v>0</v>
      </c>
      <c r="AC25" s="127">
        <f>SUM(AC21:AC24)</f>
        <v>301705914</v>
      </c>
      <c r="AD25" s="127">
        <f>SUM(AD21:AD24)</f>
        <v>0</v>
      </c>
      <c r="AE25" s="127">
        <f>SUM(AE21:AE24)</f>
        <v>370000</v>
      </c>
      <c r="AF25" s="127">
        <f>SUM(AF21:AF24)</f>
        <v>302075914</v>
      </c>
      <c r="AG25" s="252"/>
      <c r="AH25" s="252"/>
      <c r="AI25" s="252"/>
      <c r="AJ25" s="127">
        <f>SUM(AJ21:AJ24)</f>
        <v>0</v>
      </c>
      <c r="AK25" s="127">
        <f>SUM(AK21:AK24)</f>
        <v>0</v>
      </c>
      <c r="AL25" s="127">
        <f>SUM(AL21:AL24)</f>
        <v>0</v>
      </c>
      <c r="AM25" s="127">
        <f>SUM(AM21:AM24)</f>
        <v>0</v>
      </c>
      <c r="AN25" s="127">
        <f>SUM(AN21:AN24)</f>
        <v>0</v>
      </c>
      <c r="AO25" s="253"/>
      <c r="AP25" s="254"/>
      <c r="AQ25" s="175">
        <f>SUM(AQ21:AQ24)</f>
        <v>49759012.799999997</v>
      </c>
      <c r="AR25" s="175">
        <f>SUM(AR21:AR24)</f>
        <v>302075914</v>
      </c>
      <c r="AS25" s="175">
        <f>SUM(AS21:AS24)</f>
        <v>0</v>
      </c>
      <c r="AT25" s="175">
        <f>SUM(AT21:AT24)</f>
        <v>351834926.80000001</v>
      </c>
      <c r="AU25" s="175">
        <f t="shared" ref="AU25:BB25" si="16">SUM(AU21:AU24)</f>
        <v>351834926.80000001</v>
      </c>
      <c r="AV25" s="175">
        <f t="shared" si="16"/>
        <v>0</v>
      </c>
      <c r="AW25" s="175">
        <f>SUM(AW21:AW24)</f>
        <v>0</v>
      </c>
      <c r="AX25" s="175">
        <f t="shared" si="16"/>
        <v>0</v>
      </c>
      <c r="AY25" s="175">
        <f t="shared" si="16"/>
        <v>0</v>
      </c>
      <c r="AZ25" s="175">
        <f t="shared" si="16"/>
        <v>0</v>
      </c>
      <c r="BA25" s="175">
        <f t="shared" si="16"/>
        <v>0</v>
      </c>
      <c r="BB25" s="175">
        <f t="shared" si="16"/>
        <v>0</v>
      </c>
      <c r="BC25" s="169"/>
      <c r="BD25" s="169"/>
      <c r="BE25" s="169"/>
      <c r="BF25" s="169"/>
    </row>
    <row r="26" spans="1:58" ht="61.9" customHeight="1" outlineLevel="2" x14ac:dyDescent="0.25">
      <c r="A26" s="115"/>
      <c r="B26" s="200"/>
      <c r="C26" s="201"/>
      <c r="D26" s="138"/>
      <c r="E26" s="219"/>
      <c r="F26" s="219"/>
      <c r="G26" s="313"/>
      <c r="H26" s="199" t="s">
        <v>385</v>
      </c>
      <c r="I26" s="130"/>
      <c r="J26" s="126"/>
      <c r="K26" s="126"/>
      <c r="L26" s="125" t="str">
        <f>IF(I26&lt;&gt;0,((VLOOKUP(I26,'1. Standard_Cost'!$B$4:$D$11,2)+VLOOKUP(I26,'1. Standard_Cost'!$B$4:$D$11,3))*J26*K26),"0")</f>
        <v>0</v>
      </c>
      <c r="M26" s="125">
        <f>L26*'1. Standard_Cost'!$F$4</f>
        <v>0</v>
      </c>
      <c r="N26" s="126"/>
      <c r="O26" s="126"/>
      <c r="P26" s="126"/>
      <c r="Q26" s="126"/>
      <c r="R26" s="127">
        <f>'1. Standard_Cost'!$B$15*N26*P26</f>
        <v>0</v>
      </c>
      <c r="S26" s="127">
        <f>N26*O26*P26*'1. Standard_Cost'!$C$15</f>
        <v>0</v>
      </c>
      <c r="T26" s="127">
        <f>N26*P26*Q26*'1. Standard_Cost'!$D$15</f>
        <v>0</v>
      </c>
      <c r="U26" s="127">
        <f>N26*O26*'1. Standard_Cost'!$E$15</f>
        <v>0</v>
      </c>
      <c r="V26" s="126"/>
      <c r="W26" s="126"/>
      <c r="X26" s="126"/>
      <c r="Y26" s="127">
        <f>+V26*((X26*'1. Standard_Cost'!$B$19)+(W26*X26*'1. Standard_Cost'!$C$19))</f>
        <v>0</v>
      </c>
      <c r="Z26" s="126"/>
      <c r="AA26" s="126"/>
      <c r="AB26" s="127">
        <f>+Z26*'1. Standard_Cost'!$B$23+AA26*'1. Standard_Cost'!$C$23</f>
        <v>0</v>
      </c>
      <c r="AC26" s="128">
        <v>252479610</v>
      </c>
      <c r="AD26" s="129"/>
      <c r="AE26" s="127">
        <v>0</v>
      </c>
      <c r="AF26" s="127">
        <f>SUM(AE26,AD26,AC26,AB26,Y26,U26,T26,S26,R26)</f>
        <v>252479610</v>
      </c>
      <c r="AG26" s="126"/>
      <c r="AH26" s="126"/>
      <c r="AI26" s="126"/>
      <c r="AJ26" s="130"/>
      <c r="AK26" s="130"/>
      <c r="AL26" s="130"/>
      <c r="AM26" s="127">
        <f>AG26*'1. Standard_Cost'!$B$27+'Incremental_Cost Year 8'!AH26*'1. Standard_Cost'!$C$27+'Incremental_Cost Year 8'!AI26*'1. Standard_Cost'!$D$27+'Incremental_Cost Year 8'!AJ26+'Incremental_Cost Year 8'!AL26+AK26</f>
        <v>0</v>
      </c>
      <c r="AN26" s="127">
        <f>AM26*'1. Standard_Cost'!$C$31</f>
        <v>0</v>
      </c>
      <c r="AO26" s="249"/>
      <c r="AQ26" s="171">
        <f>L26+M26</f>
        <v>0</v>
      </c>
      <c r="AR26" s="171">
        <f>AF26</f>
        <v>252479610</v>
      </c>
      <c r="AS26" s="171">
        <f>AM26+AN26</f>
        <v>0</v>
      </c>
      <c r="AT26" s="171">
        <f>SUM(AQ26,AR26,AS26)</f>
        <v>252479610</v>
      </c>
      <c r="AU26" s="250">
        <f>AT26</f>
        <v>252479610</v>
      </c>
      <c r="AV26" s="250"/>
      <c r="AW26" s="250"/>
      <c r="AX26" s="250"/>
      <c r="AY26" s="250"/>
      <c r="AZ26" s="250"/>
      <c r="BA26" s="250"/>
      <c r="BB26" s="251">
        <f t="shared" ref="BB26:BB28" si="17">SUM(AU26:BA26)-AT26</f>
        <v>0</v>
      </c>
      <c r="BC26" s="169"/>
      <c r="BD26" s="169"/>
      <c r="BE26" s="169"/>
      <c r="BF26" s="169"/>
    </row>
    <row r="27" spans="1:58" ht="61.9" customHeight="1" outlineLevel="2" x14ac:dyDescent="0.25">
      <c r="A27" s="115"/>
      <c r="B27" s="200"/>
      <c r="C27" s="201"/>
      <c r="D27" s="135"/>
      <c r="E27" s="219"/>
      <c r="F27" s="219"/>
      <c r="G27" s="313"/>
      <c r="H27" s="199" t="s">
        <v>386</v>
      </c>
      <c r="I27" s="130"/>
      <c r="J27" s="126"/>
      <c r="K27" s="126"/>
      <c r="L27" s="125" t="str">
        <f>IF(I27&lt;&gt;0,((VLOOKUP(I27,'1. Standard_Cost'!$B$4:$D$11,2)+VLOOKUP(I27,'1. Standard_Cost'!$B$4:$D$11,3))*J27*K27),"0")</f>
        <v>0</v>
      </c>
      <c r="M27" s="125">
        <f>L27*'1. Standard_Cost'!$F$4</f>
        <v>0</v>
      </c>
      <c r="N27" s="126"/>
      <c r="O27" s="126"/>
      <c r="P27" s="126"/>
      <c r="Q27" s="126"/>
      <c r="R27" s="127">
        <f>'1. Standard_Cost'!$B$15*N27*P27</f>
        <v>0</v>
      </c>
      <c r="S27" s="127">
        <f>N27*O27*P27*'1. Standard_Cost'!$C$15</f>
        <v>0</v>
      </c>
      <c r="T27" s="127">
        <f>N27*P27*Q27*'1. Standard_Cost'!$D$15</f>
        <v>0</v>
      </c>
      <c r="U27" s="127">
        <f>N27*O27*'1. Standard_Cost'!$E$15</f>
        <v>0</v>
      </c>
      <c r="V27" s="126"/>
      <c r="W27" s="126"/>
      <c r="X27" s="126"/>
      <c r="Y27" s="127">
        <f>+V27*((X27*'1. Standard_Cost'!$B$19)+(W27*X27*'1. Standard_Cost'!$C$19))</f>
        <v>0</v>
      </c>
      <c r="Z27" s="126"/>
      <c r="AA27" s="126"/>
      <c r="AB27" s="127">
        <f>+Z27*'1. Standard_Cost'!$B$23+AA27*'1. Standard_Cost'!$C$23</f>
        <v>0</v>
      </c>
      <c r="AC27" s="128">
        <v>167496761</v>
      </c>
      <c r="AD27" s="129"/>
      <c r="AE27" s="127">
        <v>0</v>
      </c>
      <c r="AF27" s="127">
        <f>SUM(AE27,AD27,AC27,AB27,Y27,U27,T27,S27,R27)</f>
        <v>167496761</v>
      </c>
      <c r="AG27" s="126"/>
      <c r="AH27" s="126"/>
      <c r="AI27" s="126"/>
      <c r="AJ27" s="130"/>
      <c r="AK27" s="130"/>
      <c r="AL27" s="130"/>
      <c r="AM27" s="127">
        <f>AG27*'1. Standard_Cost'!$B$27+'Incremental_Cost Year 8'!AH27*'1. Standard_Cost'!$C$27+'Incremental_Cost Year 8'!AI27*'1. Standard_Cost'!$D$27+'Incremental_Cost Year 8'!AJ27+'Incremental_Cost Year 8'!AL27+AK27</f>
        <v>0</v>
      </c>
      <c r="AN27" s="127">
        <f>AM27*'1. Standard_Cost'!$C$31</f>
        <v>0</v>
      </c>
      <c r="AO27" s="130"/>
      <c r="AQ27" s="171">
        <f>L27+M27</f>
        <v>0</v>
      </c>
      <c r="AR27" s="171">
        <f>AF27</f>
        <v>167496761</v>
      </c>
      <c r="AS27" s="171">
        <f>AM27+AN27</f>
        <v>0</v>
      </c>
      <c r="AT27" s="171">
        <f>SUM(AQ27,AR27,AS27)</f>
        <v>167496761</v>
      </c>
      <c r="AU27" s="250">
        <f>AT27</f>
        <v>167496761</v>
      </c>
      <c r="AV27" s="250"/>
      <c r="AW27" s="250"/>
      <c r="AX27" s="250"/>
      <c r="AY27" s="250"/>
      <c r="AZ27" s="250"/>
      <c r="BA27" s="250"/>
      <c r="BB27" s="251">
        <f t="shared" si="17"/>
        <v>0</v>
      </c>
      <c r="BC27" s="169"/>
      <c r="BD27" s="169"/>
      <c r="BE27" s="169"/>
      <c r="BF27" s="169"/>
    </row>
    <row r="28" spans="1:58" ht="61.9" customHeight="1" outlineLevel="2" x14ac:dyDescent="0.25">
      <c r="A28" s="115"/>
      <c r="B28" s="200"/>
      <c r="C28" s="201"/>
      <c r="D28" s="223"/>
      <c r="E28" s="219"/>
      <c r="F28" s="219"/>
      <c r="G28" s="313"/>
      <c r="H28" s="199" t="s">
        <v>387</v>
      </c>
      <c r="I28" s="130"/>
      <c r="J28" s="126"/>
      <c r="K28" s="126"/>
      <c r="L28" s="125" t="str">
        <f>IF(I28&lt;&gt;0,((VLOOKUP(I28,'1. Standard_Cost'!$B$4:$D$11,2)+VLOOKUP(I28,'1. Standard_Cost'!$B$4:$D$11,3))*J28*K28),"0")</f>
        <v>0</v>
      </c>
      <c r="M28" s="125">
        <f>L28*'1. Standard_Cost'!$F$4</f>
        <v>0</v>
      </c>
      <c r="N28" s="126"/>
      <c r="O28" s="126"/>
      <c r="P28" s="126"/>
      <c r="Q28" s="126"/>
      <c r="R28" s="127">
        <f>'1. Standard_Cost'!$B$15*N28*P28</f>
        <v>0</v>
      </c>
      <c r="S28" s="127">
        <f>N28*O28*P28*'1. Standard_Cost'!$C$15</f>
        <v>0</v>
      </c>
      <c r="T28" s="127">
        <f>N28*P28*Q28*'1. Standard_Cost'!$D$15</f>
        <v>0</v>
      </c>
      <c r="U28" s="127">
        <f>N28*O28*'1. Standard_Cost'!$E$15</f>
        <v>0</v>
      </c>
      <c r="V28" s="126"/>
      <c r="W28" s="126"/>
      <c r="X28" s="126"/>
      <c r="Y28" s="127">
        <f>+V28*((X28*'1. Standard_Cost'!$B$19)+(W28*X28*'1. Standard_Cost'!$C$19))</f>
        <v>0</v>
      </c>
      <c r="Z28" s="126"/>
      <c r="AA28" s="126"/>
      <c r="AB28" s="127">
        <f>+Z28*'1. Standard_Cost'!$B$23+AA28*'1. Standard_Cost'!$C$23</f>
        <v>0</v>
      </c>
      <c r="AC28" s="128">
        <v>334264218</v>
      </c>
      <c r="AD28" s="129"/>
      <c r="AE28" s="127">
        <v>0</v>
      </c>
      <c r="AF28" s="127">
        <f>SUM(AE28,AD28,AC28,AB28,Y28,U28,T28,S28,R28)</f>
        <v>334264218</v>
      </c>
      <c r="AG28" s="126"/>
      <c r="AH28" s="126"/>
      <c r="AI28" s="126"/>
      <c r="AJ28" s="130"/>
      <c r="AK28" s="130"/>
      <c r="AL28" s="130"/>
      <c r="AM28" s="127">
        <f>AG28*'1. Standard_Cost'!$B$27+'Incremental_Cost Year 8'!AH28*'1. Standard_Cost'!$C$27+'Incremental_Cost Year 8'!AI28*'1. Standard_Cost'!$D$27+'Incremental_Cost Year 8'!AJ28+'Incremental_Cost Year 8'!AL28+AK28</f>
        <v>0</v>
      </c>
      <c r="AN28" s="127">
        <f>AM28*'1. Standard_Cost'!$C$31</f>
        <v>0</v>
      </c>
      <c r="AO28" s="130"/>
      <c r="AQ28" s="171">
        <f>L28+M28</f>
        <v>0</v>
      </c>
      <c r="AR28" s="171">
        <f>AF28</f>
        <v>334264218</v>
      </c>
      <c r="AS28" s="171">
        <f>AM28+AN28</f>
        <v>0</v>
      </c>
      <c r="AT28" s="171">
        <f>SUM(AQ28,AR28,AS28)</f>
        <v>334264218</v>
      </c>
      <c r="AU28" s="250">
        <f>AT28</f>
        <v>334264218</v>
      </c>
      <c r="AV28" s="250"/>
      <c r="AW28" s="250"/>
      <c r="AX28" s="250"/>
      <c r="AY28" s="250"/>
      <c r="AZ28" s="250"/>
      <c r="BA28" s="250"/>
      <c r="BB28" s="251">
        <f t="shared" si="17"/>
        <v>0</v>
      </c>
      <c r="BC28" s="169"/>
      <c r="BD28" s="169"/>
      <c r="BE28" s="169"/>
      <c r="BF28" s="169"/>
    </row>
    <row r="29" spans="1:58" ht="61.9" customHeight="1" outlineLevel="1" x14ac:dyDescent="0.25">
      <c r="A29" s="115"/>
      <c r="B29" s="165"/>
      <c r="C29" s="301"/>
      <c r="D29" s="150" t="s">
        <v>388</v>
      </c>
      <c r="E29" s="139" t="s">
        <v>198</v>
      </c>
      <c r="F29" s="300">
        <v>2021</v>
      </c>
      <c r="G29" s="209">
        <v>2030</v>
      </c>
      <c r="H29" s="134" t="s">
        <v>199</v>
      </c>
      <c r="I29" s="252"/>
      <c r="J29" s="252"/>
      <c r="K29" s="252"/>
      <c r="L29" s="127">
        <f>SUM(L26:L28)</f>
        <v>0</v>
      </c>
      <c r="M29" s="127">
        <f>SUM(M26:M28)</f>
        <v>0</v>
      </c>
      <c r="N29" s="127"/>
      <c r="O29" s="252"/>
      <c r="P29" s="252"/>
      <c r="Q29" s="252"/>
      <c r="R29" s="127">
        <f>SUM(R26:R28)</f>
        <v>0</v>
      </c>
      <c r="S29" s="127">
        <f>SUM(S26:S28)</f>
        <v>0</v>
      </c>
      <c r="T29" s="127">
        <f>SUM(T26:T28)</f>
        <v>0</v>
      </c>
      <c r="U29" s="127">
        <f>SUM(U26:U28)</f>
        <v>0</v>
      </c>
      <c r="V29" s="252"/>
      <c r="W29" s="252"/>
      <c r="X29" s="252"/>
      <c r="Y29" s="127">
        <f>SUM(Y26:Y28)</f>
        <v>0</v>
      </c>
      <c r="Z29" s="252"/>
      <c r="AA29" s="252"/>
      <c r="AB29" s="127">
        <f>SUM(AB26:AB28)</f>
        <v>0</v>
      </c>
      <c r="AC29" s="127">
        <f>SUM(AC26:AC28)</f>
        <v>754240589</v>
      </c>
      <c r="AD29" s="127">
        <f>SUM(AD26:AD28)</f>
        <v>0</v>
      </c>
      <c r="AE29" s="127">
        <f>SUM(AE26:AE28)</f>
        <v>0</v>
      </c>
      <c r="AF29" s="127">
        <f>SUM(AF26:AF28)</f>
        <v>754240589</v>
      </c>
      <c r="AG29" s="252"/>
      <c r="AH29" s="252"/>
      <c r="AI29" s="252"/>
      <c r="AJ29" s="127">
        <f>SUM(AJ26:AJ28)</f>
        <v>0</v>
      </c>
      <c r="AK29" s="127">
        <f>SUM(AK26:AK28)</f>
        <v>0</v>
      </c>
      <c r="AL29" s="127">
        <f>SUM(AL26:AL28)</f>
        <v>0</v>
      </c>
      <c r="AM29" s="127">
        <f>SUM(AM26:AM28)</f>
        <v>0</v>
      </c>
      <c r="AN29" s="127">
        <f>SUM(AN26:AN28)</f>
        <v>0</v>
      </c>
      <c r="AO29" s="253"/>
      <c r="AP29" s="254"/>
      <c r="AQ29" s="175">
        <f>SUM(AQ26:AQ28)</f>
        <v>0</v>
      </c>
      <c r="AR29" s="175">
        <f>SUM(AR26:AR28)</f>
        <v>754240589</v>
      </c>
      <c r="AS29" s="175">
        <f>SUM(AS26:AS28)</f>
        <v>0</v>
      </c>
      <c r="AT29" s="175">
        <f>SUM(AT26:AT28)</f>
        <v>754240589</v>
      </c>
      <c r="AU29" s="175">
        <f t="shared" ref="AU29:BB29" si="18">SUM(AU26:AU28)</f>
        <v>754240589</v>
      </c>
      <c r="AV29" s="175">
        <f t="shared" si="18"/>
        <v>0</v>
      </c>
      <c r="AW29" s="175">
        <f t="shared" si="18"/>
        <v>0</v>
      </c>
      <c r="AX29" s="175">
        <f t="shared" si="18"/>
        <v>0</v>
      </c>
      <c r="AY29" s="175">
        <f t="shared" si="18"/>
        <v>0</v>
      </c>
      <c r="AZ29" s="175">
        <f t="shared" si="18"/>
        <v>0</v>
      </c>
      <c r="BA29" s="175">
        <f t="shared" si="18"/>
        <v>0</v>
      </c>
      <c r="BB29" s="175">
        <f t="shared" si="18"/>
        <v>0</v>
      </c>
      <c r="BC29" s="169"/>
      <c r="BD29" s="169"/>
      <c r="BE29" s="169"/>
      <c r="BF29" s="169"/>
    </row>
    <row r="30" spans="1:58" ht="61.9" customHeight="1" outlineLevel="2" x14ac:dyDescent="0.25">
      <c r="A30" s="115"/>
      <c r="B30" s="200"/>
      <c r="C30" s="201"/>
      <c r="D30" s="138"/>
      <c r="E30" s="295"/>
      <c r="F30" s="295"/>
      <c r="G30" s="296"/>
      <c r="H30" s="213" t="s">
        <v>305</v>
      </c>
      <c r="I30" s="130" t="s">
        <v>3</v>
      </c>
      <c r="J30" s="126">
        <v>12</v>
      </c>
      <c r="K30" s="126">
        <v>4</v>
      </c>
      <c r="L30" s="125">
        <f>IF(I30&lt;&gt;0,((VLOOKUP(I30,'1. Standard_Cost'!$B$4:$D$11,2)+VLOOKUP(I30,'1. Standard_Cost'!$B$4:$D$11,3))*J30*K30),"0")</f>
        <v>4838400</v>
      </c>
      <c r="M30" s="125">
        <f>L30*'1. Standard_Cost'!$F$4</f>
        <v>808012.80000000005</v>
      </c>
      <c r="N30" s="126"/>
      <c r="O30" s="126"/>
      <c r="P30" s="126"/>
      <c r="Q30" s="126"/>
      <c r="R30" s="127">
        <f>'1. Standard_Cost'!$B$15*N30*P30</f>
        <v>0</v>
      </c>
      <c r="S30" s="127">
        <f>N30*O30*P30*'1. Standard_Cost'!$C$15</f>
        <v>0</v>
      </c>
      <c r="T30" s="127">
        <f>N30*P30*Q30*'1. Standard_Cost'!$D$15</f>
        <v>0</v>
      </c>
      <c r="U30" s="127">
        <f>N30*O30*'1. Standard_Cost'!$E$15</f>
        <v>0</v>
      </c>
      <c r="V30" s="126"/>
      <c r="W30" s="126"/>
      <c r="X30" s="126"/>
      <c r="Y30" s="127">
        <f>+V30*((X30*'1. Standard_Cost'!$B$19)+(W30*X30*'1. Standard_Cost'!$C$19))</f>
        <v>0</v>
      </c>
      <c r="Z30" s="126"/>
      <c r="AA30" s="126"/>
      <c r="AB30" s="127">
        <f>+Z30*'1. Standard_Cost'!$B$23+AA30*'1. Standard_Cost'!$C$23</f>
        <v>0</v>
      </c>
      <c r="AC30" s="128"/>
      <c r="AD30" s="129"/>
      <c r="AE30" s="127">
        <f>SUM(AD30,AC30,AB30,Y30,U30,T30,S30,R30)*'1. Standard_Cost'!$B$31</f>
        <v>0</v>
      </c>
      <c r="AF30" s="127">
        <f t="shared" ref="AF30:AF36" si="19">SUM(AE30,AD30,AC30,AB30,Y30,U30,T30,S30,R30)</f>
        <v>0</v>
      </c>
      <c r="AG30" s="126"/>
      <c r="AH30" s="126"/>
      <c r="AI30" s="126"/>
      <c r="AJ30" s="130"/>
      <c r="AK30" s="130"/>
      <c r="AL30" s="130"/>
      <c r="AM30" s="127">
        <f>AG30*'1. Standard_Cost'!$B$27+'Incremental_Cost Year 8'!AH30*'1. Standard_Cost'!$C$27+'Incremental_Cost Year 8'!AI30*'1. Standard_Cost'!$D$27+'Incremental_Cost Year 8'!AJ30+'Incremental_Cost Year 8'!AL30+AK30</f>
        <v>0</v>
      </c>
      <c r="AN30" s="127">
        <f>AM30*'1. Standard_Cost'!$C$31</f>
        <v>0</v>
      </c>
      <c r="AO30" s="249"/>
      <c r="AQ30" s="171">
        <f t="shared" ref="AQ30:AQ36" si="20">L30+M30</f>
        <v>5646412.7999999998</v>
      </c>
      <c r="AR30" s="171">
        <f t="shared" ref="AR30:AR36" si="21">AF30</f>
        <v>0</v>
      </c>
      <c r="AS30" s="171">
        <f t="shared" ref="AS30:AS36" si="22">AM30+AN30</f>
        <v>0</v>
      </c>
      <c r="AT30" s="171">
        <f t="shared" ref="AT30:AT36" si="23">SUM(AQ30,AR30,AS30)</f>
        <v>5646412.7999999998</v>
      </c>
      <c r="AU30" s="250">
        <f>AT30</f>
        <v>5646412.7999999998</v>
      </c>
      <c r="AV30" s="250"/>
      <c r="AW30" s="250"/>
      <c r="AX30" s="250"/>
      <c r="AY30" s="250"/>
      <c r="AZ30" s="250"/>
      <c r="BA30" s="250"/>
      <c r="BB30" s="251">
        <f t="shared" ref="BB30" si="24">SUM(AU30:BA30)-AT30</f>
        <v>0</v>
      </c>
      <c r="BC30" s="169"/>
      <c r="BD30" s="169"/>
      <c r="BE30" s="169"/>
      <c r="BF30" s="169"/>
    </row>
    <row r="31" spans="1:58" ht="61.9" customHeight="1" outlineLevel="2" x14ac:dyDescent="0.25">
      <c r="A31" s="115"/>
      <c r="B31" s="200"/>
      <c r="C31" s="201"/>
      <c r="D31" s="135"/>
      <c r="E31" s="219"/>
      <c r="F31" s="219"/>
      <c r="G31" s="313"/>
      <c r="H31" s="213" t="s">
        <v>226</v>
      </c>
      <c r="I31" s="130" t="s">
        <v>5</v>
      </c>
      <c r="J31" s="126">
        <v>6</v>
      </c>
      <c r="K31" s="126">
        <v>420</v>
      </c>
      <c r="L31" s="125">
        <f>IF(I31&lt;&gt;0,((VLOOKUP(I31,'1. Standard_Cost'!$B$4:$D$11,2)+VLOOKUP(I31,'1. Standard_Cost'!$B$4:$D$11,3))*J31*K31),"0")</f>
        <v>178164000</v>
      </c>
      <c r="M31" s="125">
        <f>L31*'1. Standard_Cost'!$F$4</f>
        <v>29753388</v>
      </c>
      <c r="N31" s="126"/>
      <c r="O31" s="126"/>
      <c r="P31" s="126"/>
      <c r="Q31" s="126"/>
      <c r="R31" s="127">
        <f>'1. Standard_Cost'!$B$15*N31*P31</f>
        <v>0</v>
      </c>
      <c r="S31" s="127">
        <f>N31*O31*P31*'1. Standard_Cost'!$C$15</f>
        <v>0</v>
      </c>
      <c r="T31" s="127">
        <f>N31*P31*Q31*'1. Standard_Cost'!$D$15</f>
        <v>0</v>
      </c>
      <c r="U31" s="127">
        <f>N31*O31*'1. Standard_Cost'!$E$15</f>
        <v>0</v>
      </c>
      <c r="V31" s="126"/>
      <c r="W31" s="126"/>
      <c r="X31" s="126"/>
      <c r="Y31" s="127">
        <f>+V31*((X31*'1. Standard_Cost'!$B$19)+(W31*X31*'1. Standard_Cost'!$C$19))</f>
        <v>0</v>
      </c>
      <c r="Z31" s="126"/>
      <c r="AA31" s="126"/>
      <c r="AB31" s="127">
        <f>+Z31*'1. Standard_Cost'!$B$23+AA31*'1. Standard_Cost'!$C$23</f>
        <v>0</v>
      </c>
      <c r="AC31" s="128"/>
      <c r="AD31" s="129"/>
      <c r="AE31" s="127">
        <f>SUM(AD31,AC31,AB31,Y31,U31,T31,S31,R31)*'1. Standard_Cost'!$B$31</f>
        <v>0</v>
      </c>
      <c r="AF31" s="127">
        <f t="shared" si="19"/>
        <v>0</v>
      </c>
      <c r="AG31" s="126"/>
      <c r="AH31" s="126"/>
      <c r="AI31" s="126"/>
      <c r="AJ31" s="130"/>
      <c r="AK31" s="130"/>
      <c r="AL31" s="130"/>
      <c r="AM31" s="127">
        <f>AG31*'1. Standard_Cost'!$B$27+'Incremental_Cost Year 8'!AH31*'1. Standard_Cost'!$C$27+'Incremental_Cost Year 8'!AI31*'1. Standard_Cost'!$D$27+'Incremental_Cost Year 8'!AJ31+'Incremental_Cost Year 8'!AL31+AK31</f>
        <v>0</v>
      </c>
      <c r="AN31" s="127">
        <f>AM31*'1. Standard_Cost'!$C$31</f>
        <v>0</v>
      </c>
      <c r="AO31" s="249"/>
      <c r="AQ31" s="171">
        <f t="shared" si="20"/>
        <v>207917388</v>
      </c>
      <c r="AR31" s="171">
        <f t="shared" si="21"/>
        <v>0</v>
      </c>
      <c r="AS31" s="171">
        <f t="shared" si="22"/>
        <v>0</v>
      </c>
      <c r="AT31" s="171">
        <f t="shared" si="23"/>
        <v>207917388</v>
      </c>
      <c r="AU31" s="250">
        <f>AT31</f>
        <v>207917388</v>
      </c>
      <c r="AV31" s="250"/>
      <c r="AW31" s="250"/>
      <c r="AX31" s="250"/>
      <c r="AY31" s="250"/>
      <c r="AZ31" s="250"/>
      <c r="BA31" s="250"/>
      <c r="BB31" s="251">
        <f t="shared" ref="BB31:BB36" si="25">SUM(AU31:BA31)-AT31</f>
        <v>0</v>
      </c>
      <c r="BC31" s="169"/>
      <c r="BD31" s="169"/>
      <c r="BE31" s="169"/>
      <c r="BF31" s="169"/>
    </row>
    <row r="32" spans="1:58" ht="61.9" customHeight="1" outlineLevel="2" x14ac:dyDescent="0.25">
      <c r="A32" s="115"/>
      <c r="B32" s="200"/>
      <c r="C32" s="201"/>
      <c r="D32" s="135"/>
      <c r="E32" s="219"/>
      <c r="F32" s="219"/>
      <c r="G32" s="313"/>
      <c r="H32" s="213" t="s">
        <v>306</v>
      </c>
      <c r="I32" s="130" t="s">
        <v>4</v>
      </c>
      <c r="J32" s="126">
        <v>6</v>
      </c>
      <c r="K32" s="126">
        <v>36</v>
      </c>
      <c r="L32" s="125">
        <f>IF(I32&lt;&gt;0,((VLOOKUP(I32,'1. Standard_Cost'!$B$4:$D$11,2)+VLOOKUP(I32,'1. Standard_Cost'!$B$4:$D$11,3))*J32*K32),"0")</f>
        <v>17442000</v>
      </c>
      <c r="M32" s="125">
        <f>L32*'1. Standard_Cost'!$F$4</f>
        <v>2912814</v>
      </c>
      <c r="N32" s="126"/>
      <c r="O32" s="126"/>
      <c r="P32" s="126"/>
      <c r="Q32" s="126"/>
      <c r="R32" s="127">
        <f>'1. Standard_Cost'!$B$15*N32*P32</f>
        <v>0</v>
      </c>
      <c r="S32" s="127">
        <f>N32*O32*P32*'1. Standard_Cost'!$C$15</f>
        <v>0</v>
      </c>
      <c r="T32" s="127">
        <f>N32*P32*Q32*'1. Standard_Cost'!$D$15</f>
        <v>0</v>
      </c>
      <c r="U32" s="127">
        <f>N32*O32*'1. Standard_Cost'!$E$15</f>
        <v>0</v>
      </c>
      <c r="V32" s="126"/>
      <c r="W32" s="126"/>
      <c r="X32" s="126"/>
      <c r="Y32" s="127">
        <f>+V32*((X32*'1. Standard_Cost'!$B$19)+(W32*X32*'1. Standard_Cost'!$C$19))</f>
        <v>0</v>
      </c>
      <c r="Z32" s="126"/>
      <c r="AA32" s="126"/>
      <c r="AB32" s="127">
        <f>+Z32*'1. Standard_Cost'!$B$23+AA32*'1. Standard_Cost'!$C$23</f>
        <v>0</v>
      </c>
      <c r="AC32" s="128"/>
      <c r="AD32" s="129"/>
      <c r="AE32" s="127">
        <f>SUM(AD32,AC32,AB32,Y32,U32,T32,S32,R32)*'1. Standard_Cost'!$B$31</f>
        <v>0</v>
      </c>
      <c r="AF32" s="127">
        <f t="shared" si="19"/>
        <v>0</v>
      </c>
      <c r="AG32" s="126"/>
      <c r="AH32" s="126"/>
      <c r="AI32" s="126"/>
      <c r="AJ32" s="130"/>
      <c r="AK32" s="130"/>
      <c r="AL32" s="130"/>
      <c r="AM32" s="127">
        <f>AG32*'1. Standard_Cost'!$B$27+'Incremental_Cost Year 8'!AH32*'1. Standard_Cost'!$C$27+'Incremental_Cost Year 8'!AI32*'1. Standard_Cost'!$D$27+'Incremental_Cost Year 8'!AJ32+'Incremental_Cost Year 8'!AL32+AK32</f>
        <v>0</v>
      </c>
      <c r="AN32" s="127">
        <f>AM32*'1. Standard_Cost'!$C$31</f>
        <v>0</v>
      </c>
      <c r="AO32" s="249"/>
      <c r="AQ32" s="171">
        <f t="shared" si="20"/>
        <v>20354814</v>
      </c>
      <c r="AR32" s="171">
        <f t="shared" si="21"/>
        <v>0</v>
      </c>
      <c r="AS32" s="171">
        <f t="shared" si="22"/>
        <v>0</v>
      </c>
      <c r="AT32" s="171">
        <f t="shared" si="23"/>
        <v>20354814</v>
      </c>
      <c r="AU32" s="250">
        <f>AT32</f>
        <v>20354814</v>
      </c>
      <c r="AV32" s="250"/>
      <c r="AW32" s="250"/>
      <c r="AX32" s="250"/>
      <c r="AY32" s="250"/>
      <c r="AZ32" s="250"/>
      <c r="BA32" s="250"/>
      <c r="BB32" s="251">
        <f t="shared" si="25"/>
        <v>0</v>
      </c>
      <c r="BC32" s="169"/>
      <c r="BD32" s="169"/>
      <c r="BE32" s="169"/>
      <c r="BF32" s="169"/>
    </row>
    <row r="33" spans="1:58" ht="61.9" customHeight="1" outlineLevel="2" x14ac:dyDescent="0.25">
      <c r="A33" s="115"/>
      <c r="B33" s="200"/>
      <c r="C33" s="201"/>
      <c r="D33" s="135"/>
      <c r="E33" s="219"/>
      <c r="F33" s="219"/>
      <c r="G33" s="313"/>
      <c r="H33" s="213" t="s">
        <v>389</v>
      </c>
      <c r="I33" s="130"/>
      <c r="J33" s="126"/>
      <c r="K33" s="126"/>
      <c r="L33" s="125" t="str">
        <f>IF(I33&lt;&gt;0,((VLOOKUP(I33,'1. Standard_Cost'!$B$4:$D$11,2)+VLOOKUP(I33,'1. Standard_Cost'!$B$4:$D$11,3))*J33*K33),"0")</f>
        <v>0</v>
      </c>
      <c r="M33" s="125">
        <f>L33*'1. Standard_Cost'!$F$4</f>
        <v>0</v>
      </c>
      <c r="N33" s="126"/>
      <c r="O33" s="126"/>
      <c r="P33" s="126"/>
      <c r="Q33" s="126"/>
      <c r="R33" s="127">
        <f>'1. Standard_Cost'!$B$15*N33*P33</f>
        <v>0</v>
      </c>
      <c r="S33" s="127">
        <f>N33*O33*P33*'1. Standard_Cost'!$C$15</f>
        <v>0</v>
      </c>
      <c r="T33" s="127">
        <f>N33*P33*Q33*'1. Standard_Cost'!$D$15</f>
        <v>0</v>
      </c>
      <c r="U33" s="127">
        <f>N33*O33*'1. Standard_Cost'!$E$15</f>
        <v>0</v>
      </c>
      <c r="V33" s="126"/>
      <c r="W33" s="126"/>
      <c r="X33" s="126"/>
      <c r="Y33" s="127">
        <f>+V33*((X33*'1. Standard_Cost'!$B$19)+(W33*X33*'1. Standard_Cost'!$C$19))</f>
        <v>0</v>
      </c>
      <c r="Z33" s="126"/>
      <c r="AA33" s="126"/>
      <c r="AB33" s="127">
        <f>+Z33*'1. Standard_Cost'!$B$23+AA33*'1. Standard_Cost'!$C$23</f>
        <v>0</v>
      </c>
      <c r="AC33" s="128"/>
      <c r="AD33" s="129"/>
      <c r="AE33" s="127">
        <f>SUM(AD33,AC33,AB33,Y33,U33,T33,S33,R33)*'1. Standard_Cost'!$B$31</f>
        <v>0</v>
      </c>
      <c r="AF33" s="127">
        <f t="shared" si="19"/>
        <v>0</v>
      </c>
      <c r="AG33" s="126"/>
      <c r="AH33" s="126"/>
      <c r="AI33" s="126"/>
      <c r="AJ33" s="130"/>
      <c r="AK33" s="130"/>
      <c r="AL33" s="130"/>
      <c r="AM33" s="127">
        <f>AG33*'1. Standard_Cost'!$B$27+'Incremental_Cost Year 8'!AH33*'1. Standard_Cost'!$C$27+'Incremental_Cost Year 8'!AI33*'1. Standard_Cost'!$D$27+'Incremental_Cost Year 8'!AJ33+'Incremental_Cost Year 8'!AL33+AK33</f>
        <v>0</v>
      </c>
      <c r="AN33" s="127">
        <f>AM33*'1. Standard_Cost'!$C$31</f>
        <v>0</v>
      </c>
      <c r="AO33" s="130"/>
      <c r="AQ33" s="171">
        <f t="shared" si="20"/>
        <v>0</v>
      </c>
      <c r="AR33" s="171">
        <f t="shared" si="21"/>
        <v>0</v>
      </c>
      <c r="AS33" s="171">
        <f t="shared" si="22"/>
        <v>0</v>
      </c>
      <c r="AT33" s="171">
        <f t="shared" si="23"/>
        <v>0</v>
      </c>
      <c r="AU33" s="250"/>
      <c r="AV33" s="250"/>
      <c r="AW33" s="250"/>
      <c r="AX33" s="250"/>
      <c r="AY33" s="250"/>
      <c r="AZ33" s="250"/>
      <c r="BA33" s="250"/>
      <c r="BB33" s="251">
        <f t="shared" si="25"/>
        <v>0</v>
      </c>
      <c r="BC33" s="169"/>
      <c r="BD33" s="169"/>
      <c r="BE33" s="169"/>
      <c r="BF33" s="169"/>
    </row>
    <row r="34" spans="1:58" ht="61.9" customHeight="1" outlineLevel="2" x14ac:dyDescent="0.25">
      <c r="A34" s="115"/>
      <c r="B34" s="200"/>
      <c r="C34" s="201"/>
      <c r="D34" s="135"/>
      <c r="E34" s="219"/>
      <c r="F34" s="219"/>
      <c r="G34" s="313"/>
      <c r="H34" s="213" t="s">
        <v>390</v>
      </c>
      <c r="I34" s="130" t="s">
        <v>3</v>
      </c>
      <c r="J34" s="126">
        <v>12</v>
      </c>
      <c r="K34" s="126">
        <v>3</v>
      </c>
      <c r="L34" s="125">
        <f>IF(I34&lt;&gt;0,((VLOOKUP(I34,'1. Standard_Cost'!$B$4:$D$11,2)+VLOOKUP(I34,'1. Standard_Cost'!$B$4:$D$11,3))*J34*K34),"0")</f>
        <v>3628800</v>
      </c>
      <c r="M34" s="125">
        <f>L34*'1. Standard_Cost'!$F$4</f>
        <v>606009.59999999998</v>
      </c>
      <c r="N34" s="126"/>
      <c r="O34" s="126"/>
      <c r="P34" s="126"/>
      <c r="Q34" s="126"/>
      <c r="R34" s="127">
        <f>'1. Standard_Cost'!$B$15*N34*P34</f>
        <v>0</v>
      </c>
      <c r="S34" s="127">
        <f>N34*O34*P34*'1. Standard_Cost'!$C$15</f>
        <v>0</v>
      </c>
      <c r="T34" s="127">
        <f>N34*P34*Q34*'1. Standard_Cost'!$D$15</f>
        <v>0</v>
      </c>
      <c r="U34" s="127">
        <f>N34*O34*'1. Standard_Cost'!$E$15</f>
        <v>0</v>
      </c>
      <c r="V34" s="126"/>
      <c r="W34" s="126"/>
      <c r="X34" s="126"/>
      <c r="Y34" s="127">
        <f>+V34*((X34*'1. Standard_Cost'!$B$19)+(W34*X34*'1. Standard_Cost'!$C$19))</f>
        <v>0</v>
      </c>
      <c r="Z34" s="126"/>
      <c r="AA34" s="126"/>
      <c r="AB34" s="127">
        <f>+Z34*'1. Standard_Cost'!$B$23+AA34*'1. Standard_Cost'!$C$23</f>
        <v>0</v>
      </c>
      <c r="AC34" s="128">
        <v>1000000</v>
      </c>
      <c r="AD34" s="129"/>
      <c r="AE34" s="127">
        <f>SUM(AD34,AC34,AB34,Y34,U34,T34,S34,R34)*'1. Standard_Cost'!$B$31</f>
        <v>200000</v>
      </c>
      <c r="AF34" s="127">
        <f t="shared" si="19"/>
        <v>1200000</v>
      </c>
      <c r="AG34" s="126"/>
      <c r="AH34" s="126"/>
      <c r="AI34" s="126"/>
      <c r="AJ34" s="130"/>
      <c r="AK34" s="130"/>
      <c r="AL34" s="130"/>
      <c r="AM34" s="127">
        <f>AG34*'1. Standard_Cost'!$B$27+'Incremental_Cost Year 8'!AH34*'1. Standard_Cost'!$C$27+'Incremental_Cost Year 8'!AI34*'1. Standard_Cost'!$D$27+'Incremental_Cost Year 8'!AJ34+'Incremental_Cost Year 8'!AL34+AK34</f>
        <v>0</v>
      </c>
      <c r="AN34" s="127">
        <f>AM34*'1. Standard_Cost'!$C$31</f>
        <v>0</v>
      </c>
      <c r="AO34" s="130"/>
      <c r="AQ34" s="171">
        <f t="shared" si="20"/>
        <v>4234809.5999999996</v>
      </c>
      <c r="AR34" s="171">
        <f t="shared" si="21"/>
        <v>1200000</v>
      </c>
      <c r="AS34" s="171">
        <f t="shared" si="22"/>
        <v>0</v>
      </c>
      <c r="AT34" s="171">
        <f t="shared" si="23"/>
        <v>5434809.5999999996</v>
      </c>
      <c r="AU34" s="250">
        <f>AT34</f>
        <v>5434809.5999999996</v>
      </c>
      <c r="AV34" s="250"/>
      <c r="AW34" s="250"/>
      <c r="AX34" s="250"/>
      <c r="AY34" s="250"/>
      <c r="AZ34" s="250"/>
      <c r="BA34" s="250"/>
      <c r="BB34" s="251">
        <f t="shared" si="25"/>
        <v>0</v>
      </c>
      <c r="BC34" s="169"/>
      <c r="BD34" s="169"/>
      <c r="BE34" s="169"/>
      <c r="BF34" s="169"/>
    </row>
    <row r="35" spans="1:58" ht="61.9" customHeight="1" outlineLevel="2" x14ac:dyDescent="0.25">
      <c r="A35" s="115"/>
      <c r="B35" s="200"/>
      <c r="C35" s="201"/>
      <c r="D35" s="135"/>
      <c r="E35" s="219"/>
      <c r="F35" s="219"/>
      <c r="G35" s="313"/>
      <c r="H35" s="213" t="s">
        <v>391</v>
      </c>
      <c r="I35" s="130" t="s">
        <v>5</v>
      </c>
      <c r="J35" s="126">
        <v>1</v>
      </c>
      <c r="K35" s="126">
        <v>420</v>
      </c>
      <c r="L35" s="125">
        <f>IF(I35&lt;&gt;0,((VLOOKUP(I35,'1. Standard_Cost'!$B$4:$D$11,2)+VLOOKUP(I35,'1. Standard_Cost'!$B$4:$D$11,3))*J35*K35),"0")</f>
        <v>29694000</v>
      </c>
      <c r="M35" s="125">
        <f>L35*'1. Standard_Cost'!$F$4</f>
        <v>4958898</v>
      </c>
      <c r="N35" s="126"/>
      <c r="O35" s="126"/>
      <c r="P35" s="126"/>
      <c r="Q35" s="126"/>
      <c r="R35" s="127">
        <f>'1. Standard_Cost'!$B$15*N35*P35</f>
        <v>0</v>
      </c>
      <c r="S35" s="127">
        <f>N35*O35*P35*'1. Standard_Cost'!$C$15</f>
        <v>0</v>
      </c>
      <c r="T35" s="127">
        <f>N35*P35*Q35*'1. Standard_Cost'!$D$15</f>
        <v>0</v>
      </c>
      <c r="U35" s="127">
        <f>N35*O35*'1. Standard_Cost'!$E$15</f>
        <v>0</v>
      </c>
      <c r="V35" s="126"/>
      <c r="W35" s="126"/>
      <c r="X35" s="126"/>
      <c r="Y35" s="127">
        <f>+V35*((X35*'1. Standard_Cost'!$B$19)+(W35*X35*'1. Standard_Cost'!$C$19))</f>
        <v>0</v>
      </c>
      <c r="Z35" s="126"/>
      <c r="AA35" s="126"/>
      <c r="AB35" s="127">
        <f>+Z35*'1. Standard_Cost'!$B$23+AA35*'1. Standard_Cost'!$C$23</f>
        <v>0</v>
      </c>
      <c r="AC35" s="128"/>
      <c r="AD35" s="129"/>
      <c r="AE35" s="127">
        <f>SUM(AD35,AC35,AB35,Y35,U35,T35,S35,R35)*'1. Standard_Cost'!$B$31</f>
        <v>0</v>
      </c>
      <c r="AF35" s="127">
        <f t="shared" si="19"/>
        <v>0</v>
      </c>
      <c r="AG35" s="126"/>
      <c r="AH35" s="126"/>
      <c r="AI35" s="126"/>
      <c r="AJ35" s="130"/>
      <c r="AK35" s="130"/>
      <c r="AL35" s="130"/>
      <c r="AM35" s="127">
        <f>AG35*'1. Standard_Cost'!$B$27+'Incremental_Cost Year 8'!AH35*'1. Standard_Cost'!$C$27+'Incremental_Cost Year 8'!AI35*'1. Standard_Cost'!$D$27+'Incremental_Cost Year 8'!AJ35+'Incremental_Cost Year 8'!AL35+AK35</f>
        <v>0</v>
      </c>
      <c r="AN35" s="127">
        <f>AM35*'1. Standard_Cost'!$C$31</f>
        <v>0</v>
      </c>
      <c r="AO35" s="130"/>
      <c r="AQ35" s="171">
        <f t="shared" si="20"/>
        <v>34652898</v>
      </c>
      <c r="AR35" s="171">
        <f t="shared" si="21"/>
        <v>0</v>
      </c>
      <c r="AS35" s="171">
        <f t="shared" si="22"/>
        <v>0</v>
      </c>
      <c r="AT35" s="171">
        <f t="shared" si="23"/>
        <v>34652898</v>
      </c>
      <c r="AU35" s="250">
        <f>AT35</f>
        <v>34652898</v>
      </c>
      <c r="AV35" s="250"/>
      <c r="AW35" s="250"/>
      <c r="AX35" s="250"/>
      <c r="AY35" s="250"/>
      <c r="AZ35" s="250"/>
      <c r="BA35" s="250"/>
      <c r="BB35" s="251">
        <f t="shared" si="25"/>
        <v>0</v>
      </c>
      <c r="BC35" s="169"/>
      <c r="BD35" s="169"/>
      <c r="BE35" s="169"/>
      <c r="BF35" s="169"/>
    </row>
    <row r="36" spans="1:58" ht="61.9" customHeight="1" outlineLevel="2" x14ac:dyDescent="0.25">
      <c r="A36" s="115"/>
      <c r="B36" s="200"/>
      <c r="C36" s="201"/>
      <c r="D36" s="223"/>
      <c r="E36" s="122"/>
      <c r="F36" s="122"/>
      <c r="G36" s="123"/>
      <c r="H36" s="213" t="s">
        <v>392</v>
      </c>
      <c r="I36" s="130" t="s">
        <v>4</v>
      </c>
      <c r="J36" s="126">
        <v>1</v>
      </c>
      <c r="K36" s="126">
        <v>36</v>
      </c>
      <c r="L36" s="125">
        <f>IF(I36&lt;&gt;0,((VLOOKUP(I36,'1. Standard_Cost'!$B$4:$D$11,2)+VLOOKUP(I36,'1. Standard_Cost'!$B$4:$D$11,3))*J36*K36),"0")</f>
        <v>2907000</v>
      </c>
      <c r="M36" s="125">
        <f>L36*'1. Standard_Cost'!$F$4</f>
        <v>485469</v>
      </c>
      <c r="N36" s="126"/>
      <c r="O36" s="126"/>
      <c r="P36" s="126"/>
      <c r="Q36" s="126"/>
      <c r="R36" s="127">
        <f>'1. Standard_Cost'!$B$15*N36*P36</f>
        <v>0</v>
      </c>
      <c r="S36" s="127">
        <f>N36*O36*P36*'1. Standard_Cost'!$C$15</f>
        <v>0</v>
      </c>
      <c r="T36" s="127">
        <f>N36*P36*Q36*'1. Standard_Cost'!$D$15</f>
        <v>0</v>
      </c>
      <c r="U36" s="127">
        <f>N36*O36*'1. Standard_Cost'!$E$15</f>
        <v>0</v>
      </c>
      <c r="V36" s="126"/>
      <c r="W36" s="126"/>
      <c r="X36" s="126"/>
      <c r="Y36" s="127">
        <f>+V36*((X36*'1. Standard_Cost'!$B$19)+(W36*X36*'1. Standard_Cost'!$C$19))</f>
        <v>0</v>
      </c>
      <c r="Z36" s="126"/>
      <c r="AA36" s="126"/>
      <c r="AB36" s="127">
        <f>+Z36*'1. Standard_Cost'!$B$23+AA36*'1. Standard_Cost'!$C$23</f>
        <v>0</v>
      </c>
      <c r="AC36" s="128"/>
      <c r="AD36" s="129"/>
      <c r="AE36" s="127">
        <f>SUM(AD36,AC36,AB36,Y36,U36,T36,S36,R36)*'1. Standard_Cost'!$B$31</f>
        <v>0</v>
      </c>
      <c r="AF36" s="127">
        <f t="shared" si="19"/>
        <v>0</v>
      </c>
      <c r="AG36" s="126"/>
      <c r="AH36" s="126"/>
      <c r="AI36" s="126"/>
      <c r="AJ36" s="130"/>
      <c r="AK36" s="130"/>
      <c r="AL36" s="130"/>
      <c r="AM36" s="127">
        <f>AG36*'1. Standard_Cost'!$B$27+'Incremental_Cost Year 8'!AH36*'1. Standard_Cost'!$C$27+'Incremental_Cost Year 8'!AI36*'1. Standard_Cost'!$D$27+'Incremental_Cost Year 8'!AJ36+'Incremental_Cost Year 8'!AL36+AK36</f>
        <v>0</v>
      </c>
      <c r="AN36" s="127">
        <f>AM36*'1. Standard_Cost'!$C$31</f>
        <v>0</v>
      </c>
      <c r="AO36" s="130"/>
      <c r="AQ36" s="171">
        <f t="shared" si="20"/>
        <v>3392469</v>
      </c>
      <c r="AR36" s="171">
        <f t="shared" si="21"/>
        <v>0</v>
      </c>
      <c r="AS36" s="171">
        <f t="shared" si="22"/>
        <v>0</v>
      </c>
      <c r="AT36" s="171">
        <f t="shared" si="23"/>
        <v>3392469</v>
      </c>
      <c r="AU36" s="250">
        <f>AT36</f>
        <v>3392469</v>
      </c>
      <c r="AV36" s="250"/>
      <c r="AW36" s="250"/>
      <c r="AX36" s="250"/>
      <c r="AY36" s="250"/>
      <c r="AZ36" s="250"/>
      <c r="BA36" s="250"/>
      <c r="BB36" s="251">
        <f t="shared" si="25"/>
        <v>0</v>
      </c>
      <c r="BC36" s="169"/>
      <c r="BD36" s="169"/>
      <c r="BE36" s="169"/>
      <c r="BF36" s="169"/>
    </row>
    <row r="37" spans="1:58" ht="61.9" customHeight="1" outlineLevel="1" x14ac:dyDescent="0.25">
      <c r="A37" s="115"/>
      <c r="B37" s="165"/>
      <c r="C37" s="166"/>
      <c r="D37" s="150" t="s">
        <v>384</v>
      </c>
      <c r="E37" s="139" t="s">
        <v>200</v>
      </c>
      <c r="F37" s="222">
        <v>2021</v>
      </c>
      <c r="G37" s="117">
        <v>2030</v>
      </c>
      <c r="H37" s="134" t="s">
        <v>201</v>
      </c>
      <c r="I37" s="252"/>
      <c r="J37" s="252"/>
      <c r="K37" s="252"/>
      <c r="L37" s="127">
        <f>SUM(L30:L36)</f>
        <v>236674200</v>
      </c>
      <c r="M37" s="127">
        <f>SUM(M30:M36)</f>
        <v>39524591.399999999</v>
      </c>
      <c r="N37" s="127"/>
      <c r="O37" s="252"/>
      <c r="P37" s="252"/>
      <c r="Q37" s="252"/>
      <c r="R37" s="127">
        <f>SUM(R30:R36)</f>
        <v>0</v>
      </c>
      <c r="S37" s="127">
        <f>SUM(S30:S36)</f>
        <v>0</v>
      </c>
      <c r="T37" s="127">
        <f>SUM(T30:T36)</f>
        <v>0</v>
      </c>
      <c r="U37" s="127">
        <f>SUM(U30:U36)</f>
        <v>0</v>
      </c>
      <c r="V37" s="252"/>
      <c r="W37" s="252"/>
      <c r="X37" s="252"/>
      <c r="Y37" s="127">
        <f>SUM(Y30:Y36)</f>
        <v>0</v>
      </c>
      <c r="Z37" s="252"/>
      <c r="AA37" s="252"/>
      <c r="AB37" s="127">
        <f>SUM(AB30:AB36)</f>
        <v>0</v>
      </c>
      <c r="AC37" s="127">
        <f>SUM(AC30:AC36)</f>
        <v>1000000</v>
      </c>
      <c r="AD37" s="127">
        <f>SUM(AD30:AD36)</f>
        <v>0</v>
      </c>
      <c r="AE37" s="127">
        <f>SUM(AE30:AE36)</f>
        <v>200000</v>
      </c>
      <c r="AF37" s="127">
        <f>SUM(AF30:AF36)</f>
        <v>1200000</v>
      </c>
      <c r="AG37" s="252"/>
      <c r="AH37" s="252"/>
      <c r="AI37" s="252"/>
      <c r="AJ37" s="127">
        <f>SUM(AJ30:AJ36)</f>
        <v>0</v>
      </c>
      <c r="AK37" s="127">
        <f>SUM(AK30:AK36)</f>
        <v>0</v>
      </c>
      <c r="AL37" s="127">
        <f>SUM(AL30:AL36)</f>
        <v>0</v>
      </c>
      <c r="AM37" s="127">
        <f>SUM(AM30:AM36)</f>
        <v>0</v>
      </c>
      <c r="AN37" s="127">
        <f>SUM(AN30:AN36)</f>
        <v>0</v>
      </c>
      <c r="AO37" s="253"/>
      <c r="AP37" s="254"/>
      <c r="AQ37" s="175">
        <f>SUM(AQ30:AQ36)</f>
        <v>276198791.39999998</v>
      </c>
      <c r="AR37" s="175">
        <f>SUM(AR30:AR36)</f>
        <v>1200000</v>
      </c>
      <c r="AS37" s="175">
        <f>SUM(AS30:AS36)</f>
        <v>0</v>
      </c>
      <c r="AT37" s="175">
        <f>SUM(AT30:AT36)</f>
        <v>277398791.39999998</v>
      </c>
      <c r="AU37" s="175">
        <f t="shared" ref="AU37:BB37" si="26">SUM(AU30:AU36)</f>
        <v>277398791.39999998</v>
      </c>
      <c r="AV37" s="175">
        <f t="shared" si="26"/>
        <v>0</v>
      </c>
      <c r="AW37" s="175">
        <f t="shared" si="26"/>
        <v>0</v>
      </c>
      <c r="AX37" s="175">
        <f t="shared" si="26"/>
        <v>0</v>
      </c>
      <c r="AY37" s="175">
        <f t="shared" si="26"/>
        <v>0</v>
      </c>
      <c r="AZ37" s="175">
        <f t="shared" si="26"/>
        <v>0</v>
      </c>
      <c r="BA37" s="175">
        <f t="shared" si="26"/>
        <v>0</v>
      </c>
      <c r="BB37" s="175">
        <f t="shared" si="26"/>
        <v>0</v>
      </c>
      <c r="BC37" s="169"/>
      <c r="BD37" s="169"/>
      <c r="BE37" s="169"/>
      <c r="BF37" s="169"/>
    </row>
    <row r="38" spans="1:58" ht="61.9" customHeight="1" outlineLevel="2" x14ac:dyDescent="0.25">
      <c r="A38" s="115"/>
      <c r="B38" s="200"/>
      <c r="C38" s="201"/>
      <c r="D38" s="224"/>
      <c r="E38" s="135" t="s">
        <v>393</v>
      </c>
      <c r="F38" s="302">
        <v>2021</v>
      </c>
      <c r="G38" s="302">
        <v>2023</v>
      </c>
      <c r="H38" s="199" t="s">
        <v>394</v>
      </c>
      <c r="I38" s="130"/>
      <c r="J38" s="126"/>
      <c r="K38" s="126"/>
      <c r="L38" s="125" t="str">
        <f>IF(I38&lt;&gt;0,((VLOOKUP(I38,'1. Standard_Cost'!$B$4:$D$11,2)+VLOOKUP(I38,'1. Standard_Cost'!$B$4:$D$11,3))*J38*K38),"0")</f>
        <v>0</v>
      </c>
      <c r="M38" s="125">
        <f>L38*'1. Standard_Cost'!$F$4</f>
        <v>0</v>
      </c>
      <c r="N38" s="126"/>
      <c r="O38" s="126"/>
      <c r="P38" s="126"/>
      <c r="Q38" s="126"/>
      <c r="R38" s="127">
        <f>'1. Standard_Cost'!$B$15*N38*P38</f>
        <v>0</v>
      </c>
      <c r="S38" s="127">
        <f>N38*O38*P38*'1. Standard_Cost'!$C$15</f>
        <v>0</v>
      </c>
      <c r="T38" s="127">
        <f>N38*P38*Q38*'1. Standard_Cost'!$D$15</f>
        <v>0</v>
      </c>
      <c r="U38" s="127">
        <f>N38*O38*'1. Standard_Cost'!$E$15</f>
        <v>0</v>
      </c>
      <c r="V38" s="126"/>
      <c r="W38" s="126"/>
      <c r="X38" s="126"/>
      <c r="Y38" s="127">
        <f>+V38*((X38*'1. Standard_Cost'!$B$19)+(W38*X38*'1. Standard_Cost'!$C$19))</f>
        <v>0</v>
      </c>
      <c r="Z38" s="126"/>
      <c r="AA38" s="126"/>
      <c r="AB38" s="127">
        <f>+Z38*'1. Standard_Cost'!$B$23+AA38*'1. Standard_Cost'!$C$23</f>
        <v>0</v>
      </c>
      <c r="AC38" s="128"/>
      <c r="AD38" s="129"/>
      <c r="AE38" s="127"/>
      <c r="AF38" s="127">
        <f>SUM(AE38,AD38,AC38,AB38,Y38,U38,T38,S38,R38)</f>
        <v>0</v>
      </c>
      <c r="AG38" s="126"/>
      <c r="AH38" s="126"/>
      <c r="AI38" s="126"/>
      <c r="AJ38" s="130"/>
      <c r="AK38" s="130"/>
      <c r="AL38" s="130"/>
      <c r="AM38" s="127">
        <f>AG38*'1. Standard_Cost'!$B$27+'Incremental_Cost Year 8'!AH38*'1. Standard_Cost'!$C$27+'Incremental_Cost Year 8'!AI38*'1. Standard_Cost'!$D$27+'Incremental_Cost Year 8'!AJ38+'Incremental_Cost Year 8'!AL38+AK38</f>
        <v>0</v>
      </c>
      <c r="AN38" s="127">
        <f>AM38*'1. Standard_Cost'!$C$31</f>
        <v>0</v>
      </c>
      <c r="AO38" s="249"/>
      <c r="AQ38" s="171">
        <f>L38+M38</f>
        <v>0</v>
      </c>
      <c r="AR38" s="171">
        <f>AF38</f>
        <v>0</v>
      </c>
      <c r="AS38" s="171">
        <f>AM38+AN38</f>
        <v>0</v>
      </c>
      <c r="AT38" s="171">
        <f>SUM(AQ38,AR38,AS38)</f>
        <v>0</v>
      </c>
      <c r="AU38" s="250">
        <f>AT38</f>
        <v>0</v>
      </c>
      <c r="AV38" s="250"/>
      <c r="AW38" s="250"/>
      <c r="AX38" s="250"/>
      <c r="AY38" s="250"/>
      <c r="AZ38" s="250"/>
      <c r="BA38" s="250"/>
      <c r="BB38" s="251">
        <f t="shared" ref="BB38" si="27">SUM(AU38:BA38)-AT38</f>
        <v>0</v>
      </c>
      <c r="BC38" s="169"/>
      <c r="BD38" s="169"/>
      <c r="BE38" s="169"/>
      <c r="BF38" s="169"/>
    </row>
    <row r="39" spans="1:58" ht="61.9" customHeight="1" outlineLevel="1" x14ac:dyDescent="0.25">
      <c r="A39" s="115"/>
      <c r="B39" s="303"/>
      <c r="C39" s="304"/>
      <c r="D39" s="107" t="s">
        <v>388</v>
      </c>
      <c r="E39" s="139" t="s">
        <v>202</v>
      </c>
      <c r="F39" s="122">
        <v>2021</v>
      </c>
      <c r="G39" s="223">
        <v>2030</v>
      </c>
      <c r="H39" s="134" t="s">
        <v>203</v>
      </c>
      <c r="I39" s="252"/>
      <c r="J39" s="252"/>
      <c r="K39" s="252"/>
      <c r="L39" s="127">
        <f>SUM(L38:L38)</f>
        <v>0</v>
      </c>
      <c r="M39" s="127">
        <f>SUM(M38:M38)</f>
        <v>0</v>
      </c>
      <c r="N39" s="127"/>
      <c r="O39" s="252"/>
      <c r="P39" s="252"/>
      <c r="Q39" s="252"/>
      <c r="R39" s="127">
        <f>SUM(R38:R38)</f>
        <v>0</v>
      </c>
      <c r="S39" s="127">
        <f>SUM(S38:S38)</f>
        <v>0</v>
      </c>
      <c r="T39" s="127">
        <f>SUM(T38:T38)</f>
        <v>0</v>
      </c>
      <c r="U39" s="127">
        <f>SUM(U38:U38)</f>
        <v>0</v>
      </c>
      <c r="V39" s="252"/>
      <c r="W39" s="252"/>
      <c r="X39" s="252"/>
      <c r="Y39" s="127">
        <f>SUM(Y38:Y38)</f>
        <v>0</v>
      </c>
      <c r="Z39" s="252"/>
      <c r="AA39" s="252"/>
      <c r="AB39" s="127">
        <f>SUM(AB38:AB38)</f>
        <v>0</v>
      </c>
      <c r="AC39" s="127">
        <f>SUM(AC38:AC38)</f>
        <v>0</v>
      </c>
      <c r="AD39" s="127">
        <f>SUM(AD38:AD38)</f>
        <v>0</v>
      </c>
      <c r="AE39" s="127">
        <f>SUM(AE38:AE38)</f>
        <v>0</v>
      </c>
      <c r="AF39" s="127">
        <f>SUM(AF38:AF38)</f>
        <v>0</v>
      </c>
      <c r="AG39" s="252"/>
      <c r="AH39" s="252"/>
      <c r="AI39" s="252"/>
      <c r="AJ39" s="127">
        <f>SUM(AJ38:AJ38)</f>
        <v>0</v>
      </c>
      <c r="AK39" s="127">
        <f>SUM(AK38:AK38)</f>
        <v>0</v>
      </c>
      <c r="AL39" s="127">
        <f>SUM(AL38:AL38)</f>
        <v>0</v>
      </c>
      <c r="AM39" s="127">
        <f>SUM(AM38:AM38)</f>
        <v>0</v>
      </c>
      <c r="AN39" s="127">
        <f>SUM(AN38:AN38)</f>
        <v>0</v>
      </c>
      <c r="AO39" s="253"/>
      <c r="AP39" s="254"/>
      <c r="AQ39" s="175">
        <f>SUM(AQ38:AQ38)</f>
        <v>0</v>
      </c>
      <c r="AR39" s="175">
        <f>SUM(AR38:AR38)</f>
        <v>0</v>
      </c>
      <c r="AS39" s="175">
        <f>SUM(AS38:AS38)</f>
        <v>0</v>
      </c>
      <c r="AT39" s="175">
        <f>SUM(AT38:AT38)</f>
        <v>0</v>
      </c>
      <c r="AU39" s="175">
        <f t="shared" ref="AU39:BB39" si="28">SUM(AU38:AU38)</f>
        <v>0</v>
      </c>
      <c r="AV39" s="175">
        <f t="shared" si="28"/>
        <v>0</v>
      </c>
      <c r="AW39" s="175">
        <f t="shared" si="28"/>
        <v>0</v>
      </c>
      <c r="AX39" s="175">
        <f t="shared" si="28"/>
        <v>0</v>
      </c>
      <c r="AY39" s="175">
        <f t="shared" si="28"/>
        <v>0</v>
      </c>
      <c r="AZ39" s="175">
        <f t="shared" si="28"/>
        <v>0</v>
      </c>
      <c r="BA39" s="175">
        <f t="shared" si="28"/>
        <v>0</v>
      </c>
      <c r="BB39" s="175">
        <f t="shared" si="28"/>
        <v>0</v>
      </c>
      <c r="BC39" s="169"/>
      <c r="BD39" s="169"/>
      <c r="BE39" s="169"/>
      <c r="BF39" s="169"/>
    </row>
    <row r="40" spans="1:58" s="170" customFormat="1" ht="61.9" customHeight="1" x14ac:dyDescent="0.25">
      <c r="A40" s="120"/>
      <c r="B40" s="290"/>
      <c r="C40" s="391" t="s">
        <v>204</v>
      </c>
      <c r="D40" s="391"/>
      <c r="E40" s="392"/>
      <c r="F40" s="289"/>
      <c r="G40" s="288"/>
      <c r="H40" s="114" t="s">
        <v>207</v>
      </c>
      <c r="I40" s="246"/>
      <c r="J40" s="246"/>
      <c r="K40" s="246"/>
      <c r="L40" s="247">
        <f>SUM(L44)</f>
        <v>201875</v>
      </c>
      <c r="M40" s="247">
        <f>SUM(M44)</f>
        <v>33713.125</v>
      </c>
      <c r="N40" s="247"/>
      <c r="O40" s="247"/>
      <c r="P40" s="247"/>
      <c r="Q40" s="247"/>
      <c r="R40" s="247">
        <f>SUM(R44)</f>
        <v>500000</v>
      </c>
      <c r="S40" s="247">
        <f>SUM(S44)</f>
        <v>375000</v>
      </c>
      <c r="T40" s="247">
        <f>SUM(T44)</f>
        <v>0</v>
      </c>
      <c r="U40" s="247">
        <f>SUM(U44)</f>
        <v>400000</v>
      </c>
      <c r="V40" s="247"/>
      <c r="W40" s="247"/>
      <c r="X40" s="247"/>
      <c r="Y40" s="247">
        <f>SUM(Y44)</f>
        <v>0</v>
      </c>
      <c r="Z40" s="247">
        <f t="shared" ref="Z40:AA40" si="29">SUM(Z44)</f>
        <v>0</v>
      </c>
      <c r="AA40" s="247">
        <f t="shared" si="29"/>
        <v>0</v>
      </c>
      <c r="AB40" s="247">
        <f t="shared" ref="AB40:AF40" si="30">SUM(AB44)</f>
        <v>228000</v>
      </c>
      <c r="AC40" s="247">
        <f t="shared" si="30"/>
        <v>825000</v>
      </c>
      <c r="AD40" s="247">
        <f t="shared" si="30"/>
        <v>0</v>
      </c>
      <c r="AE40" s="247">
        <f t="shared" si="30"/>
        <v>465600</v>
      </c>
      <c r="AF40" s="247">
        <f t="shared" si="30"/>
        <v>2793600</v>
      </c>
      <c r="AG40" s="247"/>
      <c r="AH40" s="247"/>
      <c r="AI40" s="247"/>
      <c r="AJ40" s="247">
        <f>SUM(AJ44)</f>
        <v>0</v>
      </c>
      <c r="AK40" s="247">
        <f>SUM(AK44)</f>
        <v>0</v>
      </c>
      <c r="AL40" s="247">
        <f>SUM(AL44)</f>
        <v>0</v>
      </c>
      <c r="AM40" s="247">
        <f>SUM(AM44)</f>
        <v>0</v>
      </c>
      <c r="AN40" s="247">
        <f>SUM(AN44)</f>
        <v>0</v>
      </c>
      <c r="AO40" s="247"/>
      <c r="AP40" s="244"/>
      <c r="AQ40" s="248">
        <f>SUM(AQ44)</f>
        <v>235588.125</v>
      </c>
      <c r="AR40" s="248">
        <f>SUM(AR44)</f>
        <v>2793600</v>
      </c>
      <c r="AS40" s="248">
        <f>SUM(AS44)</f>
        <v>0</v>
      </c>
      <c r="AT40" s="248">
        <f>SUM(AT44)</f>
        <v>3029188.125</v>
      </c>
      <c r="AU40" s="248">
        <f t="shared" ref="AU40:BB40" si="31">SUM(AU44)</f>
        <v>235588.125</v>
      </c>
      <c r="AV40" s="248">
        <f t="shared" si="31"/>
        <v>0</v>
      </c>
      <c r="AW40" s="248">
        <f t="shared" si="31"/>
        <v>0</v>
      </c>
      <c r="AX40" s="248">
        <f t="shared" si="31"/>
        <v>0</v>
      </c>
      <c r="AY40" s="248">
        <f t="shared" si="31"/>
        <v>0</v>
      </c>
      <c r="AZ40" s="248">
        <f t="shared" si="31"/>
        <v>0</v>
      </c>
      <c r="BA40" s="248">
        <f t="shared" si="31"/>
        <v>0</v>
      </c>
      <c r="BB40" s="248">
        <f t="shared" si="31"/>
        <v>-2793600</v>
      </c>
    </row>
    <row r="41" spans="1:58" ht="61.9" customHeight="1" outlineLevel="2" x14ac:dyDescent="0.25">
      <c r="A41" s="115"/>
      <c r="B41" s="200"/>
      <c r="C41" s="201"/>
      <c r="D41" s="138"/>
      <c r="E41" s="295"/>
      <c r="F41" s="295"/>
      <c r="G41" s="296"/>
      <c r="H41" s="213" t="s">
        <v>395</v>
      </c>
      <c r="I41" s="130"/>
      <c r="J41" s="126"/>
      <c r="K41" s="126"/>
      <c r="L41" s="125" t="str">
        <f>IF(I41&lt;&gt;0,((VLOOKUP(I41,'1. Standard_Cost'!$B$4:$D$11,2)+VLOOKUP(I41,'1. Standard_Cost'!$B$4:$D$11,3))*J41*K41),"0")</f>
        <v>0</v>
      </c>
      <c r="M41" s="125">
        <f>L41*'1. Standard_Cost'!$F$4</f>
        <v>0</v>
      </c>
      <c r="N41" s="126"/>
      <c r="O41" s="126"/>
      <c r="P41" s="126"/>
      <c r="Q41" s="126"/>
      <c r="R41" s="127">
        <f>'1. Standard_Cost'!$B$15*N41*P41</f>
        <v>0</v>
      </c>
      <c r="S41" s="127">
        <f>N41*O41*P41*'1. Standard_Cost'!$C$15</f>
        <v>0</v>
      </c>
      <c r="T41" s="127">
        <f>N41*P41*Q41*'1. Standard_Cost'!$D$15</f>
        <v>0</v>
      </c>
      <c r="U41" s="127">
        <f>N41*O41*'1. Standard_Cost'!$E$15</f>
        <v>0</v>
      </c>
      <c r="V41" s="126"/>
      <c r="W41" s="126"/>
      <c r="X41" s="126"/>
      <c r="Y41" s="127">
        <f>+V41*((X41*'1. Standard_Cost'!$B$19)+(W41*X41*'1. Standard_Cost'!$C$19))</f>
        <v>0</v>
      </c>
      <c r="Z41" s="126"/>
      <c r="AA41" s="126"/>
      <c r="AB41" s="127">
        <f>+Z41*'1. Standard_Cost'!$B$23+AA41*'1. Standard_Cost'!$C$23</f>
        <v>0</v>
      </c>
      <c r="AC41" s="128">
        <v>0</v>
      </c>
      <c r="AD41" s="129"/>
      <c r="AE41" s="127"/>
      <c r="AF41" s="127">
        <f>SUM(AE41,AD41,AC41,AB41,Y41,U41,T41,S41,R41)</f>
        <v>0</v>
      </c>
      <c r="AG41" s="126"/>
      <c r="AH41" s="126"/>
      <c r="AI41" s="126"/>
      <c r="AJ41" s="130"/>
      <c r="AK41" s="130"/>
      <c r="AL41" s="130"/>
      <c r="AM41" s="127">
        <f>AG41*'1. Standard_Cost'!$B$27+'Incremental_Cost Year 8'!AH41*'1. Standard_Cost'!$C$27+'Incremental_Cost Year 8'!AI41*'1. Standard_Cost'!$D$27+'Incremental_Cost Year 8'!AJ41+'Incremental_Cost Year 8'!AL41+AK41</f>
        <v>0</v>
      </c>
      <c r="AN41" s="127">
        <f>AM41*'1. Standard_Cost'!$C$31</f>
        <v>0</v>
      </c>
      <c r="AO41" s="249"/>
      <c r="AQ41" s="171">
        <f>L41+M41</f>
        <v>0</v>
      </c>
      <c r="AR41" s="171">
        <f>AF41</f>
        <v>0</v>
      </c>
      <c r="AS41" s="171">
        <f>AM41+AN41</f>
        <v>0</v>
      </c>
      <c r="AT41" s="171">
        <f>SUM(AQ41,AR41,AS41)</f>
        <v>0</v>
      </c>
      <c r="AU41" s="250">
        <f>AQ41</f>
        <v>0</v>
      </c>
      <c r="AV41" s="250"/>
      <c r="AW41" s="250"/>
      <c r="AX41" s="250">
        <v>0</v>
      </c>
      <c r="AY41" s="250"/>
      <c r="AZ41" s="250">
        <f>AT41</f>
        <v>0</v>
      </c>
      <c r="BA41" s="250"/>
      <c r="BB41" s="251">
        <f t="shared" ref="BB41:BB43" si="32">SUM(AU41:BA41)-AT41</f>
        <v>0</v>
      </c>
      <c r="BC41" s="169"/>
      <c r="BD41" s="169"/>
      <c r="BE41" s="169"/>
      <c r="BF41" s="169"/>
    </row>
    <row r="42" spans="1:58" ht="61.9" customHeight="1" outlineLevel="2" x14ac:dyDescent="0.25">
      <c r="A42" s="115"/>
      <c r="B42" s="200"/>
      <c r="C42" s="201"/>
      <c r="D42" s="135"/>
      <c r="E42" s="219"/>
      <c r="F42" s="219"/>
      <c r="G42" s="313"/>
      <c r="H42" s="213" t="s">
        <v>538</v>
      </c>
      <c r="I42" s="130" t="s">
        <v>4</v>
      </c>
      <c r="J42" s="126">
        <v>0.5</v>
      </c>
      <c r="K42" s="126">
        <v>5</v>
      </c>
      <c r="L42" s="125">
        <f>IF(I42&lt;&gt;0,((VLOOKUP(I42,'1. Standard_Cost'!$B$4:$D$11,2)+VLOOKUP(I42,'1. Standard_Cost'!$B$4:$D$11,3))*J42*K42),"0")</f>
        <v>201875</v>
      </c>
      <c r="M42" s="125">
        <f>L42*'1. Standard_Cost'!$F$4</f>
        <v>33713.125</v>
      </c>
      <c r="N42" s="126">
        <v>10</v>
      </c>
      <c r="O42" s="126">
        <v>1</v>
      </c>
      <c r="P42" s="126">
        <v>25</v>
      </c>
      <c r="Q42" s="126"/>
      <c r="R42" s="127">
        <f>'1. Standard_Cost'!$B$15*N42*P42</f>
        <v>500000</v>
      </c>
      <c r="S42" s="127">
        <f>N42*O42*P42*'1. Standard_Cost'!$C$15</f>
        <v>375000</v>
      </c>
      <c r="T42" s="127">
        <f>N42*P42*Q42*'1. Standard_Cost'!$D$15</f>
        <v>0</v>
      </c>
      <c r="U42" s="127">
        <f>N42*O42*'1. Standard_Cost'!$E$15</f>
        <v>400000</v>
      </c>
      <c r="V42" s="126"/>
      <c r="W42" s="126"/>
      <c r="X42" s="126"/>
      <c r="Y42" s="127">
        <f>+V42*((X42*'1. Standard_Cost'!$B$19)+(W42*X42*'1. Standard_Cost'!$C$19))</f>
        <v>0</v>
      </c>
      <c r="Z42" s="126"/>
      <c r="AA42" s="126">
        <v>12</v>
      </c>
      <c r="AB42" s="127">
        <f>+Z42*'1. Standard_Cost'!$B$23+AA42*'1. Standard_Cost'!$C$23</f>
        <v>228000</v>
      </c>
      <c r="AC42" s="128">
        <f>250*300+250*3000</f>
        <v>825000</v>
      </c>
      <c r="AD42" s="129"/>
      <c r="AE42" s="127">
        <f>SUM(AD42,AC42,AB42,Y42,U42,T42,S42,R42)*'1. Standard_Cost'!$B$31</f>
        <v>465600</v>
      </c>
      <c r="AF42" s="127">
        <f>SUM(AE42,AD42,AC42,AB42,Y42,U42,T42,S42,R42)</f>
        <v>2793600</v>
      </c>
      <c r="AG42" s="126"/>
      <c r="AH42" s="126"/>
      <c r="AI42" s="126"/>
      <c r="AJ42" s="130"/>
      <c r="AK42" s="130"/>
      <c r="AL42" s="130"/>
      <c r="AM42" s="127">
        <f>AG42*'1. Standard_Cost'!$B$27+'Incremental_Cost Year 8'!AH42*'1. Standard_Cost'!$C$27+'Incremental_Cost Year 8'!AI42*'1. Standard_Cost'!$D$27+'Incremental_Cost Year 8'!AJ42+'Incremental_Cost Year 8'!AL42+AK42</f>
        <v>0</v>
      </c>
      <c r="AN42" s="127">
        <f>AM42*'1. Standard_Cost'!$C$31</f>
        <v>0</v>
      </c>
      <c r="AO42" s="130"/>
      <c r="AQ42" s="171">
        <f>L42+M42</f>
        <v>235588.125</v>
      </c>
      <c r="AR42" s="171">
        <f>AF42</f>
        <v>2793600</v>
      </c>
      <c r="AS42" s="171">
        <f>AM42+AN42</f>
        <v>0</v>
      </c>
      <c r="AT42" s="171">
        <f>SUM(AQ42,AR42,AS42)</f>
        <v>3029188.125</v>
      </c>
      <c r="AU42" s="250">
        <f>AQ42</f>
        <v>235588.125</v>
      </c>
      <c r="AV42" s="250"/>
      <c r="AW42" s="250"/>
      <c r="AX42" s="250"/>
      <c r="AY42" s="250"/>
      <c r="AZ42" s="250"/>
      <c r="BA42" s="250"/>
      <c r="BB42" s="251">
        <f t="shared" si="32"/>
        <v>-2793600</v>
      </c>
      <c r="BC42" s="169"/>
      <c r="BD42" s="169"/>
      <c r="BE42" s="169"/>
      <c r="BF42" s="169"/>
    </row>
    <row r="43" spans="1:58" ht="61.9" customHeight="1" outlineLevel="2" x14ac:dyDescent="0.25">
      <c r="A43" s="115"/>
      <c r="B43" s="200"/>
      <c r="C43" s="201"/>
      <c r="D43" s="223"/>
      <c r="E43" s="219"/>
      <c r="F43" s="219"/>
      <c r="G43" s="313"/>
      <c r="H43" s="199" t="s">
        <v>223</v>
      </c>
      <c r="I43" s="130"/>
      <c r="J43" s="126"/>
      <c r="K43" s="126"/>
      <c r="L43" s="125" t="str">
        <f>IF(I43&lt;&gt;0,((VLOOKUP(I43,'1. Standard_Cost'!$B$4:$D$11,2)+VLOOKUP(I43,'1. Standard_Cost'!$B$4:$D$11,3))*J43*K43),"0")</f>
        <v>0</v>
      </c>
      <c r="M43" s="125">
        <f>L43*'1. Standard_Cost'!$F$4</f>
        <v>0</v>
      </c>
      <c r="N43" s="126"/>
      <c r="O43" s="126"/>
      <c r="P43" s="126"/>
      <c r="Q43" s="126"/>
      <c r="R43" s="127">
        <f>'1. Standard_Cost'!$B$15*N43*P43</f>
        <v>0</v>
      </c>
      <c r="S43" s="127">
        <f>N43*O43*P43*'1. Standard_Cost'!$C$15</f>
        <v>0</v>
      </c>
      <c r="T43" s="127">
        <f>N43*P43*Q43*'1. Standard_Cost'!$D$15</f>
        <v>0</v>
      </c>
      <c r="U43" s="127">
        <f>N43*O43*'1. Standard_Cost'!$E$15</f>
        <v>0</v>
      </c>
      <c r="V43" s="126"/>
      <c r="W43" s="126"/>
      <c r="X43" s="126"/>
      <c r="Y43" s="127">
        <f>+V43*((X43*'1. Standard_Cost'!$B$19)+(W43*X43*'1. Standard_Cost'!$C$19))</f>
        <v>0</v>
      </c>
      <c r="Z43" s="126"/>
      <c r="AA43" s="126"/>
      <c r="AB43" s="127">
        <f>+Z43*'1. Standard_Cost'!$B$23+AA43*'1. Standard_Cost'!$C$23</f>
        <v>0</v>
      </c>
      <c r="AC43" s="128"/>
      <c r="AD43" s="129"/>
      <c r="AE43" s="127">
        <v>0</v>
      </c>
      <c r="AF43" s="127">
        <f>SUM(AE43,AD43,AC43,AB43,Y43,U43,T43,S43,R43)</f>
        <v>0</v>
      </c>
      <c r="AG43" s="126"/>
      <c r="AH43" s="126"/>
      <c r="AI43" s="126"/>
      <c r="AJ43" s="130"/>
      <c r="AK43" s="130"/>
      <c r="AL43" s="130"/>
      <c r="AM43" s="127">
        <f>AG43*'1. Standard_Cost'!$B$27+'Incremental_Cost Year 8'!AH43*'1. Standard_Cost'!$C$27+'Incremental_Cost Year 8'!AI43*'1. Standard_Cost'!$D$27+'Incremental_Cost Year 8'!AJ43+'Incremental_Cost Year 8'!AL43+AK43</f>
        <v>0</v>
      </c>
      <c r="AN43" s="127">
        <f>AM43*'1. Standard_Cost'!$C$31</f>
        <v>0</v>
      </c>
      <c r="AO43" s="130"/>
      <c r="AQ43" s="171">
        <f>L43+M43</f>
        <v>0</v>
      </c>
      <c r="AR43" s="171">
        <f>AF43</f>
        <v>0</v>
      </c>
      <c r="AS43" s="171">
        <f>AM43+AN43</f>
        <v>0</v>
      </c>
      <c r="AT43" s="171">
        <f>SUM(AQ43,AR43,AS43)</f>
        <v>0</v>
      </c>
      <c r="AU43" s="250"/>
      <c r="AV43" s="250"/>
      <c r="AW43" s="250"/>
      <c r="AX43" s="250"/>
      <c r="AY43" s="250"/>
      <c r="AZ43" s="250"/>
      <c r="BA43" s="250"/>
      <c r="BB43" s="251">
        <f t="shared" si="32"/>
        <v>0</v>
      </c>
      <c r="BC43" s="169"/>
      <c r="BD43" s="169"/>
      <c r="BE43" s="169"/>
      <c r="BF43" s="169"/>
    </row>
    <row r="44" spans="1:58" ht="61.9" customHeight="1" outlineLevel="1" x14ac:dyDescent="0.25">
      <c r="A44" s="115"/>
      <c r="B44" s="165"/>
      <c r="C44" s="166"/>
      <c r="D44" s="150" t="s">
        <v>396</v>
      </c>
      <c r="E44" s="139" t="s">
        <v>205</v>
      </c>
      <c r="F44" s="222">
        <v>2022</v>
      </c>
      <c r="G44" s="117">
        <v>2030</v>
      </c>
      <c r="H44" s="134" t="s">
        <v>206</v>
      </c>
      <c r="I44" s="252"/>
      <c r="J44" s="252"/>
      <c r="K44" s="252"/>
      <c r="L44" s="127">
        <f>SUM(L41:L43)</f>
        <v>201875</v>
      </c>
      <c r="M44" s="127">
        <f>SUM(M41:M43)</f>
        <v>33713.125</v>
      </c>
      <c r="N44" s="127"/>
      <c r="O44" s="252"/>
      <c r="P44" s="252"/>
      <c r="Q44" s="252"/>
      <c r="R44" s="127">
        <f>SUM(R41:R43)</f>
        <v>500000</v>
      </c>
      <c r="S44" s="127">
        <f>SUM(S41:S43)</f>
        <v>375000</v>
      </c>
      <c r="T44" s="127">
        <f>SUM(T41:T43)</f>
        <v>0</v>
      </c>
      <c r="U44" s="127">
        <f>SUM(U41:U43)</f>
        <v>400000</v>
      </c>
      <c r="V44" s="252"/>
      <c r="W44" s="252"/>
      <c r="X44" s="252"/>
      <c r="Y44" s="127">
        <f>SUM(Y41:Y43)</f>
        <v>0</v>
      </c>
      <c r="Z44" s="252"/>
      <c r="AA44" s="252"/>
      <c r="AB44" s="127">
        <f>SUM(AB41:AB43)</f>
        <v>228000</v>
      </c>
      <c r="AC44" s="127">
        <f>SUM(AC41:AC43)</f>
        <v>825000</v>
      </c>
      <c r="AD44" s="127">
        <f>SUM(AD41:AD43)</f>
        <v>0</v>
      </c>
      <c r="AE44" s="127">
        <f>SUM(AE41:AE43)</f>
        <v>465600</v>
      </c>
      <c r="AF44" s="127">
        <f>SUM(AF41:AF43)</f>
        <v>2793600</v>
      </c>
      <c r="AG44" s="252"/>
      <c r="AH44" s="252"/>
      <c r="AI44" s="252"/>
      <c r="AJ44" s="127">
        <f>SUM(AJ41:AJ43)</f>
        <v>0</v>
      </c>
      <c r="AK44" s="127">
        <f>SUM(AK41:AK43)</f>
        <v>0</v>
      </c>
      <c r="AL44" s="127">
        <f>SUM(AL41:AL43)</f>
        <v>0</v>
      </c>
      <c r="AM44" s="127">
        <f>SUM(AM41:AM43)</f>
        <v>0</v>
      </c>
      <c r="AN44" s="127">
        <f>SUM(AN41:AN43)</f>
        <v>0</v>
      </c>
      <c r="AO44" s="253"/>
      <c r="AP44" s="254"/>
      <c r="AQ44" s="175">
        <f>SUM(AQ41:AQ43)</f>
        <v>235588.125</v>
      </c>
      <c r="AR44" s="175">
        <f>SUM(AR41:AR43)</f>
        <v>2793600</v>
      </c>
      <c r="AS44" s="175">
        <f>SUM(AS41:AS43)</f>
        <v>0</v>
      </c>
      <c r="AT44" s="175">
        <f>SUM(AT41:AT43)</f>
        <v>3029188.125</v>
      </c>
      <c r="AU44" s="175">
        <f t="shared" ref="AU44:BB44" si="33">SUM(AU41:AU43)</f>
        <v>235588.125</v>
      </c>
      <c r="AV44" s="175">
        <f t="shared" si="33"/>
        <v>0</v>
      </c>
      <c r="AW44" s="175">
        <f t="shared" si="33"/>
        <v>0</v>
      </c>
      <c r="AX44" s="175">
        <f t="shared" si="33"/>
        <v>0</v>
      </c>
      <c r="AY44" s="175">
        <f t="shared" si="33"/>
        <v>0</v>
      </c>
      <c r="AZ44" s="175">
        <f t="shared" si="33"/>
        <v>0</v>
      </c>
      <c r="BA44" s="175">
        <f t="shared" si="33"/>
        <v>0</v>
      </c>
      <c r="BB44" s="175">
        <f t="shared" si="33"/>
        <v>-2793600</v>
      </c>
      <c r="BC44" s="169"/>
      <c r="BD44" s="169"/>
      <c r="BE44" s="169"/>
      <c r="BF44" s="169"/>
    </row>
    <row r="45" spans="1:58" s="170" customFormat="1" ht="61.9" customHeight="1" x14ac:dyDescent="0.25">
      <c r="A45" s="120"/>
      <c r="B45" s="290"/>
      <c r="C45" s="391" t="s">
        <v>210</v>
      </c>
      <c r="D45" s="391"/>
      <c r="E45" s="392"/>
      <c r="F45" s="289"/>
      <c r="G45" s="288"/>
      <c r="H45" s="114" t="s">
        <v>213</v>
      </c>
      <c r="I45" s="246"/>
      <c r="J45" s="246"/>
      <c r="K45" s="246"/>
      <c r="L45" s="247">
        <f>SUM(L50+L56+L60)</f>
        <v>1075889568.5714285</v>
      </c>
      <c r="M45" s="247">
        <f>SUM(M50+M56+M60)</f>
        <v>179673557.95142856</v>
      </c>
      <c r="N45" s="247"/>
      <c r="O45" s="247"/>
      <c r="P45" s="247"/>
      <c r="Q45" s="247"/>
      <c r="R45" s="247">
        <f>SUM(R50+R56+R60)</f>
        <v>0</v>
      </c>
      <c r="S45" s="247">
        <f>SUM(S50+S56+S60)</f>
        <v>0</v>
      </c>
      <c r="T45" s="247">
        <f>SUM(T50+T56+T60)</f>
        <v>0</v>
      </c>
      <c r="U45" s="247">
        <f>SUM(U50+U56+U60)</f>
        <v>0</v>
      </c>
      <c r="V45" s="247"/>
      <c r="W45" s="247"/>
      <c r="X45" s="247"/>
      <c r="Y45" s="247">
        <f>SUM(Y50+Y56+Y60)</f>
        <v>0</v>
      </c>
      <c r="Z45" s="247">
        <f t="shared" ref="Z45:AA45" si="34">SUM(Z50+Z56+Z60)</f>
        <v>0</v>
      </c>
      <c r="AA45" s="247">
        <f t="shared" si="34"/>
        <v>0</v>
      </c>
      <c r="AB45" s="247">
        <f t="shared" ref="AB45:AF45" si="35">SUM(AB50+AB56+AB60)</f>
        <v>0</v>
      </c>
      <c r="AC45" s="247">
        <f t="shared" si="35"/>
        <v>10050000</v>
      </c>
      <c r="AD45" s="247">
        <f t="shared" si="35"/>
        <v>0</v>
      </c>
      <c r="AE45" s="247">
        <f t="shared" si="35"/>
        <v>0</v>
      </c>
      <c r="AF45" s="247">
        <f t="shared" si="35"/>
        <v>10050000</v>
      </c>
      <c r="AG45" s="247"/>
      <c r="AH45" s="247"/>
      <c r="AI45" s="247"/>
      <c r="AJ45" s="247">
        <f>SUM(AJ50+AJ56+AJ60)</f>
        <v>0</v>
      </c>
      <c r="AK45" s="247">
        <f>SUM(AK50+AK56+AK60)</f>
        <v>0</v>
      </c>
      <c r="AL45" s="247">
        <f>SUM(AL50+AL56+AL60)</f>
        <v>0</v>
      </c>
      <c r="AM45" s="247">
        <f>SUM(AM50+AM56+AM60)</f>
        <v>0</v>
      </c>
      <c r="AN45" s="247">
        <f>SUM(AN50+AN56+AN60)</f>
        <v>0</v>
      </c>
      <c r="AO45" s="247"/>
      <c r="AP45" s="244"/>
      <c r="AQ45" s="248">
        <f>SUM(AQ50+AQ56+AQ60)</f>
        <v>1255563126.522857</v>
      </c>
      <c r="AR45" s="248">
        <f>SUM(AR50+AR56+AR60)</f>
        <v>10050000</v>
      </c>
      <c r="AS45" s="248">
        <f>SUM(AS50+AS56+AS60)</f>
        <v>0</v>
      </c>
      <c r="AT45" s="248">
        <f>SUM(AT50+AT56+AT60)</f>
        <v>1265613126.522857</v>
      </c>
      <c r="AU45" s="248">
        <f t="shared" ref="AU45:BB45" si="36">SUM(AU50+AU56+AU60)</f>
        <v>1265613126.522857</v>
      </c>
      <c r="AV45" s="248">
        <f t="shared" si="36"/>
        <v>0</v>
      </c>
      <c r="AW45" s="248">
        <f t="shared" si="36"/>
        <v>0</v>
      </c>
      <c r="AX45" s="248">
        <f t="shared" si="36"/>
        <v>0</v>
      </c>
      <c r="AY45" s="248">
        <f t="shared" si="36"/>
        <v>0</v>
      </c>
      <c r="AZ45" s="248">
        <f t="shared" si="36"/>
        <v>0</v>
      </c>
      <c r="BA45" s="248">
        <f t="shared" si="36"/>
        <v>0</v>
      </c>
      <c r="BB45" s="248">
        <f t="shared" si="36"/>
        <v>0</v>
      </c>
    </row>
    <row r="46" spans="1:58" ht="61.9" customHeight="1" outlineLevel="2" x14ac:dyDescent="0.25">
      <c r="A46" s="115"/>
      <c r="B46" s="200"/>
      <c r="C46" s="201"/>
      <c r="D46" s="138"/>
      <c r="E46" s="295"/>
      <c r="F46" s="295"/>
      <c r="G46" s="296"/>
      <c r="H46" s="199" t="s">
        <v>397</v>
      </c>
      <c r="I46" s="130"/>
      <c r="J46" s="126"/>
      <c r="K46" s="126"/>
      <c r="L46" s="125" t="str">
        <f>IF(I46&lt;&gt;0,((VLOOKUP(I46,'1. Standard_Cost'!$B$4:$D$11,2)+VLOOKUP(I46,'1. Standard_Cost'!$B$4:$D$11,3))*J46*K46),"0")</f>
        <v>0</v>
      </c>
      <c r="M46" s="125">
        <f>L46*'1. Standard_Cost'!$F$4</f>
        <v>0</v>
      </c>
      <c r="N46" s="126"/>
      <c r="O46" s="126"/>
      <c r="P46" s="126"/>
      <c r="Q46" s="126"/>
      <c r="R46" s="127">
        <f>'1. Standard_Cost'!$B$15*N46*P46</f>
        <v>0</v>
      </c>
      <c r="S46" s="127">
        <f>N46*O46*P46*'1. Standard_Cost'!$C$15</f>
        <v>0</v>
      </c>
      <c r="T46" s="127">
        <f>N46*P46*Q46*'1. Standard_Cost'!$D$15</f>
        <v>0</v>
      </c>
      <c r="U46" s="127">
        <f>N46*O46*'1. Standard_Cost'!$E$15</f>
        <v>0</v>
      </c>
      <c r="V46" s="126"/>
      <c r="W46" s="126"/>
      <c r="X46" s="126"/>
      <c r="Y46" s="127">
        <f>+V46*((X46*'1. Standard_Cost'!$B$19)+(W46*X46*'1. Standard_Cost'!$C$19))</f>
        <v>0</v>
      </c>
      <c r="Z46" s="126"/>
      <c r="AA46" s="126"/>
      <c r="AB46" s="127">
        <f>+Z46*'1. Standard_Cost'!$B$23+AA46*'1. Standard_Cost'!$C$23</f>
        <v>0</v>
      </c>
      <c r="AC46" s="128"/>
      <c r="AD46" s="129"/>
      <c r="AE46" s="127">
        <f>SUM(AD46,AC46,AB46,Y46,U46,T46,S46,R46)*'1. Standard_Cost'!$B$31</f>
        <v>0</v>
      </c>
      <c r="AF46" s="127">
        <f>SUM(AE46,AD46,AC46,AB46,Y46,U46,T46,S46,R46)</f>
        <v>0</v>
      </c>
      <c r="AG46" s="126"/>
      <c r="AH46" s="126"/>
      <c r="AI46" s="126"/>
      <c r="AJ46" s="130"/>
      <c r="AK46" s="130"/>
      <c r="AL46" s="130"/>
      <c r="AM46" s="127">
        <f>AG46*'1. Standard_Cost'!$B$27+'Incremental_Cost Year 8'!AH46*'1. Standard_Cost'!$C$27+'Incremental_Cost Year 8'!AI46*'1. Standard_Cost'!$D$27+'Incremental_Cost Year 8'!AJ46+'Incremental_Cost Year 8'!AL46+AK46</f>
        <v>0</v>
      </c>
      <c r="AN46" s="127">
        <f>AM46*'1. Standard_Cost'!$C$31</f>
        <v>0</v>
      </c>
      <c r="AO46" s="249"/>
      <c r="AQ46" s="171">
        <f>L46+M46</f>
        <v>0</v>
      </c>
      <c r="AR46" s="171">
        <f>AF46</f>
        <v>0</v>
      </c>
      <c r="AS46" s="171">
        <f>AM46+AN46</f>
        <v>0</v>
      </c>
      <c r="AT46" s="171">
        <f>SUM(AQ46,AR46,AS46)</f>
        <v>0</v>
      </c>
      <c r="AU46" s="250">
        <f>AQ46</f>
        <v>0</v>
      </c>
      <c r="AV46" s="250"/>
      <c r="AW46" s="250"/>
      <c r="AX46" s="250"/>
      <c r="AY46" s="250"/>
      <c r="AZ46" s="250"/>
      <c r="BA46" s="250"/>
      <c r="BB46" s="251">
        <f t="shared" ref="BB46:BB49" si="37">SUM(AU46:BA46)-AT46</f>
        <v>0</v>
      </c>
      <c r="BC46" s="169"/>
      <c r="BD46" s="169"/>
      <c r="BE46" s="169"/>
      <c r="BF46" s="169"/>
    </row>
    <row r="47" spans="1:58" ht="61.9" customHeight="1" outlineLevel="2" x14ac:dyDescent="0.25">
      <c r="A47" s="115"/>
      <c r="B47" s="200"/>
      <c r="C47" s="201"/>
      <c r="D47" s="135"/>
      <c r="E47" s="219"/>
      <c r="F47" s="219"/>
      <c r="G47" s="313"/>
      <c r="H47" s="199" t="s">
        <v>307</v>
      </c>
      <c r="I47" s="130"/>
      <c r="J47" s="126"/>
      <c r="K47" s="126"/>
      <c r="L47" s="125" t="str">
        <f>IF(I47&lt;&gt;0,((VLOOKUP(I47,'1. Standard_Cost'!$B$4:$D$11,2)+VLOOKUP(I47,'1. Standard_Cost'!$B$4:$D$11,3))*J47*K47),"0")</f>
        <v>0</v>
      </c>
      <c r="M47" s="125">
        <f>L47*'1. Standard_Cost'!$F$4</f>
        <v>0</v>
      </c>
      <c r="N47" s="126"/>
      <c r="O47" s="126"/>
      <c r="P47" s="126"/>
      <c r="Q47" s="126"/>
      <c r="R47" s="127">
        <f>'1. Standard_Cost'!$B$15*N47*P47</f>
        <v>0</v>
      </c>
      <c r="S47" s="127">
        <f>N47*O47*P47*'1. Standard_Cost'!$C$15</f>
        <v>0</v>
      </c>
      <c r="T47" s="127">
        <f>N47*P47*Q47*'1. Standard_Cost'!$D$15</f>
        <v>0</v>
      </c>
      <c r="U47" s="127">
        <f>N47*O47*'1. Standard_Cost'!$E$15</f>
        <v>0</v>
      </c>
      <c r="V47" s="126"/>
      <c r="W47" s="126"/>
      <c r="X47" s="126"/>
      <c r="Y47" s="127">
        <f>+V47*((X47*'1. Standard_Cost'!$B$19)+(W47*X47*'1. Standard_Cost'!$C$19))</f>
        <v>0</v>
      </c>
      <c r="Z47" s="126"/>
      <c r="AA47" s="126"/>
      <c r="AB47" s="127">
        <f>+Z47*'1. Standard_Cost'!$B$23+AA47*'1. Standard_Cost'!$C$23</f>
        <v>0</v>
      </c>
      <c r="AC47" s="128"/>
      <c r="AD47" s="129"/>
      <c r="AE47" s="127">
        <f>SUM(AD47,AC47,AB47,Y47,U47,T47,S47,R47)*'1. Standard_Cost'!$B$31</f>
        <v>0</v>
      </c>
      <c r="AF47" s="127">
        <f>SUM(AE47,AD47,AC47,AB47,Y47,U47,T47,S47,R47)</f>
        <v>0</v>
      </c>
      <c r="AG47" s="126"/>
      <c r="AH47" s="126"/>
      <c r="AI47" s="126"/>
      <c r="AJ47" s="130"/>
      <c r="AK47" s="130"/>
      <c r="AL47" s="130"/>
      <c r="AM47" s="127">
        <f>AG47*'1. Standard_Cost'!$B$27+'Incremental_Cost Year 8'!AH47*'1. Standard_Cost'!$C$27+'Incremental_Cost Year 8'!AI47*'1. Standard_Cost'!$D$27+'Incremental_Cost Year 8'!AJ47+'Incremental_Cost Year 8'!AL47+AK47</f>
        <v>0</v>
      </c>
      <c r="AN47" s="127">
        <f>AM47*'1. Standard_Cost'!$C$31</f>
        <v>0</v>
      </c>
      <c r="AO47" s="130"/>
      <c r="AQ47" s="171">
        <f>L47+M47</f>
        <v>0</v>
      </c>
      <c r="AR47" s="171">
        <f>AF47</f>
        <v>0</v>
      </c>
      <c r="AS47" s="171">
        <f>AM47+AN47</f>
        <v>0</v>
      </c>
      <c r="AT47" s="171">
        <f>SUM(AQ47,AR47,AS47)</f>
        <v>0</v>
      </c>
      <c r="AU47" s="250"/>
      <c r="AV47" s="250"/>
      <c r="AW47" s="250"/>
      <c r="AX47" s="250"/>
      <c r="AY47" s="250"/>
      <c r="AZ47" s="250"/>
      <c r="BA47" s="250"/>
      <c r="BB47" s="251">
        <f t="shared" si="37"/>
        <v>0</v>
      </c>
      <c r="BC47" s="169"/>
      <c r="BD47" s="169"/>
      <c r="BE47" s="169"/>
      <c r="BF47" s="169"/>
    </row>
    <row r="48" spans="1:58" ht="61.9" customHeight="1" outlineLevel="2" x14ac:dyDescent="0.25">
      <c r="A48" s="115"/>
      <c r="B48" s="200"/>
      <c r="C48" s="201"/>
      <c r="D48" s="135"/>
      <c r="E48" s="219"/>
      <c r="F48" s="219"/>
      <c r="G48" s="313"/>
      <c r="H48" s="199" t="s">
        <v>308</v>
      </c>
      <c r="I48" s="130"/>
      <c r="J48" s="126"/>
      <c r="K48" s="126"/>
      <c r="L48" s="125" t="str">
        <f>IF(I48&lt;&gt;0,((VLOOKUP(I48,'1. Standard_Cost'!$B$4:$D$11,2)+VLOOKUP(I48,'1. Standard_Cost'!$B$4:$D$11,3))*J48*K48),"0")</f>
        <v>0</v>
      </c>
      <c r="M48" s="125">
        <f>L48*'1. Standard_Cost'!$F$4</f>
        <v>0</v>
      </c>
      <c r="N48" s="126"/>
      <c r="O48" s="126"/>
      <c r="P48" s="126"/>
      <c r="Q48" s="126"/>
      <c r="R48" s="127">
        <f>'1. Standard_Cost'!$B$15*N48*P48</f>
        <v>0</v>
      </c>
      <c r="S48" s="127">
        <f>N48*O48*P48*'1. Standard_Cost'!$C$15</f>
        <v>0</v>
      </c>
      <c r="T48" s="127">
        <f>N48*P48*Q48*'1. Standard_Cost'!$D$15</f>
        <v>0</v>
      </c>
      <c r="U48" s="127">
        <f>N48*O48*'1. Standard_Cost'!$E$15</f>
        <v>0</v>
      </c>
      <c r="V48" s="126"/>
      <c r="W48" s="126"/>
      <c r="X48" s="126"/>
      <c r="Y48" s="127">
        <f>+V48*((X48*'1. Standard_Cost'!$B$19)+(W48*X48*'1. Standard_Cost'!$C$19))</f>
        <v>0</v>
      </c>
      <c r="Z48" s="126"/>
      <c r="AA48" s="126"/>
      <c r="AB48" s="127">
        <f>+Z48*'1. Standard_Cost'!$B$23+AA48*'1. Standard_Cost'!$C$23</f>
        <v>0</v>
      </c>
      <c r="AC48" s="128"/>
      <c r="AD48" s="129"/>
      <c r="AE48" s="127">
        <f>SUM(AD48,AC48,AB48,Y48,U48,T48,S48,R48)*'1. Standard_Cost'!$B$31</f>
        <v>0</v>
      </c>
      <c r="AF48" s="127">
        <f>SUM(AE48,AD48,AC48,AB48,Y48,U48,T48,S48,R48)</f>
        <v>0</v>
      </c>
      <c r="AG48" s="126"/>
      <c r="AH48" s="126"/>
      <c r="AI48" s="126"/>
      <c r="AJ48" s="130"/>
      <c r="AK48" s="130"/>
      <c r="AL48" s="130"/>
      <c r="AM48" s="127">
        <f>AG48*'1. Standard_Cost'!$B$27+'Incremental_Cost Year 8'!AH48*'1. Standard_Cost'!$C$27+'Incremental_Cost Year 8'!AI48*'1. Standard_Cost'!$D$27+'Incremental_Cost Year 8'!AJ48+'Incremental_Cost Year 8'!AL48+AK48</f>
        <v>0</v>
      </c>
      <c r="AN48" s="127">
        <f>AM48*'1. Standard_Cost'!$C$31</f>
        <v>0</v>
      </c>
      <c r="AO48" s="249"/>
      <c r="AQ48" s="171">
        <f>L48+M48</f>
        <v>0</v>
      </c>
      <c r="AR48" s="171">
        <f>AF48</f>
        <v>0</v>
      </c>
      <c r="AS48" s="171">
        <f>AM48+AN48</f>
        <v>0</v>
      </c>
      <c r="AT48" s="171">
        <f>SUM(AQ48,AR48,AS48)</f>
        <v>0</v>
      </c>
      <c r="AU48" s="250"/>
      <c r="AV48" s="250"/>
      <c r="AW48" s="250"/>
      <c r="AX48" s="250"/>
      <c r="AY48" s="250"/>
      <c r="AZ48" s="250"/>
      <c r="BA48" s="250"/>
      <c r="BB48" s="251">
        <f t="shared" si="37"/>
        <v>0</v>
      </c>
      <c r="BC48" s="169"/>
      <c r="BD48" s="169"/>
      <c r="BE48" s="169"/>
      <c r="BF48" s="169"/>
    </row>
    <row r="49" spans="1:58" ht="61.9" customHeight="1" outlineLevel="2" x14ac:dyDescent="0.25">
      <c r="A49" s="115"/>
      <c r="B49" s="200"/>
      <c r="C49" s="201"/>
      <c r="D49" s="223"/>
      <c r="E49" s="219"/>
      <c r="F49" s="219"/>
      <c r="G49" s="313"/>
      <c r="H49" s="199" t="s">
        <v>398</v>
      </c>
      <c r="I49" s="130"/>
      <c r="J49" s="126"/>
      <c r="K49" s="126"/>
      <c r="L49" s="125" t="str">
        <f>IF(I49&lt;&gt;0,((VLOOKUP(I49,'1. Standard_Cost'!$B$4:$D$11,2)+VLOOKUP(I49,'1. Standard_Cost'!$B$4:$D$11,3))*J49*K49),"0")</f>
        <v>0</v>
      </c>
      <c r="M49" s="125">
        <f>L49*'1. Standard_Cost'!$F$4</f>
        <v>0</v>
      </c>
      <c r="N49" s="126"/>
      <c r="O49" s="126"/>
      <c r="P49" s="126"/>
      <c r="Q49" s="126"/>
      <c r="R49" s="127">
        <f>'1. Standard_Cost'!$B$15*N49*P49</f>
        <v>0</v>
      </c>
      <c r="S49" s="127">
        <f>N49*O49*P49*'1. Standard_Cost'!$C$15</f>
        <v>0</v>
      </c>
      <c r="T49" s="127">
        <f>N49*P49*Q49*'1. Standard_Cost'!$D$15</f>
        <v>0</v>
      </c>
      <c r="U49" s="127">
        <f>N49*O49*'1. Standard_Cost'!$E$15</f>
        <v>0</v>
      </c>
      <c r="V49" s="126"/>
      <c r="W49" s="126"/>
      <c r="X49" s="126"/>
      <c r="Y49" s="127">
        <f>+V49*((X49*'1. Standard_Cost'!$B$19)+(W49*X49*'1. Standard_Cost'!$C$19))</f>
        <v>0</v>
      </c>
      <c r="Z49" s="126"/>
      <c r="AA49" s="126"/>
      <c r="AB49" s="127">
        <f>+Z49*'1. Standard_Cost'!$B$23+AA49*'1. Standard_Cost'!$C$23</f>
        <v>0</v>
      </c>
      <c r="AC49" s="128">
        <v>0</v>
      </c>
      <c r="AD49" s="129"/>
      <c r="AE49" s="127">
        <f>SUM(AD49,AC49,AB49,Y49,U49,T49,S49,R49)*'1. Standard_Cost'!$B$31</f>
        <v>0</v>
      </c>
      <c r="AF49" s="127">
        <f>SUM(AE49,AD49,AC49,AB49,Y49,U49,T49,S49,R49)</f>
        <v>0</v>
      </c>
      <c r="AG49" s="126"/>
      <c r="AH49" s="126"/>
      <c r="AI49" s="126"/>
      <c r="AJ49" s="130"/>
      <c r="AK49" s="130"/>
      <c r="AL49" s="130"/>
      <c r="AM49" s="127">
        <f>AG49*'1. Standard_Cost'!$B$27+'Incremental_Cost Year 8'!AH49*'1. Standard_Cost'!$C$27+'Incremental_Cost Year 8'!AI49*'1. Standard_Cost'!$D$27+'Incremental_Cost Year 8'!AJ49+'Incremental_Cost Year 8'!AL49+AK49</f>
        <v>0</v>
      </c>
      <c r="AN49" s="127">
        <f>AM49*'1. Standard_Cost'!$C$31</f>
        <v>0</v>
      </c>
      <c r="AO49" s="130"/>
      <c r="AQ49" s="171">
        <f>L49+M49</f>
        <v>0</v>
      </c>
      <c r="AR49" s="171">
        <f>AF49</f>
        <v>0</v>
      </c>
      <c r="AS49" s="171">
        <f>AM49+AN49</f>
        <v>0</v>
      </c>
      <c r="AT49" s="171">
        <f>SUM(AQ49,AR49,AS49)</f>
        <v>0</v>
      </c>
      <c r="AU49" s="250"/>
      <c r="AV49" s="250"/>
      <c r="AW49" s="250"/>
      <c r="AX49" s="250"/>
      <c r="AY49" s="250"/>
      <c r="AZ49" s="250"/>
      <c r="BA49" s="250"/>
      <c r="BB49" s="251">
        <f t="shared" si="37"/>
        <v>0</v>
      </c>
      <c r="BC49" s="169"/>
      <c r="BD49" s="169"/>
      <c r="BE49" s="169"/>
      <c r="BF49" s="169"/>
    </row>
    <row r="50" spans="1:58" ht="61.9" customHeight="1" outlineLevel="1" x14ac:dyDescent="0.25">
      <c r="A50" s="115"/>
      <c r="B50" s="165"/>
      <c r="C50" s="166"/>
      <c r="D50" s="107" t="s">
        <v>388</v>
      </c>
      <c r="E50" s="139" t="s">
        <v>211</v>
      </c>
      <c r="F50" s="222">
        <v>2021</v>
      </c>
      <c r="G50" s="117">
        <v>2023</v>
      </c>
      <c r="H50" s="134" t="s">
        <v>212</v>
      </c>
      <c r="I50" s="252"/>
      <c r="J50" s="252"/>
      <c r="K50" s="252"/>
      <c r="L50" s="127">
        <f>SUM(L46:L49)</f>
        <v>0</v>
      </c>
      <c r="M50" s="127">
        <f>SUM(M46:M49)</f>
        <v>0</v>
      </c>
      <c r="N50" s="127"/>
      <c r="O50" s="252"/>
      <c r="P50" s="252"/>
      <c r="Q50" s="252"/>
      <c r="R50" s="127">
        <f>SUM(R46:R49)</f>
        <v>0</v>
      </c>
      <c r="S50" s="127">
        <f>SUM(S46:S49)</f>
        <v>0</v>
      </c>
      <c r="T50" s="127">
        <f>SUM(T46:T49)</f>
        <v>0</v>
      </c>
      <c r="U50" s="127">
        <f>SUM(U46:U49)</f>
        <v>0</v>
      </c>
      <c r="V50" s="252"/>
      <c r="W50" s="252"/>
      <c r="X50" s="252"/>
      <c r="Y50" s="127">
        <f>SUM(Y46:Y49)</f>
        <v>0</v>
      </c>
      <c r="Z50" s="252"/>
      <c r="AA50" s="252"/>
      <c r="AB50" s="127">
        <f>SUM(AB46:AB49)</f>
        <v>0</v>
      </c>
      <c r="AC50" s="127">
        <f>SUM(AC46:AC49)</f>
        <v>0</v>
      </c>
      <c r="AD50" s="127">
        <f>SUM(AD46:AD49)</f>
        <v>0</v>
      </c>
      <c r="AE50" s="127">
        <f>SUM(AE46:AE49)</f>
        <v>0</v>
      </c>
      <c r="AF50" s="127">
        <f>SUM(AF46:AF49)</f>
        <v>0</v>
      </c>
      <c r="AG50" s="252"/>
      <c r="AH50" s="252"/>
      <c r="AI50" s="252"/>
      <c r="AJ50" s="127">
        <f>SUM(AJ46:AJ49)</f>
        <v>0</v>
      </c>
      <c r="AK50" s="127">
        <f>SUM(AK46:AK49)</f>
        <v>0</v>
      </c>
      <c r="AL50" s="127">
        <f>SUM(AL46:AL49)</f>
        <v>0</v>
      </c>
      <c r="AM50" s="127">
        <f>SUM(AM46:AM49)</f>
        <v>0</v>
      </c>
      <c r="AN50" s="127">
        <f>SUM(AN46:AN49)</f>
        <v>0</v>
      </c>
      <c r="AO50" s="253"/>
      <c r="AP50" s="254"/>
      <c r="AQ50" s="175">
        <f>SUM(AQ46:AQ49)</f>
        <v>0</v>
      </c>
      <c r="AR50" s="175">
        <f>SUM(AR46:AR49)</f>
        <v>0</v>
      </c>
      <c r="AS50" s="175">
        <f>SUM(AS46:AS49)</f>
        <v>0</v>
      </c>
      <c r="AT50" s="175">
        <f>SUM(AT46:AT49)</f>
        <v>0</v>
      </c>
      <c r="AU50" s="175">
        <f t="shared" ref="AU50:BB50" si="38">SUM(AU46:AU49)</f>
        <v>0</v>
      </c>
      <c r="AV50" s="175">
        <f t="shared" si="38"/>
        <v>0</v>
      </c>
      <c r="AW50" s="175">
        <f t="shared" si="38"/>
        <v>0</v>
      </c>
      <c r="AX50" s="175">
        <f t="shared" si="38"/>
        <v>0</v>
      </c>
      <c r="AY50" s="175">
        <f t="shared" si="38"/>
        <v>0</v>
      </c>
      <c r="AZ50" s="175">
        <f t="shared" si="38"/>
        <v>0</v>
      </c>
      <c r="BA50" s="175">
        <f t="shared" si="38"/>
        <v>0</v>
      </c>
      <c r="BB50" s="175">
        <f t="shared" si="38"/>
        <v>0</v>
      </c>
      <c r="BC50" s="169"/>
      <c r="BD50" s="169"/>
      <c r="BE50" s="169"/>
      <c r="BF50" s="169"/>
    </row>
    <row r="51" spans="1:58" ht="61.9" customHeight="1" outlineLevel="2" x14ac:dyDescent="0.25">
      <c r="A51" s="115"/>
      <c r="B51" s="200"/>
      <c r="C51" s="201"/>
      <c r="D51" s="138"/>
      <c r="E51" s="295"/>
      <c r="F51" s="295"/>
      <c r="G51" s="296"/>
      <c r="H51" s="199" t="s">
        <v>399</v>
      </c>
      <c r="I51" s="130"/>
      <c r="J51" s="126"/>
      <c r="K51" s="126"/>
      <c r="L51" s="125" t="str">
        <f>IF(I51&lt;&gt;0,((VLOOKUP(I51,'1. Standard_Cost'!$B$4:$D$11,2)+VLOOKUP(I51,'1. Standard_Cost'!$B$4:$D$11,3))*J51*K51),"0")</f>
        <v>0</v>
      </c>
      <c r="M51" s="125">
        <f>L51*'1. Standard_Cost'!$F$4</f>
        <v>0</v>
      </c>
      <c r="N51" s="126"/>
      <c r="O51" s="126"/>
      <c r="P51" s="126"/>
      <c r="Q51" s="126"/>
      <c r="R51" s="127">
        <f>'1. Standard_Cost'!$B$15*N51*P51</f>
        <v>0</v>
      </c>
      <c r="S51" s="127">
        <f>N51*O51*P51*'1. Standard_Cost'!$C$15</f>
        <v>0</v>
      </c>
      <c r="T51" s="127">
        <f>N51*P51*Q51*'1. Standard_Cost'!$D$15</f>
        <v>0</v>
      </c>
      <c r="U51" s="127">
        <f>N51*O51*'1. Standard_Cost'!$E$15</f>
        <v>0</v>
      </c>
      <c r="V51" s="126"/>
      <c r="W51" s="126"/>
      <c r="X51" s="126"/>
      <c r="Y51" s="127">
        <f>+V51*((X51*'1. Standard_Cost'!$B$19)+(W51*X51*'1. Standard_Cost'!$C$19))</f>
        <v>0</v>
      </c>
      <c r="Z51" s="126"/>
      <c r="AA51" s="126"/>
      <c r="AB51" s="127">
        <f>+Z51*'1. Standard_Cost'!$B$23+AA51*'1. Standard_Cost'!$C$23</f>
        <v>0</v>
      </c>
      <c r="AC51" s="128"/>
      <c r="AD51" s="129"/>
      <c r="AE51" s="127">
        <f>SUM(AD51,AC51,AB51,Y51,U51,T51,S51,R51)*'1. Standard_Cost'!$B$31</f>
        <v>0</v>
      </c>
      <c r="AF51" s="127">
        <f>SUM(AE51,AD51,AC51,AB51,Y51,U51,T51,S51,R51)</f>
        <v>0</v>
      </c>
      <c r="AG51" s="126"/>
      <c r="AH51" s="126"/>
      <c r="AI51" s="126"/>
      <c r="AJ51" s="130"/>
      <c r="AK51" s="130"/>
      <c r="AL51" s="130"/>
      <c r="AM51" s="127">
        <f>AG51*'1. Standard_Cost'!$B$27+'Incremental_Cost Year 8'!AH51*'1. Standard_Cost'!$C$27+'Incremental_Cost Year 8'!AI51*'1. Standard_Cost'!$D$27+'Incremental_Cost Year 8'!AJ51+'Incremental_Cost Year 8'!AL51+AK51</f>
        <v>0</v>
      </c>
      <c r="AN51" s="127">
        <f>AM51*'1. Standard_Cost'!$C$31</f>
        <v>0</v>
      </c>
      <c r="AO51" s="249"/>
      <c r="AQ51" s="171">
        <f>L51+M51</f>
        <v>0</v>
      </c>
      <c r="AR51" s="171">
        <f>AF51</f>
        <v>0</v>
      </c>
      <c r="AS51" s="171">
        <f>AM51+AN51</f>
        <v>0</v>
      </c>
      <c r="AT51" s="171">
        <f>SUM(AQ51,AR51,AS51)</f>
        <v>0</v>
      </c>
      <c r="AU51" s="250">
        <f>AQ51</f>
        <v>0</v>
      </c>
      <c r="AV51" s="250"/>
      <c r="AW51" s="250"/>
      <c r="AX51" s="250"/>
      <c r="AY51" s="250">
        <f>AR51</f>
        <v>0</v>
      </c>
      <c r="AZ51" s="250"/>
      <c r="BA51" s="250"/>
      <c r="BB51" s="251">
        <f t="shared" ref="BB51:BB55" si="39">SUM(AU51:BA51)-AT51</f>
        <v>0</v>
      </c>
      <c r="BC51" s="169"/>
      <c r="BD51" s="169"/>
      <c r="BE51" s="169"/>
      <c r="BF51" s="169"/>
    </row>
    <row r="52" spans="1:58" ht="61.9" customHeight="1" outlineLevel="2" x14ac:dyDescent="0.25">
      <c r="A52" s="115"/>
      <c r="B52" s="200"/>
      <c r="C52" s="201"/>
      <c r="D52" s="135"/>
      <c r="E52" s="219"/>
      <c r="F52" s="219"/>
      <c r="G52" s="313"/>
      <c r="H52" s="213" t="s">
        <v>400</v>
      </c>
      <c r="I52" s="130" t="s">
        <v>1</v>
      </c>
      <c r="J52" s="126">
        <v>12</v>
      </c>
      <c r="K52" s="126">
        <f>416*3</f>
        <v>1248</v>
      </c>
      <c r="L52" s="125">
        <f>IF(I52&lt;&gt;0,((VLOOKUP(I52,'1. Standard_Cost'!$B$4:$D$11,2)+VLOOKUP(I52,'1. Standard_Cost'!$B$4:$D$11,3))*J52*K52),"0")</f>
        <v>1075169828.5714285</v>
      </c>
      <c r="M52" s="125">
        <f>L52*'1. Standard_Cost'!$F$4</f>
        <v>179553361.37142858</v>
      </c>
      <c r="N52" s="126"/>
      <c r="O52" s="126"/>
      <c r="P52" s="126"/>
      <c r="Q52" s="126"/>
      <c r="R52" s="127">
        <f>'1. Standard_Cost'!$B$15*N52*P52</f>
        <v>0</v>
      </c>
      <c r="S52" s="127">
        <f>N52*O52*P52*'1. Standard_Cost'!$C$15</f>
        <v>0</v>
      </c>
      <c r="T52" s="127">
        <f>N52*P52*Q52*'1. Standard_Cost'!$D$15</f>
        <v>0</v>
      </c>
      <c r="U52" s="127">
        <f>N52*O52*'1. Standard_Cost'!$E$15</f>
        <v>0</v>
      </c>
      <c r="V52" s="126"/>
      <c r="W52" s="126"/>
      <c r="X52" s="126"/>
      <c r="Y52" s="127">
        <f>+V52*((X52*'1. Standard_Cost'!$B$19)+(W52*X52*'1. Standard_Cost'!$C$19))</f>
        <v>0</v>
      </c>
      <c r="Z52" s="126"/>
      <c r="AA52" s="126"/>
      <c r="AB52" s="127">
        <f>+Z52*'1. Standard_Cost'!$B$23+AA52*'1. Standard_Cost'!$C$23</f>
        <v>0</v>
      </c>
      <c r="AC52" s="128">
        <f>100000/12*3*402</f>
        <v>10050000</v>
      </c>
      <c r="AD52" s="129"/>
      <c r="AE52" s="127"/>
      <c r="AF52" s="127">
        <f>SUM(AE52,AD52,AC52,AB52,Y52,U52,T52,S52,R52)</f>
        <v>10050000</v>
      </c>
      <c r="AG52" s="126"/>
      <c r="AH52" s="126"/>
      <c r="AI52" s="126"/>
      <c r="AJ52" s="130"/>
      <c r="AK52" s="130"/>
      <c r="AL52" s="130"/>
      <c r="AM52" s="127">
        <f>AG52*'1. Standard_Cost'!$B$27+'Incremental_Cost Year 8'!AH52*'1. Standard_Cost'!$C$27+'Incremental_Cost Year 8'!AI52*'1. Standard_Cost'!$D$27+'Incremental_Cost Year 8'!AJ52+'Incremental_Cost Year 8'!AL52+AK52</f>
        <v>0</v>
      </c>
      <c r="AN52" s="127">
        <f>AM52*'1. Standard_Cost'!$C$31</f>
        <v>0</v>
      </c>
      <c r="AO52" s="130"/>
      <c r="AQ52" s="171">
        <f>L52+M52</f>
        <v>1254723189.942857</v>
      </c>
      <c r="AR52" s="171">
        <f>AF52</f>
        <v>10050000</v>
      </c>
      <c r="AS52" s="171">
        <f>AM52+AN52</f>
        <v>0</v>
      </c>
      <c r="AT52" s="171">
        <f>SUM(AQ52,AR52,AS52)</f>
        <v>1264773189.942857</v>
      </c>
      <c r="AU52" s="250">
        <f>AT52</f>
        <v>1264773189.942857</v>
      </c>
      <c r="AV52" s="250"/>
      <c r="AW52" s="250"/>
      <c r="AX52" s="250"/>
      <c r="AY52" s="250"/>
      <c r="AZ52" s="250"/>
      <c r="BA52" s="250"/>
      <c r="BB52" s="251">
        <f t="shared" si="39"/>
        <v>0</v>
      </c>
      <c r="BC52" s="169"/>
      <c r="BD52" s="169"/>
      <c r="BE52" s="169"/>
      <c r="BF52" s="169"/>
    </row>
    <row r="53" spans="1:58" ht="61.9" customHeight="1" outlineLevel="2" x14ac:dyDescent="0.25">
      <c r="A53" s="115"/>
      <c r="B53" s="200"/>
      <c r="C53" s="201"/>
      <c r="D53" s="135"/>
      <c r="E53" s="219"/>
      <c r="F53" s="219"/>
      <c r="G53" s="313"/>
      <c r="H53" s="199" t="s">
        <v>227</v>
      </c>
      <c r="I53" s="130" t="s">
        <v>3</v>
      </c>
      <c r="J53" s="126">
        <v>6</v>
      </c>
      <c r="K53" s="126">
        <v>1</v>
      </c>
      <c r="L53" s="125">
        <f>IF(I53&lt;&gt;0,((VLOOKUP(I53,'1. Standard_Cost'!$B$4:$D$11,2)+VLOOKUP(I53,'1. Standard_Cost'!$B$4:$D$11,3))*J53*K53),"0")</f>
        <v>604800</v>
      </c>
      <c r="M53" s="125">
        <f>L53*'1. Standard_Cost'!$F$4</f>
        <v>101001.60000000001</v>
      </c>
      <c r="N53" s="126"/>
      <c r="O53" s="126"/>
      <c r="P53" s="126"/>
      <c r="Q53" s="126"/>
      <c r="R53" s="127">
        <f>'1. Standard_Cost'!$B$15*N53*P53</f>
        <v>0</v>
      </c>
      <c r="S53" s="127">
        <f>N53*O53*P53*'1. Standard_Cost'!$C$15</f>
        <v>0</v>
      </c>
      <c r="T53" s="127">
        <f>N53*P53*Q53*'1. Standard_Cost'!$D$15</f>
        <v>0</v>
      </c>
      <c r="U53" s="127">
        <f>N53*O53*'1. Standard_Cost'!$E$15</f>
        <v>0</v>
      </c>
      <c r="V53" s="126"/>
      <c r="W53" s="126"/>
      <c r="X53" s="126"/>
      <c r="Y53" s="127">
        <f>+V53*((X53*'1. Standard_Cost'!$B$19)+(W53*X53*'1. Standard_Cost'!$C$19))</f>
        <v>0</v>
      </c>
      <c r="Z53" s="126"/>
      <c r="AA53" s="126"/>
      <c r="AB53" s="127">
        <f>+Z53*'1. Standard_Cost'!$B$23+AA53*'1. Standard_Cost'!$C$23</f>
        <v>0</v>
      </c>
      <c r="AC53" s="128"/>
      <c r="AD53" s="129"/>
      <c r="AE53" s="127">
        <f>SUM(AD53,AC53,AB53,Y53,U53,T53,S53,R53)*'1. Standard_Cost'!$B$31</f>
        <v>0</v>
      </c>
      <c r="AF53" s="127">
        <f>SUM(AE53,AD53,AC53,AB53,Y53,U53,T53,S53,R53)</f>
        <v>0</v>
      </c>
      <c r="AG53" s="126"/>
      <c r="AH53" s="126"/>
      <c r="AI53" s="126"/>
      <c r="AJ53" s="130"/>
      <c r="AK53" s="130"/>
      <c r="AL53" s="130"/>
      <c r="AM53" s="127">
        <f>AG53*'1. Standard_Cost'!$B$27+'Incremental_Cost Year 8'!AH53*'1. Standard_Cost'!$C$27+'Incremental_Cost Year 8'!AI53*'1. Standard_Cost'!$D$27+'Incremental_Cost Year 8'!AJ53+'Incremental_Cost Year 8'!AL53+AK53</f>
        <v>0</v>
      </c>
      <c r="AN53" s="127">
        <f>AM53*'1. Standard_Cost'!$C$31</f>
        <v>0</v>
      </c>
      <c r="AO53" s="130"/>
      <c r="AQ53" s="171">
        <f>L53+M53</f>
        <v>705801.6</v>
      </c>
      <c r="AR53" s="171">
        <f>AF53</f>
        <v>0</v>
      </c>
      <c r="AS53" s="171">
        <f>AM53+AN53</f>
        <v>0</v>
      </c>
      <c r="AT53" s="171">
        <f>SUM(AQ53,AR53,AS53)</f>
        <v>705801.6</v>
      </c>
      <c r="AU53" s="250">
        <f>AQ53</f>
        <v>705801.6</v>
      </c>
      <c r="AV53" s="250"/>
      <c r="AW53" s="250"/>
      <c r="AX53" s="250"/>
      <c r="AY53" s="250"/>
      <c r="AZ53" s="250"/>
      <c r="BA53" s="250"/>
      <c r="BB53" s="251">
        <f t="shared" si="39"/>
        <v>0</v>
      </c>
      <c r="BC53" s="169"/>
      <c r="BD53" s="169"/>
      <c r="BE53" s="169"/>
      <c r="BF53" s="169"/>
    </row>
    <row r="54" spans="1:58" ht="61.9" customHeight="1" outlineLevel="2" x14ac:dyDescent="0.25">
      <c r="A54" s="115"/>
      <c r="B54" s="200"/>
      <c r="C54" s="201"/>
      <c r="D54" s="135"/>
      <c r="E54" s="219"/>
      <c r="F54" s="219"/>
      <c r="G54" s="313"/>
      <c r="H54" s="199" t="s">
        <v>228</v>
      </c>
      <c r="I54" s="130" t="s">
        <v>5</v>
      </c>
      <c r="J54" s="126">
        <v>0.2</v>
      </c>
      <c r="K54" s="126">
        <v>1</v>
      </c>
      <c r="L54" s="125">
        <f>IF(I54&lt;&gt;0,((VLOOKUP(I54,'1. Standard_Cost'!$B$4:$D$11,2)+VLOOKUP(I54,'1. Standard_Cost'!$B$4:$D$11,3))*J54*K54),"0")</f>
        <v>14140</v>
      </c>
      <c r="M54" s="125">
        <f>L54*'1. Standard_Cost'!$F$4</f>
        <v>2361.38</v>
      </c>
      <c r="N54" s="126"/>
      <c r="O54" s="126"/>
      <c r="P54" s="126"/>
      <c r="Q54" s="126"/>
      <c r="R54" s="127">
        <f>'1. Standard_Cost'!$B$15*N54*P54</f>
        <v>0</v>
      </c>
      <c r="S54" s="127">
        <f>N54*O54*P54*'1. Standard_Cost'!$C$15</f>
        <v>0</v>
      </c>
      <c r="T54" s="127">
        <f>N54*P54*Q54*'1. Standard_Cost'!$D$15</f>
        <v>0</v>
      </c>
      <c r="U54" s="127">
        <f>N54*O54*'1. Standard_Cost'!$E$15</f>
        <v>0</v>
      </c>
      <c r="V54" s="126"/>
      <c r="W54" s="126"/>
      <c r="X54" s="126"/>
      <c r="Y54" s="127">
        <f>+V54*((X54*'1. Standard_Cost'!$B$19)+(W54*X54*'1. Standard_Cost'!$C$19))</f>
        <v>0</v>
      </c>
      <c r="Z54" s="126"/>
      <c r="AA54" s="126"/>
      <c r="AB54" s="127">
        <f>+Z54*'1. Standard_Cost'!$B$23+AA54*'1. Standard_Cost'!$C$23</f>
        <v>0</v>
      </c>
      <c r="AC54" s="128"/>
      <c r="AD54" s="129"/>
      <c r="AE54" s="127">
        <f>SUM(AD54,AC54,AB54,Y54,U54,T54,S54,R54)*'1. Standard_Cost'!$B$31</f>
        <v>0</v>
      </c>
      <c r="AF54" s="127">
        <f>SUM(AE54,AD54,AC54,AB54,Y54,U54,T54,S54,R54)</f>
        <v>0</v>
      </c>
      <c r="AG54" s="126"/>
      <c r="AH54" s="126"/>
      <c r="AI54" s="126"/>
      <c r="AJ54" s="130"/>
      <c r="AK54" s="130"/>
      <c r="AL54" s="130"/>
      <c r="AM54" s="127">
        <f>AG54*'1. Standard_Cost'!$B$27+'Incremental_Cost Year 8'!AH54*'1. Standard_Cost'!$C$27+'Incremental_Cost Year 8'!AI54*'1. Standard_Cost'!$D$27+'Incremental_Cost Year 8'!AJ54+'Incremental_Cost Year 8'!AL54+AK54</f>
        <v>0</v>
      </c>
      <c r="AN54" s="127">
        <f>AM54*'1. Standard_Cost'!$C$31</f>
        <v>0</v>
      </c>
      <c r="AO54" s="130"/>
      <c r="AQ54" s="171">
        <f>L54+M54</f>
        <v>16501.38</v>
      </c>
      <c r="AR54" s="171">
        <f>AF54</f>
        <v>0</v>
      </c>
      <c r="AS54" s="171">
        <f>AM54+AN54</f>
        <v>0</v>
      </c>
      <c r="AT54" s="171">
        <f>SUM(AQ54,AR54,AS54)</f>
        <v>16501.38</v>
      </c>
      <c r="AU54" s="250">
        <f>AQ54</f>
        <v>16501.38</v>
      </c>
      <c r="AV54" s="250"/>
      <c r="AW54" s="250"/>
      <c r="AX54" s="250"/>
      <c r="AY54" s="250"/>
      <c r="AZ54" s="250"/>
      <c r="BA54" s="250"/>
      <c r="BB54" s="251">
        <f t="shared" si="39"/>
        <v>0</v>
      </c>
      <c r="BC54" s="169"/>
      <c r="BD54" s="169"/>
      <c r="BE54" s="169"/>
      <c r="BF54" s="169"/>
    </row>
    <row r="55" spans="1:58" ht="61.9" customHeight="1" outlineLevel="2" x14ac:dyDescent="0.25">
      <c r="A55" s="115"/>
      <c r="B55" s="200"/>
      <c r="C55" s="201"/>
      <c r="D55" s="223"/>
      <c r="E55" s="219"/>
      <c r="F55" s="219"/>
      <c r="G55" s="313"/>
      <c r="H55" s="199" t="s">
        <v>229</v>
      </c>
      <c r="I55" s="130" t="s">
        <v>3</v>
      </c>
      <c r="J55" s="126">
        <v>1</v>
      </c>
      <c r="K55" s="126">
        <v>1</v>
      </c>
      <c r="L55" s="125">
        <f>IF(I55&lt;&gt;0,((VLOOKUP(I55,'1. Standard_Cost'!$B$4:$D$11,2)+VLOOKUP(I55,'1. Standard_Cost'!$B$4:$D$11,3))*J55*K55),"0")</f>
        <v>100800</v>
      </c>
      <c r="M55" s="125">
        <f>L55*'1. Standard_Cost'!$F$4</f>
        <v>16833.600000000002</v>
      </c>
      <c r="N55" s="126"/>
      <c r="O55" s="126"/>
      <c r="P55" s="126"/>
      <c r="Q55" s="126"/>
      <c r="R55" s="127">
        <f>'1. Standard_Cost'!$B$15*N55*P55</f>
        <v>0</v>
      </c>
      <c r="S55" s="127">
        <f>N55*O55*P55*'1. Standard_Cost'!$C$15</f>
        <v>0</v>
      </c>
      <c r="T55" s="127">
        <f>N55*P55*Q55*'1. Standard_Cost'!$D$15</f>
        <v>0</v>
      </c>
      <c r="U55" s="127">
        <f>N55*O55*'1. Standard_Cost'!$E$15</f>
        <v>0</v>
      </c>
      <c r="V55" s="126"/>
      <c r="W55" s="126"/>
      <c r="X55" s="126"/>
      <c r="Y55" s="127">
        <f>+V55*((X55*'1. Standard_Cost'!$B$19)+(W55*X55*'1. Standard_Cost'!$C$19))</f>
        <v>0</v>
      </c>
      <c r="Z55" s="126"/>
      <c r="AA55" s="126"/>
      <c r="AB55" s="127">
        <f>+Z55*'1. Standard_Cost'!$B$23+AA55*'1. Standard_Cost'!$C$23</f>
        <v>0</v>
      </c>
      <c r="AC55" s="128"/>
      <c r="AD55" s="129"/>
      <c r="AE55" s="127">
        <f>SUM(AD55,AC55,AB55,Y55,U55,T55,S55,R55)*'1. Standard_Cost'!$B$31</f>
        <v>0</v>
      </c>
      <c r="AF55" s="127">
        <f>SUM(AE55,AD55,AC55,AB55,Y55,U55,T55,S55,R55)</f>
        <v>0</v>
      </c>
      <c r="AG55" s="126"/>
      <c r="AH55" s="126"/>
      <c r="AI55" s="126"/>
      <c r="AJ55" s="130"/>
      <c r="AK55" s="130"/>
      <c r="AL55" s="130"/>
      <c r="AM55" s="127">
        <f>AG55*'1. Standard_Cost'!$B$27+'Incremental_Cost Year 8'!AH55*'1. Standard_Cost'!$C$27+'Incremental_Cost Year 8'!AI55*'1. Standard_Cost'!$D$27+'Incremental_Cost Year 8'!AJ55+'Incremental_Cost Year 8'!AL55+AK55</f>
        <v>0</v>
      </c>
      <c r="AN55" s="127">
        <f>AM55*'1. Standard_Cost'!$C$31</f>
        <v>0</v>
      </c>
      <c r="AO55" s="130"/>
      <c r="AQ55" s="171">
        <f>L55+M55</f>
        <v>117633.60000000001</v>
      </c>
      <c r="AR55" s="171">
        <f>AF55</f>
        <v>0</v>
      </c>
      <c r="AS55" s="171">
        <f>AM55+AN55</f>
        <v>0</v>
      </c>
      <c r="AT55" s="171">
        <f>SUM(AQ55,AR55,AS55)</f>
        <v>117633.60000000001</v>
      </c>
      <c r="AU55" s="250">
        <f>AQ55</f>
        <v>117633.60000000001</v>
      </c>
      <c r="AV55" s="250"/>
      <c r="AW55" s="250"/>
      <c r="AX55" s="250"/>
      <c r="AY55" s="250"/>
      <c r="AZ55" s="250"/>
      <c r="BA55" s="250"/>
      <c r="BB55" s="251">
        <f t="shared" si="39"/>
        <v>0</v>
      </c>
      <c r="BC55" s="169"/>
      <c r="BD55" s="169"/>
      <c r="BE55" s="169"/>
      <c r="BF55" s="169"/>
    </row>
    <row r="56" spans="1:58" ht="61.9" customHeight="1" outlineLevel="1" x14ac:dyDescent="0.25">
      <c r="A56" s="115"/>
      <c r="B56" s="165"/>
      <c r="C56" s="166"/>
      <c r="D56" s="107" t="s">
        <v>401</v>
      </c>
      <c r="E56" s="139" t="s">
        <v>214</v>
      </c>
      <c r="F56" s="222">
        <v>2021</v>
      </c>
      <c r="G56" s="117">
        <v>2030</v>
      </c>
      <c r="H56" s="134" t="s">
        <v>215</v>
      </c>
      <c r="I56" s="252"/>
      <c r="J56" s="252"/>
      <c r="K56" s="252"/>
      <c r="L56" s="127">
        <f>SUM(L51:L55)</f>
        <v>1075889568.5714285</v>
      </c>
      <c r="M56" s="127">
        <f>SUM(M51:M55)</f>
        <v>179673557.95142856</v>
      </c>
      <c r="N56" s="127"/>
      <c r="O56" s="252"/>
      <c r="P56" s="252"/>
      <c r="Q56" s="252"/>
      <c r="R56" s="127">
        <f>SUM(R51:R55)</f>
        <v>0</v>
      </c>
      <c r="S56" s="127">
        <f>SUM(S51:S55)</f>
        <v>0</v>
      </c>
      <c r="T56" s="127">
        <f>SUM(T51:T55)</f>
        <v>0</v>
      </c>
      <c r="U56" s="127">
        <f>SUM(U51:U55)</f>
        <v>0</v>
      </c>
      <c r="V56" s="252"/>
      <c r="W56" s="252"/>
      <c r="X56" s="252"/>
      <c r="Y56" s="127">
        <f>SUM(Y51:Y55)</f>
        <v>0</v>
      </c>
      <c r="Z56" s="252"/>
      <c r="AA56" s="252"/>
      <c r="AB56" s="127">
        <f>SUM(AB51:AB55)</f>
        <v>0</v>
      </c>
      <c r="AC56" s="127">
        <f>SUM(AC51:AC55)</f>
        <v>10050000</v>
      </c>
      <c r="AD56" s="127">
        <f>SUM(AD51:AD55)</f>
        <v>0</v>
      </c>
      <c r="AE56" s="127">
        <f>SUM(AE51:AE55)</f>
        <v>0</v>
      </c>
      <c r="AF56" s="127">
        <f>SUM(AF51:AF55)</f>
        <v>10050000</v>
      </c>
      <c r="AG56" s="252"/>
      <c r="AH56" s="252"/>
      <c r="AI56" s="252"/>
      <c r="AJ56" s="127">
        <f>SUM(AJ51:AJ55)</f>
        <v>0</v>
      </c>
      <c r="AK56" s="127">
        <f>SUM(AK51:AK55)</f>
        <v>0</v>
      </c>
      <c r="AL56" s="127">
        <f>SUM(AL51:AL55)</f>
        <v>0</v>
      </c>
      <c r="AM56" s="127">
        <f>SUM(AM51:AM55)</f>
        <v>0</v>
      </c>
      <c r="AN56" s="127">
        <f>SUM(AN51:AN55)</f>
        <v>0</v>
      </c>
      <c r="AO56" s="253"/>
      <c r="AP56" s="254"/>
      <c r="AQ56" s="175">
        <f>SUM(AQ51:AQ55)</f>
        <v>1255563126.522857</v>
      </c>
      <c r="AR56" s="175">
        <f>SUM(AR51:AR55)</f>
        <v>10050000</v>
      </c>
      <c r="AS56" s="175">
        <f>SUM(AS51:AS55)</f>
        <v>0</v>
      </c>
      <c r="AT56" s="175">
        <f>SUM(AT51:AT55)</f>
        <v>1265613126.522857</v>
      </c>
      <c r="AU56" s="175">
        <f t="shared" ref="AU56:BB56" si="40">SUM(AU51:AU55)</f>
        <v>1265613126.522857</v>
      </c>
      <c r="AV56" s="175">
        <f t="shared" si="40"/>
        <v>0</v>
      </c>
      <c r="AW56" s="175">
        <f t="shared" si="40"/>
        <v>0</v>
      </c>
      <c r="AX56" s="175">
        <f t="shared" si="40"/>
        <v>0</v>
      </c>
      <c r="AY56" s="175">
        <f t="shared" si="40"/>
        <v>0</v>
      </c>
      <c r="AZ56" s="175">
        <f t="shared" si="40"/>
        <v>0</v>
      </c>
      <c r="BA56" s="175">
        <f t="shared" si="40"/>
        <v>0</v>
      </c>
      <c r="BB56" s="175">
        <f t="shared" si="40"/>
        <v>0</v>
      </c>
      <c r="BC56" s="169"/>
      <c r="BD56" s="169"/>
      <c r="BE56" s="169"/>
      <c r="BF56" s="169"/>
    </row>
    <row r="57" spans="1:58" ht="61.9" customHeight="1" outlineLevel="2" x14ac:dyDescent="0.25">
      <c r="A57" s="115"/>
      <c r="B57" s="200"/>
      <c r="C57" s="201"/>
      <c r="D57" s="138"/>
      <c r="E57" s="219"/>
      <c r="F57" s="219"/>
      <c r="G57" s="313"/>
      <c r="H57" s="199" t="s">
        <v>402</v>
      </c>
      <c r="I57" s="130"/>
      <c r="J57" s="126"/>
      <c r="K57" s="126"/>
      <c r="L57" s="125" t="str">
        <f>IF(I57&lt;&gt;0,((VLOOKUP(I57,'1. Standard_Cost'!$B$4:$D$11,2)+VLOOKUP(I57,'1. Standard_Cost'!$B$4:$D$11,3))*J57*K57),"0")</f>
        <v>0</v>
      </c>
      <c r="M57" s="125">
        <f>L57*'1. Standard_Cost'!$F$4</f>
        <v>0</v>
      </c>
      <c r="N57" s="126"/>
      <c r="O57" s="126"/>
      <c r="P57" s="126"/>
      <c r="Q57" s="126"/>
      <c r="R57" s="127">
        <f>'1. Standard_Cost'!$B$15*N57*P57</f>
        <v>0</v>
      </c>
      <c r="S57" s="127">
        <f>N57*O57*P57*'1. Standard_Cost'!$C$15</f>
        <v>0</v>
      </c>
      <c r="T57" s="127">
        <f>N57*P57*Q57*'1. Standard_Cost'!$D$15</f>
        <v>0</v>
      </c>
      <c r="U57" s="127">
        <f>N57*O57*'1. Standard_Cost'!$E$15</f>
        <v>0</v>
      </c>
      <c r="V57" s="126"/>
      <c r="W57" s="126"/>
      <c r="X57" s="126"/>
      <c r="Y57" s="127">
        <f>+V57*((X57*'1. Standard_Cost'!$B$19)+(W57*X57*'1. Standard_Cost'!$C$19))</f>
        <v>0</v>
      </c>
      <c r="Z57" s="126"/>
      <c r="AA57" s="126"/>
      <c r="AB57" s="127">
        <f>+Z57*'1. Standard_Cost'!$B$23+AA57*'1. Standard_Cost'!$C$23</f>
        <v>0</v>
      </c>
      <c r="AC57" s="128"/>
      <c r="AD57" s="129"/>
      <c r="AE57" s="127">
        <f>SUM(AD57,AC57,AB57,Y57,U57,T57,S57,R57)*'1. Standard_Cost'!$B$31</f>
        <v>0</v>
      </c>
      <c r="AF57" s="127">
        <f>SUM(AE57,AD57,AC57,AB57,Y57,U57,T57,S57,R57)</f>
        <v>0</v>
      </c>
      <c r="AG57" s="126"/>
      <c r="AH57" s="126"/>
      <c r="AI57" s="126"/>
      <c r="AJ57" s="130"/>
      <c r="AK57" s="130"/>
      <c r="AL57" s="130"/>
      <c r="AM57" s="127">
        <f>AG57*'1. Standard_Cost'!$B$27+'Incremental_Cost Year 8'!AH57*'1. Standard_Cost'!$C$27+'Incremental_Cost Year 8'!AI57*'1. Standard_Cost'!$D$27+'Incremental_Cost Year 8'!AJ57+'Incremental_Cost Year 8'!AL57+AK57</f>
        <v>0</v>
      </c>
      <c r="AN57" s="127">
        <f>AM57*'1. Standard_Cost'!$C$31</f>
        <v>0</v>
      </c>
      <c r="AO57" s="249"/>
      <c r="AQ57" s="171">
        <f>L57+M57</f>
        <v>0</v>
      </c>
      <c r="AR57" s="171">
        <f>AF57</f>
        <v>0</v>
      </c>
      <c r="AS57" s="171">
        <f>AM57+AN57</f>
        <v>0</v>
      </c>
      <c r="AT57" s="171">
        <f>SUM(AQ57,AR57,AS57)</f>
        <v>0</v>
      </c>
      <c r="AU57" s="250"/>
      <c r="AV57" s="250"/>
      <c r="AW57" s="250"/>
      <c r="AX57" s="250"/>
      <c r="AY57" s="250"/>
      <c r="AZ57" s="250"/>
      <c r="BA57" s="250"/>
      <c r="BB57" s="251">
        <f t="shared" ref="BB57:BB59" si="41">SUM(AU57:BA57)-AT57</f>
        <v>0</v>
      </c>
      <c r="BC57" s="169"/>
      <c r="BD57" s="169"/>
      <c r="BE57" s="169"/>
      <c r="BF57" s="169"/>
    </row>
    <row r="58" spans="1:58" ht="61.9" customHeight="1" outlineLevel="2" x14ac:dyDescent="0.25">
      <c r="A58" s="115"/>
      <c r="B58" s="200"/>
      <c r="C58" s="201"/>
      <c r="D58" s="135"/>
      <c r="E58" s="219"/>
      <c r="F58" s="219"/>
      <c r="G58" s="313"/>
      <c r="H58" s="199" t="s">
        <v>403</v>
      </c>
      <c r="I58" s="130"/>
      <c r="J58" s="126"/>
      <c r="K58" s="126"/>
      <c r="L58" s="125" t="str">
        <f>IF(I58&lt;&gt;0,((VLOOKUP(I58,'1. Standard_Cost'!$B$4:$D$11,2)+VLOOKUP(I58,'1. Standard_Cost'!$B$4:$D$11,3))*J58*K58),"0")</f>
        <v>0</v>
      </c>
      <c r="M58" s="125">
        <f>L58*'1. Standard_Cost'!$F$4</f>
        <v>0</v>
      </c>
      <c r="N58" s="126"/>
      <c r="O58" s="126"/>
      <c r="P58" s="126"/>
      <c r="Q58" s="126"/>
      <c r="R58" s="127">
        <f>'1. Standard_Cost'!$B$15*N58*P58</f>
        <v>0</v>
      </c>
      <c r="S58" s="127">
        <f>N58*O58*P58*'1. Standard_Cost'!$C$15</f>
        <v>0</v>
      </c>
      <c r="T58" s="127">
        <f>N58*P58*Q58*'1. Standard_Cost'!$D$15</f>
        <v>0</v>
      </c>
      <c r="U58" s="127">
        <f>N58*O58*'1. Standard_Cost'!$E$15</f>
        <v>0</v>
      </c>
      <c r="V58" s="126"/>
      <c r="W58" s="126"/>
      <c r="X58" s="126"/>
      <c r="Y58" s="127">
        <f>+V58*((X58*'1. Standard_Cost'!$B$19)+(W58*X58*'1. Standard_Cost'!$C$19))</f>
        <v>0</v>
      </c>
      <c r="Z58" s="126"/>
      <c r="AA58" s="126"/>
      <c r="AB58" s="127">
        <f>+Z58*'1. Standard_Cost'!$B$23+AA58*'1. Standard_Cost'!$C$23</f>
        <v>0</v>
      </c>
      <c r="AC58" s="128"/>
      <c r="AD58" s="129"/>
      <c r="AE58" s="127">
        <f>SUM(AD58,AC58,AB58,Y58,U58,T58,S58,R58)*'1. Standard_Cost'!$B$31</f>
        <v>0</v>
      </c>
      <c r="AF58" s="127">
        <f>SUM(AE58,AD58,AC58,AB58,Y58,U58,T58,S58,R58)</f>
        <v>0</v>
      </c>
      <c r="AG58" s="126"/>
      <c r="AH58" s="126"/>
      <c r="AI58" s="126"/>
      <c r="AJ58" s="130"/>
      <c r="AK58" s="130"/>
      <c r="AL58" s="130"/>
      <c r="AM58" s="127">
        <f>AG58*'1. Standard_Cost'!$B$27+'Incremental_Cost Year 8'!AH58*'1. Standard_Cost'!$C$27+'Incremental_Cost Year 8'!AI58*'1. Standard_Cost'!$D$27+'Incremental_Cost Year 8'!AJ58+'Incremental_Cost Year 8'!AL58+AK58</f>
        <v>0</v>
      </c>
      <c r="AN58" s="127">
        <f>AM58*'1. Standard_Cost'!$C$31</f>
        <v>0</v>
      </c>
      <c r="AO58" s="130"/>
      <c r="AQ58" s="171">
        <f>L58+M58</f>
        <v>0</v>
      </c>
      <c r="AR58" s="171">
        <f>AF58</f>
        <v>0</v>
      </c>
      <c r="AS58" s="171">
        <f>AM58+AN58</f>
        <v>0</v>
      </c>
      <c r="AT58" s="171">
        <f>SUM(AQ58,AR58,AS58)</f>
        <v>0</v>
      </c>
      <c r="AU58" s="250"/>
      <c r="AV58" s="250"/>
      <c r="AW58" s="250"/>
      <c r="AX58" s="250"/>
      <c r="AY58" s="250"/>
      <c r="AZ58" s="250"/>
      <c r="BA58" s="250"/>
      <c r="BB58" s="251">
        <f t="shared" si="41"/>
        <v>0</v>
      </c>
      <c r="BC58" s="169"/>
      <c r="BD58" s="169"/>
      <c r="BE58" s="169"/>
      <c r="BF58" s="169"/>
    </row>
    <row r="59" spans="1:58" ht="61.9" customHeight="1" outlineLevel="2" x14ac:dyDescent="0.25">
      <c r="A59" s="115"/>
      <c r="B59" s="147"/>
      <c r="C59" s="314"/>
      <c r="D59" s="223"/>
      <c r="E59" s="122"/>
      <c r="F59" s="122"/>
      <c r="G59" s="123"/>
      <c r="H59" s="199" t="s">
        <v>309</v>
      </c>
      <c r="I59" s="130"/>
      <c r="J59" s="126"/>
      <c r="K59" s="126"/>
      <c r="L59" s="125" t="str">
        <f>IF(I59&lt;&gt;0,((VLOOKUP(I59,'1. Standard_Cost'!$B$4:$D$11,2)+VLOOKUP(I59,'1. Standard_Cost'!$B$4:$D$11,3))*J59*K59),"0")</f>
        <v>0</v>
      </c>
      <c r="M59" s="125">
        <f>L59*'1. Standard_Cost'!$F$4</f>
        <v>0</v>
      </c>
      <c r="N59" s="126"/>
      <c r="O59" s="126"/>
      <c r="P59" s="126"/>
      <c r="Q59" s="126"/>
      <c r="R59" s="127">
        <f>'1. Standard_Cost'!$B$15*N59*P59</f>
        <v>0</v>
      </c>
      <c r="S59" s="127">
        <f>N59*O59*P59*'1. Standard_Cost'!$C$15</f>
        <v>0</v>
      </c>
      <c r="T59" s="127">
        <f>N59*P59*Q59*'1. Standard_Cost'!$D$15</f>
        <v>0</v>
      </c>
      <c r="U59" s="127">
        <f>N59*O59*'1. Standard_Cost'!$E$15</f>
        <v>0</v>
      </c>
      <c r="V59" s="126"/>
      <c r="W59" s="126"/>
      <c r="X59" s="126"/>
      <c r="Y59" s="127">
        <f>+V59*((X59*'1. Standard_Cost'!$B$19)+(W59*X59*'1. Standard_Cost'!$C$19))</f>
        <v>0</v>
      </c>
      <c r="Z59" s="126"/>
      <c r="AA59" s="126"/>
      <c r="AB59" s="127">
        <f>+Z59*'1. Standard_Cost'!$B$23+AA59*'1. Standard_Cost'!$C$23</f>
        <v>0</v>
      </c>
      <c r="AC59" s="128"/>
      <c r="AD59" s="129"/>
      <c r="AE59" s="127">
        <f>SUM(AD59,AC59,AB59,Y59,U59,T59,S59,R59)*'1. Standard_Cost'!$B$31</f>
        <v>0</v>
      </c>
      <c r="AF59" s="127">
        <f>SUM(AE59,AD59,AC59,AB59,Y59,U59,T59,S59,R59)</f>
        <v>0</v>
      </c>
      <c r="AG59" s="126"/>
      <c r="AH59" s="126"/>
      <c r="AI59" s="126"/>
      <c r="AJ59" s="130"/>
      <c r="AK59" s="130"/>
      <c r="AL59" s="130"/>
      <c r="AM59" s="127">
        <f>AG59*'1. Standard_Cost'!$B$27+'Incremental_Cost Year 8'!AH59*'1. Standard_Cost'!$C$27+'Incremental_Cost Year 8'!AI59*'1. Standard_Cost'!$D$27+'Incremental_Cost Year 8'!AJ59+'Incremental_Cost Year 8'!AL59+AK59</f>
        <v>0</v>
      </c>
      <c r="AN59" s="127">
        <f>AM59*'1. Standard_Cost'!$C$31</f>
        <v>0</v>
      </c>
      <c r="AO59" s="130"/>
      <c r="AQ59" s="171">
        <f>L59+M59</f>
        <v>0</v>
      </c>
      <c r="AR59" s="171">
        <f>AF59</f>
        <v>0</v>
      </c>
      <c r="AS59" s="171">
        <f>AM59+AN59</f>
        <v>0</v>
      </c>
      <c r="AT59" s="171">
        <f>SUM(AQ59,AR59,AS59)</f>
        <v>0</v>
      </c>
      <c r="AU59" s="250"/>
      <c r="AV59" s="250"/>
      <c r="AW59" s="250"/>
      <c r="AX59" s="250"/>
      <c r="AY59" s="250"/>
      <c r="AZ59" s="250"/>
      <c r="BA59" s="250"/>
      <c r="BB59" s="251">
        <f t="shared" si="41"/>
        <v>0</v>
      </c>
      <c r="BC59" s="169"/>
      <c r="BD59" s="169"/>
      <c r="BE59" s="169"/>
      <c r="BF59" s="169"/>
    </row>
    <row r="60" spans="1:58" ht="61.9" customHeight="1" outlineLevel="1" x14ac:dyDescent="0.25">
      <c r="A60" s="115"/>
      <c r="B60" s="200"/>
      <c r="C60" s="201"/>
      <c r="D60" s="132" t="s">
        <v>388</v>
      </c>
      <c r="E60" s="133" t="s">
        <v>216</v>
      </c>
      <c r="F60" s="122">
        <v>2021</v>
      </c>
      <c r="G60" s="223">
        <v>2030</v>
      </c>
      <c r="H60" s="134" t="s">
        <v>217</v>
      </c>
      <c r="I60" s="252"/>
      <c r="J60" s="252"/>
      <c r="K60" s="252"/>
      <c r="L60" s="127">
        <f>SUM(L57:L59)</f>
        <v>0</v>
      </c>
      <c r="M60" s="127">
        <f>SUM(M57:M59)</f>
        <v>0</v>
      </c>
      <c r="N60" s="127"/>
      <c r="O60" s="252"/>
      <c r="P60" s="252"/>
      <c r="Q60" s="252"/>
      <c r="R60" s="127">
        <f>SUM(R57:R59)</f>
        <v>0</v>
      </c>
      <c r="S60" s="127">
        <f>SUM(S57:S59)</f>
        <v>0</v>
      </c>
      <c r="T60" s="127">
        <f>SUM(T57:T59)</f>
        <v>0</v>
      </c>
      <c r="U60" s="127">
        <f>SUM(U57:U59)</f>
        <v>0</v>
      </c>
      <c r="V60" s="252"/>
      <c r="W60" s="252"/>
      <c r="X60" s="252"/>
      <c r="Y60" s="127">
        <f>SUM(Y57:Y59)</f>
        <v>0</v>
      </c>
      <c r="Z60" s="252"/>
      <c r="AA60" s="252"/>
      <c r="AB60" s="127">
        <f>SUM(AB57:AB59)</f>
        <v>0</v>
      </c>
      <c r="AC60" s="127">
        <f>SUM(AC57:AC59)</f>
        <v>0</v>
      </c>
      <c r="AD60" s="127">
        <f>SUM(AD57:AD59)</f>
        <v>0</v>
      </c>
      <c r="AE60" s="127">
        <f>SUM(AE57:AE59)</f>
        <v>0</v>
      </c>
      <c r="AF60" s="127">
        <f>SUM(AF57:AF59)</f>
        <v>0</v>
      </c>
      <c r="AG60" s="252"/>
      <c r="AH60" s="252"/>
      <c r="AI60" s="252"/>
      <c r="AJ60" s="127">
        <f>SUM(AJ57:AJ59)</f>
        <v>0</v>
      </c>
      <c r="AK60" s="127">
        <f>SUM(AK57:AK59)</f>
        <v>0</v>
      </c>
      <c r="AL60" s="127">
        <f>SUM(AL57:AL59)</f>
        <v>0</v>
      </c>
      <c r="AM60" s="127">
        <f>SUM(AM57:AM59)</f>
        <v>0</v>
      </c>
      <c r="AN60" s="127">
        <f>SUM(AN57:AN59)</f>
        <v>0</v>
      </c>
      <c r="AO60" s="253"/>
      <c r="AP60" s="254"/>
      <c r="AQ60" s="175">
        <f>SUM(AQ57:AQ59)</f>
        <v>0</v>
      </c>
      <c r="AR60" s="175">
        <f>SUM(AR57:AR59)</f>
        <v>0</v>
      </c>
      <c r="AS60" s="175">
        <f>SUM(AS57:AS59)</f>
        <v>0</v>
      </c>
      <c r="AT60" s="175">
        <f>SUM(AT57:AT59)</f>
        <v>0</v>
      </c>
      <c r="AU60" s="175">
        <f t="shared" ref="AU60:BB60" si="42">SUM(AU57:AU59)</f>
        <v>0</v>
      </c>
      <c r="AV60" s="175">
        <f t="shared" si="42"/>
        <v>0</v>
      </c>
      <c r="AW60" s="175">
        <f t="shared" si="42"/>
        <v>0</v>
      </c>
      <c r="AX60" s="175">
        <f t="shared" si="42"/>
        <v>0</v>
      </c>
      <c r="AY60" s="175">
        <f t="shared" si="42"/>
        <v>0</v>
      </c>
      <c r="AZ60" s="175">
        <f t="shared" si="42"/>
        <v>0</v>
      </c>
      <c r="BA60" s="175">
        <f t="shared" si="42"/>
        <v>0</v>
      </c>
      <c r="BB60" s="175">
        <f t="shared" si="42"/>
        <v>0</v>
      </c>
      <c r="BC60" s="169"/>
      <c r="BD60" s="169"/>
      <c r="BE60" s="169"/>
      <c r="BF60" s="169"/>
    </row>
    <row r="61" spans="1:58" s="170" customFormat="1" ht="61.9" customHeight="1" x14ac:dyDescent="0.25">
      <c r="A61" s="120"/>
      <c r="B61" s="290"/>
      <c r="C61" s="391" t="s">
        <v>218</v>
      </c>
      <c r="D61" s="391"/>
      <c r="E61" s="392"/>
      <c r="F61" s="289"/>
      <c r="G61" s="288"/>
      <c r="H61" s="114" t="s">
        <v>219</v>
      </c>
      <c r="I61" s="246"/>
      <c r="J61" s="246"/>
      <c r="K61" s="246"/>
      <c r="L61" s="247">
        <f>SUM(L77)</f>
        <v>646486825</v>
      </c>
      <c r="M61" s="247">
        <f>SUM(M77)</f>
        <v>107963299.77500001</v>
      </c>
      <c r="N61" s="247"/>
      <c r="O61" s="247"/>
      <c r="P61" s="247"/>
      <c r="Q61" s="247"/>
      <c r="R61" s="247">
        <f>SUM(R77)</f>
        <v>280000</v>
      </c>
      <c r="S61" s="247">
        <f>SUM(S77)</f>
        <v>420000</v>
      </c>
      <c r="T61" s="247">
        <f>SUM(T77)</f>
        <v>0</v>
      </c>
      <c r="U61" s="247">
        <f>SUM(U77)</f>
        <v>560000</v>
      </c>
      <c r="V61" s="247"/>
      <c r="W61" s="247"/>
      <c r="X61" s="247"/>
      <c r="Y61" s="247">
        <f>SUM(Y77)</f>
        <v>0</v>
      </c>
      <c r="Z61" s="247">
        <f t="shared" ref="Z61:AA61" si="43">SUM(Z77)</f>
        <v>0</v>
      </c>
      <c r="AA61" s="247">
        <f t="shared" si="43"/>
        <v>0</v>
      </c>
      <c r="AB61" s="247">
        <f t="shared" ref="AB61:AF61" si="44">SUM(AB77)</f>
        <v>171000</v>
      </c>
      <c r="AC61" s="247">
        <f t="shared" si="44"/>
        <v>549876000</v>
      </c>
      <c r="AD61" s="247">
        <f t="shared" si="44"/>
        <v>0</v>
      </c>
      <c r="AE61" s="247">
        <f t="shared" si="44"/>
        <v>81821400</v>
      </c>
      <c r="AF61" s="247">
        <f t="shared" si="44"/>
        <v>633128400</v>
      </c>
      <c r="AG61" s="247"/>
      <c r="AH61" s="247"/>
      <c r="AI61" s="247"/>
      <c r="AJ61" s="247">
        <f>SUM(AJ77)</f>
        <v>0</v>
      </c>
      <c r="AK61" s="247">
        <f>SUM(AK77)</f>
        <v>0</v>
      </c>
      <c r="AL61" s="247">
        <f>SUM(AL77)</f>
        <v>0</v>
      </c>
      <c r="AM61" s="247">
        <f>SUM(AM77)</f>
        <v>0</v>
      </c>
      <c r="AN61" s="247">
        <f>SUM(AN77)</f>
        <v>0</v>
      </c>
      <c r="AO61" s="247"/>
      <c r="AP61" s="244"/>
      <c r="AQ61" s="248">
        <f>SUM(AQ77)</f>
        <v>754450124.77499998</v>
      </c>
      <c r="AR61" s="248">
        <f>SUM(AR77)</f>
        <v>633128400</v>
      </c>
      <c r="AS61" s="248">
        <f>SUM(AS77)</f>
        <v>0</v>
      </c>
      <c r="AT61" s="248">
        <f>SUM(AT77)</f>
        <v>1387578524.7750001</v>
      </c>
      <c r="AU61" s="248">
        <f t="shared" ref="AU61:BB61" si="45">SUM(AU77)</f>
        <v>1384152524.7750001</v>
      </c>
      <c r="AV61" s="248">
        <f t="shared" si="45"/>
        <v>0</v>
      </c>
      <c r="AW61" s="248">
        <f t="shared" si="45"/>
        <v>0</v>
      </c>
      <c r="AX61" s="248">
        <f t="shared" si="45"/>
        <v>0</v>
      </c>
      <c r="AY61" s="248">
        <f t="shared" si="45"/>
        <v>2346000</v>
      </c>
      <c r="AZ61" s="248">
        <f t="shared" si="45"/>
        <v>0</v>
      </c>
      <c r="BA61" s="248">
        <f t="shared" si="45"/>
        <v>0</v>
      </c>
      <c r="BB61" s="248">
        <f t="shared" si="45"/>
        <v>-1080000</v>
      </c>
    </row>
    <row r="62" spans="1:58" ht="61.9" customHeight="1" outlineLevel="2" x14ac:dyDescent="0.25">
      <c r="A62" s="115"/>
      <c r="B62" s="200"/>
      <c r="C62" s="201"/>
      <c r="D62" s="350"/>
      <c r="E62" s="315"/>
      <c r="F62" s="316"/>
      <c r="G62" s="317"/>
      <c r="H62" s="199" t="s">
        <v>404</v>
      </c>
      <c r="I62" s="130"/>
      <c r="J62" s="126"/>
      <c r="K62" s="126"/>
      <c r="L62" s="125" t="str">
        <f>IF(I62&lt;&gt;0,((VLOOKUP(I62,'1. Standard_Cost'!$B$4:$D$11,2)+VLOOKUP(I62,'1. Standard_Cost'!$B$4:$D$11,3))*J62*K62),"0")</f>
        <v>0</v>
      </c>
      <c r="M62" s="125">
        <f>L62*'1. Standard_Cost'!$F$4</f>
        <v>0</v>
      </c>
      <c r="N62" s="126"/>
      <c r="O62" s="126"/>
      <c r="P62" s="126"/>
      <c r="Q62" s="126"/>
      <c r="R62" s="127">
        <f>'1. Standard_Cost'!$B$15*N62*P62</f>
        <v>0</v>
      </c>
      <c r="S62" s="127">
        <f>N62*O62*P62*'1. Standard_Cost'!$C$15</f>
        <v>0</v>
      </c>
      <c r="T62" s="127">
        <f>N62*P62*Q62*'1. Standard_Cost'!$D$15</f>
        <v>0</v>
      </c>
      <c r="U62" s="127">
        <f>N62*O62*'1. Standard_Cost'!$E$15</f>
        <v>0</v>
      </c>
      <c r="V62" s="126"/>
      <c r="W62" s="126"/>
      <c r="X62" s="126"/>
      <c r="Y62" s="127">
        <f>+V62*((X62*'1. Standard_Cost'!$B$19)+(W62*X62*'1. Standard_Cost'!$C$19))</f>
        <v>0</v>
      </c>
      <c r="Z62" s="126"/>
      <c r="AA62" s="126"/>
      <c r="AB62" s="127">
        <f>+Z62*'1. Standard_Cost'!$B$23+AA62*'1. Standard_Cost'!$C$23</f>
        <v>0</v>
      </c>
      <c r="AC62" s="128"/>
      <c r="AD62" s="129"/>
      <c r="AE62" s="127">
        <f>SUM(AD62,AC62,AB62,Y62,U62,T62,S62,R62)*'1. Standard_Cost'!$B$31</f>
        <v>0</v>
      </c>
      <c r="AF62" s="127">
        <f t="shared" ref="AF62:AF67" si="46">SUM(AE62,AD62,AC62,AB62,Y62,U62,T62,S62,R62)</f>
        <v>0</v>
      </c>
      <c r="AG62" s="126"/>
      <c r="AH62" s="126"/>
      <c r="AI62" s="126"/>
      <c r="AJ62" s="130"/>
      <c r="AK62" s="130"/>
      <c r="AL62" s="130"/>
      <c r="AM62" s="127">
        <f>AG62*'1. Standard_Cost'!$B$27+'Incremental_Cost Year 8'!AH62*'1. Standard_Cost'!$C$27+'Incremental_Cost Year 8'!AI62*'1. Standard_Cost'!$D$27+'Incremental_Cost Year 8'!AJ62+'Incremental_Cost Year 8'!AL62+AK62</f>
        <v>0</v>
      </c>
      <c r="AN62" s="127">
        <f>AM62*'1. Standard_Cost'!$C$31</f>
        <v>0</v>
      </c>
      <c r="AO62" s="249"/>
      <c r="AQ62" s="171">
        <f t="shared" ref="AQ62:AQ76" si="47">L62+M62</f>
        <v>0</v>
      </c>
      <c r="AR62" s="171">
        <f t="shared" ref="AR62:AR76" si="48">AF62</f>
        <v>0</v>
      </c>
      <c r="AS62" s="171">
        <f t="shared" ref="AS62:AS76" si="49">AM62+AN62</f>
        <v>0</v>
      </c>
      <c r="AT62" s="171">
        <f t="shared" ref="AT62:AT76" si="50">SUM(AQ62,AR62,AS62)</f>
        <v>0</v>
      </c>
      <c r="AU62" s="250">
        <f>AQ62</f>
        <v>0</v>
      </c>
      <c r="AV62" s="250"/>
      <c r="AW62" s="250"/>
      <c r="AX62" s="250"/>
      <c r="AY62" s="250">
        <f>AR62</f>
        <v>0</v>
      </c>
      <c r="AZ62" s="250"/>
      <c r="BA62" s="250"/>
      <c r="BB62" s="251">
        <f t="shared" ref="BB62" si="51">SUM(AU62:BA62)-AT62</f>
        <v>0</v>
      </c>
      <c r="BC62" s="169"/>
      <c r="BD62" s="169"/>
      <c r="BE62" s="169"/>
      <c r="BF62" s="169"/>
    </row>
    <row r="63" spans="1:58" ht="61.9" customHeight="1" outlineLevel="2" x14ac:dyDescent="0.25">
      <c r="A63" s="115"/>
      <c r="B63" s="200"/>
      <c r="C63" s="201"/>
      <c r="D63" s="141"/>
      <c r="E63" s="318"/>
      <c r="F63" s="219"/>
      <c r="G63" s="313"/>
      <c r="H63" s="199" t="s">
        <v>405</v>
      </c>
      <c r="I63" s="130"/>
      <c r="J63" s="126"/>
      <c r="K63" s="126"/>
      <c r="L63" s="125" t="str">
        <f>IF(I63&lt;&gt;0,((VLOOKUP(I63,'1. Standard_Cost'!$B$4:$D$11,2)+VLOOKUP(I63,'1. Standard_Cost'!$B$4:$D$11,3))*J63*K63),"0")</f>
        <v>0</v>
      </c>
      <c r="M63" s="125">
        <f>L63*'1. Standard_Cost'!$F$4</f>
        <v>0</v>
      </c>
      <c r="N63" s="126"/>
      <c r="O63" s="126"/>
      <c r="P63" s="126"/>
      <c r="Q63" s="126"/>
      <c r="R63" s="127">
        <f>'1. Standard_Cost'!$B$15*N63*P63</f>
        <v>0</v>
      </c>
      <c r="S63" s="127">
        <f>N63*O63*P63*'1. Standard_Cost'!$C$15</f>
        <v>0</v>
      </c>
      <c r="T63" s="127">
        <f>N63*P63*Q63*'1. Standard_Cost'!$D$15</f>
        <v>0</v>
      </c>
      <c r="U63" s="127">
        <f>N63*O63*'1. Standard_Cost'!$E$15</f>
        <v>0</v>
      </c>
      <c r="V63" s="126"/>
      <c r="W63" s="126"/>
      <c r="X63" s="126"/>
      <c r="Y63" s="127">
        <f>+V63*((X63*'1. Standard_Cost'!$B$19)+(W63*X63*'1. Standard_Cost'!$C$19))</f>
        <v>0</v>
      </c>
      <c r="Z63" s="126"/>
      <c r="AA63" s="126"/>
      <c r="AB63" s="127">
        <f>+Z63*'1. Standard_Cost'!$B$23+AA63*'1. Standard_Cost'!$C$23</f>
        <v>0</v>
      </c>
      <c r="AC63" s="128"/>
      <c r="AD63" s="129"/>
      <c r="AE63" s="127">
        <f>SUM(AD63,AC63,AB63,Y63,U63,T63,S63,R63)*'1. Standard_Cost'!$B$31</f>
        <v>0</v>
      </c>
      <c r="AF63" s="127">
        <f t="shared" si="46"/>
        <v>0</v>
      </c>
      <c r="AG63" s="126"/>
      <c r="AH63" s="126"/>
      <c r="AI63" s="126"/>
      <c r="AJ63" s="130"/>
      <c r="AK63" s="130"/>
      <c r="AL63" s="130"/>
      <c r="AM63" s="127">
        <f>AG63*'1. Standard_Cost'!$B$27+'Incremental_Cost Year 8'!AH63*'1. Standard_Cost'!$C$27+'Incremental_Cost Year 8'!AI63*'1. Standard_Cost'!$D$27+'Incremental_Cost Year 8'!AJ63+'Incremental_Cost Year 8'!AL63+AK63</f>
        <v>0</v>
      </c>
      <c r="AN63" s="127">
        <f>AM63*'1. Standard_Cost'!$C$31</f>
        <v>0</v>
      </c>
      <c r="AO63" s="249"/>
      <c r="AQ63" s="171">
        <f t="shared" si="47"/>
        <v>0</v>
      </c>
      <c r="AR63" s="171">
        <f t="shared" si="48"/>
        <v>0</v>
      </c>
      <c r="AS63" s="171">
        <f t="shared" si="49"/>
        <v>0</v>
      </c>
      <c r="AT63" s="171">
        <f t="shared" si="50"/>
        <v>0</v>
      </c>
      <c r="AU63" s="250"/>
      <c r="AV63" s="250"/>
      <c r="AW63" s="250"/>
      <c r="AX63" s="250"/>
      <c r="AY63" s="250"/>
      <c r="AZ63" s="250"/>
      <c r="BA63" s="250"/>
      <c r="BB63" s="251">
        <f t="shared" ref="BB63:BB76" si="52">SUM(AU63:BA63)-AT63</f>
        <v>0</v>
      </c>
      <c r="BC63" s="169"/>
      <c r="BD63" s="169"/>
      <c r="BE63" s="169"/>
      <c r="BF63" s="169"/>
    </row>
    <row r="64" spans="1:58" ht="61.9" customHeight="1" outlineLevel="2" x14ac:dyDescent="0.25">
      <c r="A64" s="115"/>
      <c r="B64" s="200"/>
      <c r="C64" s="201"/>
      <c r="D64" s="131"/>
      <c r="E64" s="319"/>
      <c r="F64" s="219"/>
      <c r="G64" s="313"/>
      <c r="H64" s="199" t="s">
        <v>406</v>
      </c>
      <c r="I64" s="130" t="s">
        <v>1</v>
      </c>
      <c r="J64" s="126">
        <v>12</v>
      </c>
      <c r="K64" s="126">
        <v>130</v>
      </c>
      <c r="L64" s="125">
        <f>IF(I64&lt;&gt;0,((VLOOKUP(I64,'1. Standard_Cost'!$B$4:$D$11,2)+VLOOKUP(I64,'1. Standard_Cost'!$B$4:$D$11,3))*J64*K64),"0")</f>
        <v>111996857.14285713</v>
      </c>
      <c r="M64" s="125">
        <f>L64*'1. Standard_Cost'!$F$4</f>
        <v>18703475.142857142</v>
      </c>
      <c r="N64" s="126"/>
      <c r="O64" s="126"/>
      <c r="P64" s="126"/>
      <c r="Q64" s="126"/>
      <c r="R64" s="127">
        <f>'1. Standard_Cost'!$B$15*N64*P64</f>
        <v>0</v>
      </c>
      <c r="S64" s="127">
        <f>N64*O64*P64*'1. Standard_Cost'!$C$15</f>
        <v>0</v>
      </c>
      <c r="T64" s="127">
        <f>N64*P64*Q64*'1. Standard_Cost'!$D$15</f>
        <v>0</v>
      </c>
      <c r="U64" s="127">
        <f>N64*O64*'1. Standard_Cost'!$E$15</f>
        <v>0</v>
      </c>
      <c r="V64" s="126"/>
      <c r="W64" s="126"/>
      <c r="X64" s="126"/>
      <c r="Y64" s="127">
        <f>+V64*((X64*'1. Standard_Cost'!$B$19)+(W64*X64*'1. Standard_Cost'!$C$19))</f>
        <v>0</v>
      </c>
      <c r="Z64" s="126"/>
      <c r="AA64" s="126"/>
      <c r="AB64" s="127">
        <f>+Z64*'1. Standard_Cost'!$B$23+AA64*'1. Standard_Cost'!$C$23</f>
        <v>0</v>
      </c>
      <c r="AC64" s="128">
        <f>10*500000</f>
        <v>5000000</v>
      </c>
      <c r="AD64" s="129"/>
      <c r="AE64" s="127">
        <v>0</v>
      </c>
      <c r="AF64" s="127">
        <f t="shared" si="46"/>
        <v>5000000</v>
      </c>
      <c r="AG64" s="126"/>
      <c r="AH64" s="126"/>
      <c r="AI64" s="126"/>
      <c r="AJ64" s="130"/>
      <c r="AK64" s="130"/>
      <c r="AL64" s="130"/>
      <c r="AM64" s="127">
        <f>AG64*'1. Standard_Cost'!$B$27+'Incremental_Cost Year 8'!AH64*'1. Standard_Cost'!$C$27+'Incremental_Cost Year 8'!AI64*'1. Standard_Cost'!$D$27+'Incremental_Cost Year 8'!AJ64+'Incremental_Cost Year 8'!AL64+AK64</f>
        <v>0</v>
      </c>
      <c r="AN64" s="127">
        <f>AM64*'1. Standard_Cost'!$C$31</f>
        <v>0</v>
      </c>
      <c r="AO64" s="130"/>
      <c r="AQ64" s="171">
        <f t="shared" si="47"/>
        <v>130700332.28571427</v>
      </c>
      <c r="AR64" s="171">
        <f t="shared" si="48"/>
        <v>5000000</v>
      </c>
      <c r="AS64" s="171">
        <f t="shared" si="49"/>
        <v>0</v>
      </c>
      <c r="AT64" s="171">
        <f t="shared" si="50"/>
        <v>135700332.28571427</v>
      </c>
      <c r="AU64" s="250">
        <f>AT64</f>
        <v>135700332.28571427</v>
      </c>
      <c r="AV64" s="250"/>
      <c r="AW64" s="250"/>
      <c r="AX64" s="250"/>
      <c r="AY64" s="250"/>
      <c r="AZ64" s="250"/>
      <c r="BA64" s="250"/>
      <c r="BB64" s="251">
        <f t="shared" si="52"/>
        <v>0</v>
      </c>
      <c r="BC64" s="169"/>
      <c r="BD64" s="169"/>
      <c r="BE64" s="169"/>
      <c r="BF64" s="169"/>
    </row>
    <row r="65" spans="1:58" ht="61.9" customHeight="1" outlineLevel="2" x14ac:dyDescent="0.25">
      <c r="A65" s="115"/>
      <c r="B65" s="200"/>
      <c r="C65" s="201"/>
      <c r="D65" s="131"/>
      <c r="E65" s="318"/>
      <c r="F65" s="219"/>
      <c r="G65" s="313"/>
      <c r="H65" s="199" t="s">
        <v>407</v>
      </c>
      <c r="I65" s="130" t="s">
        <v>1</v>
      </c>
      <c r="J65" s="126">
        <v>12</v>
      </c>
      <c r="K65" s="126">
        <v>93</v>
      </c>
      <c r="L65" s="125">
        <f>IF(I65&lt;&gt;0,((VLOOKUP(I65,'1. Standard_Cost'!$B$4:$D$11,2)+VLOOKUP(I65,'1. Standard_Cost'!$B$4:$D$11,3))*J65*K65),"0")</f>
        <v>80120828.571428567</v>
      </c>
      <c r="M65" s="125">
        <f>L65*'1. Standard_Cost'!$F$4</f>
        <v>13380178.371428572</v>
      </c>
      <c r="N65" s="126"/>
      <c r="O65" s="126"/>
      <c r="P65" s="126"/>
      <c r="Q65" s="126"/>
      <c r="R65" s="127">
        <f>'1. Standard_Cost'!$B$15*N65*P65</f>
        <v>0</v>
      </c>
      <c r="S65" s="127">
        <f>N65*O65*P65*'1. Standard_Cost'!$C$15</f>
        <v>0</v>
      </c>
      <c r="T65" s="127">
        <f>N65*P65*Q65*'1. Standard_Cost'!$D$15</f>
        <v>0</v>
      </c>
      <c r="U65" s="127">
        <f>N65*O65*'1. Standard_Cost'!$E$15</f>
        <v>0</v>
      </c>
      <c r="V65" s="126"/>
      <c r="W65" s="126"/>
      <c r="X65" s="126"/>
      <c r="Y65" s="127">
        <f>+V65*((X65*'1. Standard_Cost'!$B$19)+(W65*X65*'1. Standard_Cost'!$C$19))</f>
        <v>0</v>
      </c>
      <c r="Z65" s="126"/>
      <c r="AA65" s="126"/>
      <c r="AB65" s="127">
        <f>+Z65*'1. Standard_Cost'!$B$23+AA65*'1. Standard_Cost'!$C$23</f>
        <v>0</v>
      </c>
      <c r="AC65" s="128">
        <f>300000*14</f>
        <v>4200000</v>
      </c>
      <c r="AD65" s="129"/>
      <c r="AE65" s="127">
        <v>0</v>
      </c>
      <c r="AF65" s="127">
        <f t="shared" si="46"/>
        <v>4200000</v>
      </c>
      <c r="AG65" s="126"/>
      <c r="AH65" s="126"/>
      <c r="AI65" s="126"/>
      <c r="AJ65" s="130"/>
      <c r="AK65" s="130"/>
      <c r="AL65" s="130"/>
      <c r="AM65" s="127">
        <f>AG65*'1. Standard_Cost'!$B$27+'Incremental_Cost Year 8'!AH65*'1. Standard_Cost'!$C$27+'Incremental_Cost Year 8'!AI65*'1. Standard_Cost'!$D$27+'Incremental_Cost Year 8'!AJ65+'Incremental_Cost Year 8'!AL65+AK65</f>
        <v>0</v>
      </c>
      <c r="AN65" s="127">
        <f>AM65*'1. Standard_Cost'!$C$31</f>
        <v>0</v>
      </c>
      <c r="AO65" s="130"/>
      <c r="AQ65" s="171">
        <f t="shared" si="47"/>
        <v>93501006.942857146</v>
      </c>
      <c r="AR65" s="171">
        <f t="shared" si="48"/>
        <v>4200000</v>
      </c>
      <c r="AS65" s="171">
        <f t="shared" si="49"/>
        <v>0</v>
      </c>
      <c r="AT65" s="171">
        <f t="shared" si="50"/>
        <v>97701006.942857146</v>
      </c>
      <c r="AU65" s="250">
        <f>AT65</f>
        <v>97701006.942857146</v>
      </c>
      <c r="AV65" s="250"/>
      <c r="AW65" s="250"/>
      <c r="AX65" s="250"/>
      <c r="AY65" s="250"/>
      <c r="AZ65" s="250"/>
      <c r="BA65" s="250"/>
      <c r="BB65" s="251">
        <f t="shared" si="52"/>
        <v>0</v>
      </c>
      <c r="BC65" s="169"/>
      <c r="BD65" s="169"/>
      <c r="BE65" s="169"/>
      <c r="BF65" s="169"/>
    </row>
    <row r="66" spans="1:58" ht="61.9" customHeight="1" outlineLevel="2" x14ac:dyDescent="0.25">
      <c r="A66" s="115"/>
      <c r="B66" s="200"/>
      <c r="C66" s="201"/>
      <c r="D66" s="131"/>
      <c r="E66" s="318"/>
      <c r="F66" s="219"/>
      <c r="G66" s="313"/>
      <c r="H66" s="199" t="s">
        <v>548</v>
      </c>
      <c r="I66" s="130" t="s">
        <v>1</v>
      </c>
      <c r="J66" s="126">
        <v>12</v>
      </c>
      <c r="K66" s="126">
        <f>14*2+14*2</f>
        <v>56</v>
      </c>
      <c r="L66" s="125">
        <f>IF(I66&lt;&gt;0,((VLOOKUP(I66,'1. Standard_Cost'!$B$4:$D$11,2)+VLOOKUP(I66,'1. Standard_Cost'!$B$4:$D$11,3))*J66*K66),"0")</f>
        <v>48244800</v>
      </c>
      <c r="M66" s="125">
        <f>L66*'1. Standard_Cost'!$F$4</f>
        <v>8056881.6000000006</v>
      </c>
      <c r="N66" s="126"/>
      <c r="O66" s="126"/>
      <c r="P66" s="126"/>
      <c r="Q66" s="126"/>
      <c r="R66" s="127">
        <f>'1. Standard_Cost'!$B$15*N66*P66</f>
        <v>0</v>
      </c>
      <c r="S66" s="127">
        <f>N66*O66*P66*'1. Standard_Cost'!$C$15</f>
        <v>0</v>
      </c>
      <c r="T66" s="127">
        <f>N66*P66*Q66*'1. Standard_Cost'!$D$15</f>
        <v>0</v>
      </c>
      <c r="U66" s="127">
        <f>N66*O66*'1. Standard_Cost'!$E$15</f>
        <v>0</v>
      </c>
      <c r="V66" s="126"/>
      <c r="W66" s="126"/>
      <c r="X66" s="126"/>
      <c r="Y66" s="127">
        <f>+V66*((X66*'1. Standard_Cost'!$B$19)+(W66*X66*'1. Standard_Cost'!$C$19))</f>
        <v>0</v>
      </c>
      <c r="Z66" s="126"/>
      <c r="AA66" s="126"/>
      <c r="AB66" s="127">
        <f>+Z66*'1. Standard_Cost'!$B$23+AA66*'1. Standard_Cost'!$C$23</f>
        <v>0</v>
      </c>
      <c r="AC66" s="128">
        <f>30000000*4</f>
        <v>120000000</v>
      </c>
      <c r="AD66" s="129"/>
      <c r="AE66" s="127"/>
      <c r="AF66" s="127">
        <f t="shared" si="46"/>
        <v>120000000</v>
      </c>
      <c r="AG66" s="126"/>
      <c r="AH66" s="126"/>
      <c r="AI66" s="126"/>
      <c r="AJ66" s="130"/>
      <c r="AK66" s="130"/>
      <c r="AL66" s="130"/>
      <c r="AM66" s="127">
        <f>AG66*'1. Standard_Cost'!$B$27+'Incremental_Cost Year 8'!AH66*'1. Standard_Cost'!$C$27+'Incremental_Cost Year 8'!AI66*'1. Standard_Cost'!$D$27+'Incremental_Cost Year 8'!AJ66+'Incremental_Cost Year 8'!AL66+AK66</f>
        <v>0</v>
      </c>
      <c r="AN66" s="127">
        <f>AM66*'1. Standard_Cost'!$C$31</f>
        <v>0</v>
      </c>
      <c r="AO66" s="130"/>
      <c r="AQ66" s="171">
        <f t="shared" si="47"/>
        <v>56301681.600000001</v>
      </c>
      <c r="AR66" s="171">
        <f t="shared" si="48"/>
        <v>120000000</v>
      </c>
      <c r="AS66" s="171">
        <f t="shared" si="49"/>
        <v>0</v>
      </c>
      <c r="AT66" s="171">
        <f t="shared" si="50"/>
        <v>176301681.59999999</v>
      </c>
      <c r="AU66" s="250">
        <f>AT66</f>
        <v>176301681.59999999</v>
      </c>
      <c r="AV66" s="250"/>
      <c r="AW66" s="250"/>
      <c r="AX66" s="250"/>
      <c r="AY66" s="250"/>
      <c r="AZ66" s="250"/>
      <c r="BA66" s="250"/>
      <c r="BB66" s="251">
        <f t="shared" si="52"/>
        <v>0</v>
      </c>
      <c r="BC66" s="169"/>
      <c r="BD66" s="169"/>
      <c r="BE66" s="169"/>
      <c r="BF66" s="169"/>
    </row>
    <row r="67" spans="1:58" ht="61.9" customHeight="1" outlineLevel="2" x14ac:dyDescent="0.25">
      <c r="A67" s="115"/>
      <c r="B67" s="200"/>
      <c r="C67" s="201"/>
      <c r="D67" s="131"/>
      <c r="E67" s="318"/>
      <c r="F67" s="219"/>
      <c r="G67" s="313"/>
      <c r="H67" s="199" t="s">
        <v>408</v>
      </c>
      <c r="I67" s="130" t="s">
        <v>1</v>
      </c>
      <c r="J67" s="126">
        <v>12</v>
      </c>
      <c r="K67" s="126">
        <v>400</v>
      </c>
      <c r="L67" s="125">
        <f>IF(I67&lt;&gt;0,((VLOOKUP(I67,'1. Standard_Cost'!$B$4:$D$11,2)+VLOOKUP(I67,'1. Standard_Cost'!$B$4:$D$11,3))*J67*K67),"0")</f>
        <v>344605714.28571427</v>
      </c>
      <c r="M67" s="125">
        <f>L67*'1. Standard_Cost'!$F$4</f>
        <v>57549154.285714284</v>
      </c>
      <c r="N67" s="126"/>
      <c r="O67" s="126"/>
      <c r="P67" s="126"/>
      <c r="Q67" s="126"/>
      <c r="R67" s="127">
        <f>'1. Standard_Cost'!$B$15*N67*P67</f>
        <v>0</v>
      </c>
      <c r="S67" s="127">
        <f>N67*O67*P67*'1. Standard_Cost'!$C$15</f>
        <v>0</v>
      </c>
      <c r="T67" s="127">
        <f>N67*P67*Q67*'1. Standard_Cost'!$D$15</f>
        <v>0</v>
      </c>
      <c r="U67" s="127">
        <f>N67*O67*'1. Standard_Cost'!$E$15</f>
        <v>0</v>
      </c>
      <c r="V67" s="126"/>
      <c r="W67" s="126"/>
      <c r="X67" s="126"/>
      <c r="Y67" s="127">
        <f>+V67*((X67*'1. Standard_Cost'!$B$19)+(W67*X67*'1. Standard_Cost'!$C$19))</f>
        <v>0</v>
      </c>
      <c r="Z67" s="126"/>
      <c r="AA67" s="126"/>
      <c r="AB67" s="127">
        <f>+Z67*'1. Standard_Cost'!$B$23+AA67*'1. Standard_Cost'!$C$23</f>
        <v>0</v>
      </c>
      <c r="AC67" s="128">
        <v>406252000</v>
      </c>
      <c r="AD67" s="129"/>
      <c r="AE67" s="127">
        <f>SUM(AD67,AC67,AB67,Y67,U67,T67,S67,R67)*'1. Standard_Cost'!$B$31</f>
        <v>81250400</v>
      </c>
      <c r="AF67" s="127">
        <f t="shared" si="46"/>
        <v>487502400</v>
      </c>
      <c r="AG67" s="126"/>
      <c r="AH67" s="126"/>
      <c r="AI67" s="126"/>
      <c r="AJ67" s="130"/>
      <c r="AK67" s="130"/>
      <c r="AL67" s="130"/>
      <c r="AM67" s="127">
        <f>AG67*'1. Standard_Cost'!$B$27+'Incremental_Cost Year 8'!AH67*'1. Standard_Cost'!$C$27+'Incremental_Cost Year 8'!AI67*'1. Standard_Cost'!$D$27+'Incremental_Cost Year 8'!AJ67+'Incremental_Cost Year 8'!AL67+AK67</f>
        <v>0</v>
      </c>
      <c r="AN67" s="127">
        <f>AM67*'1. Standard_Cost'!$C$31</f>
        <v>0</v>
      </c>
      <c r="AO67" s="130"/>
      <c r="AQ67" s="171">
        <f t="shared" si="47"/>
        <v>402154868.57142854</v>
      </c>
      <c r="AR67" s="171">
        <f t="shared" si="48"/>
        <v>487502400</v>
      </c>
      <c r="AS67" s="171">
        <f t="shared" si="49"/>
        <v>0</v>
      </c>
      <c r="AT67" s="171">
        <f t="shared" si="50"/>
        <v>889657268.57142854</v>
      </c>
      <c r="AU67" s="250">
        <f>AT67</f>
        <v>889657268.57142854</v>
      </c>
      <c r="AV67" s="250"/>
      <c r="AW67" s="250"/>
      <c r="AX67" s="250"/>
      <c r="AY67" s="250"/>
      <c r="AZ67" s="250"/>
      <c r="BA67" s="250"/>
      <c r="BB67" s="251">
        <f t="shared" si="52"/>
        <v>0</v>
      </c>
      <c r="BC67" s="169"/>
      <c r="BD67" s="169"/>
      <c r="BE67" s="169"/>
      <c r="BF67" s="169"/>
    </row>
    <row r="68" spans="1:58" ht="61.9" customHeight="1" outlineLevel="2" x14ac:dyDescent="0.25">
      <c r="A68" s="115"/>
      <c r="B68" s="200"/>
      <c r="C68" s="201"/>
      <c r="D68" s="131"/>
      <c r="E68" s="318"/>
      <c r="F68" s="219"/>
      <c r="G68" s="313"/>
      <c r="H68" s="199" t="s">
        <v>409</v>
      </c>
      <c r="I68" s="130"/>
      <c r="J68" s="126"/>
      <c r="K68" s="126"/>
      <c r="L68" s="125" t="str">
        <f>IF(I68&lt;&gt;0,((VLOOKUP(I68,'1. Standard_Cost'!$B$4:$D$11,2)+VLOOKUP(I68,'1. Standard_Cost'!$B$4:$D$11,3))*J68*K68),"0")</f>
        <v>0</v>
      </c>
      <c r="M68" s="125">
        <f>L68*'1. Standard_Cost'!$F$4</f>
        <v>0</v>
      </c>
      <c r="N68" s="126"/>
      <c r="O68" s="126"/>
      <c r="P68" s="126"/>
      <c r="Q68" s="126"/>
      <c r="R68" s="127">
        <f>'1. Standard_Cost'!$B$15*N68*P68</f>
        <v>0</v>
      </c>
      <c r="S68" s="127">
        <f>N68*O68*P68*'1. Standard_Cost'!$C$15</f>
        <v>0</v>
      </c>
      <c r="T68" s="127">
        <f>N68*P68*Q68*'1. Standard_Cost'!$D$15</f>
        <v>0</v>
      </c>
      <c r="U68" s="127">
        <f>N68*O68*'1. Standard_Cost'!$E$15</f>
        <v>0</v>
      </c>
      <c r="V68" s="126"/>
      <c r="W68" s="126"/>
      <c r="X68" s="126"/>
      <c r="Y68" s="127">
        <f>+V68*((X68*'1. Standard_Cost'!$B$19)+(W68*X68*'1. Standard_Cost'!$C$19))</f>
        <v>0</v>
      </c>
      <c r="Z68" s="126"/>
      <c r="AA68" s="126"/>
      <c r="AB68" s="127">
        <f>+Z68*'1. Standard_Cost'!$B$23+AA68*'1. Standard_Cost'!$C$23</f>
        <v>0</v>
      </c>
      <c r="AC68" s="128"/>
      <c r="AD68" s="129"/>
      <c r="AE68" s="127">
        <f>SUM(AD68,AC68,AB68,Y68,U68,T68,S68,R68)*'1. Standard_Cost'!$B$31</f>
        <v>0</v>
      </c>
      <c r="AF68" s="127">
        <f>SUM(AE68,AD68,AC68,AB68,Y68,U68,T68,S68,R68)</f>
        <v>0</v>
      </c>
      <c r="AG68" s="126"/>
      <c r="AH68" s="126"/>
      <c r="AI68" s="126"/>
      <c r="AJ68" s="130"/>
      <c r="AK68" s="130"/>
      <c r="AL68" s="130"/>
      <c r="AM68" s="127">
        <f>AG68*'1. Standard_Cost'!$B$27+'Incremental_Cost Year 8'!AH68*'1. Standard_Cost'!$C$27+'Incremental_Cost Year 8'!AI68*'1. Standard_Cost'!$D$27+'Incremental_Cost Year 8'!AJ68+'Incremental_Cost Year 8'!AL68+AK68</f>
        <v>0</v>
      </c>
      <c r="AN68" s="127">
        <f>AM68*'1. Standard_Cost'!$C$31</f>
        <v>0</v>
      </c>
      <c r="AO68" s="130"/>
      <c r="AQ68" s="171">
        <f t="shared" si="47"/>
        <v>0</v>
      </c>
      <c r="AR68" s="171">
        <f t="shared" si="48"/>
        <v>0</v>
      </c>
      <c r="AS68" s="171">
        <f t="shared" si="49"/>
        <v>0</v>
      </c>
      <c r="AT68" s="171">
        <f t="shared" si="50"/>
        <v>0</v>
      </c>
      <c r="AU68" s="250">
        <f>AT68</f>
        <v>0</v>
      </c>
      <c r="AV68" s="250">
        <f>AQ68</f>
        <v>0</v>
      </c>
      <c r="AW68" s="250"/>
      <c r="AX68" s="250"/>
      <c r="AY68" s="250"/>
      <c r="AZ68" s="250"/>
      <c r="BA68" s="250"/>
      <c r="BB68" s="251">
        <f t="shared" si="52"/>
        <v>0</v>
      </c>
      <c r="BC68" s="169"/>
      <c r="BD68" s="169"/>
      <c r="BE68" s="169"/>
      <c r="BF68" s="169"/>
    </row>
    <row r="69" spans="1:58" ht="61.9" customHeight="1" outlineLevel="2" x14ac:dyDescent="0.25">
      <c r="A69" s="115"/>
      <c r="B69" s="200"/>
      <c r="C69" s="201"/>
      <c r="D69" s="131"/>
      <c r="E69" s="318"/>
      <c r="F69" s="219"/>
      <c r="G69" s="313"/>
      <c r="H69" s="199" t="s">
        <v>224</v>
      </c>
      <c r="I69" s="130"/>
      <c r="J69" s="126"/>
      <c r="K69" s="126"/>
      <c r="L69" s="125" t="str">
        <f>IF(I69&lt;&gt;0,((VLOOKUP(I69,'1. Standard_Cost'!$B$4:$D$11,2)+VLOOKUP(I69,'1. Standard_Cost'!$B$4:$D$11,3))*J69*K69),"0")</f>
        <v>0</v>
      </c>
      <c r="M69" s="125">
        <f>L69*'1. Standard_Cost'!$F$4</f>
        <v>0</v>
      </c>
      <c r="N69" s="126"/>
      <c r="O69" s="126"/>
      <c r="P69" s="126"/>
      <c r="Q69" s="126"/>
      <c r="R69" s="127">
        <f>'1. Standard_Cost'!$B$15*N69*P69</f>
        <v>0</v>
      </c>
      <c r="S69" s="127">
        <f>N69*O69*P69*'1. Standard_Cost'!$C$15</f>
        <v>0</v>
      </c>
      <c r="T69" s="127">
        <f>N69*P69*Q69*'1. Standard_Cost'!$D$15</f>
        <v>0</v>
      </c>
      <c r="U69" s="127">
        <f>N69*O69*'1. Standard_Cost'!$E$15</f>
        <v>0</v>
      </c>
      <c r="V69" s="126"/>
      <c r="W69" s="126"/>
      <c r="X69" s="126"/>
      <c r="Y69" s="127">
        <f>+V69*((X69*'1. Standard_Cost'!$B$19)+(W69*X69*'1. Standard_Cost'!$C$19))</f>
        <v>0</v>
      </c>
      <c r="Z69" s="126"/>
      <c r="AA69" s="126"/>
      <c r="AB69" s="127">
        <f>+Z69*'1. Standard_Cost'!$B$23+AA69*'1. Standard_Cost'!$C$23</f>
        <v>0</v>
      </c>
      <c r="AC69" s="128"/>
      <c r="AD69" s="129"/>
      <c r="AE69" s="127"/>
      <c r="AF69" s="127"/>
      <c r="AG69" s="126"/>
      <c r="AH69" s="126"/>
      <c r="AI69" s="126"/>
      <c r="AJ69" s="130"/>
      <c r="AK69" s="130"/>
      <c r="AL69" s="130"/>
      <c r="AM69" s="127">
        <f>AG69*'1. Standard_Cost'!$B$27+'Incremental_Cost Year 8'!AH69*'1. Standard_Cost'!$C$27+'Incremental_Cost Year 8'!AI69*'1. Standard_Cost'!$D$27+'Incremental_Cost Year 8'!AJ69+'Incremental_Cost Year 8'!AL69+AK69</f>
        <v>0</v>
      </c>
      <c r="AN69" s="127">
        <f>AM69*'1. Standard_Cost'!$C$31</f>
        <v>0</v>
      </c>
      <c r="AO69" s="130"/>
      <c r="AQ69" s="171">
        <f t="shared" si="47"/>
        <v>0</v>
      </c>
      <c r="AR69" s="171">
        <f t="shared" si="48"/>
        <v>0</v>
      </c>
      <c r="AS69" s="171">
        <f t="shared" si="49"/>
        <v>0</v>
      </c>
      <c r="AT69" s="171">
        <f t="shared" si="50"/>
        <v>0</v>
      </c>
      <c r="AU69" s="250"/>
      <c r="AV69" s="250"/>
      <c r="AW69" s="250"/>
      <c r="AX69" s="250"/>
      <c r="AY69" s="250"/>
      <c r="AZ69" s="250"/>
      <c r="BA69" s="250"/>
      <c r="BB69" s="251">
        <f t="shared" si="52"/>
        <v>0</v>
      </c>
      <c r="BC69" s="169"/>
      <c r="BD69" s="169"/>
      <c r="BE69" s="169"/>
      <c r="BF69" s="169"/>
    </row>
    <row r="70" spans="1:58" ht="61.9" customHeight="1" outlineLevel="2" x14ac:dyDescent="0.25">
      <c r="A70" s="115"/>
      <c r="B70" s="200"/>
      <c r="C70" s="201"/>
      <c r="D70" s="131"/>
      <c r="E70" s="318"/>
      <c r="F70" s="219"/>
      <c r="G70" s="313"/>
      <c r="H70" s="111" t="s">
        <v>410</v>
      </c>
      <c r="I70" s="130"/>
      <c r="J70" s="126"/>
      <c r="K70" s="126"/>
      <c r="L70" s="125" t="str">
        <f>IF(I70&lt;&gt;0,((VLOOKUP(I70,'1. Standard_Cost'!$B$4:$D$11,2)+VLOOKUP(I70,'1. Standard_Cost'!$B$4:$D$11,3))*J70*K70),"0")</f>
        <v>0</v>
      </c>
      <c r="M70" s="125">
        <f>L70*'1. Standard_Cost'!$F$4</f>
        <v>0</v>
      </c>
      <c r="N70" s="126"/>
      <c r="O70" s="126"/>
      <c r="P70" s="126"/>
      <c r="Q70" s="126"/>
      <c r="R70" s="127">
        <f>'1. Standard_Cost'!$B$15*N70*P70</f>
        <v>0</v>
      </c>
      <c r="S70" s="127">
        <f>N70*O70*P70*'1. Standard_Cost'!$C$15</f>
        <v>0</v>
      </c>
      <c r="T70" s="127">
        <f>N70*P70*Q70*'1. Standard_Cost'!$D$15</f>
        <v>0</v>
      </c>
      <c r="U70" s="127">
        <f>N70*O70*'1. Standard_Cost'!$E$15</f>
        <v>0</v>
      </c>
      <c r="V70" s="126"/>
      <c r="W70" s="126"/>
      <c r="X70" s="126"/>
      <c r="Y70" s="127">
        <f>+V70*((X70*'1. Standard_Cost'!$B$19)+(W70*X70*'1. Standard_Cost'!$C$19))</f>
        <v>0</v>
      </c>
      <c r="Z70" s="126"/>
      <c r="AA70" s="126"/>
      <c r="AB70" s="127">
        <f>+Z70*'1. Standard_Cost'!$B$23+AA70*'1. Standard_Cost'!$C$23</f>
        <v>0</v>
      </c>
      <c r="AC70" s="128"/>
      <c r="AD70" s="129"/>
      <c r="AE70" s="127">
        <f>SUM(AD70,AC70,AB70,Y70,U70,T70,S70,R70)*'1. Standard_Cost'!$B$31</f>
        <v>0</v>
      </c>
      <c r="AF70" s="127">
        <f t="shared" ref="AF70:AF76" si="53">SUM(AE70,AD70,AC70,AB70,Y70,U70,T70,S70,R70)</f>
        <v>0</v>
      </c>
      <c r="AG70" s="126"/>
      <c r="AH70" s="126"/>
      <c r="AI70" s="126"/>
      <c r="AJ70" s="130"/>
      <c r="AK70" s="130"/>
      <c r="AL70" s="130"/>
      <c r="AM70" s="127">
        <f>AG70*'1. Standard_Cost'!$B$27+'Incremental_Cost Year 8'!AH70*'1. Standard_Cost'!$C$27+'Incremental_Cost Year 8'!AI70*'1. Standard_Cost'!$D$27+'Incremental_Cost Year 8'!AJ70+'Incremental_Cost Year 8'!AL70+AK70</f>
        <v>0</v>
      </c>
      <c r="AN70" s="127">
        <f>AM70*'1. Standard_Cost'!$C$31</f>
        <v>0</v>
      </c>
      <c r="AO70" s="130"/>
      <c r="AQ70" s="171">
        <f t="shared" si="47"/>
        <v>0</v>
      </c>
      <c r="AR70" s="171">
        <f t="shared" si="48"/>
        <v>0</v>
      </c>
      <c r="AS70" s="171">
        <f t="shared" si="49"/>
        <v>0</v>
      </c>
      <c r="AT70" s="171">
        <f t="shared" si="50"/>
        <v>0</v>
      </c>
      <c r="AU70" s="250">
        <f>AQ70</f>
        <v>0</v>
      </c>
      <c r="AV70" s="250"/>
      <c r="AW70" s="250"/>
      <c r="AX70" s="250"/>
      <c r="AY70" s="250">
        <f>AR70</f>
        <v>0</v>
      </c>
      <c r="AZ70" s="250"/>
      <c r="BA70" s="250"/>
      <c r="BB70" s="251">
        <f t="shared" si="52"/>
        <v>0</v>
      </c>
      <c r="BC70" s="169"/>
      <c r="BD70" s="169"/>
      <c r="BE70" s="169"/>
      <c r="BF70" s="169"/>
    </row>
    <row r="71" spans="1:58" ht="61.9" customHeight="1" outlineLevel="2" x14ac:dyDescent="0.25">
      <c r="A71" s="115"/>
      <c r="B71" s="200"/>
      <c r="C71" s="201"/>
      <c r="D71" s="131"/>
      <c r="E71" s="318"/>
      <c r="F71" s="219"/>
      <c r="G71" s="313"/>
      <c r="H71" s="111" t="s">
        <v>411</v>
      </c>
      <c r="I71" s="130"/>
      <c r="J71" s="126"/>
      <c r="K71" s="126"/>
      <c r="L71" s="125" t="str">
        <f>IF(I71&lt;&gt;0,((VLOOKUP(I71,'1. Standard_Cost'!$B$4:$D$11,2)+VLOOKUP(I71,'1. Standard_Cost'!$B$4:$D$11,3))*J71*K71),"0")</f>
        <v>0</v>
      </c>
      <c r="M71" s="125">
        <f>L71*'1. Standard_Cost'!$F$4</f>
        <v>0</v>
      </c>
      <c r="N71" s="126"/>
      <c r="O71" s="126"/>
      <c r="P71" s="126"/>
      <c r="Q71" s="126"/>
      <c r="R71" s="127">
        <f>'1. Standard_Cost'!$B$15*N71*P71</f>
        <v>0</v>
      </c>
      <c r="S71" s="127">
        <f>N71*O71*P71*'1. Standard_Cost'!$C$15</f>
        <v>0</v>
      </c>
      <c r="T71" s="127">
        <f>N71*P71*Q71*'1. Standard_Cost'!$D$15</f>
        <v>0</v>
      </c>
      <c r="U71" s="127">
        <f>N71*O71*'1. Standard_Cost'!$E$15</f>
        <v>0</v>
      </c>
      <c r="V71" s="126"/>
      <c r="W71" s="126"/>
      <c r="X71" s="126"/>
      <c r="Y71" s="127">
        <f>+V71*((X71*'1. Standard_Cost'!$B$19)+(W71*X71*'1. Standard_Cost'!$C$19))</f>
        <v>0</v>
      </c>
      <c r="Z71" s="126"/>
      <c r="AA71" s="126"/>
      <c r="AB71" s="127">
        <f>+Z71*'1. Standard_Cost'!$B$23+AA71*'1. Standard_Cost'!$C$23</f>
        <v>0</v>
      </c>
      <c r="AC71" s="128"/>
      <c r="AD71" s="129"/>
      <c r="AE71" s="127">
        <f>SUM(AD71,AC71,AB71,Y71,U71,T71,S71,R71)*'1. Standard_Cost'!$B$31</f>
        <v>0</v>
      </c>
      <c r="AF71" s="127">
        <f t="shared" si="53"/>
        <v>0</v>
      </c>
      <c r="AG71" s="126"/>
      <c r="AH71" s="126"/>
      <c r="AI71" s="126"/>
      <c r="AJ71" s="130"/>
      <c r="AK71" s="130"/>
      <c r="AL71" s="130"/>
      <c r="AM71" s="127">
        <f>AG71*'1. Standard_Cost'!$B$27+'Incremental_Cost Year 8'!AH71*'1. Standard_Cost'!$C$27+'Incremental_Cost Year 8'!AI71*'1. Standard_Cost'!$D$27+'Incremental_Cost Year 8'!AJ71+'Incremental_Cost Year 8'!AL71+AK71</f>
        <v>0</v>
      </c>
      <c r="AN71" s="127">
        <f>AM71*'1. Standard_Cost'!$C$31</f>
        <v>0</v>
      </c>
      <c r="AO71" s="130"/>
      <c r="AQ71" s="171">
        <f t="shared" si="47"/>
        <v>0</v>
      </c>
      <c r="AR71" s="171">
        <f t="shared" si="48"/>
        <v>0</v>
      </c>
      <c r="AS71" s="171">
        <f t="shared" si="49"/>
        <v>0</v>
      </c>
      <c r="AT71" s="171">
        <f t="shared" si="50"/>
        <v>0</v>
      </c>
      <c r="AU71" s="250">
        <f>AQ71</f>
        <v>0</v>
      </c>
      <c r="AV71" s="250"/>
      <c r="AW71" s="250"/>
      <c r="AX71" s="250"/>
      <c r="AY71" s="250"/>
      <c r="AZ71" s="250"/>
      <c r="BA71" s="250"/>
      <c r="BB71" s="251">
        <f t="shared" si="52"/>
        <v>0</v>
      </c>
      <c r="BC71" s="169"/>
      <c r="BD71" s="169"/>
      <c r="BE71" s="169"/>
      <c r="BF71" s="169"/>
    </row>
    <row r="72" spans="1:58" ht="61.9" customHeight="1" outlineLevel="2" x14ac:dyDescent="0.25">
      <c r="A72" s="115"/>
      <c r="B72" s="200"/>
      <c r="C72" s="201"/>
      <c r="D72" s="131"/>
      <c r="E72" s="318"/>
      <c r="F72" s="219"/>
      <c r="G72" s="313"/>
      <c r="H72" s="199" t="s">
        <v>412</v>
      </c>
      <c r="I72" s="130" t="s">
        <v>4</v>
      </c>
      <c r="J72" s="126">
        <v>0.5</v>
      </c>
      <c r="K72" s="126">
        <v>5</v>
      </c>
      <c r="L72" s="125">
        <f>IF(I72&lt;&gt;0,((VLOOKUP(I72,'1. Standard_Cost'!$B$4:$D$11,2)+VLOOKUP(I72,'1. Standard_Cost'!$B$4:$D$11,3))*J72*K72),"0")</f>
        <v>201875</v>
      </c>
      <c r="M72" s="125">
        <f>L72*'1. Standard_Cost'!$F$4</f>
        <v>33713.125</v>
      </c>
      <c r="N72" s="126">
        <v>5</v>
      </c>
      <c r="O72" s="126">
        <v>2</v>
      </c>
      <c r="P72" s="126">
        <v>20</v>
      </c>
      <c r="Q72" s="126"/>
      <c r="R72" s="127">
        <f>'1. Standard_Cost'!$B$15*N72*P72</f>
        <v>200000</v>
      </c>
      <c r="S72" s="127">
        <f>N72*O72*P72*'1. Standard_Cost'!$C$15</f>
        <v>300000</v>
      </c>
      <c r="T72" s="127">
        <f>N72*P72*Q72*'1. Standard_Cost'!$D$15</f>
        <v>0</v>
      </c>
      <c r="U72" s="127">
        <f>N72*O72*'1. Standard_Cost'!$E$15</f>
        <v>400000</v>
      </c>
      <c r="V72" s="126"/>
      <c r="W72" s="126"/>
      <c r="X72" s="126"/>
      <c r="Y72" s="127">
        <f>+V72*((X72*'1. Standard_Cost'!$B$19)+(W72*X72*'1. Standard_Cost'!$C$19))</f>
        <v>0</v>
      </c>
      <c r="Z72" s="126"/>
      <c r="AA72" s="126">
        <v>6</v>
      </c>
      <c r="AB72" s="127">
        <f>+Z72*'1. Standard_Cost'!$B$23+AA72*'1. Standard_Cost'!$C$23</f>
        <v>114000</v>
      </c>
      <c r="AC72" s="128">
        <f>100*300*2+100*3000*2</f>
        <v>660000</v>
      </c>
      <c r="AD72" s="129"/>
      <c r="AE72" s="127">
        <f>SUM(AD72,AC72,AB72,Y72,U72,T72,S72,R72)*'1. Standard_Cost'!$B$31</f>
        <v>334800</v>
      </c>
      <c r="AF72" s="127">
        <f t="shared" si="53"/>
        <v>2008800</v>
      </c>
      <c r="AG72" s="126"/>
      <c r="AH72" s="126"/>
      <c r="AI72" s="126"/>
      <c r="AJ72" s="130"/>
      <c r="AK72" s="130"/>
      <c r="AL72" s="130"/>
      <c r="AM72" s="127">
        <f>AG72*'1. Standard_Cost'!$B$27+'Incremental_Cost Year 8'!AH72*'1. Standard_Cost'!$C$27+'Incremental_Cost Year 8'!AI72*'1. Standard_Cost'!$D$27+'Incremental_Cost Year 8'!AJ72+'Incremental_Cost Year 8'!AL72+AK72</f>
        <v>0</v>
      </c>
      <c r="AN72" s="127">
        <f>AM72*'1. Standard_Cost'!$C$31</f>
        <v>0</v>
      </c>
      <c r="AO72" s="249"/>
      <c r="AQ72" s="171">
        <f t="shared" si="47"/>
        <v>235588.125</v>
      </c>
      <c r="AR72" s="171">
        <f t="shared" si="48"/>
        <v>2008800</v>
      </c>
      <c r="AS72" s="171">
        <f t="shared" si="49"/>
        <v>0</v>
      </c>
      <c r="AT72" s="171">
        <f t="shared" si="50"/>
        <v>2244388.125</v>
      </c>
      <c r="AU72" s="250">
        <f>AQ72</f>
        <v>235588.125</v>
      </c>
      <c r="AV72" s="250"/>
      <c r="AW72" s="250"/>
      <c r="AX72" s="250"/>
      <c r="AY72" s="250">
        <f>928800</f>
        <v>928800</v>
      </c>
      <c r="AZ72" s="250"/>
      <c r="BA72" s="250"/>
      <c r="BB72" s="251">
        <f t="shared" si="52"/>
        <v>-1080000</v>
      </c>
      <c r="BC72" s="169"/>
      <c r="BD72" s="169"/>
      <c r="BE72" s="169"/>
      <c r="BF72" s="169"/>
    </row>
    <row r="73" spans="1:58" ht="61.9" customHeight="1" outlineLevel="2" x14ac:dyDescent="0.25">
      <c r="A73" s="115"/>
      <c r="B73" s="200"/>
      <c r="C73" s="201"/>
      <c r="D73" s="131"/>
      <c r="E73" s="318"/>
      <c r="F73" s="219"/>
      <c r="G73" s="313"/>
      <c r="H73" s="199" t="s">
        <v>413</v>
      </c>
      <c r="I73" s="130" t="s">
        <v>4</v>
      </c>
      <c r="J73" s="126">
        <v>0.2</v>
      </c>
      <c r="K73" s="126">
        <v>5</v>
      </c>
      <c r="L73" s="125">
        <f>IF(I73&lt;&gt;0,((VLOOKUP(I73,'1. Standard_Cost'!$B$4:$D$11,2)+VLOOKUP(I73,'1. Standard_Cost'!$B$4:$D$11,3))*J73*K73),"0")</f>
        <v>80750</v>
      </c>
      <c r="M73" s="125">
        <f>L73*'1. Standard_Cost'!$F$4</f>
        <v>13485.25</v>
      </c>
      <c r="N73" s="126">
        <v>2</v>
      </c>
      <c r="O73" s="126">
        <v>2</v>
      </c>
      <c r="P73" s="126">
        <v>20</v>
      </c>
      <c r="Q73" s="126"/>
      <c r="R73" s="127">
        <f>'1. Standard_Cost'!$B$15*N73*P73</f>
        <v>80000</v>
      </c>
      <c r="S73" s="127">
        <f>N73*O73*P73*'1. Standard_Cost'!$C$15</f>
        <v>120000</v>
      </c>
      <c r="T73" s="127">
        <f>N73*P73*Q73*'1. Standard_Cost'!$D$15</f>
        <v>0</v>
      </c>
      <c r="U73" s="127">
        <f>N73*O73*'1. Standard_Cost'!$E$15</f>
        <v>160000</v>
      </c>
      <c r="V73" s="126"/>
      <c r="W73" s="126"/>
      <c r="X73" s="126"/>
      <c r="Y73" s="127">
        <f>+V73*((X73*'1. Standard_Cost'!$B$19)+(W73*X73*'1. Standard_Cost'!$C$19))</f>
        <v>0</v>
      </c>
      <c r="Z73" s="126"/>
      <c r="AA73" s="126">
        <v>3</v>
      </c>
      <c r="AB73" s="127">
        <f>+Z73*'1. Standard_Cost'!$B$23+AA73*'1. Standard_Cost'!$C$23</f>
        <v>57000</v>
      </c>
      <c r="AC73" s="128">
        <f>40*3300*2</f>
        <v>264000</v>
      </c>
      <c r="AD73" s="129"/>
      <c r="AE73" s="127">
        <f>SUM(AD73,AC73,AB73,Y73,U73,T73,S73,R73)*'1. Standard_Cost'!$B$31</f>
        <v>136200</v>
      </c>
      <c r="AF73" s="127">
        <f t="shared" si="53"/>
        <v>817200</v>
      </c>
      <c r="AG73" s="126"/>
      <c r="AH73" s="126"/>
      <c r="AI73" s="126"/>
      <c r="AJ73" s="130"/>
      <c r="AK73" s="130"/>
      <c r="AL73" s="130"/>
      <c r="AM73" s="127">
        <f>AG73*'1. Standard_Cost'!$B$27+'Incremental_Cost Year 8'!AH73*'1. Standard_Cost'!$C$27+'Incremental_Cost Year 8'!AI73*'1. Standard_Cost'!$D$27+'Incremental_Cost Year 8'!AJ73+'Incremental_Cost Year 8'!AL73+AK73</f>
        <v>0</v>
      </c>
      <c r="AN73" s="127">
        <f>AM73*'1. Standard_Cost'!$C$31</f>
        <v>0</v>
      </c>
      <c r="AO73" s="249"/>
      <c r="AQ73" s="171">
        <f t="shared" si="47"/>
        <v>94235.25</v>
      </c>
      <c r="AR73" s="171">
        <f t="shared" si="48"/>
        <v>817200</v>
      </c>
      <c r="AS73" s="171">
        <f t="shared" si="49"/>
        <v>0</v>
      </c>
      <c r="AT73" s="171">
        <f t="shared" si="50"/>
        <v>911435.25</v>
      </c>
      <c r="AU73" s="250">
        <f>AQ73</f>
        <v>94235.25</v>
      </c>
      <c r="AV73" s="250"/>
      <c r="AW73" s="250"/>
      <c r="AX73" s="250"/>
      <c r="AY73" s="250">
        <f>AR73</f>
        <v>817200</v>
      </c>
      <c r="AZ73" s="250"/>
      <c r="BA73" s="250"/>
      <c r="BB73" s="251">
        <f t="shared" si="52"/>
        <v>0</v>
      </c>
      <c r="BC73" s="169"/>
      <c r="BD73" s="169"/>
      <c r="BE73" s="169"/>
      <c r="BF73" s="169"/>
    </row>
    <row r="74" spans="1:58" ht="61.9" customHeight="1" outlineLevel="2" x14ac:dyDescent="0.25">
      <c r="A74" s="115"/>
      <c r="B74" s="200"/>
      <c r="C74" s="201"/>
      <c r="D74" s="131"/>
      <c r="E74" s="318"/>
      <c r="F74" s="219"/>
      <c r="G74" s="313"/>
      <c r="H74" s="199" t="s">
        <v>310</v>
      </c>
      <c r="I74" s="130"/>
      <c r="J74" s="126"/>
      <c r="K74" s="126"/>
      <c r="L74" s="125" t="str">
        <f>IF(I74&lt;&gt;0,((VLOOKUP(I74,'1. Standard_Cost'!$B$4:$D$11,2)+VLOOKUP(I74,'1. Standard_Cost'!$B$4:$D$11,3))*J74*K74),"0")</f>
        <v>0</v>
      </c>
      <c r="M74" s="125">
        <f>L74*'1. Standard_Cost'!$F$4</f>
        <v>0</v>
      </c>
      <c r="N74" s="126"/>
      <c r="O74" s="126"/>
      <c r="P74" s="126"/>
      <c r="Q74" s="126"/>
      <c r="R74" s="127">
        <f>'1. Standard_Cost'!$B$15*N74*P74</f>
        <v>0</v>
      </c>
      <c r="S74" s="127">
        <f>N74*O74*P74*'1. Standard_Cost'!$C$15</f>
        <v>0</v>
      </c>
      <c r="T74" s="127">
        <f>N74*P74*Q74*'1. Standard_Cost'!$D$15</f>
        <v>0</v>
      </c>
      <c r="U74" s="127">
        <f>N74*O74*'1. Standard_Cost'!$E$15</f>
        <v>0</v>
      </c>
      <c r="V74" s="126"/>
      <c r="W74" s="126"/>
      <c r="X74" s="126"/>
      <c r="Y74" s="127">
        <f>+V74*((X74*'1. Standard_Cost'!$B$19)+(W74*X74*'1. Standard_Cost'!$C$19))</f>
        <v>0</v>
      </c>
      <c r="Z74" s="126"/>
      <c r="AA74" s="126"/>
      <c r="AB74" s="127">
        <f>+Z74*'1. Standard_Cost'!$B$23+AA74*'1. Standard_Cost'!$C$23</f>
        <v>0</v>
      </c>
      <c r="AC74" s="128"/>
      <c r="AD74" s="129"/>
      <c r="AE74" s="127">
        <f>SUM(AD74,AC74,AB74,Y74,U74,T74,S74,R74)*'1. Standard_Cost'!$B$31</f>
        <v>0</v>
      </c>
      <c r="AF74" s="127">
        <f t="shared" si="53"/>
        <v>0</v>
      </c>
      <c r="AG74" s="126"/>
      <c r="AH74" s="126"/>
      <c r="AI74" s="126"/>
      <c r="AJ74" s="130"/>
      <c r="AK74" s="130"/>
      <c r="AL74" s="130"/>
      <c r="AM74" s="127">
        <f>AG74*'1. Standard_Cost'!$B$27+'Incremental_Cost Year 8'!AH74*'1. Standard_Cost'!$C$27+'Incremental_Cost Year 8'!AI74*'1. Standard_Cost'!$D$27+'Incremental_Cost Year 8'!AJ74+'Incremental_Cost Year 8'!AL74+AK74</f>
        <v>0</v>
      </c>
      <c r="AN74" s="127">
        <f>AM74*'1. Standard_Cost'!$C$31</f>
        <v>0</v>
      </c>
      <c r="AO74" s="130"/>
      <c r="AQ74" s="171">
        <f t="shared" si="47"/>
        <v>0</v>
      </c>
      <c r="AR74" s="171">
        <f t="shared" si="48"/>
        <v>0</v>
      </c>
      <c r="AS74" s="171">
        <f t="shared" si="49"/>
        <v>0</v>
      </c>
      <c r="AT74" s="171">
        <f t="shared" si="50"/>
        <v>0</v>
      </c>
      <c r="AU74" s="250"/>
      <c r="AV74" s="250"/>
      <c r="AW74" s="250"/>
      <c r="AX74" s="250"/>
      <c r="AY74" s="250"/>
      <c r="AZ74" s="250"/>
      <c r="BA74" s="250"/>
      <c r="BB74" s="251">
        <f t="shared" si="52"/>
        <v>0</v>
      </c>
      <c r="BC74" s="169"/>
      <c r="BD74" s="169"/>
      <c r="BE74" s="169"/>
      <c r="BF74" s="169"/>
    </row>
    <row r="75" spans="1:58" ht="61.9" customHeight="1" outlineLevel="2" x14ac:dyDescent="0.25">
      <c r="A75" s="115"/>
      <c r="B75" s="200"/>
      <c r="C75" s="201"/>
      <c r="D75" s="131"/>
      <c r="E75" s="219"/>
      <c r="F75" s="219"/>
      <c r="G75" s="313"/>
      <c r="H75" s="112" t="s">
        <v>414</v>
      </c>
      <c r="I75" s="130" t="s">
        <v>5</v>
      </c>
      <c r="J75" s="126">
        <v>12</v>
      </c>
      <c r="K75" s="126">
        <v>72</v>
      </c>
      <c r="L75" s="125">
        <f>IF(I75&lt;&gt;0,((VLOOKUP(I75,'1. Standard_Cost'!$B$4:$D$11,2)+VLOOKUP(I75,'1. Standard_Cost'!$B$4:$D$11,3))*J75*K75),"0")</f>
        <v>61084800</v>
      </c>
      <c r="M75" s="125">
        <f>L75*'1. Standard_Cost'!$F$4</f>
        <v>10201161.600000001</v>
      </c>
      <c r="N75" s="126"/>
      <c r="O75" s="126"/>
      <c r="P75" s="126"/>
      <c r="Q75" s="126"/>
      <c r="R75" s="127">
        <f>'1. Standard_Cost'!$B$15*N75*P75</f>
        <v>0</v>
      </c>
      <c r="S75" s="127">
        <f>N75*O75*P75*'1. Standard_Cost'!$C$15</f>
        <v>0</v>
      </c>
      <c r="T75" s="127">
        <f>N75*P75*Q75*'1. Standard_Cost'!$D$15</f>
        <v>0</v>
      </c>
      <c r="U75" s="127">
        <f>N75*O75*'1. Standard_Cost'!$E$15</f>
        <v>0</v>
      </c>
      <c r="V75" s="126"/>
      <c r="W75" s="126"/>
      <c r="X75" s="126"/>
      <c r="Y75" s="127">
        <f>+V75*((X75*'1. Standard_Cost'!$B$19)+(W75*X75*'1. Standard_Cost'!$C$19))</f>
        <v>0</v>
      </c>
      <c r="Z75" s="126"/>
      <c r="AA75" s="126"/>
      <c r="AB75" s="127">
        <f>+Z75*'1. Standard_Cost'!$B$23+AA75*'1. Standard_Cost'!$C$23</f>
        <v>0</v>
      </c>
      <c r="AC75" s="128">
        <v>13000000</v>
      </c>
      <c r="AD75" s="129"/>
      <c r="AE75" s="127"/>
      <c r="AF75" s="127">
        <f t="shared" si="53"/>
        <v>13000000</v>
      </c>
      <c r="AG75" s="126"/>
      <c r="AH75" s="126"/>
      <c r="AI75" s="126"/>
      <c r="AJ75" s="130"/>
      <c r="AK75" s="130"/>
      <c r="AL75" s="130"/>
      <c r="AM75" s="127">
        <f>AG75*'1. Standard_Cost'!$B$27+'Incremental_Cost Year 8'!AH75*'1. Standard_Cost'!$C$27+'Incremental_Cost Year 8'!AI75*'1. Standard_Cost'!$D$27+'Incremental_Cost Year 8'!AJ75+'Incremental_Cost Year 8'!AL75+AK75</f>
        <v>0</v>
      </c>
      <c r="AN75" s="127">
        <f>AM75*'1. Standard_Cost'!$C$31</f>
        <v>0</v>
      </c>
      <c r="AO75" s="130"/>
      <c r="AQ75" s="171">
        <f t="shared" si="47"/>
        <v>71285961.599999994</v>
      </c>
      <c r="AR75" s="171">
        <f t="shared" si="48"/>
        <v>13000000</v>
      </c>
      <c r="AS75" s="171">
        <f t="shared" si="49"/>
        <v>0</v>
      </c>
      <c r="AT75" s="171">
        <f t="shared" si="50"/>
        <v>84285961.599999994</v>
      </c>
      <c r="AU75" s="250">
        <f>AT75</f>
        <v>84285961.599999994</v>
      </c>
      <c r="AV75" s="250"/>
      <c r="AW75" s="250"/>
      <c r="AX75" s="250"/>
      <c r="AY75" s="250"/>
      <c r="AZ75" s="250"/>
      <c r="BA75" s="250"/>
      <c r="BB75" s="251">
        <f t="shared" si="52"/>
        <v>0</v>
      </c>
      <c r="BC75" s="169"/>
      <c r="BD75" s="169"/>
      <c r="BE75" s="169"/>
      <c r="BF75" s="169"/>
    </row>
    <row r="76" spans="1:58" ht="61.9" customHeight="1" outlineLevel="2" x14ac:dyDescent="0.25">
      <c r="A76" s="115"/>
      <c r="B76" s="200"/>
      <c r="C76" s="201"/>
      <c r="D76" s="305"/>
      <c r="E76" s="320"/>
      <c r="F76" s="122"/>
      <c r="G76" s="123"/>
      <c r="H76" s="199" t="s">
        <v>415</v>
      </c>
      <c r="I76" s="130" t="s">
        <v>3</v>
      </c>
      <c r="J76" s="126">
        <v>0.5</v>
      </c>
      <c r="K76" s="126">
        <v>3</v>
      </c>
      <c r="L76" s="125">
        <f>IF(I76&lt;&gt;0,((VLOOKUP(I76,'1. Standard_Cost'!$B$4:$D$11,2)+VLOOKUP(I76,'1. Standard_Cost'!$B$4:$D$11,3))*J76*K76),"0")</f>
        <v>151200</v>
      </c>
      <c r="M76" s="125">
        <f>L76*'1. Standard_Cost'!$F$4</f>
        <v>25250.400000000001</v>
      </c>
      <c r="N76" s="126"/>
      <c r="O76" s="126"/>
      <c r="P76" s="126"/>
      <c r="Q76" s="126"/>
      <c r="R76" s="127">
        <f>'1. Standard_Cost'!$B$15*N76*P76</f>
        <v>0</v>
      </c>
      <c r="S76" s="127">
        <f>N76*O76*P76*'1. Standard_Cost'!$C$15</f>
        <v>0</v>
      </c>
      <c r="T76" s="127">
        <f>N76*P76*Q76*'1. Standard_Cost'!$D$15</f>
        <v>0</v>
      </c>
      <c r="U76" s="127">
        <f>N76*O76*'1. Standard_Cost'!$E$15</f>
        <v>0</v>
      </c>
      <c r="V76" s="126"/>
      <c r="W76" s="126"/>
      <c r="X76" s="126"/>
      <c r="Y76" s="127">
        <f>+V76*((X76*'1. Standard_Cost'!$B$19)+(W76*X76*'1. Standard_Cost'!$C$19))</f>
        <v>0</v>
      </c>
      <c r="Z76" s="126"/>
      <c r="AA76" s="126"/>
      <c r="AB76" s="127">
        <f>+Z76*'1. Standard_Cost'!$B$23+AA76*'1. Standard_Cost'!$C$23</f>
        <v>0</v>
      </c>
      <c r="AC76" s="128">
        <v>500000</v>
      </c>
      <c r="AD76" s="129"/>
      <c r="AE76" s="127">
        <f>SUM(AD76,AC76,AB76,Y76,U76,T76,S76,R76)*'1. Standard_Cost'!$B$31</f>
        <v>100000</v>
      </c>
      <c r="AF76" s="127">
        <f t="shared" si="53"/>
        <v>600000</v>
      </c>
      <c r="AG76" s="126"/>
      <c r="AH76" s="126"/>
      <c r="AI76" s="126"/>
      <c r="AJ76" s="130"/>
      <c r="AK76" s="130"/>
      <c r="AL76" s="130"/>
      <c r="AM76" s="127">
        <f>AG76*'1. Standard_Cost'!$B$27+'Incremental_Cost Year 8'!AH76*'1. Standard_Cost'!$C$27+'Incremental_Cost Year 8'!AI76*'1. Standard_Cost'!$D$27+'Incremental_Cost Year 8'!AJ76+'Incremental_Cost Year 8'!AL76+AK76</f>
        <v>0</v>
      </c>
      <c r="AN76" s="127">
        <f>AM76*'1. Standard_Cost'!$C$31</f>
        <v>0</v>
      </c>
      <c r="AO76" s="130"/>
      <c r="AQ76" s="171">
        <f t="shared" si="47"/>
        <v>176450.4</v>
      </c>
      <c r="AR76" s="171">
        <f t="shared" si="48"/>
        <v>600000</v>
      </c>
      <c r="AS76" s="171">
        <f t="shared" si="49"/>
        <v>0</v>
      </c>
      <c r="AT76" s="171">
        <f t="shared" si="50"/>
        <v>776450.4</v>
      </c>
      <c r="AU76" s="250">
        <f>AQ76</f>
        <v>176450.4</v>
      </c>
      <c r="AV76" s="250"/>
      <c r="AW76" s="250"/>
      <c r="AX76" s="250"/>
      <c r="AY76" s="250">
        <v>600000</v>
      </c>
      <c r="AZ76" s="250"/>
      <c r="BA76" s="250"/>
      <c r="BB76" s="251">
        <f t="shared" si="52"/>
        <v>0</v>
      </c>
      <c r="BC76" s="169"/>
      <c r="BD76" s="169"/>
      <c r="BE76" s="169"/>
      <c r="BF76" s="169"/>
    </row>
    <row r="77" spans="1:58" ht="61.9" customHeight="1" outlineLevel="1" x14ac:dyDescent="0.25">
      <c r="A77" s="115"/>
      <c r="B77" s="165"/>
      <c r="C77" s="166"/>
      <c r="D77" s="107" t="s">
        <v>416</v>
      </c>
      <c r="E77" s="139" t="s">
        <v>221</v>
      </c>
      <c r="F77" s="222">
        <v>2021</v>
      </c>
      <c r="G77" s="117">
        <v>2030</v>
      </c>
      <c r="H77" s="134" t="s">
        <v>220</v>
      </c>
      <c r="I77" s="252"/>
      <c r="J77" s="252"/>
      <c r="K77" s="252"/>
      <c r="L77" s="127">
        <f>SUM(L62:L76)</f>
        <v>646486825</v>
      </c>
      <c r="M77" s="127">
        <f>SUM(M62:M76)</f>
        <v>107963299.77500001</v>
      </c>
      <c r="N77" s="127"/>
      <c r="O77" s="252"/>
      <c r="P77" s="252"/>
      <c r="Q77" s="252"/>
      <c r="R77" s="127">
        <f>SUM(R62:R76)</f>
        <v>280000</v>
      </c>
      <c r="S77" s="127">
        <f>SUM(S62:S76)</f>
        <v>420000</v>
      </c>
      <c r="T77" s="127">
        <f>SUM(T62:T76)</f>
        <v>0</v>
      </c>
      <c r="U77" s="127">
        <f>SUM(U62:U76)</f>
        <v>560000</v>
      </c>
      <c r="V77" s="252"/>
      <c r="W77" s="252"/>
      <c r="X77" s="252"/>
      <c r="Y77" s="127">
        <f>SUM(Y62:Y76)</f>
        <v>0</v>
      </c>
      <c r="Z77" s="252"/>
      <c r="AA77" s="252"/>
      <c r="AB77" s="127">
        <f>SUM(AB62:AB76)</f>
        <v>171000</v>
      </c>
      <c r="AC77" s="127">
        <f>SUM(AC62:AC76)</f>
        <v>549876000</v>
      </c>
      <c r="AD77" s="127">
        <f>SUM(AD62:AD76)</f>
        <v>0</v>
      </c>
      <c r="AE77" s="127">
        <f>SUM(AE62:AE76)</f>
        <v>81821400</v>
      </c>
      <c r="AF77" s="127">
        <f>SUM(AF62:AF76)</f>
        <v>633128400</v>
      </c>
      <c r="AG77" s="252"/>
      <c r="AH77" s="252"/>
      <c r="AI77" s="252"/>
      <c r="AJ77" s="127">
        <f>SUM(AJ62:AJ76)</f>
        <v>0</v>
      </c>
      <c r="AK77" s="127">
        <f>SUM(AK62:AK76)</f>
        <v>0</v>
      </c>
      <c r="AL77" s="127">
        <f>SUM(AL62:AL76)</f>
        <v>0</v>
      </c>
      <c r="AM77" s="127">
        <f>SUM(AM62:AM76)</f>
        <v>0</v>
      </c>
      <c r="AN77" s="127">
        <f>SUM(AN62:AN76)</f>
        <v>0</v>
      </c>
      <c r="AO77" s="253"/>
      <c r="AP77" s="254"/>
      <c r="AQ77" s="175">
        <f>SUM(AQ62:AQ76)</f>
        <v>754450124.77499998</v>
      </c>
      <c r="AR77" s="175">
        <f>SUM(AR62:AR76)</f>
        <v>633128400</v>
      </c>
      <c r="AS77" s="175">
        <f>SUM(AS62:AS76)</f>
        <v>0</v>
      </c>
      <c r="AT77" s="175">
        <f>SUM(AT62:AT76)</f>
        <v>1387578524.7750001</v>
      </c>
      <c r="AU77" s="175">
        <f t="shared" ref="AU77:BB77" si="54">SUM(AU62:AU76)</f>
        <v>1384152524.7750001</v>
      </c>
      <c r="AV77" s="175">
        <f t="shared" si="54"/>
        <v>0</v>
      </c>
      <c r="AW77" s="175">
        <f t="shared" si="54"/>
        <v>0</v>
      </c>
      <c r="AX77" s="175">
        <f t="shared" si="54"/>
        <v>0</v>
      </c>
      <c r="AY77" s="175">
        <f t="shared" si="54"/>
        <v>2346000</v>
      </c>
      <c r="AZ77" s="175">
        <f t="shared" si="54"/>
        <v>0</v>
      </c>
      <c r="BA77" s="175">
        <f t="shared" si="54"/>
        <v>0</v>
      </c>
      <c r="BB77" s="175">
        <f t="shared" si="54"/>
        <v>-1080000</v>
      </c>
      <c r="BC77" s="169"/>
      <c r="BD77" s="169"/>
      <c r="BE77" s="169"/>
      <c r="BF77" s="169"/>
    </row>
    <row r="78" spans="1:58" s="170" customFormat="1" ht="61.9" customHeight="1" x14ac:dyDescent="0.25">
      <c r="A78" s="120"/>
      <c r="B78" s="396" t="s">
        <v>298</v>
      </c>
      <c r="C78" s="389"/>
      <c r="D78" s="389"/>
      <c r="E78" s="390"/>
      <c r="F78" s="339"/>
      <c r="G78" s="339"/>
      <c r="H78" s="339" t="s">
        <v>60</v>
      </c>
      <c r="I78" s="243"/>
      <c r="J78" s="243"/>
      <c r="K78" s="243"/>
      <c r="L78" s="243">
        <f>SUM(L79,L93,L100,L106,L111,L118,L123,L134,L140)</f>
        <v>97020132.857142866</v>
      </c>
      <c r="M78" s="243">
        <f>SUM(M79,M93,M100,M106,M111,M118,M123,M134,M140)</f>
        <v>16202362.187142858</v>
      </c>
      <c r="N78" s="243"/>
      <c r="O78" s="243"/>
      <c r="P78" s="243"/>
      <c r="Q78" s="243"/>
      <c r="R78" s="243">
        <f>SUM(R79,R93,R100,R106,R111,R118,R123,R134,R140)</f>
        <v>400000</v>
      </c>
      <c r="S78" s="243">
        <f>SUM(S79,S93,S100,S106,S111,S118,S123,S134,S140)</f>
        <v>300000</v>
      </c>
      <c r="T78" s="243">
        <f>SUM(T79,T93,T100,T106,T111,T118,T123,T134,T140)</f>
        <v>0</v>
      </c>
      <c r="U78" s="243">
        <f>SUM(U79,U93,U100,U106,U111,U118,U123,U134,U140)</f>
        <v>400000</v>
      </c>
      <c r="V78" s="243"/>
      <c r="W78" s="243"/>
      <c r="X78" s="243"/>
      <c r="Y78" s="243">
        <f>SUM(Y79,Y93,Y100,Y106,Y111,Y118,Y123,Y134,Y140)</f>
        <v>510000</v>
      </c>
      <c r="Z78" s="243"/>
      <c r="AA78" s="243"/>
      <c r="AB78" s="243">
        <f>SUM(AB79,AB93,AB100,AB106,AB111,AB118,AB123,AB134,AB140)</f>
        <v>3819000</v>
      </c>
      <c r="AC78" s="243">
        <f>SUM(AC79,AC93,AC100,AC106,AC111,AC118,AC123,AC134,AC140)</f>
        <v>14679485996</v>
      </c>
      <c r="AD78" s="243">
        <f>SUM(AD79,AD93,AD100,AD106,AD111,AD118,AD123,AD134,AD140)</f>
        <v>0</v>
      </c>
      <c r="AE78" s="243">
        <f>SUM(AE79,AE93,AE100,AE106,AE111,AE118,AE123,AE134,AE140)</f>
        <v>319935999.19999999</v>
      </c>
      <c r="AF78" s="243">
        <f>SUM(AF79,AF93,AF100,AF106,AF111,AF118,AF123,AF134,AF140)</f>
        <v>15004850995.200001</v>
      </c>
      <c r="AG78" s="243"/>
      <c r="AH78" s="243"/>
      <c r="AI78" s="243"/>
      <c r="AJ78" s="243">
        <f>SUM(AJ79,AJ93,AJ100,AJ106,AJ111,AJ118,AJ123,AJ134,AJ140)</f>
        <v>0</v>
      </c>
      <c r="AK78" s="243">
        <f>SUM(AK79,AK93,AK100,AK106,AK111,AK118,AK123,AK134,AK140)</f>
        <v>0</v>
      </c>
      <c r="AL78" s="243">
        <f>SUM(AL79,AL93,AL100,AL106,AL111,AL118,AL123,AL134,AL140)</f>
        <v>0</v>
      </c>
      <c r="AM78" s="243">
        <f>SUM(AM79,AM93,AM100,AM106,AM111,AM118,AM123,AM134,AM140)</f>
        <v>0</v>
      </c>
      <c r="AN78" s="243">
        <f>SUM(AN79,AN93,AN100,AN106,AN111,AN118,AN123,AN134,AN140)</f>
        <v>0</v>
      </c>
      <c r="AO78" s="243"/>
      <c r="AP78" s="244"/>
      <c r="AQ78" s="245">
        <f>SUM(AQ79,AQ93,AQ100,AQ106,AQ111,AQ118,AQ123,AQ134,AQ140)</f>
        <v>113222495.04428573</v>
      </c>
      <c r="AR78" s="245">
        <f>SUM(AR79,AR93,AR100,AR106,AR111,AR118,AR123,AR134,AR140)</f>
        <v>15004850995.200001</v>
      </c>
      <c r="AS78" s="245">
        <f>SUM(AS79,AS93,AS100,AS106,AS111,AS118,AS123,AS134,AS140)</f>
        <v>0</v>
      </c>
      <c r="AT78" s="245">
        <f>SUM(AT79,AT93,AT100,AT106,AT111,AT118,AT123,AT134,AT140)</f>
        <v>15118073490.244286</v>
      </c>
      <c r="AU78" s="245">
        <f t="shared" ref="AU78:BB78" si="55">SUM(AU79,AU93,AU100,AU106,AU111,AU118,AU123,AU134,AU140)</f>
        <v>14797704690.5</v>
      </c>
      <c r="AV78" s="245">
        <f t="shared" si="55"/>
        <v>0</v>
      </c>
      <c r="AW78" s="245">
        <f t="shared" si="55"/>
        <v>0</v>
      </c>
      <c r="AX78" s="245">
        <f t="shared" si="55"/>
        <v>0</v>
      </c>
      <c r="AY78" s="245">
        <f t="shared" si="55"/>
        <v>0</v>
      </c>
      <c r="AZ78" s="245">
        <f t="shared" si="55"/>
        <v>0</v>
      </c>
      <c r="BA78" s="245">
        <f t="shared" si="55"/>
        <v>0</v>
      </c>
      <c r="BB78" s="245">
        <f t="shared" si="55"/>
        <v>-320368799.74428576</v>
      </c>
    </row>
    <row r="79" spans="1:58" s="170" customFormat="1" ht="61.9" customHeight="1" x14ac:dyDescent="0.25">
      <c r="A79" s="120"/>
      <c r="B79" s="290"/>
      <c r="C79" s="391" t="s">
        <v>313</v>
      </c>
      <c r="D79" s="391"/>
      <c r="E79" s="392"/>
      <c r="F79" s="293"/>
      <c r="G79" s="293"/>
      <c r="H79" s="114" t="s">
        <v>163</v>
      </c>
      <c r="I79" s="246"/>
      <c r="J79" s="246"/>
      <c r="K79" s="246"/>
      <c r="L79" s="247">
        <f>SUM(L85,L88,L92)</f>
        <v>7309440</v>
      </c>
      <c r="M79" s="247">
        <f>SUM(M85,M88,M92)</f>
        <v>1220676.48</v>
      </c>
      <c r="N79" s="247"/>
      <c r="O79" s="247"/>
      <c r="P79" s="247"/>
      <c r="Q79" s="247"/>
      <c r="R79" s="247">
        <f>SUM(R85,R88,R92)</f>
        <v>0</v>
      </c>
      <c r="S79" s="247">
        <f>SUM(S85,S88,S92)</f>
        <v>0</v>
      </c>
      <c r="T79" s="247">
        <f>SUM(T85,T88,T92)</f>
        <v>0</v>
      </c>
      <c r="U79" s="247">
        <f>SUM(U85,U88,U92)</f>
        <v>0</v>
      </c>
      <c r="V79" s="247"/>
      <c r="W79" s="247"/>
      <c r="X79" s="247"/>
      <c r="Y79" s="247">
        <f>SUM(Y85,Y88,Y92)</f>
        <v>255000</v>
      </c>
      <c r="Z79" s="247"/>
      <c r="AA79" s="247"/>
      <c r="AB79" s="247">
        <f>SUM(AB85,AB88,AB92)</f>
        <v>855000</v>
      </c>
      <c r="AC79" s="247">
        <f>SUM(AC85,AC88,AC92)</f>
        <v>2513515516</v>
      </c>
      <c r="AD79" s="247">
        <f>SUM(AD85,AD88,AD92)</f>
        <v>0</v>
      </c>
      <c r="AE79" s="247">
        <f>SUM(AE85,AE88,AE92)</f>
        <v>313878103.19999999</v>
      </c>
      <c r="AF79" s="247">
        <f>SUM(AF85,AF88,AF92)</f>
        <v>2828503619.1999998</v>
      </c>
      <c r="AG79" s="247"/>
      <c r="AH79" s="247"/>
      <c r="AI79" s="247"/>
      <c r="AJ79" s="247">
        <f>SUM(AJ85,AJ88,AJ92)</f>
        <v>0</v>
      </c>
      <c r="AK79" s="247">
        <f>SUM(AK85,AK88,AK92)</f>
        <v>0</v>
      </c>
      <c r="AL79" s="247">
        <f>SUM(AL85,AL88,AL92)</f>
        <v>0</v>
      </c>
      <c r="AM79" s="247">
        <f>SUM(AM85,AM88,AM92)</f>
        <v>0</v>
      </c>
      <c r="AN79" s="247">
        <f>SUM(AN85,AN88,AN92)</f>
        <v>0</v>
      </c>
      <c r="AO79" s="247"/>
      <c r="AP79" s="255"/>
      <c r="AQ79" s="248">
        <f>SUM(AQ85,AQ88,AQ92)</f>
        <v>8530116.4800000004</v>
      </c>
      <c r="AR79" s="248">
        <f>SUM(AR85,AR88,AR92)</f>
        <v>2828503619.1999998</v>
      </c>
      <c r="AS79" s="248">
        <f>SUM(AS85,AS88,AS92)</f>
        <v>0</v>
      </c>
      <c r="AT79" s="248">
        <f>SUM(AT85,AT88,AT92)</f>
        <v>2837033735.6799998</v>
      </c>
      <c r="AU79" s="248">
        <f t="shared" ref="AU79:BB79" si="56">SUM(AU85,AU88,AU92)</f>
        <v>2522561735</v>
      </c>
      <c r="AV79" s="248">
        <f t="shared" si="56"/>
        <v>0</v>
      </c>
      <c r="AW79" s="248">
        <f t="shared" si="56"/>
        <v>0</v>
      </c>
      <c r="AX79" s="248">
        <f t="shared" si="56"/>
        <v>0</v>
      </c>
      <c r="AY79" s="248">
        <f t="shared" si="56"/>
        <v>0</v>
      </c>
      <c r="AZ79" s="248">
        <f t="shared" si="56"/>
        <v>0</v>
      </c>
      <c r="BA79" s="248">
        <f t="shared" si="56"/>
        <v>0</v>
      </c>
      <c r="BB79" s="248">
        <f t="shared" si="56"/>
        <v>-314472000.68000001</v>
      </c>
    </row>
    <row r="80" spans="1:58" ht="61.9" customHeight="1" outlineLevel="2" x14ac:dyDescent="0.25">
      <c r="A80" s="115"/>
      <c r="B80" s="200"/>
      <c r="C80" s="201"/>
      <c r="D80" s="202"/>
      <c r="E80" s="226"/>
      <c r="F80" s="306"/>
      <c r="G80" s="307"/>
      <c r="H80" s="164" t="s">
        <v>417</v>
      </c>
      <c r="I80" s="130"/>
      <c r="J80" s="126"/>
      <c r="K80" s="126"/>
      <c r="L80" s="125" t="str">
        <f>IF(I80&lt;&gt;0,((VLOOKUP(I80,'1. Standard_Cost'!$B$4:$D$11,2)+VLOOKUP(I80,'1. Standard_Cost'!$B$4:$D$11,3))*J80*K80),"0")</f>
        <v>0</v>
      </c>
      <c r="M80" s="125">
        <f>L80*'1. Standard_Cost'!$F$4</f>
        <v>0</v>
      </c>
      <c r="N80" s="126"/>
      <c r="O80" s="126"/>
      <c r="P80" s="126"/>
      <c r="Q80" s="126"/>
      <c r="R80" s="127">
        <f>'1. Standard_Cost'!$B$15*N80*P80</f>
        <v>0</v>
      </c>
      <c r="S80" s="127">
        <f>N80*O80*P80*'1. Standard_Cost'!$C$15</f>
        <v>0</v>
      </c>
      <c r="T80" s="127">
        <f>N80*P80*Q80*'1. Standard_Cost'!$D$15</f>
        <v>0</v>
      </c>
      <c r="U80" s="127">
        <f>N80*O80*'1. Standard_Cost'!$E$15</f>
        <v>0</v>
      </c>
      <c r="V80" s="126"/>
      <c r="W80" s="126"/>
      <c r="X80" s="126"/>
      <c r="Y80" s="127">
        <f>+V80*((X80*'1. Standard_Cost'!$B$19)+(W80*X80*'1. Standard_Cost'!$C$19))</f>
        <v>0</v>
      </c>
      <c r="Z80" s="126"/>
      <c r="AA80" s="126"/>
      <c r="AB80" s="127">
        <f>+Z80*'1. Standard_Cost'!$B$23+AA80*'1. Standard_Cost'!$C$23</f>
        <v>0</v>
      </c>
      <c r="AC80" s="128">
        <v>876090000</v>
      </c>
      <c r="AD80" s="129"/>
      <c r="AE80" s="127">
        <f>0</f>
        <v>0</v>
      </c>
      <c r="AF80" s="127">
        <f>SUM(AE80,AD80,AC80,AB80,Y80,U80,T80,S80,R80)</f>
        <v>876090000</v>
      </c>
      <c r="AG80" s="126"/>
      <c r="AH80" s="126"/>
      <c r="AI80" s="126"/>
      <c r="AJ80" s="130"/>
      <c r="AK80" s="130"/>
      <c r="AL80" s="130"/>
      <c r="AM80" s="127">
        <f>AG80*'1. Standard_Cost'!$B$27+'Incremental_Cost Year 8'!AH80*'1. Standard_Cost'!$C$27+'Incremental_Cost Year 8'!AI80*'1. Standard_Cost'!$D$27+'Incremental_Cost Year 8'!AJ80+'Incremental_Cost Year 8'!AL80+AK80</f>
        <v>0</v>
      </c>
      <c r="AN80" s="127">
        <f>AM80*'1. Standard_Cost'!$C$31</f>
        <v>0</v>
      </c>
      <c r="AO80" s="130"/>
      <c r="AP80" s="256"/>
      <c r="AQ80" s="171">
        <f>L80+M80</f>
        <v>0</v>
      </c>
      <c r="AR80" s="171">
        <f>AF80</f>
        <v>876090000</v>
      </c>
      <c r="AS80" s="171">
        <f>AM80+AN80</f>
        <v>0</v>
      </c>
      <c r="AT80" s="171">
        <f>SUM(AQ80,AR80,AS80)</f>
        <v>876090000</v>
      </c>
      <c r="AU80" s="250">
        <v>876090000</v>
      </c>
      <c r="AV80" s="250"/>
      <c r="AW80" s="250"/>
      <c r="AX80" s="250"/>
      <c r="AY80" s="250"/>
      <c r="AZ80" s="250"/>
      <c r="BA80" s="250"/>
      <c r="BB80" s="251">
        <f t="shared" ref="BB80:BB84" si="57">SUM(AU80:BA80)-AT80</f>
        <v>0</v>
      </c>
      <c r="BC80" s="169"/>
      <c r="BD80" s="169"/>
      <c r="BE80" s="169"/>
      <c r="BF80" s="169"/>
    </row>
    <row r="81" spans="1:58" ht="61.9" customHeight="1" outlineLevel="2" x14ac:dyDescent="0.25">
      <c r="A81" s="115"/>
      <c r="B81" s="200"/>
      <c r="C81" s="201"/>
      <c r="D81" s="202"/>
      <c r="E81" s="202"/>
      <c r="F81" s="308"/>
      <c r="G81" s="309"/>
      <c r="H81" s="164" t="s">
        <v>418</v>
      </c>
      <c r="I81" s="130"/>
      <c r="J81" s="126"/>
      <c r="K81" s="126"/>
      <c r="L81" s="125" t="str">
        <f>IF(I81&lt;&gt;0,((VLOOKUP(I81,'1. Standard_Cost'!$B$4:$D$11,2)+VLOOKUP(I81,'1. Standard_Cost'!$B$4:$D$11,3))*J81*K81),"0")</f>
        <v>0</v>
      </c>
      <c r="M81" s="125">
        <f>L81*'1. Standard_Cost'!$F$4</f>
        <v>0</v>
      </c>
      <c r="N81" s="126"/>
      <c r="O81" s="126"/>
      <c r="P81" s="126"/>
      <c r="Q81" s="126"/>
      <c r="R81" s="127">
        <f>'1. Standard_Cost'!$B$15*N81*P81</f>
        <v>0</v>
      </c>
      <c r="S81" s="127">
        <f>N81*O81*P81*'1. Standard_Cost'!$C$15</f>
        <v>0</v>
      </c>
      <c r="T81" s="127">
        <f>N81*P81*Q81*'1. Standard_Cost'!$D$15</f>
        <v>0</v>
      </c>
      <c r="U81" s="127">
        <f>N81*O81*'1. Standard_Cost'!$E$15</f>
        <v>0</v>
      </c>
      <c r="V81" s="126"/>
      <c r="W81" s="126"/>
      <c r="X81" s="126"/>
      <c r="Y81" s="127">
        <f>+V81*((X81*'1. Standard_Cost'!$B$19)+(W81*X81*'1. Standard_Cost'!$C$19))</f>
        <v>0</v>
      </c>
      <c r="Z81" s="126"/>
      <c r="AA81" s="126"/>
      <c r="AB81" s="127">
        <f>+Z81*'1. Standard_Cost'!$B$23+AA81*'1. Standard_Cost'!$C$23</f>
        <v>0</v>
      </c>
      <c r="AC81" s="128">
        <v>56520000</v>
      </c>
      <c r="AD81" s="129"/>
      <c r="AE81" s="127">
        <f>0</f>
        <v>0</v>
      </c>
      <c r="AF81" s="127">
        <f>SUM(AE81,AD81,AC81,AB81,Y81,U81,T81,S81,R81)</f>
        <v>56520000</v>
      </c>
      <c r="AG81" s="126"/>
      <c r="AH81" s="126"/>
      <c r="AI81" s="126"/>
      <c r="AJ81" s="130"/>
      <c r="AK81" s="130"/>
      <c r="AL81" s="130"/>
      <c r="AM81" s="127">
        <f>AG81*'1. Standard_Cost'!$B$27+'Incremental_Cost Year 8'!AH81*'1. Standard_Cost'!$C$27+'Incremental_Cost Year 8'!AI81*'1. Standard_Cost'!$D$27+'Incremental_Cost Year 8'!AJ81+'Incremental_Cost Year 8'!AL81+AK81</f>
        <v>0</v>
      </c>
      <c r="AN81" s="127">
        <f>AM81*'1. Standard_Cost'!$C$31</f>
        <v>0</v>
      </c>
      <c r="AO81" s="130"/>
      <c r="AP81" s="256"/>
      <c r="AQ81" s="171">
        <f>L81+M81</f>
        <v>0</v>
      </c>
      <c r="AR81" s="171">
        <f>AF81</f>
        <v>56520000</v>
      </c>
      <c r="AS81" s="171">
        <f>AM81+AN81</f>
        <v>0</v>
      </c>
      <c r="AT81" s="171">
        <f>SUM(AQ81,AR81,AS81)</f>
        <v>56520000</v>
      </c>
      <c r="AU81" s="250">
        <v>56520000</v>
      </c>
      <c r="AV81" s="250"/>
      <c r="AW81" s="250"/>
      <c r="AX81" s="250"/>
      <c r="AY81" s="250"/>
      <c r="AZ81" s="250"/>
      <c r="BA81" s="250"/>
      <c r="BB81" s="251">
        <f t="shared" si="57"/>
        <v>0</v>
      </c>
      <c r="BC81" s="169"/>
      <c r="BD81" s="169"/>
      <c r="BE81" s="169"/>
      <c r="BF81" s="169"/>
    </row>
    <row r="82" spans="1:58" ht="61.9" customHeight="1" outlineLevel="2" x14ac:dyDescent="0.25">
      <c r="A82" s="115"/>
      <c r="B82" s="200"/>
      <c r="C82" s="201"/>
      <c r="D82" s="202"/>
      <c r="E82" s="202"/>
      <c r="F82" s="308"/>
      <c r="G82" s="309"/>
      <c r="H82" s="164" t="s">
        <v>419</v>
      </c>
      <c r="I82" s="130"/>
      <c r="J82" s="126"/>
      <c r="K82" s="126"/>
      <c r="L82" s="125" t="str">
        <f>IF(I82&lt;&gt;0,((VLOOKUP(I82,'1. Standard_Cost'!$B$4:$D$11,2)+VLOOKUP(I82,'1. Standard_Cost'!$B$4:$D$11,3))*J82*K82),"0")</f>
        <v>0</v>
      </c>
      <c r="M82" s="125">
        <f>L82*'1. Standard_Cost'!$F$4</f>
        <v>0</v>
      </c>
      <c r="N82" s="126"/>
      <c r="O82" s="126"/>
      <c r="P82" s="126"/>
      <c r="Q82" s="126"/>
      <c r="R82" s="127">
        <f>'1. Standard_Cost'!$B$15*N82*P82</f>
        <v>0</v>
      </c>
      <c r="S82" s="127">
        <f>N82*O82*P82*'1. Standard_Cost'!$C$15</f>
        <v>0</v>
      </c>
      <c r="T82" s="127">
        <f>N82*P82*Q82*'1. Standard_Cost'!$D$15</f>
        <v>0</v>
      </c>
      <c r="U82" s="127">
        <f>N82*O82*'1. Standard_Cost'!$E$15</f>
        <v>0</v>
      </c>
      <c r="V82" s="126"/>
      <c r="W82" s="126"/>
      <c r="X82" s="126"/>
      <c r="Y82" s="127">
        <f>+V82*((X82*'1. Standard_Cost'!$B$19)+(W82*X82*'1. Standard_Cost'!$C$19))</f>
        <v>0</v>
      </c>
      <c r="Z82" s="126"/>
      <c r="AA82" s="126"/>
      <c r="AB82" s="127">
        <f>+Z82*'1. Standard_Cost'!$B$23+AA82*'1. Standard_Cost'!$C$23</f>
        <v>0</v>
      </c>
      <c r="AC82" s="128">
        <v>12625000</v>
      </c>
      <c r="AD82" s="129"/>
      <c r="AE82" s="127">
        <f>0</f>
        <v>0</v>
      </c>
      <c r="AF82" s="127">
        <f>SUM(AE82,AD82,AC82,AB82,Y82,U82,T82,S82,R82)</f>
        <v>12625000</v>
      </c>
      <c r="AG82" s="126"/>
      <c r="AH82" s="126"/>
      <c r="AI82" s="126"/>
      <c r="AJ82" s="130"/>
      <c r="AK82" s="130"/>
      <c r="AL82" s="130"/>
      <c r="AM82" s="127">
        <f>AG82*'1. Standard_Cost'!$B$27+'Incremental_Cost Year 8'!AH82*'1. Standard_Cost'!$C$27+'Incremental_Cost Year 8'!AI82*'1. Standard_Cost'!$D$27+'Incremental_Cost Year 8'!AJ82+'Incremental_Cost Year 8'!AL82+AK82</f>
        <v>0</v>
      </c>
      <c r="AN82" s="127">
        <f>AM82*'1. Standard_Cost'!$C$31</f>
        <v>0</v>
      </c>
      <c r="AO82" s="130"/>
      <c r="AP82" s="256"/>
      <c r="AQ82" s="171">
        <f>L82+M82</f>
        <v>0</v>
      </c>
      <c r="AR82" s="171">
        <f>AF82</f>
        <v>12625000</v>
      </c>
      <c r="AS82" s="171">
        <f>AM82+AN82</f>
        <v>0</v>
      </c>
      <c r="AT82" s="171">
        <f>SUM(AQ82,AR82,AS82)</f>
        <v>12625000</v>
      </c>
      <c r="AU82" s="250">
        <v>12625000</v>
      </c>
      <c r="AV82" s="250"/>
      <c r="AW82" s="250"/>
      <c r="AX82" s="250"/>
      <c r="AY82" s="250"/>
      <c r="AZ82" s="250"/>
      <c r="BA82" s="250"/>
      <c r="BB82" s="251">
        <f t="shared" si="57"/>
        <v>0</v>
      </c>
      <c r="BC82" s="169"/>
      <c r="BD82" s="169"/>
      <c r="BE82" s="169"/>
      <c r="BF82" s="169"/>
    </row>
    <row r="83" spans="1:58" ht="61.9" customHeight="1" outlineLevel="2" x14ac:dyDescent="0.25">
      <c r="A83" s="115"/>
      <c r="B83" s="200"/>
      <c r="C83" s="201"/>
      <c r="D83" s="137"/>
      <c r="E83" s="105"/>
      <c r="F83" s="308"/>
      <c r="G83" s="309"/>
      <c r="H83" s="199" t="s">
        <v>539</v>
      </c>
      <c r="I83" s="130"/>
      <c r="J83" s="126"/>
      <c r="K83" s="126"/>
      <c r="L83" s="125" t="str">
        <f>IF(I83&lt;&gt;0,((VLOOKUP(I83,'1. Standard_Cost'!$B$4:$D$11,2)+VLOOKUP(I83,'1. Standard_Cost'!$B$4:$D$11,3))*J83*K83),"0")</f>
        <v>0</v>
      </c>
      <c r="M83" s="125">
        <f>L83*'1. Standard_Cost'!$F$4</f>
        <v>0</v>
      </c>
      <c r="N83" s="126"/>
      <c r="O83" s="126"/>
      <c r="P83" s="126"/>
      <c r="Q83" s="126"/>
      <c r="R83" s="127">
        <f>'1. Standard_Cost'!$B$15*N83*P83</f>
        <v>0</v>
      </c>
      <c r="S83" s="127">
        <f>N83*O83*P83*'1. Standard_Cost'!$C$15</f>
        <v>0</v>
      </c>
      <c r="T83" s="127">
        <f>N83*P83*Q83*'1. Standard_Cost'!$D$15</f>
        <v>0</v>
      </c>
      <c r="U83" s="127">
        <f>N83*O83*'1. Standard_Cost'!$E$15</f>
        <v>0</v>
      </c>
      <c r="V83" s="126"/>
      <c r="W83" s="126"/>
      <c r="X83" s="126"/>
      <c r="Y83" s="127">
        <f>+V83*((X83*'1. Standard_Cost'!$B$19)+(W83*X83*'1. Standard_Cost'!$C$19))</f>
        <v>0</v>
      </c>
      <c r="Z83" s="126"/>
      <c r="AA83" s="126"/>
      <c r="AB83" s="127">
        <f>+Z83*'1. Standard_Cost'!$B$23+AA83*'1. Standard_Cost'!$C$23</f>
        <v>0</v>
      </c>
      <c r="AC83" s="128">
        <v>1567230000</v>
      </c>
      <c r="AD83" s="129"/>
      <c r="AE83" s="127">
        <f>SUM(AD83,AC83,AB83,Y83,U83,T83,S83,R83)*'1. Standard_Cost'!$B$31</f>
        <v>313446000</v>
      </c>
      <c r="AF83" s="127">
        <f>SUM(AE83,AD83,AC83,AB83,Y83,U83,T83,S83,R83)</f>
        <v>1880676000</v>
      </c>
      <c r="AG83" s="126"/>
      <c r="AH83" s="126"/>
      <c r="AI83" s="126"/>
      <c r="AJ83" s="130"/>
      <c r="AK83" s="130"/>
      <c r="AL83" s="130"/>
      <c r="AM83" s="127">
        <f>AG83*'1. Standard_Cost'!$B$27+'Incremental_Cost Year 8'!AH83*'1. Standard_Cost'!$C$27+'Incremental_Cost Year 8'!AI83*'1. Standard_Cost'!$D$27+'Incremental_Cost Year 8'!AJ83+'Incremental_Cost Year 8'!AL83+AK83</f>
        <v>0</v>
      </c>
      <c r="AN83" s="127">
        <f>AM83*'1. Standard_Cost'!$C$31</f>
        <v>0</v>
      </c>
      <c r="AO83" s="130"/>
      <c r="AP83" s="256"/>
      <c r="AQ83" s="171">
        <f>L83+M83</f>
        <v>0</v>
      </c>
      <c r="AR83" s="171">
        <f>AF83</f>
        <v>1880676000</v>
      </c>
      <c r="AS83" s="171">
        <f>AM83+AN83</f>
        <v>0</v>
      </c>
      <c r="AT83" s="171">
        <f>SUM(AQ83,AR83,AS83)</f>
        <v>1880676000</v>
      </c>
      <c r="AU83" s="250">
        <v>1567230000</v>
      </c>
      <c r="AV83" s="250"/>
      <c r="AW83" s="250"/>
      <c r="AX83" s="250"/>
      <c r="AY83" s="250"/>
      <c r="AZ83" s="250"/>
      <c r="BA83" s="250"/>
      <c r="BB83" s="251">
        <f t="shared" si="57"/>
        <v>-313446000</v>
      </c>
      <c r="BC83" s="169"/>
      <c r="BD83" s="169"/>
      <c r="BE83" s="169"/>
      <c r="BF83" s="169"/>
    </row>
    <row r="84" spans="1:58" ht="61.9" customHeight="1" outlineLevel="2" x14ac:dyDescent="0.25">
      <c r="A84" s="115"/>
      <c r="B84" s="200"/>
      <c r="C84" s="201"/>
      <c r="D84" s="137"/>
      <c r="E84" s="202"/>
      <c r="F84" s="308"/>
      <c r="G84" s="309"/>
      <c r="H84" s="164" t="s">
        <v>420</v>
      </c>
      <c r="I84" s="130"/>
      <c r="J84" s="126"/>
      <c r="K84" s="126"/>
      <c r="L84" s="125" t="str">
        <f>IF(I84&lt;&gt;0,((VLOOKUP(I84,'1. Standard_Cost'!$B$4:$D$11,2)+VLOOKUP(I84,'1. Standard_Cost'!$B$4:$D$11,3))*J84*K84),"0")</f>
        <v>0</v>
      </c>
      <c r="M84" s="125">
        <f>L84*'1. Standard_Cost'!$F$4</f>
        <v>0</v>
      </c>
      <c r="N84" s="126"/>
      <c r="O84" s="126"/>
      <c r="P84" s="126"/>
      <c r="Q84" s="126"/>
      <c r="R84" s="127">
        <f>'1. Standard_Cost'!$B$15*N84*P84</f>
        <v>0</v>
      </c>
      <c r="S84" s="127">
        <f>N84*O84*P84*'1. Standard_Cost'!$C$15</f>
        <v>0</v>
      </c>
      <c r="T84" s="127">
        <f>N84*P84*Q84*'1. Standard_Cost'!$D$15</f>
        <v>0</v>
      </c>
      <c r="U84" s="127">
        <f>N84*O84*'1. Standard_Cost'!$E$15</f>
        <v>0</v>
      </c>
      <c r="V84" s="126"/>
      <c r="W84" s="126"/>
      <c r="X84" s="126"/>
      <c r="Y84" s="127">
        <f>+V84*((X84*'1. Standard_Cost'!$B$19)+(W84*X84*'1. Standard_Cost'!$C$19))</f>
        <v>0</v>
      </c>
      <c r="Z84" s="126"/>
      <c r="AA84" s="126"/>
      <c r="AB84" s="127">
        <f>+Z84*'1. Standard_Cost'!$B$23+AA84*'1. Standard_Cost'!$C$23</f>
        <v>0</v>
      </c>
      <c r="AC84" s="128"/>
      <c r="AD84" s="129"/>
      <c r="AE84" s="127">
        <f>SUM(AD84,AC84,AB84,Y84,U84,T84,S84,R84)*'1. Standard_Cost'!$B$31</f>
        <v>0</v>
      </c>
      <c r="AF84" s="127">
        <f>SUM(AE84,AD84,AC84,AB84,Y84,U84,T84,S84,R84)</f>
        <v>0</v>
      </c>
      <c r="AG84" s="126"/>
      <c r="AH84" s="126"/>
      <c r="AI84" s="126"/>
      <c r="AJ84" s="130"/>
      <c r="AK84" s="130"/>
      <c r="AL84" s="130"/>
      <c r="AM84" s="127">
        <f>AG84*'1. Standard_Cost'!$B$27+'Incremental_Cost Year 8'!AH84*'1. Standard_Cost'!$C$27+'Incremental_Cost Year 8'!AI84*'1. Standard_Cost'!$D$27+'Incremental_Cost Year 8'!AJ84+'Incremental_Cost Year 8'!AL84+AK84</f>
        <v>0</v>
      </c>
      <c r="AN84" s="127">
        <f>AM84*'1. Standard_Cost'!$C$31</f>
        <v>0</v>
      </c>
      <c r="AO84" s="130"/>
      <c r="AP84" s="256"/>
      <c r="AQ84" s="171">
        <f>L84+M84</f>
        <v>0</v>
      </c>
      <c r="AR84" s="171">
        <f>AF84</f>
        <v>0</v>
      </c>
      <c r="AS84" s="171">
        <f>AM84+AN84</f>
        <v>0</v>
      </c>
      <c r="AT84" s="171">
        <f>SUM(AQ84,AR84,AS84)</f>
        <v>0</v>
      </c>
      <c r="AU84" s="250"/>
      <c r="AV84" s="250"/>
      <c r="AW84" s="250"/>
      <c r="AX84" s="250"/>
      <c r="AY84" s="250"/>
      <c r="AZ84" s="250"/>
      <c r="BA84" s="250"/>
      <c r="BB84" s="251">
        <f t="shared" si="57"/>
        <v>0</v>
      </c>
      <c r="BC84" s="169"/>
      <c r="BD84" s="169"/>
      <c r="BE84" s="169"/>
      <c r="BF84" s="169"/>
    </row>
    <row r="85" spans="1:58" ht="61.9" customHeight="1" outlineLevel="1" x14ac:dyDescent="0.25">
      <c r="A85" s="115"/>
      <c r="B85" s="165"/>
      <c r="C85" s="166"/>
      <c r="D85" s="139" t="s">
        <v>421</v>
      </c>
      <c r="E85" s="212" t="s">
        <v>273</v>
      </c>
      <c r="F85" s="136">
        <v>2021</v>
      </c>
      <c r="G85" s="117">
        <v>2030</v>
      </c>
      <c r="H85" s="110" t="s">
        <v>175</v>
      </c>
      <c r="I85" s="252"/>
      <c r="J85" s="252"/>
      <c r="K85" s="252"/>
      <c r="L85" s="127">
        <f>SUM(L80:L84)</f>
        <v>0</v>
      </c>
      <c r="M85" s="127">
        <f>SUM(M80:M84)</f>
        <v>0</v>
      </c>
      <c r="N85" s="252"/>
      <c r="O85" s="252"/>
      <c r="P85" s="252"/>
      <c r="Q85" s="252"/>
      <c r="R85" s="127">
        <f>SUM(R80:R84)</f>
        <v>0</v>
      </c>
      <c r="S85" s="127">
        <f>SUM(S80:S84)</f>
        <v>0</v>
      </c>
      <c r="T85" s="127">
        <f>SUM(T80:T84)</f>
        <v>0</v>
      </c>
      <c r="U85" s="127">
        <f>SUM(U80:U84)</f>
        <v>0</v>
      </c>
      <c r="V85" s="252"/>
      <c r="W85" s="252"/>
      <c r="X85" s="252"/>
      <c r="Y85" s="127">
        <f>SUM(Y80:Y84)</f>
        <v>0</v>
      </c>
      <c r="Z85" s="252"/>
      <c r="AA85" s="252"/>
      <c r="AB85" s="127">
        <f>SUM(AB80:AB84)</f>
        <v>0</v>
      </c>
      <c r="AC85" s="127">
        <f>SUM(AC80:AC84)</f>
        <v>2512465000</v>
      </c>
      <c r="AD85" s="127">
        <f>SUM(AD80:AD84)</f>
        <v>0</v>
      </c>
      <c r="AE85" s="127">
        <f>SUM(AE80:AE84)</f>
        <v>313446000</v>
      </c>
      <c r="AF85" s="127">
        <f>SUM(AF80:AF84)</f>
        <v>2825911000</v>
      </c>
      <c r="AG85" s="252"/>
      <c r="AH85" s="252"/>
      <c r="AI85" s="252"/>
      <c r="AJ85" s="127">
        <f>SUM(AJ80:AJ84)</f>
        <v>0</v>
      </c>
      <c r="AK85" s="127">
        <f>SUM(AK80:AK84)</f>
        <v>0</v>
      </c>
      <c r="AL85" s="127">
        <f>SUM(AL80:AL84)</f>
        <v>0</v>
      </c>
      <c r="AM85" s="127">
        <f>SUM(AM80:AM84)</f>
        <v>0</v>
      </c>
      <c r="AN85" s="127">
        <f>SUM(AN80:AN84)</f>
        <v>0</v>
      </c>
      <c r="AO85" s="253"/>
      <c r="AP85" s="254"/>
      <c r="AQ85" s="175">
        <f>SUM(AQ80:AQ84)</f>
        <v>0</v>
      </c>
      <c r="AR85" s="175">
        <f>SUM(AR80:AR84)</f>
        <v>2825911000</v>
      </c>
      <c r="AS85" s="175">
        <f>SUM(AS80:AS84)</f>
        <v>0</v>
      </c>
      <c r="AT85" s="175">
        <f>SUM(AT80:AT84)</f>
        <v>2825911000</v>
      </c>
      <c r="AU85" s="175">
        <f t="shared" ref="AU85:BB85" si="58">SUM(AU80:AU84)</f>
        <v>2512465000</v>
      </c>
      <c r="AV85" s="175">
        <f t="shared" si="58"/>
        <v>0</v>
      </c>
      <c r="AW85" s="175">
        <f t="shared" si="58"/>
        <v>0</v>
      </c>
      <c r="AX85" s="175">
        <f t="shared" si="58"/>
        <v>0</v>
      </c>
      <c r="AY85" s="175">
        <f t="shared" si="58"/>
        <v>0</v>
      </c>
      <c r="AZ85" s="175">
        <f t="shared" si="58"/>
        <v>0</v>
      </c>
      <c r="BA85" s="175">
        <f t="shared" si="58"/>
        <v>0</v>
      </c>
      <c r="BB85" s="175">
        <f t="shared" si="58"/>
        <v>-313446000</v>
      </c>
      <c r="BC85" s="169"/>
      <c r="BD85" s="169"/>
      <c r="BE85" s="169"/>
      <c r="BF85" s="169"/>
    </row>
    <row r="86" spans="1:58" ht="61.9" customHeight="1" outlineLevel="2" x14ac:dyDescent="0.25">
      <c r="A86" s="115"/>
      <c r="B86" s="200"/>
      <c r="C86" s="201"/>
      <c r="D86" s="346"/>
      <c r="E86" s="321"/>
      <c r="F86" s="295"/>
      <c r="G86" s="296"/>
      <c r="H86" s="164" t="s">
        <v>422</v>
      </c>
      <c r="I86" s="130" t="s">
        <v>3</v>
      </c>
      <c r="J86" s="126">
        <v>0.7</v>
      </c>
      <c r="K86" s="126">
        <v>9</v>
      </c>
      <c r="L86" s="125">
        <f>IF(I86&lt;&gt;0,((VLOOKUP(I86,'1. Standard_Cost'!$B$4:$D$11,2)+VLOOKUP(I86,'1. Standard_Cost'!$B$4:$D$11,3))*J86*K86),"0")</f>
        <v>635040</v>
      </c>
      <c r="M86" s="125">
        <f>L86*'1. Standard_Cost'!$F$4</f>
        <v>106051.68000000001</v>
      </c>
      <c r="N86" s="126"/>
      <c r="O86" s="126"/>
      <c r="P86" s="126"/>
      <c r="Q86" s="126"/>
      <c r="R86" s="127">
        <f>'1. Standard_Cost'!$B$15*N86*P86</f>
        <v>0</v>
      </c>
      <c r="S86" s="127">
        <f>N86*O86*P86*'1. Standard_Cost'!$C$15</f>
        <v>0</v>
      </c>
      <c r="T86" s="127">
        <f>N86*P86*Q86*'1. Standard_Cost'!$D$15</f>
        <v>0</v>
      </c>
      <c r="U86" s="127">
        <f>N86*O86*'1. Standard_Cost'!$E$15</f>
        <v>0</v>
      </c>
      <c r="V86" s="126"/>
      <c r="W86" s="126"/>
      <c r="X86" s="126"/>
      <c r="Y86" s="127">
        <f>+V86*((X86*'1. Standard_Cost'!$B$19)+(W86*X86*'1. Standard_Cost'!$C$19))</f>
        <v>0</v>
      </c>
      <c r="Z86" s="126"/>
      <c r="AA86" s="126"/>
      <c r="AB86" s="127">
        <f>+Z86*'1. Standard_Cost'!$B$23+AA86*'1. Standard_Cost'!$C$23</f>
        <v>0</v>
      </c>
      <c r="AC86" s="128">
        <v>102430</v>
      </c>
      <c r="AD86" s="129"/>
      <c r="AE86" s="127">
        <f>SUM(AD86,AC86,AB86,Y86,U86,T86,S86,R86)*'1. Standard_Cost'!$B$31</f>
        <v>20486</v>
      </c>
      <c r="AF86" s="127">
        <f>SUM(AE86,AD86,AC86,AB86,Y86,U86,T86,S86,R86)</f>
        <v>122916</v>
      </c>
      <c r="AG86" s="126"/>
      <c r="AH86" s="126"/>
      <c r="AI86" s="126"/>
      <c r="AJ86" s="130"/>
      <c r="AK86" s="130"/>
      <c r="AL86" s="130"/>
      <c r="AM86" s="127">
        <f>AG86*'1. Standard_Cost'!$B$27+'Incremental_Cost Year 8'!AH86*'1. Standard_Cost'!$C$27+'Incremental_Cost Year 8'!AI86*'1. Standard_Cost'!$D$27+'Incremental_Cost Year 8'!AJ86+'Incremental_Cost Year 8'!AL86+AK86</f>
        <v>0</v>
      </c>
      <c r="AN86" s="127">
        <f>AM86*'1. Standard_Cost'!$C$31</f>
        <v>0</v>
      </c>
      <c r="AO86" s="130"/>
      <c r="AQ86" s="171">
        <f>L86+M86</f>
        <v>741091.68</v>
      </c>
      <c r="AR86" s="171">
        <f>AF86</f>
        <v>122916</v>
      </c>
      <c r="AS86" s="171">
        <f>AM86+AN86</f>
        <v>0</v>
      </c>
      <c r="AT86" s="171">
        <f>SUM(AQ86,AR86,AS86)</f>
        <v>864007.68000000005</v>
      </c>
      <c r="AU86" s="250">
        <v>864008</v>
      </c>
      <c r="AV86" s="250"/>
      <c r="AW86" s="250"/>
      <c r="AX86" s="250"/>
      <c r="AY86" s="250"/>
      <c r="AZ86" s="250"/>
      <c r="BA86" s="250"/>
      <c r="BB86" s="251">
        <f t="shared" ref="BB86:BB87" si="59">SUM(AU86:BA86)-AT86</f>
        <v>0.31999999994877726</v>
      </c>
      <c r="BC86" s="169"/>
      <c r="BD86" s="169"/>
      <c r="BE86" s="169"/>
      <c r="BF86" s="169"/>
    </row>
    <row r="87" spans="1:58" ht="61.9" customHeight="1" outlineLevel="2" x14ac:dyDescent="0.25">
      <c r="A87" s="115"/>
      <c r="B87" s="200"/>
      <c r="C87" s="201"/>
      <c r="D87" s="133"/>
      <c r="E87" s="322"/>
      <c r="F87" s="122"/>
      <c r="G87" s="123"/>
      <c r="H87" s="199" t="s">
        <v>423</v>
      </c>
      <c r="I87" s="130" t="s">
        <v>3</v>
      </c>
      <c r="J87" s="126">
        <v>2</v>
      </c>
      <c r="K87" s="126">
        <v>7</v>
      </c>
      <c r="L87" s="125">
        <f>IF(I87&lt;&gt;0,((VLOOKUP(I87,'1. Standard_Cost'!$B$4:$D$11,2)+VLOOKUP(I87,'1. Standard_Cost'!$B$4:$D$11,3))*J87*K87),"0")</f>
        <v>1411200</v>
      </c>
      <c r="M87" s="125">
        <f>L87*'1. Standard_Cost'!$F$4</f>
        <v>235670.40000000002</v>
      </c>
      <c r="N87" s="126"/>
      <c r="O87" s="126"/>
      <c r="P87" s="126"/>
      <c r="Q87" s="126"/>
      <c r="R87" s="127">
        <f>'1. Standard_Cost'!$B$15*N87*P87</f>
        <v>0</v>
      </c>
      <c r="S87" s="127">
        <f>N87*O87*P87*'1. Standard_Cost'!$C$15</f>
        <v>0</v>
      </c>
      <c r="T87" s="127">
        <f>N87*P87*Q87*'1. Standard_Cost'!$D$15</f>
        <v>0</v>
      </c>
      <c r="U87" s="127">
        <f>N87*O87*'1. Standard_Cost'!$E$15</f>
        <v>0</v>
      </c>
      <c r="V87" s="126"/>
      <c r="W87" s="126"/>
      <c r="X87" s="126"/>
      <c r="Y87" s="127">
        <f>+V87*((X87*'1. Standard_Cost'!$B$19)+(W87*X87*'1. Standard_Cost'!$C$19))</f>
        <v>0</v>
      </c>
      <c r="Z87" s="126"/>
      <c r="AA87" s="126">
        <v>20</v>
      </c>
      <c r="AB87" s="127">
        <f>+Z87*'1. Standard_Cost'!$B$23+AA87*'1. Standard_Cost'!$C$23</f>
        <v>380000</v>
      </c>
      <c r="AC87" s="128">
        <v>211125</v>
      </c>
      <c r="AD87" s="129"/>
      <c r="AE87" s="127">
        <f>SUM(AD87,AC87,AB87,Y87,U87,T87,S87,R87)*'1. Standard_Cost'!$B$31</f>
        <v>118225</v>
      </c>
      <c r="AF87" s="127">
        <f>SUM(AE87,AD87,AC87,AB87,Y87,U87,T87,S87,R87)</f>
        <v>709350</v>
      </c>
      <c r="AG87" s="126"/>
      <c r="AH87" s="126"/>
      <c r="AI87" s="126"/>
      <c r="AJ87" s="130"/>
      <c r="AK87" s="130"/>
      <c r="AL87" s="130"/>
      <c r="AM87" s="127">
        <f>AG87*'1. Standard_Cost'!$B$27+'Incremental_Cost Year 8'!AH87*'1. Standard_Cost'!$C$27+'Incremental_Cost Year 8'!AI87*'1. Standard_Cost'!$D$27+'Incremental_Cost Year 8'!AJ87+'Incremental_Cost Year 8'!AL87+AK87</f>
        <v>0</v>
      </c>
      <c r="AN87" s="127">
        <f>AM87*'1. Standard_Cost'!$C$31</f>
        <v>0</v>
      </c>
      <c r="AO87" s="130"/>
      <c r="AQ87" s="171">
        <f>L87+M87</f>
        <v>1646870.4</v>
      </c>
      <c r="AR87" s="171">
        <f>AF87</f>
        <v>709350</v>
      </c>
      <c r="AS87" s="171">
        <f>AM87+AN87</f>
        <v>0</v>
      </c>
      <c r="AT87" s="171">
        <f>SUM(AQ87,AR87,AS87)</f>
        <v>2356220.4</v>
      </c>
      <c r="AU87" s="250">
        <v>1900220</v>
      </c>
      <c r="AV87" s="250"/>
      <c r="AW87" s="250"/>
      <c r="AX87" s="250"/>
      <c r="AY87" s="250"/>
      <c r="AZ87" s="250"/>
      <c r="BA87" s="250"/>
      <c r="BB87" s="251">
        <f t="shared" si="59"/>
        <v>-456000.39999999991</v>
      </c>
      <c r="BC87" s="169"/>
      <c r="BD87" s="169"/>
      <c r="BE87" s="169"/>
      <c r="BF87" s="169"/>
    </row>
    <row r="88" spans="1:58" ht="61.9" customHeight="1" outlineLevel="1" x14ac:dyDescent="0.25">
      <c r="A88" s="115"/>
      <c r="B88" s="165"/>
      <c r="C88" s="166"/>
      <c r="D88" s="212" t="s">
        <v>240</v>
      </c>
      <c r="E88" s="212" t="s">
        <v>269</v>
      </c>
      <c r="F88" s="117">
        <v>2024</v>
      </c>
      <c r="G88" s="117">
        <v>2030</v>
      </c>
      <c r="H88" s="110" t="s">
        <v>270</v>
      </c>
      <c r="I88" s="252"/>
      <c r="J88" s="252"/>
      <c r="K88" s="252"/>
      <c r="L88" s="127">
        <f>SUM(L86:L87)</f>
        <v>2046240</v>
      </c>
      <c r="M88" s="127">
        <f>SUM(M86:M87)</f>
        <v>341722.08</v>
      </c>
      <c r="N88" s="252"/>
      <c r="O88" s="252"/>
      <c r="P88" s="252"/>
      <c r="Q88" s="252"/>
      <c r="R88" s="127">
        <f>SUM(R86:R87)</f>
        <v>0</v>
      </c>
      <c r="S88" s="127">
        <f>SUM(S86:S87)</f>
        <v>0</v>
      </c>
      <c r="T88" s="127">
        <f>SUM(T86:T87)</f>
        <v>0</v>
      </c>
      <c r="U88" s="127">
        <f>SUM(U86:U87)</f>
        <v>0</v>
      </c>
      <c r="V88" s="252"/>
      <c r="W88" s="252"/>
      <c r="X88" s="252"/>
      <c r="Y88" s="127">
        <f>SUM(Y86:Y87)</f>
        <v>0</v>
      </c>
      <c r="Z88" s="252"/>
      <c r="AA88" s="252"/>
      <c r="AB88" s="127">
        <f>SUM(AB86:AB87)</f>
        <v>380000</v>
      </c>
      <c r="AC88" s="127">
        <f>SUM(AC86:AC87)</f>
        <v>313555</v>
      </c>
      <c r="AD88" s="127">
        <f>SUM(AD86:AD87)</f>
        <v>0</v>
      </c>
      <c r="AE88" s="127">
        <f>SUM(AE86:AE87)</f>
        <v>138711</v>
      </c>
      <c r="AF88" s="127">
        <f>SUM(AF86:AF87)</f>
        <v>832266</v>
      </c>
      <c r="AG88" s="252"/>
      <c r="AH88" s="252"/>
      <c r="AI88" s="252"/>
      <c r="AJ88" s="127">
        <f>SUM(AJ86:AJ87)</f>
        <v>0</v>
      </c>
      <c r="AK88" s="127">
        <f>SUM(AK86:AK87)</f>
        <v>0</v>
      </c>
      <c r="AL88" s="127">
        <f>SUM(AL86:AL87)</f>
        <v>0</v>
      </c>
      <c r="AM88" s="127">
        <f>SUM(AM86:AM87)</f>
        <v>0</v>
      </c>
      <c r="AN88" s="127">
        <f>SUM(AN86:AN87)</f>
        <v>0</v>
      </c>
      <c r="AO88" s="253"/>
      <c r="AP88" s="254"/>
      <c r="AQ88" s="175">
        <f>SUM(AQ86:AQ87)</f>
        <v>2387962.08</v>
      </c>
      <c r="AR88" s="175">
        <f>SUM(AR86:AR87)</f>
        <v>832266</v>
      </c>
      <c r="AS88" s="175">
        <f>SUM(AS86:AS87)</f>
        <v>0</v>
      </c>
      <c r="AT88" s="175">
        <f>SUM(AT86:AT87)</f>
        <v>3220228.08</v>
      </c>
      <c r="AU88" s="175">
        <f t="shared" ref="AU88:BB88" si="60">SUM(AU86:AU87)</f>
        <v>2764228</v>
      </c>
      <c r="AV88" s="175">
        <f t="shared" si="60"/>
        <v>0</v>
      </c>
      <c r="AW88" s="175">
        <f t="shared" si="60"/>
        <v>0</v>
      </c>
      <c r="AX88" s="175">
        <f t="shared" si="60"/>
        <v>0</v>
      </c>
      <c r="AY88" s="175">
        <f t="shared" si="60"/>
        <v>0</v>
      </c>
      <c r="AZ88" s="175">
        <f t="shared" si="60"/>
        <v>0</v>
      </c>
      <c r="BA88" s="175">
        <f t="shared" si="60"/>
        <v>0</v>
      </c>
      <c r="BB88" s="175">
        <f t="shared" si="60"/>
        <v>-456000.07999999996</v>
      </c>
      <c r="BC88" s="169"/>
      <c r="BD88" s="169"/>
      <c r="BE88" s="169"/>
      <c r="BF88" s="169"/>
    </row>
    <row r="89" spans="1:58" ht="61.9" customHeight="1" outlineLevel="2" x14ac:dyDescent="0.25">
      <c r="A89" s="115"/>
      <c r="B89" s="200"/>
      <c r="C89" s="201"/>
      <c r="D89" s="346"/>
      <c r="E89" s="321"/>
      <c r="F89" s="306"/>
      <c r="G89" s="307"/>
      <c r="H89" s="199" t="s">
        <v>424</v>
      </c>
      <c r="I89" s="130" t="s">
        <v>2</v>
      </c>
      <c r="J89" s="126">
        <v>12</v>
      </c>
      <c r="K89" s="126">
        <v>2</v>
      </c>
      <c r="L89" s="125">
        <f>IF(I89&lt;&gt;0,((VLOOKUP(I89,'1. Standard_Cost'!$B$4:$D$11,2)+VLOOKUP(I89,'1. Standard_Cost'!$B$4:$D$11,3))*J89*K89),"0")</f>
        <v>2904000</v>
      </c>
      <c r="M89" s="125">
        <f>L89*'1. Standard_Cost'!$F$4</f>
        <v>484968</v>
      </c>
      <c r="N89" s="126"/>
      <c r="O89" s="126"/>
      <c r="P89" s="126"/>
      <c r="Q89" s="126"/>
      <c r="R89" s="127">
        <f>'1. Standard_Cost'!$B$15*N89*P89</f>
        <v>0</v>
      </c>
      <c r="S89" s="127">
        <f>N89*O89*P89*'1. Standard_Cost'!$C$15</f>
        <v>0</v>
      </c>
      <c r="T89" s="127">
        <f>N89*P89*Q89*'1. Standard_Cost'!$D$15</f>
        <v>0</v>
      </c>
      <c r="U89" s="127">
        <f>N89*O89*'1. Standard_Cost'!$E$15</f>
        <v>0</v>
      </c>
      <c r="V89" s="126"/>
      <c r="W89" s="126"/>
      <c r="X89" s="126"/>
      <c r="Y89" s="127">
        <f>+V89*((X89*'1. Standard_Cost'!$B$19)+(W89*X89*'1. Standard_Cost'!$C$19))</f>
        <v>0</v>
      </c>
      <c r="Z89" s="126"/>
      <c r="AA89" s="126"/>
      <c r="AB89" s="127">
        <f>+Z89*'1. Standard_Cost'!$B$23+AA89*'1. Standard_Cost'!$C$23</f>
        <v>0</v>
      </c>
      <c r="AC89" s="128">
        <v>406676</v>
      </c>
      <c r="AD89" s="129"/>
      <c r="AE89" s="127">
        <f>SUM(AD89,AC89,AB89,Y89,U89,T89,S89,R89)*'1. Standard_Cost'!$B$31</f>
        <v>81335.200000000012</v>
      </c>
      <c r="AF89" s="127">
        <f>SUM(AE89,AD89,AC89,AB89,Y89,U89,T89,S89,R89)</f>
        <v>488011.2</v>
      </c>
      <c r="AG89" s="126"/>
      <c r="AH89" s="126"/>
      <c r="AI89" s="126"/>
      <c r="AJ89" s="130"/>
      <c r="AK89" s="130"/>
      <c r="AL89" s="130"/>
      <c r="AM89" s="127">
        <f>AG89*'1. Standard_Cost'!$B$27+'Incremental_Cost Year 8'!AH89*'1. Standard_Cost'!$C$27+'Incremental_Cost Year 8'!AI89*'1. Standard_Cost'!$D$27+'Incremental_Cost Year 8'!AJ89+'Incremental_Cost Year 8'!AL89+AK89</f>
        <v>0</v>
      </c>
      <c r="AN89" s="127">
        <f>AM89*'1. Standard_Cost'!$C$31</f>
        <v>0</v>
      </c>
      <c r="AO89" s="130"/>
      <c r="AQ89" s="171">
        <f>L89+M89</f>
        <v>3388968</v>
      </c>
      <c r="AR89" s="171">
        <f>AF89</f>
        <v>488011.2</v>
      </c>
      <c r="AS89" s="171">
        <f>AM89+AN89</f>
        <v>0</v>
      </c>
      <c r="AT89" s="171">
        <f>SUM(AQ89,AR89,AS89)</f>
        <v>3876979.2</v>
      </c>
      <c r="AU89" s="250">
        <v>3876979</v>
      </c>
      <c r="AV89" s="250"/>
      <c r="AW89" s="250"/>
      <c r="AX89" s="250"/>
      <c r="AY89" s="250"/>
      <c r="AZ89" s="250"/>
      <c r="BA89" s="250"/>
      <c r="BB89" s="251">
        <f t="shared" ref="BB89:BB91" si="61">SUM(AU89:BA89)-AT89</f>
        <v>-0.20000000018626451</v>
      </c>
      <c r="BC89" s="169"/>
      <c r="BD89" s="169"/>
      <c r="BE89" s="169"/>
      <c r="BF89" s="169"/>
    </row>
    <row r="90" spans="1:58" ht="61.9" customHeight="1" outlineLevel="2" x14ac:dyDescent="0.25">
      <c r="A90" s="115"/>
      <c r="B90" s="200"/>
      <c r="C90" s="201"/>
      <c r="D90" s="203"/>
      <c r="E90" s="323"/>
      <c r="F90" s="308"/>
      <c r="G90" s="309"/>
      <c r="H90" s="199" t="s">
        <v>425</v>
      </c>
      <c r="I90" s="130" t="s">
        <v>2</v>
      </c>
      <c r="J90" s="126">
        <v>12</v>
      </c>
      <c r="K90" s="126">
        <v>1</v>
      </c>
      <c r="L90" s="125">
        <f>IF(I90&lt;&gt;0,((VLOOKUP(I90,'1. Standard_Cost'!$B$4:$D$11,2)+VLOOKUP(I90,'1. Standard_Cost'!$B$4:$D$11,3))*J90*K90),"0")</f>
        <v>1452000</v>
      </c>
      <c r="M90" s="125">
        <f>L90*'1. Standard_Cost'!$F$4</f>
        <v>242484</v>
      </c>
      <c r="N90" s="126"/>
      <c r="O90" s="126"/>
      <c r="P90" s="126"/>
      <c r="Q90" s="126"/>
      <c r="R90" s="127">
        <f>'1. Standard_Cost'!$B$15*N90*P90</f>
        <v>0</v>
      </c>
      <c r="S90" s="127">
        <f>N90*O90*P90*'1. Standard_Cost'!$C$15</f>
        <v>0</v>
      </c>
      <c r="T90" s="127">
        <f>N90*P90*Q90*'1. Standard_Cost'!$D$15</f>
        <v>0</v>
      </c>
      <c r="U90" s="127">
        <f>N90*O90*'1. Standard_Cost'!$E$15</f>
        <v>0</v>
      </c>
      <c r="V90" s="126"/>
      <c r="W90" s="126"/>
      <c r="X90" s="126"/>
      <c r="Y90" s="127">
        <f>+V90*((X90*'1. Standard_Cost'!$B$19)+(W90*X90*'1. Standard_Cost'!$C$19))</f>
        <v>0</v>
      </c>
      <c r="Z90" s="126"/>
      <c r="AA90" s="126">
        <v>25</v>
      </c>
      <c r="AB90" s="127">
        <f>+Z90*'1. Standard_Cost'!$B$23+AA90*'1. Standard_Cost'!$C$23</f>
        <v>475000</v>
      </c>
      <c r="AC90" s="128">
        <v>203240</v>
      </c>
      <c r="AD90" s="129"/>
      <c r="AE90" s="127">
        <f>SUM(AD90,AC90,AB90,Y90,U90,T90,S90,R90)*'1. Standard_Cost'!$B$31</f>
        <v>135648</v>
      </c>
      <c r="AF90" s="127">
        <f>SUM(AE90,AD90,AC90,AB90,Y90,U90,T90,S90,R90)</f>
        <v>813888</v>
      </c>
      <c r="AG90" s="126"/>
      <c r="AH90" s="126"/>
      <c r="AI90" s="126"/>
      <c r="AJ90" s="130"/>
      <c r="AK90" s="130"/>
      <c r="AL90" s="130"/>
      <c r="AM90" s="127">
        <f>AG90*'1. Standard_Cost'!$B$27+'Incremental_Cost Year 8'!AH90*'1. Standard_Cost'!$C$27+'Incremental_Cost Year 8'!AI90*'1. Standard_Cost'!$D$27+'Incremental_Cost Year 8'!AJ90+'Incremental_Cost Year 8'!AL90+AK90</f>
        <v>0</v>
      </c>
      <c r="AN90" s="127">
        <f>AM90*'1. Standard_Cost'!$C$31</f>
        <v>0</v>
      </c>
      <c r="AO90" s="130"/>
      <c r="AQ90" s="171">
        <f>L90+M90</f>
        <v>1694484</v>
      </c>
      <c r="AR90" s="171">
        <f>AF90</f>
        <v>813888</v>
      </c>
      <c r="AS90" s="171">
        <f>AM90+AN90</f>
        <v>0</v>
      </c>
      <c r="AT90" s="171">
        <f>SUM(AQ90,AR90,AS90)</f>
        <v>2508372</v>
      </c>
      <c r="AU90" s="250">
        <v>1938372</v>
      </c>
      <c r="AV90" s="250"/>
      <c r="AW90" s="250"/>
      <c r="AX90" s="250"/>
      <c r="AY90" s="250"/>
      <c r="AZ90" s="250"/>
      <c r="BA90" s="250"/>
      <c r="BB90" s="251">
        <f t="shared" si="61"/>
        <v>-570000</v>
      </c>
      <c r="BC90" s="169"/>
      <c r="BD90" s="169"/>
      <c r="BE90" s="169"/>
      <c r="BF90" s="169"/>
    </row>
    <row r="91" spans="1:58" ht="61.9" customHeight="1" outlineLevel="2" x14ac:dyDescent="0.25">
      <c r="A91" s="115"/>
      <c r="B91" s="200"/>
      <c r="C91" s="201"/>
      <c r="D91" s="133"/>
      <c r="E91" s="322"/>
      <c r="F91" s="324"/>
      <c r="G91" s="325"/>
      <c r="H91" s="108" t="s">
        <v>426</v>
      </c>
      <c r="I91" s="130" t="s">
        <v>3</v>
      </c>
      <c r="J91" s="126">
        <v>3</v>
      </c>
      <c r="K91" s="126">
        <v>3</v>
      </c>
      <c r="L91" s="125">
        <f>IF(I91&lt;&gt;0,((VLOOKUP(I91,'1. Standard_Cost'!$B$4:$D$11,2)+VLOOKUP(I91,'1. Standard_Cost'!$B$4:$D$11,3))*J91*K91),"0")</f>
        <v>907200</v>
      </c>
      <c r="M91" s="125">
        <f>L91*'1. Standard_Cost'!$F$4</f>
        <v>151502.39999999999</v>
      </c>
      <c r="N91" s="126"/>
      <c r="O91" s="126"/>
      <c r="P91" s="126"/>
      <c r="Q91" s="126"/>
      <c r="R91" s="127">
        <f>'1. Standard_Cost'!$B$15*N91*P91</f>
        <v>0</v>
      </c>
      <c r="S91" s="127">
        <f>N91*O91*P91*'1. Standard_Cost'!$C$15</f>
        <v>0</v>
      </c>
      <c r="T91" s="127">
        <f>N91*P91*Q91*'1. Standard_Cost'!$D$15</f>
        <v>0</v>
      </c>
      <c r="U91" s="127">
        <f>N91*O91*'1. Standard_Cost'!$E$15</f>
        <v>0</v>
      </c>
      <c r="V91" s="126">
        <v>1</v>
      </c>
      <c r="W91" s="126">
        <v>5</v>
      </c>
      <c r="X91" s="126">
        <v>3</v>
      </c>
      <c r="Y91" s="127">
        <f>+V91*((X91*'1. Standard_Cost'!$B$19)+(W91*X91*'1. Standard_Cost'!$C$19))</f>
        <v>255000</v>
      </c>
      <c r="Z91" s="126"/>
      <c r="AA91" s="126"/>
      <c r="AB91" s="127">
        <f>+Z91*'1. Standard_Cost'!$B$23+AA91*'1. Standard_Cost'!$C$23</f>
        <v>0</v>
      </c>
      <c r="AC91" s="128">
        <v>127045</v>
      </c>
      <c r="AD91" s="129"/>
      <c r="AE91" s="127">
        <f>SUM(AD91,AC91,AB91,Y91,U91,T91,S91,R91)*'1. Standard_Cost'!$B$31</f>
        <v>76409</v>
      </c>
      <c r="AF91" s="127">
        <f>SUM(AE91,AD91,AC91,AB91,Y91,U91,T91,S91,R91)</f>
        <v>458454</v>
      </c>
      <c r="AG91" s="126"/>
      <c r="AH91" s="126"/>
      <c r="AI91" s="126"/>
      <c r="AJ91" s="130"/>
      <c r="AK91" s="130"/>
      <c r="AL91" s="130"/>
      <c r="AM91" s="127">
        <f>AG91*'1. Standard_Cost'!$B$27+'Incremental_Cost Year 8'!AH91*'1. Standard_Cost'!$C$27+'Incremental_Cost Year 8'!AI91*'1. Standard_Cost'!$D$27+'Incremental_Cost Year 8'!AJ91+'Incremental_Cost Year 8'!AL91+AK91</f>
        <v>0</v>
      </c>
      <c r="AN91" s="127">
        <f>AM91*'1. Standard_Cost'!$C$31</f>
        <v>0</v>
      </c>
      <c r="AO91" s="130"/>
      <c r="AQ91" s="171">
        <f>L91+M91</f>
        <v>1058702.3999999999</v>
      </c>
      <c r="AR91" s="171">
        <f>AF91</f>
        <v>458454</v>
      </c>
      <c r="AS91" s="171">
        <f>AM91+AN91</f>
        <v>0</v>
      </c>
      <c r="AT91" s="171">
        <f>SUM(AQ91,AR91,AS91)</f>
        <v>1517156.4</v>
      </c>
      <c r="AU91" s="250">
        <v>1517156</v>
      </c>
      <c r="AV91" s="250"/>
      <c r="AW91" s="250"/>
      <c r="AX91" s="250"/>
      <c r="AY91" s="250"/>
      <c r="AZ91" s="250"/>
      <c r="BA91" s="250"/>
      <c r="BB91" s="251">
        <f t="shared" si="61"/>
        <v>-0.39999999990686774</v>
      </c>
      <c r="BC91" s="169"/>
      <c r="BD91" s="169"/>
      <c r="BE91" s="169"/>
      <c r="BF91" s="169"/>
    </row>
    <row r="92" spans="1:58" ht="61.9" customHeight="1" outlineLevel="1" x14ac:dyDescent="0.25">
      <c r="A92" s="115"/>
      <c r="B92" s="165"/>
      <c r="C92" s="166"/>
      <c r="D92" s="150" t="s">
        <v>240</v>
      </c>
      <c r="E92" s="212" t="s">
        <v>271</v>
      </c>
      <c r="F92" s="104">
        <v>2021</v>
      </c>
      <c r="G92" s="104">
        <v>2030</v>
      </c>
      <c r="H92" s="110" t="s">
        <v>272</v>
      </c>
      <c r="I92" s="252"/>
      <c r="J92" s="252"/>
      <c r="K92" s="252"/>
      <c r="L92" s="127">
        <f>SUM(L89:L91)</f>
        <v>5263200</v>
      </c>
      <c r="M92" s="127">
        <f>SUM(M89:M91)</f>
        <v>878954.4</v>
      </c>
      <c r="N92" s="252"/>
      <c r="O92" s="252"/>
      <c r="P92" s="252"/>
      <c r="Q92" s="252"/>
      <c r="R92" s="127">
        <f>SUM(R89:R91)</f>
        <v>0</v>
      </c>
      <c r="S92" s="127">
        <f>SUM(S89:S91)</f>
        <v>0</v>
      </c>
      <c r="T92" s="127">
        <f>SUM(T89:T91)</f>
        <v>0</v>
      </c>
      <c r="U92" s="127">
        <f>SUM(U89:U91)</f>
        <v>0</v>
      </c>
      <c r="V92" s="252"/>
      <c r="W92" s="252"/>
      <c r="X92" s="252"/>
      <c r="Y92" s="127">
        <f>SUM(Y89:Y91)</f>
        <v>255000</v>
      </c>
      <c r="Z92" s="252"/>
      <c r="AA92" s="252"/>
      <c r="AB92" s="127">
        <f>SUM(AB89:AB91)</f>
        <v>475000</v>
      </c>
      <c r="AC92" s="127">
        <f>SUM(AC89:AC91)</f>
        <v>736961</v>
      </c>
      <c r="AD92" s="127">
        <f>SUM(AD89:AD91)</f>
        <v>0</v>
      </c>
      <c r="AE92" s="127">
        <f>SUM(AE89:AE91)</f>
        <v>293392.2</v>
      </c>
      <c r="AF92" s="127">
        <f>SUM(AF89:AF91)</f>
        <v>1760353.2</v>
      </c>
      <c r="AG92" s="252"/>
      <c r="AH92" s="252"/>
      <c r="AI92" s="252"/>
      <c r="AJ92" s="127">
        <f>SUM(AJ89:AJ91)</f>
        <v>0</v>
      </c>
      <c r="AK92" s="127">
        <f>SUM(AK89:AK91)</f>
        <v>0</v>
      </c>
      <c r="AL92" s="127">
        <f>SUM(AL89:AL91)</f>
        <v>0</v>
      </c>
      <c r="AM92" s="127">
        <f>SUM(AM89:AM91)</f>
        <v>0</v>
      </c>
      <c r="AN92" s="127">
        <f>SUM(AN89:AN91)</f>
        <v>0</v>
      </c>
      <c r="AO92" s="253"/>
      <c r="AP92" s="254"/>
      <c r="AQ92" s="175">
        <f>SUM(AQ89:AQ91)</f>
        <v>6142154.4000000004</v>
      </c>
      <c r="AR92" s="175">
        <f>SUM(AR89:AR91)</f>
        <v>1760353.2</v>
      </c>
      <c r="AS92" s="175">
        <f>SUM(AS89:AS91)</f>
        <v>0</v>
      </c>
      <c r="AT92" s="175">
        <f>SUM(AT89:AT91)</f>
        <v>7902507.5999999996</v>
      </c>
      <c r="AU92" s="175">
        <f t="shared" ref="AU92:BB92" si="62">SUM(AU89:AU91)</f>
        <v>7332507</v>
      </c>
      <c r="AV92" s="175">
        <f t="shared" si="62"/>
        <v>0</v>
      </c>
      <c r="AW92" s="175">
        <f t="shared" si="62"/>
        <v>0</v>
      </c>
      <c r="AX92" s="175">
        <f t="shared" si="62"/>
        <v>0</v>
      </c>
      <c r="AY92" s="175">
        <f t="shared" si="62"/>
        <v>0</v>
      </c>
      <c r="AZ92" s="175">
        <f t="shared" si="62"/>
        <v>0</v>
      </c>
      <c r="BA92" s="175">
        <f t="shared" si="62"/>
        <v>0</v>
      </c>
      <c r="BB92" s="175">
        <f t="shared" si="62"/>
        <v>-570000.60000000009</v>
      </c>
      <c r="BC92" s="169"/>
      <c r="BD92" s="169"/>
      <c r="BE92" s="169"/>
      <c r="BF92" s="169"/>
    </row>
    <row r="93" spans="1:58" s="184" customFormat="1" ht="61.9" customHeight="1" x14ac:dyDescent="0.25">
      <c r="A93" s="143"/>
      <c r="B93" s="290"/>
      <c r="C93" s="391" t="s">
        <v>537</v>
      </c>
      <c r="D93" s="391"/>
      <c r="E93" s="392"/>
      <c r="F93" s="291"/>
      <c r="G93" s="291"/>
      <c r="H93" s="144" t="s">
        <v>165</v>
      </c>
      <c r="I93" s="257"/>
      <c r="J93" s="257"/>
      <c r="K93" s="257"/>
      <c r="L93" s="258">
        <f>SUM(L99)</f>
        <v>1850850</v>
      </c>
      <c r="M93" s="258">
        <f>SUM(M99)</f>
        <v>309091.95</v>
      </c>
      <c r="N93" s="257"/>
      <c r="O93" s="257"/>
      <c r="P93" s="257"/>
      <c r="Q93" s="257"/>
      <c r="R93" s="258">
        <f>SUM(R99)</f>
        <v>0</v>
      </c>
      <c r="S93" s="258">
        <f>SUM(S99)</f>
        <v>0</v>
      </c>
      <c r="T93" s="258">
        <f>SUM(T99)</f>
        <v>0</v>
      </c>
      <c r="U93" s="258">
        <f>SUM(U99)</f>
        <v>0</v>
      </c>
      <c r="V93" s="257"/>
      <c r="W93" s="257"/>
      <c r="X93" s="257"/>
      <c r="Y93" s="258">
        <f>SUM(Y99)</f>
        <v>0</v>
      </c>
      <c r="Z93" s="257"/>
      <c r="AA93" s="257"/>
      <c r="AB93" s="258">
        <f>SUM(AB99)</f>
        <v>570000</v>
      </c>
      <c r="AC93" s="258">
        <f>SUM(AC99)</f>
        <v>303082</v>
      </c>
      <c r="AD93" s="258">
        <f>SUM(AD99)</f>
        <v>0</v>
      </c>
      <c r="AE93" s="258">
        <f>SUM(AE99)</f>
        <v>174616.4</v>
      </c>
      <c r="AF93" s="258">
        <f>SUM(AF99)</f>
        <v>1047698.4</v>
      </c>
      <c r="AG93" s="257"/>
      <c r="AH93" s="257"/>
      <c r="AI93" s="257"/>
      <c r="AJ93" s="258">
        <f>SUM(AJ99)</f>
        <v>0</v>
      </c>
      <c r="AK93" s="258">
        <f>SUM(AK99)</f>
        <v>0</v>
      </c>
      <c r="AL93" s="258">
        <f>SUM(AL99)</f>
        <v>0</v>
      </c>
      <c r="AM93" s="258">
        <f>SUM(AM99)</f>
        <v>0</v>
      </c>
      <c r="AN93" s="258">
        <f>SUM(AN99)</f>
        <v>0</v>
      </c>
      <c r="AO93" s="259"/>
      <c r="AP93" s="260"/>
      <c r="AQ93" s="261">
        <f>SUM(AQ99)</f>
        <v>2159941.9500000002</v>
      </c>
      <c r="AR93" s="261">
        <f>SUM(AR99)</f>
        <v>1047698.4</v>
      </c>
      <c r="AS93" s="261">
        <f>SUM(AS99)</f>
        <v>0</v>
      </c>
      <c r="AT93" s="261">
        <f>SUM(AT99)</f>
        <v>3207640.35</v>
      </c>
      <c r="AU93" s="261">
        <f t="shared" ref="AU93:BA93" si="63">SUM(AU99)</f>
        <v>2409640</v>
      </c>
      <c r="AV93" s="261">
        <f t="shared" si="63"/>
        <v>0</v>
      </c>
      <c r="AW93" s="261">
        <f t="shared" si="63"/>
        <v>0</v>
      </c>
      <c r="AX93" s="261">
        <f t="shared" si="63"/>
        <v>0</v>
      </c>
      <c r="AY93" s="261">
        <f t="shared" si="63"/>
        <v>0</v>
      </c>
      <c r="AZ93" s="261">
        <f t="shared" si="63"/>
        <v>0</v>
      </c>
      <c r="BA93" s="261">
        <f t="shared" si="63"/>
        <v>0</v>
      </c>
      <c r="BB93" s="261">
        <f>SUM(BB99)</f>
        <v>-798000.35000000009</v>
      </c>
    </row>
    <row r="94" spans="1:58" ht="61.9" customHeight="1" outlineLevel="2" x14ac:dyDescent="0.25">
      <c r="A94" s="115"/>
      <c r="B94" s="200"/>
      <c r="C94" s="201"/>
      <c r="D94" s="346"/>
      <c r="E94" s="321"/>
      <c r="F94" s="306"/>
      <c r="G94" s="307"/>
      <c r="H94" s="109" t="s">
        <v>427</v>
      </c>
      <c r="I94" s="130"/>
      <c r="J94" s="126"/>
      <c r="K94" s="126"/>
      <c r="L94" s="125" t="str">
        <f>IF(I94&lt;&gt;0,((VLOOKUP(I94,'1. Standard_Cost'!$B$4:$D$11,2)+VLOOKUP(I94,'1. Standard_Cost'!$B$4:$D$11,3))*J94*K94),"0")</f>
        <v>0</v>
      </c>
      <c r="M94" s="125">
        <f>L94*'1. Standard_Cost'!$F$4</f>
        <v>0</v>
      </c>
      <c r="N94" s="126"/>
      <c r="O94" s="126"/>
      <c r="P94" s="126"/>
      <c r="Q94" s="126"/>
      <c r="R94" s="127">
        <f>'1. Standard_Cost'!$B$15*N94*P94</f>
        <v>0</v>
      </c>
      <c r="S94" s="127">
        <f>N94*O94*P94*'1. Standard_Cost'!$C$15</f>
        <v>0</v>
      </c>
      <c r="T94" s="127">
        <f>N94*P94*Q94*'1. Standard_Cost'!$D$15</f>
        <v>0</v>
      </c>
      <c r="U94" s="127">
        <f>N94*O94*'1. Standard_Cost'!$E$15</f>
        <v>0</v>
      </c>
      <c r="V94" s="126"/>
      <c r="W94" s="126"/>
      <c r="X94" s="126"/>
      <c r="Y94" s="127">
        <f>+V94*((X94*'1. Standard_Cost'!$B$19)+(W94*X94*'1. Standard_Cost'!$C$19))</f>
        <v>0</v>
      </c>
      <c r="Z94" s="126"/>
      <c r="AA94" s="126"/>
      <c r="AB94" s="127">
        <f>+Z94*'1. Standard_Cost'!$B$23+AA94*'1. Standard_Cost'!$C$23</f>
        <v>0</v>
      </c>
      <c r="AC94" s="128"/>
      <c r="AD94" s="129"/>
      <c r="AE94" s="127">
        <f>SUM(AD94,AC94,AB94,Y94,U94,T94,S94,R94)*'1. Standard_Cost'!$B$31</f>
        <v>0</v>
      </c>
      <c r="AF94" s="127">
        <f>SUM(AE94,AD94,AC94,AB94,Y94,U94,T94,S94,R94)</f>
        <v>0</v>
      </c>
      <c r="AG94" s="126"/>
      <c r="AH94" s="126"/>
      <c r="AI94" s="126"/>
      <c r="AJ94" s="130"/>
      <c r="AK94" s="130"/>
      <c r="AL94" s="130"/>
      <c r="AM94" s="127">
        <f>AG94*'1. Standard_Cost'!$B$27+'Incremental_Cost Year 8'!AH94*'1. Standard_Cost'!$C$27+'Incremental_Cost Year 8'!AI94*'1. Standard_Cost'!$D$27+'Incremental_Cost Year 8'!AJ94+'Incremental_Cost Year 8'!AL94+AK94</f>
        <v>0</v>
      </c>
      <c r="AN94" s="127">
        <f>AM94*'1. Standard_Cost'!$C$31</f>
        <v>0</v>
      </c>
      <c r="AO94" s="130"/>
      <c r="AQ94" s="171">
        <f>L94+M94</f>
        <v>0</v>
      </c>
      <c r="AR94" s="171">
        <f>AF94</f>
        <v>0</v>
      </c>
      <c r="AS94" s="171">
        <f>AM94+AN94</f>
        <v>0</v>
      </c>
      <c r="AT94" s="171">
        <f>SUM(AQ94,AR94,AS94)</f>
        <v>0</v>
      </c>
      <c r="AU94" s="250"/>
      <c r="AV94" s="250"/>
      <c r="AW94" s="250"/>
      <c r="AX94" s="250"/>
      <c r="AY94" s="250"/>
      <c r="AZ94" s="250"/>
      <c r="BA94" s="250"/>
      <c r="BB94" s="251">
        <f t="shared" ref="BB94:BB98" si="64">SUM(AU94:BA94)-AT94</f>
        <v>0</v>
      </c>
      <c r="BC94" s="169"/>
      <c r="BD94" s="169"/>
      <c r="BE94" s="169"/>
      <c r="BF94" s="169"/>
    </row>
    <row r="95" spans="1:58" ht="61.9" customHeight="1" outlineLevel="2" x14ac:dyDescent="0.25">
      <c r="A95" s="115"/>
      <c r="B95" s="200"/>
      <c r="C95" s="201"/>
      <c r="D95" s="203"/>
      <c r="E95" s="323"/>
      <c r="F95" s="308"/>
      <c r="G95" s="309"/>
      <c r="H95" s="109" t="s">
        <v>428</v>
      </c>
      <c r="I95" s="130" t="s">
        <v>3</v>
      </c>
      <c r="J95" s="126">
        <v>2</v>
      </c>
      <c r="K95" s="126">
        <v>5</v>
      </c>
      <c r="L95" s="125">
        <f>IF(I95&lt;&gt;0,((VLOOKUP(I95,'1. Standard_Cost'!$B$4:$D$11,2)+VLOOKUP(I95,'1. Standard_Cost'!$B$4:$D$11,3))*J95*K95),"0")</f>
        <v>1008000</v>
      </c>
      <c r="M95" s="125">
        <f>L95*'1. Standard_Cost'!$F$4</f>
        <v>168336</v>
      </c>
      <c r="N95" s="126"/>
      <c r="O95" s="126"/>
      <c r="P95" s="126"/>
      <c r="Q95" s="126"/>
      <c r="R95" s="127">
        <f>'1. Standard_Cost'!$B$15*N95*P95</f>
        <v>0</v>
      </c>
      <c r="S95" s="127">
        <f>N95*O95*P95*'1. Standard_Cost'!$C$15</f>
        <v>0</v>
      </c>
      <c r="T95" s="127">
        <f>N95*P95*Q95*'1. Standard_Cost'!$D$15</f>
        <v>0</v>
      </c>
      <c r="U95" s="127">
        <f>N95*O95*'1. Standard_Cost'!$E$15</f>
        <v>0</v>
      </c>
      <c r="V95" s="126"/>
      <c r="W95" s="126"/>
      <c r="X95" s="126"/>
      <c r="Y95" s="127">
        <f>+V95*((X95*'1. Standard_Cost'!$B$19)+(W95*X95*'1. Standard_Cost'!$C$19))</f>
        <v>0</v>
      </c>
      <c r="Z95" s="126"/>
      <c r="AA95" s="126"/>
      <c r="AB95" s="127">
        <f>+Z95*'1. Standard_Cost'!$B$23+AA95*'1. Standard_Cost'!$C$23</f>
        <v>0</v>
      </c>
      <c r="AC95" s="128">
        <v>160000</v>
      </c>
      <c r="AD95" s="129"/>
      <c r="AE95" s="127">
        <f>SUM(AD95,AC95,AB95,Y95,U95,T95,S95,R95)*'1. Standard_Cost'!$B$31</f>
        <v>32000</v>
      </c>
      <c r="AF95" s="127">
        <f>SUM(AE95,AD95,AC95,AB95,Y95,U95,T95,S95,R95)</f>
        <v>192000</v>
      </c>
      <c r="AG95" s="126"/>
      <c r="AH95" s="126"/>
      <c r="AI95" s="126"/>
      <c r="AJ95" s="130"/>
      <c r="AK95" s="130"/>
      <c r="AL95" s="130"/>
      <c r="AM95" s="127">
        <f>AG95*'1. Standard_Cost'!$B$27+'Incremental_Cost Year 8'!AH95*'1. Standard_Cost'!$C$27+'Incremental_Cost Year 8'!AI95*'1. Standard_Cost'!$D$27+'Incremental_Cost Year 8'!AJ95+'Incremental_Cost Year 8'!AL95+AK95</f>
        <v>0</v>
      </c>
      <c r="AN95" s="127">
        <f>AM95*'1. Standard_Cost'!$C$31</f>
        <v>0</v>
      </c>
      <c r="AO95" s="130"/>
      <c r="AQ95" s="171">
        <f>L95+M95</f>
        <v>1176336</v>
      </c>
      <c r="AR95" s="171">
        <f>AF95</f>
        <v>192000</v>
      </c>
      <c r="AS95" s="171">
        <f>AM95+AN95</f>
        <v>0</v>
      </c>
      <c r="AT95" s="171">
        <f>SUM(AQ95,AR95,AS95)</f>
        <v>1368336</v>
      </c>
      <c r="AU95" s="250">
        <v>1368336</v>
      </c>
      <c r="AV95" s="250"/>
      <c r="AW95" s="250"/>
      <c r="AX95" s="250"/>
      <c r="AY95" s="250"/>
      <c r="AZ95" s="250"/>
      <c r="BA95" s="250"/>
      <c r="BB95" s="251">
        <f t="shared" si="64"/>
        <v>0</v>
      </c>
      <c r="BC95" s="169"/>
      <c r="BD95" s="169"/>
      <c r="BE95" s="169"/>
      <c r="BF95" s="169"/>
    </row>
    <row r="96" spans="1:58" ht="61.9" customHeight="1" outlineLevel="2" x14ac:dyDescent="0.25">
      <c r="A96" s="115"/>
      <c r="B96" s="200"/>
      <c r="C96" s="201"/>
      <c r="D96" s="203"/>
      <c r="E96" s="323"/>
      <c r="F96" s="326"/>
      <c r="G96" s="327"/>
      <c r="H96" s="109" t="s">
        <v>429</v>
      </c>
      <c r="I96" s="130"/>
      <c r="J96" s="126"/>
      <c r="K96" s="126"/>
      <c r="L96" s="125" t="str">
        <f>IF(I96&lt;&gt;0,((VLOOKUP(I96,'1. Standard_Cost'!$B$4:$D$11,2)+VLOOKUP(I96,'1. Standard_Cost'!$B$4:$D$11,3))*J96*K96),"0")</f>
        <v>0</v>
      </c>
      <c r="M96" s="125">
        <f>L96*'1. Standard_Cost'!$F$4</f>
        <v>0</v>
      </c>
      <c r="N96" s="126"/>
      <c r="O96" s="126"/>
      <c r="P96" s="126"/>
      <c r="Q96" s="126"/>
      <c r="R96" s="127">
        <f>'1. Standard_Cost'!$B$15*N96*P96</f>
        <v>0</v>
      </c>
      <c r="S96" s="127">
        <f>N96*O96*P96*'1. Standard_Cost'!$C$15</f>
        <v>0</v>
      </c>
      <c r="T96" s="127">
        <f>N96*P96*Q96*'1. Standard_Cost'!$D$15</f>
        <v>0</v>
      </c>
      <c r="U96" s="127">
        <f>N96*O96*'1. Standard_Cost'!$E$15</f>
        <v>0</v>
      </c>
      <c r="V96" s="126"/>
      <c r="W96" s="126"/>
      <c r="X96" s="126"/>
      <c r="Y96" s="127">
        <f>+V96*((X96*'1. Standard_Cost'!$B$19)+(W96*X96*'1. Standard_Cost'!$C$19))</f>
        <v>0</v>
      </c>
      <c r="Z96" s="126"/>
      <c r="AA96" s="126"/>
      <c r="AB96" s="127">
        <f>+Z96*'1. Standard_Cost'!$B$23+AA96*'1. Standard_Cost'!$C$23</f>
        <v>0</v>
      </c>
      <c r="AC96" s="128"/>
      <c r="AD96" s="129"/>
      <c r="AE96" s="127">
        <f>SUM(AD96,AC96,AB96,Y96,U96,T96,S96,R96)*'1. Standard_Cost'!$B$31</f>
        <v>0</v>
      </c>
      <c r="AF96" s="127">
        <f>SUM(AE96,AD96,AC96,AB96,Y96,U96,T96,S96,R96)</f>
        <v>0</v>
      </c>
      <c r="AG96" s="126"/>
      <c r="AH96" s="126"/>
      <c r="AI96" s="126"/>
      <c r="AJ96" s="130"/>
      <c r="AK96" s="130"/>
      <c r="AL96" s="130"/>
      <c r="AM96" s="127">
        <f>AG96*'1. Standard_Cost'!$B$27+'Incremental_Cost Year 8'!AH96*'1. Standard_Cost'!$C$27+'Incremental_Cost Year 8'!AI96*'1. Standard_Cost'!$D$27+'Incremental_Cost Year 8'!AJ96+'Incremental_Cost Year 8'!AL96+AK96</f>
        <v>0</v>
      </c>
      <c r="AN96" s="127">
        <f>AM96*'1. Standard_Cost'!$C$31</f>
        <v>0</v>
      </c>
      <c r="AO96" s="130"/>
      <c r="AQ96" s="171">
        <f>L96+M96</f>
        <v>0</v>
      </c>
      <c r="AR96" s="171">
        <f>AF96</f>
        <v>0</v>
      </c>
      <c r="AS96" s="171">
        <f>AM96+AN96</f>
        <v>0</v>
      </c>
      <c r="AT96" s="171">
        <f>SUM(AQ96,AR96,AS96)</f>
        <v>0</v>
      </c>
      <c r="AU96" s="250"/>
      <c r="AV96" s="250"/>
      <c r="AW96" s="250"/>
      <c r="AX96" s="250"/>
      <c r="AY96" s="250"/>
      <c r="AZ96" s="250"/>
      <c r="BA96" s="250"/>
      <c r="BB96" s="251">
        <f t="shared" si="64"/>
        <v>0</v>
      </c>
      <c r="BC96" s="169"/>
      <c r="BD96" s="169"/>
      <c r="BE96" s="169"/>
      <c r="BF96" s="169"/>
    </row>
    <row r="97" spans="1:58" ht="61.9" customHeight="1" outlineLevel="2" x14ac:dyDescent="0.25">
      <c r="A97" s="115"/>
      <c r="B97" s="200"/>
      <c r="C97" s="201"/>
      <c r="D97" s="203"/>
      <c r="E97" s="323"/>
      <c r="F97" s="308"/>
      <c r="G97" s="309"/>
      <c r="H97" s="225" t="s">
        <v>430</v>
      </c>
      <c r="I97" s="130" t="s">
        <v>4</v>
      </c>
      <c r="J97" s="126">
        <v>2</v>
      </c>
      <c r="K97" s="126">
        <v>5</v>
      </c>
      <c r="L97" s="125">
        <f>IF(I97&lt;&gt;0,((VLOOKUP(I97,'1. Standard_Cost'!$B$4:$D$11,2)+VLOOKUP(I97,'1. Standard_Cost'!$B$4:$D$11,3))*J97*K97),"0")</f>
        <v>807500</v>
      </c>
      <c r="M97" s="125">
        <f>L97*'1. Standard_Cost'!$F$4</f>
        <v>134852.5</v>
      </c>
      <c r="N97" s="126"/>
      <c r="O97" s="126"/>
      <c r="P97" s="126"/>
      <c r="Q97" s="126"/>
      <c r="R97" s="127">
        <f>'1. Standard_Cost'!$B$15*N97*P97</f>
        <v>0</v>
      </c>
      <c r="S97" s="127">
        <f>N97*O97*P97*'1. Standard_Cost'!$C$15</f>
        <v>0</v>
      </c>
      <c r="T97" s="127">
        <f>N97*P97*Q97*'1. Standard_Cost'!$D$15</f>
        <v>0</v>
      </c>
      <c r="U97" s="127">
        <f>N97*O97*'1. Standard_Cost'!$E$15</f>
        <v>0</v>
      </c>
      <c r="V97" s="126"/>
      <c r="W97" s="126"/>
      <c r="X97" s="126"/>
      <c r="Y97" s="127">
        <f>+V97*((X97*'1. Standard_Cost'!$B$19)+(W97*X97*'1. Standard_Cost'!$C$19))</f>
        <v>0</v>
      </c>
      <c r="Z97" s="126"/>
      <c r="AA97" s="126">
        <v>30</v>
      </c>
      <c r="AB97" s="127">
        <f>+Z97*'1. Standard_Cost'!$B$23+AA97*'1. Standard_Cost'!$C$23</f>
        <v>570000</v>
      </c>
      <c r="AC97" s="128">
        <v>113082</v>
      </c>
      <c r="AD97" s="129"/>
      <c r="AE97" s="127">
        <f>SUM(AD97,AC97,AB97,Y97,U97,T97,S97,R97)*'1. Standard_Cost'!$B$31</f>
        <v>136616.4</v>
      </c>
      <c r="AF97" s="127">
        <f>SUM(AE97,AD97,AC97,AB97,Y97,U97,T97,S97,R97)</f>
        <v>819698.4</v>
      </c>
      <c r="AG97" s="126"/>
      <c r="AH97" s="126"/>
      <c r="AI97" s="126"/>
      <c r="AJ97" s="130"/>
      <c r="AK97" s="130"/>
      <c r="AL97" s="130"/>
      <c r="AM97" s="127">
        <f>AG97*'1. Standard_Cost'!$B$27+'Incremental_Cost Year 8'!AH97*'1. Standard_Cost'!$C$27+'Incremental_Cost Year 8'!AI97*'1. Standard_Cost'!$D$27+'Incremental_Cost Year 8'!AJ97+'Incremental_Cost Year 8'!AL97+AK97</f>
        <v>0</v>
      </c>
      <c r="AN97" s="127">
        <f>AM97*'1. Standard_Cost'!$C$31</f>
        <v>0</v>
      </c>
      <c r="AO97" s="130"/>
      <c r="AQ97" s="171">
        <f>L97+M97</f>
        <v>942352.5</v>
      </c>
      <c r="AR97" s="171">
        <f>AF97</f>
        <v>819698.4</v>
      </c>
      <c r="AS97" s="171">
        <f>AM97+AN97</f>
        <v>0</v>
      </c>
      <c r="AT97" s="171">
        <f>SUM(AQ97,AR97,AS97)</f>
        <v>1762050.9</v>
      </c>
      <c r="AU97" s="250">
        <v>964051</v>
      </c>
      <c r="AV97" s="250"/>
      <c r="AW97" s="250"/>
      <c r="AX97" s="250"/>
      <c r="AY97" s="250"/>
      <c r="AZ97" s="250"/>
      <c r="BA97" s="250"/>
      <c r="BB97" s="251">
        <f t="shared" si="64"/>
        <v>-797999.89999999991</v>
      </c>
      <c r="BC97" s="169"/>
      <c r="BD97" s="169"/>
      <c r="BE97" s="169"/>
      <c r="BF97" s="169"/>
    </row>
    <row r="98" spans="1:58" ht="61.9" customHeight="1" outlineLevel="2" x14ac:dyDescent="0.25">
      <c r="A98" s="115"/>
      <c r="B98" s="200"/>
      <c r="C98" s="201"/>
      <c r="D98" s="133"/>
      <c r="E98" s="323"/>
      <c r="F98" s="308"/>
      <c r="G98" s="309"/>
      <c r="H98" s="109" t="s">
        <v>431</v>
      </c>
      <c r="I98" s="130" t="s">
        <v>5</v>
      </c>
      <c r="J98" s="126">
        <v>0.5</v>
      </c>
      <c r="K98" s="126">
        <v>1</v>
      </c>
      <c r="L98" s="125">
        <f>IF(I98&lt;&gt;0,((VLOOKUP(I98,'1. Standard_Cost'!$B$4:$D$11,2)+VLOOKUP(I98,'1. Standard_Cost'!$B$4:$D$11,3))*J98*K98),"0")</f>
        <v>35350</v>
      </c>
      <c r="M98" s="125">
        <f>L98*'1. Standard_Cost'!$F$4</f>
        <v>5903.4500000000007</v>
      </c>
      <c r="N98" s="126"/>
      <c r="O98" s="126"/>
      <c r="P98" s="126"/>
      <c r="Q98" s="126"/>
      <c r="R98" s="127">
        <f>'1. Standard_Cost'!$B$15*N98*P98</f>
        <v>0</v>
      </c>
      <c r="S98" s="127">
        <f>N98*O98*P98*'1. Standard_Cost'!$C$15</f>
        <v>0</v>
      </c>
      <c r="T98" s="127">
        <f>N98*P98*Q98*'1. Standard_Cost'!$D$15</f>
        <v>0</v>
      </c>
      <c r="U98" s="127">
        <f>N98*O98*'1. Standard_Cost'!$E$15</f>
        <v>0</v>
      </c>
      <c r="V98" s="126"/>
      <c r="W98" s="126"/>
      <c r="X98" s="126"/>
      <c r="Y98" s="127">
        <f>+V98*((X98*'1. Standard_Cost'!$B$19)+(W98*X98*'1. Standard_Cost'!$C$19))</f>
        <v>0</v>
      </c>
      <c r="Z98" s="126"/>
      <c r="AA98" s="145"/>
      <c r="AB98" s="127">
        <f>+Z98*'1. Standard_Cost'!$B$23+AA98*'1. Standard_Cost'!$C$23</f>
        <v>0</v>
      </c>
      <c r="AC98" s="128">
        <v>30000</v>
      </c>
      <c r="AD98" s="129"/>
      <c r="AE98" s="127">
        <f>SUM(AD98,AC98,AB98,Y98,U98,T98,S98,R98)*'1. Standard_Cost'!$B$31</f>
        <v>6000</v>
      </c>
      <c r="AF98" s="127">
        <f>SUM(AE98,AD98,AC98,AB98,Y98,U98,T98,S98,R98)</f>
        <v>36000</v>
      </c>
      <c r="AG98" s="126"/>
      <c r="AH98" s="126"/>
      <c r="AI98" s="126"/>
      <c r="AJ98" s="130"/>
      <c r="AK98" s="130"/>
      <c r="AL98" s="130"/>
      <c r="AM98" s="127">
        <f>AG98*'1. Standard_Cost'!$B$27+'Incremental_Cost Year 8'!AH98*'1. Standard_Cost'!$C$27+'Incremental_Cost Year 8'!AI98*'1. Standard_Cost'!$D$27+'Incremental_Cost Year 8'!AJ98+'Incremental_Cost Year 8'!AL98+AK98</f>
        <v>0</v>
      </c>
      <c r="AN98" s="127">
        <f>AM98*'1. Standard_Cost'!$C$31</f>
        <v>0</v>
      </c>
      <c r="AO98" s="262"/>
      <c r="AQ98" s="171">
        <f>L98+M98</f>
        <v>41253.449999999997</v>
      </c>
      <c r="AR98" s="171">
        <f>AF98</f>
        <v>36000</v>
      </c>
      <c r="AS98" s="171">
        <f>AM98+AN98</f>
        <v>0</v>
      </c>
      <c r="AT98" s="171">
        <f>SUM(AQ98,AR98,AS98)</f>
        <v>77253.45</v>
      </c>
      <c r="AU98" s="250">
        <v>77253</v>
      </c>
      <c r="AV98" s="250"/>
      <c r="AW98" s="250"/>
      <c r="AX98" s="250"/>
      <c r="AY98" s="250"/>
      <c r="AZ98" s="250"/>
      <c r="BA98" s="250"/>
      <c r="BB98" s="251">
        <f t="shared" si="64"/>
        <v>-0.44999999999708962</v>
      </c>
      <c r="BC98" s="169"/>
      <c r="BD98" s="169"/>
      <c r="BE98" s="169"/>
      <c r="BF98" s="169"/>
    </row>
    <row r="99" spans="1:58" ht="61.9" customHeight="1" outlineLevel="1" x14ac:dyDescent="0.25">
      <c r="A99" s="115"/>
      <c r="B99" s="165"/>
      <c r="C99" s="166"/>
      <c r="D99" s="212" t="s">
        <v>432</v>
      </c>
      <c r="E99" s="212" t="s">
        <v>274</v>
      </c>
      <c r="F99" s="136">
        <v>2022</v>
      </c>
      <c r="G99" s="117">
        <v>2030</v>
      </c>
      <c r="H99" s="110" t="s">
        <v>164</v>
      </c>
      <c r="I99" s="252"/>
      <c r="J99" s="252"/>
      <c r="K99" s="252"/>
      <c r="L99" s="127">
        <f>SUM(L94:L98)</f>
        <v>1850850</v>
      </c>
      <c r="M99" s="127">
        <f>SUM(M94:M98)</f>
        <v>309091.95</v>
      </c>
      <c r="N99" s="252"/>
      <c r="O99" s="252"/>
      <c r="P99" s="252"/>
      <c r="Q99" s="252"/>
      <c r="R99" s="127">
        <f>SUM(R94:R98)</f>
        <v>0</v>
      </c>
      <c r="S99" s="127">
        <f>SUM(S94:S98)</f>
        <v>0</v>
      </c>
      <c r="T99" s="127">
        <f>SUM(T94:T98)</f>
        <v>0</v>
      </c>
      <c r="U99" s="127">
        <f>SUM(U94:U98)</f>
        <v>0</v>
      </c>
      <c r="V99" s="252"/>
      <c r="W99" s="252"/>
      <c r="X99" s="252"/>
      <c r="Y99" s="127">
        <f>SUM(Y94:Y98)</f>
        <v>0</v>
      </c>
      <c r="Z99" s="127"/>
      <c r="AA99" s="252"/>
      <c r="AB99" s="127">
        <f>SUM(AB94:AB98)</f>
        <v>570000</v>
      </c>
      <c r="AC99" s="127">
        <f>SUM(AC94:AC98)</f>
        <v>303082</v>
      </c>
      <c r="AD99" s="127">
        <f>SUM(AD94:AD98)</f>
        <v>0</v>
      </c>
      <c r="AE99" s="127">
        <f>SUM(AE94:AE98)</f>
        <v>174616.4</v>
      </c>
      <c r="AF99" s="127">
        <f>SUM(AF94:AF98)</f>
        <v>1047698.4</v>
      </c>
      <c r="AG99" s="252"/>
      <c r="AH99" s="252"/>
      <c r="AI99" s="252"/>
      <c r="AJ99" s="127">
        <f>SUM(AJ94:AJ98)</f>
        <v>0</v>
      </c>
      <c r="AK99" s="127">
        <f>SUM(AK94:AK97)</f>
        <v>0</v>
      </c>
      <c r="AL99" s="127">
        <f>SUM(AL94:AL97)</f>
        <v>0</v>
      </c>
      <c r="AM99" s="127">
        <f>SUM(AM94:AM97)</f>
        <v>0</v>
      </c>
      <c r="AN99" s="127">
        <f>SUM(AN94:AN97)</f>
        <v>0</v>
      </c>
      <c r="AO99" s="253"/>
      <c r="AP99" s="254"/>
      <c r="AQ99" s="175">
        <f>SUM(AQ94:AQ98)</f>
        <v>2159941.9500000002</v>
      </c>
      <c r="AR99" s="175">
        <f>SUM(AR94:AR98)</f>
        <v>1047698.4</v>
      </c>
      <c r="AS99" s="175">
        <f>SUM(AS94:AS98)</f>
        <v>0</v>
      </c>
      <c r="AT99" s="175">
        <f>SUM(AT94:AT98)</f>
        <v>3207640.35</v>
      </c>
      <c r="AU99" s="175">
        <f t="shared" ref="AU99:BA99" si="65">SUM(AU94:AU98)</f>
        <v>2409640</v>
      </c>
      <c r="AV99" s="175">
        <f t="shared" si="65"/>
        <v>0</v>
      </c>
      <c r="AW99" s="175">
        <f t="shared" si="65"/>
        <v>0</v>
      </c>
      <c r="AX99" s="175">
        <f t="shared" si="65"/>
        <v>0</v>
      </c>
      <c r="AY99" s="175">
        <f t="shared" si="65"/>
        <v>0</v>
      </c>
      <c r="AZ99" s="175">
        <f t="shared" si="65"/>
        <v>0</v>
      </c>
      <c r="BA99" s="175">
        <f t="shared" si="65"/>
        <v>0</v>
      </c>
      <c r="BB99" s="251">
        <f t="shared" ref="BB99" si="66">SUM(AU99:BA99)-AT99</f>
        <v>-798000.35000000009</v>
      </c>
      <c r="BC99" s="169"/>
      <c r="BD99" s="169"/>
      <c r="BE99" s="169"/>
      <c r="BF99" s="169"/>
    </row>
    <row r="100" spans="1:58" s="184" customFormat="1" ht="61.9" customHeight="1" x14ac:dyDescent="0.25">
      <c r="A100" s="143"/>
      <c r="B100" s="290"/>
      <c r="C100" s="391" t="s">
        <v>176</v>
      </c>
      <c r="D100" s="391"/>
      <c r="E100" s="392"/>
      <c r="F100" s="291"/>
      <c r="G100" s="291"/>
      <c r="H100" s="144" t="s">
        <v>178</v>
      </c>
      <c r="I100" s="257"/>
      <c r="J100" s="257"/>
      <c r="K100" s="257"/>
      <c r="L100" s="258">
        <f>SUM(L105)</f>
        <v>2520000</v>
      </c>
      <c r="M100" s="258">
        <f>SUM(M105)</f>
        <v>420840</v>
      </c>
      <c r="N100" s="257"/>
      <c r="O100" s="257"/>
      <c r="P100" s="257"/>
      <c r="Q100" s="257"/>
      <c r="R100" s="258">
        <f>SUM(R105)</f>
        <v>0</v>
      </c>
      <c r="S100" s="258">
        <f>SUM(S105)</f>
        <v>0</v>
      </c>
      <c r="T100" s="258">
        <f>SUM(T105)</f>
        <v>0</v>
      </c>
      <c r="U100" s="258">
        <f>SUM(U105)</f>
        <v>0</v>
      </c>
      <c r="V100" s="257"/>
      <c r="W100" s="257"/>
      <c r="X100" s="257"/>
      <c r="Y100" s="258">
        <f>SUM(Y105)</f>
        <v>0</v>
      </c>
      <c r="Z100" s="257"/>
      <c r="AA100" s="257"/>
      <c r="AB100" s="258">
        <f>SUM(AB105)</f>
        <v>0</v>
      </c>
      <c r="AC100" s="258">
        <f>SUM(AC105)</f>
        <v>359425</v>
      </c>
      <c r="AD100" s="258">
        <f>SUM(AD105)</f>
        <v>0</v>
      </c>
      <c r="AE100" s="258">
        <f>SUM(AE105)</f>
        <v>71885</v>
      </c>
      <c r="AF100" s="258">
        <f>SUM(AF105)</f>
        <v>431310</v>
      </c>
      <c r="AG100" s="257"/>
      <c r="AH100" s="257"/>
      <c r="AI100" s="257"/>
      <c r="AJ100" s="258">
        <f>SUM(AJ105)</f>
        <v>0</v>
      </c>
      <c r="AK100" s="258">
        <f>SUM(AK105)</f>
        <v>0</v>
      </c>
      <c r="AL100" s="258">
        <f>SUM(AL105)</f>
        <v>0</v>
      </c>
      <c r="AM100" s="258">
        <f>SUM(AM105)</f>
        <v>0</v>
      </c>
      <c r="AN100" s="258">
        <f>SUM(AN105)</f>
        <v>0</v>
      </c>
      <c r="AO100" s="259"/>
      <c r="AP100" s="260"/>
      <c r="AQ100" s="261">
        <f>SUM(AQ105)</f>
        <v>2940840</v>
      </c>
      <c r="AR100" s="261">
        <f>SUM(AR105)</f>
        <v>431310</v>
      </c>
      <c r="AS100" s="261">
        <f>SUM(AS105)</f>
        <v>0</v>
      </c>
      <c r="AT100" s="261">
        <f>SUM(AT105)</f>
        <v>3372150</v>
      </c>
      <c r="AU100" s="261">
        <f t="shared" ref="AU100:BA100" si="67">SUM(AU105)</f>
        <v>3372149</v>
      </c>
      <c r="AV100" s="261">
        <f t="shared" si="67"/>
        <v>0</v>
      </c>
      <c r="AW100" s="261">
        <f t="shared" si="67"/>
        <v>0</v>
      </c>
      <c r="AX100" s="261">
        <f t="shared" si="67"/>
        <v>0</v>
      </c>
      <c r="AY100" s="261">
        <f t="shared" si="67"/>
        <v>0</v>
      </c>
      <c r="AZ100" s="261">
        <f t="shared" si="67"/>
        <v>0</v>
      </c>
      <c r="BA100" s="261">
        <f t="shared" si="67"/>
        <v>0</v>
      </c>
      <c r="BB100" s="261">
        <f>SUM(BB105)</f>
        <v>-0.99999999982537702</v>
      </c>
    </row>
    <row r="101" spans="1:58" ht="61.9" customHeight="1" outlineLevel="2" x14ac:dyDescent="0.25">
      <c r="A101" s="115"/>
      <c r="B101" s="303"/>
      <c r="C101" s="329"/>
      <c r="D101" s="342"/>
      <c r="E101" s="328"/>
      <c r="F101" s="328"/>
      <c r="G101" s="328"/>
      <c r="H101" s="199" t="s">
        <v>433</v>
      </c>
      <c r="I101" s="130" t="s">
        <v>3</v>
      </c>
      <c r="J101" s="126">
        <v>2</v>
      </c>
      <c r="K101" s="126">
        <v>7</v>
      </c>
      <c r="L101" s="125">
        <f>IF(I101&lt;&gt;0,((VLOOKUP(I101,'1. Standard_Cost'!$B$4:$D$11,2)+VLOOKUP(I101,'1. Standard_Cost'!$B$4:$D$11,3))*J101*K101),"0")</f>
        <v>1411200</v>
      </c>
      <c r="M101" s="125">
        <f>L101*'1. Standard_Cost'!$F$4</f>
        <v>235670.40000000002</v>
      </c>
      <c r="N101" s="126"/>
      <c r="O101" s="126"/>
      <c r="P101" s="126"/>
      <c r="Q101" s="126"/>
      <c r="R101" s="127">
        <f>'1. Standard_Cost'!$B$15*N101*P101</f>
        <v>0</v>
      </c>
      <c r="S101" s="127">
        <f>N101*O101*P101*'1. Standard_Cost'!$C$15</f>
        <v>0</v>
      </c>
      <c r="T101" s="127">
        <f>N101*P101*Q101*'1. Standard_Cost'!$D$15</f>
        <v>0</v>
      </c>
      <c r="U101" s="127">
        <f>N101*O101*'1. Standard_Cost'!$E$15</f>
        <v>0</v>
      </c>
      <c r="V101" s="126"/>
      <c r="W101" s="126"/>
      <c r="X101" s="126"/>
      <c r="Y101" s="127">
        <f>+V101*((X101*'1. Standard_Cost'!$B$19)+(W101*X101*'1. Standard_Cost'!$C$19))</f>
        <v>0</v>
      </c>
      <c r="Z101" s="126"/>
      <c r="AA101" s="126"/>
      <c r="AB101" s="127">
        <f>+Z101*'1. Standard_Cost'!$B$23+AA101*'1. Standard_Cost'!$C$23</f>
        <v>0</v>
      </c>
      <c r="AC101" s="128">
        <v>211125</v>
      </c>
      <c r="AD101" s="129"/>
      <c r="AE101" s="127">
        <f>SUM(AD101,AC101,AB101,Y101,U101,T101,S101,R101)*'1. Standard_Cost'!$B$31</f>
        <v>42225</v>
      </c>
      <c r="AF101" s="127">
        <f>SUM(AE101,AD101,AC101,AB101,Y101,U101,T101,S101,R101)</f>
        <v>253350</v>
      </c>
      <c r="AG101" s="126"/>
      <c r="AH101" s="126"/>
      <c r="AI101" s="126"/>
      <c r="AJ101" s="130"/>
      <c r="AK101" s="130"/>
      <c r="AL101" s="130"/>
      <c r="AM101" s="127">
        <f>AG101*'1. Standard_Cost'!$B$27+'Incremental_Cost Year 8'!AH101*'1. Standard_Cost'!$C$27+'Incremental_Cost Year 8'!AI101*'1. Standard_Cost'!$D$27+'Incremental_Cost Year 8'!AJ101+'Incremental_Cost Year 8'!AL101+AK101</f>
        <v>0</v>
      </c>
      <c r="AN101" s="127">
        <f>AM101*'1. Standard_Cost'!$C$31</f>
        <v>0</v>
      </c>
      <c r="AO101" s="130"/>
      <c r="AQ101" s="171">
        <f>L101+M101</f>
        <v>1646870.4</v>
      </c>
      <c r="AR101" s="171">
        <f>AF101</f>
        <v>253350</v>
      </c>
      <c r="AS101" s="171">
        <f>AM101+AN101</f>
        <v>0</v>
      </c>
      <c r="AT101" s="171">
        <f>SUM(AQ101,AR101,AS101)</f>
        <v>1900220.4</v>
      </c>
      <c r="AU101" s="250">
        <v>1900220</v>
      </c>
      <c r="AV101" s="250"/>
      <c r="AW101" s="250"/>
      <c r="AX101" s="250"/>
      <c r="AY101" s="250"/>
      <c r="AZ101" s="250"/>
      <c r="BA101" s="250"/>
      <c r="BB101" s="251">
        <f t="shared" ref="BB101:BB104" si="68">SUM(AU101:BA101)-AT101</f>
        <v>-0.39999999990686774</v>
      </c>
      <c r="BC101" s="169"/>
      <c r="BD101" s="169"/>
      <c r="BE101" s="169"/>
      <c r="BF101" s="169"/>
    </row>
    <row r="102" spans="1:58" ht="61.9" customHeight="1" outlineLevel="2" x14ac:dyDescent="0.25">
      <c r="A102" s="115"/>
      <c r="B102" s="200"/>
      <c r="C102" s="330"/>
      <c r="D102" s="343"/>
      <c r="E102" s="328"/>
      <c r="F102" s="328"/>
      <c r="G102" s="328"/>
      <c r="H102" s="199" t="s">
        <v>434</v>
      </c>
      <c r="I102" s="130" t="s">
        <v>3</v>
      </c>
      <c r="J102" s="126">
        <v>1</v>
      </c>
      <c r="K102" s="126">
        <v>2</v>
      </c>
      <c r="L102" s="125">
        <f>IF(I102&lt;&gt;0,((VLOOKUP(I102,'1. Standard_Cost'!$B$4:$D$11,2)+VLOOKUP(I102,'1. Standard_Cost'!$B$4:$D$11,3))*J102*K102),"0")</f>
        <v>201600</v>
      </c>
      <c r="M102" s="125">
        <f>L102*'1. Standard_Cost'!$F$4</f>
        <v>33667.200000000004</v>
      </c>
      <c r="N102" s="126"/>
      <c r="O102" s="126"/>
      <c r="P102" s="126"/>
      <c r="Q102" s="126"/>
      <c r="R102" s="127">
        <f>'1. Standard_Cost'!$B$15*N102*P102</f>
        <v>0</v>
      </c>
      <c r="S102" s="127">
        <f>N102*O102*P102*'1. Standard_Cost'!$C$15</f>
        <v>0</v>
      </c>
      <c r="T102" s="127">
        <f>N102*P102*Q102*'1. Standard_Cost'!$D$15</f>
        <v>0</v>
      </c>
      <c r="U102" s="127">
        <f>N102*O102*'1. Standard_Cost'!$E$15</f>
        <v>0</v>
      </c>
      <c r="V102" s="126"/>
      <c r="W102" s="126"/>
      <c r="X102" s="126"/>
      <c r="Y102" s="127">
        <f>+V102*((X102*'1. Standard_Cost'!$B$19)+(W102*X102*'1. Standard_Cost'!$C$19))</f>
        <v>0</v>
      </c>
      <c r="Z102" s="126"/>
      <c r="AA102" s="126"/>
      <c r="AB102" s="127">
        <f>+Z102*'1. Standard_Cost'!$B$23+AA102*'1. Standard_Cost'!$C$23</f>
        <v>0</v>
      </c>
      <c r="AC102" s="128">
        <v>28300</v>
      </c>
      <c r="AD102" s="129"/>
      <c r="AE102" s="127">
        <f>SUM(AD102,AC102,AB102,Y102,U102,T102,S102,R102)*'1. Standard_Cost'!$B$31</f>
        <v>5660</v>
      </c>
      <c r="AF102" s="127">
        <f>SUM(AE102,AD102,AC102,AB102,Y102,U102,T102,S102,R102)</f>
        <v>33960</v>
      </c>
      <c r="AG102" s="126"/>
      <c r="AH102" s="126"/>
      <c r="AI102" s="126"/>
      <c r="AJ102" s="130"/>
      <c r="AK102" s="130"/>
      <c r="AL102" s="130"/>
      <c r="AM102" s="127">
        <f>AG102*'1. Standard_Cost'!$B$27+'Incremental_Cost Year 8'!AH102*'1. Standard_Cost'!$C$27+'Incremental_Cost Year 8'!AI102*'1. Standard_Cost'!$D$27+'Incremental_Cost Year 8'!AJ102+'Incremental_Cost Year 8'!AL102+AK102</f>
        <v>0</v>
      </c>
      <c r="AN102" s="127">
        <f>AM102*'1. Standard_Cost'!$C$31</f>
        <v>0</v>
      </c>
      <c r="AO102" s="130"/>
      <c r="AQ102" s="171">
        <f>L102+M102</f>
        <v>235267.20000000001</v>
      </c>
      <c r="AR102" s="171">
        <f>AF102</f>
        <v>33960</v>
      </c>
      <c r="AS102" s="171">
        <f>AM102+AN102</f>
        <v>0</v>
      </c>
      <c r="AT102" s="171">
        <f>SUM(AQ102,AR102,AS102)</f>
        <v>269227.2</v>
      </c>
      <c r="AU102" s="250">
        <v>269227</v>
      </c>
      <c r="AV102" s="250"/>
      <c r="AW102" s="250"/>
      <c r="AX102" s="250"/>
      <c r="AY102" s="250"/>
      <c r="AZ102" s="250"/>
      <c r="BA102" s="250"/>
      <c r="BB102" s="251">
        <f t="shared" si="68"/>
        <v>-0.20000000001164153</v>
      </c>
      <c r="BC102" s="169"/>
      <c r="BD102" s="169"/>
      <c r="BE102" s="169"/>
      <c r="BF102" s="169"/>
    </row>
    <row r="103" spans="1:58" ht="61.9" customHeight="1" outlineLevel="2" x14ac:dyDescent="0.25">
      <c r="A103" s="115"/>
      <c r="B103" s="200"/>
      <c r="C103" s="330"/>
      <c r="D103" s="343"/>
      <c r="E103" s="328"/>
      <c r="F103" s="328"/>
      <c r="G103" s="328"/>
      <c r="H103" s="103" t="s">
        <v>435</v>
      </c>
      <c r="I103" s="130"/>
      <c r="J103" s="126"/>
      <c r="K103" s="126"/>
      <c r="L103" s="125" t="str">
        <f>IF(I103&lt;&gt;0,((VLOOKUP(I103,'1. Standard_Cost'!$B$4:$D$11,2)+VLOOKUP(I103,'1. Standard_Cost'!$B$4:$D$11,3))*J103*K103),"0")</f>
        <v>0</v>
      </c>
      <c r="M103" s="125">
        <f>L103*'1. Standard_Cost'!$F$4</f>
        <v>0</v>
      </c>
      <c r="N103" s="126"/>
      <c r="O103" s="126"/>
      <c r="P103" s="126"/>
      <c r="Q103" s="126"/>
      <c r="R103" s="127">
        <f>'1. Standard_Cost'!$B$15*N103*P103</f>
        <v>0</v>
      </c>
      <c r="S103" s="127">
        <f>N103*O103*P103*'1. Standard_Cost'!$C$15</f>
        <v>0</v>
      </c>
      <c r="T103" s="127">
        <f>N103*P103*Q103*'1. Standard_Cost'!$D$15</f>
        <v>0</v>
      </c>
      <c r="U103" s="127">
        <f>N103*O103*'1. Standard_Cost'!$E$15</f>
        <v>0</v>
      </c>
      <c r="V103" s="126"/>
      <c r="W103" s="126"/>
      <c r="X103" s="126"/>
      <c r="Y103" s="127">
        <f>+V103*((X103*'1. Standard_Cost'!$B$19)+(W103*X103*'1. Standard_Cost'!$C$19))</f>
        <v>0</v>
      </c>
      <c r="Z103" s="126"/>
      <c r="AA103" s="126"/>
      <c r="AB103" s="127">
        <f>+Z103*'1. Standard_Cost'!$B$23+AA103*'1. Standard_Cost'!$C$23</f>
        <v>0</v>
      </c>
      <c r="AC103" s="128"/>
      <c r="AD103" s="129"/>
      <c r="AE103" s="127">
        <f>SUM(AD103,AC103,AB103,Y103,U103,T103,S103,R103)*'1. Standard_Cost'!$B$31</f>
        <v>0</v>
      </c>
      <c r="AF103" s="127">
        <f>SUM(AE103,AD103,AC103,AB103,Y103,U103,T103,S103,R103)</f>
        <v>0</v>
      </c>
      <c r="AG103" s="126"/>
      <c r="AH103" s="126"/>
      <c r="AI103" s="126"/>
      <c r="AJ103" s="130"/>
      <c r="AK103" s="130"/>
      <c r="AL103" s="130"/>
      <c r="AM103" s="127">
        <f>AG103*'1. Standard_Cost'!$B$27+'Incremental_Cost Year 8'!AH103*'1. Standard_Cost'!$C$27+'Incremental_Cost Year 8'!AI103*'1. Standard_Cost'!$D$27+'Incremental_Cost Year 8'!AJ103+'Incremental_Cost Year 8'!AL103+AK103</f>
        <v>0</v>
      </c>
      <c r="AN103" s="127">
        <f>AM103*'1. Standard_Cost'!$C$31</f>
        <v>0</v>
      </c>
      <c r="AO103" s="130"/>
      <c r="AQ103" s="171">
        <f>L103+M103</f>
        <v>0</v>
      </c>
      <c r="AR103" s="171">
        <f>AF103</f>
        <v>0</v>
      </c>
      <c r="AS103" s="171">
        <f>AM103+AN103</f>
        <v>0</v>
      </c>
      <c r="AT103" s="171">
        <f>SUM(AQ103,AR103,AS103)</f>
        <v>0</v>
      </c>
      <c r="AU103" s="250"/>
      <c r="AV103" s="250"/>
      <c r="AW103" s="250"/>
      <c r="AX103" s="250"/>
      <c r="AY103" s="250"/>
      <c r="AZ103" s="250"/>
      <c r="BA103" s="250"/>
      <c r="BB103" s="251">
        <f t="shared" si="68"/>
        <v>0</v>
      </c>
      <c r="BC103" s="169"/>
      <c r="BD103" s="169"/>
      <c r="BE103" s="169"/>
      <c r="BF103" s="169"/>
    </row>
    <row r="104" spans="1:58" ht="61.9" customHeight="1" outlineLevel="2" x14ac:dyDescent="0.25">
      <c r="A104" s="115"/>
      <c r="B104" s="310"/>
      <c r="C104" s="331"/>
      <c r="D104" s="344"/>
      <c r="E104" s="328"/>
      <c r="F104" s="328"/>
      <c r="G104" s="328"/>
      <c r="H104" s="103" t="s">
        <v>436</v>
      </c>
      <c r="I104" s="130" t="s">
        <v>3</v>
      </c>
      <c r="J104" s="126">
        <v>3</v>
      </c>
      <c r="K104" s="126">
        <v>3</v>
      </c>
      <c r="L104" s="125">
        <f>IF(I104&lt;&gt;0,((VLOOKUP(I104,'1. Standard_Cost'!$B$4:$D$11,2)+VLOOKUP(I104,'1. Standard_Cost'!$B$4:$D$11,3))*J104*K104),"0")</f>
        <v>907200</v>
      </c>
      <c r="M104" s="125">
        <f>L104*'1. Standard_Cost'!$F$4</f>
        <v>151502.39999999999</v>
      </c>
      <c r="N104" s="126"/>
      <c r="O104" s="126"/>
      <c r="P104" s="126"/>
      <c r="Q104" s="126"/>
      <c r="R104" s="127">
        <f>'1. Standard_Cost'!$B$15*N104*P104</f>
        <v>0</v>
      </c>
      <c r="S104" s="127">
        <f>N104*O104*P104*'1. Standard_Cost'!$C$15</f>
        <v>0</v>
      </c>
      <c r="T104" s="127">
        <f>N104*P104*Q104*'1. Standard_Cost'!$D$15</f>
        <v>0</v>
      </c>
      <c r="U104" s="127">
        <f>N104*O104*'1. Standard_Cost'!$E$15</f>
        <v>0</v>
      </c>
      <c r="V104" s="126"/>
      <c r="W104" s="126"/>
      <c r="X104" s="126"/>
      <c r="Y104" s="127">
        <f>+V104*((X104*'1. Standard_Cost'!$B$19)+(W104*X104*'1. Standard_Cost'!$C$19))</f>
        <v>0</v>
      </c>
      <c r="Z104" s="126"/>
      <c r="AA104" s="145"/>
      <c r="AB104" s="127">
        <f>+Z104*'1. Standard_Cost'!$B$23+AA104*'1. Standard_Cost'!$C$23</f>
        <v>0</v>
      </c>
      <c r="AC104" s="128">
        <v>120000</v>
      </c>
      <c r="AD104" s="129"/>
      <c r="AE104" s="127">
        <f>SUM(AD104,AC104,AB104,Y104,U104,T104,S104,R104)*'1. Standard_Cost'!$B$31</f>
        <v>24000</v>
      </c>
      <c r="AF104" s="127">
        <f>SUM(AE104,AD104,AC104,AB104,Y104,U104,T104,S104,R104)</f>
        <v>144000</v>
      </c>
      <c r="AG104" s="126"/>
      <c r="AH104" s="126"/>
      <c r="AI104" s="126"/>
      <c r="AJ104" s="130"/>
      <c r="AK104" s="130"/>
      <c r="AL104" s="130"/>
      <c r="AM104" s="127">
        <f>AG104*'1. Standard_Cost'!$B$27+'Incremental_Cost Year 8'!AH104*'1. Standard_Cost'!$C$27+'Incremental_Cost Year 8'!AI104*'1. Standard_Cost'!$D$27+'Incremental_Cost Year 8'!AJ104+'Incremental_Cost Year 8'!AL104+AK104</f>
        <v>0</v>
      </c>
      <c r="AN104" s="127">
        <f>AM104*'1. Standard_Cost'!$C$31</f>
        <v>0</v>
      </c>
      <c r="AO104" s="262"/>
      <c r="AQ104" s="171">
        <f>L104+M104</f>
        <v>1058702.3999999999</v>
      </c>
      <c r="AR104" s="171">
        <f>AF104</f>
        <v>144000</v>
      </c>
      <c r="AS104" s="171">
        <f>AM104+AN104</f>
        <v>0</v>
      </c>
      <c r="AT104" s="171">
        <f>SUM(AQ104,AR104,AS104)</f>
        <v>1202702.3999999999</v>
      </c>
      <c r="AU104" s="250">
        <v>1202702</v>
      </c>
      <c r="AV104" s="250"/>
      <c r="AW104" s="250"/>
      <c r="AX104" s="250"/>
      <c r="AY104" s="250"/>
      <c r="AZ104" s="250"/>
      <c r="BA104" s="250"/>
      <c r="BB104" s="251">
        <f t="shared" si="68"/>
        <v>-0.39999999990686774</v>
      </c>
      <c r="BC104" s="169"/>
      <c r="BD104" s="169"/>
      <c r="BE104" s="169"/>
      <c r="BF104" s="169"/>
    </row>
    <row r="105" spans="1:58" ht="61.9" customHeight="1" outlineLevel="1" x14ac:dyDescent="0.25">
      <c r="A105" s="115"/>
      <c r="B105" s="165"/>
      <c r="C105" s="166"/>
      <c r="D105" s="229" t="s">
        <v>432</v>
      </c>
      <c r="E105" s="212" t="s">
        <v>275</v>
      </c>
      <c r="F105" s="136">
        <v>2023</v>
      </c>
      <c r="G105" s="117">
        <v>2030</v>
      </c>
      <c r="H105" s="110" t="s">
        <v>177</v>
      </c>
      <c r="I105" s="252"/>
      <c r="J105" s="252"/>
      <c r="K105" s="252"/>
      <c r="L105" s="127">
        <f>SUM(L101:L104)</f>
        <v>2520000</v>
      </c>
      <c r="M105" s="127">
        <f>SUM(M101:M104)</f>
        <v>420840</v>
      </c>
      <c r="N105" s="127"/>
      <c r="O105" s="252"/>
      <c r="P105" s="252"/>
      <c r="Q105" s="252"/>
      <c r="R105" s="127">
        <f>SUM(R101:R104)</f>
        <v>0</v>
      </c>
      <c r="S105" s="127">
        <f>SUM(S101:S104)</f>
        <v>0</v>
      </c>
      <c r="T105" s="127">
        <f>SUM(T101:T104)</f>
        <v>0</v>
      </c>
      <c r="U105" s="127">
        <f>SUM(U101:U104)</f>
        <v>0</v>
      </c>
      <c r="V105" s="252"/>
      <c r="W105" s="252"/>
      <c r="X105" s="252"/>
      <c r="Y105" s="127">
        <f>SUM(Y101:Y104)</f>
        <v>0</v>
      </c>
      <c r="Z105" s="252"/>
      <c r="AA105" s="252"/>
      <c r="AB105" s="127">
        <f>SUM(AB101:AB104)</f>
        <v>0</v>
      </c>
      <c r="AC105" s="127">
        <f>SUM(AC101:AC104)</f>
        <v>359425</v>
      </c>
      <c r="AD105" s="127">
        <f>SUM(AD101:AD104)</f>
        <v>0</v>
      </c>
      <c r="AE105" s="127">
        <f>SUM(AE101:AE104)</f>
        <v>71885</v>
      </c>
      <c r="AF105" s="127">
        <f>SUM(AF101:AF104)</f>
        <v>431310</v>
      </c>
      <c r="AG105" s="252"/>
      <c r="AH105" s="252"/>
      <c r="AI105" s="252"/>
      <c r="AJ105" s="127">
        <f t="shared" ref="AJ105:AL105" si="69">SUM(AJ101:AJ104)</f>
        <v>0</v>
      </c>
      <c r="AK105" s="127">
        <f t="shared" si="69"/>
        <v>0</v>
      </c>
      <c r="AL105" s="127">
        <f t="shared" si="69"/>
        <v>0</v>
      </c>
      <c r="AM105" s="127">
        <f t="shared" ref="AM105:AN105" si="70">SUM(AM101:AM104)</f>
        <v>0</v>
      </c>
      <c r="AN105" s="127">
        <f t="shared" si="70"/>
        <v>0</v>
      </c>
      <c r="AO105" s="253"/>
      <c r="AP105" s="254"/>
      <c r="AQ105" s="175">
        <f>SUM(AQ101:AQ104)</f>
        <v>2940840</v>
      </c>
      <c r="AR105" s="175">
        <f>SUM(AR101:AR104)</f>
        <v>431310</v>
      </c>
      <c r="AS105" s="175">
        <f>SUM(AS101:AS104)</f>
        <v>0</v>
      </c>
      <c r="AT105" s="175">
        <f>SUM(AT101:AT104)</f>
        <v>3372150</v>
      </c>
      <c r="AU105" s="175">
        <f t="shared" ref="AU105:BB105" si="71">SUM(AU101:AU104)</f>
        <v>3372149</v>
      </c>
      <c r="AV105" s="175">
        <f t="shared" si="71"/>
        <v>0</v>
      </c>
      <c r="AW105" s="175">
        <f t="shared" si="71"/>
        <v>0</v>
      </c>
      <c r="AX105" s="175">
        <f t="shared" si="71"/>
        <v>0</v>
      </c>
      <c r="AY105" s="175">
        <f t="shared" si="71"/>
        <v>0</v>
      </c>
      <c r="AZ105" s="175">
        <f t="shared" si="71"/>
        <v>0</v>
      </c>
      <c r="BA105" s="175">
        <f t="shared" si="71"/>
        <v>0</v>
      </c>
      <c r="BB105" s="175">
        <f t="shared" si="71"/>
        <v>-0.99999999982537702</v>
      </c>
      <c r="BC105" s="169"/>
      <c r="BD105" s="169"/>
      <c r="BE105" s="169"/>
      <c r="BF105" s="169"/>
    </row>
    <row r="106" spans="1:58" s="184" customFormat="1" ht="61.9" customHeight="1" x14ac:dyDescent="0.25">
      <c r="A106" s="143"/>
      <c r="B106" s="290"/>
      <c r="C106" s="391" t="s">
        <v>276</v>
      </c>
      <c r="D106" s="391"/>
      <c r="E106" s="392"/>
      <c r="F106" s="291"/>
      <c r="G106" s="291"/>
      <c r="H106" s="144" t="s">
        <v>258</v>
      </c>
      <c r="I106" s="257"/>
      <c r="J106" s="257"/>
      <c r="K106" s="257"/>
      <c r="L106" s="258">
        <f>SUM(L110)</f>
        <v>1655900</v>
      </c>
      <c r="M106" s="258">
        <f>SUM(M110)</f>
        <v>276535.3</v>
      </c>
      <c r="N106" s="257"/>
      <c r="O106" s="257"/>
      <c r="P106" s="257"/>
      <c r="Q106" s="257"/>
      <c r="R106" s="258">
        <f>SUM(R110)</f>
        <v>0</v>
      </c>
      <c r="S106" s="258">
        <f>SUM(S110)</f>
        <v>0</v>
      </c>
      <c r="T106" s="258">
        <f>SUM(T110)</f>
        <v>0</v>
      </c>
      <c r="U106" s="258">
        <f>SUM(U110)</f>
        <v>0</v>
      </c>
      <c r="V106" s="257"/>
      <c r="W106" s="257"/>
      <c r="X106" s="257"/>
      <c r="Y106" s="258">
        <f>SUM(Y110)</f>
        <v>0</v>
      </c>
      <c r="Z106" s="258"/>
      <c r="AA106" s="258"/>
      <c r="AB106" s="258">
        <f>SUM(AB110)</f>
        <v>1140000</v>
      </c>
      <c r="AC106" s="258">
        <f>SUM(AC110)</f>
        <v>253100</v>
      </c>
      <c r="AD106" s="258">
        <f>SUM(AD110)</f>
        <v>0</v>
      </c>
      <c r="AE106" s="258">
        <f>SUM(AE110)</f>
        <v>278620</v>
      </c>
      <c r="AF106" s="258">
        <f>SUM(AF110)</f>
        <v>1671720</v>
      </c>
      <c r="AG106" s="257"/>
      <c r="AH106" s="257"/>
      <c r="AI106" s="257"/>
      <c r="AJ106" s="258">
        <f>SUM(AJ110)</f>
        <v>0</v>
      </c>
      <c r="AK106" s="258">
        <f>SUM(AK110)</f>
        <v>0</v>
      </c>
      <c r="AL106" s="258">
        <f>SUM(AL110)</f>
        <v>0</v>
      </c>
      <c r="AM106" s="258">
        <f>SUM(AM110)</f>
        <v>0</v>
      </c>
      <c r="AN106" s="258">
        <f>SUM(AN110)</f>
        <v>0</v>
      </c>
      <c r="AO106" s="259"/>
      <c r="AP106" s="260"/>
      <c r="AQ106" s="261">
        <f>SUM(AQ110)</f>
        <v>1932435.3</v>
      </c>
      <c r="AR106" s="261">
        <f>SUM(AR110)</f>
        <v>1671720</v>
      </c>
      <c r="AS106" s="261">
        <f>SUM(AS110)</f>
        <v>0</v>
      </c>
      <c r="AT106" s="261">
        <f>SUM(AT110)</f>
        <v>3604155.3</v>
      </c>
      <c r="AU106" s="261">
        <f t="shared" ref="AU106:BA106" si="72">SUM(AU110)</f>
        <v>2236156</v>
      </c>
      <c r="AV106" s="261">
        <f t="shared" si="72"/>
        <v>0</v>
      </c>
      <c r="AW106" s="261">
        <f t="shared" si="72"/>
        <v>0</v>
      </c>
      <c r="AX106" s="261">
        <f t="shared" si="72"/>
        <v>0</v>
      </c>
      <c r="AY106" s="261">
        <f t="shared" si="72"/>
        <v>0</v>
      </c>
      <c r="AZ106" s="261">
        <f t="shared" si="72"/>
        <v>0</v>
      </c>
      <c r="BA106" s="261">
        <f t="shared" si="72"/>
        <v>0</v>
      </c>
      <c r="BB106" s="261">
        <f>SUM(BB110)</f>
        <v>-1367999.3</v>
      </c>
    </row>
    <row r="107" spans="1:58" ht="61.9" customHeight="1" outlineLevel="2" x14ac:dyDescent="0.25">
      <c r="A107" s="115"/>
      <c r="B107" s="200"/>
      <c r="C107" s="201"/>
      <c r="D107" s="202"/>
      <c r="E107" s="226"/>
      <c r="F107" s="306"/>
      <c r="G107" s="307"/>
      <c r="H107" s="199" t="s">
        <v>437</v>
      </c>
      <c r="I107" s="130" t="s">
        <v>5</v>
      </c>
      <c r="J107" s="126">
        <v>2</v>
      </c>
      <c r="K107" s="126">
        <v>1</v>
      </c>
      <c r="L107" s="125">
        <f>IF(I107&lt;&gt;0,((VLOOKUP(I107,'1. Standard_Cost'!$B$4:$D$11,2)+VLOOKUP(I107,'1. Standard_Cost'!$B$4:$D$11,3))*J107*K107),"0")</f>
        <v>141400</v>
      </c>
      <c r="M107" s="125">
        <f>L107*'1. Standard_Cost'!$F$4</f>
        <v>23613.800000000003</v>
      </c>
      <c r="N107" s="126"/>
      <c r="O107" s="126"/>
      <c r="P107" s="126"/>
      <c r="Q107" s="126"/>
      <c r="R107" s="127">
        <f>'1. Standard_Cost'!$B$15*N107*P107</f>
        <v>0</v>
      </c>
      <c r="S107" s="127">
        <f>N107*O107*P107*'1. Standard_Cost'!$C$15</f>
        <v>0</v>
      </c>
      <c r="T107" s="127">
        <f>N107*P107*Q107*'1. Standard_Cost'!$D$15</f>
        <v>0</v>
      </c>
      <c r="U107" s="127">
        <f>N107*O107*'1. Standard_Cost'!$E$15</f>
        <v>0</v>
      </c>
      <c r="V107" s="126"/>
      <c r="W107" s="126"/>
      <c r="X107" s="126"/>
      <c r="Y107" s="127">
        <f>+V107*((X107*'1. Standard_Cost'!$B$19)+(W107*X107*'1. Standard_Cost'!$C$19))</f>
        <v>0</v>
      </c>
      <c r="Z107" s="126"/>
      <c r="AA107" s="126">
        <v>40</v>
      </c>
      <c r="AB107" s="127">
        <f>+Z107*'1. Standard_Cost'!$B$23+AA107*'1. Standard_Cost'!$C$23</f>
        <v>760000</v>
      </c>
      <c r="AC107" s="128">
        <v>20000</v>
      </c>
      <c r="AD107" s="129"/>
      <c r="AE107" s="127">
        <f>SUM(AD107,AC107,AB107,Y107,U107,T107,S107,R107)*'1. Standard_Cost'!$B$31</f>
        <v>156000</v>
      </c>
      <c r="AF107" s="127">
        <f>SUM(AE107,AD107,AC107,AB107,Y107,U107,T107,S107,R107)</f>
        <v>936000</v>
      </c>
      <c r="AG107" s="126"/>
      <c r="AH107" s="126"/>
      <c r="AI107" s="126"/>
      <c r="AJ107" s="130"/>
      <c r="AK107" s="130"/>
      <c r="AL107" s="130"/>
      <c r="AM107" s="127">
        <f>AG107*'1. Standard_Cost'!$B$27+'Incremental_Cost Year 8'!AH107*'1. Standard_Cost'!$C$27+'Incremental_Cost Year 8'!AI107*'1. Standard_Cost'!$D$27+'Incremental_Cost Year 8'!AJ107+'Incremental_Cost Year 8'!AL107+AK107</f>
        <v>0</v>
      </c>
      <c r="AN107" s="127">
        <f>AM107*'1. Standard_Cost'!$C$31</f>
        <v>0</v>
      </c>
      <c r="AO107" s="130"/>
      <c r="AQ107" s="171">
        <f>L107+M107</f>
        <v>165013.79999999999</v>
      </c>
      <c r="AR107" s="171">
        <f>AF107</f>
        <v>936000</v>
      </c>
      <c r="AS107" s="171">
        <f>AM107+AN107</f>
        <v>0</v>
      </c>
      <c r="AT107" s="171">
        <f>SUM(AQ107,AR107,AS107)</f>
        <v>1101013.8</v>
      </c>
      <c r="AU107" s="250">
        <v>189014</v>
      </c>
      <c r="AV107" s="250"/>
      <c r="AW107" s="250"/>
      <c r="AX107" s="250"/>
      <c r="AY107" s="250"/>
      <c r="AZ107" s="250"/>
      <c r="BA107" s="250"/>
      <c r="BB107" s="251">
        <f t="shared" ref="BB107:BB109" si="73">SUM(AU107:BA107)-AT107</f>
        <v>-911999.8</v>
      </c>
      <c r="BC107" s="169"/>
      <c r="BD107" s="169"/>
      <c r="BE107" s="169"/>
      <c r="BF107" s="169"/>
    </row>
    <row r="108" spans="1:58" ht="61.9" customHeight="1" outlineLevel="2" x14ac:dyDescent="0.25">
      <c r="A108" s="115"/>
      <c r="B108" s="200"/>
      <c r="C108" s="201"/>
      <c r="D108" s="202"/>
      <c r="E108" s="202"/>
      <c r="F108" s="308"/>
      <c r="G108" s="309"/>
      <c r="H108" s="199" t="s">
        <v>438</v>
      </c>
      <c r="I108" s="130" t="s">
        <v>4</v>
      </c>
      <c r="J108" s="126">
        <v>2</v>
      </c>
      <c r="K108" s="126">
        <v>5</v>
      </c>
      <c r="L108" s="125">
        <f>IF(I108&lt;&gt;0,((VLOOKUP(I108,'1. Standard_Cost'!$B$4:$D$11,2)+VLOOKUP(I108,'1. Standard_Cost'!$B$4:$D$11,3))*J108*K108),"0")</f>
        <v>807500</v>
      </c>
      <c r="M108" s="125">
        <f>L108*'1. Standard_Cost'!$F$4</f>
        <v>134852.5</v>
      </c>
      <c r="N108" s="126"/>
      <c r="O108" s="126"/>
      <c r="P108" s="126"/>
      <c r="Q108" s="126"/>
      <c r="R108" s="127">
        <f>'1. Standard_Cost'!$B$15*N108*P108</f>
        <v>0</v>
      </c>
      <c r="S108" s="127">
        <f>N108*O108*P108*'1. Standard_Cost'!$C$15</f>
        <v>0</v>
      </c>
      <c r="T108" s="127">
        <f>N108*P108*Q108*'1. Standard_Cost'!$D$15</f>
        <v>0</v>
      </c>
      <c r="U108" s="127">
        <f>N108*O108*'1. Standard_Cost'!$E$15</f>
        <v>0</v>
      </c>
      <c r="V108" s="126"/>
      <c r="W108" s="126"/>
      <c r="X108" s="126"/>
      <c r="Y108" s="127">
        <f>+V108*((X108*'1. Standard_Cost'!$B$19)+(W108*X108*'1. Standard_Cost'!$C$19))</f>
        <v>0</v>
      </c>
      <c r="Z108" s="126"/>
      <c r="AA108" s="126">
        <v>20</v>
      </c>
      <c r="AB108" s="127">
        <f>+Z108*'1. Standard_Cost'!$B$23+AA108*'1. Standard_Cost'!$C$23</f>
        <v>380000</v>
      </c>
      <c r="AC108" s="128">
        <v>113100</v>
      </c>
      <c r="AD108" s="129"/>
      <c r="AE108" s="127">
        <f>SUM(AD108,AC108,AB108,Y108,U108,T108,S108,R108)*'1. Standard_Cost'!$B$31</f>
        <v>98620</v>
      </c>
      <c r="AF108" s="127">
        <f>SUM(AE108,AD108,AC108,AB108,Y108,U108,T108,S108,R108)</f>
        <v>591720</v>
      </c>
      <c r="AG108" s="126"/>
      <c r="AH108" s="126"/>
      <c r="AI108" s="126"/>
      <c r="AJ108" s="130"/>
      <c r="AK108" s="130"/>
      <c r="AL108" s="130"/>
      <c r="AM108" s="127">
        <f>AG108*'1. Standard_Cost'!$B$27+'Incremental_Cost Year 8'!AH108*'1. Standard_Cost'!$C$27+'Incremental_Cost Year 8'!AI108*'1. Standard_Cost'!$D$27+'Incremental_Cost Year 8'!AJ108+'Incremental_Cost Year 8'!AL108+AK108</f>
        <v>0</v>
      </c>
      <c r="AN108" s="127">
        <f>AM108*'1. Standard_Cost'!$C$31</f>
        <v>0</v>
      </c>
      <c r="AO108" s="130"/>
      <c r="AQ108" s="171">
        <f>L108+M108</f>
        <v>942352.5</v>
      </c>
      <c r="AR108" s="171">
        <f>AF108</f>
        <v>591720</v>
      </c>
      <c r="AS108" s="171">
        <f>AM108+AN108</f>
        <v>0</v>
      </c>
      <c r="AT108" s="171">
        <f>SUM(AQ108,AR108,AS108)</f>
        <v>1534072.5</v>
      </c>
      <c r="AU108" s="250">
        <v>1078073</v>
      </c>
      <c r="AV108" s="250"/>
      <c r="AW108" s="250"/>
      <c r="AX108" s="250"/>
      <c r="AY108" s="250"/>
      <c r="AZ108" s="250"/>
      <c r="BA108" s="250"/>
      <c r="BB108" s="251">
        <f t="shared" si="73"/>
        <v>-455999.5</v>
      </c>
      <c r="BC108" s="169"/>
      <c r="BD108" s="169"/>
      <c r="BE108" s="169"/>
      <c r="BF108" s="169"/>
    </row>
    <row r="109" spans="1:58" ht="61.9" customHeight="1" outlineLevel="2" x14ac:dyDescent="0.25">
      <c r="A109" s="115"/>
      <c r="B109" s="200"/>
      <c r="C109" s="201"/>
      <c r="D109" s="202"/>
      <c r="E109" s="310"/>
      <c r="F109" s="311"/>
      <c r="G109" s="312"/>
      <c r="H109" s="199" t="s">
        <v>439</v>
      </c>
      <c r="I109" s="130" t="s">
        <v>5</v>
      </c>
      <c r="J109" s="126">
        <v>2</v>
      </c>
      <c r="K109" s="126">
        <v>5</v>
      </c>
      <c r="L109" s="125">
        <f>IF(I109&lt;&gt;0,((VLOOKUP(I109,'1. Standard_Cost'!$B$4:$D$11,2)+VLOOKUP(I109,'1. Standard_Cost'!$B$4:$D$11,3))*J109*K109),"0")</f>
        <v>707000</v>
      </c>
      <c r="M109" s="125">
        <f>L109*'1. Standard_Cost'!$F$4</f>
        <v>118069</v>
      </c>
      <c r="N109" s="126"/>
      <c r="O109" s="126"/>
      <c r="P109" s="126"/>
      <c r="Q109" s="126"/>
      <c r="R109" s="127">
        <f>'1. Standard_Cost'!$B$15*N109*P109</f>
        <v>0</v>
      </c>
      <c r="S109" s="127">
        <f>N109*O109*P109*'1. Standard_Cost'!$C$15</f>
        <v>0</v>
      </c>
      <c r="T109" s="127">
        <f>N109*P109*Q109*'1. Standard_Cost'!$D$15</f>
        <v>0</v>
      </c>
      <c r="U109" s="127">
        <f>N109*O109*'1. Standard_Cost'!$E$15</f>
        <v>0</v>
      </c>
      <c r="V109" s="126"/>
      <c r="W109" s="126"/>
      <c r="X109" s="126"/>
      <c r="Y109" s="127">
        <f>+V109*((X109*'1. Standard_Cost'!$B$19)+(W109*X109*'1. Standard_Cost'!$C$19))</f>
        <v>0</v>
      </c>
      <c r="Z109" s="126"/>
      <c r="AA109" s="126"/>
      <c r="AB109" s="127">
        <f>+Z109*'1. Standard_Cost'!$B$23+AA109*'1. Standard_Cost'!$C$23</f>
        <v>0</v>
      </c>
      <c r="AC109" s="128">
        <v>120000</v>
      </c>
      <c r="AD109" s="129"/>
      <c r="AE109" s="127">
        <f>SUM(AD109,AC109,AB109,Y109,U109,T109,S109,R109)*'1. Standard_Cost'!$B$31</f>
        <v>24000</v>
      </c>
      <c r="AF109" s="127">
        <f>SUM(AE109,AD109,AC109,AB109,Y109,U109,T109,S109,R109)</f>
        <v>144000</v>
      </c>
      <c r="AG109" s="126"/>
      <c r="AH109" s="126"/>
      <c r="AI109" s="126"/>
      <c r="AJ109" s="130"/>
      <c r="AK109" s="130"/>
      <c r="AL109" s="130"/>
      <c r="AM109" s="127">
        <f>AG109*'1. Standard_Cost'!$B$27+'Incremental_Cost Year 8'!AH109*'1. Standard_Cost'!$C$27+'Incremental_Cost Year 8'!AI109*'1. Standard_Cost'!$D$27+'Incremental_Cost Year 8'!AJ109+'Incremental_Cost Year 8'!AL109+AK109</f>
        <v>0</v>
      </c>
      <c r="AN109" s="127">
        <f>AM109*'1. Standard_Cost'!$C$31</f>
        <v>0</v>
      </c>
      <c r="AO109" s="130"/>
      <c r="AQ109" s="171">
        <f>L109+M109</f>
        <v>825069</v>
      </c>
      <c r="AR109" s="171">
        <f>AF109</f>
        <v>144000</v>
      </c>
      <c r="AS109" s="171">
        <f>AM109+AN109</f>
        <v>0</v>
      </c>
      <c r="AT109" s="171">
        <f>SUM(AQ109,AR109,AS109)</f>
        <v>969069</v>
      </c>
      <c r="AU109" s="250">
        <v>969069</v>
      </c>
      <c r="AV109" s="250"/>
      <c r="AW109" s="250"/>
      <c r="AX109" s="250"/>
      <c r="AY109" s="250"/>
      <c r="AZ109" s="250"/>
      <c r="BA109" s="250"/>
      <c r="BB109" s="251">
        <f t="shared" si="73"/>
        <v>0</v>
      </c>
      <c r="BC109" s="169"/>
      <c r="BD109" s="169"/>
      <c r="BE109" s="169"/>
      <c r="BF109" s="169"/>
    </row>
    <row r="110" spans="1:58" ht="61.9" customHeight="1" outlineLevel="1" x14ac:dyDescent="0.25">
      <c r="A110" s="115"/>
      <c r="B110" s="200"/>
      <c r="C110" s="201"/>
      <c r="D110" s="227" t="s">
        <v>432</v>
      </c>
      <c r="E110" s="226" t="s">
        <v>275</v>
      </c>
      <c r="F110" s="136">
        <v>2025</v>
      </c>
      <c r="G110" s="117">
        <v>2030</v>
      </c>
      <c r="H110" s="110" t="s">
        <v>277</v>
      </c>
      <c r="I110" s="252"/>
      <c r="J110" s="252"/>
      <c r="K110" s="252"/>
      <c r="L110" s="127">
        <f>SUM(L107:L109)</f>
        <v>1655900</v>
      </c>
      <c r="M110" s="127">
        <f>SUM(M107:M109)</f>
        <v>276535.3</v>
      </c>
      <c r="N110" s="127"/>
      <c r="O110" s="252"/>
      <c r="P110" s="252"/>
      <c r="Q110" s="252"/>
      <c r="R110" s="127">
        <f>SUM(R107:R109)</f>
        <v>0</v>
      </c>
      <c r="S110" s="127">
        <f>SUM(S107:S109)</f>
        <v>0</v>
      </c>
      <c r="T110" s="127">
        <f>SUM(T107:T109)</f>
        <v>0</v>
      </c>
      <c r="U110" s="127">
        <f>SUM(U107:U109)</f>
        <v>0</v>
      </c>
      <c r="V110" s="252"/>
      <c r="W110" s="252"/>
      <c r="X110" s="252"/>
      <c r="Y110" s="127">
        <f>SUM(Y107:Y109)</f>
        <v>0</v>
      </c>
      <c r="Z110" s="252"/>
      <c r="AA110" s="252"/>
      <c r="AB110" s="127">
        <f>SUM(AB107:AB109)</f>
        <v>1140000</v>
      </c>
      <c r="AC110" s="127">
        <f>SUM(AC107:AC109)</f>
        <v>253100</v>
      </c>
      <c r="AD110" s="127">
        <f>SUM(AD107:AD109)</f>
        <v>0</v>
      </c>
      <c r="AE110" s="127">
        <f>SUM(AE107:AE109)</f>
        <v>278620</v>
      </c>
      <c r="AF110" s="127">
        <f>SUM(AF107:AF109)</f>
        <v>1671720</v>
      </c>
      <c r="AG110" s="252"/>
      <c r="AH110" s="252"/>
      <c r="AI110" s="252"/>
      <c r="AJ110" s="127">
        <f>SUM(AJ107:AJ109)</f>
        <v>0</v>
      </c>
      <c r="AK110" s="127">
        <f>SUM(AK107:AK109)</f>
        <v>0</v>
      </c>
      <c r="AL110" s="127">
        <f>SUM(AL107:AL109)</f>
        <v>0</v>
      </c>
      <c r="AM110" s="127">
        <f>SUM(AM107:AM109)</f>
        <v>0</v>
      </c>
      <c r="AN110" s="127">
        <f>SUM(AN107:AN109)</f>
        <v>0</v>
      </c>
      <c r="AO110" s="253"/>
      <c r="AP110" s="254"/>
      <c r="AQ110" s="175">
        <f>SUM(AQ107:AQ109)</f>
        <v>1932435.3</v>
      </c>
      <c r="AR110" s="175">
        <f>SUM(AR107:AR109)</f>
        <v>1671720</v>
      </c>
      <c r="AS110" s="175">
        <f>SUM(AS107:AS109)</f>
        <v>0</v>
      </c>
      <c r="AT110" s="175">
        <f>SUM(AT107:AT109)</f>
        <v>3604155.3</v>
      </c>
      <c r="AU110" s="175">
        <f t="shared" ref="AU110:BB110" si="74">SUM(AU107:AU109)</f>
        <v>2236156</v>
      </c>
      <c r="AV110" s="175">
        <f t="shared" si="74"/>
        <v>0</v>
      </c>
      <c r="AW110" s="175">
        <f t="shared" si="74"/>
        <v>0</v>
      </c>
      <c r="AX110" s="175">
        <f t="shared" si="74"/>
        <v>0</v>
      </c>
      <c r="AY110" s="175">
        <f t="shared" si="74"/>
        <v>0</v>
      </c>
      <c r="AZ110" s="175">
        <f t="shared" si="74"/>
        <v>0</v>
      </c>
      <c r="BA110" s="175">
        <f t="shared" si="74"/>
        <v>0</v>
      </c>
      <c r="BB110" s="175">
        <f t="shared" si="74"/>
        <v>-1367999.3</v>
      </c>
      <c r="BC110" s="169"/>
      <c r="BD110" s="169"/>
      <c r="BE110" s="169"/>
      <c r="BF110" s="169"/>
    </row>
    <row r="111" spans="1:58" s="184" customFormat="1" ht="61.9" customHeight="1" x14ac:dyDescent="0.25">
      <c r="A111" s="143"/>
      <c r="B111" s="290"/>
      <c r="C111" s="391" t="s">
        <v>278</v>
      </c>
      <c r="D111" s="391"/>
      <c r="E111" s="392"/>
      <c r="F111" s="291"/>
      <c r="G111" s="291"/>
      <c r="H111" s="144" t="s">
        <v>262</v>
      </c>
      <c r="I111" s="257"/>
      <c r="J111" s="257"/>
      <c r="K111" s="257"/>
      <c r="L111" s="258">
        <f>SUM(L117)</f>
        <v>2562100</v>
      </c>
      <c r="M111" s="258">
        <f>SUM(M117)</f>
        <v>427870.7</v>
      </c>
      <c r="N111" s="257"/>
      <c r="O111" s="257"/>
      <c r="P111" s="257"/>
      <c r="Q111" s="257"/>
      <c r="R111" s="258">
        <f>SUM(R117)</f>
        <v>0</v>
      </c>
      <c r="S111" s="258">
        <f>SUM(S117)</f>
        <v>0</v>
      </c>
      <c r="T111" s="258">
        <f>SUM(T117)</f>
        <v>0</v>
      </c>
      <c r="U111" s="258">
        <f>SUM(U117)</f>
        <v>0</v>
      </c>
      <c r="V111" s="257"/>
      <c r="W111" s="257"/>
      <c r="X111" s="257"/>
      <c r="Y111" s="258">
        <f>SUM(Y117)</f>
        <v>0</v>
      </c>
      <c r="Z111" s="258"/>
      <c r="AA111" s="258"/>
      <c r="AB111" s="258">
        <f>SUM(AB117)</f>
        <v>475000</v>
      </c>
      <c r="AC111" s="258">
        <f>SUM(AC117)</f>
        <v>358920</v>
      </c>
      <c r="AD111" s="258">
        <f>SUM(AD117)</f>
        <v>0</v>
      </c>
      <c r="AE111" s="258">
        <f>SUM(AE117)</f>
        <v>166784</v>
      </c>
      <c r="AF111" s="258">
        <f>SUM(AF117)</f>
        <v>1000704</v>
      </c>
      <c r="AG111" s="257"/>
      <c r="AH111" s="257"/>
      <c r="AI111" s="257"/>
      <c r="AJ111" s="258">
        <f>SUM(AJ117)</f>
        <v>0</v>
      </c>
      <c r="AK111" s="258">
        <f>SUM(AK117)</f>
        <v>0</v>
      </c>
      <c r="AL111" s="258">
        <f>SUM(AL117)</f>
        <v>0</v>
      </c>
      <c r="AM111" s="258">
        <f>SUM(AM117)</f>
        <v>0</v>
      </c>
      <c r="AN111" s="258">
        <f>SUM(AN117)</f>
        <v>0</v>
      </c>
      <c r="AO111" s="259"/>
      <c r="AP111" s="260"/>
      <c r="AQ111" s="261">
        <f>SUM(AQ117)</f>
        <v>2989970.7</v>
      </c>
      <c r="AR111" s="261">
        <f>SUM(AR117)</f>
        <v>1000704</v>
      </c>
      <c r="AS111" s="261">
        <f>SUM(AS117)</f>
        <v>0</v>
      </c>
      <c r="AT111" s="261">
        <f>SUM(AT117)</f>
        <v>3990674.7</v>
      </c>
      <c r="AU111" s="261">
        <f t="shared" ref="AU111:BA111" si="75">SUM(AU117)</f>
        <v>3420675</v>
      </c>
      <c r="AV111" s="261">
        <f t="shared" si="75"/>
        <v>0</v>
      </c>
      <c r="AW111" s="261">
        <f t="shared" si="75"/>
        <v>0</v>
      </c>
      <c r="AX111" s="261">
        <f t="shared" si="75"/>
        <v>0</v>
      </c>
      <c r="AY111" s="261">
        <f t="shared" si="75"/>
        <v>0</v>
      </c>
      <c r="AZ111" s="261">
        <f t="shared" si="75"/>
        <v>0</v>
      </c>
      <c r="BA111" s="261">
        <f t="shared" si="75"/>
        <v>0</v>
      </c>
      <c r="BB111" s="261">
        <f>SUM(BB117)</f>
        <v>-569999.69999999995</v>
      </c>
    </row>
    <row r="112" spans="1:58" ht="61.9" customHeight="1" outlineLevel="2" x14ac:dyDescent="0.25">
      <c r="A112" s="115"/>
      <c r="B112" s="200"/>
      <c r="C112" s="201"/>
      <c r="D112" s="210"/>
      <c r="E112" s="321"/>
      <c r="F112" s="306"/>
      <c r="G112" s="307"/>
      <c r="H112" s="199" t="s">
        <v>440</v>
      </c>
      <c r="I112" s="130" t="s">
        <v>2</v>
      </c>
      <c r="J112" s="126">
        <v>1</v>
      </c>
      <c r="K112" s="126">
        <v>6</v>
      </c>
      <c r="L112" s="125">
        <f>IF(I112&lt;&gt;0,((VLOOKUP(I112,'1. Standard_Cost'!$B$4:$D$11,2)+VLOOKUP(I112,'1. Standard_Cost'!$B$4:$D$11,3))*J112*K112),"0")</f>
        <v>726000</v>
      </c>
      <c r="M112" s="125">
        <f>L112*'1. Standard_Cost'!$F$4</f>
        <v>121242</v>
      </c>
      <c r="N112" s="126"/>
      <c r="O112" s="126"/>
      <c r="P112" s="126"/>
      <c r="Q112" s="126"/>
      <c r="R112" s="127">
        <f>'1. Standard_Cost'!$B$15*N112*P112</f>
        <v>0</v>
      </c>
      <c r="S112" s="127">
        <f>N112*O112*P112*'1. Standard_Cost'!$C$15</f>
        <v>0</v>
      </c>
      <c r="T112" s="127">
        <f>N112*P112*Q112*'1. Standard_Cost'!$D$15</f>
        <v>0</v>
      </c>
      <c r="U112" s="127">
        <f>N112*O112*'1. Standard_Cost'!$E$15</f>
        <v>0</v>
      </c>
      <c r="V112" s="126"/>
      <c r="W112" s="126"/>
      <c r="X112" s="126"/>
      <c r="Y112" s="127">
        <f>+V112*((X112*'1. Standard_Cost'!$B$19)+(W112*X112*'1. Standard_Cost'!$C$19))</f>
        <v>0</v>
      </c>
      <c r="Z112" s="126"/>
      <c r="AA112" s="126"/>
      <c r="AB112" s="127">
        <f>+Z112*'1. Standard_Cost'!$B$23+AA112*'1. Standard_Cost'!$C$23</f>
        <v>0</v>
      </c>
      <c r="AC112" s="128">
        <v>101700</v>
      </c>
      <c r="AD112" s="129"/>
      <c r="AE112" s="127">
        <f>SUM(AD112,AC112,AB112,Y112,U112,T112,S112,R112)*'1. Standard_Cost'!$B$31</f>
        <v>20340</v>
      </c>
      <c r="AF112" s="127">
        <f>SUM(AE112,AD112,AC112,AB112,Y112,U112,T112,S112,R112)</f>
        <v>122040</v>
      </c>
      <c r="AG112" s="126"/>
      <c r="AH112" s="126"/>
      <c r="AI112" s="126"/>
      <c r="AJ112" s="130"/>
      <c r="AK112" s="130"/>
      <c r="AL112" s="130"/>
      <c r="AM112" s="127">
        <f>AG112*'1. Standard_Cost'!$B$27+'Incremental_Cost Year 8'!AH112*'1. Standard_Cost'!$C$27+'Incremental_Cost Year 8'!AI112*'1. Standard_Cost'!$D$27+'Incremental_Cost Year 8'!AJ112+'Incremental_Cost Year 8'!AL112+AK112</f>
        <v>0</v>
      </c>
      <c r="AN112" s="127">
        <f>AM112*'1. Standard_Cost'!$C$31</f>
        <v>0</v>
      </c>
      <c r="AO112" s="130"/>
      <c r="AQ112" s="171">
        <f>L112+M112</f>
        <v>847242</v>
      </c>
      <c r="AR112" s="171">
        <f>AF112</f>
        <v>122040</v>
      </c>
      <c r="AS112" s="171">
        <f>AM112+AN112</f>
        <v>0</v>
      </c>
      <c r="AT112" s="171">
        <f>SUM(AQ112,AR112,AS112)</f>
        <v>969282</v>
      </c>
      <c r="AU112" s="250">
        <v>969282</v>
      </c>
      <c r="AV112" s="250"/>
      <c r="AW112" s="250"/>
      <c r="AX112" s="250"/>
      <c r="AY112" s="250"/>
      <c r="AZ112" s="250"/>
      <c r="BA112" s="250"/>
      <c r="BB112" s="251">
        <f t="shared" ref="BB112:BB116" si="76">SUM(AU112:BA112)-AT112</f>
        <v>0</v>
      </c>
      <c r="BC112" s="169"/>
      <c r="BD112" s="169"/>
      <c r="BE112" s="169"/>
      <c r="BF112" s="169"/>
    </row>
    <row r="113" spans="1:58" ht="61.9" customHeight="1" outlineLevel="2" x14ac:dyDescent="0.25">
      <c r="A113" s="115"/>
      <c r="B113" s="200"/>
      <c r="C113" s="201"/>
      <c r="D113" s="208"/>
      <c r="E113" s="323"/>
      <c r="F113" s="308"/>
      <c r="G113" s="309"/>
      <c r="H113" s="199" t="s">
        <v>441</v>
      </c>
      <c r="I113" s="130" t="s">
        <v>3</v>
      </c>
      <c r="J113" s="126">
        <v>1</v>
      </c>
      <c r="K113" s="126">
        <v>7</v>
      </c>
      <c r="L113" s="125">
        <f>IF(I113&lt;&gt;0,((VLOOKUP(I113,'1. Standard_Cost'!$B$4:$D$11,2)+VLOOKUP(I113,'1. Standard_Cost'!$B$4:$D$11,3))*J113*K113),"0")</f>
        <v>705600</v>
      </c>
      <c r="M113" s="125">
        <f>L113*'1. Standard_Cost'!$F$4</f>
        <v>117835.20000000001</v>
      </c>
      <c r="N113" s="126"/>
      <c r="O113" s="126"/>
      <c r="P113" s="126"/>
      <c r="Q113" s="126"/>
      <c r="R113" s="127">
        <f>'1. Standard_Cost'!$B$15*N113*P113</f>
        <v>0</v>
      </c>
      <c r="S113" s="127">
        <f>N113*O113*P113*'1. Standard_Cost'!$C$15</f>
        <v>0</v>
      </c>
      <c r="T113" s="127">
        <f>N113*P113*Q113*'1. Standard_Cost'!$D$15</f>
        <v>0</v>
      </c>
      <c r="U113" s="127">
        <f>N113*O113*'1. Standard_Cost'!$E$15</f>
        <v>0</v>
      </c>
      <c r="V113" s="126"/>
      <c r="W113" s="126"/>
      <c r="X113" s="126"/>
      <c r="Y113" s="127">
        <f>+V113*((X113*'1. Standard_Cost'!$B$19)+(W113*X113*'1. Standard_Cost'!$C$19))</f>
        <v>0</v>
      </c>
      <c r="Z113" s="126"/>
      <c r="AA113" s="126"/>
      <c r="AB113" s="127">
        <f>+Z113*'1. Standard_Cost'!$B$23+AA113*'1. Standard_Cost'!$C$23</f>
        <v>0</v>
      </c>
      <c r="AC113" s="128">
        <v>98900</v>
      </c>
      <c r="AD113" s="129"/>
      <c r="AE113" s="127">
        <f>SUM(AD113,AC113,AB113,Y113,U113,T113,S113,R113)*'1. Standard_Cost'!$B$31</f>
        <v>19780</v>
      </c>
      <c r="AF113" s="127">
        <f>SUM(AE113,AD113,AC113,AB113,Y113,U113,T113,S113,R113)</f>
        <v>118680</v>
      </c>
      <c r="AG113" s="126"/>
      <c r="AH113" s="126"/>
      <c r="AI113" s="126"/>
      <c r="AJ113" s="130"/>
      <c r="AK113" s="130"/>
      <c r="AL113" s="130"/>
      <c r="AM113" s="127">
        <f>AG113*'1. Standard_Cost'!$B$27+'Incremental_Cost Year 8'!AH113*'1. Standard_Cost'!$C$27+'Incremental_Cost Year 8'!AI113*'1. Standard_Cost'!$D$27+'Incremental_Cost Year 8'!AJ113+'Incremental_Cost Year 8'!AL113+AK113</f>
        <v>0</v>
      </c>
      <c r="AN113" s="127">
        <f>AM113*'1. Standard_Cost'!$C$31</f>
        <v>0</v>
      </c>
      <c r="AO113" s="130"/>
      <c r="AQ113" s="171">
        <f>L113+M113</f>
        <v>823435.2</v>
      </c>
      <c r="AR113" s="171">
        <f>AF113</f>
        <v>118680</v>
      </c>
      <c r="AS113" s="171">
        <f>AM113+AN113</f>
        <v>0</v>
      </c>
      <c r="AT113" s="171">
        <f>SUM(AQ113,AR113,AS113)</f>
        <v>942115.2</v>
      </c>
      <c r="AU113" s="250">
        <v>942115</v>
      </c>
      <c r="AV113" s="250"/>
      <c r="AW113" s="250"/>
      <c r="AX113" s="250"/>
      <c r="AY113" s="250"/>
      <c r="AZ113" s="250"/>
      <c r="BA113" s="250"/>
      <c r="BB113" s="251">
        <f t="shared" si="76"/>
        <v>-0.19999999995343387</v>
      </c>
      <c r="BC113" s="169"/>
      <c r="BD113" s="169"/>
      <c r="BE113" s="169"/>
      <c r="BF113" s="169"/>
    </row>
    <row r="114" spans="1:58" ht="61.9" customHeight="1" outlineLevel="2" x14ac:dyDescent="0.25">
      <c r="A114" s="115"/>
      <c r="B114" s="200"/>
      <c r="C114" s="201"/>
      <c r="D114" s="203"/>
      <c r="E114" s="323"/>
      <c r="F114" s="308"/>
      <c r="G114" s="309"/>
      <c r="H114" s="199" t="s">
        <v>547</v>
      </c>
      <c r="I114" s="130" t="s">
        <v>4</v>
      </c>
      <c r="J114" s="126">
        <v>2</v>
      </c>
      <c r="K114" s="126">
        <v>7</v>
      </c>
      <c r="L114" s="125">
        <f>IF(I114&lt;&gt;0,((VLOOKUP(I114,'1. Standard_Cost'!$B$4:$D$11,2)+VLOOKUP(I114,'1. Standard_Cost'!$B$4:$D$11,3))*J114*K114),"0")</f>
        <v>1130500</v>
      </c>
      <c r="M114" s="125">
        <f>L114*'1. Standard_Cost'!$F$4</f>
        <v>188793.5</v>
      </c>
      <c r="N114" s="126"/>
      <c r="O114" s="126"/>
      <c r="P114" s="126"/>
      <c r="Q114" s="126"/>
      <c r="R114" s="127">
        <f>'1. Standard_Cost'!$B$15*N114*P114</f>
        <v>0</v>
      </c>
      <c r="S114" s="127">
        <f>N114*O114*P114*'1. Standard_Cost'!$C$15</f>
        <v>0</v>
      </c>
      <c r="T114" s="127">
        <f>N114*P114*Q114*'1. Standard_Cost'!$D$15</f>
        <v>0</v>
      </c>
      <c r="U114" s="127">
        <f>N114*O114*'1. Standard_Cost'!$E$15</f>
        <v>0</v>
      </c>
      <c r="V114" s="126"/>
      <c r="W114" s="126"/>
      <c r="X114" s="126"/>
      <c r="Y114" s="127">
        <f>+V114*((X114*'1. Standard_Cost'!$B$19)+(W114*X114*'1. Standard_Cost'!$C$19))</f>
        <v>0</v>
      </c>
      <c r="Z114" s="126"/>
      <c r="AA114" s="126">
        <v>25</v>
      </c>
      <c r="AB114" s="127">
        <f>+Z114*'1. Standard_Cost'!$B$23+AA114*'1. Standard_Cost'!$C$23</f>
        <v>475000</v>
      </c>
      <c r="AC114" s="128">
        <v>158320</v>
      </c>
      <c r="AD114" s="129"/>
      <c r="AE114" s="127">
        <f>SUM(AD114,AC114,AB114,Y114,U114,T114,S114,R114)*'1. Standard_Cost'!$B$31</f>
        <v>126664</v>
      </c>
      <c r="AF114" s="127">
        <f>SUM(AE114,AD114,AC114,AB114,Y114,U114,T114,S114,R114)</f>
        <v>759984</v>
      </c>
      <c r="AG114" s="126"/>
      <c r="AH114" s="126"/>
      <c r="AI114" s="126"/>
      <c r="AJ114" s="130"/>
      <c r="AK114" s="130"/>
      <c r="AL114" s="130"/>
      <c r="AM114" s="127">
        <f>AG114*'1. Standard_Cost'!$B$27+'Incremental_Cost Year 8'!AH114*'1. Standard_Cost'!$C$27+'Incremental_Cost Year 8'!AI114*'1. Standard_Cost'!$D$27+'Incremental_Cost Year 8'!AJ114+'Incremental_Cost Year 8'!AL114+AK114</f>
        <v>0</v>
      </c>
      <c r="AN114" s="127">
        <f>AM114*'1. Standard_Cost'!$C$31</f>
        <v>0</v>
      </c>
      <c r="AO114" s="130"/>
      <c r="AQ114" s="171">
        <f>L114+M114</f>
        <v>1319293.5</v>
      </c>
      <c r="AR114" s="171">
        <f>AF114</f>
        <v>759984</v>
      </c>
      <c r="AS114" s="171">
        <f>AM114+AN114</f>
        <v>0</v>
      </c>
      <c r="AT114" s="171">
        <f>SUM(AQ114,AR114,AS114)</f>
        <v>2079277.5</v>
      </c>
      <c r="AU114" s="250">
        <v>1509278</v>
      </c>
      <c r="AV114" s="250"/>
      <c r="AW114" s="250"/>
      <c r="AX114" s="250"/>
      <c r="AY114" s="250"/>
      <c r="AZ114" s="250"/>
      <c r="BA114" s="250"/>
      <c r="BB114" s="251">
        <f t="shared" si="76"/>
        <v>-569999.5</v>
      </c>
      <c r="BC114" s="169"/>
      <c r="BD114" s="169"/>
      <c r="BE114" s="169"/>
      <c r="BF114" s="169"/>
    </row>
    <row r="115" spans="1:58" ht="61.9" customHeight="1" outlineLevel="2" x14ac:dyDescent="0.25">
      <c r="A115" s="115"/>
      <c r="B115" s="200"/>
      <c r="C115" s="201"/>
      <c r="D115" s="203"/>
      <c r="E115" s="323"/>
      <c r="F115" s="308"/>
      <c r="G115" s="309"/>
      <c r="H115" s="213" t="s">
        <v>279</v>
      </c>
      <c r="I115" s="130"/>
      <c r="J115" s="126"/>
      <c r="K115" s="126"/>
      <c r="L115" s="125" t="str">
        <f>IF(I115&lt;&gt;0,((VLOOKUP(I115,'1. Standard_Cost'!$B$4:$D$11,2)+VLOOKUP(I115,'1. Standard_Cost'!$B$4:$D$11,3))*J115*K115),"0")</f>
        <v>0</v>
      </c>
      <c r="M115" s="125">
        <f>L115*'1. Standard_Cost'!$F$4</f>
        <v>0</v>
      </c>
      <c r="N115" s="126"/>
      <c r="O115" s="126"/>
      <c r="P115" s="126"/>
      <c r="Q115" s="126"/>
      <c r="R115" s="127">
        <f>'1. Standard_Cost'!$B$15*N115*P115</f>
        <v>0</v>
      </c>
      <c r="S115" s="127">
        <f>N115*O115*P115*'1. Standard_Cost'!$C$15</f>
        <v>0</v>
      </c>
      <c r="T115" s="127">
        <f>N115*P115*Q115*'1. Standard_Cost'!$D$15</f>
        <v>0</v>
      </c>
      <c r="U115" s="127">
        <f>N115*O115*'1. Standard_Cost'!$E$15</f>
        <v>0</v>
      </c>
      <c r="V115" s="126"/>
      <c r="W115" s="126"/>
      <c r="X115" s="126"/>
      <c r="Y115" s="127">
        <f>+V115*((X115*'1. Standard_Cost'!$B$19)+(W115*X115*'1. Standard_Cost'!$C$19))</f>
        <v>0</v>
      </c>
      <c r="Z115" s="126"/>
      <c r="AA115" s="126"/>
      <c r="AB115" s="127">
        <f>+Z115*'1. Standard_Cost'!$B$23+AA115*'1. Standard_Cost'!$C$23</f>
        <v>0</v>
      </c>
      <c r="AC115" s="128"/>
      <c r="AD115" s="129"/>
      <c r="AE115" s="127">
        <f>SUM(AD115,AC115,AB115,Y115,U115,T115,S115,R115)*'1. Standard_Cost'!$B$31</f>
        <v>0</v>
      </c>
      <c r="AF115" s="127">
        <f>SUM(AE115,AD115,AC115,AB115,Y115,U115,T115,S115,R115)</f>
        <v>0</v>
      </c>
      <c r="AG115" s="126"/>
      <c r="AH115" s="126"/>
      <c r="AI115" s="126"/>
      <c r="AJ115" s="130"/>
      <c r="AK115" s="130"/>
      <c r="AL115" s="130"/>
      <c r="AM115" s="127">
        <f>AG115*'1. Standard_Cost'!$B$27+'Incremental_Cost Year 8'!AH115*'1. Standard_Cost'!$C$27+'Incremental_Cost Year 8'!AI115*'1. Standard_Cost'!$D$27+'Incremental_Cost Year 8'!AJ115+'Incremental_Cost Year 8'!AL115+AK115</f>
        <v>0</v>
      </c>
      <c r="AN115" s="127">
        <f>AM115*'1. Standard_Cost'!$C$31</f>
        <v>0</v>
      </c>
      <c r="AO115" s="130"/>
      <c r="AQ115" s="171">
        <f>L115+M115</f>
        <v>0</v>
      </c>
      <c r="AR115" s="171">
        <f>AF115</f>
        <v>0</v>
      </c>
      <c r="AS115" s="171">
        <f>AM115+AN115</f>
        <v>0</v>
      </c>
      <c r="AT115" s="171">
        <f>SUM(AQ115,AR115,AS115)</f>
        <v>0</v>
      </c>
      <c r="AU115" s="250"/>
      <c r="AV115" s="250"/>
      <c r="AW115" s="250"/>
      <c r="AX115" s="250"/>
      <c r="AY115" s="250"/>
      <c r="AZ115" s="250"/>
      <c r="BA115" s="250"/>
      <c r="BB115" s="251">
        <f t="shared" si="76"/>
        <v>0</v>
      </c>
      <c r="BC115" s="169"/>
      <c r="BD115" s="169"/>
      <c r="BE115" s="169"/>
      <c r="BF115" s="169"/>
    </row>
    <row r="116" spans="1:58" ht="61.9" customHeight="1" outlineLevel="2" x14ac:dyDescent="0.25">
      <c r="A116" s="115"/>
      <c r="B116" s="200"/>
      <c r="C116" s="201"/>
      <c r="D116" s="211"/>
      <c r="E116" s="322"/>
      <c r="F116" s="311"/>
      <c r="G116" s="312"/>
      <c r="H116" s="199" t="s">
        <v>442</v>
      </c>
      <c r="I116" s="130"/>
      <c r="J116" s="126"/>
      <c r="K116" s="126"/>
      <c r="L116" s="125" t="str">
        <f>IF(I116&lt;&gt;0,((VLOOKUP(I116,'1. Standard_Cost'!$B$4:$D$11,2)+VLOOKUP(I116,'1. Standard_Cost'!$B$4:$D$11,3))*J116*K116),"0")</f>
        <v>0</v>
      </c>
      <c r="M116" s="125">
        <f>L116*'1. Standard_Cost'!$F$4</f>
        <v>0</v>
      </c>
      <c r="N116" s="126"/>
      <c r="O116" s="126"/>
      <c r="P116" s="126"/>
      <c r="Q116" s="126"/>
      <c r="R116" s="127">
        <f>'1. Standard_Cost'!$B$15*N116*P116</f>
        <v>0</v>
      </c>
      <c r="S116" s="127">
        <f>N116*O116*P116*'1. Standard_Cost'!$C$15</f>
        <v>0</v>
      </c>
      <c r="T116" s="127">
        <f>N116*P116*Q116*'1. Standard_Cost'!$D$15</f>
        <v>0</v>
      </c>
      <c r="U116" s="127">
        <f>N116*O116*'1. Standard_Cost'!$E$15</f>
        <v>0</v>
      </c>
      <c r="V116" s="126"/>
      <c r="W116" s="126"/>
      <c r="X116" s="126"/>
      <c r="Y116" s="127">
        <f>+V116*((X116*'1. Standard_Cost'!$B$19)+(W116*X116*'1. Standard_Cost'!$C$19))</f>
        <v>0</v>
      </c>
      <c r="Z116" s="126"/>
      <c r="AA116" s="126"/>
      <c r="AB116" s="127">
        <f>+Z116*'1. Standard_Cost'!$B$23+AA116*'1. Standard_Cost'!$C$23</f>
        <v>0</v>
      </c>
      <c r="AC116" s="128"/>
      <c r="AD116" s="129"/>
      <c r="AE116" s="127">
        <f>SUM(AD116,AC116,AB116,Y116,U116,T116,S116,R116)*'1. Standard_Cost'!$B$31</f>
        <v>0</v>
      </c>
      <c r="AF116" s="127">
        <f>SUM(AE116,AD116,AC116,AB116,Y116,U116,T116,S116,R116)</f>
        <v>0</v>
      </c>
      <c r="AG116" s="126"/>
      <c r="AH116" s="126"/>
      <c r="AI116" s="126"/>
      <c r="AJ116" s="130"/>
      <c r="AK116" s="130"/>
      <c r="AL116" s="130"/>
      <c r="AM116" s="127">
        <f>AG116*'1. Standard_Cost'!$B$27+'Incremental_Cost Year 8'!AH116*'1. Standard_Cost'!$C$27+'Incremental_Cost Year 8'!AI116*'1. Standard_Cost'!$D$27+'Incremental_Cost Year 8'!AJ116+'Incremental_Cost Year 8'!AL116+AK116</f>
        <v>0</v>
      </c>
      <c r="AN116" s="127">
        <f>AM116*'1. Standard_Cost'!$C$31</f>
        <v>0</v>
      </c>
      <c r="AO116" s="130"/>
      <c r="AQ116" s="171">
        <f>L116+M116</f>
        <v>0</v>
      </c>
      <c r="AR116" s="171">
        <f>AF116</f>
        <v>0</v>
      </c>
      <c r="AS116" s="171">
        <f>AM116+AN116</f>
        <v>0</v>
      </c>
      <c r="AT116" s="171">
        <f>SUM(AQ116,AR116,AS116)</f>
        <v>0</v>
      </c>
      <c r="AU116" s="250"/>
      <c r="AV116" s="250"/>
      <c r="AW116" s="250"/>
      <c r="AX116" s="250"/>
      <c r="AY116" s="250"/>
      <c r="AZ116" s="250"/>
      <c r="BA116" s="250"/>
      <c r="BB116" s="251">
        <f t="shared" si="76"/>
        <v>0</v>
      </c>
      <c r="BC116" s="169"/>
      <c r="BD116" s="169"/>
      <c r="BE116" s="169"/>
      <c r="BF116" s="169"/>
    </row>
    <row r="117" spans="1:58" ht="61.9" customHeight="1" outlineLevel="1" x14ac:dyDescent="0.25">
      <c r="A117" s="115"/>
      <c r="B117" s="165"/>
      <c r="C117" s="166"/>
      <c r="D117" s="229" t="s">
        <v>432</v>
      </c>
      <c r="E117" s="212" t="s">
        <v>280</v>
      </c>
      <c r="F117" s="136">
        <v>2021</v>
      </c>
      <c r="G117" s="117">
        <v>2030</v>
      </c>
      <c r="H117" s="110" t="s">
        <v>281</v>
      </c>
      <c r="I117" s="252"/>
      <c r="J117" s="252"/>
      <c r="K117" s="252"/>
      <c r="L117" s="127">
        <f>SUM(L112:L116)</f>
        <v>2562100</v>
      </c>
      <c r="M117" s="127">
        <f>SUM(M112:M116)</f>
        <v>427870.7</v>
      </c>
      <c r="N117" s="127"/>
      <c r="O117" s="252"/>
      <c r="P117" s="252"/>
      <c r="Q117" s="252"/>
      <c r="R117" s="127">
        <f>SUM(R112:R116)</f>
        <v>0</v>
      </c>
      <c r="S117" s="127">
        <f>SUM(S112:S116)</f>
        <v>0</v>
      </c>
      <c r="T117" s="127">
        <f>SUM(T112:T116)</f>
        <v>0</v>
      </c>
      <c r="U117" s="127">
        <f>SUM(U112:U116)</f>
        <v>0</v>
      </c>
      <c r="V117" s="252"/>
      <c r="W117" s="252"/>
      <c r="X117" s="252"/>
      <c r="Y117" s="127">
        <f>SUM(Y112:Y116)</f>
        <v>0</v>
      </c>
      <c r="Z117" s="252"/>
      <c r="AA117" s="252"/>
      <c r="AB117" s="127">
        <f>SUM(AB112:AB116)</f>
        <v>475000</v>
      </c>
      <c r="AC117" s="127">
        <f>SUM(AC112:AC116)</f>
        <v>358920</v>
      </c>
      <c r="AD117" s="127">
        <f>SUM(AD112:AD116)</f>
        <v>0</v>
      </c>
      <c r="AE117" s="127">
        <f>SUM(AE112:AE116)</f>
        <v>166784</v>
      </c>
      <c r="AF117" s="127">
        <f>SUM(AF112:AF116)</f>
        <v>1000704</v>
      </c>
      <c r="AG117" s="252"/>
      <c r="AH117" s="252"/>
      <c r="AI117" s="252"/>
      <c r="AJ117" s="127">
        <f>SUM(AJ112:AJ116)</f>
        <v>0</v>
      </c>
      <c r="AK117" s="127">
        <f>SUM(AK112:AK116)</f>
        <v>0</v>
      </c>
      <c r="AL117" s="127">
        <f>SUM(AL112:AL116)</f>
        <v>0</v>
      </c>
      <c r="AM117" s="127">
        <f>SUM(AM112:AM116)</f>
        <v>0</v>
      </c>
      <c r="AN117" s="127">
        <f>SUM(AN112:AN116)</f>
        <v>0</v>
      </c>
      <c r="AO117" s="253"/>
      <c r="AP117" s="254"/>
      <c r="AQ117" s="175">
        <f>SUM(AQ112:AQ116)</f>
        <v>2989970.7</v>
      </c>
      <c r="AR117" s="175">
        <f>SUM(AR112:AR116)</f>
        <v>1000704</v>
      </c>
      <c r="AS117" s="175">
        <f>SUM(AS112:AS116)</f>
        <v>0</v>
      </c>
      <c r="AT117" s="175">
        <f>SUM(AT112:AT116)</f>
        <v>3990674.7</v>
      </c>
      <c r="AU117" s="175">
        <f t="shared" ref="AU117:BB117" si="77">SUM(AU112:AU116)</f>
        <v>3420675</v>
      </c>
      <c r="AV117" s="175">
        <f t="shared" si="77"/>
        <v>0</v>
      </c>
      <c r="AW117" s="175">
        <f t="shared" si="77"/>
        <v>0</v>
      </c>
      <c r="AX117" s="175">
        <f t="shared" si="77"/>
        <v>0</v>
      </c>
      <c r="AY117" s="175">
        <f t="shared" si="77"/>
        <v>0</v>
      </c>
      <c r="AZ117" s="175">
        <f t="shared" si="77"/>
        <v>0</v>
      </c>
      <c r="BA117" s="175">
        <f t="shared" si="77"/>
        <v>0</v>
      </c>
      <c r="BB117" s="175">
        <f t="shared" si="77"/>
        <v>-569999.69999999995</v>
      </c>
      <c r="BC117" s="169"/>
      <c r="BD117" s="169"/>
      <c r="BE117" s="169"/>
      <c r="BF117" s="169"/>
    </row>
    <row r="118" spans="1:58" s="184" customFormat="1" ht="61.9" customHeight="1" x14ac:dyDescent="0.25">
      <c r="A118" s="143"/>
      <c r="B118" s="290"/>
      <c r="C118" s="391" t="s">
        <v>282</v>
      </c>
      <c r="D118" s="391"/>
      <c r="E118" s="392"/>
      <c r="F118" s="291"/>
      <c r="G118" s="291"/>
      <c r="H118" s="144" t="s">
        <v>266</v>
      </c>
      <c r="I118" s="257"/>
      <c r="J118" s="257"/>
      <c r="K118" s="257"/>
      <c r="L118" s="258">
        <f>SUM(L122)</f>
        <v>0</v>
      </c>
      <c r="M118" s="258">
        <f>SUM(M122)</f>
        <v>0</v>
      </c>
      <c r="N118" s="257"/>
      <c r="O118" s="257"/>
      <c r="P118" s="257"/>
      <c r="Q118" s="257"/>
      <c r="R118" s="258">
        <f>SUM(R122)</f>
        <v>0</v>
      </c>
      <c r="S118" s="258">
        <f>SUM(S122)</f>
        <v>0</v>
      </c>
      <c r="T118" s="258">
        <f>SUM(T122)</f>
        <v>0</v>
      </c>
      <c r="U118" s="258">
        <f>SUM(U122)</f>
        <v>0</v>
      </c>
      <c r="V118" s="257"/>
      <c r="W118" s="257"/>
      <c r="X118" s="257"/>
      <c r="Y118" s="258">
        <f>SUM(Y122)</f>
        <v>0</v>
      </c>
      <c r="Z118" s="258"/>
      <c r="AA118" s="258"/>
      <c r="AB118" s="258">
        <f>SUM(AB122)</f>
        <v>0</v>
      </c>
      <c r="AC118" s="258">
        <f>SUM(AC122)</f>
        <v>0</v>
      </c>
      <c r="AD118" s="258">
        <f>SUM(AD122)</f>
        <v>0</v>
      </c>
      <c r="AE118" s="258">
        <f>SUM(AE122)</f>
        <v>0</v>
      </c>
      <c r="AF118" s="258">
        <f>SUM(AF122)</f>
        <v>0</v>
      </c>
      <c r="AG118" s="257"/>
      <c r="AH118" s="257"/>
      <c r="AI118" s="257"/>
      <c r="AJ118" s="258">
        <f>SUM(AJ122)</f>
        <v>0</v>
      </c>
      <c r="AK118" s="258">
        <f>SUM(AK122)</f>
        <v>0</v>
      </c>
      <c r="AL118" s="258">
        <f>SUM(AL122)</f>
        <v>0</v>
      </c>
      <c r="AM118" s="258">
        <f>SUM(AM122)</f>
        <v>0</v>
      </c>
      <c r="AN118" s="258">
        <f>SUM(AN122)</f>
        <v>0</v>
      </c>
      <c r="AO118" s="259"/>
      <c r="AP118" s="260"/>
      <c r="AQ118" s="261">
        <f>SUM(AQ122)</f>
        <v>0</v>
      </c>
      <c r="AR118" s="261">
        <f>SUM(AR122)</f>
        <v>0</v>
      </c>
      <c r="AS118" s="261">
        <f>SUM(AS122)</f>
        <v>0</v>
      </c>
      <c r="AT118" s="261">
        <f>SUM(AT122)</f>
        <v>0</v>
      </c>
      <c r="AU118" s="261">
        <f t="shared" ref="AU118:BA118" si="78">SUM(AU122)</f>
        <v>0</v>
      </c>
      <c r="AV118" s="261">
        <f t="shared" si="78"/>
        <v>0</v>
      </c>
      <c r="AW118" s="261">
        <f t="shared" si="78"/>
        <v>0</v>
      </c>
      <c r="AX118" s="261">
        <f t="shared" si="78"/>
        <v>0</v>
      </c>
      <c r="AY118" s="261">
        <f t="shared" si="78"/>
        <v>0</v>
      </c>
      <c r="AZ118" s="261">
        <f t="shared" si="78"/>
        <v>0</v>
      </c>
      <c r="BA118" s="261">
        <f t="shared" si="78"/>
        <v>0</v>
      </c>
      <c r="BB118" s="261">
        <f>SUM(BB122)</f>
        <v>0</v>
      </c>
    </row>
    <row r="119" spans="1:58" ht="61.9" customHeight="1" outlineLevel="2" x14ac:dyDescent="0.25">
      <c r="A119" s="115"/>
      <c r="B119" s="200"/>
      <c r="C119" s="201"/>
      <c r="D119" s="348"/>
      <c r="E119" s="321"/>
      <c r="F119" s="306"/>
      <c r="G119" s="307"/>
      <c r="H119" s="199" t="s">
        <v>443</v>
      </c>
      <c r="I119" s="130"/>
      <c r="J119" s="126"/>
      <c r="K119" s="126"/>
      <c r="L119" s="125" t="str">
        <f>IF(I119&lt;&gt;0,((VLOOKUP(I119,'1. Standard_Cost'!$B$4:$D$11,2)+VLOOKUP(I119,'1. Standard_Cost'!$B$4:$D$11,3))*J119*K119),"0")</f>
        <v>0</v>
      </c>
      <c r="M119" s="125">
        <f>L119*'1. Standard_Cost'!$F$4</f>
        <v>0</v>
      </c>
      <c r="N119" s="126"/>
      <c r="O119" s="126"/>
      <c r="P119" s="126"/>
      <c r="Q119" s="126"/>
      <c r="R119" s="127">
        <f>'1. Standard_Cost'!$B$15*N119*P119</f>
        <v>0</v>
      </c>
      <c r="S119" s="127">
        <f>N119*O119*P119*'1. Standard_Cost'!$C$15</f>
        <v>0</v>
      </c>
      <c r="T119" s="127">
        <f>N119*P119*Q119*'1. Standard_Cost'!$D$15</f>
        <v>0</v>
      </c>
      <c r="U119" s="127">
        <f>N119*O119*'1. Standard_Cost'!$E$15</f>
        <v>0</v>
      </c>
      <c r="V119" s="126"/>
      <c r="W119" s="126"/>
      <c r="X119" s="126"/>
      <c r="Y119" s="127">
        <f>+V119*((X119*'1. Standard_Cost'!$B$19)+(W119*X119*'1. Standard_Cost'!$C$19))</f>
        <v>0</v>
      </c>
      <c r="Z119" s="126"/>
      <c r="AA119" s="126"/>
      <c r="AB119" s="127">
        <f>+Z119*'1. Standard_Cost'!$B$23+AA119*'1. Standard_Cost'!$C$23</f>
        <v>0</v>
      </c>
      <c r="AC119" s="128"/>
      <c r="AD119" s="129"/>
      <c r="AE119" s="127">
        <f>SUM(AD119,AC119,AB119,Y119,U119,T119,S119,R119)*'1. Standard_Cost'!$B$31</f>
        <v>0</v>
      </c>
      <c r="AF119" s="127">
        <f>SUM(AE119,AD119,AC119,AB119,Y119,U119,T119,S119,R119)</f>
        <v>0</v>
      </c>
      <c r="AG119" s="126"/>
      <c r="AH119" s="126"/>
      <c r="AI119" s="126"/>
      <c r="AJ119" s="130"/>
      <c r="AK119" s="130"/>
      <c r="AL119" s="130"/>
      <c r="AM119" s="127">
        <f>AG119*'1. Standard_Cost'!$B$27+'Incremental_Cost Year 8'!AH119*'1. Standard_Cost'!$C$27+'Incremental_Cost Year 8'!AI119*'1. Standard_Cost'!$D$27+'Incremental_Cost Year 8'!AJ119+'Incremental_Cost Year 8'!AL119+AK119</f>
        <v>0</v>
      </c>
      <c r="AN119" s="127">
        <f>AM119*'1. Standard_Cost'!$C$31</f>
        <v>0</v>
      </c>
      <c r="AO119" s="130"/>
      <c r="AQ119" s="171">
        <f>L119+M119</f>
        <v>0</v>
      </c>
      <c r="AR119" s="171">
        <f>AF119</f>
        <v>0</v>
      </c>
      <c r="AS119" s="171">
        <f>AM119+AN119</f>
        <v>0</v>
      </c>
      <c r="AT119" s="171">
        <f>SUM(AQ119,AR119,AS119)</f>
        <v>0</v>
      </c>
      <c r="AU119" s="250"/>
      <c r="AV119" s="250"/>
      <c r="AW119" s="250"/>
      <c r="AX119" s="250"/>
      <c r="AY119" s="250"/>
      <c r="AZ119" s="250"/>
      <c r="BA119" s="250"/>
      <c r="BB119" s="251">
        <f t="shared" ref="BB119:BB121" si="79">SUM(AU119:BA119)-AT119</f>
        <v>0</v>
      </c>
      <c r="BC119" s="169"/>
      <c r="BD119" s="169"/>
      <c r="BE119" s="169"/>
      <c r="BF119" s="169"/>
    </row>
    <row r="120" spans="1:58" ht="61.9" customHeight="1" outlineLevel="2" x14ac:dyDescent="0.25">
      <c r="A120" s="115"/>
      <c r="B120" s="200"/>
      <c r="C120" s="201"/>
      <c r="D120" s="132"/>
      <c r="E120" s="323"/>
      <c r="F120" s="308"/>
      <c r="G120" s="309"/>
      <c r="H120" s="199" t="s">
        <v>444</v>
      </c>
      <c r="I120" s="130"/>
      <c r="J120" s="126"/>
      <c r="K120" s="126"/>
      <c r="L120" s="125" t="str">
        <f>IF(I120&lt;&gt;0,((VLOOKUP(I120,'1. Standard_Cost'!$B$4:$D$11,2)+VLOOKUP(I120,'1. Standard_Cost'!$B$4:$D$11,3))*J120*K120),"0")</f>
        <v>0</v>
      </c>
      <c r="M120" s="125">
        <f>L120*'1. Standard_Cost'!$F$4</f>
        <v>0</v>
      </c>
      <c r="N120" s="126"/>
      <c r="O120" s="126"/>
      <c r="P120" s="126"/>
      <c r="Q120" s="126"/>
      <c r="R120" s="127">
        <f>'1. Standard_Cost'!$B$15*N120*P120</f>
        <v>0</v>
      </c>
      <c r="S120" s="127">
        <f>N120*O120*P120*'1. Standard_Cost'!$C$15</f>
        <v>0</v>
      </c>
      <c r="T120" s="127">
        <f>N120*P120*Q120*'1. Standard_Cost'!$D$15</f>
        <v>0</v>
      </c>
      <c r="U120" s="127">
        <f>N120*O120*'1. Standard_Cost'!$E$15</f>
        <v>0</v>
      </c>
      <c r="V120" s="126"/>
      <c r="W120" s="126"/>
      <c r="X120" s="126"/>
      <c r="Y120" s="127">
        <f>+V120*((X120*'1. Standard_Cost'!$B$19)+(W120*X120*'1. Standard_Cost'!$C$19))</f>
        <v>0</v>
      </c>
      <c r="Z120" s="126"/>
      <c r="AA120" s="126"/>
      <c r="AB120" s="127">
        <f>+Z120*'1. Standard_Cost'!$B$23+AA120*'1. Standard_Cost'!$C$23</f>
        <v>0</v>
      </c>
      <c r="AC120" s="128"/>
      <c r="AD120" s="129"/>
      <c r="AE120" s="127">
        <f>SUM(AD120,AC120,AB120,Y120,U120,T120,S120,R120)*'1. Standard_Cost'!$B$31</f>
        <v>0</v>
      </c>
      <c r="AF120" s="127">
        <f>SUM(AE120,AD120,AC120,AB120,Y120,U120,T120,S120,R120)</f>
        <v>0</v>
      </c>
      <c r="AG120" s="126"/>
      <c r="AH120" s="126"/>
      <c r="AI120" s="126"/>
      <c r="AJ120" s="130"/>
      <c r="AK120" s="130"/>
      <c r="AL120" s="130"/>
      <c r="AM120" s="127">
        <f>AG120*'1. Standard_Cost'!$B$27+'Incremental_Cost Year 8'!AH120*'1. Standard_Cost'!$C$27+'Incremental_Cost Year 8'!AI120*'1. Standard_Cost'!$D$27+'Incremental_Cost Year 8'!AJ120+'Incremental_Cost Year 8'!AL120+AK120</f>
        <v>0</v>
      </c>
      <c r="AN120" s="127">
        <f>AM120*'1. Standard_Cost'!$C$31</f>
        <v>0</v>
      </c>
      <c r="AO120" s="130"/>
      <c r="AQ120" s="171">
        <f>L120+M120</f>
        <v>0</v>
      </c>
      <c r="AR120" s="171">
        <f>AF120</f>
        <v>0</v>
      </c>
      <c r="AS120" s="171">
        <f>AM120+AN120</f>
        <v>0</v>
      </c>
      <c r="AT120" s="171">
        <f>SUM(AQ120,AR120,AS120)</f>
        <v>0</v>
      </c>
      <c r="AU120" s="250"/>
      <c r="AV120" s="250"/>
      <c r="AW120" s="250"/>
      <c r="AX120" s="250"/>
      <c r="AY120" s="250"/>
      <c r="AZ120" s="250"/>
      <c r="BA120" s="250"/>
      <c r="BB120" s="251">
        <f t="shared" si="79"/>
        <v>0</v>
      </c>
      <c r="BC120" s="169"/>
      <c r="BD120" s="169"/>
      <c r="BE120" s="169"/>
      <c r="BF120" s="169"/>
    </row>
    <row r="121" spans="1:58" ht="61.9" customHeight="1" outlineLevel="2" x14ac:dyDescent="0.25">
      <c r="A121" s="115"/>
      <c r="B121" s="200"/>
      <c r="C121" s="201"/>
      <c r="D121" s="349"/>
      <c r="E121" s="322"/>
      <c r="F121" s="311"/>
      <c r="G121" s="312"/>
      <c r="H121" s="199" t="s">
        <v>445</v>
      </c>
      <c r="I121" s="130"/>
      <c r="J121" s="126"/>
      <c r="K121" s="126"/>
      <c r="L121" s="125" t="str">
        <f>IF(I121&lt;&gt;0,((VLOOKUP(I121,'1. Standard_Cost'!$B$4:$D$11,2)+VLOOKUP(I121,'1. Standard_Cost'!$B$4:$D$11,3))*J121*K121),"0")</f>
        <v>0</v>
      </c>
      <c r="M121" s="125">
        <f>L121*'1. Standard_Cost'!$F$4</f>
        <v>0</v>
      </c>
      <c r="N121" s="126"/>
      <c r="O121" s="126"/>
      <c r="P121" s="126"/>
      <c r="Q121" s="126"/>
      <c r="R121" s="127">
        <f>'1. Standard_Cost'!$B$15*N121*P121</f>
        <v>0</v>
      </c>
      <c r="S121" s="127">
        <f>N121*O121*P121*'1. Standard_Cost'!$C$15</f>
        <v>0</v>
      </c>
      <c r="T121" s="127">
        <f>N121*P121*Q121*'1. Standard_Cost'!$D$15</f>
        <v>0</v>
      </c>
      <c r="U121" s="127">
        <f>N121*O121*'1. Standard_Cost'!$E$15</f>
        <v>0</v>
      </c>
      <c r="V121" s="126"/>
      <c r="W121" s="126"/>
      <c r="X121" s="126"/>
      <c r="Y121" s="127">
        <f>+V121*((X121*'1. Standard_Cost'!$B$19)+(W121*X121*'1. Standard_Cost'!$C$19))</f>
        <v>0</v>
      </c>
      <c r="Z121" s="126"/>
      <c r="AA121" s="126"/>
      <c r="AB121" s="127">
        <f>+Z121*'1. Standard_Cost'!$B$23+AA121*'1. Standard_Cost'!$C$23</f>
        <v>0</v>
      </c>
      <c r="AC121" s="128"/>
      <c r="AD121" s="129"/>
      <c r="AE121" s="127">
        <f>SUM(AD121,AC121,AB121,Y121,U121,T121,S121,R121)*'1. Standard_Cost'!$B$31</f>
        <v>0</v>
      </c>
      <c r="AF121" s="127">
        <f>SUM(AE121,AD121,AC121,AB121,Y121,U121,T121,S121,R121)</f>
        <v>0</v>
      </c>
      <c r="AG121" s="126"/>
      <c r="AH121" s="126"/>
      <c r="AI121" s="126"/>
      <c r="AJ121" s="130"/>
      <c r="AK121" s="130"/>
      <c r="AL121" s="130"/>
      <c r="AM121" s="127">
        <f>AG121*'1. Standard_Cost'!$B$27+'Incremental_Cost Year 8'!AH121*'1. Standard_Cost'!$C$27+'Incremental_Cost Year 8'!AI121*'1. Standard_Cost'!$D$27+'Incremental_Cost Year 8'!AJ121+'Incremental_Cost Year 8'!AL121+AK121</f>
        <v>0</v>
      </c>
      <c r="AN121" s="127">
        <f>AM121*'1. Standard_Cost'!$C$31</f>
        <v>0</v>
      </c>
      <c r="AO121" s="130"/>
      <c r="AQ121" s="171">
        <f>L121+M121</f>
        <v>0</v>
      </c>
      <c r="AR121" s="171">
        <f>AF121</f>
        <v>0</v>
      </c>
      <c r="AS121" s="171">
        <f>AM121+AN121</f>
        <v>0</v>
      </c>
      <c r="AT121" s="171">
        <f>SUM(AQ121,AR121,AS121)</f>
        <v>0</v>
      </c>
      <c r="AU121" s="250"/>
      <c r="AV121" s="250"/>
      <c r="AW121" s="250"/>
      <c r="AX121" s="250"/>
      <c r="AY121" s="250"/>
      <c r="AZ121" s="250"/>
      <c r="BA121" s="250"/>
      <c r="BB121" s="251">
        <f t="shared" si="79"/>
        <v>0</v>
      </c>
      <c r="BC121" s="169"/>
      <c r="BD121" s="169"/>
      <c r="BE121" s="169"/>
      <c r="BF121" s="169"/>
    </row>
    <row r="122" spans="1:58" ht="61.9" customHeight="1" outlineLevel="1" x14ac:dyDescent="0.25">
      <c r="A122" s="115"/>
      <c r="B122" s="200"/>
      <c r="C122" s="201"/>
      <c r="D122" s="146" t="s">
        <v>432</v>
      </c>
      <c r="E122" s="212" t="s">
        <v>283</v>
      </c>
      <c r="F122" s="136">
        <v>2022</v>
      </c>
      <c r="G122" s="117">
        <v>2025</v>
      </c>
      <c r="H122" s="110" t="s">
        <v>268</v>
      </c>
      <c r="I122" s="252"/>
      <c r="J122" s="252"/>
      <c r="K122" s="252"/>
      <c r="L122" s="127">
        <f>SUM(L119:L121)</f>
        <v>0</v>
      </c>
      <c r="M122" s="127">
        <f>SUM(M119:M121)</f>
        <v>0</v>
      </c>
      <c r="N122" s="127"/>
      <c r="O122" s="252"/>
      <c r="P122" s="252"/>
      <c r="Q122" s="252"/>
      <c r="R122" s="127">
        <f>SUM(R119:R121)</f>
        <v>0</v>
      </c>
      <c r="S122" s="127">
        <f>SUM(S119:S121)</f>
        <v>0</v>
      </c>
      <c r="T122" s="127">
        <f>SUM(T119:T121)</f>
        <v>0</v>
      </c>
      <c r="U122" s="127">
        <f>SUM(U119:U121)</f>
        <v>0</v>
      </c>
      <c r="V122" s="252"/>
      <c r="W122" s="252"/>
      <c r="X122" s="252"/>
      <c r="Y122" s="127">
        <f>SUM(Y119:Y121)</f>
        <v>0</v>
      </c>
      <c r="Z122" s="252"/>
      <c r="AA122" s="252"/>
      <c r="AB122" s="127">
        <f>SUM(AB119:AB121)</f>
        <v>0</v>
      </c>
      <c r="AC122" s="127">
        <f>SUM(AC119:AC121)</f>
        <v>0</v>
      </c>
      <c r="AD122" s="127">
        <f>SUM(AD119:AD121)</f>
        <v>0</v>
      </c>
      <c r="AE122" s="127">
        <f>SUM(AE119:AE121)</f>
        <v>0</v>
      </c>
      <c r="AF122" s="127">
        <f>SUM(AF119:AF121)</f>
        <v>0</v>
      </c>
      <c r="AG122" s="252"/>
      <c r="AH122" s="252"/>
      <c r="AI122" s="252"/>
      <c r="AJ122" s="127">
        <f>SUM(AJ119:AJ121)</f>
        <v>0</v>
      </c>
      <c r="AK122" s="127">
        <f>SUM(AK119:AK121)</f>
        <v>0</v>
      </c>
      <c r="AL122" s="127">
        <f>SUM(AL119:AL121)</f>
        <v>0</v>
      </c>
      <c r="AM122" s="127">
        <f>SUM(AM119:AM121)</f>
        <v>0</v>
      </c>
      <c r="AN122" s="127">
        <f>SUM(AN119:AN121)</f>
        <v>0</v>
      </c>
      <c r="AO122" s="253"/>
      <c r="AP122" s="254"/>
      <c r="AQ122" s="175">
        <f>SUM(AQ119:AQ121)</f>
        <v>0</v>
      </c>
      <c r="AR122" s="175">
        <f>SUM(AR119:AR121)</f>
        <v>0</v>
      </c>
      <c r="AS122" s="175">
        <f>SUM(AS119:AS121)</f>
        <v>0</v>
      </c>
      <c r="AT122" s="175">
        <f>SUM(AT119:AT121)</f>
        <v>0</v>
      </c>
      <c r="AU122" s="175">
        <f t="shared" ref="AU122:BB122" si="80">SUM(AU119:AU121)</f>
        <v>0</v>
      </c>
      <c r="AV122" s="175">
        <f t="shared" si="80"/>
        <v>0</v>
      </c>
      <c r="AW122" s="175">
        <f t="shared" si="80"/>
        <v>0</v>
      </c>
      <c r="AX122" s="175">
        <f t="shared" si="80"/>
        <v>0</v>
      </c>
      <c r="AY122" s="175">
        <f t="shared" si="80"/>
        <v>0</v>
      </c>
      <c r="AZ122" s="175">
        <f t="shared" si="80"/>
        <v>0</v>
      </c>
      <c r="BA122" s="175">
        <f t="shared" si="80"/>
        <v>0</v>
      </c>
      <c r="BB122" s="175">
        <f t="shared" si="80"/>
        <v>0</v>
      </c>
      <c r="BC122" s="169"/>
      <c r="BD122" s="169"/>
      <c r="BE122" s="169"/>
      <c r="BF122" s="169"/>
    </row>
    <row r="123" spans="1:58" s="184" customFormat="1" ht="61.9" customHeight="1" x14ac:dyDescent="0.25">
      <c r="A123" s="143"/>
      <c r="B123" s="290"/>
      <c r="C123" s="391" t="s">
        <v>287</v>
      </c>
      <c r="D123" s="391"/>
      <c r="E123" s="392"/>
      <c r="F123" s="291"/>
      <c r="G123" s="289"/>
      <c r="H123" s="144" t="s">
        <v>288</v>
      </c>
      <c r="I123" s="257"/>
      <c r="J123" s="257"/>
      <c r="K123" s="257"/>
      <c r="L123" s="258">
        <f>SUM(L133)</f>
        <v>64119942.857142858</v>
      </c>
      <c r="M123" s="258">
        <f>SUM(M133)</f>
        <v>10708030.457142858</v>
      </c>
      <c r="N123" s="257"/>
      <c r="O123" s="257"/>
      <c r="P123" s="257"/>
      <c r="Q123" s="257"/>
      <c r="R123" s="258">
        <f>SUM(R133)</f>
        <v>0</v>
      </c>
      <c r="S123" s="258">
        <f>SUM(S133)</f>
        <v>0</v>
      </c>
      <c r="T123" s="258">
        <f>SUM(T133)</f>
        <v>0</v>
      </c>
      <c r="U123" s="258">
        <f>SUM(U133)</f>
        <v>0</v>
      </c>
      <c r="V123" s="257"/>
      <c r="W123" s="257"/>
      <c r="X123" s="257"/>
      <c r="Y123" s="258">
        <f>SUM(Y133)</f>
        <v>0</v>
      </c>
      <c r="Z123" s="258"/>
      <c r="AA123" s="258"/>
      <c r="AB123" s="258">
        <f>SUM(AB133)</f>
        <v>0</v>
      </c>
      <c r="AC123" s="258">
        <f>SUM(AC133)</f>
        <v>10872553</v>
      </c>
      <c r="AD123" s="258">
        <f>SUM(AD133)</f>
        <v>0</v>
      </c>
      <c r="AE123" s="258">
        <f>SUM(AE133)</f>
        <v>2174510.6</v>
      </c>
      <c r="AF123" s="258">
        <f>SUM(AF133)</f>
        <v>13047063.6</v>
      </c>
      <c r="AG123" s="257"/>
      <c r="AH123" s="257"/>
      <c r="AI123" s="257"/>
      <c r="AJ123" s="258">
        <f>SUM(AJ133)</f>
        <v>0</v>
      </c>
      <c r="AK123" s="258">
        <f>SUM(AK133)</f>
        <v>0</v>
      </c>
      <c r="AL123" s="258">
        <f>SUM(AL133)</f>
        <v>0</v>
      </c>
      <c r="AM123" s="258">
        <f>SUM(AM133)</f>
        <v>0</v>
      </c>
      <c r="AN123" s="258">
        <f>SUM(AN133)</f>
        <v>0</v>
      </c>
      <c r="AO123" s="259"/>
      <c r="AP123" s="260"/>
      <c r="AQ123" s="261">
        <f>SUM(AQ133)</f>
        <v>74827973.314285725</v>
      </c>
      <c r="AR123" s="261">
        <f>SUM(AR133)</f>
        <v>13047063.6</v>
      </c>
      <c r="AS123" s="261">
        <f>SUM(AS133)</f>
        <v>0</v>
      </c>
      <c r="AT123" s="261">
        <f>SUM(AT133)</f>
        <v>87875036.914285704</v>
      </c>
      <c r="AU123" s="261">
        <f t="shared" ref="AU123:BB123" si="81">SUM(AU133)</f>
        <v>87875038</v>
      </c>
      <c r="AV123" s="261">
        <f t="shared" si="81"/>
        <v>0</v>
      </c>
      <c r="AW123" s="261">
        <f t="shared" si="81"/>
        <v>0</v>
      </c>
      <c r="AX123" s="261">
        <f t="shared" si="81"/>
        <v>0</v>
      </c>
      <c r="AY123" s="261">
        <f t="shared" si="81"/>
        <v>0</v>
      </c>
      <c r="AZ123" s="261">
        <f t="shared" si="81"/>
        <v>0</v>
      </c>
      <c r="BA123" s="261">
        <f t="shared" si="81"/>
        <v>0</v>
      </c>
      <c r="BB123" s="261">
        <f t="shared" si="81"/>
        <v>1.0857142880558968</v>
      </c>
    </row>
    <row r="124" spans="1:58" ht="61.9" customHeight="1" outlineLevel="2" x14ac:dyDescent="0.25">
      <c r="A124" s="115"/>
      <c r="B124" s="200"/>
      <c r="C124" s="201"/>
      <c r="D124" s="346"/>
      <c r="E124" s="321"/>
      <c r="F124" s="306"/>
      <c r="G124" s="307"/>
      <c r="H124" s="199" t="s">
        <v>549</v>
      </c>
      <c r="I124" s="130"/>
      <c r="J124" s="126"/>
      <c r="K124" s="126"/>
      <c r="L124" s="125" t="str">
        <f>IF(I124&lt;&gt;0,((VLOOKUP(I124,'1. Standard_Cost'!$B$4:$D$11,2)+VLOOKUP(I124,'1. Standard_Cost'!$B$4:$D$11,3))*J124*K124),"0")</f>
        <v>0</v>
      </c>
      <c r="M124" s="125">
        <f>L124*'1. Standard_Cost'!$F$4</f>
        <v>0</v>
      </c>
      <c r="N124" s="126"/>
      <c r="O124" s="126"/>
      <c r="P124" s="126"/>
      <c r="Q124" s="126"/>
      <c r="R124" s="127">
        <f>'1. Standard_Cost'!$B$15*N124*P124</f>
        <v>0</v>
      </c>
      <c r="S124" s="127">
        <f>N124*O124*P124*'1. Standard_Cost'!$C$15</f>
        <v>0</v>
      </c>
      <c r="T124" s="127">
        <f>N124*P124*Q124*'1. Standard_Cost'!$D$15</f>
        <v>0</v>
      </c>
      <c r="U124" s="127">
        <f>N124*O124*'1. Standard_Cost'!$E$15</f>
        <v>0</v>
      </c>
      <c r="V124" s="126"/>
      <c r="W124" s="126"/>
      <c r="X124" s="126"/>
      <c r="Y124" s="127">
        <f>+V124*((X124*'1. Standard_Cost'!$B$19)+(W124*X124*'1. Standard_Cost'!$C$19))</f>
        <v>0</v>
      </c>
      <c r="Z124" s="126"/>
      <c r="AA124" s="126"/>
      <c r="AB124" s="127">
        <f>+Z124*'1. Standard_Cost'!$B$23+AA124*'1. Standard_Cost'!$C$23</f>
        <v>0</v>
      </c>
      <c r="AC124" s="128"/>
      <c r="AD124" s="129"/>
      <c r="AE124" s="127">
        <f>SUM(AD124,AC124,AB124,Y124,U124,T124,S124,R124)*'1. Standard_Cost'!$B$31</f>
        <v>0</v>
      </c>
      <c r="AF124" s="127">
        <f t="shared" ref="AF124:AF132" si="82">SUM(AE124,AD124,AC124,AB124,Y124,U124,T124,S124,R124)</f>
        <v>0</v>
      </c>
      <c r="AG124" s="126"/>
      <c r="AH124" s="126"/>
      <c r="AI124" s="126"/>
      <c r="AJ124" s="130"/>
      <c r="AK124" s="130"/>
      <c r="AL124" s="130"/>
      <c r="AM124" s="127">
        <f>AG124*'1. Standard_Cost'!$B$27+'Incremental_Cost Year 8'!AH124*'1. Standard_Cost'!$C$27+'Incremental_Cost Year 8'!AI124*'1. Standard_Cost'!$D$27+'Incremental_Cost Year 8'!AJ124+'Incremental_Cost Year 8'!AL124+AK124</f>
        <v>0</v>
      </c>
      <c r="AN124" s="127">
        <f>AM124*'1. Standard_Cost'!$C$31</f>
        <v>0</v>
      </c>
      <c r="AO124" s="130"/>
      <c r="AQ124" s="171">
        <f t="shared" ref="AQ124:AQ132" si="83">L124+M124</f>
        <v>0</v>
      </c>
      <c r="AR124" s="171">
        <f t="shared" ref="AR124:AR132" si="84">AF124</f>
        <v>0</v>
      </c>
      <c r="AS124" s="171">
        <f t="shared" ref="AS124:AS132" si="85">AM124+AN124</f>
        <v>0</v>
      </c>
      <c r="AT124" s="171">
        <f t="shared" ref="AT124:AT132" si="86">SUM(AQ124,AR124,AS124)</f>
        <v>0</v>
      </c>
      <c r="AU124" s="250"/>
      <c r="AV124" s="250"/>
      <c r="AW124" s="250"/>
      <c r="AX124" s="250"/>
      <c r="AY124" s="250"/>
      <c r="AZ124" s="250"/>
      <c r="BA124" s="250"/>
      <c r="BB124" s="251">
        <f t="shared" ref="BB124:BB132" si="87">SUM(AU124:BA124)-AT124</f>
        <v>0</v>
      </c>
      <c r="BC124" s="169"/>
      <c r="BD124" s="169"/>
      <c r="BE124" s="169"/>
      <c r="BF124" s="169"/>
    </row>
    <row r="125" spans="1:58" ht="61.9" customHeight="1" outlineLevel="2" x14ac:dyDescent="0.25">
      <c r="A125" s="115"/>
      <c r="B125" s="200"/>
      <c r="C125" s="201"/>
      <c r="D125" s="131"/>
      <c r="E125" s="323"/>
      <c r="F125" s="308"/>
      <c r="G125" s="309"/>
      <c r="H125" s="199" t="s">
        <v>446</v>
      </c>
      <c r="I125" s="130" t="s">
        <v>1</v>
      </c>
      <c r="J125" s="126">
        <v>12</v>
      </c>
      <c r="K125" s="126">
        <v>12</v>
      </c>
      <c r="L125" s="125">
        <f>IF(I125&lt;&gt;0,((VLOOKUP(I125,'1. Standard_Cost'!$B$4:$D$11,2)+VLOOKUP(I125,'1. Standard_Cost'!$B$4:$D$11,3))*J125*K125),"0")</f>
        <v>10338171.428571429</v>
      </c>
      <c r="M125" s="125">
        <f>L125*'1. Standard_Cost'!$F$4</f>
        <v>1726474.6285714288</v>
      </c>
      <c r="N125" s="126"/>
      <c r="O125" s="126"/>
      <c r="P125" s="126"/>
      <c r="Q125" s="126"/>
      <c r="R125" s="127">
        <f>'1. Standard_Cost'!$B$15*N125*P125</f>
        <v>0</v>
      </c>
      <c r="S125" s="127">
        <f>N125*O125*P125*'1. Standard_Cost'!$C$15</f>
        <v>0</v>
      </c>
      <c r="T125" s="127">
        <f>N125*P125*Q125*'1. Standard_Cost'!$D$15</f>
        <v>0</v>
      </c>
      <c r="U125" s="127">
        <f>N125*O125*'1. Standard_Cost'!$E$15</f>
        <v>0</v>
      </c>
      <c r="V125" s="126"/>
      <c r="W125" s="126"/>
      <c r="X125" s="126"/>
      <c r="Y125" s="127">
        <f>+V125*((X125*'1. Standard_Cost'!$B$19)+(W125*X125*'1. Standard_Cost'!$C$19))</f>
        <v>0</v>
      </c>
      <c r="Z125" s="126"/>
      <c r="AA125" s="126"/>
      <c r="AB125" s="127">
        <f>+Z125*'1. Standard_Cost'!$B$23+AA125*'1. Standard_Cost'!$C$23</f>
        <v>0</v>
      </c>
      <c r="AC125" s="128">
        <v>1448000</v>
      </c>
      <c r="AD125" s="129"/>
      <c r="AE125" s="127">
        <f>SUM(AD125,AC125,AB125,Y125,U125,T125,S125,R125)*'1. Standard_Cost'!$B$31</f>
        <v>289600</v>
      </c>
      <c r="AF125" s="127">
        <f t="shared" si="82"/>
        <v>1737600</v>
      </c>
      <c r="AG125" s="126"/>
      <c r="AH125" s="126"/>
      <c r="AI125" s="126"/>
      <c r="AJ125" s="130"/>
      <c r="AK125" s="130"/>
      <c r="AL125" s="130"/>
      <c r="AM125" s="127">
        <f>AG125*'1. Standard_Cost'!$B$27+'Incremental_Cost Year 8'!AH125*'1. Standard_Cost'!$C$27+'Incremental_Cost Year 8'!AI125*'1. Standard_Cost'!$D$27+'Incremental_Cost Year 8'!AJ125+'Incremental_Cost Year 8'!AL125+AK125</f>
        <v>0</v>
      </c>
      <c r="AN125" s="127">
        <f>AM125*'1. Standard_Cost'!$C$31</f>
        <v>0</v>
      </c>
      <c r="AO125" s="130"/>
      <c r="AQ125" s="171">
        <f t="shared" si="83"/>
        <v>12064646.057142857</v>
      </c>
      <c r="AR125" s="171">
        <f t="shared" si="84"/>
        <v>1737600</v>
      </c>
      <c r="AS125" s="171">
        <f t="shared" si="85"/>
        <v>0</v>
      </c>
      <c r="AT125" s="171">
        <f t="shared" si="86"/>
        <v>13802246.057142857</v>
      </c>
      <c r="AU125" s="250">
        <v>13802246</v>
      </c>
      <c r="AV125" s="250"/>
      <c r="AW125" s="250"/>
      <c r="AX125" s="250"/>
      <c r="AY125" s="250"/>
      <c r="AZ125" s="250"/>
      <c r="BA125" s="250"/>
      <c r="BB125" s="251">
        <f t="shared" si="87"/>
        <v>-5.714285746216774E-2</v>
      </c>
      <c r="BC125" s="169"/>
      <c r="BD125" s="169"/>
      <c r="BE125" s="169"/>
      <c r="BF125" s="169"/>
    </row>
    <row r="126" spans="1:58" ht="61.9" customHeight="1" outlineLevel="2" x14ac:dyDescent="0.25">
      <c r="A126" s="115"/>
      <c r="B126" s="200"/>
      <c r="C126" s="201"/>
      <c r="D126" s="131"/>
      <c r="E126" s="323"/>
      <c r="F126" s="308"/>
      <c r="G126" s="309"/>
      <c r="H126" s="199" t="s">
        <v>447</v>
      </c>
      <c r="I126" s="130" t="s">
        <v>1</v>
      </c>
      <c r="J126" s="126">
        <v>12</v>
      </c>
      <c r="K126" s="126">
        <v>8</v>
      </c>
      <c r="L126" s="125">
        <f>IF(I126&lt;&gt;0,((VLOOKUP(I126,'1. Standard_Cost'!$B$4:$D$11,2)+VLOOKUP(I126,'1. Standard_Cost'!$B$4:$D$11,3))*J126*K126),"0")</f>
        <v>6892114.2857142854</v>
      </c>
      <c r="M126" s="125">
        <f>L126*'1. Standard_Cost'!$F$4</f>
        <v>1150983.0857142857</v>
      </c>
      <c r="N126" s="126"/>
      <c r="O126" s="126"/>
      <c r="P126" s="126"/>
      <c r="Q126" s="126"/>
      <c r="R126" s="127">
        <f>'1. Standard_Cost'!$B$15*N126*P126</f>
        <v>0</v>
      </c>
      <c r="S126" s="127">
        <f>N126*O126*P126*'1. Standard_Cost'!$C$15</f>
        <v>0</v>
      </c>
      <c r="T126" s="127">
        <f>N126*P126*Q126*'1. Standard_Cost'!$D$15</f>
        <v>0</v>
      </c>
      <c r="U126" s="127">
        <f>N126*O126*'1. Standard_Cost'!$E$15</f>
        <v>0</v>
      </c>
      <c r="V126" s="126"/>
      <c r="W126" s="126"/>
      <c r="X126" s="126"/>
      <c r="Y126" s="127">
        <f>+V126*((X126*'1. Standard_Cost'!$B$19)+(W126*X126*'1. Standard_Cost'!$C$19))</f>
        <v>0</v>
      </c>
      <c r="Z126" s="126"/>
      <c r="AA126" s="126"/>
      <c r="AB126" s="127">
        <f>+Z126*'1. Standard_Cost'!$B$23+AA126*'1. Standard_Cost'!$C$23</f>
        <v>0</v>
      </c>
      <c r="AC126" s="128">
        <v>965172</v>
      </c>
      <c r="AD126" s="129"/>
      <c r="AE126" s="127">
        <f>SUM(AD126,AC126,AB126,Y126,U126,T126,S126,R126)*'1. Standard_Cost'!$B$31</f>
        <v>193034.40000000002</v>
      </c>
      <c r="AF126" s="127">
        <f t="shared" si="82"/>
        <v>1158206.3999999999</v>
      </c>
      <c r="AG126" s="126"/>
      <c r="AH126" s="126"/>
      <c r="AI126" s="126"/>
      <c r="AJ126" s="130"/>
      <c r="AK126" s="130"/>
      <c r="AL126" s="130"/>
      <c r="AM126" s="127">
        <f>AG126*'1. Standard_Cost'!$B$27+'Incremental_Cost Year 8'!AH126*'1. Standard_Cost'!$C$27+'Incremental_Cost Year 8'!AI126*'1. Standard_Cost'!$D$27+'Incremental_Cost Year 8'!AJ126+'Incremental_Cost Year 8'!AL126+AK126</f>
        <v>0</v>
      </c>
      <c r="AN126" s="127">
        <f>AM126*'1. Standard_Cost'!$C$31</f>
        <v>0</v>
      </c>
      <c r="AO126" s="130"/>
      <c r="AQ126" s="171">
        <f t="shared" si="83"/>
        <v>8043097.3714285716</v>
      </c>
      <c r="AR126" s="171">
        <f t="shared" si="84"/>
        <v>1158206.3999999999</v>
      </c>
      <c r="AS126" s="171">
        <f t="shared" si="85"/>
        <v>0</v>
      </c>
      <c r="AT126" s="171">
        <f t="shared" si="86"/>
        <v>9201303.771428572</v>
      </c>
      <c r="AU126" s="250">
        <v>9201304</v>
      </c>
      <c r="AV126" s="250"/>
      <c r="AW126" s="250"/>
      <c r="AX126" s="250"/>
      <c r="AY126" s="250"/>
      <c r="AZ126" s="250"/>
      <c r="BA126" s="250"/>
      <c r="BB126" s="251">
        <f t="shared" si="87"/>
        <v>0.22857142798602581</v>
      </c>
      <c r="BC126" s="169"/>
      <c r="BD126" s="169"/>
      <c r="BE126" s="169"/>
      <c r="BF126" s="169"/>
    </row>
    <row r="127" spans="1:58" ht="61.9" customHeight="1" outlineLevel="2" x14ac:dyDescent="0.25">
      <c r="A127" s="115"/>
      <c r="B127" s="200"/>
      <c r="C127" s="201"/>
      <c r="D127" s="131"/>
      <c r="E127" s="323"/>
      <c r="F127" s="308"/>
      <c r="G127" s="309"/>
      <c r="H127" s="199" t="s">
        <v>448</v>
      </c>
      <c r="I127" s="130" t="s">
        <v>1</v>
      </c>
      <c r="J127" s="126">
        <v>12</v>
      </c>
      <c r="K127" s="126">
        <v>5</v>
      </c>
      <c r="L127" s="125">
        <f>IF(I127&lt;&gt;0,((VLOOKUP(I127,'1. Standard_Cost'!$B$4:$D$11,2)+VLOOKUP(I127,'1. Standard_Cost'!$B$4:$D$11,3))*J127*K127),"0")</f>
        <v>4307571.4285714282</v>
      </c>
      <c r="M127" s="125">
        <f>L127*'1. Standard_Cost'!$F$4</f>
        <v>719364.42857142852</v>
      </c>
      <c r="N127" s="126"/>
      <c r="O127" s="126"/>
      <c r="P127" s="126"/>
      <c r="Q127" s="126"/>
      <c r="R127" s="127">
        <f>'1. Standard_Cost'!$B$15*N127*P127</f>
        <v>0</v>
      </c>
      <c r="S127" s="127">
        <f>N127*O127*P127*'1. Standard_Cost'!$C$15</f>
        <v>0</v>
      </c>
      <c r="T127" s="127">
        <f>N127*P127*Q127*'1. Standard_Cost'!$D$15</f>
        <v>0</v>
      </c>
      <c r="U127" s="127">
        <f>N127*O127*'1. Standard_Cost'!$E$15</f>
        <v>0</v>
      </c>
      <c r="V127" s="126"/>
      <c r="W127" s="126"/>
      <c r="X127" s="126"/>
      <c r="Y127" s="127">
        <f>+V127*((X127*'1. Standard_Cost'!$B$19)+(W127*X127*'1. Standard_Cost'!$C$19))</f>
        <v>0</v>
      </c>
      <c r="Z127" s="126"/>
      <c r="AA127" s="126"/>
      <c r="AB127" s="127">
        <f>+Z127*'1. Standard_Cost'!$B$23+AA127*'1. Standard_Cost'!$C$23</f>
        <v>0</v>
      </c>
      <c r="AC127" s="128">
        <v>754040</v>
      </c>
      <c r="AD127" s="129"/>
      <c r="AE127" s="127">
        <f>SUM(AD127,AC127,AB127,Y127,U127,T127,S127,R127)*'1. Standard_Cost'!$B$31</f>
        <v>150808</v>
      </c>
      <c r="AF127" s="127">
        <f t="shared" si="82"/>
        <v>904848</v>
      </c>
      <c r="AG127" s="126"/>
      <c r="AH127" s="126"/>
      <c r="AI127" s="126"/>
      <c r="AJ127" s="130"/>
      <c r="AK127" s="130"/>
      <c r="AL127" s="130"/>
      <c r="AM127" s="127">
        <f>AG127*'1. Standard_Cost'!$B$27+'Incremental_Cost Year 8'!AH127*'1. Standard_Cost'!$C$27+'Incremental_Cost Year 8'!AI127*'1. Standard_Cost'!$D$27+'Incremental_Cost Year 8'!AJ127+'Incremental_Cost Year 8'!AL127+AK127</f>
        <v>0</v>
      </c>
      <c r="AN127" s="127">
        <f>AM127*'1. Standard_Cost'!$C$31</f>
        <v>0</v>
      </c>
      <c r="AO127" s="130"/>
      <c r="AQ127" s="171">
        <f t="shared" si="83"/>
        <v>5026935.8571428563</v>
      </c>
      <c r="AR127" s="171">
        <f t="shared" si="84"/>
        <v>904848</v>
      </c>
      <c r="AS127" s="171">
        <f t="shared" si="85"/>
        <v>0</v>
      </c>
      <c r="AT127" s="171">
        <f t="shared" si="86"/>
        <v>5931783.8571428563</v>
      </c>
      <c r="AU127" s="250">
        <v>5931784</v>
      </c>
      <c r="AV127" s="250"/>
      <c r="AW127" s="250"/>
      <c r="AX127" s="250"/>
      <c r="AY127" s="250"/>
      <c r="AZ127" s="250"/>
      <c r="BA127" s="250"/>
      <c r="BB127" s="251">
        <f t="shared" si="87"/>
        <v>0.14285714365541935</v>
      </c>
      <c r="BC127" s="169"/>
      <c r="BD127" s="169"/>
      <c r="BE127" s="169"/>
      <c r="BF127" s="169"/>
    </row>
    <row r="128" spans="1:58" ht="61.9" customHeight="1" outlineLevel="2" x14ac:dyDescent="0.25">
      <c r="A128" s="115"/>
      <c r="B128" s="200"/>
      <c r="C128" s="201"/>
      <c r="D128" s="131"/>
      <c r="E128" s="323"/>
      <c r="F128" s="326"/>
      <c r="G128" s="309"/>
      <c r="H128" s="199" t="s">
        <v>449</v>
      </c>
      <c r="I128" s="130" t="s">
        <v>1</v>
      </c>
      <c r="J128" s="126">
        <v>12</v>
      </c>
      <c r="K128" s="126">
        <v>21</v>
      </c>
      <c r="L128" s="125">
        <f>IF(I128&lt;&gt;0,((VLOOKUP(I128,'1. Standard_Cost'!$B$4:$D$11,2)+VLOOKUP(I128,'1. Standard_Cost'!$B$4:$D$11,3))*J128*K128),"0")</f>
        <v>18091800</v>
      </c>
      <c r="M128" s="125">
        <f>L128*'1. Standard_Cost'!$F$4</f>
        <v>3021330.6</v>
      </c>
      <c r="N128" s="126"/>
      <c r="O128" s="126"/>
      <c r="P128" s="126"/>
      <c r="Q128" s="126"/>
      <c r="R128" s="127">
        <f>'1. Standard_Cost'!$B$15*N128*P128</f>
        <v>0</v>
      </c>
      <c r="S128" s="127">
        <f>N128*O128*P128*'1. Standard_Cost'!$C$15</f>
        <v>0</v>
      </c>
      <c r="T128" s="127">
        <f>N128*P128*Q128*'1. Standard_Cost'!$D$15</f>
        <v>0</v>
      </c>
      <c r="U128" s="127">
        <f>N128*O128*'1. Standard_Cost'!$E$15</f>
        <v>0</v>
      </c>
      <c r="V128" s="126"/>
      <c r="W128" s="126"/>
      <c r="X128" s="126"/>
      <c r="Y128" s="127">
        <f>+V128*((X128*'1. Standard_Cost'!$B$19)+(W128*X128*'1. Standard_Cost'!$C$19))</f>
        <v>0</v>
      </c>
      <c r="Z128" s="126"/>
      <c r="AA128" s="126"/>
      <c r="AB128" s="127">
        <f>+Z128*'1. Standard_Cost'!$B$23+AA128*'1. Standard_Cost'!$C$23</f>
        <v>0</v>
      </c>
      <c r="AC128" s="128">
        <v>3166970</v>
      </c>
      <c r="AD128" s="129"/>
      <c r="AE128" s="127">
        <f>SUM(AD128,AC128,AB128,Y128,U128,T128,S128,R128)*'1. Standard_Cost'!$B$31</f>
        <v>633394</v>
      </c>
      <c r="AF128" s="127">
        <f t="shared" si="82"/>
        <v>3800364</v>
      </c>
      <c r="AG128" s="126"/>
      <c r="AH128" s="126"/>
      <c r="AI128" s="126"/>
      <c r="AJ128" s="130"/>
      <c r="AK128" s="130"/>
      <c r="AL128" s="130"/>
      <c r="AM128" s="127">
        <f>AG128*'1. Standard_Cost'!$B$27+'Incremental_Cost Year 8'!AH128*'1. Standard_Cost'!$C$27+'Incremental_Cost Year 8'!AI128*'1. Standard_Cost'!$D$27+'Incremental_Cost Year 8'!AJ128+'Incremental_Cost Year 8'!AL128+AK128</f>
        <v>0</v>
      </c>
      <c r="AN128" s="127">
        <f>AM128*'1. Standard_Cost'!$C$31</f>
        <v>0</v>
      </c>
      <c r="AO128" s="130"/>
      <c r="AQ128" s="171">
        <f t="shared" si="83"/>
        <v>21113130.600000001</v>
      </c>
      <c r="AR128" s="171">
        <f t="shared" si="84"/>
        <v>3800364</v>
      </c>
      <c r="AS128" s="171">
        <f t="shared" si="85"/>
        <v>0</v>
      </c>
      <c r="AT128" s="171">
        <f t="shared" si="86"/>
        <v>24913494.600000001</v>
      </c>
      <c r="AU128" s="250">
        <v>24913495</v>
      </c>
      <c r="AV128" s="250"/>
      <c r="AW128" s="250"/>
      <c r="AX128" s="250"/>
      <c r="AY128" s="250"/>
      <c r="AZ128" s="250"/>
      <c r="BA128" s="250"/>
      <c r="BB128" s="251">
        <f t="shared" si="87"/>
        <v>0.39999999850988388</v>
      </c>
      <c r="BC128" s="169"/>
      <c r="BD128" s="169"/>
      <c r="BE128" s="169"/>
      <c r="BF128" s="169"/>
    </row>
    <row r="129" spans="1:58" ht="61.9" customHeight="1" outlineLevel="2" x14ac:dyDescent="0.25">
      <c r="A129" s="115"/>
      <c r="B129" s="200"/>
      <c r="C129" s="201"/>
      <c r="D129" s="131"/>
      <c r="E129" s="323"/>
      <c r="F129" s="326"/>
      <c r="G129" s="309"/>
      <c r="H129" s="199" t="s">
        <v>284</v>
      </c>
      <c r="I129" s="130" t="s">
        <v>1</v>
      </c>
      <c r="J129" s="126">
        <v>12</v>
      </c>
      <c r="K129" s="126">
        <v>5</v>
      </c>
      <c r="L129" s="125">
        <f>IF(I129&lt;&gt;0,((VLOOKUP(I129,'1. Standard_Cost'!$B$4:$D$11,2)+VLOOKUP(I129,'1. Standard_Cost'!$B$4:$D$11,3))*J129*K129),"0")</f>
        <v>4307571.4285714282</v>
      </c>
      <c r="M129" s="125">
        <f>L129*'1. Standard_Cost'!$F$4</f>
        <v>719364.42857142852</v>
      </c>
      <c r="N129" s="126"/>
      <c r="O129" s="126"/>
      <c r="P129" s="126"/>
      <c r="Q129" s="126"/>
      <c r="R129" s="127">
        <f>'1. Standard_Cost'!$B$15*N129*P129</f>
        <v>0</v>
      </c>
      <c r="S129" s="127">
        <f>N129*O129*P129*'1. Standard_Cost'!$C$15</f>
        <v>0</v>
      </c>
      <c r="T129" s="127">
        <f>N129*P129*Q129*'1. Standard_Cost'!$D$15</f>
        <v>0</v>
      </c>
      <c r="U129" s="127">
        <f>N129*O129*'1. Standard_Cost'!$E$15</f>
        <v>0</v>
      </c>
      <c r="V129" s="126"/>
      <c r="W129" s="126"/>
      <c r="X129" s="126"/>
      <c r="Y129" s="127">
        <f>+V129*((X129*'1. Standard_Cost'!$B$19)+(W129*X129*'1. Standard_Cost'!$C$19))</f>
        <v>0</v>
      </c>
      <c r="Z129" s="126"/>
      <c r="AA129" s="126"/>
      <c r="AB129" s="127">
        <f>+Z129*'1. Standard_Cost'!$B$23+AA129*'1. Standard_Cost'!$C$23</f>
        <v>0</v>
      </c>
      <c r="AC129" s="128">
        <v>1005388</v>
      </c>
      <c r="AD129" s="129"/>
      <c r="AE129" s="127">
        <f>SUM(AD129,AC129,AB129,Y129,U129,T129,S129,R129)*'1. Standard_Cost'!$B$31</f>
        <v>201077.6</v>
      </c>
      <c r="AF129" s="127">
        <f t="shared" si="82"/>
        <v>1206465.6000000001</v>
      </c>
      <c r="AG129" s="126"/>
      <c r="AH129" s="126"/>
      <c r="AI129" s="126"/>
      <c r="AJ129" s="130"/>
      <c r="AK129" s="130"/>
      <c r="AL129" s="130"/>
      <c r="AM129" s="127">
        <f>AG129*'1. Standard_Cost'!$B$27+'Incremental_Cost Year 8'!AH129*'1. Standard_Cost'!$C$27+'Incremental_Cost Year 8'!AI129*'1. Standard_Cost'!$D$27+'Incremental_Cost Year 8'!AJ129+'Incremental_Cost Year 8'!AL129+AK129</f>
        <v>0</v>
      </c>
      <c r="AN129" s="127">
        <f>AM129*'1. Standard_Cost'!$C$31</f>
        <v>0</v>
      </c>
      <c r="AO129" s="130"/>
      <c r="AQ129" s="171">
        <f t="shared" si="83"/>
        <v>5026935.8571428563</v>
      </c>
      <c r="AR129" s="171">
        <f t="shared" si="84"/>
        <v>1206465.6000000001</v>
      </c>
      <c r="AS129" s="171">
        <f t="shared" si="85"/>
        <v>0</v>
      </c>
      <c r="AT129" s="171">
        <f t="shared" si="86"/>
        <v>6233401.457142856</v>
      </c>
      <c r="AU129" s="250">
        <v>6233401</v>
      </c>
      <c r="AV129" s="250"/>
      <c r="AW129" s="250"/>
      <c r="AX129" s="250"/>
      <c r="AY129" s="250"/>
      <c r="AZ129" s="250"/>
      <c r="BA129" s="250"/>
      <c r="BB129" s="251">
        <f t="shared" si="87"/>
        <v>-0.45714285597205162</v>
      </c>
      <c r="BC129" s="169"/>
      <c r="BD129" s="169"/>
      <c r="BE129" s="169"/>
      <c r="BF129" s="169"/>
    </row>
    <row r="130" spans="1:58" ht="61.9" customHeight="1" outlineLevel="2" x14ac:dyDescent="0.25">
      <c r="A130" s="115"/>
      <c r="B130" s="200"/>
      <c r="C130" s="201"/>
      <c r="D130" s="131"/>
      <c r="E130" s="323"/>
      <c r="F130" s="326"/>
      <c r="G130" s="309"/>
      <c r="H130" s="199" t="s">
        <v>450</v>
      </c>
      <c r="I130" s="130" t="s">
        <v>1</v>
      </c>
      <c r="J130" s="126">
        <v>12</v>
      </c>
      <c r="K130" s="126">
        <v>10</v>
      </c>
      <c r="L130" s="125">
        <f>IF(I130&lt;&gt;0,((VLOOKUP(I130,'1. Standard_Cost'!$B$4:$D$11,2)+VLOOKUP(I130,'1. Standard_Cost'!$B$4:$D$11,3))*J130*K130),"0")</f>
        <v>8615142.8571428563</v>
      </c>
      <c r="M130" s="125">
        <f>L130*'1. Standard_Cost'!$F$4</f>
        <v>1438728.857142857</v>
      </c>
      <c r="N130" s="126"/>
      <c r="O130" s="126"/>
      <c r="P130" s="126"/>
      <c r="Q130" s="126"/>
      <c r="R130" s="127">
        <f>'1. Standard_Cost'!$B$15*N130*P130</f>
        <v>0</v>
      </c>
      <c r="S130" s="127">
        <f>N130*O130*P130*'1. Standard_Cost'!$C$15</f>
        <v>0</v>
      </c>
      <c r="T130" s="127">
        <f>N130*P130*Q130*'1. Standard_Cost'!$D$15</f>
        <v>0</v>
      </c>
      <c r="U130" s="127">
        <f>N130*O130*'1. Standard_Cost'!$E$15</f>
        <v>0</v>
      </c>
      <c r="V130" s="126"/>
      <c r="W130" s="126"/>
      <c r="X130" s="126"/>
      <c r="Y130" s="127">
        <f>+V130*((X130*'1. Standard_Cost'!$B$19)+(W130*X130*'1. Standard_Cost'!$C$19))</f>
        <v>0</v>
      </c>
      <c r="Z130" s="126"/>
      <c r="AA130" s="126"/>
      <c r="AB130" s="127">
        <f>+Z130*'1. Standard_Cost'!$B$23+AA130*'1. Standard_Cost'!$C$23</f>
        <v>0</v>
      </c>
      <c r="AC130" s="128">
        <v>1508080</v>
      </c>
      <c r="AD130" s="129"/>
      <c r="AE130" s="127">
        <f>SUM(AD130,AC130,AB130,Y130,U130,T130,S130,R130)*'1. Standard_Cost'!$B$31</f>
        <v>301616</v>
      </c>
      <c r="AF130" s="127">
        <f t="shared" si="82"/>
        <v>1809696</v>
      </c>
      <c r="AG130" s="126"/>
      <c r="AH130" s="126"/>
      <c r="AI130" s="126"/>
      <c r="AJ130" s="130"/>
      <c r="AK130" s="130"/>
      <c r="AL130" s="130"/>
      <c r="AM130" s="127">
        <f>AG130*'1. Standard_Cost'!$B$27+'Incremental_Cost Year 8'!AH130*'1. Standard_Cost'!$C$27+'Incremental_Cost Year 8'!AI130*'1. Standard_Cost'!$D$27+'Incremental_Cost Year 8'!AJ130+'Incremental_Cost Year 8'!AL130+AK130</f>
        <v>0</v>
      </c>
      <c r="AN130" s="127">
        <f>AM130*'1. Standard_Cost'!$C$31</f>
        <v>0</v>
      </c>
      <c r="AO130" s="130"/>
      <c r="AQ130" s="171">
        <f t="shared" si="83"/>
        <v>10053871.714285713</v>
      </c>
      <c r="AR130" s="171">
        <f t="shared" si="84"/>
        <v>1809696</v>
      </c>
      <c r="AS130" s="171">
        <f t="shared" si="85"/>
        <v>0</v>
      </c>
      <c r="AT130" s="171">
        <f t="shared" si="86"/>
        <v>11863567.714285713</v>
      </c>
      <c r="AU130" s="250">
        <v>11863568</v>
      </c>
      <c r="AV130" s="250"/>
      <c r="AW130" s="250"/>
      <c r="AX130" s="250"/>
      <c r="AY130" s="250"/>
      <c r="AZ130" s="250"/>
      <c r="BA130" s="250"/>
      <c r="BB130" s="251">
        <f t="shared" si="87"/>
        <v>0.2857142873108387</v>
      </c>
      <c r="BC130" s="169"/>
      <c r="BD130" s="169"/>
      <c r="BE130" s="169"/>
      <c r="BF130" s="169"/>
    </row>
    <row r="131" spans="1:58" ht="61.9" customHeight="1" outlineLevel="2" x14ac:dyDescent="0.25">
      <c r="A131" s="115"/>
      <c r="B131" s="200"/>
      <c r="C131" s="201"/>
      <c r="D131" s="131"/>
      <c r="E131" s="323"/>
      <c r="F131" s="326"/>
      <c r="G131" s="309"/>
      <c r="H131" s="225" t="s">
        <v>285</v>
      </c>
      <c r="I131" s="130" t="s">
        <v>1</v>
      </c>
      <c r="J131" s="126">
        <v>12</v>
      </c>
      <c r="K131" s="126">
        <v>5</v>
      </c>
      <c r="L131" s="125">
        <f>IF(I131&lt;&gt;0,((VLOOKUP(I131,'1. Standard_Cost'!$B$4:$D$11,2)+VLOOKUP(I131,'1. Standard_Cost'!$B$4:$D$11,3))*J131*K131),"0")</f>
        <v>4307571.4285714282</v>
      </c>
      <c r="M131" s="125">
        <f>L131*'1. Standard_Cost'!$F$4</f>
        <v>719364.42857142852</v>
      </c>
      <c r="N131" s="126"/>
      <c r="O131" s="126"/>
      <c r="P131" s="126"/>
      <c r="Q131" s="126"/>
      <c r="R131" s="127">
        <f>'1. Standard_Cost'!$B$15*N131*P131</f>
        <v>0</v>
      </c>
      <c r="S131" s="127">
        <f>N131*O131*P131*'1. Standard_Cost'!$C$15</f>
        <v>0</v>
      </c>
      <c r="T131" s="127">
        <f>N131*P131*Q131*'1. Standard_Cost'!$D$15</f>
        <v>0</v>
      </c>
      <c r="U131" s="127">
        <f>N131*O131*'1. Standard_Cost'!$E$15</f>
        <v>0</v>
      </c>
      <c r="V131" s="126"/>
      <c r="W131" s="126"/>
      <c r="X131" s="126"/>
      <c r="Y131" s="127">
        <f>+V131*((X131*'1. Standard_Cost'!$B$19)+(W131*X131*'1. Standard_Cost'!$C$19))</f>
        <v>0</v>
      </c>
      <c r="Z131" s="126"/>
      <c r="AA131" s="126"/>
      <c r="AB131" s="127">
        <f>+Z131*'1. Standard_Cost'!$B$23+AA131*'1. Standard_Cost'!$C$23</f>
        <v>0</v>
      </c>
      <c r="AC131" s="128">
        <v>754040</v>
      </c>
      <c r="AD131" s="129"/>
      <c r="AE131" s="127">
        <f>SUM(AD131,AC131,AB131,Y131,U131,T131,S131,R131)*'1. Standard_Cost'!$B$31</f>
        <v>150808</v>
      </c>
      <c r="AF131" s="127">
        <f t="shared" si="82"/>
        <v>904848</v>
      </c>
      <c r="AG131" s="126"/>
      <c r="AH131" s="126"/>
      <c r="AI131" s="126"/>
      <c r="AJ131" s="130"/>
      <c r="AK131" s="130"/>
      <c r="AL131" s="130"/>
      <c r="AM131" s="127">
        <f>AG131*'1. Standard_Cost'!$B$27+'Incremental_Cost Year 8'!AH131*'1. Standard_Cost'!$C$27+'Incremental_Cost Year 8'!AI131*'1. Standard_Cost'!$D$27+'Incremental_Cost Year 8'!AJ131+'Incremental_Cost Year 8'!AL131+AK131</f>
        <v>0</v>
      </c>
      <c r="AN131" s="127">
        <f>AM131*'1. Standard_Cost'!$C$31</f>
        <v>0</v>
      </c>
      <c r="AO131" s="130"/>
      <c r="AQ131" s="171">
        <f t="shared" si="83"/>
        <v>5026935.8571428563</v>
      </c>
      <c r="AR131" s="171">
        <f t="shared" si="84"/>
        <v>904848</v>
      </c>
      <c r="AS131" s="171">
        <f t="shared" si="85"/>
        <v>0</v>
      </c>
      <c r="AT131" s="171">
        <f t="shared" si="86"/>
        <v>5931783.8571428563</v>
      </c>
      <c r="AU131" s="250">
        <v>5931784</v>
      </c>
      <c r="AV131" s="250"/>
      <c r="AW131" s="250"/>
      <c r="AX131" s="250"/>
      <c r="AY131" s="250"/>
      <c r="AZ131" s="250"/>
      <c r="BA131" s="250"/>
      <c r="BB131" s="251">
        <f t="shared" si="87"/>
        <v>0.14285714365541935</v>
      </c>
      <c r="BC131" s="169"/>
      <c r="BD131" s="169"/>
      <c r="BE131" s="169"/>
      <c r="BF131" s="169"/>
    </row>
    <row r="132" spans="1:58" ht="147" customHeight="1" outlineLevel="2" x14ac:dyDescent="0.25">
      <c r="A132" s="115"/>
      <c r="B132" s="147"/>
      <c r="C132" s="314"/>
      <c r="D132" s="305"/>
      <c r="E132" s="322"/>
      <c r="F132" s="324"/>
      <c r="G132" s="312"/>
      <c r="H132" s="213" t="s">
        <v>567</v>
      </c>
      <c r="I132" s="130" t="s">
        <v>2</v>
      </c>
      <c r="J132" s="126">
        <v>12</v>
      </c>
      <c r="K132" s="126">
        <v>5</v>
      </c>
      <c r="L132" s="125">
        <f>IF(I132&lt;&gt;0,((VLOOKUP(I132,'1. Standard_Cost'!$B$4:$D$11,2)+VLOOKUP(I132,'1. Standard_Cost'!$B$4:$D$11,3))*J132*K132),"0")</f>
        <v>7260000</v>
      </c>
      <c r="M132" s="125">
        <f>L132*'1. Standard_Cost'!$F$4</f>
        <v>1212420</v>
      </c>
      <c r="N132" s="126"/>
      <c r="O132" s="126"/>
      <c r="P132" s="126"/>
      <c r="Q132" s="126"/>
      <c r="R132" s="127">
        <f>'1. Standard_Cost'!$B$15*N132*P132</f>
        <v>0</v>
      </c>
      <c r="S132" s="127">
        <f>N132*O132*P132*'1. Standard_Cost'!$C$15</f>
        <v>0</v>
      </c>
      <c r="T132" s="127">
        <f>N132*P132*Q132*'1. Standard_Cost'!$D$15</f>
        <v>0</v>
      </c>
      <c r="U132" s="127">
        <f>N132*O132*'1. Standard_Cost'!$E$15</f>
        <v>0</v>
      </c>
      <c r="V132" s="126"/>
      <c r="W132" s="126"/>
      <c r="X132" s="126"/>
      <c r="Y132" s="127">
        <f>+V132*((X132*'1. Standard_Cost'!$B$19)+(W132*X132*'1. Standard_Cost'!$C$19))</f>
        <v>0</v>
      </c>
      <c r="Z132" s="126"/>
      <c r="AA132" s="126"/>
      <c r="AB132" s="127">
        <f>+Z132*'1. Standard_Cost'!$B$23+AA132*'1. Standard_Cost'!$C$23</f>
        <v>0</v>
      </c>
      <c r="AC132" s="128">
        <v>1270863</v>
      </c>
      <c r="AD132" s="129"/>
      <c r="AE132" s="127">
        <f>SUM(AD132,AC132,AB132,Y132,U132,T132,S132,R132)*'1. Standard_Cost'!$B$31</f>
        <v>254172.6</v>
      </c>
      <c r="AF132" s="127">
        <f t="shared" si="82"/>
        <v>1525035.6</v>
      </c>
      <c r="AG132" s="126"/>
      <c r="AH132" s="126"/>
      <c r="AI132" s="126"/>
      <c r="AJ132" s="130"/>
      <c r="AK132" s="130"/>
      <c r="AL132" s="130"/>
      <c r="AM132" s="127">
        <f>AG132*'1. Standard_Cost'!$B$27+'Incremental_Cost Year 8'!AH132*'1. Standard_Cost'!$C$27+'Incremental_Cost Year 8'!AI132*'1. Standard_Cost'!$D$27+'Incremental_Cost Year 8'!AJ132+'Incremental_Cost Year 8'!AL132+AK132</f>
        <v>0</v>
      </c>
      <c r="AN132" s="127">
        <f>AM132*'1. Standard_Cost'!$C$31</f>
        <v>0</v>
      </c>
      <c r="AO132" s="130"/>
      <c r="AQ132" s="171">
        <f t="shared" si="83"/>
        <v>8472420</v>
      </c>
      <c r="AR132" s="171">
        <f t="shared" si="84"/>
        <v>1525035.6</v>
      </c>
      <c r="AS132" s="171">
        <f t="shared" si="85"/>
        <v>0</v>
      </c>
      <c r="AT132" s="171">
        <f t="shared" si="86"/>
        <v>9997455.5999999996</v>
      </c>
      <c r="AU132" s="250">
        <v>9997456</v>
      </c>
      <c r="AV132" s="250"/>
      <c r="AW132" s="250"/>
      <c r="AX132" s="250"/>
      <c r="AY132" s="250"/>
      <c r="AZ132" s="250"/>
      <c r="BA132" s="250"/>
      <c r="BB132" s="251">
        <f t="shared" si="87"/>
        <v>0.40000000037252903</v>
      </c>
      <c r="BC132" s="169"/>
      <c r="BD132" s="169"/>
      <c r="BE132" s="169"/>
      <c r="BF132" s="169"/>
    </row>
    <row r="133" spans="1:58" ht="61.9" customHeight="1" outlineLevel="1" x14ac:dyDescent="0.25">
      <c r="A133" s="115"/>
      <c r="B133" s="200"/>
      <c r="C133" s="201"/>
      <c r="D133" s="146" t="s">
        <v>561</v>
      </c>
      <c r="E133" s="310" t="s">
        <v>452</v>
      </c>
      <c r="F133" s="121">
        <v>2021</v>
      </c>
      <c r="G133" s="223">
        <v>2030</v>
      </c>
      <c r="H133" s="110" t="s">
        <v>286</v>
      </c>
      <c r="I133" s="252"/>
      <c r="J133" s="252"/>
      <c r="K133" s="252"/>
      <c r="L133" s="127">
        <f>SUM(L124:L132)</f>
        <v>64119942.857142858</v>
      </c>
      <c r="M133" s="127">
        <f>SUM(M124:M132)</f>
        <v>10708030.457142858</v>
      </c>
      <c r="N133" s="127"/>
      <c r="O133" s="252"/>
      <c r="P133" s="252"/>
      <c r="Q133" s="252"/>
      <c r="R133" s="127">
        <f>SUM(R124:R132)</f>
        <v>0</v>
      </c>
      <c r="S133" s="127">
        <f>SUM(S124:S132)</f>
        <v>0</v>
      </c>
      <c r="T133" s="127">
        <f>SUM(T124:T132)</f>
        <v>0</v>
      </c>
      <c r="U133" s="127">
        <f>SUM(U124:U132)</f>
        <v>0</v>
      </c>
      <c r="V133" s="252"/>
      <c r="W133" s="252"/>
      <c r="X133" s="252"/>
      <c r="Y133" s="127">
        <f>SUM(Y124:Y132)</f>
        <v>0</v>
      </c>
      <c r="Z133" s="252"/>
      <c r="AA133" s="252"/>
      <c r="AB133" s="127">
        <f>SUM(AB124:AB132)</f>
        <v>0</v>
      </c>
      <c r="AC133" s="127">
        <f>SUM(AC124:AC132)</f>
        <v>10872553</v>
      </c>
      <c r="AD133" s="127">
        <f>SUM(AD124:AD132)</f>
        <v>0</v>
      </c>
      <c r="AE133" s="127">
        <f>SUM(AE124:AE132)</f>
        <v>2174510.6</v>
      </c>
      <c r="AF133" s="127">
        <f>SUM(AF124:AF132)</f>
        <v>13047063.6</v>
      </c>
      <c r="AG133" s="252"/>
      <c r="AH133" s="252"/>
      <c r="AI133" s="252"/>
      <c r="AJ133" s="127">
        <f>SUM(AJ124:AJ132)</f>
        <v>0</v>
      </c>
      <c r="AK133" s="127">
        <f>SUM(AK124:AK132)</f>
        <v>0</v>
      </c>
      <c r="AL133" s="127">
        <f>SUM(AL124:AL132)</f>
        <v>0</v>
      </c>
      <c r="AM133" s="127">
        <f>SUM(AM124:AM132)</f>
        <v>0</v>
      </c>
      <c r="AN133" s="127">
        <f>SUM(AN124:AN132)</f>
        <v>0</v>
      </c>
      <c r="AO133" s="253"/>
      <c r="AP133" s="254"/>
      <c r="AQ133" s="175">
        <f>SUM(AQ124:AQ132)</f>
        <v>74827973.314285725</v>
      </c>
      <c r="AR133" s="175">
        <f>SUM(AR124:AR132)</f>
        <v>13047063.6</v>
      </c>
      <c r="AS133" s="175">
        <f>SUM(AS124:AS132)</f>
        <v>0</v>
      </c>
      <c r="AT133" s="175">
        <f>SUM(AT124:AT132)</f>
        <v>87875036.914285704</v>
      </c>
      <c r="AU133" s="175">
        <f t="shared" ref="AU133:BB133" si="88">SUM(AU124:AU132)</f>
        <v>87875038</v>
      </c>
      <c r="AV133" s="175">
        <f t="shared" si="88"/>
        <v>0</v>
      </c>
      <c r="AW133" s="175">
        <f t="shared" si="88"/>
        <v>0</v>
      </c>
      <c r="AX133" s="175">
        <f t="shared" si="88"/>
        <v>0</v>
      </c>
      <c r="AY133" s="175">
        <f t="shared" si="88"/>
        <v>0</v>
      </c>
      <c r="AZ133" s="175">
        <f t="shared" si="88"/>
        <v>0</v>
      </c>
      <c r="BA133" s="175">
        <f t="shared" si="88"/>
        <v>0</v>
      </c>
      <c r="BB133" s="175">
        <f t="shared" si="88"/>
        <v>1.0857142880558968</v>
      </c>
      <c r="BC133" s="169"/>
      <c r="BD133" s="169"/>
      <c r="BE133" s="169"/>
      <c r="BF133" s="169"/>
    </row>
    <row r="134" spans="1:58" s="184" customFormat="1" ht="61.9" customHeight="1" x14ac:dyDescent="0.25">
      <c r="A134" s="143"/>
      <c r="B134" s="290"/>
      <c r="C134" s="391" t="s">
        <v>289</v>
      </c>
      <c r="D134" s="391"/>
      <c r="E134" s="392"/>
      <c r="F134" s="291"/>
      <c r="G134" s="289"/>
      <c r="H134" s="144" t="s">
        <v>290</v>
      </c>
      <c r="I134" s="257"/>
      <c r="J134" s="257"/>
      <c r="K134" s="257"/>
      <c r="L134" s="258">
        <f>SUM(L139)</f>
        <v>5413400</v>
      </c>
      <c r="M134" s="258">
        <f>SUM(M139)</f>
        <v>904037.8</v>
      </c>
      <c r="N134" s="257"/>
      <c r="O134" s="257"/>
      <c r="P134" s="257"/>
      <c r="Q134" s="257"/>
      <c r="R134" s="258">
        <f>SUM(R139)</f>
        <v>0</v>
      </c>
      <c r="S134" s="258">
        <f>SUM(S139)</f>
        <v>0</v>
      </c>
      <c r="T134" s="258">
        <f>SUM(T139)</f>
        <v>0</v>
      </c>
      <c r="U134" s="258">
        <f>SUM(U139)</f>
        <v>0</v>
      </c>
      <c r="V134" s="257"/>
      <c r="W134" s="257"/>
      <c r="X134" s="257"/>
      <c r="Y134" s="258">
        <f>SUM(Y139)</f>
        <v>0</v>
      </c>
      <c r="Z134" s="258"/>
      <c r="AA134" s="258"/>
      <c r="AB134" s="258">
        <f>SUM(AB139)</f>
        <v>0</v>
      </c>
      <c r="AC134" s="258">
        <f>SUM(AC139)</f>
        <v>12150720480</v>
      </c>
      <c r="AD134" s="258">
        <f>SUM(AD139)</f>
        <v>0</v>
      </c>
      <c r="AE134" s="258">
        <f>SUM(AE139)</f>
        <v>2144096</v>
      </c>
      <c r="AF134" s="258">
        <f>SUM(AF139)</f>
        <v>12152864576</v>
      </c>
      <c r="AG134" s="257"/>
      <c r="AH134" s="257"/>
      <c r="AI134" s="257"/>
      <c r="AJ134" s="258">
        <f>SUM(AJ139)</f>
        <v>0</v>
      </c>
      <c r="AK134" s="258">
        <f>SUM(AK139)</f>
        <v>0</v>
      </c>
      <c r="AL134" s="258">
        <f>SUM(AL139)</f>
        <v>0</v>
      </c>
      <c r="AM134" s="258">
        <f>SUM(AM139)</f>
        <v>0</v>
      </c>
      <c r="AN134" s="258">
        <f>SUM(AN139)</f>
        <v>0</v>
      </c>
      <c r="AO134" s="259"/>
      <c r="AP134" s="260"/>
      <c r="AQ134" s="261">
        <f>SUM(AQ139)</f>
        <v>6317437.8000000007</v>
      </c>
      <c r="AR134" s="261">
        <f>SUM(AR139)</f>
        <v>12152864576</v>
      </c>
      <c r="AS134" s="261">
        <f>SUM(AS139)</f>
        <v>0</v>
      </c>
      <c r="AT134" s="261">
        <f>SUM(AT139)</f>
        <v>12159182013.800001</v>
      </c>
      <c r="AU134" s="261">
        <f t="shared" ref="AU134:BB134" si="89">SUM(AU139)</f>
        <v>12159182014</v>
      </c>
      <c r="AV134" s="261">
        <f t="shared" si="89"/>
        <v>0</v>
      </c>
      <c r="AW134" s="261">
        <f t="shared" si="89"/>
        <v>0</v>
      </c>
      <c r="AX134" s="261">
        <f t="shared" si="89"/>
        <v>0</v>
      </c>
      <c r="AY134" s="261">
        <f t="shared" si="89"/>
        <v>0</v>
      </c>
      <c r="AZ134" s="261">
        <f t="shared" si="89"/>
        <v>0</v>
      </c>
      <c r="BA134" s="261">
        <f t="shared" si="89"/>
        <v>0</v>
      </c>
      <c r="BB134" s="261">
        <f t="shared" si="89"/>
        <v>0.20000000018626451</v>
      </c>
    </row>
    <row r="135" spans="1:58" ht="61.9" customHeight="1" outlineLevel="2" x14ac:dyDescent="0.25">
      <c r="A135" s="115"/>
      <c r="B135" s="200"/>
      <c r="C135" s="201"/>
      <c r="D135" s="346"/>
      <c r="E135" s="321"/>
      <c r="F135" s="337"/>
      <c r="G135" s="338"/>
      <c r="H135" s="199" t="s">
        <v>453</v>
      </c>
      <c r="I135" s="130"/>
      <c r="J135" s="126"/>
      <c r="K135" s="126"/>
      <c r="L135" s="125" t="str">
        <f>IF(I135&lt;&gt;0,((VLOOKUP(I135,'1. Standard_Cost'!$B$4:$D$11,2)+VLOOKUP(I135,'1. Standard_Cost'!$B$4:$D$11,3))*J135*K135),"0")</f>
        <v>0</v>
      </c>
      <c r="M135" s="125">
        <f>L135*'1. Standard_Cost'!$F$4</f>
        <v>0</v>
      </c>
      <c r="N135" s="126"/>
      <c r="O135" s="126"/>
      <c r="P135" s="126"/>
      <c r="Q135" s="126"/>
      <c r="R135" s="127">
        <f>'1. Standard_Cost'!$B$15*N135*P135</f>
        <v>0</v>
      </c>
      <c r="S135" s="127">
        <f>N135*O135*P135*'1. Standard_Cost'!$C$15</f>
        <v>0</v>
      </c>
      <c r="T135" s="127">
        <f>N135*P135*Q135*'1. Standard_Cost'!$D$15</f>
        <v>0</v>
      </c>
      <c r="U135" s="127">
        <f>N135*O135*'1. Standard_Cost'!$E$15</f>
        <v>0</v>
      </c>
      <c r="V135" s="126"/>
      <c r="W135" s="126"/>
      <c r="X135" s="126"/>
      <c r="Y135" s="127">
        <f>+V135*((X135*'1. Standard_Cost'!$B$19)+(W135*X135*'1. Standard_Cost'!$C$19))</f>
        <v>0</v>
      </c>
      <c r="Z135" s="126"/>
      <c r="AA135" s="126"/>
      <c r="AB135" s="127">
        <f>+Z135*'1. Standard_Cost'!$B$23+AA135*'1. Standard_Cost'!$C$23</f>
        <v>0</v>
      </c>
      <c r="AC135" s="128">
        <v>12140000000</v>
      </c>
      <c r="AD135" s="129"/>
      <c r="AE135" s="127"/>
      <c r="AF135" s="127">
        <f>SUM(AE135,AD135,AC135,AB135,Y135,U135,T135,S135,R135)</f>
        <v>12140000000</v>
      </c>
      <c r="AG135" s="126"/>
      <c r="AH135" s="126"/>
      <c r="AI135" s="126"/>
      <c r="AJ135" s="130"/>
      <c r="AK135" s="130"/>
      <c r="AL135" s="130"/>
      <c r="AM135" s="127">
        <f>AG135*'1. Standard_Cost'!$B$27+'Incremental_Cost Year 8'!AH135*'1. Standard_Cost'!$C$27+'Incremental_Cost Year 8'!AI135*'1. Standard_Cost'!$D$27+'Incremental_Cost Year 8'!AJ135+'Incremental_Cost Year 8'!AL135+AK135</f>
        <v>0</v>
      </c>
      <c r="AN135" s="127">
        <f>AM135*'1. Standard_Cost'!$C$31</f>
        <v>0</v>
      </c>
      <c r="AO135" s="130"/>
      <c r="AQ135" s="171">
        <f>L135+M135</f>
        <v>0</v>
      </c>
      <c r="AR135" s="171">
        <f>AF135</f>
        <v>12140000000</v>
      </c>
      <c r="AS135" s="171">
        <f>AM135+AN135</f>
        <v>0</v>
      </c>
      <c r="AT135" s="171">
        <f>SUM(AQ135,AR135,AS135)</f>
        <v>12140000000</v>
      </c>
      <c r="AU135" s="250">
        <v>12140000000</v>
      </c>
      <c r="AV135" s="250"/>
      <c r="AW135" s="250"/>
      <c r="AX135" s="250"/>
      <c r="AY135" s="250"/>
      <c r="AZ135" s="250"/>
      <c r="BA135" s="250"/>
      <c r="BB135" s="251">
        <f t="shared" ref="BB135:BB138" si="90">SUM(AU135:BA135)-AT135</f>
        <v>0</v>
      </c>
      <c r="BC135" s="169"/>
      <c r="BD135" s="169"/>
      <c r="BE135" s="169"/>
      <c r="BF135" s="169"/>
    </row>
    <row r="136" spans="1:58" ht="61.9" customHeight="1" outlineLevel="2" x14ac:dyDescent="0.25">
      <c r="A136" s="115"/>
      <c r="B136" s="200"/>
      <c r="C136" s="201"/>
      <c r="D136" s="203"/>
      <c r="E136" s="323"/>
      <c r="F136" s="335"/>
      <c r="G136" s="336"/>
      <c r="H136" s="199" t="s">
        <v>454</v>
      </c>
      <c r="I136" s="130" t="s">
        <v>5</v>
      </c>
      <c r="J136" s="126">
        <v>12</v>
      </c>
      <c r="K136" s="126">
        <v>4</v>
      </c>
      <c r="L136" s="125">
        <f>IF(I136&lt;&gt;0,((VLOOKUP(I136,'1. Standard_Cost'!$B$4:$D$11,2)+VLOOKUP(I136,'1. Standard_Cost'!$B$4:$D$11,3))*J136*K136),"0")</f>
        <v>3393600</v>
      </c>
      <c r="M136" s="125">
        <f>L136*'1. Standard_Cost'!$F$4</f>
        <v>566731.20000000007</v>
      </c>
      <c r="N136" s="126"/>
      <c r="O136" s="126"/>
      <c r="P136" s="126"/>
      <c r="Q136" s="126"/>
      <c r="R136" s="127">
        <f>'1. Standard_Cost'!$B$15*N136*P136</f>
        <v>0</v>
      </c>
      <c r="S136" s="127">
        <f>N136*O136*P136*'1. Standard_Cost'!$C$15</f>
        <v>0</v>
      </c>
      <c r="T136" s="127">
        <f>N136*P136*Q136*'1. Standard_Cost'!$D$15</f>
        <v>0</v>
      </c>
      <c r="U136" s="127">
        <f>N136*O136*'1. Standard_Cost'!$E$15</f>
        <v>0</v>
      </c>
      <c r="V136" s="126"/>
      <c r="W136" s="126"/>
      <c r="X136" s="126"/>
      <c r="Y136" s="127">
        <f>+V136*((X136*'1. Standard_Cost'!$B$19)+(W136*X136*'1. Standard_Cost'!$C$19))</f>
        <v>0</v>
      </c>
      <c r="Z136" s="126"/>
      <c r="AA136" s="126"/>
      <c r="AB136" s="127">
        <f>+Z136*'1. Standard_Cost'!$B$23+AA136*'1. Standard_Cost'!$C$23</f>
        <v>0</v>
      </c>
      <c r="AC136" s="128">
        <v>475240</v>
      </c>
      <c r="AD136" s="129"/>
      <c r="AE136" s="127">
        <f>SUM(AD136,AC136,AB136,Y136,U136,T136,S136,R136)*'1. Standard_Cost'!$B$31</f>
        <v>95048</v>
      </c>
      <c r="AF136" s="127">
        <f>SUM(AE136,AD136,AC136,AB136,Y136,U136,T136,S136,R136)</f>
        <v>570288</v>
      </c>
      <c r="AG136" s="126"/>
      <c r="AH136" s="126"/>
      <c r="AI136" s="126"/>
      <c r="AJ136" s="130"/>
      <c r="AK136" s="130"/>
      <c r="AL136" s="130"/>
      <c r="AM136" s="127">
        <f>AG136*'1. Standard_Cost'!$B$27+'Incremental_Cost Year 8'!AH136*'1. Standard_Cost'!$C$27+'Incremental_Cost Year 8'!AI136*'1. Standard_Cost'!$D$27+'Incremental_Cost Year 8'!AJ136+'Incremental_Cost Year 8'!AL136+AK136</f>
        <v>0</v>
      </c>
      <c r="AN136" s="127">
        <f>AM136*'1. Standard_Cost'!$C$31</f>
        <v>0</v>
      </c>
      <c r="AO136" s="130"/>
      <c r="AQ136" s="171">
        <f>L136+M136</f>
        <v>3960331.2</v>
      </c>
      <c r="AR136" s="171">
        <f>AF136</f>
        <v>570288</v>
      </c>
      <c r="AS136" s="171">
        <f>AM136+AN136</f>
        <v>0</v>
      </c>
      <c r="AT136" s="171">
        <f>SUM(AQ136,AR136,AS136)</f>
        <v>4530619.2</v>
      </c>
      <c r="AU136" s="250">
        <v>4530619</v>
      </c>
      <c r="AV136" s="250"/>
      <c r="AW136" s="250"/>
      <c r="AX136" s="250"/>
      <c r="AY136" s="250"/>
      <c r="AZ136" s="250"/>
      <c r="BA136" s="250"/>
      <c r="BB136" s="251">
        <f t="shared" si="90"/>
        <v>-0.20000000018626451</v>
      </c>
      <c r="BC136" s="169"/>
      <c r="BD136" s="169"/>
      <c r="BE136" s="169"/>
      <c r="BF136" s="169"/>
    </row>
    <row r="137" spans="1:58" ht="61.9" customHeight="1" outlineLevel="2" x14ac:dyDescent="0.25">
      <c r="A137" s="115"/>
      <c r="B137" s="200"/>
      <c r="C137" s="201"/>
      <c r="D137" s="203"/>
      <c r="E137" s="323"/>
      <c r="F137" s="335"/>
      <c r="G137" s="336"/>
      <c r="H137" s="199" t="s">
        <v>455</v>
      </c>
      <c r="I137" s="130" t="s">
        <v>4</v>
      </c>
      <c r="J137" s="126">
        <v>1</v>
      </c>
      <c r="K137" s="126">
        <v>4</v>
      </c>
      <c r="L137" s="125">
        <f>IF(I137&lt;&gt;0,((VLOOKUP(I137,'1. Standard_Cost'!$B$4:$D$11,2)+VLOOKUP(I137,'1. Standard_Cost'!$B$4:$D$11,3))*J137*K137),"0")</f>
        <v>323000</v>
      </c>
      <c r="M137" s="125">
        <f>L137*'1. Standard_Cost'!$F$4</f>
        <v>53941</v>
      </c>
      <c r="N137" s="126"/>
      <c r="O137" s="126"/>
      <c r="P137" s="126"/>
      <c r="Q137" s="126"/>
      <c r="R137" s="127">
        <f>'1. Standard_Cost'!$B$15*N137*P137</f>
        <v>0</v>
      </c>
      <c r="S137" s="127">
        <f>N137*O137*P137*'1. Standard_Cost'!$C$15</f>
        <v>0</v>
      </c>
      <c r="T137" s="127">
        <f>N137*P137*Q137*'1. Standard_Cost'!$D$15</f>
        <v>0</v>
      </c>
      <c r="U137" s="127">
        <f>N137*O137*'1. Standard_Cost'!$E$15</f>
        <v>0</v>
      </c>
      <c r="V137" s="126"/>
      <c r="W137" s="126"/>
      <c r="X137" s="126"/>
      <c r="Y137" s="127">
        <f>+V137*((X137*'1. Standard_Cost'!$B$19)+(W137*X137*'1. Standard_Cost'!$C$19))</f>
        <v>0</v>
      </c>
      <c r="Z137" s="126"/>
      <c r="AA137" s="126"/>
      <c r="AB137" s="127">
        <f>+Z137*'1. Standard_Cost'!$B$23+AA137*'1. Standard_Cost'!$C$23</f>
        <v>0</v>
      </c>
      <c r="AC137" s="128">
        <v>45240</v>
      </c>
      <c r="AD137" s="129"/>
      <c r="AE137" s="127">
        <f>SUM(AD137,AC137,AB137,Y137,U137,T137,S137,R137)*'1. Standard_Cost'!$B$31</f>
        <v>9048</v>
      </c>
      <c r="AF137" s="127">
        <f>SUM(AE137,AD137,AC137,AB137,Y137,U137,T137,S137,R137)</f>
        <v>54288</v>
      </c>
      <c r="AG137" s="126"/>
      <c r="AH137" s="126"/>
      <c r="AI137" s="126"/>
      <c r="AJ137" s="130"/>
      <c r="AK137" s="130"/>
      <c r="AL137" s="130"/>
      <c r="AM137" s="127">
        <f>AG137*'1. Standard_Cost'!$B$27+'Incremental_Cost Year 8'!AH137*'1. Standard_Cost'!$C$27+'Incremental_Cost Year 8'!AI137*'1. Standard_Cost'!$D$27+'Incremental_Cost Year 8'!AJ137+'Incremental_Cost Year 8'!AL137+AK137</f>
        <v>0</v>
      </c>
      <c r="AN137" s="127">
        <f>AM137*'1. Standard_Cost'!$C$31</f>
        <v>0</v>
      </c>
      <c r="AO137" s="130"/>
      <c r="AQ137" s="171">
        <f>L137+M137</f>
        <v>376941</v>
      </c>
      <c r="AR137" s="171">
        <f>AF137</f>
        <v>54288</v>
      </c>
      <c r="AS137" s="171">
        <f>AM137+AN137</f>
        <v>0</v>
      </c>
      <c r="AT137" s="171">
        <f>SUM(AQ137,AR137,AS137)</f>
        <v>431229</v>
      </c>
      <c r="AU137" s="250">
        <v>431229</v>
      </c>
      <c r="AV137" s="250"/>
      <c r="AW137" s="250"/>
      <c r="AX137" s="250"/>
      <c r="AY137" s="250"/>
      <c r="AZ137" s="250"/>
      <c r="BA137" s="250"/>
      <c r="BB137" s="251">
        <f t="shared" si="90"/>
        <v>0</v>
      </c>
      <c r="BC137" s="169"/>
      <c r="BD137" s="169"/>
      <c r="BE137" s="169"/>
      <c r="BF137" s="169"/>
    </row>
    <row r="138" spans="1:58" ht="61.9" customHeight="1" outlineLevel="2" x14ac:dyDescent="0.25">
      <c r="A138" s="115"/>
      <c r="B138" s="200"/>
      <c r="C138" s="334"/>
      <c r="D138" s="347"/>
      <c r="E138" s="323"/>
      <c r="F138" s="335"/>
      <c r="G138" s="336"/>
      <c r="H138" s="199" t="s">
        <v>456</v>
      </c>
      <c r="I138" s="130" t="s">
        <v>5</v>
      </c>
      <c r="J138" s="126">
        <v>12</v>
      </c>
      <c r="K138" s="126">
        <v>2</v>
      </c>
      <c r="L138" s="125">
        <f>IF(I138&lt;&gt;0,((VLOOKUP(I138,'1. Standard_Cost'!$B$4:$D$11,2)+VLOOKUP(I138,'1. Standard_Cost'!$B$4:$D$11,3))*J138*K138),"0")</f>
        <v>1696800</v>
      </c>
      <c r="M138" s="125">
        <f>L138*'1. Standard_Cost'!$F$4</f>
        <v>283365.60000000003</v>
      </c>
      <c r="N138" s="126"/>
      <c r="O138" s="126"/>
      <c r="P138" s="126"/>
      <c r="Q138" s="126"/>
      <c r="R138" s="127">
        <f>'1. Standard_Cost'!$B$15*N138*P138</f>
        <v>0</v>
      </c>
      <c r="S138" s="127">
        <f>N138*O138*P138*'1. Standard_Cost'!$C$15</f>
        <v>0</v>
      </c>
      <c r="T138" s="127">
        <f>N138*P138*Q138*'1. Standard_Cost'!$D$15</f>
        <v>0</v>
      </c>
      <c r="U138" s="127">
        <f>N138*O138*'1. Standard_Cost'!$E$15</f>
        <v>0</v>
      </c>
      <c r="V138" s="126"/>
      <c r="W138" s="126"/>
      <c r="X138" s="126"/>
      <c r="Y138" s="127">
        <f>+V138*((X138*'1. Standard_Cost'!$B$19)+(W138*X138*'1. Standard_Cost'!$C$19))</f>
        <v>0</v>
      </c>
      <c r="Z138" s="126"/>
      <c r="AA138" s="145"/>
      <c r="AB138" s="127">
        <f>+Z138*'1. Standard_Cost'!$B$23+AA138*'1. Standard_Cost'!$C$23</f>
        <v>0</v>
      </c>
      <c r="AC138" s="128">
        <v>10200000</v>
      </c>
      <c r="AD138" s="129"/>
      <c r="AE138" s="127">
        <f>SUM(AD138,AC138,AB138,Y138,U138,T138,S138,R138)*'1. Standard_Cost'!$B$31</f>
        <v>2040000</v>
      </c>
      <c r="AF138" s="127">
        <f>SUM(AE138,AD138,AC138,AB138,Y138,U138,T138,S138,R138)</f>
        <v>12240000</v>
      </c>
      <c r="AG138" s="126"/>
      <c r="AH138" s="126"/>
      <c r="AI138" s="126"/>
      <c r="AJ138" s="130"/>
      <c r="AK138" s="130"/>
      <c r="AL138" s="130"/>
      <c r="AM138" s="127">
        <f>AG138*'1. Standard_Cost'!$B$27+'Incremental_Cost Year 8'!AH138*'1. Standard_Cost'!$C$27+'Incremental_Cost Year 8'!AI138*'1. Standard_Cost'!$D$27+'Incremental_Cost Year 8'!AJ138+'Incremental_Cost Year 8'!AL138+AK138</f>
        <v>0</v>
      </c>
      <c r="AN138" s="127">
        <f>AM138*'1. Standard_Cost'!$C$31</f>
        <v>0</v>
      </c>
      <c r="AO138" s="262"/>
      <c r="AQ138" s="171">
        <f>L138+M138</f>
        <v>1980165.6</v>
      </c>
      <c r="AR138" s="171">
        <f>AF138</f>
        <v>12240000</v>
      </c>
      <c r="AS138" s="171">
        <f>AM138+AN138</f>
        <v>0</v>
      </c>
      <c r="AT138" s="171">
        <f>SUM(AQ138,AR138,AS138)</f>
        <v>14220165.6</v>
      </c>
      <c r="AU138" s="250">
        <v>14220166</v>
      </c>
      <c r="AV138" s="250"/>
      <c r="AW138" s="250"/>
      <c r="AX138" s="250"/>
      <c r="AY138" s="250"/>
      <c r="AZ138" s="250"/>
      <c r="BA138" s="250"/>
      <c r="BB138" s="251">
        <f t="shared" si="90"/>
        <v>0.40000000037252903</v>
      </c>
      <c r="BC138" s="169"/>
      <c r="BD138" s="169"/>
      <c r="BE138" s="169"/>
      <c r="BF138" s="169"/>
    </row>
    <row r="139" spans="1:58" ht="61.9" customHeight="1" outlineLevel="1" x14ac:dyDescent="0.25">
      <c r="A139" s="115"/>
      <c r="B139" s="165"/>
      <c r="C139" s="166"/>
      <c r="D139" s="228" t="s">
        <v>233</v>
      </c>
      <c r="E139" s="212" t="s">
        <v>291</v>
      </c>
      <c r="F139" s="136">
        <v>2022</v>
      </c>
      <c r="G139" s="117">
        <v>2030</v>
      </c>
      <c r="H139" s="110" t="s">
        <v>292</v>
      </c>
      <c r="I139" s="252"/>
      <c r="J139" s="252"/>
      <c r="K139" s="252"/>
      <c r="L139" s="127">
        <f>SUM(L135:L138)</f>
        <v>5413400</v>
      </c>
      <c r="M139" s="127">
        <f>SUM(M135:M138)</f>
        <v>904037.8</v>
      </c>
      <c r="N139" s="127"/>
      <c r="O139" s="252"/>
      <c r="P139" s="252"/>
      <c r="Q139" s="252"/>
      <c r="R139" s="127">
        <f>SUM(R135:R138)</f>
        <v>0</v>
      </c>
      <c r="S139" s="127">
        <f>SUM(S135:S138)</f>
        <v>0</v>
      </c>
      <c r="T139" s="127">
        <f>SUM(T135:T138)</f>
        <v>0</v>
      </c>
      <c r="U139" s="127">
        <f>SUM(U135:U138)</f>
        <v>0</v>
      </c>
      <c r="V139" s="252"/>
      <c r="W139" s="252"/>
      <c r="X139" s="252"/>
      <c r="Y139" s="127">
        <f>SUM(Y135:Y138)</f>
        <v>0</v>
      </c>
      <c r="Z139" s="252"/>
      <c r="AA139" s="252"/>
      <c r="AB139" s="127">
        <f>SUM(AB135:AB138)</f>
        <v>0</v>
      </c>
      <c r="AC139" s="127">
        <f>SUM(AC135:AC138)</f>
        <v>12150720480</v>
      </c>
      <c r="AD139" s="127">
        <f>SUM(AD135:AD138)</f>
        <v>0</v>
      </c>
      <c r="AE139" s="127">
        <f>SUM(AE135:AE138)</f>
        <v>2144096</v>
      </c>
      <c r="AF139" s="127">
        <f>SUM(AF135:AF138)</f>
        <v>12152864576</v>
      </c>
      <c r="AG139" s="252"/>
      <c r="AH139" s="252"/>
      <c r="AI139" s="252"/>
      <c r="AJ139" s="127">
        <f>SUM(AJ135:AJ138)</f>
        <v>0</v>
      </c>
      <c r="AK139" s="127">
        <f>SUM(AK135:AK138)</f>
        <v>0</v>
      </c>
      <c r="AL139" s="127">
        <f>SUM(AL135:AL138)</f>
        <v>0</v>
      </c>
      <c r="AM139" s="127">
        <f>SUM(AM135:AM138)</f>
        <v>0</v>
      </c>
      <c r="AN139" s="127">
        <f>SUM(AN135:AN138)</f>
        <v>0</v>
      </c>
      <c r="AO139" s="253"/>
      <c r="AP139" s="254"/>
      <c r="AQ139" s="175">
        <f>SUM(AQ135:AQ138)</f>
        <v>6317437.8000000007</v>
      </c>
      <c r="AR139" s="175">
        <f>SUM(AR135:AR138)</f>
        <v>12152864576</v>
      </c>
      <c r="AS139" s="175">
        <f>SUM(AS135:AS138)</f>
        <v>0</v>
      </c>
      <c r="AT139" s="175">
        <f>SUM(AT135:AT138)</f>
        <v>12159182013.800001</v>
      </c>
      <c r="AU139" s="175">
        <f t="shared" ref="AU139:BB139" si="91">SUM(AU135:AU138)</f>
        <v>12159182014</v>
      </c>
      <c r="AV139" s="175">
        <f t="shared" si="91"/>
        <v>0</v>
      </c>
      <c r="AW139" s="175">
        <f t="shared" si="91"/>
        <v>0</v>
      </c>
      <c r="AX139" s="175">
        <f t="shared" si="91"/>
        <v>0</v>
      </c>
      <c r="AY139" s="175">
        <f t="shared" si="91"/>
        <v>0</v>
      </c>
      <c r="AZ139" s="175">
        <f t="shared" si="91"/>
        <v>0</v>
      </c>
      <c r="BA139" s="175">
        <f t="shared" si="91"/>
        <v>0</v>
      </c>
      <c r="BB139" s="175">
        <f t="shared" si="91"/>
        <v>0.20000000018626451</v>
      </c>
      <c r="BC139" s="169"/>
      <c r="BD139" s="169"/>
      <c r="BE139" s="169"/>
      <c r="BF139" s="169"/>
    </row>
    <row r="140" spans="1:58" s="184" customFormat="1" ht="61.9" customHeight="1" x14ac:dyDescent="0.25">
      <c r="A140" s="143"/>
      <c r="B140" s="290"/>
      <c r="C140" s="391" t="s">
        <v>293</v>
      </c>
      <c r="D140" s="391"/>
      <c r="E140" s="392"/>
      <c r="F140" s="291"/>
      <c r="G140" s="289"/>
      <c r="H140" s="144" t="s">
        <v>294</v>
      </c>
      <c r="I140" s="257"/>
      <c r="J140" s="257"/>
      <c r="K140" s="257"/>
      <c r="L140" s="258">
        <f>SUM(L149)</f>
        <v>11588500</v>
      </c>
      <c r="M140" s="258">
        <f>SUM(M149)</f>
        <v>1935279.5</v>
      </c>
      <c r="N140" s="257"/>
      <c r="O140" s="257"/>
      <c r="P140" s="257"/>
      <c r="Q140" s="257"/>
      <c r="R140" s="258">
        <f>SUM(R149)</f>
        <v>400000</v>
      </c>
      <c r="S140" s="258">
        <f>SUM(S149)</f>
        <v>300000</v>
      </c>
      <c r="T140" s="258">
        <f>SUM(T149)</f>
        <v>0</v>
      </c>
      <c r="U140" s="258">
        <f>SUM(U149)</f>
        <v>400000</v>
      </c>
      <c r="V140" s="257"/>
      <c r="W140" s="257"/>
      <c r="X140" s="257"/>
      <c r="Y140" s="258">
        <f>SUM(Y149)</f>
        <v>255000</v>
      </c>
      <c r="Z140" s="258"/>
      <c r="AA140" s="258"/>
      <c r="AB140" s="258">
        <f>SUM(AB149)</f>
        <v>779000</v>
      </c>
      <c r="AC140" s="258">
        <f>SUM(AC149)</f>
        <v>3102920</v>
      </c>
      <c r="AD140" s="258">
        <f>SUM(AD149)</f>
        <v>0</v>
      </c>
      <c r="AE140" s="258">
        <f>SUM(AE149)</f>
        <v>1047384</v>
      </c>
      <c r="AF140" s="258">
        <f>SUM(AF149)</f>
        <v>6284304</v>
      </c>
      <c r="AG140" s="257"/>
      <c r="AH140" s="257"/>
      <c r="AI140" s="257"/>
      <c r="AJ140" s="258">
        <f>SUM(AJ149)</f>
        <v>0</v>
      </c>
      <c r="AK140" s="258">
        <f>SUM(AK149)</f>
        <v>0</v>
      </c>
      <c r="AL140" s="258">
        <f>SUM(AL149)</f>
        <v>0</v>
      </c>
      <c r="AM140" s="258">
        <f>SUM(AM149)</f>
        <v>0</v>
      </c>
      <c r="AN140" s="258">
        <f>SUM(AN149)</f>
        <v>0</v>
      </c>
      <c r="AO140" s="259"/>
      <c r="AP140" s="260"/>
      <c r="AQ140" s="261">
        <f>SUM(AQ149)</f>
        <v>13523779.5</v>
      </c>
      <c r="AR140" s="261">
        <f>SUM(AR149)</f>
        <v>6284304</v>
      </c>
      <c r="AS140" s="261">
        <f>SUM(AS149)</f>
        <v>0</v>
      </c>
      <c r="AT140" s="261">
        <f>SUM(AT149)</f>
        <v>19808083.5</v>
      </c>
      <c r="AU140" s="261">
        <f t="shared" ref="AU140:BB140" si="92">SUM(AU149)</f>
        <v>16647283.5</v>
      </c>
      <c r="AV140" s="261">
        <f t="shared" si="92"/>
        <v>0</v>
      </c>
      <c r="AW140" s="261">
        <f t="shared" si="92"/>
        <v>0</v>
      </c>
      <c r="AX140" s="261">
        <f t="shared" si="92"/>
        <v>0</v>
      </c>
      <c r="AY140" s="261">
        <f t="shared" si="92"/>
        <v>0</v>
      </c>
      <c r="AZ140" s="261">
        <f t="shared" si="92"/>
        <v>0</v>
      </c>
      <c r="BA140" s="261">
        <f t="shared" si="92"/>
        <v>0</v>
      </c>
      <c r="BB140" s="261">
        <f t="shared" si="92"/>
        <v>-3160800</v>
      </c>
    </row>
    <row r="141" spans="1:58" ht="61.9" customHeight="1" outlineLevel="2" x14ac:dyDescent="0.25">
      <c r="A141" s="115"/>
      <c r="B141" s="303"/>
      <c r="C141" s="329"/>
      <c r="D141" s="342"/>
      <c r="E141" s="328"/>
      <c r="F141" s="328"/>
      <c r="G141" s="328"/>
      <c r="H141" s="199" t="s">
        <v>457</v>
      </c>
      <c r="I141" s="130"/>
      <c r="J141" s="126"/>
      <c r="K141" s="126"/>
      <c r="L141" s="125" t="str">
        <f>IF(I141&lt;&gt;0,((VLOOKUP(I141,'1. Standard_Cost'!$B$4:$D$11,2)+VLOOKUP(I141,'1. Standard_Cost'!$B$4:$D$11,3))*J141*K141),"0")</f>
        <v>0</v>
      </c>
      <c r="M141" s="125">
        <f>L141*'1. Standard_Cost'!$F$4</f>
        <v>0</v>
      </c>
      <c r="N141" s="126"/>
      <c r="O141" s="126"/>
      <c r="P141" s="126"/>
      <c r="Q141" s="126"/>
      <c r="R141" s="127">
        <f>'1. Standard_Cost'!$B$15*N141*P141</f>
        <v>0</v>
      </c>
      <c r="S141" s="127">
        <f>N141*O141*P141*'1. Standard_Cost'!$C$15</f>
        <v>0</v>
      </c>
      <c r="T141" s="127">
        <f>N141*P141*Q141*'1. Standard_Cost'!$D$15</f>
        <v>0</v>
      </c>
      <c r="U141" s="127">
        <f>N141*O141*'1. Standard_Cost'!$E$15</f>
        <v>0</v>
      </c>
      <c r="V141" s="126"/>
      <c r="W141" s="126"/>
      <c r="X141" s="126"/>
      <c r="Y141" s="127">
        <f>+V141*((X141*'1. Standard_Cost'!$B$19)+(W141*X141*'1. Standard_Cost'!$C$19))</f>
        <v>0</v>
      </c>
      <c r="Z141" s="126"/>
      <c r="AA141" s="126"/>
      <c r="AB141" s="127">
        <f>+Z141*'1. Standard_Cost'!$B$23+AA141*'1. Standard_Cost'!$C$23</f>
        <v>0</v>
      </c>
      <c r="AC141" s="128"/>
      <c r="AD141" s="129"/>
      <c r="AE141" s="127">
        <f>SUM(AD141,AC141,AB141,Y141,U141,T141,S141,R141)*'1. Standard_Cost'!$B$31</f>
        <v>0</v>
      </c>
      <c r="AF141" s="127">
        <f t="shared" ref="AF141:AF148" si="93">SUM(AE141,AD141,AC141,AB141,Y141,U141,T141,S141,R141)</f>
        <v>0</v>
      </c>
      <c r="AG141" s="126"/>
      <c r="AH141" s="126"/>
      <c r="AI141" s="126"/>
      <c r="AJ141" s="130"/>
      <c r="AK141" s="130"/>
      <c r="AL141" s="130"/>
      <c r="AM141" s="127">
        <f>AG141*'1. Standard_Cost'!$B$27+'Incremental_Cost Year 8'!AH141*'1. Standard_Cost'!$C$27+'Incremental_Cost Year 8'!AI141*'1. Standard_Cost'!$D$27+'Incremental_Cost Year 8'!AJ141+'Incremental_Cost Year 8'!AL141+AK141</f>
        <v>0</v>
      </c>
      <c r="AN141" s="127">
        <f>AM141*'1. Standard_Cost'!$C$31</f>
        <v>0</v>
      </c>
      <c r="AO141" s="130"/>
      <c r="AQ141" s="171">
        <f t="shared" ref="AQ141:AQ148" si="94">L141+M141</f>
        <v>0</v>
      </c>
      <c r="AR141" s="171">
        <f t="shared" ref="AR141:AR148" si="95">AF141</f>
        <v>0</v>
      </c>
      <c r="AS141" s="171">
        <f t="shared" ref="AS141:AS148" si="96">AM141+AN141</f>
        <v>0</v>
      </c>
      <c r="AT141" s="171">
        <f t="shared" ref="AT141:AT148" si="97">SUM(AQ141,AR141,AS141)</f>
        <v>0</v>
      </c>
      <c r="AU141" s="250"/>
      <c r="AV141" s="250"/>
      <c r="AW141" s="250"/>
      <c r="AX141" s="250"/>
      <c r="AY141" s="250"/>
      <c r="AZ141" s="250"/>
      <c r="BA141" s="250"/>
      <c r="BB141" s="251">
        <f t="shared" ref="BB141:BB148" si="98">SUM(AU141:BA141)-AT141</f>
        <v>0</v>
      </c>
      <c r="BC141" s="169"/>
      <c r="BD141" s="169"/>
      <c r="BE141" s="169"/>
      <c r="BF141" s="169"/>
    </row>
    <row r="142" spans="1:58" ht="61.9" customHeight="1" outlineLevel="2" x14ac:dyDescent="0.25">
      <c r="A142" s="115"/>
      <c r="B142" s="200"/>
      <c r="C142" s="330"/>
      <c r="D142" s="343"/>
      <c r="E142" s="328"/>
      <c r="F142" s="328"/>
      <c r="G142" s="328"/>
      <c r="H142" s="199" t="s">
        <v>458</v>
      </c>
      <c r="I142" s="130"/>
      <c r="J142" s="126"/>
      <c r="K142" s="126"/>
      <c r="L142" s="125" t="str">
        <f>IF(I142&lt;&gt;0,((VLOOKUP(I142,'1. Standard_Cost'!$B$4:$D$11,2)+VLOOKUP(I142,'1. Standard_Cost'!$B$4:$D$11,3))*J142*K142),"0")</f>
        <v>0</v>
      </c>
      <c r="M142" s="125">
        <f>L142*'1. Standard_Cost'!$F$4</f>
        <v>0</v>
      </c>
      <c r="N142" s="126"/>
      <c r="O142" s="126"/>
      <c r="P142" s="126"/>
      <c r="Q142" s="126"/>
      <c r="R142" s="127">
        <f>'1. Standard_Cost'!$B$15*N142*P142</f>
        <v>0</v>
      </c>
      <c r="S142" s="127">
        <f>N142*O142*P142*'1. Standard_Cost'!$C$15</f>
        <v>0</v>
      </c>
      <c r="T142" s="127">
        <f>N142*P142*Q142*'1. Standard_Cost'!$D$15</f>
        <v>0</v>
      </c>
      <c r="U142" s="127">
        <f>N142*O142*'1. Standard_Cost'!$E$15</f>
        <v>0</v>
      </c>
      <c r="V142" s="126"/>
      <c r="W142" s="126"/>
      <c r="X142" s="126"/>
      <c r="Y142" s="127">
        <f>+V142*((X142*'1. Standard_Cost'!$B$19)+(W142*X142*'1. Standard_Cost'!$C$19))</f>
        <v>0</v>
      </c>
      <c r="Z142" s="126"/>
      <c r="AA142" s="126"/>
      <c r="AB142" s="127">
        <f>+Z142*'1. Standard_Cost'!$B$23+AA142*'1. Standard_Cost'!$C$23</f>
        <v>0</v>
      </c>
      <c r="AC142" s="128"/>
      <c r="AD142" s="129"/>
      <c r="AE142" s="127">
        <f>SUM(AD142,AC142,AB142,Y142,U142,T142,S142,R142)*'1. Standard_Cost'!$B$31</f>
        <v>0</v>
      </c>
      <c r="AF142" s="127">
        <f t="shared" si="93"/>
        <v>0</v>
      </c>
      <c r="AG142" s="126"/>
      <c r="AH142" s="126"/>
      <c r="AI142" s="126"/>
      <c r="AJ142" s="130"/>
      <c r="AK142" s="130"/>
      <c r="AL142" s="130"/>
      <c r="AM142" s="127">
        <f>AG142*'1. Standard_Cost'!$B$27+'Incremental_Cost Year 8'!AH142*'1. Standard_Cost'!$C$27+'Incremental_Cost Year 8'!AI142*'1. Standard_Cost'!$D$27+'Incremental_Cost Year 8'!AJ142+'Incremental_Cost Year 8'!AL142+AK142</f>
        <v>0</v>
      </c>
      <c r="AN142" s="127">
        <f>AM142*'1. Standard_Cost'!$C$31</f>
        <v>0</v>
      </c>
      <c r="AO142" s="130"/>
      <c r="AQ142" s="171">
        <f t="shared" si="94"/>
        <v>0</v>
      </c>
      <c r="AR142" s="171">
        <f t="shared" si="95"/>
        <v>0</v>
      </c>
      <c r="AS142" s="171">
        <f t="shared" si="96"/>
        <v>0</v>
      </c>
      <c r="AT142" s="171">
        <f t="shared" si="97"/>
        <v>0</v>
      </c>
      <c r="AU142" s="250"/>
      <c r="AV142" s="250"/>
      <c r="AW142" s="250"/>
      <c r="AX142" s="250"/>
      <c r="AY142" s="250"/>
      <c r="AZ142" s="250"/>
      <c r="BA142" s="250"/>
      <c r="BB142" s="251">
        <f t="shared" si="98"/>
        <v>0</v>
      </c>
      <c r="BC142" s="169"/>
      <c r="BD142" s="169"/>
      <c r="BE142" s="169"/>
      <c r="BF142" s="169"/>
    </row>
    <row r="143" spans="1:58" ht="61.9" customHeight="1" outlineLevel="2" x14ac:dyDescent="0.25">
      <c r="A143" s="115"/>
      <c r="B143" s="200"/>
      <c r="C143" s="330"/>
      <c r="D143" s="343"/>
      <c r="E143" s="328"/>
      <c r="F143" s="328"/>
      <c r="G143" s="328"/>
      <c r="H143" s="199" t="s">
        <v>459</v>
      </c>
      <c r="I143" s="130" t="s">
        <v>3</v>
      </c>
      <c r="J143" s="126">
        <v>12</v>
      </c>
      <c r="K143" s="126">
        <v>5</v>
      </c>
      <c r="L143" s="125">
        <f>IF(I143&lt;&gt;0,((VLOOKUP(I143,'1. Standard_Cost'!$B$4:$D$11,2)+VLOOKUP(I143,'1. Standard_Cost'!$B$4:$D$11,3))*J143*K143),"0")</f>
        <v>6048000</v>
      </c>
      <c r="M143" s="125">
        <f>L143*'1. Standard_Cost'!$F$4</f>
        <v>1010016</v>
      </c>
      <c r="N143" s="126"/>
      <c r="O143" s="126"/>
      <c r="P143" s="126"/>
      <c r="Q143" s="126"/>
      <c r="R143" s="127">
        <f>'1. Standard_Cost'!$B$15*N143*P143</f>
        <v>0</v>
      </c>
      <c r="S143" s="127">
        <f>N143*O143*P143*'1. Standard_Cost'!$C$15</f>
        <v>0</v>
      </c>
      <c r="T143" s="127">
        <f>N143*P143*Q143*'1. Standard_Cost'!$D$15</f>
        <v>0</v>
      </c>
      <c r="U143" s="127">
        <f>N143*O143*'1. Standard_Cost'!$E$15</f>
        <v>0</v>
      </c>
      <c r="V143" s="126"/>
      <c r="W143" s="126"/>
      <c r="X143" s="126"/>
      <c r="Y143" s="127">
        <f>+V143*((X143*'1. Standard_Cost'!$B$19)+(W143*X143*'1. Standard_Cost'!$C$19))</f>
        <v>0</v>
      </c>
      <c r="Z143" s="126"/>
      <c r="AA143" s="126"/>
      <c r="AB143" s="127">
        <f>+Z143*'1. Standard_Cost'!$B$23+AA143*'1. Standard_Cost'!$C$23</f>
        <v>0</v>
      </c>
      <c r="AC143" s="128">
        <v>1200000</v>
      </c>
      <c r="AD143" s="129"/>
      <c r="AE143" s="127">
        <f>SUM(AD143,AC143,AB143,Y143,U143,T143,S143,R143)*'1. Standard_Cost'!$B$31</f>
        <v>240000</v>
      </c>
      <c r="AF143" s="127">
        <f t="shared" si="93"/>
        <v>1440000</v>
      </c>
      <c r="AG143" s="126"/>
      <c r="AH143" s="126"/>
      <c r="AI143" s="126"/>
      <c r="AJ143" s="130"/>
      <c r="AK143" s="130"/>
      <c r="AL143" s="130"/>
      <c r="AM143" s="127">
        <f>AG143*'1. Standard_Cost'!$B$27+'Incremental_Cost Year 8'!AH143*'1. Standard_Cost'!$C$27+'Incremental_Cost Year 8'!AI143*'1. Standard_Cost'!$D$27+'Incremental_Cost Year 8'!AJ143+'Incremental_Cost Year 8'!AL143+AK143</f>
        <v>0</v>
      </c>
      <c r="AN143" s="127">
        <f>AM143*'1. Standard_Cost'!$C$31</f>
        <v>0</v>
      </c>
      <c r="AO143" s="130"/>
      <c r="AQ143" s="171">
        <f t="shared" si="94"/>
        <v>7058016</v>
      </c>
      <c r="AR143" s="171">
        <f t="shared" si="95"/>
        <v>1440000</v>
      </c>
      <c r="AS143" s="171">
        <f t="shared" si="96"/>
        <v>0</v>
      </c>
      <c r="AT143" s="171">
        <f t="shared" si="97"/>
        <v>8498016</v>
      </c>
      <c r="AU143" s="250">
        <v>8498016</v>
      </c>
      <c r="AV143" s="250"/>
      <c r="AW143" s="250"/>
      <c r="AX143" s="250"/>
      <c r="AY143" s="250"/>
      <c r="AZ143" s="250"/>
      <c r="BA143" s="250"/>
      <c r="BB143" s="251">
        <f t="shared" si="98"/>
        <v>0</v>
      </c>
      <c r="BC143" s="169"/>
      <c r="BD143" s="169"/>
      <c r="BE143" s="169"/>
      <c r="BF143" s="169"/>
    </row>
    <row r="144" spans="1:58" ht="61.9" customHeight="1" outlineLevel="2" x14ac:dyDescent="0.25">
      <c r="A144" s="115"/>
      <c r="B144" s="200"/>
      <c r="C144" s="330"/>
      <c r="D144" s="343"/>
      <c r="E144" s="328"/>
      <c r="F144" s="328"/>
      <c r="G144" s="328"/>
      <c r="H144" s="199" t="s">
        <v>460</v>
      </c>
      <c r="I144" s="130"/>
      <c r="J144" s="126"/>
      <c r="K144" s="126"/>
      <c r="L144" s="125" t="str">
        <f>IF(I144&lt;&gt;0,((VLOOKUP(I144,'1. Standard_Cost'!$B$4:$D$11,2)+VLOOKUP(I144,'1. Standard_Cost'!$B$4:$D$11,3))*J144*K144),"0")</f>
        <v>0</v>
      </c>
      <c r="M144" s="125">
        <f>L144*'1. Standard_Cost'!$F$4</f>
        <v>0</v>
      </c>
      <c r="N144" s="126"/>
      <c r="O144" s="126"/>
      <c r="P144" s="126"/>
      <c r="Q144" s="126"/>
      <c r="R144" s="127">
        <f>'1. Standard_Cost'!$B$15*N144*P144</f>
        <v>0</v>
      </c>
      <c r="S144" s="127">
        <f>N144*O144*P144*'1. Standard_Cost'!$C$15</f>
        <v>0</v>
      </c>
      <c r="T144" s="127">
        <f>N144*P144*Q144*'1. Standard_Cost'!$D$15</f>
        <v>0</v>
      </c>
      <c r="U144" s="127">
        <f>N144*O144*'1. Standard_Cost'!$E$15</f>
        <v>0</v>
      </c>
      <c r="V144" s="126">
        <v>1</v>
      </c>
      <c r="W144" s="126">
        <v>5</v>
      </c>
      <c r="X144" s="126">
        <v>3</v>
      </c>
      <c r="Y144" s="127">
        <f>+V144*((X144*'1. Standard_Cost'!$B$19)+(W144*X144*'1. Standard_Cost'!$C$19))</f>
        <v>255000</v>
      </c>
      <c r="Z144" s="126"/>
      <c r="AA144" s="126"/>
      <c r="AB144" s="127">
        <f>+Z144*'1. Standard_Cost'!$B$23+AA144*'1. Standard_Cost'!$C$23</f>
        <v>0</v>
      </c>
      <c r="AC144" s="128">
        <v>500000</v>
      </c>
      <c r="AD144" s="129"/>
      <c r="AE144" s="127">
        <f>SUM(AD144,AC144,AB144,Y144,U144,T144,S144,R144)*'1. Standard_Cost'!$B$31</f>
        <v>151000</v>
      </c>
      <c r="AF144" s="127">
        <f t="shared" si="93"/>
        <v>906000</v>
      </c>
      <c r="AG144" s="126"/>
      <c r="AH144" s="126"/>
      <c r="AI144" s="126"/>
      <c r="AJ144" s="130"/>
      <c r="AK144" s="130"/>
      <c r="AL144" s="130"/>
      <c r="AM144" s="127">
        <f>AG144*'1. Standard_Cost'!$B$27+'Incremental_Cost Year 8'!AH144*'1. Standard_Cost'!$C$27+'Incremental_Cost Year 8'!AI144*'1. Standard_Cost'!$D$27+'Incremental_Cost Year 8'!AJ144+'Incremental_Cost Year 8'!AL144+AK144</f>
        <v>0</v>
      </c>
      <c r="AN144" s="127">
        <f>AM144*'1. Standard_Cost'!$C$31</f>
        <v>0</v>
      </c>
      <c r="AO144" s="130"/>
      <c r="AQ144" s="171">
        <f t="shared" si="94"/>
        <v>0</v>
      </c>
      <c r="AR144" s="171">
        <f t="shared" si="95"/>
        <v>906000</v>
      </c>
      <c r="AS144" s="171">
        <f t="shared" si="96"/>
        <v>0</v>
      </c>
      <c r="AT144" s="171">
        <f t="shared" si="97"/>
        <v>906000</v>
      </c>
      <c r="AU144" s="250">
        <v>906000</v>
      </c>
      <c r="AV144" s="250"/>
      <c r="AW144" s="250"/>
      <c r="AX144" s="250"/>
      <c r="AY144" s="250"/>
      <c r="AZ144" s="250"/>
      <c r="BA144" s="250"/>
      <c r="BB144" s="251">
        <f t="shared" si="98"/>
        <v>0</v>
      </c>
      <c r="BC144" s="169"/>
      <c r="BD144" s="169"/>
      <c r="BE144" s="169"/>
      <c r="BF144" s="169"/>
    </row>
    <row r="145" spans="1:58" ht="61.9" customHeight="1" outlineLevel="2" x14ac:dyDescent="0.25">
      <c r="A145" s="115"/>
      <c r="B145" s="200"/>
      <c r="C145" s="330"/>
      <c r="D145" s="343"/>
      <c r="E145" s="328"/>
      <c r="F145" s="328"/>
      <c r="G145" s="328"/>
      <c r="H145" s="199" t="s">
        <v>461</v>
      </c>
      <c r="I145" s="130" t="s">
        <v>4</v>
      </c>
      <c r="J145" s="126">
        <v>3</v>
      </c>
      <c r="K145" s="126">
        <v>8</v>
      </c>
      <c r="L145" s="125">
        <f>IF(I145&lt;&gt;0,((VLOOKUP(I145,'1. Standard_Cost'!$B$4:$D$11,2)+VLOOKUP(I145,'1. Standard_Cost'!$B$4:$D$11,3))*J145*K145),"0")</f>
        <v>1938000</v>
      </c>
      <c r="M145" s="125">
        <f>L145*'1. Standard_Cost'!$F$4</f>
        <v>323646</v>
      </c>
      <c r="N145" s="126"/>
      <c r="O145" s="126"/>
      <c r="P145" s="126"/>
      <c r="Q145" s="126"/>
      <c r="R145" s="127">
        <f>'1. Standard_Cost'!$B$15*N145*P145</f>
        <v>0</v>
      </c>
      <c r="S145" s="127">
        <f>N145*O145*P145*'1. Standard_Cost'!$C$15</f>
        <v>0</v>
      </c>
      <c r="T145" s="127">
        <f>N145*P145*Q145*'1. Standard_Cost'!$D$15</f>
        <v>0</v>
      </c>
      <c r="U145" s="127">
        <f>N145*O145*'1. Standard_Cost'!$E$15</f>
        <v>0</v>
      </c>
      <c r="V145" s="126"/>
      <c r="W145" s="126"/>
      <c r="X145" s="126"/>
      <c r="Y145" s="127">
        <f>+V145*((X145*'1. Standard_Cost'!$B$19)+(W145*X145*'1. Standard_Cost'!$C$19))</f>
        <v>0</v>
      </c>
      <c r="Z145" s="126"/>
      <c r="AA145" s="126"/>
      <c r="AB145" s="127">
        <f>+Z145*'1. Standard_Cost'!$B$23+AA145*'1. Standard_Cost'!$C$23</f>
        <v>0</v>
      </c>
      <c r="AC145" s="128">
        <v>271400</v>
      </c>
      <c r="AD145" s="129"/>
      <c r="AE145" s="127">
        <f>SUM(AD145,AC145,AB145,Y145,U145,T145,S145,R145)*'1. Standard_Cost'!$B$31</f>
        <v>54280</v>
      </c>
      <c r="AF145" s="127">
        <f t="shared" si="93"/>
        <v>325680</v>
      </c>
      <c r="AG145" s="126"/>
      <c r="AH145" s="126"/>
      <c r="AI145" s="126"/>
      <c r="AJ145" s="130"/>
      <c r="AK145" s="130"/>
      <c r="AL145" s="130"/>
      <c r="AM145" s="127">
        <f>AG145*'1. Standard_Cost'!$B$27+'Incremental_Cost Year 8'!AH145*'1. Standard_Cost'!$C$27+'Incremental_Cost Year 8'!AI145*'1. Standard_Cost'!$D$27+'Incremental_Cost Year 8'!AJ145+'Incremental_Cost Year 8'!AL145+AK145</f>
        <v>0</v>
      </c>
      <c r="AN145" s="127">
        <f>AM145*'1. Standard_Cost'!$C$31</f>
        <v>0</v>
      </c>
      <c r="AO145" s="130"/>
      <c r="AQ145" s="171">
        <f t="shared" si="94"/>
        <v>2261646</v>
      </c>
      <c r="AR145" s="171">
        <f t="shared" si="95"/>
        <v>325680</v>
      </c>
      <c r="AS145" s="171">
        <f t="shared" si="96"/>
        <v>0</v>
      </c>
      <c r="AT145" s="171">
        <f t="shared" si="97"/>
        <v>2587326</v>
      </c>
      <c r="AU145" s="250">
        <v>2587326</v>
      </c>
      <c r="AV145" s="250"/>
      <c r="AW145" s="250"/>
      <c r="AX145" s="250"/>
      <c r="AY145" s="250"/>
      <c r="AZ145" s="250"/>
      <c r="BA145" s="250"/>
      <c r="BB145" s="251">
        <f t="shared" si="98"/>
        <v>0</v>
      </c>
      <c r="BC145" s="169"/>
      <c r="BD145" s="169"/>
      <c r="BE145" s="169"/>
      <c r="BF145" s="169"/>
    </row>
    <row r="146" spans="1:58" ht="61.9" customHeight="1" outlineLevel="2" x14ac:dyDescent="0.25">
      <c r="A146" s="115"/>
      <c r="B146" s="200"/>
      <c r="C146" s="330"/>
      <c r="D146" s="343"/>
      <c r="E146" s="328"/>
      <c r="F146" s="328"/>
      <c r="G146" s="328"/>
      <c r="H146" s="199" t="s">
        <v>462</v>
      </c>
      <c r="I146" s="130" t="s">
        <v>3</v>
      </c>
      <c r="J146" s="126">
        <v>3</v>
      </c>
      <c r="K146" s="126">
        <v>5</v>
      </c>
      <c r="L146" s="125">
        <f>IF(I146&lt;&gt;0,((VLOOKUP(I146,'1. Standard_Cost'!$B$4:$D$11,2)+VLOOKUP(I146,'1. Standard_Cost'!$B$4:$D$11,3))*J146*K146),"0")</f>
        <v>1512000</v>
      </c>
      <c r="M146" s="125">
        <f>L146*'1. Standard_Cost'!$F$4</f>
        <v>252504</v>
      </c>
      <c r="N146" s="126"/>
      <c r="O146" s="126"/>
      <c r="P146" s="126"/>
      <c r="Q146" s="126"/>
      <c r="R146" s="127">
        <f>'1. Standard_Cost'!$B$15*N146*P146</f>
        <v>0</v>
      </c>
      <c r="S146" s="127">
        <f>N146*O146*P146*'1. Standard_Cost'!$C$15</f>
        <v>0</v>
      </c>
      <c r="T146" s="127">
        <f>N146*P146*Q146*'1. Standard_Cost'!$D$15</f>
        <v>0</v>
      </c>
      <c r="U146" s="127">
        <f>N146*O146*'1. Standard_Cost'!$E$15</f>
        <v>0</v>
      </c>
      <c r="V146" s="126"/>
      <c r="W146" s="126"/>
      <c r="X146" s="126"/>
      <c r="Y146" s="127">
        <f>+V146*((X146*'1. Standard_Cost'!$B$19)+(W146*X146*'1. Standard_Cost'!$C$19))</f>
        <v>0</v>
      </c>
      <c r="Z146" s="126"/>
      <c r="AA146" s="126">
        <v>30</v>
      </c>
      <c r="AB146" s="127">
        <f>+Z146*'1. Standard_Cost'!$B$23+AA146*'1. Standard_Cost'!$C$23</f>
        <v>570000</v>
      </c>
      <c r="AC146" s="128">
        <v>224000</v>
      </c>
      <c r="AD146" s="129"/>
      <c r="AE146" s="127">
        <f>SUM(AD146,AC146,AB146,Y146,U146,T146,S146,R146)*'1. Standard_Cost'!$B$31</f>
        <v>158800</v>
      </c>
      <c r="AF146" s="127">
        <f t="shared" si="93"/>
        <v>952800</v>
      </c>
      <c r="AG146" s="126"/>
      <c r="AH146" s="126"/>
      <c r="AI146" s="126"/>
      <c r="AJ146" s="130"/>
      <c r="AK146" s="130"/>
      <c r="AL146" s="130"/>
      <c r="AM146" s="127">
        <f>AG146*'1. Standard_Cost'!$B$27+'Incremental_Cost Year 8'!AH146*'1. Standard_Cost'!$C$27+'Incremental_Cost Year 8'!AI146*'1. Standard_Cost'!$D$27+'Incremental_Cost Year 8'!AJ146+'Incremental_Cost Year 8'!AL146+AK146</f>
        <v>0</v>
      </c>
      <c r="AN146" s="127">
        <f>AM146*'1. Standard_Cost'!$C$31</f>
        <v>0</v>
      </c>
      <c r="AO146" s="130"/>
      <c r="AQ146" s="171">
        <f t="shared" si="94"/>
        <v>1764504</v>
      </c>
      <c r="AR146" s="171">
        <f t="shared" si="95"/>
        <v>952800</v>
      </c>
      <c r="AS146" s="171">
        <f t="shared" si="96"/>
        <v>0</v>
      </c>
      <c r="AT146" s="171">
        <f t="shared" si="97"/>
        <v>2717304</v>
      </c>
      <c r="AU146" s="250">
        <v>1919304</v>
      </c>
      <c r="AV146" s="250"/>
      <c r="AW146" s="250"/>
      <c r="AX146" s="250"/>
      <c r="AY146" s="250"/>
      <c r="AZ146" s="250"/>
      <c r="BA146" s="250"/>
      <c r="BB146" s="251">
        <f t="shared" si="98"/>
        <v>-798000</v>
      </c>
      <c r="BC146" s="169"/>
      <c r="BD146" s="169"/>
      <c r="BE146" s="169"/>
      <c r="BF146" s="169"/>
    </row>
    <row r="147" spans="1:58" ht="61.9" customHeight="1" outlineLevel="2" x14ac:dyDescent="0.25">
      <c r="A147" s="115"/>
      <c r="B147" s="200"/>
      <c r="C147" s="330"/>
      <c r="D147" s="343"/>
      <c r="E147" s="328"/>
      <c r="F147" s="328"/>
      <c r="G147" s="328"/>
      <c r="H147" s="199" t="s">
        <v>295</v>
      </c>
      <c r="I147" s="130" t="s">
        <v>5</v>
      </c>
      <c r="J147" s="126">
        <v>0.5</v>
      </c>
      <c r="K147" s="126">
        <v>50</v>
      </c>
      <c r="L147" s="125">
        <f>IF(I147&lt;&gt;0,((VLOOKUP(I147,'1. Standard_Cost'!$B$4:$D$11,2)+VLOOKUP(I147,'1. Standard_Cost'!$B$4:$D$11,3))*J147*K147),"0")</f>
        <v>1767500</v>
      </c>
      <c r="M147" s="125">
        <f>L147*'1. Standard_Cost'!$F$4</f>
        <v>295172.5</v>
      </c>
      <c r="N147" s="126"/>
      <c r="O147" s="126"/>
      <c r="P147" s="126"/>
      <c r="Q147" s="126"/>
      <c r="R147" s="127">
        <f>'1. Standard_Cost'!$B$15*N147*P147</f>
        <v>0</v>
      </c>
      <c r="S147" s="127">
        <f>N147*O147*P147*'1. Standard_Cost'!$C$15</f>
        <v>0</v>
      </c>
      <c r="T147" s="127">
        <f>N147*P147*Q147*'1. Standard_Cost'!$D$15</f>
        <v>0</v>
      </c>
      <c r="U147" s="127">
        <f>N147*O147*'1. Standard_Cost'!$E$15</f>
        <v>0</v>
      </c>
      <c r="V147" s="126"/>
      <c r="W147" s="126"/>
      <c r="X147" s="126"/>
      <c r="Y147" s="127">
        <f>+V147*((X147*'1. Standard_Cost'!$B$19)+(W147*X147*'1. Standard_Cost'!$C$19))</f>
        <v>0</v>
      </c>
      <c r="Z147" s="126"/>
      <c r="AA147" s="126"/>
      <c r="AB147" s="127">
        <f>+Z147*'1. Standard_Cost'!$B$23+AA147*'1. Standard_Cost'!$C$23</f>
        <v>0</v>
      </c>
      <c r="AC147" s="128">
        <v>247520</v>
      </c>
      <c r="AD147" s="129"/>
      <c r="AE147" s="127">
        <f>SUM(AD147,AC147,AB147,Y147,U147,T147,S147,R147)*'1. Standard_Cost'!$B$31</f>
        <v>49504</v>
      </c>
      <c r="AF147" s="127">
        <f t="shared" si="93"/>
        <v>297024</v>
      </c>
      <c r="AG147" s="126"/>
      <c r="AH147" s="126"/>
      <c r="AI147" s="126"/>
      <c r="AJ147" s="130"/>
      <c r="AK147" s="130"/>
      <c r="AL147" s="130"/>
      <c r="AM147" s="127">
        <f>AG147*'1. Standard_Cost'!$B$27+'Incremental_Cost Year 8'!AH147*'1. Standard_Cost'!$C$27+'Incremental_Cost Year 8'!AI147*'1. Standard_Cost'!$D$27+'Incremental_Cost Year 8'!AJ147+'Incremental_Cost Year 8'!AL147+AK147</f>
        <v>0</v>
      </c>
      <c r="AN147" s="127">
        <f>AM147*'1. Standard_Cost'!$C$31</f>
        <v>0</v>
      </c>
      <c r="AO147" s="130"/>
      <c r="AQ147" s="171">
        <f t="shared" si="94"/>
        <v>2062672.5</v>
      </c>
      <c r="AR147" s="171">
        <f t="shared" si="95"/>
        <v>297024</v>
      </c>
      <c r="AS147" s="171">
        <f t="shared" si="96"/>
        <v>0</v>
      </c>
      <c r="AT147" s="171">
        <f t="shared" si="97"/>
        <v>2359696.5</v>
      </c>
      <c r="AU147" s="250">
        <f>AT147</f>
        <v>2359696.5</v>
      </c>
      <c r="AV147" s="250"/>
      <c r="AW147" s="250"/>
      <c r="AX147" s="250"/>
      <c r="AY147" s="250"/>
      <c r="AZ147" s="250"/>
      <c r="BA147" s="250"/>
      <c r="BB147" s="251">
        <f t="shared" si="98"/>
        <v>0</v>
      </c>
      <c r="BC147" s="169"/>
      <c r="BD147" s="169"/>
      <c r="BE147" s="169"/>
      <c r="BF147" s="169"/>
    </row>
    <row r="148" spans="1:58" ht="61.9" customHeight="1" outlineLevel="2" x14ac:dyDescent="0.25">
      <c r="A148" s="115"/>
      <c r="B148" s="147"/>
      <c r="C148" s="341"/>
      <c r="D148" s="343"/>
      <c r="E148" s="328"/>
      <c r="F148" s="328"/>
      <c r="G148" s="328"/>
      <c r="H148" s="199" t="s">
        <v>463</v>
      </c>
      <c r="I148" s="130" t="s">
        <v>4</v>
      </c>
      <c r="J148" s="126">
        <v>2</v>
      </c>
      <c r="K148" s="126">
        <v>2</v>
      </c>
      <c r="L148" s="125">
        <f>IF(I148&lt;&gt;0,((VLOOKUP(I148,'1. Standard_Cost'!$B$4:$D$11,2)+VLOOKUP(I148,'1. Standard_Cost'!$B$4:$D$11,3))*J148*K148),"0")</f>
        <v>323000</v>
      </c>
      <c r="M148" s="125">
        <f>L148*'1. Standard_Cost'!$F$4</f>
        <v>53941</v>
      </c>
      <c r="N148" s="126">
        <v>10</v>
      </c>
      <c r="O148" s="126">
        <v>1</v>
      </c>
      <c r="P148" s="126">
        <v>20</v>
      </c>
      <c r="Q148" s="126"/>
      <c r="R148" s="127">
        <f>'1. Standard_Cost'!$B$15*N148*P148</f>
        <v>400000</v>
      </c>
      <c r="S148" s="127">
        <f>N148*O148*P148*'1. Standard_Cost'!$C$15</f>
        <v>300000</v>
      </c>
      <c r="T148" s="127">
        <f>N148*P148*Q148*'1. Standard_Cost'!$D$15</f>
        <v>0</v>
      </c>
      <c r="U148" s="127">
        <f>N148*O148*'1. Standard_Cost'!$E$15</f>
        <v>400000</v>
      </c>
      <c r="V148" s="126"/>
      <c r="W148" s="126"/>
      <c r="X148" s="126"/>
      <c r="Y148" s="127">
        <f>+V148*((X148*'1. Standard_Cost'!$B$19)+(W148*X148*'1. Standard_Cost'!$C$19))</f>
        <v>0</v>
      </c>
      <c r="Z148" s="126"/>
      <c r="AA148" s="126">
        <v>11</v>
      </c>
      <c r="AB148" s="127">
        <f>+Z148*'1. Standard_Cost'!$B$23+AA148*'1. Standard_Cost'!$C$23</f>
        <v>209000</v>
      </c>
      <c r="AC148" s="128">
        <f>200*3300</f>
        <v>660000</v>
      </c>
      <c r="AD148" s="129"/>
      <c r="AE148" s="127">
        <f>SUM(AD148,AC148,AB148,Y148,U148,T148,S148,R148)*'1. Standard_Cost'!$B$31</f>
        <v>393800</v>
      </c>
      <c r="AF148" s="127">
        <f t="shared" si="93"/>
        <v>2362800</v>
      </c>
      <c r="AG148" s="126"/>
      <c r="AH148" s="126"/>
      <c r="AI148" s="126"/>
      <c r="AJ148" s="130"/>
      <c r="AK148" s="130"/>
      <c r="AL148" s="130"/>
      <c r="AM148" s="127">
        <f>AG148*'1. Standard_Cost'!$B$27+'Incremental_Cost Year 8'!AH148*'1. Standard_Cost'!$C$27+'Incremental_Cost Year 8'!AI148*'1. Standard_Cost'!$D$27+'Incremental_Cost Year 8'!AJ148+'Incremental_Cost Year 8'!AL148+AK148</f>
        <v>0</v>
      </c>
      <c r="AN148" s="127">
        <f>AM148*'1. Standard_Cost'!$C$31</f>
        <v>0</v>
      </c>
      <c r="AO148" s="130"/>
      <c r="AQ148" s="171">
        <f t="shared" si="94"/>
        <v>376941</v>
      </c>
      <c r="AR148" s="171">
        <f t="shared" si="95"/>
        <v>2362800</v>
      </c>
      <c r="AS148" s="171">
        <f t="shared" si="96"/>
        <v>0</v>
      </c>
      <c r="AT148" s="171">
        <f t="shared" si="97"/>
        <v>2739741</v>
      </c>
      <c r="AU148" s="250">
        <v>376941</v>
      </c>
      <c r="AV148" s="250"/>
      <c r="AW148" s="250"/>
      <c r="AX148" s="250"/>
      <c r="AY148" s="250"/>
      <c r="AZ148" s="250"/>
      <c r="BA148" s="250"/>
      <c r="BB148" s="251">
        <f t="shared" si="98"/>
        <v>-2362800</v>
      </c>
      <c r="BC148" s="169"/>
      <c r="BD148" s="169"/>
      <c r="BE148" s="169"/>
      <c r="BF148" s="169"/>
    </row>
    <row r="149" spans="1:58" ht="61.9" customHeight="1" outlineLevel="1" x14ac:dyDescent="0.25">
      <c r="A149" s="115"/>
      <c r="B149" s="165"/>
      <c r="C149" s="166"/>
      <c r="D149" s="228" t="s">
        <v>464</v>
      </c>
      <c r="E149" s="345" t="s">
        <v>296</v>
      </c>
      <c r="F149" s="136">
        <v>2024</v>
      </c>
      <c r="G149" s="117">
        <v>2030</v>
      </c>
      <c r="H149" s="110" t="s">
        <v>297</v>
      </c>
      <c r="I149" s="252"/>
      <c r="J149" s="252"/>
      <c r="K149" s="252"/>
      <c r="L149" s="127">
        <f>SUM(L141:L148)</f>
        <v>11588500</v>
      </c>
      <c r="M149" s="127">
        <f>SUM(M141:M148)</f>
        <v>1935279.5</v>
      </c>
      <c r="N149" s="127"/>
      <c r="O149" s="252"/>
      <c r="P149" s="252"/>
      <c r="Q149" s="252"/>
      <c r="R149" s="127">
        <f>SUM(R141:R148)</f>
        <v>400000</v>
      </c>
      <c r="S149" s="127">
        <f>SUM(S141:S148)</f>
        <v>300000</v>
      </c>
      <c r="T149" s="127">
        <f>SUM(T141:T148)</f>
        <v>0</v>
      </c>
      <c r="U149" s="127">
        <f>SUM(U141:U148)</f>
        <v>400000</v>
      </c>
      <c r="V149" s="252"/>
      <c r="W149" s="252"/>
      <c r="X149" s="252"/>
      <c r="Y149" s="127">
        <f>SUM(Y141:Y148)</f>
        <v>255000</v>
      </c>
      <c r="Z149" s="252"/>
      <c r="AA149" s="252"/>
      <c r="AB149" s="127">
        <f>SUM(AB141:AB148)</f>
        <v>779000</v>
      </c>
      <c r="AC149" s="127">
        <f>SUM(AC141:AC148)</f>
        <v>3102920</v>
      </c>
      <c r="AD149" s="127">
        <f>SUM(AD141:AD148)</f>
        <v>0</v>
      </c>
      <c r="AE149" s="127">
        <f>SUM(AE141:AE148)</f>
        <v>1047384</v>
      </c>
      <c r="AF149" s="127">
        <f>SUM(AF141:AF148)</f>
        <v>6284304</v>
      </c>
      <c r="AG149" s="252"/>
      <c r="AH149" s="252"/>
      <c r="AI149" s="252"/>
      <c r="AJ149" s="127">
        <f>SUM(AJ141:AJ148)</f>
        <v>0</v>
      </c>
      <c r="AK149" s="127">
        <f>SUM(AK141:AK148)</f>
        <v>0</v>
      </c>
      <c r="AL149" s="127">
        <f>SUM(AL141:AL148)</f>
        <v>0</v>
      </c>
      <c r="AM149" s="127">
        <f>SUM(AM141:AM148)</f>
        <v>0</v>
      </c>
      <c r="AN149" s="127">
        <f>SUM(AN141:AN148)</f>
        <v>0</v>
      </c>
      <c r="AO149" s="253"/>
      <c r="AP149" s="254"/>
      <c r="AQ149" s="175">
        <f>SUM(AQ141:AQ148)</f>
        <v>13523779.5</v>
      </c>
      <c r="AR149" s="175">
        <f>SUM(AR141:AR148)</f>
        <v>6284304</v>
      </c>
      <c r="AS149" s="175">
        <f>SUM(AS141:AS148)</f>
        <v>0</v>
      </c>
      <c r="AT149" s="175">
        <f>SUM(AT141:AT148)</f>
        <v>19808083.5</v>
      </c>
      <c r="AU149" s="175">
        <f t="shared" ref="AU149:BB149" si="99">SUM(AU141:AU148)</f>
        <v>16647283.5</v>
      </c>
      <c r="AV149" s="175">
        <f t="shared" si="99"/>
        <v>0</v>
      </c>
      <c r="AW149" s="175">
        <f t="shared" si="99"/>
        <v>0</v>
      </c>
      <c r="AX149" s="175">
        <f t="shared" si="99"/>
        <v>0</v>
      </c>
      <c r="AY149" s="175">
        <f t="shared" si="99"/>
        <v>0</v>
      </c>
      <c r="AZ149" s="175">
        <f t="shared" si="99"/>
        <v>0</v>
      </c>
      <c r="BA149" s="175">
        <f t="shared" si="99"/>
        <v>0</v>
      </c>
      <c r="BB149" s="175">
        <f t="shared" si="99"/>
        <v>-3160800</v>
      </c>
      <c r="BC149" s="169"/>
      <c r="BD149" s="169"/>
      <c r="BE149" s="169"/>
      <c r="BF149" s="169"/>
    </row>
    <row r="150" spans="1:58" s="170" customFormat="1" ht="61.9" customHeight="1" x14ac:dyDescent="0.25">
      <c r="A150" s="120"/>
      <c r="B150" s="388" t="s">
        <v>231</v>
      </c>
      <c r="C150" s="393"/>
      <c r="D150" s="393"/>
      <c r="E150" s="394"/>
      <c r="F150" s="339"/>
      <c r="G150" s="339"/>
      <c r="H150" s="148" t="s">
        <v>166</v>
      </c>
      <c r="I150" s="265"/>
      <c r="J150" s="243"/>
      <c r="K150" s="243"/>
      <c r="L150" s="243">
        <f>L151+L163+L182</f>
        <v>11011226200</v>
      </c>
      <c r="M150" s="243">
        <f>M151+M163+M182</f>
        <v>1838874775.3999999</v>
      </c>
      <c r="N150" s="243"/>
      <c r="O150" s="243"/>
      <c r="P150" s="243"/>
      <c r="Q150" s="243"/>
      <c r="R150" s="243">
        <f>R151+R163+R182</f>
        <v>0</v>
      </c>
      <c r="S150" s="243">
        <f>S151+S163+S182</f>
        <v>0</v>
      </c>
      <c r="T150" s="243">
        <f>T151+T163+T182</f>
        <v>0</v>
      </c>
      <c r="U150" s="243">
        <f>U151+U163+U182</f>
        <v>0</v>
      </c>
      <c r="V150" s="243"/>
      <c r="W150" s="243"/>
      <c r="X150" s="243"/>
      <c r="Y150" s="243"/>
      <c r="Z150" s="243">
        <v>0</v>
      </c>
      <c r="AA150" s="243"/>
      <c r="AB150" s="243">
        <f>AB151+AB163+AB182</f>
        <v>0</v>
      </c>
      <c r="AC150" s="243">
        <f>AC151+AC163+AC182</f>
        <v>15262200542</v>
      </c>
      <c r="AD150" s="243">
        <f>AD151+AD163+AD182</f>
        <v>0</v>
      </c>
      <c r="AE150" s="243">
        <f>AE151+AE163+AE182</f>
        <v>1960857208.4000001</v>
      </c>
      <c r="AF150" s="243">
        <f>AF151+AF163+AF182</f>
        <v>17223057750.400002</v>
      </c>
      <c r="AG150" s="243"/>
      <c r="AH150" s="243"/>
      <c r="AI150" s="243"/>
      <c r="AJ150" s="243">
        <f>AJ151+AJ163+AJ182</f>
        <v>0</v>
      </c>
      <c r="AK150" s="243">
        <f>AK151+AK163+AK182</f>
        <v>0</v>
      </c>
      <c r="AL150" s="243">
        <f>AL151+AL163+AL182</f>
        <v>0</v>
      </c>
      <c r="AM150" s="243">
        <f>AM151+AM163+AM182</f>
        <v>0</v>
      </c>
      <c r="AN150" s="243">
        <f>AN151+AN163+AN182</f>
        <v>0</v>
      </c>
      <c r="AO150" s="243"/>
      <c r="AP150" s="244"/>
      <c r="AQ150" s="243">
        <f>AQ151+AQ163+AQ182</f>
        <v>12850100975.4</v>
      </c>
      <c r="AR150" s="243">
        <f>AR151+AR163+AR182</f>
        <v>17223057750.400002</v>
      </c>
      <c r="AS150" s="243">
        <f>AS151+AS163+AS182</f>
        <v>0</v>
      </c>
      <c r="AT150" s="243">
        <f>AT151+AT163+AT182</f>
        <v>30073158725.799999</v>
      </c>
      <c r="AU150" s="243">
        <f t="shared" ref="AU150:BB150" si="100">AU151+AU163+AU182</f>
        <v>28273158726.200001</v>
      </c>
      <c r="AV150" s="243">
        <f t="shared" si="100"/>
        <v>0</v>
      </c>
      <c r="AW150" s="243">
        <f t="shared" si="100"/>
        <v>0</v>
      </c>
      <c r="AX150" s="243">
        <f t="shared" si="100"/>
        <v>0</v>
      </c>
      <c r="AY150" s="243">
        <f t="shared" si="100"/>
        <v>0</v>
      </c>
      <c r="AZ150" s="243">
        <f t="shared" si="100"/>
        <v>0</v>
      </c>
      <c r="BA150" s="243">
        <f t="shared" si="100"/>
        <v>0</v>
      </c>
      <c r="BB150" s="243">
        <f t="shared" si="100"/>
        <v>-1799999999.5999999</v>
      </c>
    </row>
    <row r="151" spans="1:58" s="184" customFormat="1" ht="61.9" customHeight="1" x14ac:dyDescent="0.25">
      <c r="A151" s="143"/>
      <c r="B151" s="290"/>
      <c r="C151" s="391" t="s">
        <v>232</v>
      </c>
      <c r="D151" s="391"/>
      <c r="E151" s="392"/>
      <c r="F151" s="287"/>
      <c r="G151" s="289"/>
      <c r="H151" s="149" t="s">
        <v>167</v>
      </c>
      <c r="I151" s="257"/>
      <c r="J151" s="257"/>
      <c r="K151" s="257"/>
      <c r="L151" s="258">
        <f>L156+L159+L162</f>
        <v>11029200</v>
      </c>
      <c r="M151" s="258">
        <f>M156+M159+M162</f>
        <v>1841876.4000000001</v>
      </c>
      <c r="N151" s="257"/>
      <c r="O151" s="257"/>
      <c r="P151" s="257"/>
      <c r="Q151" s="257"/>
      <c r="R151" s="258">
        <f>R156+R159+R162</f>
        <v>0</v>
      </c>
      <c r="S151" s="258">
        <f>S156+S159+S162</f>
        <v>0</v>
      </c>
      <c r="T151" s="258">
        <f>T156+T159+T162</f>
        <v>0</v>
      </c>
      <c r="U151" s="258">
        <f>U156+U159+U162</f>
        <v>0</v>
      </c>
      <c r="V151" s="257"/>
      <c r="W151" s="257"/>
      <c r="X151" s="257"/>
      <c r="Y151" s="258"/>
      <c r="Z151" s="258">
        <v>0</v>
      </c>
      <c r="AA151" s="257"/>
      <c r="AB151" s="258">
        <f>AB156+AB159+AB162</f>
        <v>0</v>
      </c>
      <c r="AC151" s="258">
        <f>AC156+AC159+AC162</f>
        <v>4020287</v>
      </c>
      <c r="AD151" s="258">
        <f>AD156+AD159+AD162</f>
        <v>0</v>
      </c>
      <c r="AE151" s="258">
        <f>AE156+AE159+AE162</f>
        <v>804057.4</v>
      </c>
      <c r="AF151" s="258">
        <f>AF156+AF159+AF162</f>
        <v>4824344.4000000004</v>
      </c>
      <c r="AG151" s="257"/>
      <c r="AH151" s="257"/>
      <c r="AI151" s="257"/>
      <c r="AJ151" s="258">
        <f>AJ156+AJ159+AJ162</f>
        <v>0</v>
      </c>
      <c r="AK151" s="258">
        <f>AK156+AK159+AK162</f>
        <v>0</v>
      </c>
      <c r="AL151" s="258">
        <f>AL156+AL159+AL162</f>
        <v>0</v>
      </c>
      <c r="AM151" s="258">
        <f>AM156+AM159+AM162</f>
        <v>0</v>
      </c>
      <c r="AN151" s="258">
        <f>AN156+AN159+AN162</f>
        <v>0</v>
      </c>
      <c r="AO151" s="259"/>
      <c r="AP151" s="260"/>
      <c r="AQ151" s="258">
        <f>AQ156+AQ159+AQ162</f>
        <v>12871076.4</v>
      </c>
      <c r="AR151" s="258">
        <f>AR156+AR159+AR162</f>
        <v>4824344.4000000004</v>
      </c>
      <c r="AS151" s="258">
        <f>AS156+AS159+AS162</f>
        <v>0</v>
      </c>
      <c r="AT151" s="258">
        <f>AT156+AT159+AT162</f>
        <v>17695420.800000001</v>
      </c>
      <c r="AU151" s="258">
        <f t="shared" ref="AU151:BB151" si="101">AU156+AU159+AU162</f>
        <v>17695421</v>
      </c>
      <c r="AV151" s="258">
        <f t="shared" si="101"/>
        <v>0</v>
      </c>
      <c r="AW151" s="258">
        <f t="shared" si="101"/>
        <v>0</v>
      </c>
      <c r="AX151" s="258">
        <f t="shared" si="101"/>
        <v>0</v>
      </c>
      <c r="AY151" s="258">
        <f t="shared" si="101"/>
        <v>0</v>
      </c>
      <c r="AZ151" s="258">
        <f t="shared" si="101"/>
        <v>0</v>
      </c>
      <c r="BA151" s="258">
        <f t="shared" si="101"/>
        <v>0</v>
      </c>
      <c r="BB151" s="258">
        <f t="shared" si="101"/>
        <v>0.19999999925494194</v>
      </c>
    </row>
    <row r="152" spans="1:58" ht="61.9" customHeight="1" outlineLevel="2" x14ac:dyDescent="0.25">
      <c r="A152" s="115"/>
      <c r="B152" s="200"/>
      <c r="C152" s="201"/>
      <c r="D152" s="202"/>
      <c r="E152" s="294"/>
      <c r="F152" s="306"/>
      <c r="G152" s="307"/>
      <c r="H152" s="199" t="s">
        <v>465</v>
      </c>
      <c r="I152" s="130"/>
      <c r="J152" s="126"/>
      <c r="K152" s="126"/>
      <c r="L152" s="125" t="str">
        <f>IF(I152&lt;&gt;0,((VLOOKUP(I152,'1. Standard_Cost'!$B$4:$D$11,2)+VLOOKUP(I152,'1. Standard_Cost'!$B$4:$D$11,3))*J152*K152),"0")</f>
        <v>0</v>
      </c>
      <c r="M152" s="125">
        <f>L152*'1. Standard_Cost'!$F$4</f>
        <v>0</v>
      </c>
      <c r="N152" s="126"/>
      <c r="O152" s="126"/>
      <c r="P152" s="126"/>
      <c r="Q152" s="126"/>
      <c r="R152" s="127">
        <f>'1. Standard_Cost'!$B$15*N152*P152</f>
        <v>0</v>
      </c>
      <c r="S152" s="127">
        <f>N152*O152*P152*'1. Standard_Cost'!$C$15</f>
        <v>0</v>
      </c>
      <c r="T152" s="127">
        <f>N152*P152*Q152*'1. Standard_Cost'!$D$15</f>
        <v>0</v>
      </c>
      <c r="U152" s="127">
        <f>N152*O152*'1. Standard_Cost'!$E$15</f>
        <v>0</v>
      </c>
      <c r="V152" s="126"/>
      <c r="W152" s="126"/>
      <c r="X152" s="126"/>
      <c r="Y152" s="127">
        <f>+V152*((X152*'1. Standard_Cost'!$B$19)+(W152*X152*'1. Standard_Cost'!$C$19))</f>
        <v>0</v>
      </c>
      <c r="Z152" s="126"/>
      <c r="AA152" s="126"/>
      <c r="AB152" s="127">
        <f>+Z152*'1. Standard_Cost'!$B$23+AA152*'1. Standard_Cost'!$C$23</f>
        <v>0</v>
      </c>
      <c r="AC152" s="128"/>
      <c r="AD152" s="129"/>
      <c r="AE152" s="127">
        <f>SUM(AD152,AC152,AB152,Y152,U152,T152,S152,R152)*'1. Standard_Cost'!$B$31</f>
        <v>0</v>
      </c>
      <c r="AF152" s="127">
        <f>SUM(AE152,AD152,AC152,AB152,Y152,U152,T152,S152,R152)</f>
        <v>0</v>
      </c>
      <c r="AG152" s="126"/>
      <c r="AH152" s="126"/>
      <c r="AI152" s="126"/>
      <c r="AJ152" s="130"/>
      <c r="AK152" s="130"/>
      <c r="AL152" s="130"/>
      <c r="AM152" s="127">
        <f>AG152*'1. Standard_Cost'!$B$27+'Incremental_Cost Year 8'!AH152*'1. Standard_Cost'!$C$27+'Incremental_Cost Year 8'!AI152*'1. Standard_Cost'!$D$27+'Incremental_Cost Year 8'!AJ152+'Incremental_Cost Year 8'!AL152+AK152</f>
        <v>0</v>
      </c>
      <c r="AN152" s="127">
        <f>AM152*'1. Standard_Cost'!$C$31</f>
        <v>0</v>
      </c>
      <c r="AO152" s="130"/>
      <c r="AP152" s="256"/>
      <c r="AQ152" s="171">
        <f>L152+M152</f>
        <v>0</v>
      </c>
      <c r="AR152" s="171">
        <f>AF152</f>
        <v>0</v>
      </c>
      <c r="AS152" s="171">
        <f>AM152+AN152</f>
        <v>0</v>
      </c>
      <c r="AT152" s="171">
        <f>SUM(AQ152,AR152,AS152)</f>
        <v>0</v>
      </c>
      <c r="AU152" s="250"/>
      <c r="AV152" s="250"/>
      <c r="AW152" s="250"/>
      <c r="AX152" s="250"/>
      <c r="AY152" s="250"/>
      <c r="AZ152" s="250"/>
      <c r="BA152" s="250"/>
      <c r="BB152" s="251">
        <f t="shared" ref="BB152:BB155" si="102">SUM(AU152:BA152)-AT152</f>
        <v>0</v>
      </c>
      <c r="BC152" s="169"/>
      <c r="BD152" s="169"/>
      <c r="BE152" s="169"/>
      <c r="BF152" s="169"/>
    </row>
    <row r="153" spans="1:58" ht="61.9" customHeight="1" outlineLevel="2" x14ac:dyDescent="0.25">
      <c r="A153" s="115"/>
      <c r="B153" s="200"/>
      <c r="C153" s="201"/>
      <c r="D153" s="116"/>
      <c r="E153" s="230"/>
      <c r="F153" s="308"/>
      <c r="G153" s="309"/>
      <c r="H153" s="199" t="s">
        <v>466</v>
      </c>
      <c r="I153" s="130"/>
      <c r="J153" s="126"/>
      <c r="K153" s="126"/>
      <c r="L153" s="125" t="str">
        <f>IF(I153&lt;&gt;0,((VLOOKUP(I153,'1. Standard_Cost'!$B$4:$D$11,2)+VLOOKUP(I153,'1. Standard_Cost'!$B$4:$D$11,3))*J153*K153),"0")</f>
        <v>0</v>
      </c>
      <c r="M153" s="125">
        <f>L153*'1. Standard_Cost'!$F$4</f>
        <v>0</v>
      </c>
      <c r="N153" s="126"/>
      <c r="O153" s="126"/>
      <c r="P153" s="126"/>
      <c r="Q153" s="126"/>
      <c r="R153" s="127">
        <f>'1. Standard_Cost'!$B$15*N153*P153</f>
        <v>0</v>
      </c>
      <c r="S153" s="127">
        <f>N153*O153*P153*'1. Standard_Cost'!$C$15</f>
        <v>0</v>
      </c>
      <c r="T153" s="127">
        <f>N153*P153*Q153*'1. Standard_Cost'!$D$15</f>
        <v>0</v>
      </c>
      <c r="U153" s="127">
        <f>N153*O153*'1. Standard_Cost'!$E$15</f>
        <v>0</v>
      </c>
      <c r="V153" s="126"/>
      <c r="W153" s="126"/>
      <c r="X153" s="126"/>
      <c r="Y153" s="127">
        <f>+V153*((X153*'1. Standard_Cost'!$B$19)+(W153*X153*'1. Standard_Cost'!$C$19))</f>
        <v>0</v>
      </c>
      <c r="Z153" s="126"/>
      <c r="AA153" s="126"/>
      <c r="AB153" s="127">
        <f>+Z153*'1. Standard_Cost'!$B$23+AA153*'1. Standard_Cost'!$C$23</f>
        <v>0</v>
      </c>
      <c r="AC153" s="128"/>
      <c r="AD153" s="129"/>
      <c r="AE153" s="127">
        <f>SUM(AD153,AC153,AB153,Y153,U153,T153,S153,R153)*'1. Standard_Cost'!$B$31</f>
        <v>0</v>
      </c>
      <c r="AF153" s="127">
        <f>SUM(AE153,AD153,AC153,AB153,Y153,U153,T153,S153,R153)</f>
        <v>0</v>
      </c>
      <c r="AG153" s="126"/>
      <c r="AH153" s="126"/>
      <c r="AI153" s="126"/>
      <c r="AJ153" s="130"/>
      <c r="AK153" s="130"/>
      <c r="AL153" s="130"/>
      <c r="AM153" s="127">
        <f>AG153*'1. Standard_Cost'!$B$27+'Incremental_Cost Year 8'!AH153*'1. Standard_Cost'!$C$27+'Incremental_Cost Year 8'!AI153*'1. Standard_Cost'!$D$27+'Incremental_Cost Year 8'!AJ153+'Incremental_Cost Year 8'!AL153+AK153</f>
        <v>0</v>
      </c>
      <c r="AN153" s="127">
        <f>AM153*'1. Standard_Cost'!$C$31</f>
        <v>0</v>
      </c>
      <c r="AO153" s="130"/>
      <c r="AP153" s="256"/>
      <c r="AQ153" s="171">
        <f>L153+M153</f>
        <v>0</v>
      </c>
      <c r="AR153" s="171">
        <f>AF153</f>
        <v>0</v>
      </c>
      <c r="AS153" s="171">
        <f>AM153+AN153</f>
        <v>0</v>
      </c>
      <c r="AT153" s="171">
        <f>SUM(AQ153,AR153,AS153)</f>
        <v>0</v>
      </c>
      <c r="AU153" s="250"/>
      <c r="AV153" s="250"/>
      <c r="AW153" s="250"/>
      <c r="AX153" s="250"/>
      <c r="AY153" s="250"/>
      <c r="AZ153" s="250"/>
      <c r="BA153" s="250"/>
      <c r="BB153" s="251">
        <f t="shared" si="102"/>
        <v>0</v>
      </c>
      <c r="BC153" s="169"/>
      <c r="BD153" s="169"/>
      <c r="BE153" s="169"/>
      <c r="BF153" s="169"/>
    </row>
    <row r="154" spans="1:58" ht="61.9" customHeight="1" outlineLevel="2" x14ac:dyDescent="0.25">
      <c r="A154" s="115"/>
      <c r="B154" s="200"/>
      <c r="C154" s="201"/>
      <c r="D154" s="139"/>
      <c r="E154" s="230"/>
      <c r="F154" s="308"/>
      <c r="G154" s="309"/>
      <c r="H154" s="199" t="s">
        <v>467</v>
      </c>
      <c r="I154" s="130"/>
      <c r="J154" s="126"/>
      <c r="K154" s="126"/>
      <c r="L154" s="125" t="str">
        <f>IF(I154&lt;&gt;0,((VLOOKUP(I154,'1. Standard_Cost'!$B$4:$D$11,2)+VLOOKUP(I154,'1. Standard_Cost'!$B$4:$D$11,3))*J154*K154),"0")</f>
        <v>0</v>
      </c>
      <c r="M154" s="125">
        <f>L154*'1. Standard_Cost'!$F$4</f>
        <v>0</v>
      </c>
      <c r="N154" s="126"/>
      <c r="O154" s="126"/>
      <c r="P154" s="126"/>
      <c r="Q154" s="126"/>
      <c r="R154" s="127">
        <f>'1. Standard_Cost'!$B$15*N154*P154</f>
        <v>0</v>
      </c>
      <c r="S154" s="127">
        <f>N154*O154*P154*'1. Standard_Cost'!$C$15</f>
        <v>0</v>
      </c>
      <c r="T154" s="127">
        <f>N154*P154*Q154*'1. Standard_Cost'!$D$15</f>
        <v>0</v>
      </c>
      <c r="U154" s="127">
        <f>N154*O154*'1. Standard_Cost'!$E$15</f>
        <v>0</v>
      </c>
      <c r="V154" s="126"/>
      <c r="W154" s="126"/>
      <c r="X154" s="126"/>
      <c r="Y154" s="127">
        <f>+V154*((X154*'1. Standard_Cost'!$B$19)+(W154*X154*'1. Standard_Cost'!$C$19))</f>
        <v>0</v>
      </c>
      <c r="Z154" s="126"/>
      <c r="AA154" s="126"/>
      <c r="AB154" s="127">
        <f>+Z154*'1. Standard_Cost'!$B$23+AA154*'1. Standard_Cost'!$C$23</f>
        <v>0</v>
      </c>
      <c r="AC154" s="128"/>
      <c r="AD154" s="129"/>
      <c r="AE154" s="127">
        <f>SUM(AD154,AC154,AB154,Y154,U154,T154,S154,R154)*'1. Standard_Cost'!$B$31</f>
        <v>0</v>
      </c>
      <c r="AF154" s="127">
        <f>SUM(AE154,AD154,AC154,AB154,Y154,U154,T154,S154,R154)</f>
        <v>0</v>
      </c>
      <c r="AG154" s="126"/>
      <c r="AH154" s="126"/>
      <c r="AI154" s="126"/>
      <c r="AJ154" s="130"/>
      <c r="AK154" s="130"/>
      <c r="AL154" s="130"/>
      <c r="AM154" s="127">
        <f>AG154*'1. Standard_Cost'!$B$27+'Incremental_Cost Year 8'!AH154*'1. Standard_Cost'!$C$27+'Incremental_Cost Year 8'!AI154*'1. Standard_Cost'!$D$27+'Incremental_Cost Year 8'!AJ154+'Incremental_Cost Year 8'!AL154+AK154</f>
        <v>0</v>
      </c>
      <c r="AN154" s="127">
        <f>AM154*'1. Standard_Cost'!$C$31</f>
        <v>0</v>
      </c>
      <c r="AO154" s="130"/>
      <c r="AP154" s="256"/>
      <c r="AQ154" s="171">
        <f>L154+M154</f>
        <v>0</v>
      </c>
      <c r="AR154" s="171">
        <f>AF154</f>
        <v>0</v>
      </c>
      <c r="AS154" s="171">
        <f>AM154+AN154</f>
        <v>0</v>
      </c>
      <c r="AT154" s="171">
        <f>SUM(AQ154,AR154,AS154)</f>
        <v>0</v>
      </c>
      <c r="AU154" s="250"/>
      <c r="AV154" s="250"/>
      <c r="AW154" s="250"/>
      <c r="AX154" s="250"/>
      <c r="AY154" s="250"/>
      <c r="AZ154" s="250"/>
      <c r="BA154" s="250"/>
      <c r="BB154" s="251">
        <f t="shared" si="102"/>
        <v>0</v>
      </c>
      <c r="BC154" s="169"/>
      <c r="BD154" s="169"/>
      <c r="BE154" s="169"/>
      <c r="BF154" s="169"/>
    </row>
    <row r="155" spans="1:58" ht="61.9" customHeight="1" outlineLevel="2" x14ac:dyDescent="0.25">
      <c r="A155" s="115"/>
      <c r="B155" s="200"/>
      <c r="C155" s="201"/>
      <c r="D155" s="151"/>
      <c r="E155" s="121"/>
      <c r="F155" s="311"/>
      <c r="G155" s="312"/>
      <c r="H155" s="199" t="s">
        <v>540</v>
      </c>
      <c r="I155" s="130"/>
      <c r="J155" s="126"/>
      <c r="K155" s="126"/>
      <c r="L155" s="125" t="str">
        <f>IF(I155&lt;&gt;0,((VLOOKUP(I155,'1. Standard_Cost'!$B$4:$D$11,2)+VLOOKUP(I155,'1. Standard_Cost'!$B$4:$D$11,3))*J155*K155),"0")</f>
        <v>0</v>
      </c>
      <c r="M155" s="125">
        <f>L155*'1. Standard_Cost'!$F$4</f>
        <v>0</v>
      </c>
      <c r="N155" s="126"/>
      <c r="O155" s="126"/>
      <c r="P155" s="126"/>
      <c r="Q155" s="126"/>
      <c r="R155" s="127">
        <f>'1. Standard_Cost'!$B$15*N155*P155</f>
        <v>0</v>
      </c>
      <c r="S155" s="127">
        <f>N155*O155*P155*'1. Standard_Cost'!$C$15</f>
        <v>0</v>
      </c>
      <c r="T155" s="127">
        <f>N155*P155*Q155*'1. Standard_Cost'!$D$15</f>
        <v>0</v>
      </c>
      <c r="U155" s="127">
        <f>N155*O155*'1. Standard_Cost'!$E$15</f>
        <v>0</v>
      </c>
      <c r="V155" s="126"/>
      <c r="W155" s="126"/>
      <c r="X155" s="126"/>
      <c r="Y155" s="127">
        <f>+V155*((X155*'1. Standard_Cost'!$B$19)+(W155*X155*'1. Standard_Cost'!$C$19))</f>
        <v>0</v>
      </c>
      <c r="Z155" s="126"/>
      <c r="AA155" s="126"/>
      <c r="AB155" s="127">
        <f>+Z155*'1. Standard_Cost'!$B$23+AA155*'1. Standard_Cost'!$C$23</f>
        <v>0</v>
      </c>
      <c r="AC155" s="128"/>
      <c r="AD155" s="129"/>
      <c r="AE155" s="127">
        <f>SUM(AD155,AC155,AB155,Y155,U155,T155,S155,R155)*'1. Standard_Cost'!$B$31</f>
        <v>0</v>
      </c>
      <c r="AF155" s="127">
        <f>SUM(AE155,AD155,AC155,AB155,Y155,U155,T155,S155,R155)</f>
        <v>0</v>
      </c>
      <c r="AG155" s="126"/>
      <c r="AH155" s="126"/>
      <c r="AI155" s="126"/>
      <c r="AJ155" s="130"/>
      <c r="AK155" s="130"/>
      <c r="AL155" s="130"/>
      <c r="AM155" s="127">
        <f>AG155*'1. Standard_Cost'!$B$27+'Incremental_Cost Year 8'!AH155*'1. Standard_Cost'!$C$27+'Incremental_Cost Year 8'!AI155*'1. Standard_Cost'!$D$27+'Incremental_Cost Year 8'!AJ155+'Incremental_Cost Year 8'!AL155+AK155</f>
        <v>0</v>
      </c>
      <c r="AN155" s="127">
        <f>AM155*'1. Standard_Cost'!$C$31</f>
        <v>0</v>
      </c>
      <c r="AO155" s="130"/>
      <c r="AP155" s="256"/>
      <c r="AQ155" s="171">
        <f>L155+M155</f>
        <v>0</v>
      </c>
      <c r="AR155" s="171">
        <f>AF155</f>
        <v>0</v>
      </c>
      <c r="AS155" s="171">
        <f>AM155+AN155</f>
        <v>0</v>
      </c>
      <c r="AT155" s="171">
        <f>SUM(AQ155,AR155,AS155)</f>
        <v>0</v>
      </c>
      <c r="AU155" s="250"/>
      <c r="AV155" s="250"/>
      <c r="AW155" s="250"/>
      <c r="AX155" s="250"/>
      <c r="AY155" s="250"/>
      <c r="AZ155" s="250"/>
      <c r="BA155" s="250"/>
      <c r="BB155" s="251">
        <f t="shared" si="102"/>
        <v>0</v>
      </c>
      <c r="BC155" s="169"/>
      <c r="BD155" s="169"/>
      <c r="BE155" s="169"/>
      <c r="BF155" s="169"/>
    </row>
    <row r="156" spans="1:58" ht="61.9" customHeight="1" outlineLevel="2" x14ac:dyDescent="0.25">
      <c r="A156" s="115"/>
      <c r="B156" s="165"/>
      <c r="C156" s="166"/>
      <c r="D156" s="212" t="s">
        <v>233</v>
      </c>
      <c r="E156" s="212" t="s">
        <v>468</v>
      </c>
      <c r="F156" s="136">
        <v>2021</v>
      </c>
      <c r="G156" s="117">
        <v>2025</v>
      </c>
      <c r="H156" s="110" t="s">
        <v>168</v>
      </c>
      <c r="I156" s="252"/>
      <c r="J156" s="252"/>
      <c r="K156" s="252"/>
      <c r="L156" s="127">
        <f>SUM(L152:L155)</f>
        <v>0</v>
      </c>
      <c r="M156" s="127">
        <f>SUM(M152:M155)</f>
        <v>0</v>
      </c>
      <c r="N156" s="252"/>
      <c r="O156" s="252"/>
      <c r="P156" s="252"/>
      <c r="Q156" s="252"/>
      <c r="R156" s="127">
        <f>SUM(R152:R155)</f>
        <v>0</v>
      </c>
      <c r="S156" s="127">
        <f>SUM(S152:S155)</f>
        <v>0</v>
      </c>
      <c r="T156" s="127">
        <f>SUM(T152:T155)</f>
        <v>0</v>
      </c>
      <c r="U156" s="127">
        <f>SUM(U152:U155)</f>
        <v>0</v>
      </c>
      <c r="V156" s="252"/>
      <c r="W156" s="252"/>
      <c r="X156" s="252"/>
      <c r="Y156" s="127">
        <f>SUM(Y152:Y155)</f>
        <v>0</v>
      </c>
      <c r="Z156" s="252"/>
      <c r="AA156" s="252"/>
      <c r="AB156" s="127">
        <f>SUM(AB152:AB155)</f>
        <v>0</v>
      </c>
      <c r="AC156" s="127">
        <f>SUM(AC152:AC155)</f>
        <v>0</v>
      </c>
      <c r="AD156" s="127">
        <f>SUM(AD152:AD155)</f>
        <v>0</v>
      </c>
      <c r="AE156" s="127">
        <f>SUM(AE152:AE155)</f>
        <v>0</v>
      </c>
      <c r="AF156" s="127">
        <f>SUM(AF152:AF155)</f>
        <v>0</v>
      </c>
      <c r="AG156" s="252"/>
      <c r="AH156" s="252"/>
      <c r="AI156" s="252"/>
      <c r="AJ156" s="127">
        <f>SUM(AJ152:AJ155)</f>
        <v>0</v>
      </c>
      <c r="AK156" s="127">
        <f>SUM(AK152:AK155)</f>
        <v>0</v>
      </c>
      <c r="AL156" s="127">
        <f>SUM(AL152:AL155)</f>
        <v>0</v>
      </c>
      <c r="AM156" s="127">
        <f>SUM(AM152:AM155)</f>
        <v>0</v>
      </c>
      <c r="AN156" s="127">
        <f>SUM(AN152:AN155)</f>
        <v>0</v>
      </c>
      <c r="AO156" s="253"/>
      <c r="AP156" s="254"/>
      <c r="AQ156" s="175">
        <f>SUM(AQ152:AQ155)</f>
        <v>0</v>
      </c>
      <c r="AR156" s="175">
        <f>SUM(AR152:AR155)</f>
        <v>0</v>
      </c>
      <c r="AS156" s="175">
        <f>SUM(AS152:AS155)</f>
        <v>0</v>
      </c>
      <c r="AT156" s="175">
        <f>SUM(AT152:AT155)</f>
        <v>0</v>
      </c>
      <c r="AU156" s="175">
        <f t="shared" ref="AU156:BA156" si="103">SUM(AU152:AU155)</f>
        <v>0</v>
      </c>
      <c r="AV156" s="175">
        <f t="shared" si="103"/>
        <v>0</v>
      </c>
      <c r="AW156" s="175">
        <f t="shared" si="103"/>
        <v>0</v>
      </c>
      <c r="AX156" s="175">
        <f t="shared" si="103"/>
        <v>0</v>
      </c>
      <c r="AY156" s="175">
        <f t="shared" si="103"/>
        <v>0</v>
      </c>
      <c r="AZ156" s="175">
        <f t="shared" si="103"/>
        <v>0</v>
      </c>
      <c r="BA156" s="175">
        <f t="shared" si="103"/>
        <v>0</v>
      </c>
      <c r="BB156" s="175">
        <f>SUM(BB152:BB155)</f>
        <v>0</v>
      </c>
      <c r="BC156" s="169"/>
      <c r="BD156" s="169"/>
      <c r="BE156" s="169"/>
      <c r="BF156" s="169"/>
    </row>
    <row r="157" spans="1:58" ht="61.9" customHeight="1" outlineLevel="1" x14ac:dyDescent="0.25">
      <c r="A157" s="115"/>
      <c r="B157" s="200"/>
      <c r="C157" s="201"/>
      <c r="D157" s="342"/>
      <c r="E157" s="328"/>
      <c r="F157" s="328"/>
      <c r="G157" s="328"/>
      <c r="H157" s="213" t="s">
        <v>469</v>
      </c>
      <c r="I157" s="130"/>
      <c r="J157" s="126"/>
      <c r="K157" s="126"/>
      <c r="L157" s="125" t="str">
        <f>IF(I157&lt;&gt;0,((VLOOKUP(I157,'1. Standard_Cost'!$B$4:$D$11,2)+VLOOKUP(I157,'1. Standard_Cost'!$B$4:$D$11,3))*J157*K157),"0")</f>
        <v>0</v>
      </c>
      <c r="M157" s="125">
        <f>L157*'1. Standard_Cost'!$F$4</f>
        <v>0</v>
      </c>
      <c r="N157" s="126"/>
      <c r="O157" s="126"/>
      <c r="P157" s="126"/>
      <c r="Q157" s="126"/>
      <c r="R157" s="127">
        <f>'1. Standard_Cost'!$B$15*N157*P157</f>
        <v>0</v>
      </c>
      <c r="S157" s="127">
        <f>N157*O157*P157*'1. Standard_Cost'!$C$15</f>
        <v>0</v>
      </c>
      <c r="T157" s="127">
        <f>N157*P157*Q157*'1. Standard_Cost'!$D$15</f>
        <v>0</v>
      </c>
      <c r="U157" s="127">
        <f>N157*O157*'1. Standard_Cost'!$E$15</f>
        <v>0</v>
      </c>
      <c r="V157" s="126"/>
      <c r="W157" s="126"/>
      <c r="X157" s="126"/>
      <c r="Y157" s="127">
        <f>+V157*((X157*'1. Standard_Cost'!$B$19)+(W157*X157*'1. Standard_Cost'!$C$19))</f>
        <v>0</v>
      </c>
      <c r="Z157" s="126"/>
      <c r="AA157" s="126"/>
      <c r="AB157" s="127">
        <f>+Z157*'1. Standard_Cost'!$B$23+AA157*'1. Standard_Cost'!$C$23</f>
        <v>0</v>
      </c>
      <c r="AC157" s="128"/>
      <c r="AD157" s="129"/>
      <c r="AE157" s="127">
        <f>SUM(AD157,AC157,AB157,Y157,U157,T157,S157,R157)*'1. Standard_Cost'!$B$31</f>
        <v>0</v>
      </c>
      <c r="AF157" s="127">
        <f>SUM(AE157,AD157,AC157,AB157,Y157,U157,T157,S157,R157)</f>
        <v>0</v>
      </c>
      <c r="AG157" s="126"/>
      <c r="AH157" s="126"/>
      <c r="AI157" s="126"/>
      <c r="AJ157" s="130"/>
      <c r="AK157" s="130"/>
      <c r="AL157" s="130"/>
      <c r="AM157" s="127">
        <f>AG157*'1. Standard_Cost'!$B$27+'Incremental_Cost Year 8'!AH157*'1. Standard_Cost'!$C$27+'Incremental_Cost Year 8'!AI157*'1. Standard_Cost'!$D$27+'Incremental_Cost Year 8'!AJ157+'Incremental_Cost Year 8'!AL157+AK157</f>
        <v>0</v>
      </c>
      <c r="AN157" s="127">
        <f>AM157*'1. Standard_Cost'!$C$31</f>
        <v>0</v>
      </c>
      <c r="AO157" s="130"/>
      <c r="AP157" s="256"/>
      <c r="AQ157" s="171">
        <f>L157+M157</f>
        <v>0</v>
      </c>
      <c r="AR157" s="171">
        <f>AF157</f>
        <v>0</v>
      </c>
      <c r="AS157" s="171">
        <f>AM157+AN157</f>
        <v>0</v>
      </c>
      <c r="AT157" s="171">
        <f>SUM(AQ157,AR157,AS157)</f>
        <v>0</v>
      </c>
      <c r="AU157" s="250"/>
      <c r="AV157" s="250"/>
      <c r="AW157" s="250"/>
      <c r="AX157" s="250"/>
      <c r="AY157" s="250"/>
      <c r="AZ157" s="250"/>
      <c r="BA157" s="250"/>
      <c r="BB157" s="251">
        <f t="shared" ref="BB157:BB158" si="104">SUM(AU157:BA157)-AT157</f>
        <v>0</v>
      </c>
      <c r="BC157" s="169"/>
      <c r="BD157" s="169"/>
      <c r="BE157" s="169"/>
      <c r="BF157" s="169"/>
    </row>
    <row r="158" spans="1:58" ht="61.9" customHeight="1" outlineLevel="2" x14ac:dyDescent="0.25">
      <c r="A158" s="115"/>
      <c r="B158" s="200"/>
      <c r="C158" s="201"/>
      <c r="D158" s="344"/>
      <c r="E158" s="328"/>
      <c r="F158" s="328"/>
      <c r="G158" s="328"/>
      <c r="H158" s="199" t="s">
        <v>470</v>
      </c>
      <c r="I158" s="130"/>
      <c r="J158" s="126"/>
      <c r="K158" s="126"/>
      <c r="L158" s="125" t="str">
        <f>IF(I158&lt;&gt;0,((VLOOKUP(I158,'1. Standard_Cost'!$B$4:$D$11,2)+VLOOKUP(I158,'1. Standard_Cost'!$B$4:$D$11,3))*J158*K158),"0")</f>
        <v>0</v>
      </c>
      <c r="M158" s="125">
        <f>L158*'1. Standard_Cost'!$F$4</f>
        <v>0</v>
      </c>
      <c r="N158" s="126"/>
      <c r="O158" s="126"/>
      <c r="P158" s="126"/>
      <c r="Q158" s="126"/>
      <c r="R158" s="127">
        <f>'1. Standard_Cost'!$B$15*N158*P158</f>
        <v>0</v>
      </c>
      <c r="S158" s="127">
        <f>N158*O158*P158*'1. Standard_Cost'!$C$15</f>
        <v>0</v>
      </c>
      <c r="T158" s="127">
        <f>N158*P158*Q158*'1. Standard_Cost'!$D$15</f>
        <v>0</v>
      </c>
      <c r="U158" s="127">
        <f>N158*O158*'1. Standard_Cost'!$E$15</f>
        <v>0</v>
      </c>
      <c r="V158" s="126"/>
      <c r="W158" s="126"/>
      <c r="X158" s="126"/>
      <c r="Y158" s="127">
        <f>+V158*((X158*'1. Standard_Cost'!$B$19)+(W158*X158*'1. Standard_Cost'!$C$19))</f>
        <v>0</v>
      </c>
      <c r="Z158" s="126"/>
      <c r="AA158" s="126"/>
      <c r="AB158" s="127">
        <f>+Z158*'1. Standard_Cost'!$B$23+AA158*'1. Standard_Cost'!$C$23</f>
        <v>0</v>
      </c>
      <c r="AC158" s="128"/>
      <c r="AD158" s="129"/>
      <c r="AE158" s="127">
        <f>SUM(AD158,AC158,AB158,Y158,U158,T158,S158,R158)*'1. Standard_Cost'!$B$31</f>
        <v>0</v>
      </c>
      <c r="AF158" s="127">
        <f>SUM(AE158,AD158,AC158,AB158,Y158,U158,T158,S158,R158)</f>
        <v>0</v>
      </c>
      <c r="AG158" s="126"/>
      <c r="AH158" s="126"/>
      <c r="AI158" s="126"/>
      <c r="AJ158" s="130"/>
      <c r="AK158" s="130"/>
      <c r="AL158" s="130"/>
      <c r="AM158" s="127">
        <f>AG158*'1. Standard_Cost'!$B$27+'Incremental_Cost Year 8'!AH158*'1. Standard_Cost'!$C$27+'Incremental_Cost Year 8'!AI158*'1. Standard_Cost'!$D$27+'Incremental_Cost Year 8'!AJ158+'Incremental_Cost Year 8'!AL158+AK158</f>
        <v>0</v>
      </c>
      <c r="AN158" s="127">
        <f>AM158*'1. Standard_Cost'!$C$31</f>
        <v>0</v>
      </c>
      <c r="AO158" s="130"/>
      <c r="AP158" s="256"/>
      <c r="AQ158" s="171">
        <f>L158+M158</f>
        <v>0</v>
      </c>
      <c r="AR158" s="171">
        <f>AF158</f>
        <v>0</v>
      </c>
      <c r="AS158" s="171">
        <f>AM158+AN158</f>
        <v>0</v>
      </c>
      <c r="AT158" s="171">
        <f>SUM(AQ158,AR158,AS158)</f>
        <v>0</v>
      </c>
      <c r="AU158" s="250"/>
      <c r="AV158" s="250"/>
      <c r="AW158" s="250"/>
      <c r="AX158" s="250"/>
      <c r="AY158" s="250"/>
      <c r="AZ158" s="250"/>
      <c r="BA158" s="250"/>
      <c r="BB158" s="251">
        <f t="shared" si="104"/>
        <v>0</v>
      </c>
      <c r="BC158" s="169"/>
      <c r="BD158" s="169"/>
      <c r="BE158" s="169"/>
      <c r="BF158" s="169"/>
    </row>
    <row r="159" spans="1:58" ht="61.9" customHeight="1" outlineLevel="2" x14ac:dyDescent="0.25">
      <c r="A159" s="115"/>
      <c r="B159" s="165"/>
      <c r="C159" s="166"/>
      <c r="D159" s="150" t="s">
        <v>471</v>
      </c>
      <c r="E159" s="212" t="s">
        <v>472</v>
      </c>
      <c r="F159" s="106">
        <v>2021</v>
      </c>
      <c r="G159" s="104">
        <v>2030</v>
      </c>
      <c r="H159" s="110" t="s">
        <v>179</v>
      </c>
      <c r="I159" s="252"/>
      <c r="J159" s="252"/>
      <c r="K159" s="252"/>
      <c r="L159" s="127">
        <f>SUM(L157:L158)</f>
        <v>0</v>
      </c>
      <c r="M159" s="127">
        <f>SUM(M157:M158)</f>
        <v>0</v>
      </c>
      <c r="N159" s="252"/>
      <c r="O159" s="252"/>
      <c r="P159" s="252"/>
      <c r="Q159" s="252"/>
      <c r="R159" s="127">
        <f>SUM(R157:R158)</f>
        <v>0</v>
      </c>
      <c r="S159" s="127">
        <f>SUM(S157:S158)</f>
        <v>0</v>
      </c>
      <c r="T159" s="127">
        <f>SUM(T157:T158)</f>
        <v>0</v>
      </c>
      <c r="U159" s="127">
        <f>SUM(U157:U158)</f>
        <v>0</v>
      </c>
      <c r="V159" s="252"/>
      <c r="W159" s="252"/>
      <c r="X159" s="252"/>
      <c r="Y159" s="127">
        <f>SUM(Y157:Y158)</f>
        <v>0</v>
      </c>
      <c r="Z159" s="252"/>
      <c r="AA159" s="252"/>
      <c r="AB159" s="127">
        <f>SUM(AB157:AB158)</f>
        <v>0</v>
      </c>
      <c r="AC159" s="127">
        <f>SUM(AC157:AC158)</f>
        <v>0</v>
      </c>
      <c r="AD159" s="127">
        <f>SUM(AD157:AD158)</f>
        <v>0</v>
      </c>
      <c r="AE159" s="127">
        <f>SUM(AE157:AE158)</f>
        <v>0</v>
      </c>
      <c r="AF159" s="127">
        <f>SUM(AF157:AF158)</f>
        <v>0</v>
      </c>
      <c r="AG159" s="252"/>
      <c r="AH159" s="252"/>
      <c r="AI159" s="252"/>
      <c r="AJ159" s="127">
        <f>SUM(AJ157:AJ158)</f>
        <v>0</v>
      </c>
      <c r="AK159" s="127">
        <f>SUM(AK157:AK158)</f>
        <v>0</v>
      </c>
      <c r="AL159" s="127">
        <f>SUM(AL157:AL158)</f>
        <v>0</v>
      </c>
      <c r="AM159" s="127">
        <f>SUM(AM157:AM158)</f>
        <v>0</v>
      </c>
      <c r="AN159" s="127">
        <f>SUM(AN157:AN158)</f>
        <v>0</v>
      </c>
      <c r="AO159" s="253"/>
      <c r="AP159" s="254"/>
      <c r="AQ159" s="175">
        <f>SUM(AQ157:AQ158)</f>
        <v>0</v>
      </c>
      <c r="AR159" s="175">
        <f>SUM(AR157:AR158)</f>
        <v>0</v>
      </c>
      <c r="AS159" s="175">
        <f>SUM(AS157:AS158)</f>
        <v>0</v>
      </c>
      <c r="AT159" s="175">
        <f>SUM(AT157:AT158)</f>
        <v>0</v>
      </c>
      <c r="AU159" s="175">
        <f t="shared" ref="AU159:BB159" si="105">SUM(AU157:AU158)</f>
        <v>0</v>
      </c>
      <c r="AV159" s="175">
        <f t="shared" si="105"/>
        <v>0</v>
      </c>
      <c r="AW159" s="175">
        <f t="shared" si="105"/>
        <v>0</v>
      </c>
      <c r="AX159" s="175">
        <f t="shared" si="105"/>
        <v>0</v>
      </c>
      <c r="AY159" s="175">
        <f t="shared" si="105"/>
        <v>0</v>
      </c>
      <c r="AZ159" s="175">
        <f t="shared" si="105"/>
        <v>0</v>
      </c>
      <c r="BA159" s="175">
        <f t="shared" si="105"/>
        <v>0</v>
      </c>
      <c r="BB159" s="175">
        <f t="shared" si="105"/>
        <v>0</v>
      </c>
      <c r="BC159" s="169"/>
      <c r="BD159" s="169"/>
      <c r="BE159" s="169"/>
      <c r="BF159" s="169"/>
    </row>
    <row r="160" spans="1:58" ht="61.9" customHeight="1" outlineLevel="2" x14ac:dyDescent="0.25">
      <c r="A160" s="115"/>
      <c r="B160" s="200"/>
      <c r="C160" s="201"/>
      <c r="D160" s="328"/>
      <c r="E160" s="328"/>
      <c r="F160" s="328"/>
      <c r="G160" s="328"/>
      <c r="H160" s="199" t="s">
        <v>473</v>
      </c>
      <c r="I160" s="130"/>
      <c r="J160" s="126"/>
      <c r="K160" s="126"/>
      <c r="L160" s="125" t="str">
        <f>IF(I160&lt;&gt;0,((VLOOKUP(I160,'1. Standard_Cost'!$B$4:$D$11,2)+VLOOKUP(I160,'1. Standard_Cost'!$B$4:$D$11,3))*J160*K160),"0")</f>
        <v>0</v>
      </c>
      <c r="M160" s="125">
        <f>L160*'1. Standard_Cost'!$F$4</f>
        <v>0</v>
      </c>
      <c r="N160" s="126"/>
      <c r="O160" s="126"/>
      <c r="P160" s="126"/>
      <c r="Q160" s="126"/>
      <c r="R160" s="127">
        <f>'1. Standard_Cost'!$B$15*N160*P160</f>
        <v>0</v>
      </c>
      <c r="S160" s="127">
        <f>N160*O160*P160*'1. Standard_Cost'!$C$15</f>
        <v>0</v>
      </c>
      <c r="T160" s="127">
        <f>N160*P160*Q160*'1. Standard_Cost'!$D$15</f>
        <v>0</v>
      </c>
      <c r="U160" s="127">
        <f>N160*O160*'1. Standard_Cost'!$E$15</f>
        <v>0</v>
      </c>
      <c r="V160" s="126"/>
      <c r="W160" s="126"/>
      <c r="X160" s="126"/>
      <c r="Y160" s="127">
        <f>+V160*((X160*'1. Standard_Cost'!$B$19)+(W160*X160*'1. Standard_Cost'!$C$19))</f>
        <v>0</v>
      </c>
      <c r="Z160" s="126"/>
      <c r="AA160" s="126"/>
      <c r="AB160" s="127">
        <f>+Z160*'1. Standard_Cost'!$B$23+AA160*'1. Standard_Cost'!$C$23</f>
        <v>0</v>
      </c>
      <c r="AC160" s="128"/>
      <c r="AD160" s="129"/>
      <c r="AE160" s="127">
        <f>SUM(AD160,AC160,AB160,Y160,U160,T160,S160,R160)*'1. Standard_Cost'!$B$31</f>
        <v>0</v>
      </c>
      <c r="AF160" s="127">
        <f>SUM(AE160,AD160,AC160,AB160,Y160,U160,T160,S160,R160)</f>
        <v>0</v>
      </c>
      <c r="AG160" s="126"/>
      <c r="AH160" s="126"/>
      <c r="AI160" s="126"/>
      <c r="AJ160" s="130"/>
      <c r="AK160" s="130"/>
      <c r="AL160" s="130"/>
      <c r="AM160" s="127">
        <f>AG160*'1. Standard_Cost'!$B$27+'Incremental_Cost Year 8'!AH160*'1. Standard_Cost'!$C$27+'Incremental_Cost Year 8'!AI160*'1. Standard_Cost'!$D$27+'Incremental_Cost Year 8'!AJ160+'Incremental_Cost Year 8'!AL160+AK160</f>
        <v>0</v>
      </c>
      <c r="AN160" s="127">
        <f>AM160*'1. Standard_Cost'!$C$31</f>
        <v>0</v>
      </c>
      <c r="AO160" s="130"/>
      <c r="AP160" s="256"/>
      <c r="AQ160" s="171">
        <f>L160+M160</f>
        <v>0</v>
      </c>
      <c r="AR160" s="171">
        <f>AF160</f>
        <v>0</v>
      </c>
      <c r="AS160" s="171">
        <f>AM160+AN160</f>
        <v>0</v>
      </c>
      <c r="AT160" s="171">
        <f>SUM(AQ160,AR160,AS160)</f>
        <v>0</v>
      </c>
      <c r="AU160" s="250"/>
      <c r="AV160" s="250"/>
      <c r="AW160" s="250"/>
      <c r="AX160" s="250"/>
      <c r="AY160" s="250"/>
      <c r="AZ160" s="250"/>
      <c r="BA160" s="250"/>
      <c r="BB160" s="251">
        <f t="shared" ref="BB160:BB161" si="106">SUM(AU160:BA160)-AT160</f>
        <v>0</v>
      </c>
      <c r="BC160" s="169"/>
      <c r="BD160" s="169"/>
      <c r="BE160" s="169"/>
      <c r="BF160" s="169"/>
    </row>
    <row r="161" spans="1:58" ht="61.9" customHeight="1" outlineLevel="2" x14ac:dyDescent="0.25">
      <c r="A161" s="115"/>
      <c r="B161" s="200"/>
      <c r="C161" s="201"/>
      <c r="D161" s="328"/>
      <c r="E161" s="328"/>
      <c r="F161" s="328"/>
      <c r="G161" s="328"/>
      <c r="H161" s="213" t="s">
        <v>311</v>
      </c>
      <c r="I161" s="130" t="s">
        <v>5</v>
      </c>
      <c r="J161" s="126">
        <v>12</v>
      </c>
      <c r="K161" s="126">
        <v>13</v>
      </c>
      <c r="L161" s="125">
        <f>IF(I161&lt;&gt;0,((VLOOKUP(I161,'1. Standard_Cost'!$B$4:$D$11,2)+VLOOKUP(I161,'1. Standard_Cost'!$B$4:$D$11,3))*J161*K161),"0")</f>
        <v>11029200</v>
      </c>
      <c r="M161" s="125">
        <f>L161*'1. Standard_Cost'!$F$4</f>
        <v>1841876.4000000001</v>
      </c>
      <c r="N161" s="126"/>
      <c r="O161" s="126"/>
      <c r="P161" s="126"/>
      <c r="Q161" s="126"/>
      <c r="R161" s="127">
        <f>'1. Standard_Cost'!$B$15*N161*P161</f>
        <v>0</v>
      </c>
      <c r="S161" s="127">
        <f>N161*O161*P161*'1. Standard_Cost'!$C$15</f>
        <v>0</v>
      </c>
      <c r="T161" s="127">
        <f>N161*P161*Q161*'1. Standard_Cost'!$D$15</f>
        <v>0</v>
      </c>
      <c r="U161" s="127">
        <f>N161*O161*'1. Standard_Cost'!$E$15</f>
        <v>0</v>
      </c>
      <c r="V161" s="126"/>
      <c r="W161" s="126"/>
      <c r="X161" s="126"/>
      <c r="Y161" s="127">
        <f>+V161*((X161*'1. Standard_Cost'!$B$19)+(W161*X161*'1. Standard_Cost'!$C$19))</f>
        <v>0</v>
      </c>
      <c r="Z161" s="126"/>
      <c r="AA161" s="126"/>
      <c r="AB161" s="127">
        <f>+Z161*'1. Standard_Cost'!$B$23+AA161*'1. Standard_Cost'!$C$23</f>
        <v>0</v>
      </c>
      <c r="AC161" s="128">
        <v>4020287</v>
      </c>
      <c r="AD161" s="129"/>
      <c r="AE161" s="127">
        <f>SUM(AD161,AC161,AB161,Y161,U161,T161,S161,R161)*'1. Standard_Cost'!$B$31</f>
        <v>804057.4</v>
      </c>
      <c r="AF161" s="127">
        <f>SUM(AE161,AD161,AC161,AB161,Y161,U161,T161,S161,R161)</f>
        <v>4824344.4000000004</v>
      </c>
      <c r="AG161" s="126"/>
      <c r="AH161" s="126"/>
      <c r="AI161" s="126"/>
      <c r="AJ161" s="130"/>
      <c r="AK161" s="130"/>
      <c r="AL161" s="130"/>
      <c r="AM161" s="127">
        <f>AG161*'1. Standard_Cost'!$B$27+'Incremental_Cost Year 8'!AH161*'1. Standard_Cost'!$C$27+'Incremental_Cost Year 8'!AI161*'1. Standard_Cost'!$D$27+'Incremental_Cost Year 8'!AJ161+'Incremental_Cost Year 8'!AL161+AK161</f>
        <v>0</v>
      </c>
      <c r="AN161" s="127">
        <f>AM161*'1. Standard_Cost'!$C$31</f>
        <v>0</v>
      </c>
      <c r="AO161" s="130"/>
      <c r="AP161" s="256"/>
      <c r="AQ161" s="171">
        <f>L161+M161</f>
        <v>12871076.4</v>
      </c>
      <c r="AR161" s="171">
        <f>AF161</f>
        <v>4824344.4000000004</v>
      </c>
      <c r="AS161" s="171">
        <f>AM161+AN161</f>
        <v>0</v>
      </c>
      <c r="AT161" s="171">
        <f>SUM(AQ161,AR161,AS161)</f>
        <v>17695420.800000001</v>
      </c>
      <c r="AU161" s="250">
        <v>17695421</v>
      </c>
      <c r="AV161" s="250"/>
      <c r="AW161" s="250"/>
      <c r="AX161" s="250"/>
      <c r="AY161" s="250"/>
      <c r="AZ161" s="250"/>
      <c r="BA161" s="250"/>
      <c r="BB161" s="251">
        <f t="shared" si="106"/>
        <v>0.19999999925494194</v>
      </c>
      <c r="BC161" s="169"/>
      <c r="BD161" s="169"/>
      <c r="BE161" s="169"/>
      <c r="BF161" s="169"/>
    </row>
    <row r="162" spans="1:58" ht="61.9" customHeight="1" outlineLevel="2" x14ac:dyDescent="0.25">
      <c r="A162" s="115"/>
      <c r="B162" s="165"/>
      <c r="C162" s="166"/>
      <c r="D162" s="107" t="s">
        <v>233</v>
      </c>
      <c r="E162" s="212" t="s">
        <v>474</v>
      </c>
      <c r="F162" s="136">
        <v>2021</v>
      </c>
      <c r="G162" s="117">
        <v>2030</v>
      </c>
      <c r="H162" s="110" t="s">
        <v>180</v>
      </c>
      <c r="I162" s="252"/>
      <c r="J162" s="252"/>
      <c r="K162" s="252"/>
      <c r="L162" s="127">
        <f>SUM(L160:L161)</f>
        <v>11029200</v>
      </c>
      <c r="M162" s="127">
        <f>SUM(M160:M161)</f>
        <v>1841876.4000000001</v>
      </c>
      <c r="N162" s="252"/>
      <c r="O162" s="252"/>
      <c r="P162" s="252"/>
      <c r="Q162" s="252"/>
      <c r="R162" s="127">
        <f>SUM(R160:R161)</f>
        <v>0</v>
      </c>
      <c r="S162" s="127">
        <f>SUM(S160:S161)</f>
        <v>0</v>
      </c>
      <c r="T162" s="127">
        <f>SUM(T160:T161)</f>
        <v>0</v>
      </c>
      <c r="U162" s="127">
        <f>SUM(U160:U161)</f>
        <v>0</v>
      </c>
      <c r="V162" s="252"/>
      <c r="W162" s="252"/>
      <c r="X162" s="252"/>
      <c r="Y162" s="127">
        <f>SUM(Y160:Y161)</f>
        <v>0</v>
      </c>
      <c r="Z162" s="252"/>
      <c r="AA162" s="252"/>
      <c r="AB162" s="127">
        <f>SUM(AB160:AB161)</f>
        <v>0</v>
      </c>
      <c r="AC162" s="127">
        <f>SUM(AC160:AC161)</f>
        <v>4020287</v>
      </c>
      <c r="AD162" s="127">
        <f>SUM(AD160:AD161)</f>
        <v>0</v>
      </c>
      <c r="AE162" s="127">
        <f>SUM(AE160:AE161)</f>
        <v>804057.4</v>
      </c>
      <c r="AF162" s="127">
        <f>SUM(AF160:AF161)</f>
        <v>4824344.4000000004</v>
      </c>
      <c r="AG162" s="252"/>
      <c r="AH162" s="252"/>
      <c r="AI162" s="252"/>
      <c r="AJ162" s="127">
        <f>SUM(AJ160:AJ161)</f>
        <v>0</v>
      </c>
      <c r="AK162" s="127">
        <f>SUM(AK160:AK161)</f>
        <v>0</v>
      </c>
      <c r="AL162" s="127">
        <f>SUM(AL160:AL161)</f>
        <v>0</v>
      </c>
      <c r="AM162" s="127">
        <f>SUM(AM160:AM161)</f>
        <v>0</v>
      </c>
      <c r="AN162" s="127">
        <f>SUM(AN160:AN161)</f>
        <v>0</v>
      </c>
      <c r="AO162" s="253"/>
      <c r="AP162" s="254"/>
      <c r="AQ162" s="175">
        <f>SUM(AQ160:AQ161)</f>
        <v>12871076.4</v>
      </c>
      <c r="AR162" s="175">
        <f>SUM(AR160:AR161)</f>
        <v>4824344.4000000004</v>
      </c>
      <c r="AS162" s="175">
        <f>SUM(AS160:AS161)</f>
        <v>0</v>
      </c>
      <c r="AT162" s="175">
        <f>SUM(AT160:AT161)</f>
        <v>17695420.800000001</v>
      </c>
      <c r="AU162" s="175">
        <f t="shared" ref="AU162:BA162" si="107">SUM(AU160:AU161)</f>
        <v>17695421</v>
      </c>
      <c r="AV162" s="175">
        <f t="shared" si="107"/>
        <v>0</v>
      </c>
      <c r="AW162" s="175">
        <f t="shared" si="107"/>
        <v>0</v>
      </c>
      <c r="AX162" s="175">
        <f t="shared" si="107"/>
        <v>0</v>
      </c>
      <c r="AY162" s="175">
        <f t="shared" si="107"/>
        <v>0</v>
      </c>
      <c r="AZ162" s="175">
        <f t="shared" si="107"/>
        <v>0</v>
      </c>
      <c r="BA162" s="175">
        <f t="shared" si="107"/>
        <v>0</v>
      </c>
      <c r="BB162" s="175">
        <f>SUM(BB160:BB161)</f>
        <v>0.19999999925494194</v>
      </c>
      <c r="BC162" s="169"/>
      <c r="BD162" s="169"/>
      <c r="BE162" s="169"/>
      <c r="BF162" s="169"/>
    </row>
    <row r="163" spans="1:58" ht="61.9" customHeight="1" outlineLevel="2" x14ac:dyDescent="0.25">
      <c r="A163" s="143"/>
      <c r="B163" s="290"/>
      <c r="C163" s="391" t="s">
        <v>234</v>
      </c>
      <c r="D163" s="391"/>
      <c r="E163" s="392"/>
      <c r="F163" s="287"/>
      <c r="G163" s="289"/>
      <c r="H163" s="144" t="s">
        <v>169</v>
      </c>
      <c r="I163" s="257"/>
      <c r="J163" s="257"/>
      <c r="K163" s="257"/>
      <c r="L163" s="258">
        <f>L168+L178+L181</f>
        <v>436722700</v>
      </c>
      <c r="M163" s="258">
        <f>M168+M178+M181</f>
        <v>72932690.900000006</v>
      </c>
      <c r="N163" s="257"/>
      <c r="O163" s="257"/>
      <c r="P163" s="257"/>
      <c r="Q163" s="257"/>
      <c r="R163" s="258">
        <f>R168+R178+R181</f>
        <v>0</v>
      </c>
      <c r="S163" s="258">
        <f>S168+S178+S181</f>
        <v>0</v>
      </c>
      <c r="T163" s="258">
        <f>T168+T178+T181</f>
        <v>0</v>
      </c>
      <c r="U163" s="258">
        <f>U168+U178+U181</f>
        <v>0</v>
      </c>
      <c r="V163" s="257"/>
      <c r="W163" s="257"/>
      <c r="X163" s="257"/>
      <c r="Y163" s="258">
        <f>Y168+Y178+Y181</f>
        <v>0</v>
      </c>
      <c r="Z163" s="258"/>
      <c r="AA163" s="258"/>
      <c r="AB163" s="258">
        <f>AB168+AB178+AB181</f>
        <v>0</v>
      </c>
      <c r="AC163" s="258">
        <f>AC168+AC178+AC181</f>
        <v>5450014255</v>
      </c>
      <c r="AD163" s="258">
        <f>AD168+AD178+AD181</f>
        <v>0</v>
      </c>
      <c r="AE163" s="258">
        <f>AE168+AE178+AE181</f>
        <v>28151</v>
      </c>
      <c r="AF163" s="258">
        <f>AF168+AF178+AF181</f>
        <v>5450042406</v>
      </c>
      <c r="AG163" s="257"/>
      <c r="AH163" s="257"/>
      <c r="AI163" s="257"/>
      <c r="AJ163" s="258">
        <f>AJ168+AJ178+AJ181</f>
        <v>0</v>
      </c>
      <c r="AK163" s="258">
        <f>AK168+AK178+AK181</f>
        <v>0</v>
      </c>
      <c r="AL163" s="258">
        <f>AL168+AL178+AL181</f>
        <v>0</v>
      </c>
      <c r="AM163" s="258">
        <f>AM168+AM178+AM181</f>
        <v>0</v>
      </c>
      <c r="AN163" s="258">
        <f>AN168+AN178+AN181</f>
        <v>0</v>
      </c>
      <c r="AO163" s="259"/>
      <c r="AP163" s="260"/>
      <c r="AQ163" s="261">
        <f>AQ168+AQ178+AQ181</f>
        <v>509655390.89999998</v>
      </c>
      <c r="AR163" s="261">
        <f>AR168+AR178+AR181</f>
        <v>5450042406</v>
      </c>
      <c r="AS163" s="261">
        <f>AS168+AS178+AS181</f>
        <v>0</v>
      </c>
      <c r="AT163" s="261">
        <f>AT168+AT178+AT181</f>
        <v>5959697796.8999996</v>
      </c>
      <c r="AU163" s="261">
        <f t="shared" ref="AU163:BB163" si="108">AU168+AU178+AU181</f>
        <v>5959697797.1999998</v>
      </c>
      <c r="AV163" s="261">
        <f t="shared" si="108"/>
        <v>0</v>
      </c>
      <c r="AW163" s="261">
        <f t="shared" si="108"/>
        <v>0</v>
      </c>
      <c r="AX163" s="261">
        <f t="shared" si="108"/>
        <v>0</v>
      </c>
      <c r="AY163" s="261">
        <f t="shared" si="108"/>
        <v>0</v>
      </c>
      <c r="AZ163" s="261">
        <f t="shared" si="108"/>
        <v>0</v>
      </c>
      <c r="BA163" s="261">
        <f t="shared" si="108"/>
        <v>0</v>
      </c>
      <c r="BB163" s="261">
        <f t="shared" si="108"/>
        <v>0.30000000004656613</v>
      </c>
      <c r="BC163" s="184"/>
      <c r="BD163" s="184"/>
      <c r="BE163" s="184"/>
      <c r="BF163" s="184"/>
    </row>
    <row r="164" spans="1:58" ht="61.9" customHeight="1" outlineLevel="2" x14ac:dyDescent="0.25">
      <c r="A164" s="115"/>
      <c r="B164" s="200"/>
      <c r="C164" s="201"/>
      <c r="D164" s="333"/>
      <c r="E164" s="295"/>
      <c r="F164" s="306"/>
      <c r="G164" s="307"/>
      <c r="H164" s="199" t="s">
        <v>475</v>
      </c>
      <c r="I164" s="130"/>
      <c r="J164" s="126"/>
      <c r="K164" s="126"/>
      <c r="L164" s="125" t="str">
        <f>IF(I164&lt;&gt;0,((VLOOKUP(I164,'1. Standard_Cost'!$B$4:$D$11,2)+VLOOKUP(I164,'1. Standard_Cost'!$B$4:$D$11,3))*J164*K164),"0")</f>
        <v>0</v>
      </c>
      <c r="M164" s="125">
        <f>L164*'1. Standard_Cost'!$F$4</f>
        <v>0</v>
      </c>
      <c r="N164" s="126"/>
      <c r="O164" s="126"/>
      <c r="P164" s="126"/>
      <c r="Q164" s="126"/>
      <c r="R164" s="127">
        <f>'1. Standard_Cost'!$B$15*N164*P164</f>
        <v>0</v>
      </c>
      <c r="S164" s="127">
        <f>N164*O164*P164*'1. Standard_Cost'!$C$15</f>
        <v>0</v>
      </c>
      <c r="T164" s="127">
        <f>N164*P164*Q164*'1. Standard_Cost'!$D$15</f>
        <v>0</v>
      </c>
      <c r="U164" s="127">
        <f>N164*O164*'1. Standard_Cost'!$E$15</f>
        <v>0</v>
      </c>
      <c r="V164" s="126"/>
      <c r="W164" s="126"/>
      <c r="X164" s="126"/>
      <c r="Y164" s="127">
        <f>+V164*((X164*'1. Standard_Cost'!$B$19)+(W164*X164*'1. Standard_Cost'!$C$19))</f>
        <v>0</v>
      </c>
      <c r="Z164" s="126"/>
      <c r="AA164" s="126"/>
      <c r="AB164" s="127">
        <f>+Z164*'1. Standard_Cost'!$B$23+AA164*'1. Standard_Cost'!$C$23</f>
        <v>0</v>
      </c>
      <c r="AC164" s="128"/>
      <c r="AD164" s="129"/>
      <c r="AE164" s="127">
        <f>SUM(AD164,AC164,AB164,Y164,U164,T164,S164,R164)*'1. Standard_Cost'!$B$31</f>
        <v>0</v>
      </c>
      <c r="AF164" s="127">
        <f>SUM(AE164,AD164,AC164,AB164,Y164,U164,T164,S164,R164)</f>
        <v>0</v>
      </c>
      <c r="AG164" s="126"/>
      <c r="AH164" s="126"/>
      <c r="AI164" s="126"/>
      <c r="AJ164" s="130"/>
      <c r="AK164" s="130"/>
      <c r="AL164" s="130"/>
      <c r="AM164" s="127">
        <f>AG164*'1. Standard_Cost'!$B$27+'Incremental_Cost Year 8'!AH164*'1. Standard_Cost'!$C$27+'Incremental_Cost Year 8'!AI164*'1. Standard_Cost'!$D$27+'Incremental_Cost Year 8'!AJ164+'Incremental_Cost Year 8'!AL164+AK164</f>
        <v>0</v>
      </c>
      <c r="AN164" s="127">
        <f>AM164*'1. Standard_Cost'!$C$31</f>
        <v>0</v>
      </c>
      <c r="AO164" s="130"/>
      <c r="AP164" s="256"/>
      <c r="AQ164" s="171">
        <f>L164+M164</f>
        <v>0</v>
      </c>
      <c r="AR164" s="171">
        <f>AF164</f>
        <v>0</v>
      </c>
      <c r="AS164" s="171">
        <f>AM164+AN164</f>
        <v>0</v>
      </c>
      <c r="AT164" s="171">
        <f>SUM(AQ164,AR164,AS164)</f>
        <v>0</v>
      </c>
      <c r="AU164" s="250"/>
      <c r="AV164" s="250"/>
      <c r="AW164" s="250"/>
      <c r="AX164" s="250"/>
      <c r="AY164" s="250"/>
      <c r="AZ164" s="250"/>
      <c r="BA164" s="250"/>
      <c r="BB164" s="251">
        <f t="shared" ref="BB164:BB167" si="109">SUM(AU164:BA164)-AT164</f>
        <v>0</v>
      </c>
      <c r="BC164" s="169"/>
      <c r="BD164" s="169"/>
      <c r="BE164" s="169"/>
      <c r="BF164" s="169"/>
    </row>
    <row r="165" spans="1:58" ht="61.9" customHeight="1" outlineLevel="2" x14ac:dyDescent="0.25">
      <c r="A165" s="115"/>
      <c r="B165" s="200"/>
      <c r="C165" s="201"/>
      <c r="D165" s="151"/>
      <c r="E165" s="219"/>
      <c r="F165" s="308"/>
      <c r="G165" s="309"/>
      <c r="H165" s="199" t="s">
        <v>476</v>
      </c>
      <c r="I165" s="130"/>
      <c r="J165" s="126"/>
      <c r="K165" s="126"/>
      <c r="L165" s="125" t="str">
        <f>IF(I165&lt;&gt;0,((VLOOKUP(I165,'1. Standard_Cost'!$B$4:$D$11,2)+VLOOKUP(I165,'1. Standard_Cost'!$B$4:$D$11,3))*J165*K165),"0")</f>
        <v>0</v>
      </c>
      <c r="M165" s="125">
        <f>L165*'1. Standard_Cost'!$F$4</f>
        <v>0</v>
      </c>
      <c r="N165" s="126"/>
      <c r="O165" s="126"/>
      <c r="P165" s="126"/>
      <c r="Q165" s="126"/>
      <c r="R165" s="127">
        <f>'1. Standard_Cost'!$B$15*N165*P165</f>
        <v>0</v>
      </c>
      <c r="S165" s="127">
        <f>N165*O165*P165*'1. Standard_Cost'!$C$15</f>
        <v>0</v>
      </c>
      <c r="T165" s="127">
        <f>N165*P165*Q165*'1. Standard_Cost'!$D$15</f>
        <v>0</v>
      </c>
      <c r="U165" s="127">
        <f>N165*O165*'1. Standard_Cost'!$E$15</f>
        <v>0</v>
      </c>
      <c r="V165" s="126"/>
      <c r="W165" s="126"/>
      <c r="X165" s="126"/>
      <c r="Y165" s="127">
        <f>+V165*((X165*'1. Standard_Cost'!$B$19)+(W165*X165*'1. Standard_Cost'!$C$19))</f>
        <v>0</v>
      </c>
      <c r="Z165" s="126"/>
      <c r="AA165" s="126"/>
      <c r="AB165" s="127">
        <f>+Z165*'1. Standard_Cost'!$B$23+AA165*'1. Standard_Cost'!$C$23</f>
        <v>0</v>
      </c>
      <c r="AC165" s="128"/>
      <c r="AD165" s="129"/>
      <c r="AE165" s="127">
        <f>SUM(AD165,AC165,AB165,Y165,U165,T165,S165,R165)*'1. Standard_Cost'!$B$31</f>
        <v>0</v>
      </c>
      <c r="AF165" s="127">
        <f>SUM(AE165,AD165,AC165,AB165,Y165,U165,T165,S165,R165)</f>
        <v>0</v>
      </c>
      <c r="AG165" s="126"/>
      <c r="AH165" s="126"/>
      <c r="AI165" s="126"/>
      <c r="AJ165" s="130"/>
      <c r="AK165" s="130"/>
      <c r="AL165" s="130"/>
      <c r="AM165" s="127">
        <f>AG165*'1. Standard_Cost'!$B$27+'Incremental_Cost Year 8'!AH165*'1. Standard_Cost'!$C$27+'Incremental_Cost Year 8'!AI165*'1. Standard_Cost'!$D$27+'Incremental_Cost Year 8'!AJ165+'Incremental_Cost Year 8'!AL165+AK165</f>
        <v>0</v>
      </c>
      <c r="AN165" s="127">
        <f>AM165*'1. Standard_Cost'!$C$31</f>
        <v>0</v>
      </c>
      <c r="AO165" s="130"/>
      <c r="AP165" s="256"/>
      <c r="AQ165" s="171">
        <f>L165+M165</f>
        <v>0</v>
      </c>
      <c r="AR165" s="171">
        <f>AF165</f>
        <v>0</v>
      </c>
      <c r="AS165" s="171">
        <f>AM165+AN165</f>
        <v>0</v>
      </c>
      <c r="AT165" s="171">
        <f>SUM(AQ165,AR165,AS165)</f>
        <v>0</v>
      </c>
      <c r="AU165" s="250"/>
      <c r="AV165" s="250"/>
      <c r="AW165" s="250"/>
      <c r="AX165" s="250"/>
      <c r="AY165" s="250"/>
      <c r="AZ165" s="250"/>
      <c r="BA165" s="250"/>
      <c r="BB165" s="251">
        <f t="shared" si="109"/>
        <v>0</v>
      </c>
      <c r="BC165" s="169"/>
      <c r="BD165" s="169"/>
      <c r="BE165" s="169"/>
      <c r="BF165" s="169"/>
    </row>
    <row r="166" spans="1:58" ht="61.9" customHeight="1" outlineLevel="2" x14ac:dyDescent="0.25">
      <c r="A166" s="115"/>
      <c r="B166" s="200"/>
      <c r="C166" s="201"/>
      <c r="D166" s="151"/>
      <c r="E166" s="219"/>
      <c r="F166" s="308"/>
      <c r="G166" s="309"/>
      <c r="H166" s="199" t="s">
        <v>541</v>
      </c>
      <c r="I166" s="130"/>
      <c r="J166" s="126"/>
      <c r="K166" s="126"/>
      <c r="L166" s="125" t="str">
        <f>IF(I166&lt;&gt;0,((VLOOKUP(I166,'1. Standard_Cost'!$B$4:$D$11,2)+VLOOKUP(I166,'1. Standard_Cost'!$B$4:$D$11,3))*J166*K166),"0")</f>
        <v>0</v>
      </c>
      <c r="M166" s="125">
        <f>L166*'1. Standard_Cost'!$F$4</f>
        <v>0</v>
      </c>
      <c r="N166" s="126"/>
      <c r="O166" s="126"/>
      <c r="P166" s="126"/>
      <c r="Q166" s="126"/>
      <c r="R166" s="127">
        <f>'1. Standard_Cost'!$B$15*N166*P166</f>
        <v>0</v>
      </c>
      <c r="S166" s="127">
        <f>N166*O166*P166*'1. Standard_Cost'!$C$15</f>
        <v>0</v>
      </c>
      <c r="T166" s="127">
        <f>N166*P166*Q166*'1. Standard_Cost'!$D$15</f>
        <v>0</v>
      </c>
      <c r="U166" s="127">
        <f>N166*O166*'1. Standard_Cost'!$E$15</f>
        <v>0</v>
      </c>
      <c r="V166" s="126"/>
      <c r="W166" s="126"/>
      <c r="X166" s="126"/>
      <c r="Y166" s="127">
        <f>+V166*((X166*'1. Standard_Cost'!$B$19)+(W166*X166*'1. Standard_Cost'!$C$19))</f>
        <v>0</v>
      </c>
      <c r="Z166" s="126"/>
      <c r="AA166" s="126"/>
      <c r="AB166" s="127">
        <f>+Z166*'1. Standard_Cost'!$B$23+AA166*'1. Standard_Cost'!$C$23</f>
        <v>0</v>
      </c>
      <c r="AC166" s="128"/>
      <c r="AD166" s="129"/>
      <c r="AE166" s="127">
        <f>SUM(AD166,AC166,AB166,Y166,U166,T166,S166,R166)*'1. Standard_Cost'!$B$31</f>
        <v>0</v>
      </c>
      <c r="AF166" s="127">
        <f>SUM(AE166,AD166,AC166,AB166,Y166,U166,T166,S166,R166)</f>
        <v>0</v>
      </c>
      <c r="AG166" s="126"/>
      <c r="AH166" s="126"/>
      <c r="AI166" s="126"/>
      <c r="AJ166" s="130"/>
      <c r="AK166" s="130"/>
      <c r="AL166" s="130"/>
      <c r="AM166" s="127">
        <f>AG166*'1. Standard_Cost'!$B$27+'Incremental_Cost Year 8'!AH166*'1. Standard_Cost'!$C$27+'Incremental_Cost Year 8'!AI166*'1. Standard_Cost'!$D$27+'Incremental_Cost Year 8'!AJ166+'Incremental_Cost Year 8'!AL166+AK166</f>
        <v>0</v>
      </c>
      <c r="AN166" s="127">
        <f>AM166*'1. Standard_Cost'!$C$31</f>
        <v>0</v>
      </c>
      <c r="AO166" s="130"/>
      <c r="AP166" s="256"/>
      <c r="AQ166" s="171">
        <f>L166+M166</f>
        <v>0</v>
      </c>
      <c r="AR166" s="171">
        <f>AF166</f>
        <v>0</v>
      </c>
      <c r="AS166" s="171">
        <f>AM166+AN166</f>
        <v>0</v>
      </c>
      <c r="AT166" s="171">
        <f>SUM(AQ166,AR166,AS166)</f>
        <v>0</v>
      </c>
      <c r="AU166" s="250"/>
      <c r="AV166" s="250"/>
      <c r="AW166" s="250"/>
      <c r="AX166" s="250"/>
      <c r="AY166" s="250"/>
      <c r="AZ166" s="250"/>
      <c r="BA166" s="250"/>
      <c r="BB166" s="251">
        <f t="shared" si="109"/>
        <v>0</v>
      </c>
      <c r="BC166" s="169"/>
      <c r="BD166" s="169"/>
      <c r="BE166" s="169"/>
      <c r="BF166" s="169"/>
    </row>
    <row r="167" spans="1:58" ht="61.9" customHeight="1" outlineLevel="2" x14ac:dyDescent="0.25">
      <c r="A167" s="115"/>
      <c r="B167" s="200"/>
      <c r="C167" s="201"/>
      <c r="D167" s="310"/>
      <c r="E167" s="122"/>
      <c r="F167" s="311"/>
      <c r="G167" s="312"/>
      <c r="H167" s="199" t="s">
        <v>315</v>
      </c>
      <c r="I167" s="130" t="s">
        <v>4</v>
      </c>
      <c r="J167" s="126">
        <v>12</v>
      </c>
      <c r="K167" s="126">
        <v>398</v>
      </c>
      <c r="L167" s="125">
        <f>IF(I167&lt;&gt;0,((VLOOKUP(I167,'1. Standard_Cost'!$B$4:$D$11,2)+VLOOKUP(I167,'1. Standard_Cost'!$B$4:$D$11,3))*J167*K167),"0")</f>
        <v>385662000</v>
      </c>
      <c r="M167" s="125">
        <f>L167*'1. Standard_Cost'!$F$4</f>
        <v>64405554</v>
      </c>
      <c r="N167" s="126"/>
      <c r="O167" s="126"/>
      <c r="P167" s="126"/>
      <c r="Q167" s="126"/>
      <c r="R167" s="127">
        <f>'1. Standard_Cost'!$B$15*N167*P167</f>
        <v>0</v>
      </c>
      <c r="S167" s="127">
        <f>N167*O167*P167*'1. Standard_Cost'!$C$15</f>
        <v>0</v>
      </c>
      <c r="T167" s="127">
        <f>N167*P167*Q167*'1. Standard_Cost'!$D$15</f>
        <v>0</v>
      </c>
      <c r="U167" s="127">
        <f>N167*O167*'1. Standard_Cost'!$E$15</f>
        <v>0</v>
      </c>
      <c r="V167" s="126"/>
      <c r="W167" s="126"/>
      <c r="X167" s="126"/>
      <c r="Y167" s="127">
        <f>+V167*((X167*'1. Standard_Cost'!$B$19)+(W167*X167*'1. Standard_Cost'!$C$19))</f>
        <v>0</v>
      </c>
      <c r="Z167" s="126"/>
      <c r="AA167" s="126"/>
      <c r="AB167" s="127">
        <f>+Z167*'1. Standard_Cost'!$B$23+AA167*'1. Standard_Cost'!$C$23</f>
        <v>0</v>
      </c>
      <c r="AC167" s="128">
        <v>868000000</v>
      </c>
      <c r="AD167" s="129"/>
      <c r="AE167" s="127">
        <f>0</f>
        <v>0</v>
      </c>
      <c r="AF167" s="127">
        <f>SUM(AE167,AD167,AC167,AB167,Y167,U167,T167,S167,R167)</f>
        <v>868000000</v>
      </c>
      <c r="AG167" s="126"/>
      <c r="AH167" s="126"/>
      <c r="AI167" s="126"/>
      <c r="AJ167" s="130"/>
      <c r="AK167" s="130"/>
      <c r="AL167" s="130"/>
      <c r="AM167" s="127">
        <f>AG167*'1. Standard_Cost'!$B$27+'Incremental_Cost Year 8'!AH167*'1. Standard_Cost'!$C$27+'Incremental_Cost Year 8'!AI167*'1. Standard_Cost'!$D$27+'Incremental_Cost Year 8'!AJ167+'Incremental_Cost Year 8'!AL167+AK167</f>
        <v>0</v>
      </c>
      <c r="AN167" s="127">
        <f>AM167*'1. Standard_Cost'!$C$31</f>
        <v>0</v>
      </c>
      <c r="AO167" s="130"/>
      <c r="AP167" s="256"/>
      <c r="AQ167" s="171">
        <f>L167+M167</f>
        <v>450067554</v>
      </c>
      <c r="AR167" s="171">
        <f>AF167</f>
        <v>868000000</v>
      </c>
      <c r="AS167" s="171">
        <f>AM167+AN167</f>
        <v>0</v>
      </c>
      <c r="AT167" s="171">
        <f>SUM(AQ167,AR167,AS167)</f>
        <v>1318067554</v>
      </c>
      <c r="AU167" s="250">
        <v>1318067554</v>
      </c>
      <c r="AV167" s="250"/>
      <c r="AW167" s="250"/>
      <c r="AX167" s="250"/>
      <c r="AY167" s="250"/>
      <c r="AZ167" s="250"/>
      <c r="BA167" s="250"/>
      <c r="BB167" s="251">
        <f t="shared" si="109"/>
        <v>0</v>
      </c>
      <c r="BC167" s="169"/>
      <c r="BD167" s="169"/>
      <c r="BE167" s="169"/>
      <c r="BF167" s="169"/>
    </row>
    <row r="168" spans="1:58" ht="61.9" customHeight="1" outlineLevel="2" x14ac:dyDescent="0.25">
      <c r="A168" s="115"/>
      <c r="B168" s="165"/>
      <c r="C168" s="166"/>
      <c r="D168" s="139" t="s">
        <v>477</v>
      </c>
      <c r="E168" s="212" t="s">
        <v>478</v>
      </c>
      <c r="F168" s="136">
        <v>2021</v>
      </c>
      <c r="G168" s="117">
        <v>2030</v>
      </c>
      <c r="H168" s="110" t="s">
        <v>170</v>
      </c>
      <c r="I168" s="252"/>
      <c r="J168" s="252"/>
      <c r="K168" s="252"/>
      <c r="L168" s="127">
        <f>SUM(L164:L167)</f>
        <v>385662000</v>
      </c>
      <c r="M168" s="127">
        <f>SUM(M164:M167)</f>
        <v>64405554</v>
      </c>
      <c r="N168" s="252"/>
      <c r="O168" s="252"/>
      <c r="P168" s="252"/>
      <c r="Q168" s="252"/>
      <c r="R168" s="127">
        <f>SUM(R164:R167)</f>
        <v>0</v>
      </c>
      <c r="S168" s="127">
        <f>SUM(S164:S167)</f>
        <v>0</v>
      </c>
      <c r="T168" s="127">
        <f>SUM(T164:T167)</f>
        <v>0</v>
      </c>
      <c r="U168" s="127">
        <f>SUM(U164:U167)</f>
        <v>0</v>
      </c>
      <c r="V168" s="252"/>
      <c r="W168" s="252"/>
      <c r="X168" s="252"/>
      <c r="Y168" s="127">
        <f>SUM(Y164:Y167)</f>
        <v>0</v>
      </c>
      <c r="Z168" s="127"/>
      <c r="AA168" s="252"/>
      <c r="AB168" s="127">
        <f>SUM(AB164:AB167)</f>
        <v>0</v>
      </c>
      <c r="AC168" s="127">
        <f>SUM(AC164:AC167)</f>
        <v>868000000</v>
      </c>
      <c r="AD168" s="127">
        <f>SUM(AD164:AD167)</f>
        <v>0</v>
      </c>
      <c r="AE168" s="127">
        <f>SUM(AE164:AE167)</f>
        <v>0</v>
      </c>
      <c r="AF168" s="127">
        <f>SUM(AF164:AF167)</f>
        <v>868000000</v>
      </c>
      <c r="AG168" s="252"/>
      <c r="AH168" s="252"/>
      <c r="AI168" s="252"/>
      <c r="AJ168" s="127">
        <f>SUM(AJ164:AJ167)</f>
        <v>0</v>
      </c>
      <c r="AK168" s="127">
        <f>SUM(AK164:AK167)</f>
        <v>0</v>
      </c>
      <c r="AL168" s="127">
        <f>SUM(AL164:AL167)</f>
        <v>0</v>
      </c>
      <c r="AM168" s="127">
        <f>SUM(AM164:AM167)</f>
        <v>0</v>
      </c>
      <c r="AN168" s="127">
        <f>SUM(AN164:AN167)</f>
        <v>0</v>
      </c>
      <c r="AO168" s="253"/>
      <c r="AP168" s="254"/>
      <c r="AQ168" s="175">
        <f>SUM(AQ164:AQ167)</f>
        <v>450067554</v>
      </c>
      <c r="AR168" s="175">
        <f>SUM(AR164:AR167)</f>
        <v>868000000</v>
      </c>
      <c r="AS168" s="175">
        <f>SUM(AS164:AS167)</f>
        <v>0</v>
      </c>
      <c r="AT168" s="175">
        <f>SUM(AT164:AT167)</f>
        <v>1318067554</v>
      </c>
      <c r="AU168" s="175">
        <f t="shared" ref="AU168:BA168" si="110">SUM(AU164:AU167)</f>
        <v>1318067554</v>
      </c>
      <c r="AV168" s="175">
        <f t="shared" si="110"/>
        <v>0</v>
      </c>
      <c r="AW168" s="175">
        <f t="shared" si="110"/>
        <v>0</v>
      </c>
      <c r="AX168" s="175">
        <f t="shared" si="110"/>
        <v>0</v>
      </c>
      <c r="AY168" s="175">
        <f t="shared" si="110"/>
        <v>0</v>
      </c>
      <c r="AZ168" s="175">
        <f t="shared" si="110"/>
        <v>0</v>
      </c>
      <c r="BA168" s="175">
        <f t="shared" si="110"/>
        <v>0</v>
      </c>
      <c r="BB168" s="175">
        <f>SUM(BB164:BB167)</f>
        <v>0</v>
      </c>
      <c r="BC168" s="169"/>
      <c r="BD168" s="169"/>
      <c r="BE168" s="169"/>
      <c r="BF168" s="169"/>
    </row>
    <row r="169" spans="1:58" ht="61.9" customHeight="1" outlineLevel="1" x14ac:dyDescent="0.25">
      <c r="A169" s="115"/>
      <c r="B169" s="200"/>
      <c r="C169" s="201"/>
      <c r="D169" s="342"/>
      <c r="E169" s="328"/>
      <c r="F169" s="328"/>
      <c r="G169" s="328"/>
      <c r="H169" s="199" t="s">
        <v>479</v>
      </c>
      <c r="I169" s="130"/>
      <c r="J169" s="126"/>
      <c r="K169" s="126"/>
      <c r="L169" s="125" t="str">
        <f>IF(I169&lt;&gt;0,((VLOOKUP(I169,'1. Standard_Cost'!$B$4:$D$11,2)+VLOOKUP(I169,'1. Standard_Cost'!$B$4:$D$11,3))*J169*K169),"0")</f>
        <v>0</v>
      </c>
      <c r="M169" s="125">
        <f>L169*'1. Standard_Cost'!$F$4</f>
        <v>0</v>
      </c>
      <c r="N169" s="126"/>
      <c r="O169" s="126"/>
      <c r="P169" s="126"/>
      <c r="Q169" s="126"/>
      <c r="R169" s="127">
        <f>'1. Standard_Cost'!$B$15*N169*P169</f>
        <v>0</v>
      </c>
      <c r="S169" s="127">
        <f>N169*O169*P169*'1. Standard_Cost'!$C$15</f>
        <v>0</v>
      </c>
      <c r="T169" s="127">
        <f>N169*P169*Q169*'1. Standard_Cost'!$D$15</f>
        <v>0</v>
      </c>
      <c r="U169" s="127">
        <f>N169*O169*'1. Standard_Cost'!$E$15</f>
        <v>0</v>
      </c>
      <c r="V169" s="126"/>
      <c r="W169" s="126"/>
      <c r="X169" s="126"/>
      <c r="Y169" s="127">
        <f>+V169*((X169*'1. Standard_Cost'!$B$19)+(W169*X169*'1. Standard_Cost'!$C$19))</f>
        <v>0</v>
      </c>
      <c r="Z169" s="126"/>
      <c r="AA169" s="126"/>
      <c r="AB169" s="127">
        <f>+Z169*'1. Standard_Cost'!$B$23+AA169*'1. Standard_Cost'!$C$23</f>
        <v>0</v>
      </c>
      <c r="AC169" s="128">
        <v>1320223000</v>
      </c>
      <c r="AD169" s="129"/>
      <c r="AE169" s="127">
        <f>0</f>
        <v>0</v>
      </c>
      <c r="AF169" s="127">
        <f t="shared" ref="AF169:AF177" si="111">SUM(AE169,AD169,AC169,AB169,Y169,U169,T169,S169,R169)</f>
        <v>1320223000</v>
      </c>
      <c r="AG169" s="126"/>
      <c r="AH169" s="126"/>
      <c r="AI169" s="126"/>
      <c r="AJ169" s="130"/>
      <c r="AK169" s="130"/>
      <c r="AL169" s="130"/>
      <c r="AM169" s="127">
        <f>AG169*'1. Standard_Cost'!$B$27+'Incremental_Cost Year 8'!AH169*'1. Standard_Cost'!$C$27+'Incremental_Cost Year 8'!AI169*'1. Standard_Cost'!$D$27+'Incremental_Cost Year 8'!AJ169+'Incremental_Cost Year 8'!AL169+AK169</f>
        <v>0</v>
      </c>
      <c r="AN169" s="127">
        <f>AM169*'1. Standard_Cost'!$C$31</f>
        <v>0</v>
      </c>
      <c r="AO169" s="130"/>
      <c r="AP169" s="256"/>
      <c r="AQ169" s="171">
        <f t="shared" ref="AQ169:AQ177" si="112">L169+M169</f>
        <v>0</v>
      </c>
      <c r="AR169" s="171">
        <f t="shared" ref="AR169:AR177" si="113">AF169</f>
        <v>1320223000</v>
      </c>
      <c r="AS169" s="171">
        <f t="shared" ref="AS169:AS177" si="114">AM169+AN169</f>
        <v>0</v>
      </c>
      <c r="AT169" s="171">
        <f t="shared" ref="AT169:AT177" si="115">SUM(AQ169,AR169,AS169)</f>
        <v>1320223000</v>
      </c>
      <c r="AU169" s="250">
        <v>1320223000</v>
      </c>
      <c r="AV169" s="250"/>
      <c r="AW169" s="250"/>
      <c r="AX169" s="250"/>
      <c r="AY169" s="250"/>
      <c r="AZ169" s="250"/>
      <c r="BA169" s="250"/>
      <c r="BB169" s="251">
        <f t="shared" ref="BB169:BB177" si="116">SUM(AU169:BA169)-AT169</f>
        <v>0</v>
      </c>
      <c r="BC169" s="169"/>
      <c r="BD169" s="169"/>
      <c r="BE169" s="169"/>
      <c r="BF169" s="169"/>
    </row>
    <row r="170" spans="1:58" ht="61.9" customHeight="1" outlineLevel="2" x14ac:dyDescent="0.25">
      <c r="A170" s="115"/>
      <c r="B170" s="200"/>
      <c r="C170" s="201"/>
      <c r="D170" s="343"/>
      <c r="E170" s="328"/>
      <c r="F170" s="328"/>
      <c r="G170" s="328"/>
      <c r="H170" s="213" t="s">
        <v>480</v>
      </c>
      <c r="I170" s="130"/>
      <c r="J170" s="126"/>
      <c r="K170" s="126"/>
      <c r="L170" s="125" t="str">
        <f>IF(I170&lt;&gt;0,((VLOOKUP(I170,'1. Standard_Cost'!$B$4:$D$11,2)+VLOOKUP(I170,'1. Standard_Cost'!$B$4:$D$11,3))*J170*K170),"0")</f>
        <v>0</v>
      </c>
      <c r="M170" s="125">
        <f>L170*'1. Standard_Cost'!$F$4</f>
        <v>0</v>
      </c>
      <c r="N170" s="126"/>
      <c r="O170" s="126"/>
      <c r="P170" s="126"/>
      <c r="Q170" s="126"/>
      <c r="R170" s="127">
        <f>'1. Standard_Cost'!$B$15*N170*P170</f>
        <v>0</v>
      </c>
      <c r="S170" s="127">
        <f>N170*O170*P170*'1. Standard_Cost'!$C$15</f>
        <v>0</v>
      </c>
      <c r="T170" s="127">
        <f>N170*P170*Q170*'1. Standard_Cost'!$D$15</f>
        <v>0</v>
      </c>
      <c r="U170" s="127">
        <f>N170*O170*'1. Standard_Cost'!$E$15</f>
        <v>0</v>
      </c>
      <c r="V170" s="126"/>
      <c r="W170" s="126"/>
      <c r="X170" s="126"/>
      <c r="Y170" s="127">
        <f>+V170*((X170*'1. Standard_Cost'!$B$19)+(W170*X170*'1. Standard_Cost'!$C$19))</f>
        <v>0</v>
      </c>
      <c r="Z170" s="126"/>
      <c r="AA170" s="126"/>
      <c r="AB170" s="127">
        <f>+Z170*'1. Standard_Cost'!$B$23+AA170*'1. Standard_Cost'!$C$23</f>
        <v>0</v>
      </c>
      <c r="AC170" s="266">
        <v>946000000</v>
      </c>
      <c r="AD170" s="129"/>
      <c r="AE170" s="127">
        <f>0</f>
        <v>0</v>
      </c>
      <c r="AF170" s="127">
        <f t="shared" si="111"/>
        <v>946000000</v>
      </c>
      <c r="AG170" s="126"/>
      <c r="AH170" s="126"/>
      <c r="AI170" s="126"/>
      <c r="AJ170" s="130"/>
      <c r="AK170" s="130"/>
      <c r="AL170" s="130"/>
      <c r="AM170" s="127">
        <f>AG170*'1. Standard_Cost'!$B$27+'Incremental_Cost Year 8'!AH170*'1. Standard_Cost'!$C$27+'Incremental_Cost Year 8'!AI170*'1. Standard_Cost'!$D$27+'Incremental_Cost Year 8'!AJ170+'Incremental_Cost Year 8'!AL170+AK170</f>
        <v>0</v>
      </c>
      <c r="AN170" s="127">
        <f>AM170*'1. Standard_Cost'!$C$31</f>
        <v>0</v>
      </c>
      <c r="AO170" s="130"/>
      <c r="AP170" s="256"/>
      <c r="AQ170" s="171">
        <f t="shared" si="112"/>
        <v>0</v>
      </c>
      <c r="AR170" s="171">
        <f t="shared" si="113"/>
        <v>946000000</v>
      </c>
      <c r="AS170" s="171">
        <f t="shared" si="114"/>
        <v>0</v>
      </c>
      <c r="AT170" s="171">
        <f t="shared" si="115"/>
        <v>946000000</v>
      </c>
      <c r="AU170" s="250">
        <v>946000000</v>
      </c>
      <c r="AV170" s="250"/>
      <c r="AW170" s="250"/>
      <c r="AX170" s="250"/>
      <c r="AY170" s="250"/>
      <c r="AZ170" s="250"/>
      <c r="BA170" s="250"/>
      <c r="BB170" s="251">
        <f t="shared" si="116"/>
        <v>0</v>
      </c>
      <c r="BC170" s="169"/>
      <c r="BD170" s="169"/>
      <c r="BE170" s="169"/>
      <c r="BF170" s="169"/>
    </row>
    <row r="171" spans="1:58" ht="61.9" customHeight="1" outlineLevel="2" x14ac:dyDescent="0.25">
      <c r="A171" s="115"/>
      <c r="B171" s="200"/>
      <c r="C171" s="201"/>
      <c r="D171" s="343"/>
      <c r="E171" s="328"/>
      <c r="F171" s="328"/>
      <c r="G171" s="328"/>
      <c r="H171" s="213" t="s">
        <v>481</v>
      </c>
      <c r="I171" s="130"/>
      <c r="J171" s="126"/>
      <c r="K171" s="126"/>
      <c r="L171" s="125" t="str">
        <f>IF(I171&lt;&gt;0,((VLOOKUP(I171,'1. Standard_Cost'!$B$4:$D$11,2)+VLOOKUP(I171,'1. Standard_Cost'!$B$4:$D$11,3))*J171*K171),"0")</f>
        <v>0</v>
      </c>
      <c r="M171" s="125">
        <f>L171*'1. Standard_Cost'!$F$4</f>
        <v>0</v>
      </c>
      <c r="N171" s="126"/>
      <c r="O171" s="126"/>
      <c r="P171" s="126"/>
      <c r="Q171" s="126"/>
      <c r="R171" s="127">
        <f>'1. Standard_Cost'!$B$15*N171*P171</f>
        <v>0</v>
      </c>
      <c r="S171" s="127">
        <f>N171*O171*P171*'1. Standard_Cost'!$C$15</f>
        <v>0</v>
      </c>
      <c r="T171" s="127">
        <f>N171*P171*Q171*'1. Standard_Cost'!$D$15</f>
        <v>0</v>
      </c>
      <c r="U171" s="127">
        <f>N171*O171*'1. Standard_Cost'!$E$15</f>
        <v>0</v>
      </c>
      <c r="V171" s="126"/>
      <c r="W171" s="126"/>
      <c r="X171" s="126"/>
      <c r="Y171" s="127">
        <f>+V171*((X171*'1. Standard_Cost'!$B$19)+(W171*X171*'1. Standard_Cost'!$C$19))</f>
        <v>0</v>
      </c>
      <c r="Z171" s="126"/>
      <c r="AA171" s="126"/>
      <c r="AB171" s="127">
        <f>+Z171*'1. Standard_Cost'!$B$23+AA171*'1. Standard_Cost'!$C$23</f>
        <v>0</v>
      </c>
      <c r="AC171" s="128">
        <v>1790000000</v>
      </c>
      <c r="AD171" s="129"/>
      <c r="AE171" s="127">
        <f>0</f>
        <v>0</v>
      </c>
      <c r="AF171" s="127">
        <f t="shared" si="111"/>
        <v>1790000000</v>
      </c>
      <c r="AG171" s="126"/>
      <c r="AH171" s="126"/>
      <c r="AI171" s="126"/>
      <c r="AJ171" s="130"/>
      <c r="AK171" s="130"/>
      <c r="AL171" s="130"/>
      <c r="AM171" s="127">
        <f>AG171*'1. Standard_Cost'!$B$27+'Incremental_Cost Year 8'!AH171*'1. Standard_Cost'!$C$27+'Incremental_Cost Year 8'!AI171*'1. Standard_Cost'!$D$27+'Incremental_Cost Year 8'!AJ171+'Incremental_Cost Year 8'!AL171+AK171</f>
        <v>0</v>
      </c>
      <c r="AN171" s="127">
        <f>AM171*'1. Standard_Cost'!$C$31</f>
        <v>0</v>
      </c>
      <c r="AO171" s="130"/>
      <c r="AP171" s="256"/>
      <c r="AQ171" s="171">
        <f t="shared" si="112"/>
        <v>0</v>
      </c>
      <c r="AR171" s="171">
        <f t="shared" si="113"/>
        <v>1790000000</v>
      </c>
      <c r="AS171" s="171">
        <f t="shared" si="114"/>
        <v>0</v>
      </c>
      <c r="AT171" s="171">
        <f t="shared" si="115"/>
        <v>1790000000</v>
      </c>
      <c r="AU171" s="250">
        <v>1790000000</v>
      </c>
      <c r="AV171" s="250"/>
      <c r="AW171" s="250"/>
      <c r="AX171" s="250"/>
      <c r="AY171" s="250"/>
      <c r="AZ171" s="250"/>
      <c r="BA171" s="250"/>
      <c r="BB171" s="251">
        <f t="shared" si="116"/>
        <v>0</v>
      </c>
      <c r="BC171" s="169"/>
      <c r="BD171" s="169"/>
      <c r="BE171" s="169"/>
      <c r="BF171" s="169"/>
    </row>
    <row r="172" spans="1:58" ht="61.9" customHeight="1" outlineLevel="2" x14ac:dyDescent="0.25">
      <c r="A172" s="115"/>
      <c r="B172" s="200"/>
      <c r="C172" s="201"/>
      <c r="D172" s="343"/>
      <c r="E172" s="328"/>
      <c r="F172" s="328"/>
      <c r="G172" s="328"/>
      <c r="H172" s="213" t="s">
        <v>542</v>
      </c>
      <c r="I172" s="130"/>
      <c r="J172" s="126"/>
      <c r="K172" s="126"/>
      <c r="L172" s="125" t="str">
        <f>IF(I172&lt;&gt;0,((VLOOKUP(I172,'1. Standard_Cost'!$B$4:$D$11,2)+VLOOKUP(I172,'1. Standard_Cost'!$B$4:$D$11,3))*J172*K172),"0")</f>
        <v>0</v>
      </c>
      <c r="M172" s="125">
        <f>L172*'1. Standard_Cost'!$F$4</f>
        <v>0</v>
      </c>
      <c r="N172" s="126"/>
      <c r="O172" s="126"/>
      <c r="P172" s="126"/>
      <c r="Q172" s="126"/>
      <c r="R172" s="127">
        <f>'1. Standard_Cost'!$B$15*N172*P172</f>
        <v>0</v>
      </c>
      <c r="S172" s="127">
        <f>N172*O172*P172*'1. Standard_Cost'!$C$15</f>
        <v>0</v>
      </c>
      <c r="T172" s="127">
        <f>N172*P172*Q172*'1. Standard_Cost'!$D$15</f>
        <v>0</v>
      </c>
      <c r="U172" s="127">
        <f>N172*O172*'1. Standard_Cost'!$E$15</f>
        <v>0</v>
      </c>
      <c r="V172" s="126"/>
      <c r="W172" s="126"/>
      <c r="X172" s="126"/>
      <c r="Y172" s="127">
        <f>+V172*((X172*'1. Standard_Cost'!$B$19)+(W172*X172*'1. Standard_Cost'!$C$19))</f>
        <v>0</v>
      </c>
      <c r="Z172" s="126"/>
      <c r="AA172" s="126"/>
      <c r="AB172" s="127">
        <f>+Z172*'1. Standard_Cost'!$B$23+AA172*'1. Standard_Cost'!$C$23</f>
        <v>0</v>
      </c>
      <c r="AC172" s="128"/>
      <c r="AD172" s="129"/>
      <c r="AE172" s="127">
        <f>SUM(AD172,AC172,AB172,Y172,U172,T172,S172,R172)*'1. Standard_Cost'!$B$31</f>
        <v>0</v>
      </c>
      <c r="AF172" s="127">
        <f t="shared" si="111"/>
        <v>0</v>
      </c>
      <c r="AG172" s="126"/>
      <c r="AH172" s="126"/>
      <c r="AI172" s="126"/>
      <c r="AJ172" s="130"/>
      <c r="AK172" s="130"/>
      <c r="AL172" s="130"/>
      <c r="AM172" s="127">
        <f>AG172*'1. Standard_Cost'!$B$27+'Incremental_Cost Year 8'!AH172*'1. Standard_Cost'!$C$27+'Incremental_Cost Year 8'!AI172*'1. Standard_Cost'!$D$27+'Incremental_Cost Year 8'!AJ172+'Incremental_Cost Year 8'!AL172+AK172</f>
        <v>0</v>
      </c>
      <c r="AN172" s="127">
        <f>AM172*'1. Standard_Cost'!$C$31</f>
        <v>0</v>
      </c>
      <c r="AO172" s="130"/>
      <c r="AP172" s="256"/>
      <c r="AQ172" s="171">
        <f t="shared" si="112"/>
        <v>0</v>
      </c>
      <c r="AR172" s="171">
        <f t="shared" si="113"/>
        <v>0</v>
      </c>
      <c r="AS172" s="171">
        <f t="shared" si="114"/>
        <v>0</v>
      </c>
      <c r="AT172" s="171">
        <f t="shared" si="115"/>
        <v>0</v>
      </c>
      <c r="AU172" s="250"/>
      <c r="AV172" s="250"/>
      <c r="AW172" s="250"/>
      <c r="AX172" s="250"/>
      <c r="AY172" s="250"/>
      <c r="AZ172" s="250"/>
      <c r="BA172" s="250"/>
      <c r="BB172" s="251">
        <f t="shared" si="116"/>
        <v>0</v>
      </c>
      <c r="BC172" s="169"/>
      <c r="BD172" s="169"/>
      <c r="BE172" s="169"/>
      <c r="BF172" s="169"/>
    </row>
    <row r="173" spans="1:58" ht="61.9" customHeight="1" outlineLevel="2" x14ac:dyDescent="0.25">
      <c r="A173" s="115"/>
      <c r="B173" s="200"/>
      <c r="C173" s="201"/>
      <c r="D173" s="343"/>
      <c r="E173" s="328"/>
      <c r="F173" s="328"/>
      <c r="G173" s="328"/>
      <c r="H173" s="213" t="s">
        <v>482</v>
      </c>
      <c r="I173" s="130" t="s">
        <v>5</v>
      </c>
      <c r="J173" s="126">
        <v>12</v>
      </c>
      <c r="K173" s="126">
        <v>59</v>
      </c>
      <c r="L173" s="125">
        <f>IF(I173&lt;&gt;0,((VLOOKUP(I173,'1. Standard_Cost'!$B$4:$D$11,2)+VLOOKUP(I173,'1. Standard_Cost'!$B$4:$D$11,3))*J173*K173),"0")</f>
        <v>50055600</v>
      </c>
      <c r="M173" s="125">
        <f>L173*'1. Standard_Cost'!$F$4</f>
        <v>8359285.2000000002</v>
      </c>
      <c r="N173" s="126"/>
      <c r="O173" s="126"/>
      <c r="P173" s="126"/>
      <c r="Q173" s="126"/>
      <c r="R173" s="127">
        <f>'1. Standard_Cost'!$B$15*N173*P173</f>
        <v>0</v>
      </c>
      <c r="S173" s="127">
        <f>N173*O173*P173*'1. Standard_Cost'!$C$15</f>
        <v>0</v>
      </c>
      <c r="T173" s="127">
        <f>N173*P173*Q173*'1. Standard_Cost'!$D$15</f>
        <v>0</v>
      </c>
      <c r="U173" s="127">
        <f>N173*O173*'1. Standard_Cost'!$E$15</f>
        <v>0</v>
      </c>
      <c r="V173" s="126"/>
      <c r="W173" s="126"/>
      <c r="X173" s="126"/>
      <c r="Y173" s="127">
        <f>+V173*((X173*'1. Standard_Cost'!$B$19)+(W173*X173*'1. Standard_Cost'!$C$19))</f>
        <v>0</v>
      </c>
      <c r="Z173" s="126"/>
      <c r="AA173" s="126"/>
      <c r="AB173" s="127">
        <f>+Z173*'1. Standard_Cost'!$B$23+AA173*'1. Standard_Cost'!$C$23</f>
        <v>0</v>
      </c>
      <c r="AC173" s="128">
        <v>505650500</v>
      </c>
      <c r="AD173" s="129"/>
      <c r="AE173" s="127">
        <f>0</f>
        <v>0</v>
      </c>
      <c r="AF173" s="127">
        <f t="shared" si="111"/>
        <v>505650500</v>
      </c>
      <c r="AG173" s="126"/>
      <c r="AH173" s="126"/>
      <c r="AI173" s="126"/>
      <c r="AJ173" s="130"/>
      <c r="AK173" s="130"/>
      <c r="AL173" s="130"/>
      <c r="AM173" s="127">
        <f>AG173*'1. Standard_Cost'!$B$27+'Incremental_Cost Year 8'!AH173*'1. Standard_Cost'!$C$27+'Incremental_Cost Year 8'!AI173*'1. Standard_Cost'!$D$27+'Incremental_Cost Year 8'!AJ173+'Incremental_Cost Year 8'!AL173+AK173</f>
        <v>0</v>
      </c>
      <c r="AN173" s="127">
        <f>AM173*'1. Standard_Cost'!$C$31</f>
        <v>0</v>
      </c>
      <c r="AO173" s="130"/>
      <c r="AP173" s="256"/>
      <c r="AQ173" s="171">
        <f t="shared" si="112"/>
        <v>58414885.200000003</v>
      </c>
      <c r="AR173" s="171">
        <f t="shared" si="113"/>
        <v>505650500</v>
      </c>
      <c r="AS173" s="171">
        <f t="shared" si="114"/>
        <v>0</v>
      </c>
      <c r="AT173" s="171">
        <f t="shared" si="115"/>
        <v>564065385.20000005</v>
      </c>
      <c r="AU173" s="250">
        <v>564065385.20000005</v>
      </c>
      <c r="AV173" s="250"/>
      <c r="AW173" s="250"/>
      <c r="AX173" s="250"/>
      <c r="AY173" s="250"/>
      <c r="AZ173" s="250"/>
      <c r="BA173" s="250"/>
      <c r="BB173" s="251">
        <f t="shared" si="116"/>
        <v>0</v>
      </c>
      <c r="BC173" s="169"/>
      <c r="BD173" s="169"/>
      <c r="BE173" s="169"/>
      <c r="BF173" s="169"/>
    </row>
    <row r="174" spans="1:58" ht="61.9" customHeight="1" outlineLevel="2" x14ac:dyDescent="0.25">
      <c r="A174" s="115"/>
      <c r="B174" s="200"/>
      <c r="C174" s="201"/>
      <c r="D174" s="343"/>
      <c r="E174" s="328"/>
      <c r="F174" s="328"/>
      <c r="G174" s="328"/>
      <c r="H174" s="199"/>
      <c r="I174" s="130"/>
      <c r="J174" s="126"/>
      <c r="K174" s="126"/>
      <c r="L174" s="125" t="str">
        <f>IF(I174&lt;&gt;0,((VLOOKUP(I174,'1. Standard_Cost'!$B$4:$D$11,2)+VLOOKUP(I174,'1. Standard_Cost'!$B$4:$D$11,3))*J174*K174),"0")</f>
        <v>0</v>
      </c>
      <c r="M174" s="125">
        <f>L174*'1. Standard_Cost'!$F$4</f>
        <v>0</v>
      </c>
      <c r="N174" s="126"/>
      <c r="O174" s="126"/>
      <c r="P174" s="126"/>
      <c r="Q174" s="126"/>
      <c r="R174" s="127">
        <f>'1. Standard_Cost'!$B$15*N174*P174</f>
        <v>0</v>
      </c>
      <c r="S174" s="127">
        <f>N174*O174*P174*'1. Standard_Cost'!$C$15</f>
        <v>0</v>
      </c>
      <c r="T174" s="127">
        <f>N174*P174*Q174*'1. Standard_Cost'!$D$15</f>
        <v>0</v>
      </c>
      <c r="U174" s="127">
        <f>N174*O174*'1. Standard_Cost'!$E$15</f>
        <v>0</v>
      </c>
      <c r="V174" s="126"/>
      <c r="W174" s="126"/>
      <c r="X174" s="126"/>
      <c r="Y174" s="127">
        <f>+V174*((X174*'1. Standard_Cost'!$B$19)+(W174*X174*'1. Standard_Cost'!$C$19))</f>
        <v>0</v>
      </c>
      <c r="Z174" s="126"/>
      <c r="AA174" s="126"/>
      <c r="AB174" s="127">
        <f>+Z174*'1. Standard_Cost'!$B$23+AA174*'1. Standard_Cost'!$C$23</f>
        <v>0</v>
      </c>
      <c r="AC174" s="128"/>
      <c r="AD174" s="129"/>
      <c r="AE174" s="127">
        <f>SUM(AD174,AC174,AB174,Y174,U174,T174,S174,R174)*'1. Standard_Cost'!$B$31</f>
        <v>0</v>
      </c>
      <c r="AF174" s="127">
        <f t="shared" si="111"/>
        <v>0</v>
      </c>
      <c r="AG174" s="126"/>
      <c r="AH174" s="126"/>
      <c r="AI174" s="126"/>
      <c r="AJ174" s="130"/>
      <c r="AK174" s="130"/>
      <c r="AL174" s="130"/>
      <c r="AM174" s="127">
        <f>AG174*'1. Standard_Cost'!$B$27+'Incremental_Cost Year 8'!AH174*'1. Standard_Cost'!$C$27+'Incremental_Cost Year 8'!AI174*'1. Standard_Cost'!$D$27+'Incremental_Cost Year 8'!AJ174+'Incremental_Cost Year 8'!AL174+AK174</f>
        <v>0</v>
      </c>
      <c r="AN174" s="127">
        <f>AM174*'1. Standard_Cost'!$C$31</f>
        <v>0</v>
      </c>
      <c r="AO174" s="130"/>
      <c r="AP174" s="256"/>
      <c r="AQ174" s="171">
        <f t="shared" si="112"/>
        <v>0</v>
      </c>
      <c r="AR174" s="171">
        <f t="shared" si="113"/>
        <v>0</v>
      </c>
      <c r="AS174" s="171">
        <f t="shared" si="114"/>
        <v>0</v>
      </c>
      <c r="AT174" s="171">
        <f t="shared" si="115"/>
        <v>0</v>
      </c>
      <c r="AU174" s="250"/>
      <c r="AV174" s="250"/>
      <c r="AW174" s="250"/>
      <c r="AX174" s="250"/>
      <c r="AY174" s="250"/>
      <c r="AZ174" s="250"/>
      <c r="BA174" s="250"/>
      <c r="BB174" s="251">
        <f t="shared" si="116"/>
        <v>0</v>
      </c>
      <c r="BC174" s="169"/>
      <c r="BD174" s="169"/>
      <c r="BE174" s="169"/>
      <c r="BF174" s="169"/>
    </row>
    <row r="175" spans="1:58" ht="61.9" customHeight="1" outlineLevel="2" x14ac:dyDescent="0.25">
      <c r="A175" s="115"/>
      <c r="B175" s="200"/>
      <c r="C175" s="201"/>
      <c r="D175" s="343"/>
      <c r="E175" s="328"/>
      <c r="F175" s="328"/>
      <c r="G175" s="328"/>
      <c r="H175" s="213" t="s">
        <v>483</v>
      </c>
      <c r="I175" s="130"/>
      <c r="J175" s="126"/>
      <c r="K175" s="126"/>
      <c r="L175" s="125" t="str">
        <f>IF(I175&lt;&gt;0,((VLOOKUP(I175,'1. Standard_Cost'!$B$4:$D$11,2)+VLOOKUP(I175,'1. Standard_Cost'!$B$4:$D$11,3))*J175*K175),"0")</f>
        <v>0</v>
      </c>
      <c r="M175" s="125">
        <f>L175*'1. Standard_Cost'!$F$4</f>
        <v>0</v>
      </c>
      <c r="N175" s="126"/>
      <c r="O175" s="126"/>
      <c r="P175" s="126"/>
      <c r="Q175" s="126"/>
      <c r="R175" s="127">
        <f>'1. Standard_Cost'!$B$15*N175*P175</f>
        <v>0</v>
      </c>
      <c r="S175" s="127">
        <f>N175*O175*P175*'1. Standard_Cost'!$C$15</f>
        <v>0</v>
      </c>
      <c r="T175" s="127">
        <f>N175*P175*Q175*'1. Standard_Cost'!$D$15</f>
        <v>0</v>
      </c>
      <c r="U175" s="127">
        <f>N175*O175*'1. Standard_Cost'!$E$15</f>
        <v>0</v>
      </c>
      <c r="V175" s="126"/>
      <c r="W175" s="126"/>
      <c r="X175" s="126"/>
      <c r="Y175" s="127">
        <f>+V175*((X175*'1. Standard_Cost'!$B$19)+(W175*X175*'1. Standard_Cost'!$C$19))</f>
        <v>0</v>
      </c>
      <c r="Z175" s="126"/>
      <c r="AA175" s="126"/>
      <c r="AB175" s="127">
        <f>+Z175*'1. Standard_Cost'!$B$23+AA175*'1. Standard_Cost'!$C$23</f>
        <v>0</v>
      </c>
      <c r="AC175" s="128"/>
      <c r="AD175" s="129"/>
      <c r="AE175" s="127">
        <f>SUM(AD175,AC175,AB175,Y175,U175,T175,S175,R175)*'1. Standard_Cost'!$B$31</f>
        <v>0</v>
      </c>
      <c r="AF175" s="127">
        <f t="shared" si="111"/>
        <v>0</v>
      </c>
      <c r="AG175" s="126"/>
      <c r="AH175" s="126"/>
      <c r="AI175" s="126"/>
      <c r="AJ175" s="130"/>
      <c r="AK175" s="130"/>
      <c r="AL175" s="130"/>
      <c r="AM175" s="127">
        <f>AG175*'1. Standard_Cost'!$B$27+'Incremental_Cost Year 8'!AH175*'1. Standard_Cost'!$C$27+'Incremental_Cost Year 8'!AI175*'1. Standard_Cost'!$D$27+'Incremental_Cost Year 8'!AJ175+'Incremental_Cost Year 8'!AL175+AK175</f>
        <v>0</v>
      </c>
      <c r="AN175" s="127">
        <f>AM175*'1. Standard_Cost'!$C$31</f>
        <v>0</v>
      </c>
      <c r="AO175" s="130"/>
      <c r="AP175" s="256"/>
      <c r="AQ175" s="171">
        <f t="shared" si="112"/>
        <v>0</v>
      </c>
      <c r="AR175" s="171">
        <f t="shared" si="113"/>
        <v>0</v>
      </c>
      <c r="AS175" s="171">
        <f t="shared" si="114"/>
        <v>0</v>
      </c>
      <c r="AT175" s="171">
        <f t="shared" si="115"/>
        <v>0</v>
      </c>
      <c r="AU175" s="250"/>
      <c r="AV175" s="250"/>
      <c r="AW175" s="250"/>
      <c r="AX175" s="250"/>
      <c r="AY175" s="250"/>
      <c r="AZ175" s="250"/>
      <c r="BA175" s="250"/>
      <c r="BB175" s="251">
        <f t="shared" si="116"/>
        <v>0</v>
      </c>
      <c r="BC175" s="169"/>
      <c r="BD175" s="169"/>
      <c r="BE175" s="169"/>
      <c r="BF175" s="169"/>
    </row>
    <row r="176" spans="1:58" ht="61.9" customHeight="1" outlineLevel="2" x14ac:dyDescent="0.25">
      <c r="A176" s="115"/>
      <c r="B176" s="200"/>
      <c r="C176" s="201"/>
      <c r="D176" s="343"/>
      <c r="E176" s="328"/>
      <c r="F176" s="328"/>
      <c r="G176" s="328"/>
      <c r="H176" s="199" t="s">
        <v>484</v>
      </c>
      <c r="I176" s="130" t="s">
        <v>1</v>
      </c>
      <c r="J176" s="126">
        <v>2</v>
      </c>
      <c r="K176" s="126">
        <v>7</v>
      </c>
      <c r="L176" s="125">
        <f>IF(I176&lt;&gt;0,((VLOOKUP(I176,'1. Standard_Cost'!$B$4:$D$11,2)+VLOOKUP(I176,'1. Standard_Cost'!$B$4:$D$11,3))*J176*K176),"0")</f>
        <v>1005100</v>
      </c>
      <c r="M176" s="125">
        <f>L176*'1. Standard_Cost'!$F$4</f>
        <v>167851.7</v>
      </c>
      <c r="N176" s="126"/>
      <c r="O176" s="126"/>
      <c r="P176" s="126"/>
      <c r="Q176" s="126"/>
      <c r="R176" s="127">
        <f>'1. Standard_Cost'!$B$15*N176*P176</f>
        <v>0</v>
      </c>
      <c r="S176" s="127">
        <f>N176*O176*P176*'1. Standard_Cost'!$C$15</f>
        <v>0</v>
      </c>
      <c r="T176" s="127">
        <f>N176*P176*Q176*'1. Standard_Cost'!$D$15</f>
        <v>0</v>
      </c>
      <c r="U176" s="127">
        <f>N176*O176*'1. Standard_Cost'!$E$15</f>
        <v>0</v>
      </c>
      <c r="V176" s="126"/>
      <c r="W176" s="126"/>
      <c r="X176" s="126"/>
      <c r="Y176" s="127">
        <f>+V176*((X176*'1. Standard_Cost'!$B$19)+(W176*X176*'1. Standard_Cost'!$C$19))</f>
        <v>0</v>
      </c>
      <c r="Z176" s="126"/>
      <c r="AA176" s="126"/>
      <c r="AB176" s="127">
        <f>+Z176*'1. Standard_Cost'!$B$23+AA176*'1. Standard_Cost'!$C$23</f>
        <v>0</v>
      </c>
      <c r="AC176" s="128">
        <v>140755</v>
      </c>
      <c r="AD176" s="129"/>
      <c r="AE176" s="127">
        <f>SUM(AD176,AC176,AB176,Y176,U176,T176,S176,R176)*'1. Standard_Cost'!$B$31</f>
        <v>28151</v>
      </c>
      <c r="AF176" s="127">
        <f t="shared" si="111"/>
        <v>168906</v>
      </c>
      <c r="AG176" s="126"/>
      <c r="AH176" s="126"/>
      <c r="AI176" s="126"/>
      <c r="AJ176" s="130"/>
      <c r="AK176" s="130"/>
      <c r="AL176" s="130"/>
      <c r="AM176" s="127">
        <f>AG176*'1. Standard_Cost'!$B$27+'Incremental_Cost Year 8'!AH176*'1. Standard_Cost'!$C$27+'Incremental_Cost Year 8'!AI176*'1. Standard_Cost'!$D$27+'Incremental_Cost Year 8'!AJ176+'Incremental_Cost Year 8'!AL176+AK176</f>
        <v>0</v>
      </c>
      <c r="AN176" s="127">
        <f>AM176*'1. Standard_Cost'!$C$31</f>
        <v>0</v>
      </c>
      <c r="AO176" s="130"/>
      <c r="AP176" s="256"/>
      <c r="AQ176" s="171">
        <f t="shared" si="112"/>
        <v>1172951.7</v>
      </c>
      <c r="AR176" s="171">
        <f t="shared" si="113"/>
        <v>168906</v>
      </c>
      <c r="AS176" s="171">
        <f t="shared" si="114"/>
        <v>0</v>
      </c>
      <c r="AT176" s="171">
        <f t="shared" si="115"/>
        <v>1341857.7</v>
      </c>
      <c r="AU176" s="250">
        <v>1341858</v>
      </c>
      <c r="AV176" s="250"/>
      <c r="AW176" s="250"/>
      <c r="AX176" s="250"/>
      <c r="AY176" s="250"/>
      <c r="AZ176" s="250"/>
      <c r="BA176" s="250"/>
      <c r="BB176" s="251">
        <f t="shared" si="116"/>
        <v>0.30000000004656613</v>
      </c>
      <c r="BC176" s="169"/>
      <c r="BD176" s="169"/>
      <c r="BE176" s="169"/>
      <c r="BF176" s="169"/>
    </row>
    <row r="177" spans="1:58" ht="61.9" customHeight="1" outlineLevel="2" x14ac:dyDescent="0.25">
      <c r="A177" s="115"/>
      <c r="B177" s="200"/>
      <c r="C177" s="201"/>
      <c r="D177" s="344"/>
      <c r="E177" s="328"/>
      <c r="F177" s="328"/>
      <c r="G177" s="328"/>
      <c r="H177" s="231" t="s">
        <v>235</v>
      </c>
      <c r="I177" s="130"/>
      <c r="J177" s="126"/>
      <c r="K177" s="126"/>
      <c r="L177" s="125" t="str">
        <f>IF(I177&lt;&gt;0,((VLOOKUP(I177,'1. Standard_Cost'!$B$4:$D$11,2)+VLOOKUP(I177,'1. Standard_Cost'!$B$4:$D$11,3))*J177*K177),"0")</f>
        <v>0</v>
      </c>
      <c r="M177" s="125">
        <f>L177*'1. Standard_Cost'!$F$4</f>
        <v>0</v>
      </c>
      <c r="N177" s="126"/>
      <c r="O177" s="126"/>
      <c r="P177" s="126"/>
      <c r="Q177" s="126"/>
      <c r="R177" s="127">
        <f>'1. Standard_Cost'!$B$15*N177*P177</f>
        <v>0</v>
      </c>
      <c r="S177" s="127">
        <f>N177*O177*P177*'1. Standard_Cost'!$C$15</f>
        <v>0</v>
      </c>
      <c r="T177" s="127">
        <f>N177*P177*Q177*'1. Standard_Cost'!$D$15</f>
        <v>0</v>
      </c>
      <c r="U177" s="127">
        <f>N177*O177*'1. Standard_Cost'!$E$15</f>
        <v>0</v>
      </c>
      <c r="V177" s="126"/>
      <c r="W177" s="126"/>
      <c r="X177" s="126"/>
      <c r="Y177" s="127">
        <f>+V177*((X177*'1. Standard_Cost'!$B$19)+(W177*X177*'1. Standard_Cost'!$C$19))</f>
        <v>0</v>
      </c>
      <c r="Z177" s="126"/>
      <c r="AA177" s="126"/>
      <c r="AB177" s="127">
        <f>+Z177*'1. Standard_Cost'!$B$23+AA177*'1. Standard_Cost'!$C$23</f>
        <v>0</v>
      </c>
      <c r="AC177" s="128">
        <v>20000000</v>
      </c>
      <c r="AD177" s="129"/>
      <c r="AE177" s="127">
        <f>0</f>
        <v>0</v>
      </c>
      <c r="AF177" s="127">
        <f t="shared" si="111"/>
        <v>20000000</v>
      </c>
      <c r="AG177" s="126"/>
      <c r="AH177" s="126"/>
      <c r="AI177" s="126"/>
      <c r="AJ177" s="130"/>
      <c r="AK177" s="130"/>
      <c r="AL177" s="130"/>
      <c r="AM177" s="127">
        <f>AG177*'1. Standard_Cost'!$B$27+'Incremental_Cost Year 8'!AH177*'1. Standard_Cost'!$C$27+'Incremental_Cost Year 8'!AI177*'1. Standard_Cost'!$D$27+'Incremental_Cost Year 8'!AJ177+'Incremental_Cost Year 8'!AL177+AK177</f>
        <v>0</v>
      </c>
      <c r="AN177" s="127">
        <f>AM177*'1. Standard_Cost'!$C$31</f>
        <v>0</v>
      </c>
      <c r="AO177" s="130"/>
      <c r="AP177" s="256"/>
      <c r="AQ177" s="171">
        <f t="shared" si="112"/>
        <v>0</v>
      </c>
      <c r="AR177" s="171">
        <f t="shared" si="113"/>
        <v>20000000</v>
      </c>
      <c r="AS177" s="171">
        <f t="shared" si="114"/>
        <v>0</v>
      </c>
      <c r="AT177" s="171">
        <f t="shared" si="115"/>
        <v>20000000</v>
      </c>
      <c r="AU177" s="250">
        <v>20000000</v>
      </c>
      <c r="AV177" s="250"/>
      <c r="AW177" s="250"/>
      <c r="AX177" s="250"/>
      <c r="AY177" s="250"/>
      <c r="AZ177" s="250"/>
      <c r="BA177" s="250"/>
      <c r="BB177" s="251">
        <f t="shared" si="116"/>
        <v>0</v>
      </c>
      <c r="BC177" s="169"/>
      <c r="BD177" s="169"/>
      <c r="BE177" s="169"/>
      <c r="BF177" s="169"/>
    </row>
    <row r="178" spans="1:58" ht="61.9" customHeight="1" outlineLevel="2" x14ac:dyDescent="0.25">
      <c r="A178" s="115"/>
      <c r="B178" s="165"/>
      <c r="C178" s="166"/>
      <c r="D178" s="150" t="s">
        <v>485</v>
      </c>
      <c r="E178" s="212" t="s">
        <v>486</v>
      </c>
      <c r="F178" s="106">
        <v>2021</v>
      </c>
      <c r="G178" s="104">
        <v>2030</v>
      </c>
      <c r="H178" s="110" t="s">
        <v>181</v>
      </c>
      <c r="I178" s="252"/>
      <c r="J178" s="252"/>
      <c r="K178" s="252"/>
      <c r="L178" s="127">
        <f>SUM(L169:L177)</f>
        <v>51060700</v>
      </c>
      <c r="M178" s="127">
        <f>SUM(M169:M177)</f>
        <v>8527136.9000000004</v>
      </c>
      <c r="N178" s="252"/>
      <c r="O178" s="252"/>
      <c r="P178" s="252"/>
      <c r="Q178" s="252"/>
      <c r="R178" s="127">
        <f>SUM(R169:R177)</f>
        <v>0</v>
      </c>
      <c r="S178" s="127">
        <f>SUM(S169:S177)</f>
        <v>0</v>
      </c>
      <c r="T178" s="127">
        <f>SUM(T169:T177)</f>
        <v>0</v>
      </c>
      <c r="U178" s="127">
        <f>SUM(U169:U177)</f>
        <v>0</v>
      </c>
      <c r="V178" s="252"/>
      <c r="W178" s="252"/>
      <c r="X178" s="252"/>
      <c r="Y178" s="127">
        <f>SUM(Y169:Y177)</f>
        <v>0</v>
      </c>
      <c r="Z178" s="127"/>
      <c r="AA178" s="252"/>
      <c r="AB178" s="127">
        <f>SUM(AB169:AB177)</f>
        <v>0</v>
      </c>
      <c r="AC178" s="127">
        <f>SUM(AC169:AC177)</f>
        <v>4582014255</v>
      </c>
      <c r="AD178" s="127">
        <f>SUM(AD169:AD177)</f>
        <v>0</v>
      </c>
      <c r="AE178" s="127">
        <f>SUM(AE169:AE177)</f>
        <v>28151</v>
      </c>
      <c r="AF178" s="127">
        <f>SUM(AF169:AF177)</f>
        <v>4582042406</v>
      </c>
      <c r="AG178" s="252"/>
      <c r="AH178" s="252"/>
      <c r="AI178" s="252"/>
      <c r="AJ178" s="127">
        <f>SUM(AJ169:AJ177)</f>
        <v>0</v>
      </c>
      <c r="AK178" s="127">
        <f>SUM(AK169:AK177)</f>
        <v>0</v>
      </c>
      <c r="AL178" s="127">
        <f>SUM(AL169:AL177)</f>
        <v>0</v>
      </c>
      <c r="AM178" s="127">
        <f>SUM(AM169:AM177)</f>
        <v>0</v>
      </c>
      <c r="AN178" s="127">
        <f>SUM(AN169:AN177)</f>
        <v>0</v>
      </c>
      <c r="AO178" s="253"/>
      <c r="AP178" s="254"/>
      <c r="AQ178" s="175">
        <f>SUM(AQ169:AQ177)</f>
        <v>59587836.900000006</v>
      </c>
      <c r="AR178" s="175">
        <f>SUM(AR169:AR177)</f>
        <v>4582042406</v>
      </c>
      <c r="AS178" s="175">
        <f>SUM(AS169:AS177)</f>
        <v>0</v>
      </c>
      <c r="AT178" s="175">
        <f>SUM(AT169:AT177)</f>
        <v>4641630242.8999996</v>
      </c>
      <c r="AU178" s="175">
        <f t="shared" ref="AU178:BA178" si="117">SUM(AU169:AU177)</f>
        <v>4641630243.1999998</v>
      </c>
      <c r="AV178" s="175">
        <f t="shared" si="117"/>
        <v>0</v>
      </c>
      <c r="AW178" s="175">
        <f t="shared" si="117"/>
        <v>0</v>
      </c>
      <c r="AX178" s="175">
        <f t="shared" si="117"/>
        <v>0</v>
      </c>
      <c r="AY178" s="175">
        <f t="shared" si="117"/>
        <v>0</v>
      </c>
      <c r="AZ178" s="175">
        <f t="shared" si="117"/>
        <v>0</v>
      </c>
      <c r="BA178" s="175">
        <f t="shared" si="117"/>
        <v>0</v>
      </c>
      <c r="BB178" s="175">
        <f>SUM(BB169:BB177)</f>
        <v>0.30000000004656613</v>
      </c>
      <c r="BC178" s="169"/>
      <c r="BD178" s="169"/>
      <c r="BE178" s="169"/>
      <c r="BF178" s="169"/>
    </row>
    <row r="179" spans="1:58" ht="61.9" customHeight="1" outlineLevel="2" x14ac:dyDescent="0.25">
      <c r="A179" s="115"/>
      <c r="B179" s="200"/>
      <c r="C179" s="201"/>
      <c r="D179" s="210"/>
      <c r="E179" s="328"/>
      <c r="F179" s="328"/>
      <c r="G179" s="328"/>
      <c r="H179" s="199" t="s">
        <v>487</v>
      </c>
      <c r="I179" s="130"/>
      <c r="J179" s="126"/>
      <c r="K179" s="126"/>
      <c r="L179" s="125" t="str">
        <f>IF(I179&lt;&gt;0,((VLOOKUP(I179,'1. Standard_Cost'!$B$4:$D$11,2)+VLOOKUP(I179,'1. Standard_Cost'!$B$4:$D$11,3))*J179*K179),"0")</f>
        <v>0</v>
      </c>
      <c r="M179" s="125">
        <f>L179*'1. Standard_Cost'!$F$4</f>
        <v>0</v>
      </c>
      <c r="N179" s="126"/>
      <c r="O179" s="126"/>
      <c r="P179" s="126"/>
      <c r="Q179" s="126"/>
      <c r="R179" s="127">
        <f>'1. Standard_Cost'!$B$15*N179*P179</f>
        <v>0</v>
      </c>
      <c r="S179" s="127">
        <f>N179*O179*P179*'1. Standard_Cost'!$C$15</f>
        <v>0</v>
      </c>
      <c r="T179" s="127">
        <f>N179*P179*Q179*'1. Standard_Cost'!$D$15</f>
        <v>0</v>
      </c>
      <c r="U179" s="127">
        <f>N179*O179*'1. Standard_Cost'!$E$15</f>
        <v>0</v>
      </c>
      <c r="V179" s="126"/>
      <c r="W179" s="126"/>
      <c r="X179" s="126"/>
      <c r="Y179" s="127">
        <f>+V179*((X179*'1. Standard_Cost'!$B$19)+(W179*X179*'1. Standard_Cost'!$C$19))</f>
        <v>0</v>
      </c>
      <c r="Z179" s="126"/>
      <c r="AA179" s="126"/>
      <c r="AB179" s="127">
        <f>+Z179*'1. Standard_Cost'!$B$23+AA179*'1. Standard_Cost'!$C$23</f>
        <v>0</v>
      </c>
      <c r="AC179" s="128"/>
      <c r="AD179" s="129"/>
      <c r="AE179" s="127">
        <f>SUM(AD179,AC179,AB179,Y179,U179,T179,S179,R179)*'1. Standard_Cost'!$B$31</f>
        <v>0</v>
      </c>
      <c r="AF179" s="127">
        <f>SUM(AE179,AD179,AC179,AB179,Y179,U179,T179,S179,R179)</f>
        <v>0</v>
      </c>
      <c r="AG179" s="126"/>
      <c r="AH179" s="126"/>
      <c r="AI179" s="126"/>
      <c r="AJ179" s="130"/>
      <c r="AK179" s="130"/>
      <c r="AL179" s="130"/>
      <c r="AM179" s="127">
        <f>AG179*'1. Standard_Cost'!$B$27+'Incremental_Cost Year 8'!AH179*'1. Standard_Cost'!$C$27+'Incremental_Cost Year 8'!AI179*'1. Standard_Cost'!$D$27+'Incremental_Cost Year 8'!AJ179+'Incremental_Cost Year 8'!AL179+AK179</f>
        <v>0</v>
      </c>
      <c r="AN179" s="127">
        <f>AM179*'1. Standard_Cost'!$C$31</f>
        <v>0</v>
      </c>
      <c r="AO179" s="130"/>
      <c r="AP179" s="256"/>
      <c r="AQ179" s="171">
        <f>L179+M179</f>
        <v>0</v>
      </c>
      <c r="AR179" s="171">
        <f>AF179</f>
        <v>0</v>
      </c>
      <c r="AS179" s="171">
        <f>AM179+AN179</f>
        <v>0</v>
      </c>
      <c r="AT179" s="171">
        <f>SUM(AQ179,AR179,AS179)</f>
        <v>0</v>
      </c>
      <c r="AU179" s="250"/>
      <c r="AV179" s="250"/>
      <c r="AW179" s="250"/>
      <c r="AX179" s="250"/>
      <c r="AY179" s="250"/>
      <c r="AZ179" s="250"/>
      <c r="BA179" s="250"/>
      <c r="BB179" s="251">
        <f t="shared" ref="BB179:BB180" si="118">SUM(AU179:BA179)-AT179</f>
        <v>0</v>
      </c>
      <c r="BC179" s="169"/>
      <c r="BD179" s="169"/>
      <c r="BE179" s="169"/>
      <c r="BF179" s="169"/>
    </row>
    <row r="180" spans="1:58" ht="61.9" customHeight="1" outlineLevel="2" x14ac:dyDescent="0.25">
      <c r="A180" s="115"/>
      <c r="B180" s="200"/>
      <c r="C180" s="201"/>
      <c r="D180" s="211"/>
      <c r="E180" s="328"/>
      <c r="F180" s="328"/>
      <c r="G180" s="328"/>
      <c r="H180" s="213" t="s">
        <v>488</v>
      </c>
      <c r="I180" s="130"/>
      <c r="J180" s="126"/>
      <c r="K180" s="126"/>
      <c r="L180" s="125" t="str">
        <f>IF(I180&lt;&gt;0,((VLOOKUP(I180,'1. Standard_Cost'!$B$4:$D$11,2)+VLOOKUP(I180,'1. Standard_Cost'!$B$4:$D$11,3))*J180*K180),"0")</f>
        <v>0</v>
      </c>
      <c r="M180" s="125">
        <f>L180*'1. Standard_Cost'!$F$4</f>
        <v>0</v>
      </c>
      <c r="N180" s="126"/>
      <c r="O180" s="126"/>
      <c r="P180" s="126"/>
      <c r="Q180" s="126"/>
      <c r="R180" s="127">
        <f>'1. Standard_Cost'!$B$15*N180*P180</f>
        <v>0</v>
      </c>
      <c r="S180" s="127">
        <f>N180*O180*P180*'1. Standard_Cost'!$C$15</f>
        <v>0</v>
      </c>
      <c r="T180" s="127">
        <f>N180*P180*Q180*'1. Standard_Cost'!$D$15</f>
        <v>0</v>
      </c>
      <c r="U180" s="127">
        <f>N180*O180*'1. Standard_Cost'!$E$15</f>
        <v>0</v>
      </c>
      <c r="V180" s="126"/>
      <c r="W180" s="126"/>
      <c r="X180" s="126"/>
      <c r="Y180" s="127">
        <f>+V180*((X180*'1. Standard_Cost'!$B$19)+(W180*X180*'1. Standard_Cost'!$C$19))</f>
        <v>0</v>
      </c>
      <c r="Z180" s="126"/>
      <c r="AA180" s="126"/>
      <c r="AB180" s="127">
        <f>+Z180*'1. Standard_Cost'!$B$23+AA180*'1. Standard_Cost'!$C$23</f>
        <v>0</v>
      </c>
      <c r="AC180" s="128"/>
      <c r="AD180" s="129"/>
      <c r="AE180" s="127">
        <f>SUM(AD180,AC180,AB180,Y180,U180,T180,S180,R180)*'1. Standard_Cost'!$B$31</f>
        <v>0</v>
      </c>
      <c r="AF180" s="127">
        <f>SUM(AE180,AD180,AC180,AB180,Y180,U180,T180,S180,R180)</f>
        <v>0</v>
      </c>
      <c r="AG180" s="126"/>
      <c r="AH180" s="126"/>
      <c r="AI180" s="126"/>
      <c r="AJ180" s="130"/>
      <c r="AK180" s="130"/>
      <c r="AL180" s="130"/>
      <c r="AM180" s="127">
        <f>AG180*'1. Standard_Cost'!$B$27+'Incremental_Cost Year 8'!AH180*'1. Standard_Cost'!$C$27+'Incremental_Cost Year 8'!AI180*'1. Standard_Cost'!$D$27+'Incremental_Cost Year 8'!AJ180+'Incremental_Cost Year 8'!AL180+AK180</f>
        <v>0</v>
      </c>
      <c r="AN180" s="127">
        <f>AM180*'1. Standard_Cost'!$C$31</f>
        <v>0</v>
      </c>
      <c r="AO180" s="130"/>
      <c r="AP180" s="256"/>
      <c r="AQ180" s="171">
        <f>L180+M180</f>
        <v>0</v>
      </c>
      <c r="AR180" s="171">
        <f>AF180</f>
        <v>0</v>
      </c>
      <c r="AS180" s="171">
        <f>AM180+AN180</f>
        <v>0</v>
      </c>
      <c r="AT180" s="171">
        <f>SUM(AQ180,AR180,AS180)</f>
        <v>0</v>
      </c>
      <c r="AU180" s="250"/>
      <c r="AV180" s="250"/>
      <c r="AW180" s="250"/>
      <c r="AX180" s="250"/>
      <c r="AY180" s="250"/>
      <c r="AZ180" s="250"/>
      <c r="BA180" s="250"/>
      <c r="BB180" s="251">
        <f t="shared" si="118"/>
        <v>0</v>
      </c>
      <c r="BC180" s="169"/>
      <c r="BD180" s="169"/>
      <c r="BE180" s="169"/>
      <c r="BF180" s="169"/>
    </row>
    <row r="181" spans="1:58" ht="61.9" customHeight="1" outlineLevel="2" x14ac:dyDescent="0.25">
      <c r="A181" s="115"/>
      <c r="B181" s="165"/>
      <c r="C181" s="166"/>
      <c r="D181" s="110" t="s">
        <v>489</v>
      </c>
      <c r="E181" s="139" t="s">
        <v>490</v>
      </c>
      <c r="F181" s="104">
        <v>2022</v>
      </c>
      <c r="G181" s="104">
        <v>2025</v>
      </c>
      <c r="H181" s="150" t="s">
        <v>236</v>
      </c>
      <c r="I181" s="252"/>
      <c r="J181" s="252"/>
      <c r="K181" s="252"/>
      <c r="L181" s="127">
        <f>SUM(L179:L180)</f>
        <v>0</v>
      </c>
      <c r="M181" s="127">
        <f>SUM(M179:M180)</f>
        <v>0</v>
      </c>
      <c r="N181" s="252"/>
      <c r="O181" s="252"/>
      <c r="P181" s="252"/>
      <c r="Q181" s="252"/>
      <c r="R181" s="127">
        <f>SUM(R179:R180)</f>
        <v>0</v>
      </c>
      <c r="S181" s="127">
        <f>SUM(S179:S180)</f>
        <v>0</v>
      </c>
      <c r="T181" s="127">
        <f>SUM(T179:T180)</f>
        <v>0</v>
      </c>
      <c r="U181" s="127">
        <f>SUM(U179:U180)</f>
        <v>0</v>
      </c>
      <c r="V181" s="252"/>
      <c r="W181" s="252"/>
      <c r="X181" s="252"/>
      <c r="Y181" s="127">
        <f>SUM(Y179:Y180)</f>
        <v>0</v>
      </c>
      <c r="Z181" s="127"/>
      <c r="AA181" s="252"/>
      <c r="AB181" s="127">
        <f>SUM(AB179:AB180)</f>
        <v>0</v>
      </c>
      <c r="AC181" s="127">
        <f>SUM(AC179:AC180)</f>
        <v>0</v>
      </c>
      <c r="AD181" s="127">
        <f>SUM(AD179:AD180)</f>
        <v>0</v>
      </c>
      <c r="AE181" s="127">
        <f>SUM(AE179:AE180)</f>
        <v>0</v>
      </c>
      <c r="AF181" s="127">
        <f>SUM(AF179:AF180)</f>
        <v>0</v>
      </c>
      <c r="AG181" s="252"/>
      <c r="AH181" s="252"/>
      <c r="AI181" s="252"/>
      <c r="AJ181" s="127">
        <f>SUM(AJ179:AJ180)</f>
        <v>0</v>
      </c>
      <c r="AK181" s="127">
        <f>SUM(AK179:AK180)</f>
        <v>0</v>
      </c>
      <c r="AL181" s="127">
        <f>SUM(AL179:AL180)</f>
        <v>0</v>
      </c>
      <c r="AM181" s="127">
        <f>SUM(AM179:AM180)</f>
        <v>0</v>
      </c>
      <c r="AN181" s="127">
        <f>SUM(AN179:AN180)</f>
        <v>0</v>
      </c>
      <c r="AO181" s="253"/>
      <c r="AP181" s="254"/>
      <c r="AQ181" s="175">
        <f>SUM(AQ179:AQ180)</f>
        <v>0</v>
      </c>
      <c r="AR181" s="175">
        <f>SUM(AR179:AR180)</f>
        <v>0</v>
      </c>
      <c r="AS181" s="175">
        <f>SUM(AS179:AS180)</f>
        <v>0</v>
      </c>
      <c r="AT181" s="175">
        <f>SUM(AT179:AT180)</f>
        <v>0</v>
      </c>
      <c r="AU181" s="175">
        <f t="shared" ref="AU181:BB181" si="119">SUM(AU179:AU180)</f>
        <v>0</v>
      </c>
      <c r="AV181" s="175">
        <f t="shared" si="119"/>
        <v>0</v>
      </c>
      <c r="AW181" s="175">
        <f t="shared" si="119"/>
        <v>0</v>
      </c>
      <c r="AX181" s="175">
        <f t="shared" si="119"/>
        <v>0</v>
      </c>
      <c r="AY181" s="175">
        <f t="shared" si="119"/>
        <v>0</v>
      </c>
      <c r="AZ181" s="175">
        <f t="shared" si="119"/>
        <v>0</v>
      </c>
      <c r="BA181" s="175">
        <f t="shared" si="119"/>
        <v>0</v>
      </c>
      <c r="BB181" s="175">
        <f t="shared" si="119"/>
        <v>0</v>
      </c>
      <c r="BC181" s="169"/>
      <c r="BD181" s="169"/>
      <c r="BE181" s="169"/>
      <c r="BF181" s="169"/>
    </row>
    <row r="182" spans="1:58" ht="61.9" customHeight="1" outlineLevel="2" x14ac:dyDescent="0.25">
      <c r="A182" s="143"/>
      <c r="B182" s="290"/>
      <c r="C182" s="391" t="s">
        <v>237</v>
      </c>
      <c r="D182" s="391"/>
      <c r="E182" s="392"/>
      <c r="F182" s="287"/>
      <c r="G182" s="289"/>
      <c r="H182" s="144" t="s">
        <v>182</v>
      </c>
      <c r="I182" s="257"/>
      <c r="J182" s="257"/>
      <c r="K182" s="257"/>
      <c r="L182" s="258">
        <f>L190+L193+L196</f>
        <v>10563474300</v>
      </c>
      <c r="M182" s="258">
        <f>M190+M193+M196</f>
        <v>1764100208.0999999</v>
      </c>
      <c r="N182" s="257"/>
      <c r="O182" s="257"/>
      <c r="P182" s="257"/>
      <c r="Q182" s="257"/>
      <c r="R182" s="258">
        <f>R190+R193+R196</f>
        <v>0</v>
      </c>
      <c r="S182" s="258">
        <f>S190+S193+S196</f>
        <v>0</v>
      </c>
      <c r="T182" s="258">
        <f>T190+T193+T196</f>
        <v>0</v>
      </c>
      <c r="U182" s="258">
        <f>U190+U193+U196</f>
        <v>0</v>
      </c>
      <c r="V182" s="257"/>
      <c r="W182" s="257"/>
      <c r="X182" s="257"/>
      <c r="Y182" s="258">
        <f>Y190+Y193+Y196</f>
        <v>0</v>
      </c>
      <c r="Z182" s="258"/>
      <c r="AA182" s="258"/>
      <c r="AB182" s="258">
        <f>AB190+AB193+AB196</f>
        <v>0</v>
      </c>
      <c r="AC182" s="258">
        <f>AC190+AC193+AC196</f>
        <v>9808166000</v>
      </c>
      <c r="AD182" s="258">
        <f>AD190+AD193+AD196</f>
        <v>0</v>
      </c>
      <c r="AE182" s="258">
        <f>AE190+AE193+AE196</f>
        <v>1960025000</v>
      </c>
      <c r="AF182" s="258">
        <f>AF190+AF193+AF196</f>
        <v>11768191000</v>
      </c>
      <c r="AG182" s="257"/>
      <c r="AH182" s="257"/>
      <c r="AI182" s="257"/>
      <c r="AJ182" s="258">
        <f>AJ190+AJ193+AJ196</f>
        <v>0</v>
      </c>
      <c r="AK182" s="258">
        <f>AK190+AK193+AK196</f>
        <v>0</v>
      </c>
      <c r="AL182" s="258">
        <f>AL190+AL193+AL196</f>
        <v>0</v>
      </c>
      <c r="AM182" s="258">
        <f>AM190+AM193+AM196</f>
        <v>0</v>
      </c>
      <c r="AN182" s="258">
        <f>AN190+AN193+AN196</f>
        <v>0</v>
      </c>
      <c r="AO182" s="259"/>
      <c r="AP182" s="260"/>
      <c r="AQ182" s="261">
        <f>AQ190+AQ193+AQ196</f>
        <v>12327574508.1</v>
      </c>
      <c r="AR182" s="261">
        <f>AR190+AR193+AR196</f>
        <v>11768191000</v>
      </c>
      <c r="AS182" s="261">
        <f>AS190+AS193+AS196</f>
        <v>0</v>
      </c>
      <c r="AT182" s="261">
        <f>AT190+AT193+AT196</f>
        <v>24095765508.099998</v>
      </c>
      <c r="AU182" s="261">
        <f t="shared" ref="AU182:BA182" si="120">AU190+AU193+AU196</f>
        <v>22295765508</v>
      </c>
      <c r="AV182" s="261">
        <f t="shared" si="120"/>
        <v>0</v>
      </c>
      <c r="AW182" s="261">
        <f t="shared" si="120"/>
        <v>0</v>
      </c>
      <c r="AX182" s="261">
        <f t="shared" si="120"/>
        <v>0</v>
      </c>
      <c r="AY182" s="261">
        <f t="shared" si="120"/>
        <v>0</v>
      </c>
      <c r="AZ182" s="261">
        <f t="shared" si="120"/>
        <v>0</v>
      </c>
      <c r="BA182" s="261">
        <f t="shared" si="120"/>
        <v>0</v>
      </c>
      <c r="BB182" s="261">
        <f>BB190+BB193+BB196</f>
        <v>-1800000000.0999999</v>
      </c>
      <c r="BC182" s="184"/>
      <c r="BD182" s="184"/>
      <c r="BE182" s="184"/>
      <c r="BF182" s="184"/>
    </row>
    <row r="183" spans="1:58" ht="61.9" customHeight="1" outlineLevel="2" x14ac:dyDescent="0.25">
      <c r="A183" s="115"/>
      <c r="B183" s="303"/>
      <c r="C183" s="329"/>
      <c r="D183" s="342"/>
      <c r="E183" s="328"/>
      <c r="F183" s="328"/>
      <c r="G183" s="328"/>
      <c r="H183" s="199" t="s">
        <v>544</v>
      </c>
      <c r="I183" s="130" t="s">
        <v>4</v>
      </c>
      <c r="J183" s="126">
        <v>12</v>
      </c>
      <c r="K183" s="126">
        <v>10882</v>
      </c>
      <c r="L183" s="125">
        <f>IF(I183&lt;&gt;0,((VLOOKUP(I183,'1. Standard_Cost'!$B$4:$D$11,2)+VLOOKUP(I183,'1. Standard_Cost'!$B$4:$D$11,3))*J183*K183),"0")</f>
        <v>10544658000</v>
      </c>
      <c r="M183" s="125">
        <f>L183*'1. Standard_Cost'!$F$4</f>
        <v>1760957886</v>
      </c>
      <c r="N183" s="126"/>
      <c r="O183" s="126"/>
      <c r="P183" s="126"/>
      <c r="Q183" s="126"/>
      <c r="R183" s="127">
        <f>'1. Standard_Cost'!$B$15*N183*P183</f>
        <v>0</v>
      </c>
      <c r="S183" s="127">
        <f>N183*O183*P183*'1. Standard_Cost'!$C$15</f>
        <v>0</v>
      </c>
      <c r="T183" s="127">
        <f>N183*P183*Q183*'1. Standard_Cost'!$D$15</f>
        <v>0</v>
      </c>
      <c r="U183" s="127">
        <f>N183*O183*'1. Standard_Cost'!$E$15</f>
        <v>0</v>
      </c>
      <c r="V183" s="126"/>
      <c r="W183" s="126"/>
      <c r="X183" s="126"/>
      <c r="Y183" s="127">
        <f>+V183*((X183*'1. Standard_Cost'!$B$19)+(W183*X183*'1. Standard_Cost'!$C$19))</f>
        <v>0</v>
      </c>
      <c r="Z183" s="126"/>
      <c r="AA183" s="126"/>
      <c r="AB183" s="127">
        <f>+Z183*'1. Standard_Cost'!$B$23+AA183*'1. Standard_Cost'!$C$23</f>
        <v>0</v>
      </c>
      <c r="AC183" s="128">
        <v>9800000000</v>
      </c>
      <c r="AD183" s="129"/>
      <c r="AE183" s="127">
        <f>SUM(AD183,AC183,AB183,Y183,U183,T183,S183,R183)*'1. Standard_Cost'!$B$31</f>
        <v>1960000000</v>
      </c>
      <c r="AF183" s="127">
        <f t="shared" ref="AF183:AF189" si="121">SUM(AE183,AD183,AC183,AB183,Y183,U183,T183,S183,R183)</f>
        <v>11760000000</v>
      </c>
      <c r="AG183" s="126"/>
      <c r="AH183" s="126"/>
      <c r="AI183" s="126"/>
      <c r="AJ183" s="130"/>
      <c r="AK183" s="130"/>
      <c r="AL183" s="130"/>
      <c r="AM183" s="127">
        <f>AG183*'1. Standard_Cost'!$B$27+'Incremental_Cost Year 8'!AH183*'1. Standard_Cost'!$C$27+'Incremental_Cost Year 8'!AI183*'1. Standard_Cost'!$D$27+'Incremental_Cost Year 8'!AJ183+'Incremental_Cost Year 8'!AL183+AK183</f>
        <v>0</v>
      </c>
      <c r="AN183" s="127">
        <f>AM183*'1. Standard_Cost'!$C$31</f>
        <v>0</v>
      </c>
      <c r="AO183" s="130"/>
      <c r="AP183" s="256"/>
      <c r="AQ183" s="171">
        <f t="shared" ref="AQ183:AQ189" si="122">L183+M183</f>
        <v>12305615886</v>
      </c>
      <c r="AR183" s="171">
        <f t="shared" ref="AR183:AR189" si="123">AF183</f>
        <v>11760000000</v>
      </c>
      <c r="AS183" s="171">
        <f t="shared" ref="AS183:AS189" si="124">AM183+AN183</f>
        <v>0</v>
      </c>
      <c r="AT183" s="171">
        <f t="shared" ref="AT183:AT189" si="125">SUM(AQ183,AR183,AS183)</f>
        <v>24065615886</v>
      </c>
      <c r="AU183" s="250">
        <v>22265615886</v>
      </c>
      <c r="AV183" s="250"/>
      <c r="AW183" s="250"/>
      <c r="AX183" s="250"/>
      <c r="AY183" s="250"/>
      <c r="AZ183" s="250"/>
      <c r="BA183" s="250"/>
      <c r="BB183" s="251">
        <f t="shared" ref="BB183:BB189" si="126">SUM(AU183:BA183)-AT183</f>
        <v>-1800000000</v>
      </c>
      <c r="BC183" s="169"/>
      <c r="BD183" s="169"/>
      <c r="BE183" s="169"/>
      <c r="BF183" s="169"/>
    </row>
    <row r="184" spans="1:58" ht="61.9" customHeight="1" outlineLevel="2" x14ac:dyDescent="0.25">
      <c r="A184" s="115"/>
      <c r="B184" s="200"/>
      <c r="C184" s="330"/>
      <c r="D184" s="343"/>
      <c r="E184" s="328"/>
      <c r="F184" s="328"/>
      <c r="G184" s="328"/>
      <c r="H184" s="213" t="s">
        <v>543</v>
      </c>
      <c r="I184" s="374"/>
      <c r="J184" s="375"/>
      <c r="K184" s="375"/>
      <c r="L184" s="125" t="str">
        <f>IF(I184&lt;&gt;0,((VLOOKUP(I184,'1. Standard_Cost'!$B$4:$D$11,2)+VLOOKUP(I184,'1. Standard_Cost'!$B$4:$D$11,3))*J184*K184),"0")</f>
        <v>0</v>
      </c>
      <c r="M184" s="125">
        <f>L184*'1. Standard_Cost'!$F$4</f>
        <v>0</v>
      </c>
      <c r="N184" s="126"/>
      <c r="O184" s="126"/>
      <c r="P184" s="126"/>
      <c r="Q184" s="126"/>
      <c r="R184" s="127">
        <f>'1. Standard_Cost'!$B$15*N184*P184</f>
        <v>0</v>
      </c>
      <c r="S184" s="127">
        <f>N184*O184*P184*'1. Standard_Cost'!$C$15</f>
        <v>0</v>
      </c>
      <c r="T184" s="127">
        <f>N184*P184*Q184*'1. Standard_Cost'!$D$15</f>
        <v>0</v>
      </c>
      <c r="U184" s="127">
        <f>N184*O184*'1. Standard_Cost'!$E$15</f>
        <v>0</v>
      </c>
      <c r="V184" s="126"/>
      <c r="W184" s="126"/>
      <c r="X184" s="126"/>
      <c r="Y184" s="127">
        <f>+V184*((X184*'1. Standard_Cost'!$B$19)+(W184*X184*'1. Standard_Cost'!$C$19))</f>
        <v>0</v>
      </c>
      <c r="Z184" s="126"/>
      <c r="AA184" s="126"/>
      <c r="AB184" s="127">
        <f>+Z184*'1. Standard_Cost'!$B$23+AA184*'1. Standard_Cost'!$C$23</f>
        <v>0</v>
      </c>
      <c r="AC184" s="128"/>
      <c r="AD184" s="129"/>
      <c r="AE184" s="127"/>
      <c r="AF184" s="127">
        <f t="shared" si="121"/>
        <v>0</v>
      </c>
      <c r="AG184" s="126"/>
      <c r="AH184" s="126"/>
      <c r="AI184" s="126"/>
      <c r="AJ184" s="130"/>
      <c r="AK184" s="130"/>
      <c r="AL184" s="130"/>
      <c r="AM184" s="127">
        <f>AG184*'1. Standard_Cost'!$B$27+'Incremental_Cost Year 8'!AH184*'1. Standard_Cost'!$C$27+'Incremental_Cost Year 8'!AI184*'1. Standard_Cost'!$D$27+'Incremental_Cost Year 8'!AJ184+'Incremental_Cost Year 8'!AL184+AK184</f>
        <v>0</v>
      </c>
      <c r="AN184" s="127">
        <f>AM184*'1. Standard_Cost'!$C$31</f>
        <v>0</v>
      </c>
      <c r="AO184" s="130"/>
      <c r="AP184" s="256"/>
      <c r="AQ184" s="171">
        <f t="shared" si="122"/>
        <v>0</v>
      </c>
      <c r="AR184" s="171">
        <f t="shared" si="123"/>
        <v>0</v>
      </c>
      <c r="AS184" s="171">
        <f t="shared" si="124"/>
        <v>0</v>
      </c>
      <c r="AT184" s="171">
        <f t="shared" si="125"/>
        <v>0</v>
      </c>
      <c r="AU184" s="250"/>
      <c r="AV184" s="250"/>
      <c r="AW184" s="250"/>
      <c r="AX184" s="250"/>
      <c r="AY184" s="250"/>
      <c r="AZ184" s="250"/>
      <c r="BA184" s="250"/>
      <c r="BB184" s="251">
        <f t="shared" si="126"/>
        <v>0</v>
      </c>
      <c r="BC184" s="169"/>
      <c r="BD184" s="169"/>
      <c r="BE184" s="169"/>
      <c r="BF184" s="169"/>
    </row>
    <row r="185" spans="1:58" ht="61.9" customHeight="1" outlineLevel="2" x14ac:dyDescent="0.25">
      <c r="A185" s="115"/>
      <c r="B185" s="200"/>
      <c r="C185" s="330"/>
      <c r="D185" s="343"/>
      <c r="E185" s="328"/>
      <c r="F185" s="328"/>
      <c r="G185" s="328"/>
      <c r="H185" s="199" t="s">
        <v>491</v>
      </c>
      <c r="I185" s="130"/>
      <c r="J185" s="126"/>
      <c r="K185" s="126"/>
      <c r="L185" s="125" t="str">
        <f>IF(I185&lt;&gt;0,((VLOOKUP(I185,'1. Standard_Cost'!$B$4:$D$11,2)+VLOOKUP(I185,'1. Standard_Cost'!$B$4:$D$11,3))*J185*K185),"0")</f>
        <v>0</v>
      </c>
      <c r="M185" s="125">
        <f>L185*'1. Standard_Cost'!$F$4</f>
        <v>0</v>
      </c>
      <c r="N185" s="126"/>
      <c r="O185" s="126"/>
      <c r="P185" s="126"/>
      <c r="Q185" s="126"/>
      <c r="R185" s="127">
        <f>'1. Standard_Cost'!$B$15*N185*P185</f>
        <v>0</v>
      </c>
      <c r="S185" s="127">
        <f>N185*O185*P185*'1. Standard_Cost'!$C$15</f>
        <v>0</v>
      </c>
      <c r="T185" s="127">
        <f>N185*P185*Q185*'1. Standard_Cost'!$D$15</f>
        <v>0</v>
      </c>
      <c r="U185" s="127">
        <f>N185*O185*'1. Standard_Cost'!$E$15</f>
        <v>0</v>
      </c>
      <c r="V185" s="126"/>
      <c r="W185" s="126"/>
      <c r="X185" s="126"/>
      <c r="Y185" s="127">
        <f>+V185*((X185*'1. Standard_Cost'!$B$19)+(W185*X185*'1. Standard_Cost'!$C$19))</f>
        <v>0</v>
      </c>
      <c r="Z185" s="126"/>
      <c r="AA185" s="126"/>
      <c r="AB185" s="127">
        <f>+Z185*'1. Standard_Cost'!$B$23+AA185*'1. Standard_Cost'!$C$23</f>
        <v>0</v>
      </c>
      <c r="AC185" s="128"/>
      <c r="AD185" s="129"/>
      <c r="AE185" s="127">
        <f>SUM(AD185,AC185,AB185,Y185,U185,T185,S185,R185)*'1. Standard_Cost'!$B$31</f>
        <v>0</v>
      </c>
      <c r="AF185" s="127">
        <f t="shared" si="121"/>
        <v>0</v>
      </c>
      <c r="AG185" s="126"/>
      <c r="AH185" s="126"/>
      <c r="AI185" s="126"/>
      <c r="AJ185" s="130"/>
      <c r="AK185" s="130"/>
      <c r="AL185" s="130"/>
      <c r="AM185" s="127">
        <f>AG185*'1. Standard_Cost'!$B$27+'Incremental_Cost Year 8'!AH185*'1. Standard_Cost'!$C$27+'Incremental_Cost Year 8'!AI185*'1. Standard_Cost'!$D$27+'Incremental_Cost Year 8'!AJ185+'Incremental_Cost Year 8'!AL185+AK185</f>
        <v>0</v>
      </c>
      <c r="AN185" s="127">
        <f>AM185*'1. Standard_Cost'!$C$31</f>
        <v>0</v>
      </c>
      <c r="AO185" s="130"/>
      <c r="AP185" s="256"/>
      <c r="AQ185" s="171">
        <f t="shared" si="122"/>
        <v>0</v>
      </c>
      <c r="AR185" s="171">
        <f t="shared" si="123"/>
        <v>0</v>
      </c>
      <c r="AS185" s="171">
        <f t="shared" si="124"/>
        <v>0</v>
      </c>
      <c r="AT185" s="171">
        <f t="shared" si="125"/>
        <v>0</v>
      </c>
      <c r="AU185" s="250"/>
      <c r="AV185" s="250"/>
      <c r="AW185" s="250"/>
      <c r="AX185" s="250"/>
      <c r="AY185" s="250"/>
      <c r="AZ185" s="250"/>
      <c r="BA185" s="250"/>
      <c r="BB185" s="251">
        <f t="shared" si="126"/>
        <v>0</v>
      </c>
      <c r="BC185" s="169"/>
      <c r="BD185" s="169"/>
      <c r="BE185" s="169"/>
      <c r="BF185" s="169"/>
    </row>
    <row r="186" spans="1:58" ht="61.9" customHeight="1" outlineLevel="2" x14ac:dyDescent="0.25">
      <c r="A186" s="115"/>
      <c r="B186" s="200"/>
      <c r="C186" s="330"/>
      <c r="D186" s="343"/>
      <c r="E186" s="328"/>
      <c r="F186" s="328"/>
      <c r="G186" s="328"/>
      <c r="H186" s="199" t="s">
        <v>492</v>
      </c>
      <c r="I186" s="130"/>
      <c r="J186" s="126"/>
      <c r="K186" s="126"/>
      <c r="L186" s="125" t="str">
        <f>IF(I186&lt;&gt;0,((VLOOKUP(I186,'1. Standard_Cost'!$B$4:$D$11,2)+VLOOKUP(I186,'1. Standard_Cost'!$B$4:$D$11,3))*J186*K186),"0")</f>
        <v>0</v>
      </c>
      <c r="M186" s="125">
        <f>L186*'1. Standard_Cost'!$F$4</f>
        <v>0</v>
      </c>
      <c r="N186" s="126"/>
      <c r="O186" s="126"/>
      <c r="P186" s="126"/>
      <c r="Q186" s="126"/>
      <c r="R186" s="127">
        <f>'1. Standard_Cost'!$B$15*N186*P186</f>
        <v>0</v>
      </c>
      <c r="S186" s="127">
        <f>N186*O186*P186*'1. Standard_Cost'!$C$15</f>
        <v>0</v>
      </c>
      <c r="T186" s="127">
        <f>N186*P186*Q186*'1. Standard_Cost'!$D$15</f>
        <v>0</v>
      </c>
      <c r="U186" s="127">
        <f>N186*O186*'1. Standard_Cost'!$E$15</f>
        <v>0</v>
      </c>
      <c r="V186" s="126"/>
      <c r="W186" s="126"/>
      <c r="X186" s="126"/>
      <c r="Y186" s="127">
        <f>+V186*((X186*'1. Standard_Cost'!$B$19)+(W186*X186*'1. Standard_Cost'!$C$19))</f>
        <v>0</v>
      </c>
      <c r="Z186" s="126"/>
      <c r="AA186" s="126"/>
      <c r="AB186" s="127">
        <f>+Z186*'1. Standard_Cost'!$B$23+AA186*'1. Standard_Cost'!$C$23</f>
        <v>0</v>
      </c>
      <c r="AC186" s="128"/>
      <c r="AD186" s="129"/>
      <c r="AE186" s="127">
        <f>SUM(AD186,AC186,AB186,Y186,U186,T186,S186,R186)*'1. Standard_Cost'!$B$31</f>
        <v>0</v>
      </c>
      <c r="AF186" s="127">
        <f t="shared" si="121"/>
        <v>0</v>
      </c>
      <c r="AG186" s="126"/>
      <c r="AH186" s="126"/>
      <c r="AI186" s="126"/>
      <c r="AJ186" s="130"/>
      <c r="AK186" s="130"/>
      <c r="AL186" s="130"/>
      <c r="AM186" s="127">
        <f>AG186*'1. Standard_Cost'!$B$27+'Incremental_Cost Year 8'!AH186*'1. Standard_Cost'!$C$27+'Incremental_Cost Year 8'!AI186*'1. Standard_Cost'!$D$27+'Incremental_Cost Year 8'!AJ186+'Incremental_Cost Year 8'!AL186+AK186</f>
        <v>0</v>
      </c>
      <c r="AN186" s="127">
        <f>AM186*'1. Standard_Cost'!$C$31</f>
        <v>0</v>
      </c>
      <c r="AO186" s="130"/>
      <c r="AP186" s="256"/>
      <c r="AQ186" s="171">
        <f t="shared" si="122"/>
        <v>0</v>
      </c>
      <c r="AR186" s="171">
        <f t="shared" si="123"/>
        <v>0</v>
      </c>
      <c r="AS186" s="171">
        <f t="shared" si="124"/>
        <v>0</v>
      </c>
      <c r="AT186" s="171">
        <f t="shared" si="125"/>
        <v>0</v>
      </c>
      <c r="AU186" s="250"/>
      <c r="AV186" s="250"/>
      <c r="AW186" s="250"/>
      <c r="AX186" s="250"/>
      <c r="AY186" s="250"/>
      <c r="AZ186" s="250"/>
      <c r="BA186" s="250"/>
      <c r="BB186" s="251">
        <f t="shared" si="126"/>
        <v>0</v>
      </c>
      <c r="BC186" s="169"/>
      <c r="BD186" s="169"/>
      <c r="BE186" s="169"/>
      <c r="BF186" s="169"/>
    </row>
    <row r="187" spans="1:58" ht="61.9" customHeight="1" outlineLevel="2" x14ac:dyDescent="0.25">
      <c r="A187" s="115"/>
      <c r="B187" s="200"/>
      <c r="C187" s="330"/>
      <c r="D187" s="343"/>
      <c r="E187" s="328"/>
      <c r="F187" s="328"/>
      <c r="G187" s="328"/>
      <c r="H187" s="199" t="s">
        <v>493</v>
      </c>
      <c r="I187" s="130"/>
      <c r="J187" s="126"/>
      <c r="K187" s="126"/>
      <c r="L187" s="125" t="str">
        <f>IF(I187&lt;&gt;0,((VLOOKUP(I187,'1. Standard_Cost'!$B$4:$D$11,2)+VLOOKUP(I187,'1. Standard_Cost'!$B$4:$D$11,3))*J187*K187),"0")</f>
        <v>0</v>
      </c>
      <c r="M187" s="125">
        <f>L187*'1. Standard_Cost'!$F$4</f>
        <v>0</v>
      </c>
      <c r="N187" s="126"/>
      <c r="O187" s="126"/>
      <c r="P187" s="126"/>
      <c r="Q187" s="126"/>
      <c r="R187" s="127">
        <f>'1. Standard_Cost'!$B$15*N187*P187</f>
        <v>0</v>
      </c>
      <c r="S187" s="127">
        <f>N187*O187*P187*'1. Standard_Cost'!$C$15</f>
        <v>0</v>
      </c>
      <c r="T187" s="127">
        <f>N187*P187*Q187*'1. Standard_Cost'!$D$15</f>
        <v>0</v>
      </c>
      <c r="U187" s="127">
        <f>N187*O187*'1. Standard_Cost'!$E$15</f>
        <v>0</v>
      </c>
      <c r="V187" s="126"/>
      <c r="W187" s="126"/>
      <c r="X187" s="126"/>
      <c r="Y187" s="127">
        <f>+V187*((X187*'1. Standard_Cost'!$B$19)+(W187*X187*'1. Standard_Cost'!$C$19))</f>
        <v>0</v>
      </c>
      <c r="Z187" s="126"/>
      <c r="AA187" s="126"/>
      <c r="AB187" s="127">
        <f>+Z187*'1. Standard_Cost'!$B$23+AA187*'1. Standard_Cost'!$C$23</f>
        <v>0</v>
      </c>
      <c r="AC187" s="128"/>
      <c r="AD187" s="129"/>
      <c r="AE187" s="127">
        <f>SUM(AD187,AC187,AB187,Y187,U187,T187,S187,R187)*'1. Standard_Cost'!$B$31</f>
        <v>0</v>
      </c>
      <c r="AF187" s="127">
        <f t="shared" si="121"/>
        <v>0</v>
      </c>
      <c r="AG187" s="126"/>
      <c r="AH187" s="126"/>
      <c r="AI187" s="126"/>
      <c r="AJ187" s="130"/>
      <c r="AK187" s="130"/>
      <c r="AL187" s="130"/>
      <c r="AM187" s="127">
        <f>AG187*'1. Standard_Cost'!$B$27+'Incremental_Cost Year 8'!AH187*'1. Standard_Cost'!$C$27+'Incremental_Cost Year 8'!AI187*'1. Standard_Cost'!$D$27+'Incremental_Cost Year 8'!AJ187+'Incremental_Cost Year 8'!AL187+AK187</f>
        <v>0</v>
      </c>
      <c r="AN187" s="127">
        <f>AM187*'1. Standard_Cost'!$C$31</f>
        <v>0</v>
      </c>
      <c r="AO187" s="130"/>
      <c r="AP187" s="256"/>
      <c r="AQ187" s="171">
        <f t="shared" si="122"/>
        <v>0</v>
      </c>
      <c r="AR187" s="171">
        <f t="shared" si="123"/>
        <v>0</v>
      </c>
      <c r="AS187" s="171">
        <f t="shared" si="124"/>
        <v>0</v>
      </c>
      <c r="AT187" s="171">
        <f t="shared" si="125"/>
        <v>0</v>
      </c>
      <c r="AU187" s="250"/>
      <c r="AV187" s="250"/>
      <c r="AW187" s="250"/>
      <c r="AX187" s="250"/>
      <c r="AY187" s="250"/>
      <c r="AZ187" s="250"/>
      <c r="BA187" s="250"/>
      <c r="BB187" s="251">
        <f t="shared" si="126"/>
        <v>0</v>
      </c>
      <c r="BC187" s="169"/>
      <c r="BD187" s="169"/>
      <c r="BE187" s="169"/>
      <c r="BF187" s="169"/>
    </row>
    <row r="188" spans="1:58" ht="61.9" customHeight="1" outlineLevel="2" x14ac:dyDescent="0.25">
      <c r="A188" s="115"/>
      <c r="B188" s="200"/>
      <c r="C188" s="330"/>
      <c r="D188" s="343"/>
      <c r="E188" s="328"/>
      <c r="F188" s="328"/>
      <c r="G188" s="328"/>
      <c r="H188" s="199" t="s">
        <v>494</v>
      </c>
      <c r="I188" s="130"/>
      <c r="J188" s="126"/>
      <c r="K188" s="126"/>
      <c r="L188" s="125" t="str">
        <f>IF(I188&lt;&gt;0,((VLOOKUP(I188,'1. Standard_Cost'!$B$4:$D$11,2)+VLOOKUP(I188,'1. Standard_Cost'!$B$4:$D$11,3))*J188*K188),"0")</f>
        <v>0</v>
      </c>
      <c r="M188" s="125">
        <f>L188*'1. Standard_Cost'!$F$4</f>
        <v>0</v>
      </c>
      <c r="N188" s="126"/>
      <c r="O188" s="126"/>
      <c r="P188" s="126"/>
      <c r="Q188" s="126"/>
      <c r="R188" s="127">
        <f>'1. Standard_Cost'!$B$15*N188*P188</f>
        <v>0</v>
      </c>
      <c r="S188" s="127">
        <f>N188*O188*P188*'1. Standard_Cost'!$C$15</f>
        <v>0</v>
      </c>
      <c r="T188" s="127">
        <f>N188*P188*Q188*'1. Standard_Cost'!$D$15</f>
        <v>0</v>
      </c>
      <c r="U188" s="127">
        <f>N188*O188*'1. Standard_Cost'!$E$15</f>
        <v>0</v>
      </c>
      <c r="V188" s="126"/>
      <c r="W188" s="126"/>
      <c r="X188" s="126"/>
      <c r="Y188" s="127">
        <f>+V188*((X188*'1. Standard_Cost'!$B$19)+(W188*X188*'1. Standard_Cost'!$C$19))</f>
        <v>0</v>
      </c>
      <c r="Z188" s="126"/>
      <c r="AA188" s="126"/>
      <c r="AB188" s="127">
        <f>+Z188*'1. Standard_Cost'!$B$23+AA188*'1. Standard_Cost'!$C$23</f>
        <v>0</v>
      </c>
      <c r="AC188" s="128"/>
      <c r="AD188" s="129"/>
      <c r="AE188" s="127">
        <f>SUM(AD188,AC188,AB188,Y188,U188,T188,S188,R188)*'1. Standard_Cost'!$B$31</f>
        <v>0</v>
      </c>
      <c r="AF188" s="127">
        <f t="shared" si="121"/>
        <v>0</v>
      </c>
      <c r="AG188" s="126"/>
      <c r="AH188" s="126"/>
      <c r="AI188" s="126"/>
      <c r="AJ188" s="130"/>
      <c r="AK188" s="130"/>
      <c r="AL188" s="130"/>
      <c r="AM188" s="127">
        <f>AG188*'1. Standard_Cost'!$B$27+'Incremental_Cost Year 8'!AH188*'1. Standard_Cost'!$C$27+'Incremental_Cost Year 8'!AI188*'1. Standard_Cost'!$D$27+'Incremental_Cost Year 8'!AJ188+'Incremental_Cost Year 8'!AL188+AK188</f>
        <v>0</v>
      </c>
      <c r="AN188" s="127">
        <f>AM188*'1. Standard_Cost'!$C$31</f>
        <v>0</v>
      </c>
      <c r="AO188" s="130"/>
      <c r="AP188" s="256"/>
      <c r="AQ188" s="171">
        <f t="shared" si="122"/>
        <v>0</v>
      </c>
      <c r="AR188" s="171">
        <f t="shared" si="123"/>
        <v>0</v>
      </c>
      <c r="AS188" s="171">
        <f t="shared" si="124"/>
        <v>0</v>
      </c>
      <c r="AT188" s="171">
        <f t="shared" si="125"/>
        <v>0</v>
      </c>
      <c r="AU188" s="250"/>
      <c r="AV188" s="250"/>
      <c r="AW188" s="250"/>
      <c r="AX188" s="250"/>
      <c r="AY188" s="250"/>
      <c r="AZ188" s="250"/>
      <c r="BA188" s="250"/>
      <c r="BB188" s="251">
        <f t="shared" si="126"/>
        <v>0</v>
      </c>
      <c r="BC188" s="169"/>
      <c r="BD188" s="169"/>
      <c r="BE188" s="169"/>
      <c r="BF188" s="169"/>
    </row>
    <row r="189" spans="1:58" ht="61.9" customHeight="1" outlineLevel="2" x14ac:dyDescent="0.25">
      <c r="A189" s="115"/>
      <c r="B189" s="200"/>
      <c r="C189" s="330"/>
      <c r="D189" s="343"/>
      <c r="E189" s="328"/>
      <c r="F189" s="328"/>
      <c r="G189" s="328"/>
      <c r="H189" s="199" t="s">
        <v>495</v>
      </c>
      <c r="I189" s="130"/>
      <c r="J189" s="126"/>
      <c r="K189" s="126"/>
      <c r="L189" s="125" t="str">
        <f>IF(I189&lt;&gt;0,((VLOOKUP(I189,'1. Standard_Cost'!$B$4:$D$11,2)+VLOOKUP(I189,'1. Standard_Cost'!$B$4:$D$11,3))*J189*K189),"0")</f>
        <v>0</v>
      </c>
      <c r="M189" s="125">
        <f>L189*'1. Standard_Cost'!$F$4</f>
        <v>0</v>
      </c>
      <c r="N189" s="126"/>
      <c r="O189" s="126"/>
      <c r="P189" s="126"/>
      <c r="Q189" s="126"/>
      <c r="R189" s="127">
        <f>'1. Standard_Cost'!$B$15*N189*P189</f>
        <v>0</v>
      </c>
      <c r="S189" s="127">
        <f>N189*O189*P189*'1. Standard_Cost'!$C$15</f>
        <v>0</v>
      </c>
      <c r="T189" s="127">
        <f>N189*P189*Q189*'1. Standard_Cost'!$D$15</f>
        <v>0</v>
      </c>
      <c r="U189" s="127">
        <f>N189*O189*'1. Standard_Cost'!$E$15</f>
        <v>0</v>
      </c>
      <c r="V189" s="126"/>
      <c r="W189" s="126"/>
      <c r="X189" s="126"/>
      <c r="Y189" s="127">
        <f>+V189*((X189*'1. Standard_Cost'!$B$19)+(W189*X189*'1. Standard_Cost'!$C$19))</f>
        <v>0</v>
      </c>
      <c r="Z189" s="126"/>
      <c r="AA189" s="126"/>
      <c r="AB189" s="127">
        <f>+Z189*'1. Standard_Cost'!$B$23+AA189*'1. Standard_Cost'!$C$23</f>
        <v>0</v>
      </c>
      <c r="AC189" s="128"/>
      <c r="AD189" s="129"/>
      <c r="AE189" s="127">
        <f>SUM(AD189,AC189,AB189,Y189,U189,T189,S189,R189)*'1. Standard_Cost'!$B$31</f>
        <v>0</v>
      </c>
      <c r="AF189" s="127">
        <f t="shared" si="121"/>
        <v>0</v>
      </c>
      <c r="AG189" s="126"/>
      <c r="AH189" s="126"/>
      <c r="AI189" s="126"/>
      <c r="AJ189" s="130"/>
      <c r="AK189" s="130"/>
      <c r="AL189" s="130"/>
      <c r="AM189" s="127">
        <f>AG189*'1. Standard_Cost'!$B$27+'Incremental_Cost Year 8'!AH189*'1. Standard_Cost'!$C$27+'Incremental_Cost Year 8'!AI189*'1. Standard_Cost'!$D$27+'Incremental_Cost Year 8'!AJ189+'Incremental_Cost Year 8'!AL189+AK189</f>
        <v>0</v>
      </c>
      <c r="AN189" s="127">
        <f>AM189*'1. Standard_Cost'!$C$31</f>
        <v>0</v>
      </c>
      <c r="AO189" s="130"/>
      <c r="AP189" s="256"/>
      <c r="AQ189" s="171">
        <f t="shared" si="122"/>
        <v>0</v>
      </c>
      <c r="AR189" s="171">
        <f t="shared" si="123"/>
        <v>0</v>
      </c>
      <c r="AS189" s="171">
        <f t="shared" si="124"/>
        <v>0</v>
      </c>
      <c r="AT189" s="171">
        <f t="shared" si="125"/>
        <v>0</v>
      </c>
      <c r="AU189" s="250"/>
      <c r="AV189" s="250"/>
      <c r="AW189" s="250"/>
      <c r="AX189" s="250"/>
      <c r="AY189" s="250"/>
      <c r="AZ189" s="250"/>
      <c r="BA189" s="250"/>
      <c r="BB189" s="251">
        <f t="shared" si="126"/>
        <v>0</v>
      </c>
      <c r="BC189" s="169"/>
      <c r="BD189" s="169"/>
      <c r="BE189" s="169"/>
      <c r="BF189" s="169"/>
    </row>
    <row r="190" spans="1:58" ht="61.9" customHeight="1" outlineLevel="2" x14ac:dyDescent="0.25">
      <c r="A190" s="115"/>
      <c r="B190" s="200"/>
      <c r="C190" s="330"/>
      <c r="D190" s="343"/>
      <c r="E190" s="328"/>
      <c r="F190" s="328"/>
      <c r="G190" s="328"/>
      <c r="H190" s="110" t="s">
        <v>183</v>
      </c>
      <c r="I190" s="252"/>
      <c r="J190" s="252"/>
      <c r="K190" s="252"/>
      <c r="L190" s="127">
        <f>SUM(L183:L189)</f>
        <v>10544658000</v>
      </c>
      <c r="M190" s="127">
        <f>SUM(M183:M189)</f>
        <v>1760957886</v>
      </c>
      <c r="N190" s="252"/>
      <c r="O190" s="252"/>
      <c r="P190" s="252"/>
      <c r="Q190" s="252"/>
      <c r="R190" s="127">
        <f>SUM(R183:R189)</f>
        <v>0</v>
      </c>
      <c r="S190" s="127">
        <f>SUM(S183:S189)</f>
        <v>0</v>
      </c>
      <c r="T190" s="127">
        <f>SUM(T183:T189)</f>
        <v>0</v>
      </c>
      <c r="U190" s="127">
        <f>SUM(U183:U189)</f>
        <v>0</v>
      </c>
      <c r="V190" s="252"/>
      <c r="W190" s="252"/>
      <c r="X190" s="252"/>
      <c r="Y190" s="127">
        <f>SUM(Y183:Y189)</f>
        <v>0</v>
      </c>
      <c r="Z190" s="127"/>
      <c r="AA190" s="252"/>
      <c r="AB190" s="127">
        <f>SUM(AB183:AB189)</f>
        <v>0</v>
      </c>
      <c r="AC190" s="127">
        <f>SUM(AC183:AC188)</f>
        <v>9800000000</v>
      </c>
      <c r="AD190" s="127">
        <f>SUM(AD183:AD188)</f>
        <v>0</v>
      </c>
      <c r="AE190" s="127">
        <f>SUM(AE183:AE189)</f>
        <v>1960000000</v>
      </c>
      <c r="AF190" s="127">
        <f>SUM(AF183:AF189)</f>
        <v>11760000000</v>
      </c>
      <c r="AG190" s="252"/>
      <c r="AH190" s="252"/>
      <c r="AI190" s="252"/>
      <c r="AJ190" s="127">
        <f>SUM(AJ183:AJ188)</f>
        <v>0</v>
      </c>
      <c r="AK190" s="127">
        <f>SUM(AK183:AK188)</f>
        <v>0</v>
      </c>
      <c r="AL190" s="127">
        <f>SUM(AL183:AL188)</f>
        <v>0</v>
      </c>
      <c r="AM190" s="127">
        <f>SUM(AM183:AM189)</f>
        <v>0</v>
      </c>
      <c r="AN190" s="127">
        <f>SUM(AN183:AN189)</f>
        <v>0</v>
      </c>
      <c r="AO190" s="253"/>
      <c r="AP190" s="254"/>
      <c r="AQ190" s="175">
        <f>SUM(AQ183:AQ189)</f>
        <v>12305615886</v>
      </c>
      <c r="AR190" s="175">
        <f>SUM(AR183:AR189)</f>
        <v>11760000000</v>
      </c>
      <c r="AS190" s="175">
        <f>SUM(AS183:AS189)</f>
        <v>0</v>
      </c>
      <c r="AT190" s="175">
        <f>SUM(AT183:AT189)</f>
        <v>24065615886</v>
      </c>
      <c r="AU190" s="175">
        <f t="shared" ref="AU190:BA190" si="127">SUM(AU183:AU188)</f>
        <v>22265615886</v>
      </c>
      <c r="AV190" s="175">
        <f t="shared" si="127"/>
        <v>0</v>
      </c>
      <c r="AW190" s="175">
        <f t="shared" si="127"/>
        <v>0</v>
      </c>
      <c r="AX190" s="175">
        <f t="shared" si="127"/>
        <v>0</v>
      </c>
      <c r="AY190" s="175">
        <f t="shared" si="127"/>
        <v>0</v>
      </c>
      <c r="AZ190" s="175">
        <f t="shared" si="127"/>
        <v>0</v>
      </c>
      <c r="BA190" s="175">
        <f t="shared" si="127"/>
        <v>0</v>
      </c>
      <c r="BB190" s="175">
        <f>SUM(BB183:BB189)</f>
        <v>-1800000000</v>
      </c>
      <c r="BC190" s="169"/>
      <c r="BD190" s="169"/>
      <c r="BE190" s="169"/>
      <c r="BF190" s="169"/>
    </row>
    <row r="191" spans="1:58" ht="61.9" customHeight="1" outlineLevel="2" x14ac:dyDescent="0.25">
      <c r="A191" s="115"/>
      <c r="B191" s="200"/>
      <c r="C191" s="330"/>
      <c r="D191" s="343"/>
      <c r="E191" s="328"/>
      <c r="F191" s="328"/>
      <c r="G191" s="328"/>
      <c r="H191" s="213" t="s">
        <v>496</v>
      </c>
      <c r="I191" s="130" t="s">
        <v>314</v>
      </c>
      <c r="J191" s="126">
        <v>12</v>
      </c>
      <c r="K191" s="126">
        <v>20</v>
      </c>
      <c r="L191" s="125">
        <f>IF(I191&lt;&gt;0,((VLOOKUP(I191,'1. Standard_Cost'!$B$4:$D$11,2)+VLOOKUP(I191,'1. Standard_Cost'!$B$4:$D$11,3))*J191*K191),"0")</f>
        <v>16968000</v>
      </c>
      <c r="M191" s="125">
        <f>L191*'1. Standard_Cost'!$F$4</f>
        <v>2833656</v>
      </c>
      <c r="N191" s="126"/>
      <c r="O191" s="126"/>
      <c r="P191" s="126"/>
      <c r="Q191" s="126"/>
      <c r="R191" s="127">
        <f>'1. Standard_Cost'!$B$15*N191*P191</f>
        <v>0</v>
      </c>
      <c r="S191" s="127">
        <f>N191*O191*P191*'1. Standard_Cost'!$C$15</f>
        <v>0</v>
      </c>
      <c r="T191" s="127">
        <f>N191*P191*Q191*'1. Standard_Cost'!$D$15</f>
        <v>0</v>
      </c>
      <c r="U191" s="127">
        <f>N191*O191*'1. Standard_Cost'!$E$15</f>
        <v>0</v>
      </c>
      <c r="V191" s="126"/>
      <c r="W191" s="126"/>
      <c r="X191" s="126"/>
      <c r="Y191" s="127">
        <f>+V191*((X191*'1. Standard_Cost'!$B$19)+(W191*X191*'1. Standard_Cost'!$C$19))</f>
        <v>0</v>
      </c>
      <c r="Z191" s="126"/>
      <c r="AA191" s="126"/>
      <c r="AB191" s="127">
        <f>+Z191*'1. Standard_Cost'!$B$23+AA191*'1. Standard_Cost'!$C$23</f>
        <v>0</v>
      </c>
      <c r="AC191" s="128">
        <v>8041000</v>
      </c>
      <c r="AD191" s="129"/>
      <c r="AE191" s="127">
        <f>0</f>
        <v>0</v>
      </c>
      <c r="AF191" s="127">
        <f>SUM(AE191,AD191,AC191,AB191,Y191,U191,T191,S191,R191)</f>
        <v>8041000</v>
      </c>
      <c r="AG191" s="126"/>
      <c r="AH191" s="126"/>
      <c r="AI191" s="126"/>
      <c r="AJ191" s="130"/>
      <c r="AK191" s="130"/>
      <c r="AL191" s="130"/>
      <c r="AM191" s="127">
        <f>AG191*'1. Standard_Cost'!$B$27+'Incremental_Cost Year 8'!AH191*'1. Standard_Cost'!$C$27+'Incremental_Cost Year 8'!AI191*'1. Standard_Cost'!$D$27+'Incremental_Cost Year 8'!AJ191+'Incremental_Cost Year 8'!AL191+AK191</f>
        <v>0</v>
      </c>
      <c r="AN191" s="127">
        <f>AM191*'1. Standard_Cost'!$C$31</f>
        <v>0</v>
      </c>
      <c r="AO191" s="130"/>
      <c r="AP191" s="256"/>
      <c r="AQ191" s="171">
        <f>L191+M191</f>
        <v>19801656</v>
      </c>
      <c r="AR191" s="171">
        <f>AF191</f>
        <v>8041000</v>
      </c>
      <c r="AS191" s="171">
        <f>AM191+AN191</f>
        <v>0</v>
      </c>
      <c r="AT191" s="171">
        <f>SUM(AQ191,AR191,AS191)</f>
        <v>27842656</v>
      </c>
      <c r="AU191" s="250">
        <v>27842656</v>
      </c>
      <c r="AV191" s="250"/>
      <c r="AW191" s="250"/>
      <c r="AX191" s="250"/>
      <c r="AY191" s="250"/>
      <c r="AZ191" s="250"/>
      <c r="BA191" s="250"/>
      <c r="BB191" s="251">
        <f t="shared" ref="BB191:BB192" si="128">SUM(AU191:BA191)-AT191</f>
        <v>0</v>
      </c>
      <c r="BC191" s="169"/>
      <c r="BD191" s="169"/>
      <c r="BE191" s="169"/>
      <c r="BF191" s="169"/>
    </row>
    <row r="192" spans="1:58" ht="61.9" customHeight="1" outlineLevel="2" x14ac:dyDescent="0.25">
      <c r="A192" s="115"/>
      <c r="B192" s="200"/>
      <c r="C192" s="330"/>
      <c r="D192" s="343"/>
      <c r="E192" s="328"/>
      <c r="F192" s="328"/>
      <c r="G192" s="328"/>
      <c r="H192" s="199" t="s">
        <v>238</v>
      </c>
      <c r="I192" s="130" t="s">
        <v>172</v>
      </c>
      <c r="J192" s="126">
        <v>12</v>
      </c>
      <c r="K192" s="126">
        <v>2</v>
      </c>
      <c r="L192" s="125">
        <f>IF(I192&lt;&gt;0,((VLOOKUP(I192,'1. Standard_Cost'!$B$4:$D$11,2)+VLOOKUP(I192,'1. Standard_Cost'!$B$4:$D$11,3))*J192*K192),"0")</f>
        <v>1212000</v>
      </c>
      <c r="M192" s="125">
        <f>L192*'1. Standard_Cost'!$F$4</f>
        <v>202404</v>
      </c>
      <c r="N192" s="126"/>
      <c r="O192" s="126"/>
      <c r="P192" s="126"/>
      <c r="Q192" s="126"/>
      <c r="R192" s="127">
        <f>'1. Standard_Cost'!$B$15*N192*P192</f>
        <v>0</v>
      </c>
      <c r="S192" s="127">
        <f>N192*O192*P192*'1. Standard_Cost'!$C$15</f>
        <v>0</v>
      </c>
      <c r="T192" s="127">
        <f>N192*P192*Q192*'1. Standard_Cost'!$D$15</f>
        <v>0</v>
      </c>
      <c r="U192" s="127">
        <f>N192*O192*'1. Standard_Cost'!$E$15</f>
        <v>0</v>
      </c>
      <c r="V192" s="126"/>
      <c r="W192" s="126"/>
      <c r="X192" s="126"/>
      <c r="Y192" s="127">
        <f>+V192*((X192*'1. Standard_Cost'!$B$19)+(W192*X192*'1. Standard_Cost'!$C$19))</f>
        <v>0</v>
      </c>
      <c r="Z192" s="126"/>
      <c r="AA192" s="126"/>
      <c r="AB192" s="127">
        <f>+Z192*'1. Standard_Cost'!$B$23+AA192*'1. Standard_Cost'!$C$23</f>
        <v>0</v>
      </c>
      <c r="AC192" s="128">
        <v>50000</v>
      </c>
      <c r="AD192" s="129"/>
      <c r="AE192" s="127">
        <f>SUM(AD192,AC192,AB192,Y192,U192,T192,S192,R192)*'1. Standard_Cost'!$B$31</f>
        <v>10000</v>
      </c>
      <c r="AF192" s="127">
        <f>SUM(AE192,AD192,AC192,AB192,Y192,U192,T192,S192,R192)</f>
        <v>60000</v>
      </c>
      <c r="AG192" s="126"/>
      <c r="AH192" s="126"/>
      <c r="AI192" s="126"/>
      <c r="AJ192" s="130"/>
      <c r="AK192" s="130"/>
      <c r="AL192" s="130"/>
      <c r="AM192" s="127">
        <f>AG192*'1. Standard_Cost'!$B$27+'Incremental_Cost Year 8'!AH192*'1. Standard_Cost'!$C$27+'Incremental_Cost Year 8'!AI192*'1. Standard_Cost'!$D$27+'Incremental_Cost Year 8'!AJ192+'Incremental_Cost Year 8'!AL192+AK192</f>
        <v>0</v>
      </c>
      <c r="AN192" s="127">
        <f>AM192*'1. Standard_Cost'!$C$31</f>
        <v>0</v>
      </c>
      <c r="AO192" s="130"/>
      <c r="AP192" s="256"/>
      <c r="AQ192" s="171">
        <f>L192+M192</f>
        <v>1414404</v>
      </c>
      <c r="AR192" s="171">
        <f>AF192</f>
        <v>60000</v>
      </c>
      <c r="AS192" s="171">
        <f>AM192+AN192</f>
        <v>0</v>
      </c>
      <c r="AT192" s="171">
        <f>SUM(AQ192,AR192,AS192)</f>
        <v>1474404</v>
      </c>
      <c r="AU192" s="250">
        <f>AT192</f>
        <v>1474404</v>
      </c>
      <c r="AV192" s="250"/>
      <c r="AW192" s="250"/>
      <c r="AX192" s="250"/>
      <c r="AY192" s="250"/>
      <c r="AZ192" s="250"/>
      <c r="BA192" s="250"/>
      <c r="BB192" s="251">
        <f t="shared" si="128"/>
        <v>0</v>
      </c>
      <c r="BC192" s="169"/>
      <c r="BD192" s="169"/>
      <c r="BE192" s="169"/>
      <c r="BF192" s="169"/>
    </row>
    <row r="193" spans="1:58" ht="61.9" customHeight="1" outlineLevel="1" x14ac:dyDescent="0.25">
      <c r="A193" s="115"/>
      <c r="B193" s="200"/>
      <c r="C193" s="330"/>
      <c r="D193" s="343"/>
      <c r="E193" s="328"/>
      <c r="F193" s="328"/>
      <c r="G193" s="328"/>
      <c r="H193" s="150" t="s">
        <v>239</v>
      </c>
      <c r="I193" s="252"/>
      <c r="J193" s="252"/>
      <c r="K193" s="252"/>
      <c r="L193" s="127">
        <f>SUM(L191:L192)</f>
        <v>18180000</v>
      </c>
      <c r="M193" s="127">
        <f>SUM(M191:M192)</f>
        <v>3036060</v>
      </c>
      <c r="N193" s="252"/>
      <c r="O193" s="252"/>
      <c r="P193" s="252"/>
      <c r="Q193" s="252"/>
      <c r="R193" s="127">
        <f>SUM(R191:R192)</f>
        <v>0</v>
      </c>
      <c r="S193" s="127">
        <f>SUM(S191:S192)</f>
        <v>0</v>
      </c>
      <c r="T193" s="127">
        <f>SUM(T191:T192)</f>
        <v>0</v>
      </c>
      <c r="U193" s="127">
        <f>SUM(U191:U192)</f>
        <v>0</v>
      </c>
      <c r="V193" s="252"/>
      <c r="W193" s="252"/>
      <c r="X193" s="252"/>
      <c r="Y193" s="127">
        <f>SUM(Y191:Y192)</f>
        <v>0</v>
      </c>
      <c r="Z193" s="127"/>
      <c r="AA193" s="252"/>
      <c r="AB193" s="127">
        <f>SUM(AB191:AB192)</f>
        <v>0</v>
      </c>
      <c r="AC193" s="127">
        <f>SUM(AC191:AC192)</f>
        <v>8091000</v>
      </c>
      <c r="AD193" s="127">
        <f>SUM(AD191:AD192)</f>
        <v>0</v>
      </c>
      <c r="AE193" s="127">
        <f>SUM(AE191:AE192)</f>
        <v>10000</v>
      </c>
      <c r="AF193" s="127">
        <f>SUM(AF191:AF192)</f>
        <v>8101000</v>
      </c>
      <c r="AG193" s="252"/>
      <c r="AH193" s="252"/>
      <c r="AI193" s="252"/>
      <c r="AJ193" s="127">
        <f>SUM(AJ191:AJ192)</f>
        <v>0</v>
      </c>
      <c r="AK193" s="127">
        <f>SUM(AK191:AK192)</f>
        <v>0</v>
      </c>
      <c r="AL193" s="127">
        <f>SUM(AL191:AL192)</f>
        <v>0</v>
      </c>
      <c r="AM193" s="127">
        <f>SUM(AM191:AM192)</f>
        <v>0</v>
      </c>
      <c r="AN193" s="127">
        <f>SUM(AN191:AN192)</f>
        <v>0</v>
      </c>
      <c r="AO193" s="253"/>
      <c r="AP193" s="254"/>
      <c r="AQ193" s="175">
        <f>SUM(AQ191:AQ192)</f>
        <v>21216060</v>
      </c>
      <c r="AR193" s="175">
        <f>SUM(AR191:AR192)</f>
        <v>8101000</v>
      </c>
      <c r="AS193" s="175">
        <f>SUM(AS191:AS192)</f>
        <v>0</v>
      </c>
      <c r="AT193" s="175">
        <f>SUM(AT191:AT192)</f>
        <v>29317060</v>
      </c>
      <c r="AU193" s="175">
        <f t="shared" ref="AU193:BA193" si="129">SUM(AU191:AU192)</f>
        <v>29317060</v>
      </c>
      <c r="AV193" s="175">
        <f t="shared" si="129"/>
        <v>0</v>
      </c>
      <c r="AW193" s="175">
        <f t="shared" si="129"/>
        <v>0</v>
      </c>
      <c r="AX193" s="175">
        <f t="shared" si="129"/>
        <v>0</v>
      </c>
      <c r="AY193" s="175">
        <f t="shared" si="129"/>
        <v>0</v>
      </c>
      <c r="AZ193" s="175">
        <f t="shared" si="129"/>
        <v>0</v>
      </c>
      <c r="BA193" s="175">
        <f t="shared" si="129"/>
        <v>0</v>
      </c>
      <c r="BB193" s="175">
        <f>SUM(BB191:BB192)</f>
        <v>0</v>
      </c>
      <c r="BC193" s="169"/>
      <c r="BD193" s="169"/>
      <c r="BE193" s="169"/>
      <c r="BF193" s="169"/>
    </row>
    <row r="194" spans="1:58" ht="61.9" customHeight="1" outlineLevel="2" x14ac:dyDescent="0.25">
      <c r="A194" s="115"/>
      <c r="B194" s="200"/>
      <c r="C194" s="330"/>
      <c r="D194" s="343"/>
      <c r="E194" s="328"/>
      <c r="F194" s="328"/>
      <c r="G194" s="328"/>
      <c r="H194" s="199" t="s">
        <v>497</v>
      </c>
      <c r="I194" s="130" t="s">
        <v>5</v>
      </c>
      <c r="J194" s="126">
        <v>3</v>
      </c>
      <c r="K194" s="126">
        <v>3</v>
      </c>
      <c r="L194" s="125">
        <f>IF(I194&lt;&gt;0,((VLOOKUP(I194,'1. Standard_Cost'!$B$4:$D$11,2)+VLOOKUP(I194,'1. Standard_Cost'!$B$4:$D$11,3))*J194*K194),"0")</f>
        <v>636300</v>
      </c>
      <c r="M194" s="125">
        <f>L194*'1. Standard_Cost'!$F$4</f>
        <v>106262.1</v>
      </c>
      <c r="N194" s="126"/>
      <c r="O194" s="126"/>
      <c r="P194" s="126"/>
      <c r="Q194" s="126"/>
      <c r="R194" s="127">
        <f>'1. Standard_Cost'!$B$15*N194*P194</f>
        <v>0</v>
      </c>
      <c r="S194" s="127">
        <f>N194*O194*P194*'1. Standard_Cost'!$C$15</f>
        <v>0</v>
      </c>
      <c r="T194" s="127">
        <f>N194*P194*Q194*'1. Standard_Cost'!$D$15</f>
        <v>0</v>
      </c>
      <c r="U194" s="127">
        <f>N194*O194*'1. Standard_Cost'!$E$15</f>
        <v>0</v>
      </c>
      <c r="V194" s="126"/>
      <c r="W194" s="126"/>
      <c r="X194" s="126"/>
      <c r="Y194" s="127">
        <f>+V194*((X194*'1. Standard_Cost'!$B$19)+(W194*X194*'1. Standard_Cost'!$C$19))</f>
        <v>0</v>
      </c>
      <c r="Z194" s="126"/>
      <c r="AA194" s="126"/>
      <c r="AB194" s="127">
        <f>+Z194*'1. Standard_Cost'!$B$23+AA194*'1. Standard_Cost'!$C$23</f>
        <v>0</v>
      </c>
      <c r="AC194" s="128">
        <v>75000</v>
      </c>
      <c r="AD194" s="129"/>
      <c r="AE194" s="127">
        <f>SUM(AD194,AC194,AB194,Y194,U194,T194,S194,R194)*'1. Standard_Cost'!$B$31</f>
        <v>15000</v>
      </c>
      <c r="AF194" s="127">
        <f>SUM(AE194,AD194,AC194,AB194,Y194,U194,T194,S194,R194)</f>
        <v>90000</v>
      </c>
      <c r="AG194" s="126"/>
      <c r="AH194" s="126"/>
      <c r="AI194" s="126"/>
      <c r="AJ194" s="130"/>
      <c r="AK194" s="130"/>
      <c r="AL194" s="130"/>
      <c r="AM194" s="127">
        <f>AG194*'1. Standard_Cost'!$B$27+'Incremental_Cost Year 8'!AH194*'1. Standard_Cost'!$C$27+'Incremental_Cost Year 8'!AI194*'1. Standard_Cost'!$D$27+'Incremental_Cost Year 8'!AJ194+'Incremental_Cost Year 8'!AL194+AK194</f>
        <v>0</v>
      </c>
      <c r="AN194" s="127">
        <f>AM194*'1. Standard_Cost'!$C$31</f>
        <v>0</v>
      </c>
      <c r="AO194" s="130"/>
      <c r="AP194" s="256"/>
      <c r="AQ194" s="171">
        <f>L194+M194</f>
        <v>742562.1</v>
      </c>
      <c r="AR194" s="171">
        <f>AF194</f>
        <v>90000</v>
      </c>
      <c r="AS194" s="171">
        <f>AM194+AN194</f>
        <v>0</v>
      </c>
      <c r="AT194" s="171">
        <f>SUM(AQ194,AR194,AS194)</f>
        <v>832562.1</v>
      </c>
      <c r="AU194" s="250">
        <v>832562</v>
      </c>
      <c r="AV194" s="250"/>
      <c r="AW194" s="250"/>
      <c r="AX194" s="250"/>
      <c r="AY194" s="250"/>
      <c r="AZ194" s="250"/>
      <c r="BA194" s="250"/>
      <c r="BB194" s="251">
        <f t="shared" ref="BB194:BB195" si="130">SUM(AU194:BA194)-AT194</f>
        <v>-9.9999999976716936E-2</v>
      </c>
      <c r="BC194" s="169"/>
      <c r="BD194" s="169"/>
      <c r="BE194" s="169"/>
      <c r="BF194" s="169"/>
    </row>
    <row r="195" spans="1:58" ht="61.9" customHeight="1" outlineLevel="2" x14ac:dyDescent="0.25">
      <c r="A195" s="115"/>
      <c r="B195" s="147"/>
      <c r="C195" s="341"/>
      <c r="D195" s="344"/>
      <c r="E195" s="328"/>
      <c r="F195" s="328"/>
      <c r="G195" s="328"/>
      <c r="H195" s="199" t="s">
        <v>498</v>
      </c>
      <c r="I195" s="130"/>
      <c r="J195" s="126"/>
      <c r="K195" s="126"/>
      <c r="L195" s="125" t="str">
        <f>IF(I195&lt;&gt;0,((VLOOKUP(I195,'1. Standard_Cost'!$B$4:$D$11,2)+VLOOKUP(I195,'1. Standard_Cost'!$B$4:$D$11,3))*J195*K195),"0")</f>
        <v>0</v>
      </c>
      <c r="M195" s="125">
        <f>L195*'1. Standard_Cost'!$F$4</f>
        <v>0</v>
      </c>
      <c r="N195" s="126"/>
      <c r="O195" s="126"/>
      <c r="P195" s="126"/>
      <c r="Q195" s="126"/>
      <c r="R195" s="127">
        <f>'1. Standard_Cost'!$B$15*N195*P195</f>
        <v>0</v>
      </c>
      <c r="S195" s="127">
        <f>N195*O195*P195*'1. Standard_Cost'!$C$15</f>
        <v>0</v>
      </c>
      <c r="T195" s="127">
        <f>N195*P195*Q195*'1. Standard_Cost'!$D$15</f>
        <v>0</v>
      </c>
      <c r="U195" s="127">
        <f>N195*O195*'1. Standard_Cost'!$E$15</f>
        <v>0</v>
      </c>
      <c r="V195" s="126"/>
      <c r="W195" s="126"/>
      <c r="X195" s="126"/>
      <c r="Y195" s="127">
        <f>+V195*((X195*'1. Standard_Cost'!$B$19)+(W195*X195*'1. Standard_Cost'!$C$19))</f>
        <v>0</v>
      </c>
      <c r="Z195" s="126"/>
      <c r="AA195" s="126"/>
      <c r="AB195" s="127">
        <f>+Z195*'1. Standard_Cost'!$B$23+AA195*'1. Standard_Cost'!$C$23</f>
        <v>0</v>
      </c>
      <c r="AC195" s="128"/>
      <c r="AD195" s="129"/>
      <c r="AE195" s="127">
        <f>SUM(AD195,AC195,AB195,Y195,U195,T195,S195,R195)*'1. Standard_Cost'!$B$31</f>
        <v>0</v>
      </c>
      <c r="AF195" s="127">
        <f>SUM(AE195,AD195,AC195,AB195,Y195,U195,T195,S195,R195)</f>
        <v>0</v>
      </c>
      <c r="AG195" s="126"/>
      <c r="AH195" s="126"/>
      <c r="AI195" s="126"/>
      <c r="AJ195" s="130"/>
      <c r="AK195" s="130"/>
      <c r="AL195" s="130"/>
      <c r="AM195" s="127">
        <f>AG195*'1. Standard_Cost'!$B$27+'Incremental_Cost Year 8'!AH195*'1. Standard_Cost'!$C$27+'Incremental_Cost Year 8'!AI195*'1. Standard_Cost'!$D$27+'Incremental_Cost Year 8'!AJ195+'Incremental_Cost Year 8'!AL195+AK195</f>
        <v>0</v>
      </c>
      <c r="AN195" s="127">
        <f>AM195*'1. Standard_Cost'!$C$31</f>
        <v>0</v>
      </c>
      <c r="AO195" s="130"/>
      <c r="AP195" s="256"/>
      <c r="AQ195" s="171">
        <f>L195+M195</f>
        <v>0</v>
      </c>
      <c r="AR195" s="171">
        <f>AF195</f>
        <v>0</v>
      </c>
      <c r="AS195" s="171">
        <f>AM195+AN195</f>
        <v>0</v>
      </c>
      <c r="AT195" s="171">
        <f>SUM(AQ195,AR195,AS195)</f>
        <v>0</v>
      </c>
      <c r="AU195" s="250"/>
      <c r="AV195" s="250"/>
      <c r="AW195" s="250"/>
      <c r="AX195" s="250"/>
      <c r="AY195" s="250"/>
      <c r="AZ195" s="250"/>
      <c r="BA195" s="250"/>
      <c r="BB195" s="251">
        <f t="shared" si="130"/>
        <v>0</v>
      </c>
      <c r="BC195" s="169"/>
      <c r="BD195" s="169"/>
      <c r="BE195" s="169"/>
      <c r="BF195" s="169"/>
    </row>
    <row r="196" spans="1:58" ht="61.9" customHeight="1" outlineLevel="1" x14ac:dyDescent="0.25">
      <c r="A196" s="115"/>
      <c r="B196" s="200"/>
      <c r="C196" s="201"/>
      <c r="D196" s="107" t="s">
        <v>240</v>
      </c>
      <c r="E196" s="212" t="s">
        <v>499</v>
      </c>
      <c r="F196" s="104">
        <v>2021</v>
      </c>
      <c r="G196" s="104">
        <v>2030</v>
      </c>
      <c r="H196" s="150" t="s">
        <v>241</v>
      </c>
      <c r="I196" s="252"/>
      <c r="J196" s="252"/>
      <c r="K196" s="252"/>
      <c r="L196" s="127">
        <f>SUM(L194:L195)</f>
        <v>636300</v>
      </c>
      <c r="M196" s="127">
        <f>SUM(M194:M195)</f>
        <v>106262.1</v>
      </c>
      <c r="N196" s="252"/>
      <c r="O196" s="252"/>
      <c r="P196" s="252"/>
      <c r="Q196" s="252"/>
      <c r="R196" s="127">
        <f>SUM(R194:R195)</f>
        <v>0</v>
      </c>
      <c r="S196" s="127">
        <f>SUM(S194:S195)</f>
        <v>0</v>
      </c>
      <c r="T196" s="127">
        <f>SUM(T194:T195)</f>
        <v>0</v>
      </c>
      <c r="U196" s="127">
        <f>SUM(U194:U195)</f>
        <v>0</v>
      </c>
      <c r="V196" s="252"/>
      <c r="W196" s="252"/>
      <c r="X196" s="252"/>
      <c r="Y196" s="127">
        <f>SUM(Y194:Y195)</f>
        <v>0</v>
      </c>
      <c r="Z196" s="127"/>
      <c r="AA196" s="252"/>
      <c r="AB196" s="127">
        <f>SUM(AB194:AB195)</f>
        <v>0</v>
      </c>
      <c r="AC196" s="127">
        <f>SUM(AC194:AC195)</f>
        <v>75000</v>
      </c>
      <c r="AD196" s="127">
        <f>SUM(AD194:AD195)</f>
        <v>0</v>
      </c>
      <c r="AE196" s="127">
        <f>SUM(AE194:AE195)</f>
        <v>15000</v>
      </c>
      <c r="AF196" s="127">
        <f>SUM(AF194:AF195)</f>
        <v>90000</v>
      </c>
      <c r="AG196" s="252"/>
      <c r="AH196" s="252"/>
      <c r="AI196" s="252"/>
      <c r="AJ196" s="127">
        <f>SUM(AJ194:AJ195)</f>
        <v>0</v>
      </c>
      <c r="AK196" s="127">
        <f>SUM(AK194:AK195)</f>
        <v>0</v>
      </c>
      <c r="AL196" s="127">
        <f>SUM(AL194:AL195)</f>
        <v>0</v>
      </c>
      <c r="AM196" s="127">
        <f>SUM(AM194:AM195)</f>
        <v>0</v>
      </c>
      <c r="AN196" s="127">
        <f>SUM(AN194:AN195)</f>
        <v>0</v>
      </c>
      <c r="AO196" s="253"/>
      <c r="AP196" s="254"/>
      <c r="AQ196" s="175">
        <f>SUM(AQ194:AQ195)</f>
        <v>742562.1</v>
      </c>
      <c r="AR196" s="175">
        <f>SUM(AR194:AR195)</f>
        <v>90000</v>
      </c>
      <c r="AS196" s="175">
        <f>SUM(AS194:AS195)</f>
        <v>0</v>
      </c>
      <c r="AT196" s="175">
        <f>SUM(AT194:AT195)</f>
        <v>832562.1</v>
      </c>
      <c r="AU196" s="175">
        <f t="shared" ref="AU196:BA196" si="131">SUM(AU194:AU195)</f>
        <v>832562</v>
      </c>
      <c r="AV196" s="175">
        <f t="shared" si="131"/>
        <v>0</v>
      </c>
      <c r="AW196" s="175">
        <f t="shared" si="131"/>
        <v>0</v>
      </c>
      <c r="AX196" s="175">
        <f t="shared" si="131"/>
        <v>0</v>
      </c>
      <c r="AY196" s="175">
        <f t="shared" si="131"/>
        <v>0</v>
      </c>
      <c r="AZ196" s="175">
        <f t="shared" si="131"/>
        <v>0</v>
      </c>
      <c r="BA196" s="175">
        <f t="shared" si="131"/>
        <v>0</v>
      </c>
      <c r="BB196" s="175">
        <f>SUM(BB194:BB195)</f>
        <v>-9.9999999976716936E-2</v>
      </c>
      <c r="BC196" s="169"/>
      <c r="BD196" s="169"/>
      <c r="BE196" s="169"/>
      <c r="BF196" s="169"/>
    </row>
    <row r="197" spans="1:58" s="170" customFormat="1" ht="61.9" customHeight="1" x14ac:dyDescent="0.25">
      <c r="A197" s="120"/>
      <c r="B197" s="396" t="s">
        <v>243</v>
      </c>
      <c r="C197" s="389"/>
      <c r="D197" s="389"/>
      <c r="E197" s="390"/>
      <c r="F197" s="286"/>
      <c r="G197" s="286"/>
      <c r="H197" s="148" t="s">
        <v>184</v>
      </c>
      <c r="I197" s="243"/>
      <c r="J197" s="243"/>
      <c r="K197" s="243"/>
      <c r="L197" s="243">
        <f>SUM(L198,L213,L221,L226,L232,L238)</f>
        <v>913109400</v>
      </c>
      <c r="M197" s="243">
        <f>SUM(M198,M213,M221,M226,M232,M238)</f>
        <v>152489269.79999998</v>
      </c>
      <c r="N197" s="243"/>
      <c r="O197" s="243"/>
      <c r="P197" s="243"/>
      <c r="Q197" s="243"/>
      <c r="R197" s="243">
        <f>SUM(R198,R213,R221,R226,R232,R238)</f>
        <v>0</v>
      </c>
      <c r="S197" s="243">
        <f>SUM(S198,S213,S221,S226,S232,S238)</f>
        <v>0</v>
      </c>
      <c r="T197" s="243">
        <f>SUM(T198,T213,T221,T226,T232,T238)</f>
        <v>0</v>
      </c>
      <c r="U197" s="243">
        <f>SUM(U198,U213,U221,U226,U232,U238)</f>
        <v>0</v>
      </c>
      <c r="V197" s="243"/>
      <c r="W197" s="243"/>
      <c r="X197" s="243"/>
      <c r="Y197" s="243">
        <f>SUM(Y198,Y213,Y221,Y226,Y232,Y238)</f>
        <v>0</v>
      </c>
      <c r="Z197" s="243">
        <f>SUM(Z198,Z213,Z221,Z226,Z232,Z238)</f>
        <v>0</v>
      </c>
      <c r="AA197" s="243"/>
      <c r="AB197" s="243">
        <f>SUM(AB198,AB213,AB221,AB226,AB232,AB238)</f>
        <v>1710000</v>
      </c>
      <c r="AC197" s="243">
        <f>SUM(AC198,AC213,AC221,AC226,AC232,AC238)</f>
        <v>1442487000</v>
      </c>
      <c r="AD197" s="243">
        <f>SUM(AD198,AD213,AD221,AD226,AD232,AD238)</f>
        <v>0</v>
      </c>
      <c r="AE197" s="243">
        <f>SUM(AE198,AE213,AE221,AE226,AE232,AE238)</f>
        <v>406800</v>
      </c>
      <c r="AF197" s="243">
        <f>SUM(AF198,AF213,AF221,AF226,AF232,AF238)</f>
        <v>1444603800</v>
      </c>
      <c r="AG197" s="243"/>
      <c r="AH197" s="243"/>
      <c r="AI197" s="243"/>
      <c r="AJ197" s="243">
        <f>SUM(AJ198,AJ213,AJ221,AJ226,AJ232,AJ238)</f>
        <v>0</v>
      </c>
      <c r="AK197" s="243">
        <f>SUM(AK198,AK213,AK221,AK226,AK232,AK238)</f>
        <v>0</v>
      </c>
      <c r="AL197" s="243">
        <f>SUM(AL198,AL213,AL221,AL226,AL232,AL238)</f>
        <v>0</v>
      </c>
      <c r="AM197" s="243">
        <f>SUM(AM198,AM213,AM221,AM226,AM232,AM238)</f>
        <v>0</v>
      </c>
      <c r="AN197" s="243">
        <f>SUM(AN198,AN213,AN221,AN226,AN232,AN238)</f>
        <v>0</v>
      </c>
      <c r="AO197" s="243"/>
      <c r="AP197" s="244"/>
      <c r="AQ197" s="245">
        <f>SUM(AQ198,AQ213,AQ221,AQ226,AQ232,AQ238)</f>
        <v>1065598669.8</v>
      </c>
      <c r="AR197" s="245">
        <f>SUM(AR198,AR213,AR221,AR226,AR232,AR238)</f>
        <v>1444603800</v>
      </c>
      <c r="AS197" s="245">
        <f>SUM(AS198,AS213,AS221,AS226,AS232,AS238)</f>
        <v>0</v>
      </c>
      <c r="AT197" s="245">
        <f>SUM(AT198,AT213,AT221,AT226,AT232,AT238)</f>
        <v>2510202469.8000002</v>
      </c>
      <c r="AU197" s="245">
        <f t="shared" ref="AU197:BB197" si="132">SUM(AU198,AU213,AU221,AU226,AU232,AU238)</f>
        <v>2508121669.8000002</v>
      </c>
      <c r="AV197" s="245">
        <f t="shared" si="132"/>
        <v>0</v>
      </c>
      <c r="AW197" s="245">
        <f t="shared" si="132"/>
        <v>0</v>
      </c>
      <c r="AX197" s="245">
        <f t="shared" si="132"/>
        <v>0</v>
      </c>
      <c r="AY197" s="245">
        <f t="shared" si="132"/>
        <v>0</v>
      </c>
      <c r="AZ197" s="245">
        <f t="shared" si="132"/>
        <v>0</v>
      </c>
      <c r="BA197" s="245">
        <f t="shared" si="132"/>
        <v>0</v>
      </c>
      <c r="BB197" s="245">
        <f t="shared" si="132"/>
        <v>-2080800</v>
      </c>
    </row>
    <row r="198" spans="1:58" s="184" customFormat="1" ht="61.9" customHeight="1" x14ac:dyDescent="0.25">
      <c r="A198" s="143"/>
      <c r="B198" s="332"/>
      <c r="C198" s="397" t="s">
        <v>244</v>
      </c>
      <c r="D198" s="397"/>
      <c r="E198" s="398"/>
      <c r="F198" s="291"/>
      <c r="G198" s="340"/>
      <c r="H198" s="149" t="s">
        <v>185</v>
      </c>
      <c r="I198" s="269"/>
      <c r="J198" s="257"/>
      <c r="K198" s="257"/>
      <c r="L198" s="258">
        <f>SUM(L203,L209,L212)</f>
        <v>0</v>
      </c>
      <c r="M198" s="258">
        <f>SUM(M203,M209,M212)</f>
        <v>0</v>
      </c>
      <c r="N198" s="257"/>
      <c r="O198" s="257"/>
      <c r="P198" s="257"/>
      <c r="Q198" s="257"/>
      <c r="R198" s="258">
        <f>SUM(R203,R209,R212)</f>
        <v>0</v>
      </c>
      <c r="S198" s="258">
        <f>SUM(S203,S209,S212)</f>
        <v>0</v>
      </c>
      <c r="T198" s="258">
        <f>SUM(T203,T209,T212)</f>
        <v>0</v>
      </c>
      <c r="U198" s="258">
        <f>SUM(U203,U209,U212)</f>
        <v>0</v>
      </c>
      <c r="V198" s="257"/>
      <c r="W198" s="257"/>
      <c r="X198" s="257"/>
      <c r="Y198" s="258">
        <f>SUM(Y203,Y209,Y212)</f>
        <v>0</v>
      </c>
      <c r="Z198" s="258">
        <f>SUM(Z203,Z209,Z212)</f>
        <v>0</v>
      </c>
      <c r="AA198" s="257"/>
      <c r="AB198" s="258">
        <f>SUM(AB203,AB209,AB212)</f>
        <v>1710000</v>
      </c>
      <c r="AC198" s="258">
        <f>SUM(AC203,AC209,AC212)</f>
        <v>24000</v>
      </c>
      <c r="AD198" s="258">
        <f>SUM(AD203,AD209,AD212)</f>
        <v>0</v>
      </c>
      <c r="AE198" s="258">
        <f>SUM(AE203,AE209,AE212)</f>
        <v>346800</v>
      </c>
      <c r="AF198" s="258">
        <f>SUM(AF203,AF209,AF212)</f>
        <v>2080800</v>
      </c>
      <c r="AG198" s="257"/>
      <c r="AH198" s="257"/>
      <c r="AI198" s="257"/>
      <c r="AJ198" s="258">
        <f>SUM(AJ203,AJ209,AJ212)</f>
        <v>0</v>
      </c>
      <c r="AK198" s="258">
        <f>SUM(AK203,AK209,AK212)</f>
        <v>0</v>
      </c>
      <c r="AL198" s="258">
        <f>SUM(AL203,AL209,AL212)</f>
        <v>0</v>
      </c>
      <c r="AM198" s="258">
        <f>SUM(AM203,AM209,AM212)</f>
        <v>0</v>
      </c>
      <c r="AN198" s="258">
        <f>SUM(AN203,AN209,AN212)</f>
        <v>0</v>
      </c>
      <c r="AO198" s="259"/>
      <c r="AP198" s="260"/>
      <c r="AQ198" s="261">
        <f>SUM(AQ203,AQ209,AQ212)</f>
        <v>0</v>
      </c>
      <c r="AR198" s="261">
        <f>SUM(AR203,AR209,AR212)</f>
        <v>2080800</v>
      </c>
      <c r="AS198" s="261">
        <f>SUM(AS203,AS209,AS212)</f>
        <v>0</v>
      </c>
      <c r="AT198" s="261">
        <f>SUM(AT203,AT209,AT212)</f>
        <v>2080800</v>
      </c>
      <c r="AU198" s="261">
        <f t="shared" ref="AU198:BB198" si="133">SUM(AU203,AU209,AU212)</f>
        <v>0</v>
      </c>
      <c r="AV198" s="261">
        <f t="shared" si="133"/>
        <v>0</v>
      </c>
      <c r="AW198" s="261">
        <f t="shared" si="133"/>
        <v>0</v>
      </c>
      <c r="AX198" s="261">
        <f t="shared" si="133"/>
        <v>0</v>
      </c>
      <c r="AY198" s="261">
        <f t="shared" si="133"/>
        <v>0</v>
      </c>
      <c r="AZ198" s="261">
        <f t="shared" si="133"/>
        <v>0</v>
      </c>
      <c r="BA198" s="261">
        <f t="shared" si="133"/>
        <v>0</v>
      </c>
      <c r="BB198" s="261">
        <f t="shared" si="133"/>
        <v>-2080800</v>
      </c>
    </row>
    <row r="199" spans="1:58" ht="61.9" customHeight="1" outlineLevel="2" x14ac:dyDescent="0.25">
      <c r="A199" s="115"/>
      <c r="B199" s="200"/>
      <c r="C199" s="201"/>
      <c r="D199" s="202"/>
      <c r="E199" s="226"/>
      <c r="F199" s="295"/>
      <c r="G199" s="296"/>
      <c r="H199" s="199" t="s">
        <v>500</v>
      </c>
      <c r="I199" s="130"/>
      <c r="J199" s="126"/>
      <c r="K199" s="126"/>
      <c r="L199" s="125" t="str">
        <f>IF(I199&lt;&gt;0,((VLOOKUP(I199,'1. Standard_Cost'!$B$4:$D$11,2)+VLOOKUP(I199,'1. Standard_Cost'!$B$4:$D$11,3))*J199*K199),"0")</f>
        <v>0</v>
      </c>
      <c r="M199" s="125">
        <f>L199*'1. Standard_Cost'!$F$4</f>
        <v>0</v>
      </c>
      <c r="N199" s="126"/>
      <c r="O199" s="126"/>
      <c r="P199" s="126"/>
      <c r="Q199" s="126"/>
      <c r="R199" s="127">
        <f>'1. Standard_Cost'!$B$15*N199*P199</f>
        <v>0</v>
      </c>
      <c r="S199" s="127">
        <f>N199*O199*P199*'1. Standard_Cost'!$C$15</f>
        <v>0</v>
      </c>
      <c r="T199" s="127">
        <f>N199*P199*Q199*'1. Standard_Cost'!$D$15</f>
        <v>0</v>
      </c>
      <c r="U199" s="127">
        <f>N199*O199*'1. Standard_Cost'!$E$15</f>
        <v>0</v>
      </c>
      <c r="V199" s="126"/>
      <c r="W199" s="126"/>
      <c r="X199" s="126"/>
      <c r="Y199" s="127">
        <f>+V199*((X199*'1. Standard_Cost'!$B$19)+(W199*X199*'1. Standard_Cost'!$C$19))</f>
        <v>0</v>
      </c>
      <c r="Z199" s="126"/>
      <c r="AA199" s="126"/>
      <c r="AB199" s="127">
        <f>+Z199*'1. Standard_Cost'!$B$23+AA199*'1. Standard_Cost'!$C$23</f>
        <v>0</v>
      </c>
      <c r="AC199" s="128"/>
      <c r="AD199" s="129"/>
      <c r="AE199" s="127">
        <f>SUM(AD199,AC199,AB199,Y199,U199,T199,S199,R199)*'1. Standard_Cost'!$B$31</f>
        <v>0</v>
      </c>
      <c r="AF199" s="127">
        <f>SUM(AE199,AD199,AC199,AB199,Y199,U199,T199,S199,R199)</f>
        <v>0</v>
      </c>
      <c r="AG199" s="126"/>
      <c r="AH199" s="126"/>
      <c r="AI199" s="126"/>
      <c r="AJ199" s="130"/>
      <c r="AK199" s="130"/>
      <c r="AL199" s="130"/>
      <c r="AM199" s="127">
        <f>AG199*'1. Standard_Cost'!$B$27+'Incremental_Cost Year 8'!AH199*'1. Standard_Cost'!$C$27+'Incremental_Cost Year 8'!AI199*'1. Standard_Cost'!$D$27+'Incremental_Cost Year 8'!AJ199+'Incremental_Cost Year 8'!AL199+AK199</f>
        <v>0</v>
      </c>
      <c r="AN199" s="127">
        <f>AM199*'1. Standard_Cost'!$C$31</f>
        <v>0</v>
      </c>
      <c r="AO199" s="130"/>
      <c r="AQ199" s="171">
        <f>L199+M199</f>
        <v>0</v>
      </c>
      <c r="AR199" s="171">
        <f>AF199</f>
        <v>0</v>
      </c>
      <c r="AS199" s="171">
        <f>AM199+AN199</f>
        <v>0</v>
      </c>
      <c r="AT199" s="171">
        <f>SUM(AQ199,AR199,AS199)</f>
        <v>0</v>
      </c>
      <c r="AU199" s="250">
        <f>AT199</f>
        <v>0</v>
      </c>
      <c r="AV199" s="250"/>
      <c r="AW199" s="250"/>
      <c r="AX199" s="250"/>
      <c r="AY199" s="250"/>
      <c r="AZ199" s="250"/>
      <c r="BA199" s="250"/>
      <c r="BB199" s="251">
        <f t="shared" ref="BB199:BB202" si="134">SUM(AU199:BA199)-AT199</f>
        <v>0</v>
      </c>
      <c r="BC199" s="169"/>
      <c r="BD199" s="169"/>
      <c r="BE199" s="169"/>
      <c r="BF199" s="169"/>
    </row>
    <row r="200" spans="1:58" ht="61.9" customHeight="1" outlineLevel="2" x14ac:dyDescent="0.25">
      <c r="A200" s="115"/>
      <c r="B200" s="200"/>
      <c r="C200" s="201"/>
      <c r="D200" s="202"/>
      <c r="E200" s="202"/>
      <c r="F200" s="219"/>
      <c r="G200" s="313"/>
      <c r="H200" s="199" t="s">
        <v>501</v>
      </c>
      <c r="I200" s="130"/>
      <c r="J200" s="126"/>
      <c r="K200" s="126"/>
      <c r="L200" s="125" t="str">
        <f>IF(I200&lt;&gt;0,((VLOOKUP(I200,'1. Standard_Cost'!$B$4:$D$11,2)+VLOOKUP(I200,'1. Standard_Cost'!$B$4:$D$11,3))*J200*K200),"0")</f>
        <v>0</v>
      </c>
      <c r="M200" s="125">
        <f>L200*'1. Standard_Cost'!$F$4</f>
        <v>0</v>
      </c>
      <c r="N200" s="126"/>
      <c r="O200" s="126"/>
      <c r="P200" s="126"/>
      <c r="Q200" s="126"/>
      <c r="R200" s="127">
        <f>'1. Standard_Cost'!$B$15*N200*P200</f>
        <v>0</v>
      </c>
      <c r="S200" s="127">
        <f>N200*O200*P200*'1. Standard_Cost'!$C$15</f>
        <v>0</v>
      </c>
      <c r="T200" s="127">
        <f>N200*P200*Q200*'1. Standard_Cost'!$D$15</f>
        <v>0</v>
      </c>
      <c r="U200" s="127">
        <f>N200*O200*'1. Standard_Cost'!$E$15</f>
        <v>0</v>
      </c>
      <c r="V200" s="126"/>
      <c r="W200" s="126"/>
      <c r="X200" s="126"/>
      <c r="Y200" s="127">
        <f>+V200*((X200*'1. Standard_Cost'!$B$19)+(W200*X200*'1. Standard_Cost'!$C$19))</f>
        <v>0</v>
      </c>
      <c r="Z200" s="126"/>
      <c r="AA200" s="126">
        <v>90</v>
      </c>
      <c r="AB200" s="127">
        <f>+Z200*'1. Standard_Cost'!$B$23+AA200*'1. Standard_Cost'!$C$23</f>
        <v>1710000</v>
      </c>
      <c r="AC200" s="128">
        <f>4*20*300</f>
        <v>24000</v>
      </c>
      <c r="AD200" s="129"/>
      <c r="AE200" s="127">
        <f>SUM(AD200,AC200,AB200,Y200,U200,T200,S200,R200)*'1. Standard_Cost'!$B$31</f>
        <v>346800</v>
      </c>
      <c r="AF200" s="127">
        <f>SUM(AE200,AD200,AC200,AB200,Y200,U200,T200,S200,R200)</f>
        <v>2080800</v>
      </c>
      <c r="AG200" s="126"/>
      <c r="AH200" s="126"/>
      <c r="AI200" s="126"/>
      <c r="AJ200" s="130"/>
      <c r="AK200" s="130"/>
      <c r="AL200" s="130"/>
      <c r="AM200" s="127">
        <f>AG200*'1. Standard_Cost'!$B$27+'Incremental_Cost Year 8'!AH200*'1. Standard_Cost'!$C$27+'Incremental_Cost Year 8'!AI200*'1. Standard_Cost'!$D$27+'Incremental_Cost Year 8'!AJ200+'Incremental_Cost Year 8'!AL200+AK200</f>
        <v>0</v>
      </c>
      <c r="AN200" s="127">
        <f>AM200*'1. Standard_Cost'!$C$31</f>
        <v>0</v>
      </c>
      <c r="AO200" s="130"/>
      <c r="AQ200" s="171">
        <f>L200+M200</f>
        <v>0</v>
      </c>
      <c r="AR200" s="171">
        <f>AF200</f>
        <v>2080800</v>
      </c>
      <c r="AS200" s="171">
        <f>AM200+AN200</f>
        <v>0</v>
      </c>
      <c r="AT200" s="171">
        <f>SUM(AQ200,AR200,AS200)</f>
        <v>2080800</v>
      </c>
      <c r="AU200" s="250">
        <f>AQ200</f>
        <v>0</v>
      </c>
      <c r="AV200" s="250"/>
      <c r="AW200" s="250"/>
      <c r="AX200" s="250"/>
      <c r="AY200" s="250"/>
      <c r="AZ200" s="250"/>
      <c r="BA200" s="250"/>
      <c r="BB200" s="251">
        <f t="shared" si="134"/>
        <v>-2080800</v>
      </c>
      <c r="BC200" s="169"/>
      <c r="BD200" s="169"/>
      <c r="BE200" s="169"/>
      <c r="BF200" s="169"/>
    </row>
    <row r="201" spans="1:58" ht="61.9" customHeight="1" outlineLevel="2" x14ac:dyDescent="0.25">
      <c r="A201" s="115"/>
      <c r="B201" s="200"/>
      <c r="C201" s="201"/>
      <c r="D201" s="202"/>
      <c r="E201" s="202"/>
      <c r="F201" s="219"/>
      <c r="G201" s="313"/>
      <c r="H201" s="213" t="s">
        <v>502</v>
      </c>
      <c r="I201" s="130"/>
      <c r="J201" s="126"/>
      <c r="K201" s="126"/>
      <c r="L201" s="125" t="str">
        <f>IF(I201&lt;&gt;0,((VLOOKUP(I201,'1. Standard_Cost'!$B$4:$D$11,2)+VLOOKUP(I201,'1. Standard_Cost'!$B$4:$D$11,3))*J201*K201),"0")</f>
        <v>0</v>
      </c>
      <c r="M201" s="125">
        <f>L201*'1. Standard_Cost'!$F$4</f>
        <v>0</v>
      </c>
      <c r="N201" s="126"/>
      <c r="O201" s="126"/>
      <c r="P201" s="126"/>
      <c r="Q201" s="126"/>
      <c r="R201" s="127">
        <f>'1. Standard_Cost'!$B$15*N201*P201</f>
        <v>0</v>
      </c>
      <c r="S201" s="127">
        <f>N201*O201*P201*'1. Standard_Cost'!$C$15</f>
        <v>0</v>
      </c>
      <c r="T201" s="127">
        <f>N201*P201*Q201*'1. Standard_Cost'!$D$15</f>
        <v>0</v>
      </c>
      <c r="U201" s="127">
        <f>N201*O201*'1. Standard_Cost'!$E$15</f>
        <v>0</v>
      </c>
      <c r="V201" s="126"/>
      <c r="W201" s="126"/>
      <c r="X201" s="126"/>
      <c r="Y201" s="127">
        <f>+V201*((X201*'1. Standard_Cost'!$B$19)+(W201*X201*'1. Standard_Cost'!$C$19))</f>
        <v>0</v>
      </c>
      <c r="Z201" s="126"/>
      <c r="AA201" s="126"/>
      <c r="AB201" s="127">
        <f>+Z201*'1. Standard_Cost'!$B$23+AA201*'1. Standard_Cost'!$C$23</f>
        <v>0</v>
      </c>
      <c r="AC201" s="128"/>
      <c r="AD201" s="129"/>
      <c r="AE201" s="127">
        <f>SUM(AD201,AC201,AB201,Y201,U201,T201,S201,R201)*'1. Standard_Cost'!$B$31</f>
        <v>0</v>
      </c>
      <c r="AF201" s="127">
        <f>SUM(AE201,AD201,AC201,AB201,Y201,U201,T201,S201,R201)</f>
        <v>0</v>
      </c>
      <c r="AG201" s="126"/>
      <c r="AH201" s="126"/>
      <c r="AI201" s="126"/>
      <c r="AJ201" s="130"/>
      <c r="AK201" s="130"/>
      <c r="AL201" s="130"/>
      <c r="AM201" s="127">
        <f>AG201*'1. Standard_Cost'!$B$27+'Incremental_Cost Year 8'!AH201*'1. Standard_Cost'!$C$27+'Incremental_Cost Year 8'!AI201*'1. Standard_Cost'!$D$27+'Incremental_Cost Year 8'!AJ201+'Incremental_Cost Year 8'!AL201+AK201</f>
        <v>0</v>
      </c>
      <c r="AN201" s="127">
        <f>AM201*'1. Standard_Cost'!$C$31</f>
        <v>0</v>
      </c>
      <c r="AO201" s="130"/>
      <c r="AQ201" s="171">
        <f>L201+M201</f>
        <v>0</v>
      </c>
      <c r="AR201" s="171">
        <f>AF201</f>
        <v>0</v>
      </c>
      <c r="AS201" s="171">
        <f>AM201+AN201</f>
        <v>0</v>
      </c>
      <c r="AT201" s="171">
        <f>SUM(AQ201,AR201,AS201)</f>
        <v>0</v>
      </c>
      <c r="AU201" s="250"/>
      <c r="AV201" s="250"/>
      <c r="AW201" s="250"/>
      <c r="AX201" s="250"/>
      <c r="AY201" s="250"/>
      <c r="AZ201" s="250"/>
      <c r="BA201" s="250"/>
      <c r="BB201" s="251">
        <f t="shared" si="134"/>
        <v>0</v>
      </c>
      <c r="BC201" s="169"/>
      <c r="BD201" s="169"/>
      <c r="BE201" s="169"/>
      <c r="BF201" s="169"/>
    </row>
    <row r="202" spans="1:58" ht="61.9" customHeight="1" outlineLevel="2" x14ac:dyDescent="0.25">
      <c r="A202" s="115"/>
      <c r="B202" s="200"/>
      <c r="C202" s="201"/>
      <c r="D202" s="202"/>
      <c r="E202" s="310"/>
      <c r="F202" s="122"/>
      <c r="G202" s="123"/>
      <c r="H202" s="213" t="s">
        <v>545</v>
      </c>
      <c r="I202" s="130"/>
      <c r="J202" s="126"/>
      <c r="K202" s="126"/>
      <c r="L202" s="125" t="str">
        <f>IF(I202&lt;&gt;0,((VLOOKUP(I202,'1. Standard_Cost'!$B$4:$D$11,2)+VLOOKUP(I202,'1. Standard_Cost'!$B$4:$D$11,3))*J202*K202),"0")</f>
        <v>0</v>
      </c>
      <c r="M202" s="125">
        <f>L202*'1. Standard_Cost'!$F$4</f>
        <v>0</v>
      </c>
      <c r="N202" s="126"/>
      <c r="O202" s="126"/>
      <c r="P202" s="126"/>
      <c r="Q202" s="126"/>
      <c r="R202" s="127">
        <f>'1. Standard_Cost'!$B$15*N202*P202</f>
        <v>0</v>
      </c>
      <c r="S202" s="127">
        <f>N202*O202*P202*'1. Standard_Cost'!$C$15</f>
        <v>0</v>
      </c>
      <c r="T202" s="127">
        <f>N202*P202*Q202*'1. Standard_Cost'!$D$15</f>
        <v>0</v>
      </c>
      <c r="U202" s="127">
        <f>N202*O202*'1. Standard_Cost'!$E$15</f>
        <v>0</v>
      </c>
      <c r="V202" s="126"/>
      <c r="W202" s="126"/>
      <c r="X202" s="126"/>
      <c r="Y202" s="127">
        <f>+V202*((X202*'1. Standard_Cost'!$B$19)+(W202*X202*'1. Standard_Cost'!$C$19))</f>
        <v>0</v>
      </c>
      <c r="Z202" s="126"/>
      <c r="AA202" s="126"/>
      <c r="AB202" s="127">
        <f>+Z202*'1. Standard_Cost'!$B$23+AA202*'1. Standard_Cost'!$C$23</f>
        <v>0</v>
      </c>
      <c r="AC202" s="128"/>
      <c r="AD202" s="129"/>
      <c r="AE202" s="127">
        <f>SUM(AD202,AC202,AB202,Y202,U202,T202,S202,R202)*'1. Standard_Cost'!$B$31</f>
        <v>0</v>
      </c>
      <c r="AF202" s="127">
        <f>SUM(AE202,AD202,AC202,AB202,Y202,U202,T202,S202,R202)</f>
        <v>0</v>
      </c>
      <c r="AG202" s="126"/>
      <c r="AH202" s="126"/>
      <c r="AI202" s="126"/>
      <c r="AJ202" s="130"/>
      <c r="AK202" s="130"/>
      <c r="AL202" s="130"/>
      <c r="AM202" s="127">
        <f>AG202*'1. Standard_Cost'!$B$27+'Incremental_Cost Year 8'!AH202*'1. Standard_Cost'!$C$27+'Incremental_Cost Year 8'!AI202*'1. Standard_Cost'!$D$27+'Incremental_Cost Year 8'!AJ202+'Incremental_Cost Year 8'!AL202+AK202</f>
        <v>0</v>
      </c>
      <c r="AN202" s="127">
        <f>AM202*'1. Standard_Cost'!$C$31</f>
        <v>0</v>
      </c>
      <c r="AO202" s="130"/>
      <c r="AQ202" s="171">
        <f>L202+M202</f>
        <v>0</v>
      </c>
      <c r="AR202" s="171">
        <f>AF202</f>
        <v>0</v>
      </c>
      <c r="AS202" s="171">
        <f>AM202+AN202</f>
        <v>0</v>
      </c>
      <c r="AT202" s="171">
        <f>SUM(AQ202,AR202,AS202)</f>
        <v>0</v>
      </c>
      <c r="AU202" s="250"/>
      <c r="AV202" s="250"/>
      <c r="AW202" s="250"/>
      <c r="AX202" s="250"/>
      <c r="AY202" s="250"/>
      <c r="AZ202" s="250"/>
      <c r="BA202" s="250"/>
      <c r="BB202" s="251">
        <f t="shared" si="134"/>
        <v>0</v>
      </c>
      <c r="BC202" s="169"/>
      <c r="BD202" s="169"/>
      <c r="BE202" s="169"/>
      <c r="BF202" s="169"/>
    </row>
    <row r="203" spans="1:58" ht="61.9" customHeight="1" outlineLevel="1" x14ac:dyDescent="0.25">
      <c r="A203" s="115"/>
      <c r="B203" s="165"/>
      <c r="C203" s="166"/>
      <c r="D203" s="212" t="s">
        <v>240</v>
      </c>
      <c r="E203" s="212" t="s">
        <v>245</v>
      </c>
      <c r="F203" s="117">
        <v>2021</v>
      </c>
      <c r="G203" s="117">
        <v>2025</v>
      </c>
      <c r="H203" s="110" t="s">
        <v>186</v>
      </c>
      <c r="I203" s="252"/>
      <c r="J203" s="252"/>
      <c r="K203" s="252"/>
      <c r="L203" s="127">
        <f>SUM(L199:L202)</f>
        <v>0</v>
      </c>
      <c r="M203" s="127">
        <f>SUM(M199:M202)</f>
        <v>0</v>
      </c>
      <c r="N203" s="252"/>
      <c r="O203" s="252"/>
      <c r="P203" s="252"/>
      <c r="Q203" s="252"/>
      <c r="R203" s="127">
        <f>SUM(R199:R202)</f>
        <v>0</v>
      </c>
      <c r="S203" s="127">
        <f>SUM(S199:S202)</f>
        <v>0</v>
      </c>
      <c r="T203" s="127">
        <f>SUM(T199:T202)</f>
        <v>0</v>
      </c>
      <c r="U203" s="127">
        <f>SUM(U199:U202)</f>
        <v>0</v>
      </c>
      <c r="V203" s="252"/>
      <c r="W203" s="252"/>
      <c r="X203" s="252"/>
      <c r="Y203" s="127">
        <f>SUM(Y199:Y202)</f>
        <v>0</v>
      </c>
      <c r="Z203" s="252"/>
      <c r="AA203" s="252"/>
      <c r="AB203" s="127">
        <f>SUM(AB199:AB202)</f>
        <v>1710000</v>
      </c>
      <c r="AC203" s="127">
        <f>SUM(AC199:AC202)</f>
        <v>24000</v>
      </c>
      <c r="AD203" s="127">
        <f>SUM(AD199:AD202)</f>
        <v>0</v>
      </c>
      <c r="AE203" s="127">
        <f>SUM(AE199:AE202)</f>
        <v>346800</v>
      </c>
      <c r="AF203" s="127">
        <f>SUM(AF199:AF202)</f>
        <v>2080800</v>
      </c>
      <c r="AG203" s="252"/>
      <c r="AH203" s="252"/>
      <c r="AI203" s="252"/>
      <c r="AJ203" s="127">
        <f>SUM(AJ199:AJ202)</f>
        <v>0</v>
      </c>
      <c r="AK203" s="127">
        <f>SUM(AK199:AK202)</f>
        <v>0</v>
      </c>
      <c r="AL203" s="127">
        <f>SUM(AL199:AL202)</f>
        <v>0</v>
      </c>
      <c r="AM203" s="127">
        <f>SUM(AM199:AM202)</f>
        <v>0</v>
      </c>
      <c r="AN203" s="127">
        <f>SUM(AN199:AN202)</f>
        <v>0</v>
      </c>
      <c r="AO203" s="253"/>
      <c r="AP203" s="254"/>
      <c r="AQ203" s="175">
        <f>SUM(AQ199:AQ202)</f>
        <v>0</v>
      </c>
      <c r="AR203" s="175">
        <f>SUM(AR199:AR202)</f>
        <v>2080800</v>
      </c>
      <c r="AS203" s="175">
        <f>SUM(AS199:AS202)</f>
        <v>0</v>
      </c>
      <c r="AT203" s="175">
        <f>SUM(AT199:AT202)</f>
        <v>2080800</v>
      </c>
      <c r="AU203" s="175">
        <f t="shared" ref="AU203:BB203" si="135">SUM(AU199:AU202)</f>
        <v>0</v>
      </c>
      <c r="AV203" s="175">
        <f t="shared" si="135"/>
        <v>0</v>
      </c>
      <c r="AW203" s="175">
        <f t="shared" si="135"/>
        <v>0</v>
      </c>
      <c r="AX203" s="175">
        <f t="shared" si="135"/>
        <v>0</v>
      </c>
      <c r="AY203" s="175">
        <f t="shared" si="135"/>
        <v>0</v>
      </c>
      <c r="AZ203" s="175">
        <f t="shared" si="135"/>
        <v>0</v>
      </c>
      <c r="BA203" s="175">
        <f t="shared" si="135"/>
        <v>0</v>
      </c>
      <c r="BB203" s="175">
        <f t="shared" si="135"/>
        <v>-2080800</v>
      </c>
      <c r="BC203" s="169"/>
      <c r="BD203" s="169"/>
      <c r="BE203" s="169"/>
      <c r="BF203" s="169"/>
    </row>
    <row r="204" spans="1:58" ht="61.9" customHeight="1" outlineLevel="2" x14ac:dyDescent="0.25">
      <c r="A204" s="115"/>
      <c r="B204" s="200"/>
      <c r="C204" s="201"/>
      <c r="D204" s="202"/>
      <c r="E204" s="226"/>
      <c r="F204" s="295"/>
      <c r="G204" s="296"/>
      <c r="H204" s="199" t="s">
        <v>503</v>
      </c>
      <c r="I204" s="130"/>
      <c r="J204" s="126"/>
      <c r="K204" s="126"/>
      <c r="L204" s="125" t="str">
        <f>IF(I204&lt;&gt;0,((VLOOKUP(I204,'1. Standard_Cost'!$B$4:$D$11,2)+VLOOKUP(I204,'1. Standard_Cost'!$B$4:$D$11,3))*J204*K204),"0")</f>
        <v>0</v>
      </c>
      <c r="M204" s="125">
        <f>L204*'1. Standard_Cost'!$F$4</f>
        <v>0</v>
      </c>
      <c r="N204" s="126"/>
      <c r="O204" s="126"/>
      <c r="P204" s="126"/>
      <c r="Q204" s="126"/>
      <c r="R204" s="127">
        <f>'1. Standard_Cost'!$B$15*N204*P204</f>
        <v>0</v>
      </c>
      <c r="S204" s="127">
        <f>N204*O204*P204*'1. Standard_Cost'!$C$15</f>
        <v>0</v>
      </c>
      <c r="T204" s="127">
        <f>N204*P204*Q204*'1. Standard_Cost'!$D$15</f>
        <v>0</v>
      </c>
      <c r="U204" s="127">
        <f>N204*O204*'1. Standard_Cost'!$E$15</f>
        <v>0</v>
      </c>
      <c r="V204" s="126"/>
      <c r="W204" s="126"/>
      <c r="X204" s="126"/>
      <c r="Y204" s="127">
        <f>+V204*((X204*'1. Standard_Cost'!$B$19)+(W204*X204*'1. Standard_Cost'!$C$19))</f>
        <v>0</v>
      </c>
      <c r="Z204" s="126"/>
      <c r="AA204" s="126"/>
      <c r="AB204" s="127">
        <f>+Z204*'1. Standard_Cost'!$B$23+AA204*'1. Standard_Cost'!$C$23</f>
        <v>0</v>
      </c>
      <c r="AC204" s="128"/>
      <c r="AD204" s="129"/>
      <c r="AE204" s="127">
        <f>SUM(AD204,AC204,AB204,Y204,U204,T204,S204,R204)*'1. Standard_Cost'!$B$31</f>
        <v>0</v>
      </c>
      <c r="AF204" s="127">
        <f>SUM(AE204,AD204,AC204,AB204,Y204,U204,T204,S204,R204)</f>
        <v>0</v>
      </c>
      <c r="AG204" s="126"/>
      <c r="AH204" s="126"/>
      <c r="AI204" s="126"/>
      <c r="AJ204" s="130"/>
      <c r="AK204" s="130"/>
      <c r="AL204" s="130"/>
      <c r="AM204" s="127">
        <f>AG204*'1. Standard_Cost'!$B$27+'Incremental_Cost Year 8'!AH204*'1. Standard_Cost'!$C$27+'Incremental_Cost Year 8'!AI204*'1. Standard_Cost'!$D$27+'Incremental_Cost Year 8'!AJ204+'Incremental_Cost Year 8'!AL204+AK204</f>
        <v>0</v>
      </c>
      <c r="AN204" s="127">
        <f>AM204*'1. Standard_Cost'!$C$31</f>
        <v>0</v>
      </c>
      <c r="AO204" s="130"/>
      <c r="AQ204" s="171">
        <f>L204+M204</f>
        <v>0</v>
      </c>
      <c r="AR204" s="171">
        <f>AF204</f>
        <v>0</v>
      </c>
      <c r="AS204" s="171">
        <f>AM204+AN204</f>
        <v>0</v>
      </c>
      <c r="AT204" s="171">
        <f>SUM(AQ204,AR204,AS204)</f>
        <v>0</v>
      </c>
      <c r="AU204" s="250">
        <f>AM204</f>
        <v>0</v>
      </c>
      <c r="AV204" s="250"/>
      <c r="AW204" s="250">
        <f>AT204</f>
        <v>0</v>
      </c>
      <c r="AX204" s="250"/>
      <c r="AY204" s="250"/>
      <c r="AZ204" s="250"/>
      <c r="BA204" s="250"/>
      <c r="BB204" s="251">
        <f t="shared" ref="BB204:BB208" si="136">SUM(AU204:BA204)-AT204</f>
        <v>0</v>
      </c>
      <c r="BC204" s="169"/>
      <c r="BD204" s="169"/>
      <c r="BE204" s="169"/>
      <c r="BF204" s="169"/>
    </row>
    <row r="205" spans="1:58" ht="61.9" customHeight="1" outlineLevel="2" x14ac:dyDescent="0.25">
      <c r="A205" s="115"/>
      <c r="B205" s="200"/>
      <c r="C205" s="201"/>
      <c r="D205" s="202"/>
      <c r="E205" s="202"/>
      <c r="F205" s="219"/>
      <c r="G205" s="313"/>
      <c r="H205" s="199" t="s">
        <v>504</v>
      </c>
      <c r="I205" s="130"/>
      <c r="J205" s="126"/>
      <c r="K205" s="126"/>
      <c r="L205" s="125" t="str">
        <f>IF(I205&lt;&gt;0,((VLOOKUP(I205,'1. Standard_Cost'!$B$4:$D$11,2)+VLOOKUP(I205,'1. Standard_Cost'!$B$4:$D$11,3))*J205*K205),"0")</f>
        <v>0</v>
      </c>
      <c r="M205" s="125">
        <f>L205*'1. Standard_Cost'!$F$4</f>
        <v>0</v>
      </c>
      <c r="N205" s="126"/>
      <c r="O205" s="126"/>
      <c r="P205" s="126"/>
      <c r="Q205" s="126"/>
      <c r="R205" s="127">
        <f>'1. Standard_Cost'!$B$15*N205*P205</f>
        <v>0</v>
      </c>
      <c r="S205" s="127">
        <f>N205*O205*P205*'1. Standard_Cost'!$C$15</f>
        <v>0</v>
      </c>
      <c r="T205" s="127">
        <f>N205*P205*Q205*'1. Standard_Cost'!$D$15</f>
        <v>0</v>
      </c>
      <c r="U205" s="127">
        <f>N205*O205*'1. Standard_Cost'!$E$15</f>
        <v>0</v>
      </c>
      <c r="V205" s="126"/>
      <c r="W205" s="126"/>
      <c r="X205" s="126"/>
      <c r="Y205" s="127">
        <f>+V205*((X205*'1. Standard_Cost'!$B$19)+(W205*X205*'1. Standard_Cost'!$C$19))</f>
        <v>0</v>
      </c>
      <c r="Z205" s="126"/>
      <c r="AA205" s="126"/>
      <c r="AB205" s="127">
        <f>+Z205*'1. Standard_Cost'!$B$23+AA205*'1. Standard_Cost'!$C$23</f>
        <v>0</v>
      </c>
      <c r="AC205" s="128"/>
      <c r="AD205" s="129"/>
      <c r="AE205" s="127">
        <f>SUM(AD205,AC205,AB205,Y205,U205,T205,S205,R205)*'1. Standard_Cost'!$B$31</f>
        <v>0</v>
      </c>
      <c r="AF205" s="127">
        <f>SUM(AE205,AD205,AC205,AB205,Y205,U205,T205,S205,R205)</f>
        <v>0</v>
      </c>
      <c r="AG205" s="126"/>
      <c r="AH205" s="126"/>
      <c r="AI205" s="126"/>
      <c r="AJ205" s="130"/>
      <c r="AK205" s="130"/>
      <c r="AL205" s="130"/>
      <c r="AM205" s="127">
        <f>AG205*'1. Standard_Cost'!$B$27+'Incremental_Cost Year 8'!AH205*'1. Standard_Cost'!$C$27+'Incremental_Cost Year 8'!AI205*'1. Standard_Cost'!$D$27+'Incremental_Cost Year 8'!AJ205+'Incremental_Cost Year 8'!AL205+AK205</f>
        <v>0</v>
      </c>
      <c r="AN205" s="127">
        <f>AM205*'1. Standard_Cost'!$C$31</f>
        <v>0</v>
      </c>
      <c r="AO205" s="130"/>
      <c r="AQ205" s="171">
        <f>L205+M205</f>
        <v>0</v>
      </c>
      <c r="AR205" s="171">
        <f>AF205</f>
        <v>0</v>
      </c>
      <c r="AS205" s="171">
        <f>AM205+AN205</f>
        <v>0</v>
      </c>
      <c r="AT205" s="171">
        <f>SUM(AQ205,AR205,AS205)</f>
        <v>0</v>
      </c>
      <c r="AU205" s="250">
        <f>AT205</f>
        <v>0</v>
      </c>
      <c r="AV205" s="250"/>
      <c r="AW205" s="250"/>
      <c r="AX205" s="250"/>
      <c r="AY205" s="250"/>
      <c r="AZ205" s="250"/>
      <c r="BA205" s="250"/>
      <c r="BB205" s="251">
        <f t="shared" si="136"/>
        <v>0</v>
      </c>
      <c r="BC205" s="169"/>
      <c r="BD205" s="169"/>
      <c r="BE205" s="169"/>
      <c r="BF205" s="169"/>
    </row>
    <row r="206" spans="1:58" ht="61.9" customHeight="1" outlineLevel="2" x14ac:dyDescent="0.25">
      <c r="A206" s="115"/>
      <c r="B206" s="200"/>
      <c r="C206" s="201"/>
      <c r="D206" s="202"/>
      <c r="E206" s="202"/>
      <c r="F206" s="308"/>
      <c r="G206" s="309"/>
      <c r="H206" s="199" t="s">
        <v>246</v>
      </c>
      <c r="I206" s="130"/>
      <c r="J206" s="126"/>
      <c r="K206" s="126"/>
      <c r="L206" s="125" t="str">
        <f>IF(I206&lt;&gt;0,((VLOOKUP(I206,'1. Standard_Cost'!$B$4:$D$11,2)+VLOOKUP(I206,'1. Standard_Cost'!$B$4:$D$11,3))*J206*K206),"0")</f>
        <v>0</v>
      </c>
      <c r="M206" s="125">
        <f>L206*'1. Standard_Cost'!$F$4</f>
        <v>0</v>
      </c>
      <c r="N206" s="126"/>
      <c r="O206" s="126"/>
      <c r="P206" s="126"/>
      <c r="Q206" s="126"/>
      <c r="R206" s="127">
        <f>'1. Standard_Cost'!$B$15*N206*P206</f>
        <v>0</v>
      </c>
      <c r="S206" s="127">
        <f>N206*O206*P206*'1. Standard_Cost'!$C$15</f>
        <v>0</v>
      </c>
      <c r="T206" s="127">
        <f>N206*P206*Q206*'1. Standard_Cost'!$D$15</f>
        <v>0</v>
      </c>
      <c r="U206" s="127">
        <f>N206*O206*'1. Standard_Cost'!$E$15</f>
        <v>0</v>
      </c>
      <c r="V206" s="126"/>
      <c r="W206" s="126"/>
      <c r="X206" s="126"/>
      <c r="Y206" s="127">
        <f>+V206*((X206*'1. Standard_Cost'!$B$19)+(W206*X206*'1. Standard_Cost'!$C$19))</f>
        <v>0</v>
      </c>
      <c r="Z206" s="126"/>
      <c r="AA206" s="126"/>
      <c r="AB206" s="127">
        <f>+Z206*'1. Standard_Cost'!$B$23+AA206*'1. Standard_Cost'!$C$23</f>
        <v>0</v>
      </c>
      <c r="AC206" s="128"/>
      <c r="AD206" s="129"/>
      <c r="AE206" s="127">
        <f>SUM(AD206,AC206,AB206,Y206,U206,T206,S206,R206)*'1. Standard_Cost'!$B$31</f>
        <v>0</v>
      </c>
      <c r="AF206" s="127">
        <f>SUM(AE206,AD206,AC206,AB206,Y206,U206,T206,S206,R206)</f>
        <v>0</v>
      </c>
      <c r="AG206" s="126"/>
      <c r="AH206" s="126"/>
      <c r="AI206" s="126"/>
      <c r="AJ206" s="130"/>
      <c r="AK206" s="130"/>
      <c r="AL206" s="130"/>
      <c r="AM206" s="127">
        <f>AG206*'1. Standard_Cost'!$B$27+'Incremental_Cost Year 8'!AH206*'1. Standard_Cost'!$C$27+'Incremental_Cost Year 8'!AI206*'1. Standard_Cost'!$D$27+'Incremental_Cost Year 8'!AJ206+'Incremental_Cost Year 8'!AL206+AK206</f>
        <v>0</v>
      </c>
      <c r="AN206" s="127">
        <f>AM206*'1. Standard_Cost'!$C$31</f>
        <v>0</v>
      </c>
      <c r="AO206" s="130"/>
      <c r="AQ206" s="171">
        <f>L206+M206</f>
        <v>0</v>
      </c>
      <c r="AR206" s="171">
        <f>AF206</f>
        <v>0</v>
      </c>
      <c r="AS206" s="171">
        <f>AM206+AN206</f>
        <v>0</v>
      </c>
      <c r="AT206" s="171">
        <f>SUM(AQ206,AR206,AS206)</f>
        <v>0</v>
      </c>
      <c r="AU206" s="250">
        <f>AT206</f>
        <v>0</v>
      </c>
      <c r="AV206" s="250"/>
      <c r="AW206" s="250"/>
      <c r="AX206" s="250"/>
      <c r="AY206" s="250"/>
      <c r="AZ206" s="250"/>
      <c r="BA206" s="250"/>
      <c r="BB206" s="251">
        <f t="shared" si="136"/>
        <v>0</v>
      </c>
      <c r="BC206" s="169"/>
      <c r="BD206" s="169"/>
      <c r="BE206" s="169"/>
      <c r="BF206" s="169"/>
    </row>
    <row r="207" spans="1:58" ht="61.9" customHeight="1" outlineLevel="2" x14ac:dyDescent="0.25">
      <c r="A207" s="115"/>
      <c r="B207" s="200"/>
      <c r="C207" s="201"/>
      <c r="D207" s="202"/>
      <c r="E207" s="202"/>
      <c r="F207" s="308"/>
      <c r="G207" s="309"/>
      <c r="H207" s="199" t="s">
        <v>505</v>
      </c>
      <c r="I207" s="130"/>
      <c r="J207" s="126"/>
      <c r="K207" s="126"/>
      <c r="L207" s="125" t="str">
        <f>IF(I207&lt;&gt;0,((VLOOKUP(I207,'1. Standard_Cost'!$B$4:$D$11,2)+VLOOKUP(I207,'1. Standard_Cost'!$B$4:$D$11,3))*J207*K207),"0")</f>
        <v>0</v>
      </c>
      <c r="M207" s="125">
        <f>L207*'1. Standard_Cost'!$F$4</f>
        <v>0</v>
      </c>
      <c r="N207" s="126"/>
      <c r="O207" s="126"/>
      <c r="P207" s="126"/>
      <c r="Q207" s="126"/>
      <c r="R207" s="127">
        <f>'1. Standard_Cost'!$B$15*N207*P207</f>
        <v>0</v>
      </c>
      <c r="S207" s="127">
        <f>N207*O207*P207*'1. Standard_Cost'!$C$15</f>
        <v>0</v>
      </c>
      <c r="T207" s="127">
        <f>N207*P207*Q207*'1. Standard_Cost'!$D$15</f>
        <v>0</v>
      </c>
      <c r="U207" s="127">
        <f>N207*O207*'1. Standard_Cost'!$E$15</f>
        <v>0</v>
      </c>
      <c r="V207" s="126"/>
      <c r="W207" s="126"/>
      <c r="X207" s="126"/>
      <c r="Y207" s="127">
        <f>+V207*((X207*'1. Standard_Cost'!$B$19)+(W207*X207*'1. Standard_Cost'!$C$19))</f>
        <v>0</v>
      </c>
      <c r="Z207" s="126"/>
      <c r="AA207" s="126"/>
      <c r="AB207" s="127">
        <f>+Z207*'1. Standard_Cost'!$B$23+AA207*'1. Standard_Cost'!$C$23</f>
        <v>0</v>
      </c>
      <c r="AC207" s="128"/>
      <c r="AD207" s="129"/>
      <c r="AE207" s="127">
        <f>SUM(AD207,AC207,AB207,Y207,U207,T207,S207,R207)*'1. Standard_Cost'!$B$31</f>
        <v>0</v>
      </c>
      <c r="AF207" s="127">
        <f>SUM(AE207,AD207,AC207,AB207,Y207,U207,T207,S207,R207)</f>
        <v>0</v>
      </c>
      <c r="AG207" s="126"/>
      <c r="AH207" s="126"/>
      <c r="AI207" s="126"/>
      <c r="AJ207" s="130"/>
      <c r="AK207" s="130"/>
      <c r="AL207" s="130"/>
      <c r="AM207" s="127">
        <f>AG207*'1. Standard_Cost'!$B$27+'Incremental_Cost Year 8'!AH207*'1. Standard_Cost'!$C$27+'Incremental_Cost Year 8'!AI207*'1. Standard_Cost'!$D$27+'Incremental_Cost Year 8'!AJ207+'Incremental_Cost Year 8'!AL207+AK207</f>
        <v>0</v>
      </c>
      <c r="AN207" s="127">
        <f>AM207*'1. Standard_Cost'!$C$31</f>
        <v>0</v>
      </c>
      <c r="AO207" s="130"/>
      <c r="AQ207" s="171">
        <f>L207+M207</f>
        <v>0</v>
      </c>
      <c r="AR207" s="171">
        <f>AF207</f>
        <v>0</v>
      </c>
      <c r="AS207" s="171">
        <f>AM207+AN207</f>
        <v>0</v>
      </c>
      <c r="AT207" s="171">
        <f>SUM(AQ207,AR207,AS207)</f>
        <v>0</v>
      </c>
      <c r="AU207" s="250">
        <f>AT207</f>
        <v>0</v>
      </c>
      <c r="AV207" s="250"/>
      <c r="AW207" s="250"/>
      <c r="AX207" s="250"/>
      <c r="AY207" s="250"/>
      <c r="AZ207" s="250"/>
      <c r="BA207" s="250"/>
      <c r="BB207" s="251">
        <f t="shared" si="136"/>
        <v>0</v>
      </c>
      <c r="BC207" s="169"/>
      <c r="BD207" s="169"/>
      <c r="BE207" s="169"/>
      <c r="BF207" s="169"/>
    </row>
    <row r="208" spans="1:58" ht="61.9" customHeight="1" outlineLevel="2" x14ac:dyDescent="0.25">
      <c r="A208" s="115"/>
      <c r="B208" s="200"/>
      <c r="C208" s="201"/>
      <c r="D208" s="202"/>
      <c r="E208" s="310"/>
      <c r="F208" s="311"/>
      <c r="G208" s="312"/>
      <c r="H208" s="199" t="s">
        <v>506</v>
      </c>
      <c r="I208" s="130"/>
      <c r="J208" s="126"/>
      <c r="K208" s="126"/>
      <c r="L208" s="125" t="str">
        <f>IF(I208&lt;&gt;0,((VLOOKUP(I208,'1. Standard_Cost'!$B$4:$D$11,2)+VLOOKUP(I208,'1. Standard_Cost'!$B$4:$D$11,3))*J208*K208),"0")</f>
        <v>0</v>
      </c>
      <c r="M208" s="125">
        <f>L208*'1. Standard_Cost'!$F$4</f>
        <v>0</v>
      </c>
      <c r="N208" s="126"/>
      <c r="O208" s="126"/>
      <c r="P208" s="126"/>
      <c r="Q208" s="126"/>
      <c r="R208" s="127">
        <f>'1. Standard_Cost'!$B$15*N208*P208</f>
        <v>0</v>
      </c>
      <c r="S208" s="127">
        <f>N208*O208*P208*'1. Standard_Cost'!$C$15</f>
        <v>0</v>
      </c>
      <c r="T208" s="127">
        <f>N208*P208*Q208*'1. Standard_Cost'!$D$15</f>
        <v>0</v>
      </c>
      <c r="U208" s="127">
        <f>N208*O208*'1. Standard_Cost'!$E$15</f>
        <v>0</v>
      </c>
      <c r="V208" s="126"/>
      <c r="W208" s="126"/>
      <c r="X208" s="126"/>
      <c r="Y208" s="127">
        <f>+V208*((X208*'1. Standard_Cost'!$B$19)+(W208*X208*'1. Standard_Cost'!$C$19))</f>
        <v>0</v>
      </c>
      <c r="Z208" s="126"/>
      <c r="AA208" s="126"/>
      <c r="AB208" s="127">
        <f>+Z208*'1. Standard_Cost'!$B$23+AA208*'1. Standard_Cost'!$C$23</f>
        <v>0</v>
      </c>
      <c r="AC208" s="128"/>
      <c r="AD208" s="129"/>
      <c r="AE208" s="127">
        <f>SUM(AD208,AC208,AB208,Y208,U208,T208,S208,R208)*'1. Standard_Cost'!$B$31</f>
        <v>0</v>
      </c>
      <c r="AF208" s="127">
        <f>SUM(AE208,AD208,AC208,AB208,Y208,U208,T208,S208,R208)</f>
        <v>0</v>
      </c>
      <c r="AG208" s="126"/>
      <c r="AH208" s="126"/>
      <c r="AI208" s="126"/>
      <c r="AJ208" s="130"/>
      <c r="AK208" s="130"/>
      <c r="AL208" s="130"/>
      <c r="AM208" s="127">
        <f>AG208*'1. Standard_Cost'!$B$27+'Incremental_Cost Year 8'!AH208*'1. Standard_Cost'!$C$27+'Incremental_Cost Year 8'!AI208*'1. Standard_Cost'!$D$27+'Incremental_Cost Year 8'!AJ208+'Incremental_Cost Year 8'!AL208+AK208</f>
        <v>0</v>
      </c>
      <c r="AN208" s="127">
        <f>AM208*'1. Standard_Cost'!$C$31</f>
        <v>0</v>
      </c>
      <c r="AO208" s="130"/>
      <c r="AQ208" s="171">
        <f>L208+M208</f>
        <v>0</v>
      </c>
      <c r="AR208" s="171">
        <f>AF208</f>
        <v>0</v>
      </c>
      <c r="AS208" s="171">
        <f>AM208+AN208</f>
        <v>0</v>
      </c>
      <c r="AT208" s="171">
        <f>SUM(AQ208,AR208,AS208)</f>
        <v>0</v>
      </c>
      <c r="AU208" s="250">
        <f>AT208</f>
        <v>0</v>
      </c>
      <c r="AV208" s="250"/>
      <c r="AW208" s="250"/>
      <c r="AX208" s="250"/>
      <c r="AY208" s="250"/>
      <c r="AZ208" s="250"/>
      <c r="BA208" s="250"/>
      <c r="BB208" s="251">
        <f t="shared" si="136"/>
        <v>0</v>
      </c>
      <c r="BC208" s="169"/>
      <c r="BD208" s="169"/>
      <c r="BE208" s="169"/>
      <c r="BF208" s="169"/>
    </row>
    <row r="209" spans="1:58" ht="61.9" customHeight="1" outlineLevel="1" x14ac:dyDescent="0.25">
      <c r="A209" s="115"/>
      <c r="B209" s="165"/>
      <c r="C209" s="166"/>
      <c r="D209" s="150" t="s">
        <v>507</v>
      </c>
      <c r="E209" s="212" t="s">
        <v>247</v>
      </c>
      <c r="F209" s="311">
        <v>2021</v>
      </c>
      <c r="G209" s="312">
        <v>2025</v>
      </c>
      <c r="H209" s="110" t="s">
        <v>187</v>
      </c>
      <c r="I209" s="252"/>
      <c r="J209" s="252"/>
      <c r="K209" s="252"/>
      <c r="L209" s="127">
        <f>SUM(L204:L208)</f>
        <v>0</v>
      </c>
      <c r="M209" s="127">
        <f>SUM(M204:M208)</f>
        <v>0</v>
      </c>
      <c r="N209" s="252"/>
      <c r="O209" s="252"/>
      <c r="P209" s="252"/>
      <c r="Q209" s="252"/>
      <c r="R209" s="127">
        <f t="shared" ref="R209:U209" si="137">SUM(R204:R208)</f>
        <v>0</v>
      </c>
      <c r="S209" s="127">
        <f t="shared" si="137"/>
        <v>0</v>
      </c>
      <c r="T209" s="127">
        <f t="shared" si="137"/>
        <v>0</v>
      </c>
      <c r="U209" s="127">
        <f t="shared" si="137"/>
        <v>0</v>
      </c>
      <c r="V209" s="252"/>
      <c r="W209" s="252"/>
      <c r="X209" s="252"/>
      <c r="Y209" s="127">
        <f>SUM(Y204:Y208)</f>
        <v>0</v>
      </c>
      <c r="Z209" s="252"/>
      <c r="AA209" s="252"/>
      <c r="AB209" s="127">
        <f t="shared" ref="AB209:AF209" si="138">SUM(AB204:AB208)</f>
        <v>0</v>
      </c>
      <c r="AC209" s="127">
        <f t="shared" si="138"/>
        <v>0</v>
      </c>
      <c r="AD209" s="127">
        <f t="shared" si="138"/>
        <v>0</v>
      </c>
      <c r="AE209" s="127">
        <f t="shared" si="138"/>
        <v>0</v>
      </c>
      <c r="AF209" s="127">
        <f t="shared" si="138"/>
        <v>0</v>
      </c>
      <c r="AG209" s="252"/>
      <c r="AH209" s="252"/>
      <c r="AI209" s="252"/>
      <c r="AJ209" s="127">
        <f t="shared" ref="AJ209:AN209" si="139">SUM(AJ204:AJ208)</f>
        <v>0</v>
      </c>
      <c r="AK209" s="127">
        <f t="shared" si="139"/>
        <v>0</v>
      </c>
      <c r="AL209" s="127">
        <f t="shared" si="139"/>
        <v>0</v>
      </c>
      <c r="AM209" s="127">
        <f t="shared" si="139"/>
        <v>0</v>
      </c>
      <c r="AN209" s="127">
        <f t="shared" si="139"/>
        <v>0</v>
      </c>
      <c r="AO209" s="253"/>
      <c r="AP209" s="254"/>
      <c r="AQ209" s="127">
        <f t="shared" ref="AQ209:BB209" si="140">SUM(AQ204:AQ208)</f>
        <v>0</v>
      </c>
      <c r="AR209" s="127">
        <f t="shared" si="140"/>
        <v>0</v>
      </c>
      <c r="AS209" s="127">
        <f t="shared" si="140"/>
        <v>0</v>
      </c>
      <c r="AT209" s="127">
        <f t="shared" si="140"/>
        <v>0</v>
      </c>
      <c r="AU209" s="127">
        <f t="shared" si="140"/>
        <v>0</v>
      </c>
      <c r="AV209" s="127">
        <f t="shared" si="140"/>
        <v>0</v>
      </c>
      <c r="AW209" s="127">
        <f t="shared" si="140"/>
        <v>0</v>
      </c>
      <c r="AX209" s="127">
        <f t="shared" si="140"/>
        <v>0</v>
      </c>
      <c r="AY209" s="127">
        <f t="shared" si="140"/>
        <v>0</v>
      </c>
      <c r="AZ209" s="127">
        <f t="shared" si="140"/>
        <v>0</v>
      </c>
      <c r="BA209" s="127">
        <f t="shared" si="140"/>
        <v>0</v>
      </c>
      <c r="BB209" s="127">
        <f t="shared" si="140"/>
        <v>0</v>
      </c>
      <c r="BC209" s="169"/>
      <c r="BD209" s="169"/>
      <c r="BE209" s="169"/>
      <c r="BF209" s="169"/>
    </row>
    <row r="210" spans="1:58" ht="61.9" customHeight="1" outlineLevel="2" x14ac:dyDescent="0.25">
      <c r="A210" s="115"/>
      <c r="B210" s="200"/>
      <c r="C210" s="201"/>
      <c r="D210" s="202"/>
      <c r="E210" s="226"/>
      <c r="F210" s="295"/>
      <c r="G210" s="296"/>
      <c r="H210" s="199" t="s">
        <v>508</v>
      </c>
      <c r="I210" s="130"/>
      <c r="J210" s="126"/>
      <c r="K210" s="126"/>
      <c r="L210" s="125" t="str">
        <f>IF(I210&lt;&gt;0,((VLOOKUP(I210,'1. Standard_Cost'!$B$4:$D$11,2)+VLOOKUP(I210,'1. Standard_Cost'!$B$4:$D$11,3))*J210*K210),"0")</f>
        <v>0</v>
      </c>
      <c r="M210" s="125">
        <f>L210*'1. Standard_Cost'!$F$4</f>
        <v>0</v>
      </c>
      <c r="N210" s="126"/>
      <c r="O210" s="126"/>
      <c r="P210" s="126"/>
      <c r="Q210" s="126"/>
      <c r="R210" s="127">
        <f>'1. Standard_Cost'!$B$15*N210*P210</f>
        <v>0</v>
      </c>
      <c r="S210" s="127">
        <f>N210*O210*P210*'1. Standard_Cost'!$C$15</f>
        <v>0</v>
      </c>
      <c r="T210" s="127">
        <f>N210*P210*Q210*'1. Standard_Cost'!$D$15</f>
        <v>0</v>
      </c>
      <c r="U210" s="127">
        <f>N210*O210*'1. Standard_Cost'!$E$15</f>
        <v>0</v>
      </c>
      <c r="V210" s="126"/>
      <c r="W210" s="126"/>
      <c r="X210" s="126"/>
      <c r="Y210" s="127">
        <f>+V210*((X210*'1. Standard_Cost'!$B$19)+(W210*X210*'1. Standard_Cost'!$C$19))</f>
        <v>0</v>
      </c>
      <c r="Z210" s="126"/>
      <c r="AA210" s="126"/>
      <c r="AB210" s="127">
        <f>+Z210*'1. Standard_Cost'!$B$23+AA210*'1. Standard_Cost'!$C$23</f>
        <v>0</v>
      </c>
      <c r="AC210" s="128"/>
      <c r="AD210" s="129"/>
      <c r="AE210" s="127">
        <f>SUM(AD210,AC210,AB210,Y210,U210,T210,S210,R210)*'1. Standard_Cost'!$B$31</f>
        <v>0</v>
      </c>
      <c r="AF210" s="127">
        <f>SUM(AE210,AD210,AC210,AB210,Y210,U210,T210,S210,R210)</f>
        <v>0</v>
      </c>
      <c r="AG210" s="126"/>
      <c r="AH210" s="126"/>
      <c r="AI210" s="126"/>
      <c r="AJ210" s="130"/>
      <c r="AK210" s="130"/>
      <c r="AL210" s="130"/>
      <c r="AM210" s="127">
        <f>AG210*'1. Standard_Cost'!$B$27+'Incremental_Cost Year 8'!AH210*'1. Standard_Cost'!$C$27+'Incremental_Cost Year 8'!AI210*'1. Standard_Cost'!$D$27+'Incremental_Cost Year 8'!AJ210+'Incremental_Cost Year 8'!AL210+AK210</f>
        <v>0</v>
      </c>
      <c r="AN210" s="127">
        <f>AM210*'1. Standard_Cost'!$C$31</f>
        <v>0</v>
      </c>
      <c r="AO210" s="130"/>
      <c r="AQ210" s="171">
        <f>L210+M210</f>
        <v>0</v>
      </c>
      <c r="AR210" s="171">
        <f>AF210</f>
        <v>0</v>
      </c>
      <c r="AS210" s="171">
        <f>AM210+AN210</f>
        <v>0</v>
      </c>
      <c r="AT210" s="171">
        <f>SUM(AQ210,AR210,AS210)</f>
        <v>0</v>
      </c>
      <c r="AU210" s="250">
        <f>AQ210</f>
        <v>0</v>
      </c>
      <c r="AV210" s="250"/>
      <c r="AW210" s="250"/>
      <c r="AX210" s="250"/>
      <c r="AY210" s="250"/>
      <c r="AZ210" s="250"/>
      <c r="BA210" s="250"/>
      <c r="BB210" s="251">
        <f t="shared" ref="BB210:BB211" si="141">SUM(AU210:BA210)-AT210</f>
        <v>0</v>
      </c>
      <c r="BC210" s="169"/>
      <c r="BD210" s="169"/>
      <c r="BE210" s="169"/>
      <c r="BF210" s="169"/>
    </row>
    <row r="211" spans="1:58" ht="61.9" customHeight="1" outlineLevel="2" x14ac:dyDescent="0.25">
      <c r="A211" s="115"/>
      <c r="B211" s="200"/>
      <c r="C211" s="201"/>
      <c r="D211" s="202"/>
      <c r="E211" s="310"/>
      <c r="F211" s="122"/>
      <c r="G211" s="123"/>
      <c r="H211" s="199" t="s">
        <v>509</v>
      </c>
      <c r="I211" s="130"/>
      <c r="J211" s="126"/>
      <c r="K211" s="126"/>
      <c r="L211" s="125" t="str">
        <f>IF(I211&lt;&gt;0,((VLOOKUP(I211,'1. Standard_Cost'!$B$4:$D$11,2)+VLOOKUP(I211,'1. Standard_Cost'!$B$4:$D$11,3))*J211*K211),"0")</f>
        <v>0</v>
      </c>
      <c r="M211" s="125">
        <f>L211*'1. Standard_Cost'!$F$4</f>
        <v>0</v>
      </c>
      <c r="N211" s="126"/>
      <c r="O211" s="126"/>
      <c r="P211" s="126"/>
      <c r="Q211" s="126"/>
      <c r="R211" s="127">
        <f>'1. Standard_Cost'!$B$15*N211*P211</f>
        <v>0</v>
      </c>
      <c r="S211" s="127">
        <f>N211*O211*P211*'1. Standard_Cost'!$C$15</f>
        <v>0</v>
      </c>
      <c r="T211" s="127">
        <f>N211*P211*Q211*'1. Standard_Cost'!$D$15</f>
        <v>0</v>
      </c>
      <c r="U211" s="127">
        <f>N211*O211*'1. Standard_Cost'!$E$15</f>
        <v>0</v>
      </c>
      <c r="V211" s="126"/>
      <c r="W211" s="126"/>
      <c r="X211" s="126"/>
      <c r="Y211" s="127">
        <f>+V211*((X211*'1. Standard_Cost'!$B$19)+(W211*X211*'1. Standard_Cost'!$C$19))</f>
        <v>0</v>
      </c>
      <c r="Z211" s="126"/>
      <c r="AA211" s="126"/>
      <c r="AB211" s="127">
        <f>+Z211*'1. Standard_Cost'!$B$23+AA211*'1. Standard_Cost'!$C$23</f>
        <v>0</v>
      </c>
      <c r="AC211" s="128"/>
      <c r="AD211" s="129"/>
      <c r="AE211" s="127">
        <f>SUM(AD211,AC211,AB211,Y211,U211,T211,S211,R211)*'1. Standard_Cost'!$B$31</f>
        <v>0</v>
      </c>
      <c r="AF211" s="127">
        <f>SUM(AE211,AD211,AC211,AB211,Y211,U211,T211,S211,R211)</f>
        <v>0</v>
      </c>
      <c r="AG211" s="126"/>
      <c r="AH211" s="126"/>
      <c r="AI211" s="126"/>
      <c r="AJ211" s="130"/>
      <c r="AK211" s="130"/>
      <c r="AL211" s="130"/>
      <c r="AM211" s="127">
        <f>AG211*'1. Standard_Cost'!$B$27+'Incremental_Cost Year 8'!AH211*'1. Standard_Cost'!$C$27+'Incremental_Cost Year 8'!AI211*'1. Standard_Cost'!$D$27+'Incremental_Cost Year 8'!AJ211+'Incremental_Cost Year 8'!AL211+AK211</f>
        <v>0</v>
      </c>
      <c r="AN211" s="127">
        <f>AM211*'1. Standard_Cost'!$C$31</f>
        <v>0</v>
      </c>
      <c r="AO211" s="130"/>
      <c r="AQ211" s="171">
        <f>L211+M211</f>
        <v>0</v>
      </c>
      <c r="AR211" s="171">
        <f>AF211</f>
        <v>0</v>
      </c>
      <c r="AS211" s="171">
        <f>AM211+AN211</f>
        <v>0</v>
      </c>
      <c r="AT211" s="171">
        <f>SUM(AQ211,AR211,AS211)</f>
        <v>0</v>
      </c>
      <c r="AU211" s="250">
        <f>AQ211</f>
        <v>0</v>
      </c>
      <c r="AV211" s="250"/>
      <c r="AW211" s="250"/>
      <c r="AX211" s="250"/>
      <c r="AY211" s="250"/>
      <c r="AZ211" s="250"/>
      <c r="BA211" s="250"/>
      <c r="BB211" s="251">
        <f t="shared" si="141"/>
        <v>0</v>
      </c>
      <c r="BC211" s="169"/>
      <c r="BD211" s="169"/>
      <c r="BE211" s="169"/>
      <c r="BF211" s="169"/>
    </row>
    <row r="212" spans="1:58" ht="61.9" customHeight="1" outlineLevel="1" x14ac:dyDescent="0.25">
      <c r="A212" s="115"/>
      <c r="B212" s="165"/>
      <c r="C212" s="166"/>
      <c r="D212" s="107" t="s">
        <v>233</v>
      </c>
      <c r="E212" s="212" t="s">
        <v>248</v>
      </c>
      <c r="F212" s="136">
        <v>2022</v>
      </c>
      <c r="G212" s="117">
        <v>2025</v>
      </c>
      <c r="H212" s="110" t="s">
        <v>188</v>
      </c>
      <c r="I212" s="252"/>
      <c r="J212" s="252"/>
      <c r="K212" s="252"/>
      <c r="L212" s="127">
        <f>SUM(L210:L211)</f>
        <v>0</v>
      </c>
      <c r="M212" s="127">
        <f>SUM(M210:M211)</f>
        <v>0</v>
      </c>
      <c r="N212" s="252"/>
      <c r="O212" s="252"/>
      <c r="P212" s="252"/>
      <c r="Q212" s="252"/>
      <c r="R212" s="127">
        <f>SUM(R210:R211)</f>
        <v>0</v>
      </c>
      <c r="S212" s="127">
        <f>SUM(S210:S211)</f>
        <v>0</v>
      </c>
      <c r="T212" s="127">
        <f>SUM(T210:T211)</f>
        <v>0</v>
      </c>
      <c r="U212" s="127">
        <f>SUM(U210:U211)</f>
        <v>0</v>
      </c>
      <c r="V212" s="252"/>
      <c r="W212" s="252"/>
      <c r="X212" s="252"/>
      <c r="Y212" s="127">
        <f>SUM(Y210:Y211)</f>
        <v>0</v>
      </c>
      <c r="Z212" s="252"/>
      <c r="AA212" s="252"/>
      <c r="AB212" s="127">
        <f>SUM(AB210:AB211)</f>
        <v>0</v>
      </c>
      <c r="AC212" s="127">
        <f>SUM(AC210:AC211)</f>
        <v>0</v>
      </c>
      <c r="AD212" s="127">
        <f>SUM(AD210:AD211)</f>
        <v>0</v>
      </c>
      <c r="AE212" s="127">
        <f>SUM(AE210:AE211)</f>
        <v>0</v>
      </c>
      <c r="AF212" s="127">
        <f>SUM(AF210:AF211)</f>
        <v>0</v>
      </c>
      <c r="AG212" s="252"/>
      <c r="AH212" s="252"/>
      <c r="AI212" s="252"/>
      <c r="AJ212" s="127">
        <f>SUM(AJ210:AJ211)</f>
        <v>0</v>
      </c>
      <c r="AK212" s="127">
        <f>SUM(AK210:AK211)</f>
        <v>0</v>
      </c>
      <c r="AL212" s="127">
        <f>SUM(AL210:AL211)</f>
        <v>0</v>
      </c>
      <c r="AM212" s="127">
        <f>SUM(AM210:AM211)</f>
        <v>0</v>
      </c>
      <c r="AN212" s="127">
        <f>SUM(AN210:AN211)</f>
        <v>0</v>
      </c>
      <c r="AO212" s="253"/>
      <c r="AP212" s="254"/>
      <c r="AQ212" s="175">
        <f>SUM(AQ210:AQ211)</f>
        <v>0</v>
      </c>
      <c r="AR212" s="175">
        <f>SUM(AR210:AR211)</f>
        <v>0</v>
      </c>
      <c r="AS212" s="175">
        <f>SUM(AS210:AS211)</f>
        <v>0</v>
      </c>
      <c r="AT212" s="175">
        <f>SUM(AT210:AT211)</f>
        <v>0</v>
      </c>
      <c r="AU212" s="175">
        <f t="shared" ref="AU212:BB212" si="142">SUM(AU210:AU211)</f>
        <v>0</v>
      </c>
      <c r="AV212" s="175">
        <f t="shared" si="142"/>
        <v>0</v>
      </c>
      <c r="AW212" s="175">
        <f t="shared" si="142"/>
        <v>0</v>
      </c>
      <c r="AX212" s="175">
        <f t="shared" si="142"/>
        <v>0</v>
      </c>
      <c r="AY212" s="175">
        <f t="shared" si="142"/>
        <v>0</v>
      </c>
      <c r="AZ212" s="175">
        <f t="shared" si="142"/>
        <v>0</v>
      </c>
      <c r="BA212" s="175">
        <f t="shared" si="142"/>
        <v>0</v>
      </c>
      <c r="BB212" s="175">
        <f t="shared" si="142"/>
        <v>0</v>
      </c>
      <c r="BC212" s="169"/>
      <c r="BD212" s="169"/>
      <c r="BE212" s="169"/>
      <c r="BF212" s="169"/>
    </row>
    <row r="213" spans="1:58" s="184" customFormat="1" ht="61.9" customHeight="1" x14ac:dyDescent="0.25">
      <c r="A213" s="143"/>
      <c r="B213" s="332"/>
      <c r="C213" s="397" t="s">
        <v>249</v>
      </c>
      <c r="D213" s="397"/>
      <c r="E213" s="398"/>
      <c r="F213" s="291"/>
      <c r="G213" s="340"/>
      <c r="H213" s="144" t="s">
        <v>299</v>
      </c>
      <c r="I213" s="257"/>
      <c r="J213" s="257"/>
      <c r="K213" s="257"/>
      <c r="L213" s="258">
        <f>SUM(L220)</f>
        <v>842465228.57142854</v>
      </c>
      <c r="M213" s="258">
        <f>SUM(M220)</f>
        <v>140691693.17142856</v>
      </c>
      <c r="N213" s="257"/>
      <c r="O213" s="257"/>
      <c r="P213" s="257"/>
      <c r="Q213" s="257"/>
      <c r="R213" s="258">
        <f>SUM(R220)</f>
        <v>0</v>
      </c>
      <c r="S213" s="258">
        <f>SUM(S220)</f>
        <v>0</v>
      </c>
      <c r="T213" s="258">
        <f>SUM(T220)</f>
        <v>0</v>
      </c>
      <c r="U213" s="258">
        <f>SUM(U220)</f>
        <v>0</v>
      </c>
      <c r="V213" s="257"/>
      <c r="W213" s="257"/>
      <c r="X213" s="257"/>
      <c r="Y213" s="258">
        <f>SUM(Y220)</f>
        <v>0</v>
      </c>
      <c r="Z213" s="258"/>
      <c r="AA213" s="258"/>
      <c r="AB213" s="258">
        <f>SUM(AB220)</f>
        <v>0</v>
      </c>
      <c r="AC213" s="258">
        <f>SUM(AC220)</f>
        <v>1442163000</v>
      </c>
      <c r="AD213" s="258">
        <f>SUM(AD220)</f>
        <v>0</v>
      </c>
      <c r="AE213" s="258">
        <f>SUM(AE220)</f>
        <v>0</v>
      </c>
      <c r="AF213" s="258">
        <f>SUM(AF220)</f>
        <v>1442163000</v>
      </c>
      <c r="AG213" s="257"/>
      <c r="AH213" s="257"/>
      <c r="AI213" s="257"/>
      <c r="AJ213" s="258">
        <f>SUM(AJ220)</f>
        <v>0</v>
      </c>
      <c r="AK213" s="258">
        <f>SUM(AK220)</f>
        <v>0</v>
      </c>
      <c r="AL213" s="258">
        <f>SUM(AL220)</f>
        <v>0</v>
      </c>
      <c r="AM213" s="258">
        <f>SUM(AM220)</f>
        <v>0</v>
      </c>
      <c r="AN213" s="258">
        <f>SUM(AN220)</f>
        <v>0</v>
      </c>
      <c r="AO213" s="259"/>
      <c r="AP213" s="260"/>
      <c r="AQ213" s="261">
        <f>SUM(AQ220)</f>
        <v>983156921.7428571</v>
      </c>
      <c r="AR213" s="261">
        <f>SUM(AR220)</f>
        <v>1442163000</v>
      </c>
      <c r="AS213" s="261">
        <f>SUM(AS220)</f>
        <v>0</v>
      </c>
      <c r="AT213" s="261">
        <f>SUM(AT220)</f>
        <v>2425319921.7428575</v>
      </c>
      <c r="AU213" s="261">
        <f t="shared" ref="AU213:BB213" si="143">SUM(AU220)</f>
        <v>2425319921.7428575</v>
      </c>
      <c r="AV213" s="261">
        <f t="shared" si="143"/>
        <v>0</v>
      </c>
      <c r="AW213" s="261">
        <f t="shared" si="143"/>
        <v>0</v>
      </c>
      <c r="AX213" s="261">
        <f t="shared" si="143"/>
        <v>0</v>
      </c>
      <c r="AY213" s="261">
        <f t="shared" si="143"/>
        <v>0</v>
      </c>
      <c r="AZ213" s="261">
        <f t="shared" si="143"/>
        <v>0</v>
      </c>
      <c r="BA213" s="261">
        <f t="shared" si="143"/>
        <v>0</v>
      </c>
      <c r="BB213" s="261">
        <f t="shared" si="143"/>
        <v>0</v>
      </c>
    </row>
    <row r="214" spans="1:58" ht="61.9" customHeight="1" outlineLevel="2" x14ac:dyDescent="0.25">
      <c r="A214" s="115"/>
      <c r="B214" s="200"/>
      <c r="C214" s="201"/>
      <c r="D214" s="210"/>
      <c r="E214" s="328"/>
      <c r="F214" s="328"/>
      <c r="G214" s="328"/>
      <c r="H214" s="199" t="s">
        <v>510</v>
      </c>
      <c r="I214" s="130"/>
      <c r="J214" s="126"/>
      <c r="K214" s="126"/>
      <c r="L214" s="125" t="str">
        <f>IF(I214&lt;&gt;0,((VLOOKUP(I214,'1. Standard_Cost'!$B$4:$D$11,2)+VLOOKUP(I214,'1. Standard_Cost'!$B$4:$D$11,3))*J214*K214),"0")</f>
        <v>0</v>
      </c>
      <c r="M214" s="125">
        <f>L214*'1. Standard_Cost'!$F$4</f>
        <v>0</v>
      </c>
      <c r="N214" s="126"/>
      <c r="O214" s="126"/>
      <c r="P214" s="126"/>
      <c r="Q214" s="126"/>
      <c r="R214" s="127">
        <f>'1. Standard_Cost'!$B$15*N214*P214</f>
        <v>0</v>
      </c>
      <c r="S214" s="127">
        <f>N214*O214*P214*'1. Standard_Cost'!$C$15</f>
        <v>0</v>
      </c>
      <c r="T214" s="127">
        <f>N214*P214*Q214*'1. Standard_Cost'!$D$15</f>
        <v>0</v>
      </c>
      <c r="U214" s="127">
        <f>N214*O214*'1. Standard_Cost'!$E$15</f>
        <v>0</v>
      </c>
      <c r="V214" s="126"/>
      <c r="W214" s="126"/>
      <c r="X214" s="126"/>
      <c r="Y214" s="127">
        <f>+V214*((X214*'1. Standard_Cost'!$B$19)+(W214*X214*'1. Standard_Cost'!$C$19))</f>
        <v>0</v>
      </c>
      <c r="Z214" s="126"/>
      <c r="AA214" s="126"/>
      <c r="AB214" s="127">
        <f>+Z214*'1. Standard_Cost'!$B$23+AA214*'1. Standard_Cost'!$C$23</f>
        <v>0</v>
      </c>
      <c r="AC214" s="128"/>
      <c r="AD214" s="129"/>
      <c r="AE214" s="127">
        <f>SUM(AD214,AC214,AB214,Y214,U214,T214,S214,R214)*'1. Standard_Cost'!$B$31</f>
        <v>0</v>
      </c>
      <c r="AF214" s="127">
        <f t="shared" ref="AF214:AF219" si="144">SUM(AE214,AD214,AC214,AB214,Y214,U214,T214,S214,R214)</f>
        <v>0</v>
      </c>
      <c r="AG214" s="126"/>
      <c r="AH214" s="126"/>
      <c r="AI214" s="126"/>
      <c r="AJ214" s="130"/>
      <c r="AK214" s="130"/>
      <c r="AL214" s="130"/>
      <c r="AM214" s="127">
        <f>AG214*'1. Standard_Cost'!$B$27+'Incremental_Cost Year 8'!AH214*'1. Standard_Cost'!$C$27+'Incremental_Cost Year 8'!AI214*'1. Standard_Cost'!$D$27+'Incremental_Cost Year 8'!AJ214+'Incremental_Cost Year 8'!AL214+AK214</f>
        <v>0</v>
      </c>
      <c r="AN214" s="127">
        <f>AM214*'1. Standard_Cost'!$C$31</f>
        <v>0</v>
      </c>
      <c r="AO214" s="130"/>
      <c r="AQ214" s="171">
        <f t="shared" ref="AQ214:AQ219" si="145">L214+M214</f>
        <v>0</v>
      </c>
      <c r="AR214" s="171">
        <f t="shared" ref="AR214:AR219" si="146">AF214</f>
        <v>0</v>
      </c>
      <c r="AS214" s="171">
        <f t="shared" ref="AS214:AS219" si="147">AM214+AN214</f>
        <v>0</v>
      </c>
      <c r="AT214" s="171">
        <f t="shared" ref="AT214:AT219" si="148">SUM(AQ214,AR214,AS214)</f>
        <v>0</v>
      </c>
      <c r="AU214" s="250"/>
      <c r="AV214" s="250"/>
      <c r="AW214" s="250"/>
      <c r="AX214" s="250"/>
      <c r="AY214" s="250"/>
      <c r="AZ214" s="250"/>
      <c r="BA214" s="250"/>
      <c r="BB214" s="251">
        <f t="shared" ref="BB214:BB219" si="149">SUM(AU214:BA214)-AT214</f>
        <v>0</v>
      </c>
      <c r="BC214" s="169"/>
      <c r="BD214" s="169"/>
      <c r="BE214" s="169"/>
      <c r="BF214" s="169"/>
    </row>
    <row r="215" spans="1:58" ht="61.9" customHeight="1" outlineLevel="2" x14ac:dyDescent="0.25">
      <c r="A215" s="115"/>
      <c r="B215" s="200"/>
      <c r="C215" s="201"/>
      <c r="D215" s="203"/>
      <c r="E215" s="328"/>
      <c r="F215" s="328"/>
      <c r="G215" s="328"/>
      <c r="H215" s="199" t="s">
        <v>511</v>
      </c>
      <c r="I215" s="130"/>
      <c r="J215" s="126"/>
      <c r="K215" s="126"/>
      <c r="L215" s="125" t="str">
        <f>IF(I215&lt;&gt;0,((VLOOKUP(I215,'1. Standard_Cost'!$B$4:$D$11,2)+VLOOKUP(I215,'1. Standard_Cost'!$B$4:$D$11,3))*J215*K215),"0")</f>
        <v>0</v>
      </c>
      <c r="M215" s="125">
        <f>L215*'1. Standard_Cost'!$F$4</f>
        <v>0</v>
      </c>
      <c r="N215" s="126"/>
      <c r="O215" s="126"/>
      <c r="P215" s="126"/>
      <c r="Q215" s="126"/>
      <c r="R215" s="127">
        <f>'1. Standard_Cost'!$B$15*N215*P215</f>
        <v>0</v>
      </c>
      <c r="S215" s="127">
        <f>N215*O215*P215*'1. Standard_Cost'!$C$15</f>
        <v>0</v>
      </c>
      <c r="T215" s="127">
        <f>N215*P215*Q215*'1. Standard_Cost'!$D$15</f>
        <v>0</v>
      </c>
      <c r="U215" s="127">
        <f>N215*O215*'1. Standard_Cost'!$E$15</f>
        <v>0</v>
      </c>
      <c r="V215" s="126"/>
      <c r="W215" s="126"/>
      <c r="X215" s="126"/>
      <c r="Y215" s="127">
        <f>+V215*((X215*'1. Standard_Cost'!$B$19)+(W215*X215*'1. Standard_Cost'!$C$19))</f>
        <v>0</v>
      </c>
      <c r="Z215" s="126"/>
      <c r="AA215" s="126"/>
      <c r="AB215" s="127">
        <f>+Z215*'1. Standard_Cost'!$B$23+AA215*'1. Standard_Cost'!$C$23</f>
        <v>0</v>
      </c>
      <c r="AC215" s="128"/>
      <c r="AD215" s="129"/>
      <c r="AE215" s="127">
        <f>SUM(AD215,AC215,AB215,Y215,U215,T215,S215,R215)*'1. Standard_Cost'!$B$31</f>
        <v>0</v>
      </c>
      <c r="AF215" s="127">
        <f t="shared" si="144"/>
        <v>0</v>
      </c>
      <c r="AG215" s="126"/>
      <c r="AH215" s="126"/>
      <c r="AI215" s="126"/>
      <c r="AJ215" s="130"/>
      <c r="AK215" s="130"/>
      <c r="AL215" s="130"/>
      <c r="AM215" s="127">
        <f>AG215*'1. Standard_Cost'!$B$27+'Incremental_Cost Year 8'!AH215*'1. Standard_Cost'!$C$27+'Incremental_Cost Year 8'!AI215*'1. Standard_Cost'!$D$27+'Incremental_Cost Year 8'!AJ215+'Incremental_Cost Year 8'!AL215+AK215</f>
        <v>0</v>
      </c>
      <c r="AN215" s="127">
        <f>AM215*'1. Standard_Cost'!$C$31</f>
        <v>0</v>
      </c>
      <c r="AO215" s="130"/>
      <c r="AQ215" s="171">
        <f t="shared" si="145"/>
        <v>0</v>
      </c>
      <c r="AR215" s="171">
        <f t="shared" si="146"/>
        <v>0</v>
      </c>
      <c r="AS215" s="171">
        <f t="shared" si="147"/>
        <v>0</v>
      </c>
      <c r="AT215" s="171">
        <f t="shared" si="148"/>
        <v>0</v>
      </c>
      <c r="AU215" s="250">
        <f>AT215</f>
        <v>0</v>
      </c>
      <c r="AV215" s="250"/>
      <c r="AW215" s="250"/>
      <c r="AX215" s="250"/>
      <c r="AY215" s="250"/>
      <c r="AZ215" s="250"/>
      <c r="BA215" s="250"/>
      <c r="BB215" s="251">
        <f t="shared" si="149"/>
        <v>0</v>
      </c>
      <c r="BC215" s="169"/>
      <c r="BD215" s="169"/>
      <c r="BE215" s="169"/>
      <c r="BF215" s="169"/>
    </row>
    <row r="216" spans="1:58" ht="61.9" customHeight="1" outlineLevel="2" x14ac:dyDescent="0.25">
      <c r="A216" s="115"/>
      <c r="B216" s="200"/>
      <c r="C216" s="201"/>
      <c r="D216" s="203"/>
      <c r="E216" s="328"/>
      <c r="F216" s="328"/>
      <c r="G216" s="328"/>
      <c r="H216" s="199" t="s">
        <v>512</v>
      </c>
      <c r="I216" s="130"/>
      <c r="J216" s="126"/>
      <c r="K216" s="126"/>
      <c r="L216" s="125" t="str">
        <f>IF(I216&lt;&gt;0,((VLOOKUP(I216,'1. Standard_Cost'!$B$4:$D$11,2)+VLOOKUP(I216,'1. Standard_Cost'!$B$4:$D$11,3))*J216*K216),"0")</f>
        <v>0</v>
      </c>
      <c r="M216" s="125">
        <f>L216*'1. Standard_Cost'!$F$4</f>
        <v>0</v>
      </c>
      <c r="N216" s="126"/>
      <c r="O216" s="126"/>
      <c r="P216" s="126"/>
      <c r="Q216" s="126"/>
      <c r="R216" s="127">
        <f>'1. Standard_Cost'!$B$15*N216*P216</f>
        <v>0</v>
      </c>
      <c r="S216" s="127">
        <f>N216*O216*P216*'1. Standard_Cost'!$C$15</f>
        <v>0</v>
      </c>
      <c r="T216" s="127">
        <f>N216*P216*Q216*'1. Standard_Cost'!$D$15</f>
        <v>0</v>
      </c>
      <c r="U216" s="127">
        <f>N216*O216*'1. Standard_Cost'!$E$15</f>
        <v>0</v>
      </c>
      <c r="V216" s="126"/>
      <c r="W216" s="126"/>
      <c r="X216" s="126"/>
      <c r="Y216" s="127">
        <f>+V216*((X216*'1. Standard_Cost'!$B$19)+(W216*X216*'1. Standard_Cost'!$C$19))</f>
        <v>0</v>
      </c>
      <c r="Z216" s="126"/>
      <c r="AA216" s="126"/>
      <c r="AB216" s="127">
        <f>+Z216*'1. Standard_Cost'!$B$23+AA216*'1. Standard_Cost'!$C$23</f>
        <v>0</v>
      </c>
      <c r="AC216" s="128"/>
      <c r="AD216" s="129"/>
      <c r="AE216" s="127">
        <f>SUM(AD216,AC216,AB216,Y216,U216,T216,S216,R216)*'1. Standard_Cost'!$B$31</f>
        <v>0</v>
      </c>
      <c r="AF216" s="127">
        <f t="shared" si="144"/>
        <v>0</v>
      </c>
      <c r="AG216" s="126"/>
      <c r="AH216" s="126"/>
      <c r="AI216" s="126"/>
      <c r="AJ216" s="130"/>
      <c r="AK216" s="130"/>
      <c r="AL216" s="130"/>
      <c r="AM216" s="127">
        <f>AG216*'1. Standard_Cost'!$B$27+'Incremental_Cost Year 8'!AH216*'1. Standard_Cost'!$C$27+'Incremental_Cost Year 8'!AI216*'1. Standard_Cost'!$D$27+'Incremental_Cost Year 8'!AJ216+'Incremental_Cost Year 8'!AL216+AK216</f>
        <v>0</v>
      </c>
      <c r="AN216" s="127">
        <f>AM216*'1. Standard_Cost'!$C$31</f>
        <v>0</v>
      </c>
      <c r="AO216" s="130"/>
      <c r="AQ216" s="171">
        <f t="shared" si="145"/>
        <v>0</v>
      </c>
      <c r="AR216" s="171">
        <f t="shared" si="146"/>
        <v>0</v>
      </c>
      <c r="AS216" s="171">
        <f t="shared" si="147"/>
        <v>0</v>
      </c>
      <c r="AT216" s="171">
        <f t="shared" si="148"/>
        <v>0</v>
      </c>
      <c r="AU216" s="250"/>
      <c r="AV216" s="250"/>
      <c r="AW216" s="250"/>
      <c r="AX216" s="250"/>
      <c r="AY216" s="250"/>
      <c r="AZ216" s="250"/>
      <c r="BA216" s="250"/>
      <c r="BB216" s="251">
        <f t="shared" si="149"/>
        <v>0</v>
      </c>
      <c r="BC216" s="169"/>
      <c r="BD216" s="169"/>
      <c r="BE216" s="169"/>
      <c r="BF216" s="169"/>
    </row>
    <row r="217" spans="1:58" ht="61.9" customHeight="1" outlineLevel="2" x14ac:dyDescent="0.25">
      <c r="A217" s="115"/>
      <c r="B217" s="200"/>
      <c r="C217" s="201"/>
      <c r="D217" s="203"/>
      <c r="E217" s="328"/>
      <c r="F217" s="328"/>
      <c r="G217" s="328"/>
      <c r="H217" s="213" t="s">
        <v>250</v>
      </c>
      <c r="I217" s="130" t="s">
        <v>1</v>
      </c>
      <c r="J217" s="126">
        <v>12</v>
      </c>
      <c r="K217" s="126">
        <v>824</v>
      </c>
      <c r="L217" s="125">
        <f>IF(I217&lt;&gt;0,((VLOOKUP(I217,'1. Standard_Cost'!$B$4:$D$11,2)+VLOOKUP(I217,'1. Standard_Cost'!$B$4:$D$11,3))*J217*K217),"0")</f>
        <v>709887771.42857134</v>
      </c>
      <c r="M217" s="125">
        <f>L217*'1. Standard_Cost'!$F$4</f>
        <v>118551257.82857142</v>
      </c>
      <c r="N217" s="126"/>
      <c r="O217" s="126"/>
      <c r="P217" s="126"/>
      <c r="Q217" s="126"/>
      <c r="R217" s="127">
        <f>'1. Standard_Cost'!$B$15*N217*P217</f>
        <v>0</v>
      </c>
      <c r="S217" s="127">
        <f>N217*O217*P217*'1. Standard_Cost'!$C$15</f>
        <v>0</v>
      </c>
      <c r="T217" s="127">
        <f>N217*P217*Q217*'1. Standard_Cost'!$D$15</f>
        <v>0</v>
      </c>
      <c r="U217" s="127">
        <f>N217*O217*'1. Standard_Cost'!$E$15</f>
        <v>0</v>
      </c>
      <c r="V217" s="126"/>
      <c r="W217" s="126"/>
      <c r="X217" s="126"/>
      <c r="Y217" s="127">
        <f>+V217*((X217*'1. Standard_Cost'!$B$19)+(W217*X217*'1. Standard_Cost'!$C$19))</f>
        <v>0</v>
      </c>
      <c r="Z217" s="126"/>
      <c r="AA217" s="126"/>
      <c r="AB217" s="127">
        <f>+Z217*'1. Standard_Cost'!$B$23+AA217*'1. Standard_Cost'!$C$23</f>
        <v>0</v>
      </c>
      <c r="AC217" s="128">
        <f>230000000+250000000*2</f>
        <v>730000000</v>
      </c>
      <c r="AD217" s="129"/>
      <c r="AE217" s="127"/>
      <c r="AF217" s="127">
        <f t="shared" si="144"/>
        <v>730000000</v>
      </c>
      <c r="AG217" s="126"/>
      <c r="AH217" s="126"/>
      <c r="AI217" s="126"/>
      <c r="AJ217" s="130"/>
      <c r="AK217" s="130"/>
      <c r="AL217" s="130"/>
      <c r="AM217" s="127">
        <f>AG217*'1. Standard_Cost'!$B$27+'Incremental_Cost Year 8'!AH217*'1. Standard_Cost'!$C$27+'Incremental_Cost Year 8'!AI217*'1. Standard_Cost'!$D$27+'Incremental_Cost Year 8'!AJ217+'Incremental_Cost Year 8'!AL217+AK217</f>
        <v>0</v>
      </c>
      <c r="AN217" s="127">
        <f>AM217*'1. Standard_Cost'!$C$31</f>
        <v>0</v>
      </c>
      <c r="AO217" s="130"/>
      <c r="AQ217" s="171">
        <f t="shared" si="145"/>
        <v>828439029.25714278</v>
      </c>
      <c r="AR217" s="171">
        <f t="shared" si="146"/>
        <v>730000000</v>
      </c>
      <c r="AS217" s="171">
        <f t="shared" si="147"/>
        <v>0</v>
      </c>
      <c r="AT217" s="171">
        <f t="shared" si="148"/>
        <v>1558439029.2571428</v>
      </c>
      <c r="AU217" s="250">
        <f>AT217</f>
        <v>1558439029.2571428</v>
      </c>
      <c r="AV217" s="250"/>
      <c r="AW217" s="250"/>
      <c r="AX217" s="250"/>
      <c r="AY217" s="250"/>
      <c r="AZ217" s="250"/>
      <c r="BA217" s="250"/>
      <c r="BB217" s="251">
        <f t="shared" si="149"/>
        <v>0</v>
      </c>
      <c r="BC217" s="169"/>
      <c r="BD217" s="169"/>
      <c r="BE217" s="169"/>
      <c r="BF217" s="169"/>
    </row>
    <row r="218" spans="1:58" ht="61.9" customHeight="1" outlineLevel="2" x14ac:dyDescent="0.25">
      <c r="A218" s="115"/>
      <c r="B218" s="200"/>
      <c r="C218" s="201"/>
      <c r="D218" s="203"/>
      <c r="E218" s="328"/>
      <c r="F218" s="328"/>
      <c r="G218" s="328"/>
      <c r="H218" s="213" t="s">
        <v>513</v>
      </c>
      <c r="I218" s="130" t="s">
        <v>1</v>
      </c>
      <c r="J218" s="126">
        <v>12</v>
      </c>
      <c r="K218" s="126">
        <v>123</v>
      </c>
      <c r="L218" s="125">
        <f>IF(I218&lt;&gt;0,((VLOOKUP(I218,'1. Standard_Cost'!$B$4:$D$11,2)+VLOOKUP(I218,'1. Standard_Cost'!$B$4:$D$11,3))*J218*K218),"0")</f>
        <v>105966257.14285713</v>
      </c>
      <c r="M218" s="125">
        <f>L218*'1. Standard_Cost'!$F$4</f>
        <v>17696364.942857143</v>
      </c>
      <c r="N218" s="126"/>
      <c r="O218" s="126"/>
      <c r="P218" s="126"/>
      <c r="Q218" s="126"/>
      <c r="R218" s="127">
        <f>'1. Standard_Cost'!$B$15*N218*P218</f>
        <v>0</v>
      </c>
      <c r="S218" s="127">
        <f>N218*O218*P218*'1. Standard_Cost'!$C$15</f>
        <v>0</v>
      </c>
      <c r="T218" s="127">
        <f>N218*P218*Q218*'1. Standard_Cost'!$D$15</f>
        <v>0</v>
      </c>
      <c r="U218" s="127">
        <f>N218*O218*'1. Standard_Cost'!$E$15</f>
        <v>0</v>
      </c>
      <c r="V218" s="126"/>
      <c r="W218" s="126"/>
      <c r="X218" s="126"/>
      <c r="Y218" s="127">
        <f>+V218*((X218*'1. Standard_Cost'!$B$19)+(W218*X218*'1. Standard_Cost'!$C$19))</f>
        <v>0</v>
      </c>
      <c r="Z218" s="126"/>
      <c r="AA218" s="126"/>
      <c r="AB218" s="127">
        <f>+Z218*'1. Standard_Cost'!$B$23+AA218*'1. Standard_Cost'!$C$23</f>
        <v>0</v>
      </c>
      <c r="AC218" s="128">
        <f>220000000*3</f>
        <v>660000000</v>
      </c>
      <c r="AD218" s="129"/>
      <c r="AE218" s="127"/>
      <c r="AF218" s="127">
        <f t="shared" si="144"/>
        <v>660000000</v>
      </c>
      <c r="AG218" s="126"/>
      <c r="AH218" s="126"/>
      <c r="AI218" s="126"/>
      <c r="AJ218" s="130"/>
      <c r="AK218" s="130"/>
      <c r="AL218" s="130"/>
      <c r="AM218" s="127">
        <f>AG218*'1. Standard_Cost'!$B$27+'Incremental_Cost Year 8'!AH218*'1. Standard_Cost'!$C$27+'Incremental_Cost Year 8'!AI218*'1. Standard_Cost'!$D$27+'Incremental_Cost Year 8'!AJ218+'Incremental_Cost Year 8'!AL218+AK218</f>
        <v>0</v>
      </c>
      <c r="AN218" s="127">
        <f>AM218*'1. Standard_Cost'!$C$31</f>
        <v>0</v>
      </c>
      <c r="AO218" s="130"/>
      <c r="AQ218" s="171">
        <f t="shared" si="145"/>
        <v>123662622.08571428</v>
      </c>
      <c r="AR218" s="171">
        <f t="shared" si="146"/>
        <v>660000000</v>
      </c>
      <c r="AS218" s="171">
        <f t="shared" si="147"/>
        <v>0</v>
      </c>
      <c r="AT218" s="171">
        <f t="shared" si="148"/>
        <v>783662622.08571434</v>
      </c>
      <c r="AU218" s="250">
        <f>AT218</f>
        <v>783662622.08571434</v>
      </c>
      <c r="AV218" s="250"/>
      <c r="AW218" s="250"/>
      <c r="AX218" s="250"/>
      <c r="AY218" s="250"/>
      <c r="AZ218" s="250"/>
      <c r="BA218" s="250"/>
      <c r="BB218" s="251">
        <f t="shared" si="149"/>
        <v>0</v>
      </c>
      <c r="BC218" s="169"/>
      <c r="BD218" s="169"/>
      <c r="BE218" s="169"/>
      <c r="BF218" s="169"/>
    </row>
    <row r="219" spans="1:58" ht="61.9" customHeight="1" outlineLevel="2" x14ac:dyDescent="0.25">
      <c r="A219" s="115"/>
      <c r="B219" s="200"/>
      <c r="C219" s="201"/>
      <c r="D219" s="203"/>
      <c r="E219" s="328"/>
      <c r="F219" s="328"/>
      <c r="G219" s="328"/>
      <c r="H219" s="199" t="s">
        <v>514</v>
      </c>
      <c r="I219" s="130" t="s">
        <v>3</v>
      </c>
      <c r="J219" s="126">
        <v>3</v>
      </c>
      <c r="K219" s="126">
        <v>88</v>
      </c>
      <c r="L219" s="125">
        <f>IF(I219&lt;&gt;0,((VLOOKUP(I219,'1. Standard_Cost'!$B$4:$D$11,2)+VLOOKUP(I219,'1. Standard_Cost'!$B$4:$D$11,3))*J219*K219),"0")</f>
        <v>26611200</v>
      </c>
      <c r="M219" s="125">
        <f>L219*'1. Standard_Cost'!$F$4</f>
        <v>4444070.4000000004</v>
      </c>
      <c r="N219" s="126"/>
      <c r="O219" s="126"/>
      <c r="P219" s="126"/>
      <c r="Q219" s="126"/>
      <c r="R219" s="127">
        <f>'1. Standard_Cost'!$B$15*N219*P219</f>
        <v>0</v>
      </c>
      <c r="S219" s="127">
        <f>N219*O219*P219*'1. Standard_Cost'!$C$15</f>
        <v>0</v>
      </c>
      <c r="T219" s="127">
        <f>N219*P219*Q219*'1. Standard_Cost'!$D$15</f>
        <v>0</v>
      </c>
      <c r="U219" s="127">
        <f>N219*O219*'1. Standard_Cost'!$E$15</f>
        <v>0</v>
      </c>
      <c r="V219" s="126"/>
      <c r="W219" s="126"/>
      <c r="X219" s="126"/>
      <c r="Y219" s="127">
        <f>+V219*((X219*'1. Standard_Cost'!$B$19)+(W219*X219*'1. Standard_Cost'!$C$19))</f>
        <v>0</v>
      </c>
      <c r="Z219" s="126"/>
      <c r="AA219" s="126"/>
      <c r="AB219" s="127">
        <f>+Z219*'1. Standard_Cost'!$B$23+AA219*'1. Standard_Cost'!$C$23</f>
        <v>0</v>
      </c>
      <c r="AC219" s="128">
        <v>52163000</v>
      </c>
      <c r="AD219" s="129"/>
      <c r="AE219" s="127"/>
      <c r="AF219" s="127">
        <f t="shared" si="144"/>
        <v>52163000</v>
      </c>
      <c r="AG219" s="126"/>
      <c r="AH219" s="126"/>
      <c r="AI219" s="126"/>
      <c r="AJ219" s="130"/>
      <c r="AK219" s="130"/>
      <c r="AL219" s="130"/>
      <c r="AM219" s="127">
        <f>AG219*'1. Standard_Cost'!$B$27+'Incremental_Cost Year 8'!AH219*'1. Standard_Cost'!$C$27+'Incremental_Cost Year 8'!AI219*'1. Standard_Cost'!$D$27+'Incremental_Cost Year 8'!AJ219+'Incremental_Cost Year 8'!AL219+AK219</f>
        <v>0</v>
      </c>
      <c r="AN219" s="127">
        <f>AM219*'1. Standard_Cost'!$C$31</f>
        <v>0</v>
      </c>
      <c r="AO219" s="130"/>
      <c r="AQ219" s="171">
        <f t="shared" si="145"/>
        <v>31055270.399999999</v>
      </c>
      <c r="AR219" s="171">
        <f t="shared" si="146"/>
        <v>52163000</v>
      </c>
      <c r="AS219" s="171">
        <f t="shared" si="147"/>
        <v>0</v>
      </c>
      <c r="AT219" s="171">
        <f t="shared" si="148"/>
        <v>83218270.400000006</v>
      </c>
      <c r="AU219" s="250">
        <f>AT219</f>
        <v>83218270.400000006</v>
      </c>
      <c r="AV219" s="250"/>
      <c r="AW219" s="250"/>
      <c r="AX219" s="250"/>
      <c r="AY219" s="250"/>
      <c r="AZ219" s="250"/>
      <c r="BA219" s="250"/>
      <c r="BB219" s="251">
        <f t="shared" si="149"/>
        <v>0</v>
      </c>
      <c r="BC219" s="169"/>
      <c r="BD219" s="169"/>
      <c r="BE219" s="169"/>
      <c r="BF219" s="169"/>
    </row>
    <row r="220" spans="1:58" ht="61.9" customHeight="1" outlineLevel="1" x14ac:dyDescent="0.25">
      <c r="A220" s="115"/>
      <c r="B220" s="165"/>
      <c r="C220" s="166"/>
      <c r="D220" s="139" t="s">
        <v>557</v>
      </c>
      <c r="E220" s="212" t="s">
        <v>251</v>
      </c>
      <c r="F220" s="352">
        <v>2021</v>
      </c>
      <c r="G220" s="353">
        <v>2030</v>
      </c>
      <c r="H220" s="150" t="s">
        <v>252</v>
      </c>
      <c r="I220" s="252"/>
      <c r="J220" s="252"/>
      <c r="K220" s="252"/>
      <c r="L220" s="127">
        <f>SUM(L214:L219)</f>
        <v>842465228.57142854</v>
      </c>
      <c r="M220" s="127">
        <f>SUM(M214:M219)</f>
        <v>140691693.17142856</v>
      </c>
      <c r="N220" s="252"/>
      <c r="O220" s="252"/>
      <c r="P220" s="252"/>
      <c r="Q220" s="252"/>
      <c r="R220" s="127">
        <f>SUM(R214:R219)</f>
        <v>0</v>
      </c>
      <c r="S220" s="127">
        <f>SUM(S214:S219)</f>
        <v>0</v>
      </c>
      <c r="T220" s="127">
        <f>SUM(T214:T219)</f>
        <v>0</v>
      </c>
      <c r="U220" s="127">
        <f>SUM(U214:U219)</f>
        <v>0</v>
      </c>
      <c r="V220" s="252"/>
      <c r="W220" s="252"/>
      <c r="X220" s="252"/>
      <c r="Y220" s="127">
        <f>SUM(Y214:Y219)</f>
        <v>0</v>
      </c>
      <c r="Z220" s="127"/>
      <c r="AA220" s="252"/>
      <c r="AB220" s="127">
        <f>SUM(AB214:AB219)</f>
        <v>0</v>
      </c>
      <c r="AC220" s="127">
        <f>SUM(AC214:AC219)</f>
        <v>1442163000</v>
      </c>
      <c r="AD220" s="127">
        <f>SUM(AD214:AD219)</f>
        <v>0</v>
      </c>
      <c r="AE220" s="127">
        <f>SUM(AE214:AE219)</f>
        <v>0</v>
      </c>
      <c r="AF220" s="127">
        <f>SUM(AF214:AF219)</f>
        <v>1442163000</v>
      </c>
      <c r="AG220" s="252"/>
      <c r="AH220" s="252"/>
      <c r="AI220" s="252"/>
      <c r="AJ220" s="127">
        <f>SUM(AJ214:AJ219)</f>
        <v>0</v>
      </c>
      <c r="AK220" s="127">
        <f>SUM(AK214:AK219)</f>
        <v>0</v>
      </c>
      <c r="AL220" s="127">
        <f>SUM(AL214:AL219)</f>
        <v>0</v>
      </c>
      <c r="AM220" s="127">
        <f>SUM(AM214:AM219)</f>
        <v>0</v>
      </c>
      <c r="AN220" s="127">
        <f>SUM(AN214:AN219)</f>
        <v>0</v>
      </c>
      <c r="AO220" s="253"/>
      <c r="AP220" s="254"/>
      <c r="AQ220" s="175">
        <f>SUM(AQ214:AQ219)</f>
        <v>983156921.7428571</v>
      </c>
      <c r="AR220" s="175">
        <f>SUM(AR214:AR219)</f>
        <v>1442163000</v>
      </c>
      <c r="AS220" s="175">
        <f>SUM(AS214:AS219)</f>
        <v>0</v>
      </c>
      <c r="AT220" s="175">
        <f>SUM(AT214:AT219)</f>
        <v>2425319921.7428575</v>
      </c>
      <c r="AU220" s="175">
        <f t="shared" ref="AU220:BB220" si="150">SUM(AU214:AU219)</f>
        <v>2425319921.7428575</v>
      </c>
      <c r="AV220" s="175">
        <f t="shared" si="150"/>
        <v>0</v>
      </c>
      <c r="AW220" s="175">
        <f t="shared" si="150"/>
        <v>0</v>
      </c>
      <c r="AX220" s="175">
        <f t="shared" si="150"/>
        <v>0</v>
      </c>
      <c r="AY220" s="175">
        <f t="shared" si="150"/>
        <v>0</v>
      </c>
      <c r="AZ220" s="175">
        <f t="shared" si="150"/>
        <v>0</v>
      </c>
      <c r="BA220" s="175">
        <f t="shared" si="150"/>
        <v>0</v>
      </c>
      <c r="BB220" s="175">
        <f t="shared" si="150"/>
        <v>0</v>
      </c>
      <c r="BC220" s="169"/>
      <c r="BD220" s="169"/>
      <c r="BE220" s="169"/>
      <c r="BF220" s="169"/>
    </row>
    <row r="221" spans="1:58" s="184" customFormat="1" ht="61.9" customHeight="1" x14ac:dyDescent="0.25">
      <c r="A221" s="143"/>
      <c r="B221" s="332"/>
      <c r="C221" s="397" t="s">
        <v>253</v>
      </c>
      <c r="D221" s="397"/>
      <c r="E221" s="398"/>
      <c r="F221" s="291"/>
      <c r="G221" s="340"/>
      <c r="H221" s="144" t="s">
        <v>300</v>
      </c>
      <c r="I221" s="257"/>
      <c r="J221" s="257"/>
      <c r="K221" s="257"/>
      <c r="L221" s="258">
        <f>SUM(L225)</f>
        <v>0</v>
      </c>
      <c r="M221" s="258">
        <f>SUM(M225)</f>
        <v>0</v>
      </c>
      <c r="N221" s="257"/>
      <c r="O221" s="257"/>
      <c r="P221" s="257"/>
      <c r="Q221" s="257"/>
      <c r="R221" s="258">
        <f>SUM(R225)</f>
        <v>0</v>
      </c>
      <c r="S221" s="258">
        <f>SUM(S225)</f>
        <v>0</v>
      </c>
      <c r="T221" s="258">
        <f>SUM(T225)</f>
        <v>0</v>
      </c>
      <c r="U221" s="258">
        <f>SUM(U225)</f>
        <v>0</v>
      </c>
      <c r="V221" s="257"/>
      <c r="W221" s="257"/>
      <c r="X221" s="257"/>
      <c r="Y221" s="258">
        <f>SUM(Y225)</f>
        <v>0</v>
      </c>
      <c r="Z221" s="258"/>
      <c r="AA221" s="258"/>
      <c r="AB221" s="258">
        <f>SUM(AB225)</f>
        <v>0</v>
      </c>
      <c r="AC221" s="258">
        <f>SUM(AC225)</f>
        <v>0</v>
      </c>
      <c r="AD221" s="258">
        <f>SUM(AD225)</f>
        <v>0</v>
      </c>
      <c r="AE221" s="258">
        <f>SUM(AE225)</f>
        <v>0</v>
      </c>
      <c r="AF221" s="258">
        <f>SUM(AF225)</f>
        <v>0</v>
      </c>
      <c r="AG221" s="257"/>
      <c r="AH221" s="257"/>
      <c r="AI221" s="257"/>
      <c r="AJ221" s="258">
        <f>SUM(AJ225)</f>
        <v>0</v>
      </c>
      <c r="AK221" s="258">
        <f>SUM(AK225)</f>
        <v>0</v>
      </c>
      <c r="AL221" s="258">
        <f>SUM(AL225)</f>
        <v>0</v>
      </c>
      <c r="AM221" s="258">
        <f>SUM(AM225)</f>
        <v>0</v>
      </c>
      <c r="AN221" s="258">
        <f>SUM(AN225)</f>
        <v>0</v>
      </c>
      <c r="AO221" s="259"/>
      <c r="AP221" s="260"/>
      <c r="AQ221" s="261">
        <f>SUM(AQ225)</f>
        <v>0</v>
      </c>
      <c r="AR221" s="261">
        <f>SUM(AR225)</f>
        <v>0</v>
      </c>
      <c r="AS221" s="261">
        <f>SUM(AS225)</f>
        <v>0</v>
      </c>
      <c r="AT221" s="261">
        <f>SUM(AT225)</f>
        <v>0</v>
      </c>
      <c r="AU221" s="261">
        <f t="shared" ref="AU221:BB221" si="151">SUM(AU225)</f>
        <v>0</v>
      </c>
      <c r="AV221" s="261">
        <f t="shared" si="151"/>
        <v>0</v>
      </c>
      <c r="AW221" s="261">
        <f t="shared" si="151"/>
        <v>0</v>
      </c>
      <c r="AX221" s="261">
        <f t="shared" si="151"/>
        <v>0</v>
      </c>
      <c r="AY221" s="261">
        <f t="shared" si="151"/>
        <v>0</v>
      </c>
      <c r="AZ221" s="261">
        <f t="shared" si="151"/>
        <v>0</v>
      </c>
      <c r="BA221" s="261">
        <f t="shared" si="151"/>
        <v>0</v>
      </c>
      <c r="BB221" s="261">
        <f t="shared" si="151"/>
        <v>0</v>
      </c>
    </row>
    <row r="222" spans="1:58" ht="61.9" customHeight="1" outlineLevel="2" x14ac:dyDescent="0.25">
      <c r="A222" s="115"/>
      <c r="B222" s="200"/>
      <c r="C222" s="201"/>
      <c r="D222" s="342"/>
      <c r="E222" s="328"/>
      <c r="F222" s="328"/>
      <c r="G222" s="328"/>
      <c r="H222" s="199" t="s">
        <v>515</v>
      </c>
      <c r="I222" s="130"/>
      <c r="J222" s="126"/>
      <c r="K222" s="126"/>
      <c r="L222" s="125" t="str">
        <f>IF(I222&lt;&gt;0,((VLOOKUP(I222,'1. Standard_Cost'!$B$4:$D$11,2)+VLOOKUP(I222,'1. Standard_Cost'!$B$4:$D$11,3))*J222*K222),"0")</f>
        <v>0</v>
      </c>
      <c r="M222" s="125">
        <f>L222*'1. Standard_Cost'!$F$4</f>
        <v>0</v>
      </c>
      <c r="N222" s="126"/>
      <c r="O222" s="126"/>
      <c r="P222" s="126"/>
      <c r="Q222" s="126"/>
      <c r="R222" s="127">
        <f>'1. Standard_Cost'!$B$15*N222*P222</f>
        <v>0</v>
      </c>
      <c r="S222" s="127">
        <f>N222*O222*P222*'1. Standard_Cost'!$C$15</f>
        <v>0</v>
      </c>
      <c r="T222" s="127">
        <f>N222*P222*Q222*'1. Standard_Cost'!$D$15</f>
        <v>0</v>
      </c>
      <c r="U222" s="127">
        <f>N222*O222*'1. Standard_Cost'!$E$15</f>
        <v>0</v>
      </c>
      <c r="V222" s="126"/>
      <c r="W222" s="126"/>
      <c r="X222" s="126"/>
      <c r="Y222" s="127">
        <f>+V222*((X222*'1. Standard_Cost'!$B$19)+(W222*X222*'1. Standard_Cost'!$C$19))</f>
        <v>0</v>
      </c>
      <c r="Z222" s="126"/>
      <c r="AA222" s="126"/>
      <c r="AB222" s="127">
        <f>+Z222*'1. Standard_Cost'!$B$23+AA222*'1. Standard_Cost'!$C$23</f>
        <v>0</v>
      </c>
      <c r="AC222" s="128"/>
      <c r="AD222" s="129"/>
      <c r="AE222" s="127">
        <f>SUM(AD222,AC222,AB222,Y222,U222,T222,S222,R222)*'1. Standard_Cost'!$B$31</f>
        <v>0</v>
      </c>
      <c r="AF222" s="127">
        <f>SUM(AE222,AD222,AC222,AB222,Y222,U222,T222,S222,R222)</f>
        <v>0</v>
      </c>
      <c r="AG222" s="126"/>
      <c r="AH222" s="126"/>
      <c r="AI222" s="126"/>
      <c r="AJ222" s="130"/>
      <c r="AK222" s="130"/>
      <c r="AL222" s="130"/>
      <c r="AM222" s="127">
        <f>AG222*'1. Standard_Cost'!$B$27+'Incremental_Cost Year 8'!AH222*'1. Standard_Cost'!$C$27+'Incremental_Cost Year 8'!AI222*'1. Standard_Cost'!$D$27+'Incremental_Cost Year 8'!AJ222+'Incremental_Cost Year 8'!AL222+AK222</f>
        <v>0</v>
      </c>
      <c r="AN222" s="127">
        <f>AM222*'1. Standard_Cost'!$C$31</f>
        <v>0</v>
      </c>
      <c r="AO222" s="130"/>
      <c r="AQ222" s="171">
        <f>L222+M222</f>
        <v>0</v>
      </c>
      <c r="AR222" s="171">
        <f>AF222</f>
        <v>0</v>
      </c>
      <c r="AS222" s="171">
        <f>AM222+AN222</f>
        <v>0</v>
      </c>
      <c r="AT222" s="171">
        <f>SUM(AQ222,AR222,AS222)</f>
        <v>0</v>
      </c>
      <c r="AU222" s="250">
        <f>AT222</f>
        <v>0</v>
      </c>
      <c r="AV222" s="250"/>
      <c r="AW222" s="250"/>
      <c r="AX222" s="250"/>
      <c r="AY222" s="250"/>
      <c r="AZ222" s="250"/>
      <c r="BA222" s="250"/>
      <c r="BB222" s="251">
        <f t="shared" ref="BB222:BB224" si="152">SUM(AU222:BA222)-AT222</f>
        <v>0</v>
      </c>
      <c r="BC222" s="169"/>
      <c r="BD222" s="169"/>
      <c r="BE222" s="169"/>
      <c r="BF222" s="169"/>
    </row>
    <row r="223" spans="1:58" ht="61.9" customHeight="1" outlineLevel="2" x14ac:dyDescent="0.25">
      <c r="A223" s="115"/>
      <c r="B223" s="200"/>
      <c r="C223" s="201"/>
      <c r="D223" s="343"/>
      <c r="E223" s="328"/>
      <c r="F223" s="328"/>
      <c r="G223" s="328"/>
      <c r="H223" s="199" t="s">
        <v>516</v>
      </c>
      <c r="I223" s="130"/>
      <c r="J223" s="126"/>
      <c r="K223" s="126"/>
      <c r="L223" s="125" t="str">
        <f>IF(I223&lt;&gt;0,((VLOOKUP(I223,'1. Standard_Cost'!$B$4:$D$11,2)+VLOOKUP(I223,'1. Standard_Cost'!$B$4:$D$11,3))*J223*K223),"0")</f>
        <v>0</v>
      </c>
      <c r="M223" s="125">
        <f>L223*'1. Standard_Cost'!$F$4</f>
        <v>0</v>
      </c>
      <c r="N223" s="126"/>
      <c r="O223" s="126"/>
      <c r="P223" s="126"/>
      <c r="Q223" s="126"/>
      <c r="R223" s="127">
        <f>'1. Standard_Cost'!$B$15*N223*P223</f>
        <v>0</v>
      </c>
      <c r="S223" s="127">
        <f>N223*O223*P223*'1. Standard_Cost'!$C$15</f>
        <v>0</v>
      </c>
      <c r="T223" s="127">
        <f>N223*P223*Q223*'1. Standard_Cost'!$D$15</f>
        <v>0</v>
      </c>
      <c r="U223" s="127">
        <f>N223*O223*'1. Standard_Cost'!$E$15</f>
        <v>0</v>
      </c>
      <c r="V223" s="126"/>
      <c r="W223" s="126"/>
      <c r="X223" s="126"/>
      <c r="Y223" s="127">
        <f>+V223*((X223*'1. Standard_Cost'!$B$19)+(W223*X223*'1. Standard_Cost'!$C$19))</f>
        <v>0</v>
      </c>
      <c r="Z223" s="126"/>
      <c r="AA223" s="126"/>
      <c r="AB223" s="127">
        <f>+Z223*'1. Standard_Cost'!$B$23+AA223*'1. Standard_Cost'!$C$23</f>
        <v>0</v>
      </c>
      <c r="AC223" s="128"/>
      <c r="AD223" s="129"/>
      <c r="AE223" s="127">
        <f>SUM(AD223,AC223,AB223,Y223,U223,T223,S223,R223)*'1. Standard_Cost'!$B$31</f>
        <v>0</v>
      </c>
      <c r="AF223" s="127">
        <f>SUM(AE223,AD223,AC223,AB223,Y223,U223,T223,S223,R223)</f>
        <v>0</v>
      </c>
      <c r="AG223" s="126"/>
      <c r="AH223" s="126"/>
      <c r="AI223" s="126"/>
      <c r="AJ223" s="130"/>
      <c r="AK223" s="130"/>
      <c r="AL223" s="130"/>
      <c r="AM223" s="127">
        <f>AG223*'1. Standard_Cost'!$B$27+'Incremental_Cost Year 8'!AH223*'1. Standard_Cost'!$C$27+'Incremental_Cost Year 8'!AI223*'1. Standard_Cost'!$D$27+'Incremental_Cost Year 8'!AJ223+'Incremental_Cost Year 8'!AL223+AK223</f>
        <v>0</v>
      </c>
      <c r="AN223" s="127">
        <f>AM223*'1. Standard_Cost'!$C$31</f>
        <v>0</v>
      </c>
      <c r="AO223" s="130"/>
      <c r="AQ223" s="171">
        <f>L223+M223</f>
        <v>0</v>
      </c>
      <c r="AR223" s="171">
        <f>AF223</f>
        <v>0</v>
      </c>
      <c r="AS223" s="171">
        <f>AM223+AN223</f>
        <v>0</v>
      </c>
      <c r="AT223" s="171">
        <f>SUM(AQ223,AR223,AS223)</f>
        <v>0</v>
      </c>
      <c r="AU223" s="250">
        <f>AT223</f>
        <v>0</v>
      </c>
      <c r="AV223" s="250"/>
      <c r="AW223" s="250"/>
      <c r="AX223" s="250"/>
      <c r="AY223" s="250"/>
      <c r="AZ223" s="250"/>
      <c r="BA223" s="250"/>
      <c r="BB223" s="251">
        <f t="shared" si="152"/>
        <v>0</v>
      </c>
      <c r="BC223" s="169"/>
      <c r="BD223" s="169"/>
      <c r="BE223" s="169"/>
      <c r="BF223" s="169"/>
    </row>
    <row r="224" spans="1:58" ht="61.9" customHeight="1" outlineLevel="2" x14ac:dyDescent="0.25">
      <c r="A224" s="115"/>
      <c r="B224" s="200"/>
      <c r="C224" s="201"/>
      <c r="D224" s="344"/>
      <c r="E224" s="328"/>
      <c r="F224" s="328"/>
      <c r="G224" s="328"/>
      <c r="H224" s="199" t="s">
        <v>254</v>
      </c>
      <c r="I224" s="130"/>
      <c r="J224" s="126"/>
      <c r="K224" s="126"/>
      <c r="L224" s="125" t="str">
        <f>IF(I224&lt;&gt;0,((VLOOKUP(I224,'1. Standard_Cost'!$B$4:$D$11,2)+VLOOKUP(I224,'1. Standard_Cost'!$B$4:$D$11,3))*J224*K224),"0")</f>
        <v>0</v>
      </c>
      <c r="M224" s="125">
        <f>L224*'1. Standard_Cost'!$F$4</f>
        <v>0</v>
      </c>
      <c r="N224" s="126"/>
      <c r="O224" s="126"/>
      <c r="P224" s="126"/>
      <c r="Q224" s="126"/>
      <c r="R224" s="127">
        <f>'1. Standard_Cost'!$B$15*N224*P224</f>
        <v>0</v>
      </c>
      <c r="S224" s="127">
        <f>N224*O224*P224*'1. Standard_Cost'!$C$15</f>
        <v>0</v>
      </c>
      <c r="T224" s="127">
        <f>N224*P224*Q224*'1. Standard_Cost'!$D$15</f>
        <v>0</v>
      </c>
      <c r="U224" s="127">
        <f>N224*O224*'1. Standard_Cost'!$E$15</f>
        <v>0</v>
      </c>
      <c r="V224" s="126"/>
      <c r="W224" s="126"/>
      <c r="X224" s="126"/>
      <c r="Y224" s="127">
        <f>+V224*((X224*'1. Standard_Cost'!$B$19)+(W224*X224*'1. Standard_Cost'!$C$19))</f>
        <v>0</v>
      </c>
      <c r="Z224" s="126"/>
      <c r="AA224" s="126"/>
      <c r="AB224" s="127">
        <f>+Z224*'1. Standard_Cost'!$B$23+AA224*'1. Standard_Cost'!$C$23</f>
        <v>0</v>
      </c>
      <c r="AC224" s="128"/>
      <c r="AD224" s="129"/>
      <c r="AE224" s="127">
        <f>SUM(AD224,AC224,AB224,Y224,U224,T224,S224,R224)*'1. Standard_Cost'!$B$31</f>
        <v>0</v>
      </c>
      <c r="AF224" s="127">
        <f>SUM(AE224,AD224,AC224,AB224,Y224,U224,T224,S224,R224)</f>
        <v>0</v>
      </c>
      <c r="AG224" s="126"/>
      <c r="AH224" s="126"/>
      <c r="AI224" s="126"/>
      <c r="AJ224" s="130"/>
      <c r="AK224" s="130"/>
      <c r="AL224" s="130"/>
      <c r="AM224" s="127">
        <f>AG224*'1. Standard_Cost'!$B$27+'Incremental_Cost Year 8'!AH224*'1. Standard_Cost'!$C$27+'Incremental_Cost Year 8'!AI224*'1. Standard_Cost'!$D$27+'Incremental_Cost Year 8'!AJ224+'Incremental_Cost Year 8'!AL224+AK224</f>
        <v>0</v>
      </c>
      <c r="AN224" s="127">
        <f>AM224*'1. Standard_Cost'!$C$31</f>
        <v>0</v>
      </c>
      <c r="AO224" s="130"/>
      <c r="AQ224" s="171">
        <f>L224+M224</f>
        <v>0</v>
      </c>
      <c r="AR224" s="171">
        <f>AF224</f>
        <v>0</v>
      </c>
      <c r="AS224" s="171">
        <f>AM224+AN224</f>
        <v>0</v>
      </c>
      <c r="AT224" s="171">
        <f>SUM(AQ224,AR224,AS224)</f>
        <v>0</v>
      </c>
      <c r="AU224" s="250"/>
      <c r="AV224" s="250"/>
      <c r="AW224" s="250"/>
      <c r="AX224" s="250"/>
      <c r="AY224" s="250"/>
      <c r="AZ224" s="250"/>
      <c r="BA224" s="250"/>
      <c r="BB224" s="251">
        <f t="shared" si="152"/>
        <v>0</v>
      </c>
      <c r="BC224" s="169"/>
      <c r="BD224" s="169"/>
      <c r="BE224" s="169"/>
      <c r="BF224" s="169"/>
    </row>
    <row r="225" spans="1:58" ht="61.9" customHeight="1" outlineLevel="1" x14ac:dyDescent="0.25">
      <c r="A225" s="115"/>
      <c r="B225" s="165"/>
      <c r="C225" s="166"/>
      <c r="D225" s="150" t="s">
        <v>240</v>
      </c>
      <c r="E225" s="212" t="s">
        <v>255</v>
      </c>
      <c r="F225" s="142">
        <v>2021</v>
      </c>
      <c r="G225" s="209">
        <v>2022</v>
      </c>
      <c r="H225" s="150" t="s">
        <v>256</v>
      </c>
      <c r="I225" s="252"/>
      <c r="J225" s="252"/>
      <c r="K225" s="252"/>
      <c r="L225" s="127">
        <f>SUM(L222:L224)</f>
        <v>0</v>
      </c>
      <c r="M225" s="127">
        <f>SUM(M222:M224)</f>
        <v>0</v>
      </c>
      <c r="N225" s="252"/>
      <c r="O225" s="252"/>
      <c r="P225" s="252"/>
      <c r="Q225" s="252"/>
      <c r="R225" s="127">
        <f>SUM(R222:R224)</f>
        <v>0</v>
      </c>
      <c r="S225" s="127">
        <f>SUM(S222:S224)</f>
        <v>0</v>
      </c>
      <c r="T225" s="127">
        <f>SUM(T222:T224)</f>
        <v>0</v>
      </c>
      <c r="U225" s="127">
        <f>SUM(U222:U224)</f>
        <v>0</v>
      </c>
      <c r="V225" s="252"/>
      <c r="W225" s="252"/>
      <c r="X225" s="252"/>
      <c r="Y225" s="127">
        <f>SUM(Y222:Y224)</f>
        <v>0</v>
      </c>
      <c r="Z225" s="127"/>
      <c r="AA225" s="252"/>
      <c r="AB225" s="127">
        <f>SUM(AB222:AB224)</f>
        <v>0</v>
      </c>
      <c r="AC225" s="127">
        <f>SUM(AC222:AC224)</f>
        <v>0</v>
      </c>
      <c r="AD225" s="127">
        <f>SUM(AD222:AD224)</f>
        <v>0</v>
      </c>
      <c r="AE225" s="127">
        <f>SUM(AE222:AE224)</f>
        <v>0</v>
      </c>
      <c r="AF225" s="127">
        <f>SUM(AF222:AF224)</f>
        <v>0</v>
      </c>
      <c r="AG225" s="252"/>
      <c r="AH225" s="252"/>
      <c r="AI225" s="252"/>
      <c r="AJ225" s="127">
        <f>SUM(AJ222:AJ224)</f>
        <v>0</v>
      </c>
      <c r="AK225" s="127">
        <f>SUM(AK222:AK224)</f>
        <v>0</v>
      </c>
      <c r="AL225" s="127">
        <f>SUM(AL222:AL224)</f>
        <v>0</v>
      </c>
      <c r="AM225" s="127">
        <f>SUM(AM222:AM224)</f>
        <v>0</v>
      </c>
      <c r="AN225" s="127">
        <f>SUM(AN222:AN224)</f>
        <v>0</v>
      </c>
      <c r="AO225" s="253"/>
      <c r="AP225" s="254"/>
      <c r="AQ225" s="175">
        <f>SUM(AQ222:AQ224)</f>
        <v>0</v>
      </c>
      <c r="AR225" s="175">
        <f>SUM(AR222:AR224)</f>
        <v>0</v>
      </c>
      <c r="AS225" s="175">
        <f>SUM(AS222:AS224)</f>
        <v>0</v>
      </c>
      <c r="AT225" s="175">
        <f>SUM(AT222:AT224)</f>
        <v>0</v>
      </c>
      <c r="AU225" s="175">
        <f t="shared" ref="AU225:BB225" si="153">SUM(AU222:AU224)</f>
        <v>0</v>
      </c>
      <c r="AV225" s="175">
        <f t="shared" si="153"/>
        <v>0</v>
      </c>
      <c r="AW225" s="175">
        <f t="shared" si="153"/>
        <v>0</v>
      </c>
      <c r="AX225" s="175">
        <f t="shared" si="153"/>
        <v>0</v>
      </c>
      <c r="AY225" s="175">
        <f t="shared" si="153"/>
        <v>0</v>
      </c>
      <c r="AZ225" s="175">
        <f t="shared" si="153"/>
        <v>0</v>
      </c>
      <c r="BA225" s="175">
        <f t="shared" si="153"/>
        <v>0</v>
      </c>
      <c r="BB225" s="175">
        <f t="shared" si="153"/>
        <v>0</v>
      </c>
      <c r="BC225" s="169"/>
      <c r="BD225" s="169"/>
      <c r="BE225" s="169"/>
      <c r="BF225" s="169"/>
    </row>
    <row r="226" spans="1:58" s="184" customFormat="1" ht="61.9" customHeight="1" x14ac:dyDescent="0.25">
      <c r="A226" s="143"/>
      <c r="B226" s="332"/>
      <c r="C226" s="397" t="s">
        <v>257</v>
      </c>
      <c r="D226" s="397"/>
      <c r="E226" s="398"/>
      <c r="F226" s="291"/>
      <c r="G226" s="340"/>
      <c r="H226" s="144" t="s">
        <v>301</v>
      </c>
      <c r="I226" s="257"/>
      <c r="J226" s="257"/>
      <c r="K226" s="257"/>
      <c r="L226" s="258">
        <f>SUM(L231)</f>
        <v>70644171.428571418</v>
      </c>
      <c r="M226" s="258">
        <f>SUM(M231)</f>
        <v>11797576.628571428</v>
      </c>
      <c r="N226" s="257"/>
      <c r="O226" s="257"/>
      <c r="P226" s="257"/>
      <c r="Q226" s="257"/>
      <c r="R226" s="258">
        <f>SUM(R231)</f>
        <v>0</v>
      </c>
      <c r="S226" s="258">
        <f>SUM(S231)</f>
        <v>0</v>
      </c>
      <c r="T226" s="258">
        <f>SUM(T231)</f>
        <v>0</v>
      </c>
      <c r="U226" s="258">
        <f>SUM(U231)</f>
        <v>0</v>
      </c>
      <c r="V226" s="257"/>
      <c r="W226" s="257"/>
      <c r="X226" s="257"/>
      <c r="Y226" s="258">
        <f>SUM(Y231)</f>
        <v>0</v>
      </c>
      <c r="Z226" s="258"/>
      <c r="AA226" s="258"/>
      <c r="AB226" s="258">
        <f>SUM(AB231)</f>
        <v>0</v>
      </c>
      <c r="AC226" s="258">
        <f>SUM(AC231)</f>
        <v>300000</v>
      </c>
      <c r="AD226" s="258">
        <f>SUM(AD231)</f>
        <v>0</v>
      </c>
      <c r="AE226" s="258">
        <f>SUM(AE231)</f>
        <v>60000</v>
      </c>
      <c r="AF226" s="258">
        <f>SUM(AF231)</f>
        <v>360000</v>
      </c>
      <c r="AG226" s="257"/>
      <c r="AH226" s="257"/>
      <c r="AI226" s="257"/>
      <c r="AJ226" s="258">
        <f>SUM(AJ231)</f>
        <v>0</v>
      </c>
      <c r="AK226" s="258">
        <f>SUM(AK231)</f>
        <v>0</v>
      </c>
      <c r="AL226" s="258">
        <f>SUM(AL231)</f>
        <v>0</v>
      </c>
      <c r="AM226" s="258">
        <f>SUM(AM231)</f>
        <v>0</v>
      </c>
      <c r="AN226" s="258">
        <f>SUM(AN231)</f>
        <v>0</v>
      </c>
      <c r="AO226" s="259"/>
      <c r="AP226" s="260"/>
      <c r="AQ226" s="261">
        <f>SUM(AQ231)</f>
        <v>82441748.057142854</v>
      </c>
      <c r="AR226" s="261">
        <f>SUM(AR231)</f>
        <v>360000</v>
      </c>
      <c r="AS226" s="261">
        <f>SUM(AS231)</f>
        <v>0</v>
      </c>
      <c r="AT226" s="261">
        <f>SUM(AT231)</f>
        <v>82801748.057142854</v>
      </c>
      <c r="AU226" s="261">
        <f t="shared" ref="AU226:BB226" si="154">SUM(AU231)</f>
        <v>82801748.057142854</v>
      </c>
      <c r="AV226" s="261">
        <f t="shared" si="154"/>
        <v>0</v>
      </c>
      <c r="AW226" s="261">
        <f t="shared" si="154"/>
        <v>0</v>
      </c>
      <c r="AX226" s="261">
        <f t="shared" si="154"/>
        <v>0</v>
      </c>
      <c r="AY226" s="261">
        <f t="shared" si="154"/>
        <v>0</v>
      </c>
      <c r="AZ226" s="261">
        <f t="shared" si="154"/>
        <v>0</v>
      </c>
      <c r="BA226" s="261">
        <f t="shared" si="154"/>
        <v>0</v>
      </c>
      <c r="BB226" s="261">
        <f t="shared" si="154"/>
        <v>0</v>
      </c>
    </row>
    <row r="227" spans="1:58" ht="61.9" customHeight="1" outlineLevel="2" x14ac:dyDescent="0.25">
      <c r="A227" s="115"/>
      <c r="B227" s="200"/>
      <c r="C227" s="201"/>
      <c r="D227" s="210"/>
      <c r="E227" s="328"/>
      <c r="F227" s="328"/>
      <c r="G227" s="328"/>
      <c r="H227" s="199" t="s">
        <v>517</v>
      </c>
      <c r="I227" s="130" t="s">
        <v>1</v>
      </c>
      <c r="J227" s="126">
        <v>12</v>
      </c>
      <c r="K227" s="126">
        <v>72</v>
      </c>
      <c r="L227" s="125">
        <f>IF(I227&lt;&gt;0,((VLOOKUP(I227,'1. Standard_Cost'!$B$4:$D$11,2)+VLOOKUP(I227,'1. Standard_Cost'!$B$4:$D$11,3))*J227*K227),"0")</f>
        <v>62029028.571428567</v>
      </c>
      <c r="M227" s="125">
        <f>L227*'1. Standard_Cost'!$F$4</f>
        <v>10358847.771428572</v>
      </c>
      <c r="N227" s="126"/>
      <c r="O227" s="126"/>
      <c r="P227" s="126"/>
      <c r="Q227" s="126"/>
      <c r="R227" s="127">
        <f>'1. Standard_Cost'!$B$15*N227*P227</f>
        <v>0</v>
      </c>
      <c r="S227" s="127">
        <f>N227*O227*P227*'1. Standard_Cost'!$C$15</f>
        <v>0</v>
      </c>
      <c r="T227" s="127">
        <f>N227*P227*Q227*'1. Standard_Cost'!$D$15</f>
        <v>0</v>
      </c>
      <c r="U227" s="127">
        <f>N227*O227*'1. Standard_Cost'!$E$15</f>
        <v>0</v>
      </c>
      <c r="V227" s="126"/>
      <c r="W227" s="126"/>
      <c r="X227" s="126"/>
      <c r="Y227" s="127">
        <f>+V227*((X227*'1. Standard_Cost'!$B$19)+(W227*X227*'1. Standard_Cost'!$C$19))</f>
        <v>0</v>
      </c>
      <c r="Z227" s="126"/>
      <c r="AA227" s="126"/>
      <c r="AB227" s="127">
        <f>+Z227*'1. Standard_Cost'!$B$23+AA227*'1. Standard_Cost'!$C$23</f>
        <v>0</v>
      </c>
      <c r="AC227" s="128"/>
      <c r="AD227" s="129"/>
      <c r="AE227" s="127">
        <f>SUM(AD227,AC227,AB227,Y227,U227,T227,S227,R227)*'1. Standard_Cost'!$B$31</f>
        <v>0</v>
      </c>
      <c r="AF227" s="127">
        <f>SUM(AE227,AD227,AC227,AB227,Y227,U227,T227,S227,R227)</f>
        <v>0</v>
      </c>
      <c r="AG227" s="126"/>
      <c r="AH227" s="126"/>
      <c r="AI227" s="126"/>
      <c r="AJ227" s="130"/>
      <c r="AK227" s="130"/>
      <c r="AL227" s="130"/>
      <c r="AM227" s="127">
        <f>AG227*'1. Standard_Cost'!$B$27+'Incremental_Cost Year 8'!AH227*'1. Standard_Cost'!$C$27+'Incremental_Cost Year 8'!AI227*'1. Standard_Cost'!$D$27+'Incremental_Cost Year 8'!AJ227+'Incremental_Cost Year 8'!AL227+AK227</f>
        <v>0</v>
      </c>
      <c r="AN227" s="127">
        <f>AM227*'1. Standard_Cost'!$C$31</f>
        <v>0</v>
      </c>
      <c r="AO227" s="130"/>
      <c r="AQ227" s="171">
        <f>L227+M227</f>
        <v>72387876.342857137</v>
      </c>
      <c r="AR227" s="171">
        <f>AF227</f>
        <v>0</v>
      </c>
      <c r="AS227" s="171">
        <f>AM227+AN227</f>
        <v>0</v>
      </c>
      <c r="AT227" s="171">
        <f>SUM(AQ227,AR227,AS227)</f>
        <v>72387876.342857137</v>
      </c>
      <c r="AU227" s="250">
        <f>AT227</f>
        <v>72387876.342857137</v>
      </c>
      <c r="AV227" s="250"/>
      <c r="AW227" s="250"/>
      <c r="AX227" s="250"/>
      <c r="AY227" s="250"/>
      <c r="AZ227" s="250"/>
      <c r="BA227" s="250"/>
      <c r="BB227" s="251">
        <f t="shared" ref="BB227:BB230" si="155">SUM(AU227:BA227)-AT227</f>
        <v>0</v>
      </c>
      <c r="BC227" s="169"/>
      <c r="BD227" s="169"/>
      <c r="BE227" s="169"/>
      <c r="BF227" s="169"/>
    </row>
    <row r="228" spans="1:58" ht="61.9" customHeight="1" outlineLevel="2" x14ac:dyDescent="0.25">
      <c r="A228" s="115"/>
      <c r="B228" s="200"/>
      <c r="C228" s="201"/>
      <c r="D228" s="203"/>
      <c r="E228" s="328"/>
      <c r="F228" s="328"/>
      <c r="G228" s="328"/>
      <c r="H228" s="199" t="s">
        <v>518</v>
      </c>
      <c r="I228" s="130" t="s">
        <v>1</v>
      </c>
      <c r="J228" s="126">
        <v>12</v>
      </c>
      <c r="K228" s="126">
        <v>10</v>
      </c>
      <c r="L228" s="125">
        <f>IF(I228&lt;&gt;0,((VLOOKUP(I228,'1. Standard_Cost'!$B$4:$D$11,2)+VLOOKUP(I228,'1. Standard_Cost'!$B$4:$D$11,3))*J228*K228),"0")</f>
        <v>8615142.8571428563</v>
      </c>
      <c r="M228" s="125">
        <f>L228*'1. Standard_Cost'!$F$4</f>
        <v>1438728.857142857</v>
      </c>
      <c r="N228" s="126"/>
      <c r="O228" s="126"/>
      <c r="P228" s="126"/>
      <c r="Q228" s="126"/>
      <c r="R228" s="127">
        <f>'1. Standard_Cost'!$B$15*N228*P228</f>
        <v>0</v>
      </c>
      <c r="S228" s="127">
        <f>N228*O228*P228*'1. Standard_Cost'!$C$15</f>
        <v>0</v>
      </c>
      <c r="T228" s="127">
        <f>N228*P228*Q228*'1. Standard_Cost'!$D$15</f>
        <v>0</v>
      </c>
      <c r="U228" s="127">
        <f>N228*O228*'1. Standard_Cost'!$E$15</f>
        <v>0</v>
      </c>
      <c r="V228" s="126"/>
      <c r="W228" s="126"/>
      <c r="X228" s="126"/>
      <c r="Y228" s="127">
        <f>+V228*((X228*'1. Standard_Cost'!$B$19)+(W228*X228*'1. Standard_Cost'!$C$19))</f>
        <v>0</v>
      </c>
      <c r="Z228" s="126"/>
      <c r="AA228" s="126"/>
      <c r="AB228" s="127">
        <f>+Z228*'1. Standard_Cost'!$B$23+AA228*'1. Standard_Cost'!$C$23</f>
        <v>0</v>
      </c>
      <c r="AC228" s="128">
        <f>300000</f>
        <v>300000</v>
      </c>
      <c r="AD228" s="129"/>
      <c r="AE228" s="127">
        <f>SUM(AD228,AC228,AB228,Y228,U228,T228,S228,R228)*'1. Standard_Cost'!$B$31</f>
        <v>60000</v>
      </c>
      <c r="AF228" s="127">
        <f>SUM(AE228,AD228,AC228,AB228,Y228,U228,T228,S228,R228)</f>
        <v>360000</v>
      </c>
      <c r="AG228" s="126"/>
      <c r="AH228" s="126"/>
      <c r="AI228" s="126"/>
      <c r="AJ228" s="130"/>
      <c r="AK228" s="130"/>
      <c r="AL228" s="130"/>
      <c r="AM228" s="127">
        <f>AG228*'1. Standard_Cost'!$B$27+'Incremental_Cost Year 8'!AH228*'1. Standard_Cost'!$C$27+'Incremental_Cost Year 8'!AI228*'1. Standard_Cost'!$D$27+'Incremental_Cost Year 8'!AJ228+'Incremental_Cost Year 8'!AL228+AK228</f>
        <v>0</v>
      </c>
      <c r="AN228" s="127">
        <f>AM228*'1. Standard_Cost'!$C$31</f>
        <v>0</v>
      </c>
      <c r="AO228" s="130"/>
      <c r="AQ228" s="171">
        <f>L228+M228</f>
        <v>10053871.714285713</v>
      </c>
      <c r="AR228" s="171">
        <f>AF228</f>
        <v>360000</v>
      </c>
      <c r="AS228" s="171">
        <f>AM228+AN228</f>
        <v>0</v>
      </c>
      <c r="AT228" s="171">
        <f>SUM(AQ228,AR228,AS228)</f>
        <v>10413871.714285713</v>
      </c>
      <c r="AU228" s="250">
        <f>AT228</f>
        <v>10413871.714285713</v>
      </c>
      <c r="AV228" s="250"/>
      <c r="AW228" s="250"/>
      <c r="AX228" s="250"/>
      <c r="AY228" s="250"/>
      <c r="AZ228" s="250"/>
      <c r="BA228" s="250"/>
      <c r="BB228" s="251">
        <f t="shared" si="155"/>
        <v>0</v>
      </c>
      <c r="BC228" s="169"/>
      <c r="BD228" s="169"/>
      <c r="BE228" s="169"/>
      <c r="BF228" s="169"/>
    </row>
    <row r="229" spans="1:58" ht="61.9" customHeight="1" outlineLevel="2" x14ac:dyDescent="0.25">
      <c r="A229" s="115"/>
      <c r="B229" s="200"/>
      <c r="C229" s="201"/>
      <c r="D229" s="203"/>
      <c r="E229" s="328"/>
      <c r="F229" s="328"/>
      <c r="G229" s="328"/>
      <c r="H229" s="199" t="s">
        <v>519</v>
      </c>
      <c r="I229" s="130"/>
      <c r="J229" s="126"/>
      <c r="K229" s="126"/>
      <c r="L229" s="125" t="str">
        <f>IF(I229&lt;&gt;0,((VLOOKUP(I229,'1. Standard_Cost'!$B$4:$D$11,2)+VLOOKUP(I229,'1. Standard_Cost'!$B$4:$D$11,3))*J229*K229),"0")</f>
        <v>0</v>
      </c>
      <c r="M229" s="125">
        <f>L229*'1. Standard_Cost'!$F$4</f>
        <v>0</v>
      </c>
      <c r="N229" s="126"/>
      <c r="O229" s="126"/>
      <c r="P229" s="126"/>
      <c r="Q229" s="126"/>
      <c r="R229" s="127">
        <f>'1. Standard_Cost'!$B$15*N229*P229</f>
        <v>0</v>
      </c>
      <c r="S229" s="127">
        <f>N229*O229*P229*'1. Standard_Cost'!$C$15</f>
        <v>0</v>
      </c>
      <c r="T229" s="127">
        <f>N229*P229*Q229*'1. Standard_Cost'!$D$15</f>
        <v>0</v>
      </c>
      <c r="U229" s="127">
        <f>N229*O229*'1. Standard_Cost'!$E$15</f>
        <v>0</v>
      </c>
      <c r="V229" s="126"/>
      <c r="W229" s="126"/>
      <c r="X229" s="126"/>
      <c r="Y229" s="127">
        <f>+V229*((X229*'1. Standard_Cost'!$B$19)+(W229*X229*'1. Standard_Cost'!$C$19))</f>
        <v>0</v>
      </c>
      <c r="Z229" s="126"/>
      <c r="AA229" s="126"/>
      <c r="AB229" s="127">
        <f>+Z229*'1. Standard_Cost'!$B$23+AA229*'1. Standard_Cost'!$C$23</f>
        <v>0</v>
      </c>
      <c r="AC229" s="128"/>
      <c r="AD229" s="129"/>
      <c r="AE229" s="127">
        <f>SUM(AD229,AC229,AB229,Y229,U229,T229,S229,R229)*'1. Standard_Cost'!$B$31</f>
        <v>0</v>
      </c>
      <c r="AF229" s="127">
        <f>SUM(AE229,AD229,AC229,AB229,Y229,U229,T229,S229,R229)</f>
        <v>0</v>
      </c>
      <c r="AG229" s="126"/>
      <c r="AH229" s="126"/>
      <c r="AI229" s="126"/>
      <c r="AJ229" s="130"/>
      <c r="AK229" s="130"/>
      <c r="AL229" s="130"/>
      <c r="AM229" s="127">
        <f>AG229*'1. Standard_Cost'!$B$27+'Incremental_Cost Year 8'!AH229*'1. Standard_Cost'!$C$27+'Incremental_Cost Year 8'!AI229*'1. Standard_Cost'!$D$27+'Incremental_Cost Year 8'!AJ229+'Incremental_Cost Year 8'!AL229+AK229</f>
        <v>0</v>
      </c>
      <c r="AN229" s="127">
        <f>AM229*'1. Standard_Cost'!$C$31</f>
        <v>0</v>
      </c>
      <c r="AO229" s="130"/>
      <c r="AQ229" s="171">
        <f>L229+M229</f>
        <v>0</v>
      </c>
      <c r="AR229" s="171">
        <f>AF229</f>
        <v>0</v>
      </c>
      <c r="AS229" s="171">
        <f>AM229+AN229</f>
        <v>0</v>
      </c>
      <c r="AT229" s="171">
        <f>SUM(AQ229,AR229,AS229)</f>
        <v>0</v>
      </c>
      <c r="AU229" s="250">
        <f>AQ229</f>
        <v>0</v>
      </c>
      <c r="AV229" s="250"/>
      <c r="AW229" s="250"/>
      <c r="AX229" s="250"/>
      <c r="AY229" s="250"/>
      <c r="AZ229" s="250"/>
      <c r="BA229" s="250"/>
      <c r="BB229" s="251">
        <f t="shared" si="155"/>
        <v>0</v>
      </c>
      <c r="BC229" s="169"/>
      <c r="BD229" s="169"/>
      <c r="BE229" s="169"/>
      <c r="BF229" s="169"/>
    </row>
    <row r="230" spans="1:58" ht="61.9" customHeight="1" outlineLevel="2" x14ac:dyDescent="0.25">
      <c r="A230" s="115"/>
      <c r="B230" s="200"/>
      <c r="C230" s="201"/>
      <c r="D230" s="133"/>
      <c r="E230" s="328"/>
      <c r="F230" s="328"/>
      <c r="G230" s="328"/>
      <c r="H230" s="199" t="s">
        <v>520</v>
      </c>
      <c r="I230" s="130"/>
      <c r="J230" s="126"/>
      <c r="K230" s="126"/>
      <c r="L230" s="125" t="str">
        <f>IF(I230&lt;&gt;0,((VLOOKUP(I230,'1. Standard_Cost'!$B$4:$D$11,2)+VLOOKUP(I230,'1. Standard_Cost'!$B$4:$D$11,3))*J230*K230),"0")</f>
        <v>0</v>
      </c>
      <c r="M230" s="125">
        <f>L230*'1. Standard_Cost'!$F$4</f>
        <v>0</v>
      </c>
      <c r="N230" s="126"/>
      <c r="O230" s="126"/>
      <c r="P230" s="126"/>
      <c r="Q230" s="126"/>
      <c r="R230" s="127">
        <f>'1. Standard_Cost'!$B$15*N230*P230</f>
        <v>0</v>
      </c>
      <c r="S230" s="127">
        <f>N230*O230*P230*'1. Standard_Cost'!$C$15</f>
        <v>0</v>
      </c>
      <c r="T230" s="127">
        <f>N230*P230*Q230*'1. Standard_Cost'!$D$15</f>
        <v>0</v>
      </c>
      <c r="U230" s="127">
        <f>N230*O230*'1. Standard_Cost'!$E$15</f>
        <v>0</v>
      </c>
      <c r="V230" s="126"/>
      <c r="W230" s="126"/>
      <c r="X230" s="126"/>
      <c r="Y230" s="127">
        <f>+V230*((X230*'1. Standard_Cost'!$B$19)+(W230*X230*'1. Standard_Cost'!$C$19))</f>
        <v>0</v>
      </c>
      <c r="Z230" s="126"/>
      <c r="AA230" s="126"/>
      <c r="AB230" s="127">
        <f>+Z230*'1. Standard_Cost'!$B$23+AA230*'1. Standard_Cost'!$C$23</f>
        <v>0</v>
      </c>
      <c r="AC230" s="128"/>
      <c r="AD230" s="129"/>
      <c r="AE230" s="127">
        <f>SUM(AD230,AC230,AB230,Y230,U230,T230,S230,R230)*'1. Standard_Cost'!$B$31</f>
        <v>0</v>
      </c>
      <c r="AF230" s="127">
        <f>SUM(AE230,AD230,AC230,AB230,Y230,U230,T230,S230,R230)</f>
        <v>0</v>
      </c>
      <c r="AG230" s="126"/>
      <c r="AH230" s="126"/>
      <c r="AI230" s="126"/>
      <c r="AJ230" s="130"/>
      <c r="AK230" s="130"/>
      <c r="AL230" s="130"/>
      <c r="AM230" s="127">
        <f>AG230*'1. Standard_Cost'!$B$27+'Incremental_Cost Year 8'!AH230*'1. Standard_Cost'!$C$27+'Incremental_Cost Year 8'!AI230*'1. Standard_Cost'!$D$27+'Incremental_Cost Year 8'!AJ230+'Incremental_Cost Year 8'!AL230+AK230</f>
        <v>0</v>
      </c>
      <c r="AN230" s="127">
        <f>AM230*'1. Standard_Cost'!$C$31</f>
        <v>0</v>
      </c>
      <c r="AO230" s="130"/>
      <c r="AQ230" s="171">
        <f>L230+M230</f>
        <v>0</v>
      </c>
      <c r="AR230" s="171">
        <f>AF230</f>
        <v>0</v>
      </c>
      <c r="AS230" s="171">
        <f>AM230+AN230</f>
        <v>0</v>
      </c>
      <c r="AT230" s="171">
        <f>SUM(AQ230,AR230,AS230)</f>
        <v>0</v>
      </c>
      <c r="AU230" s="250">
        <f>AQ230</f>
        <v>0</v>
      </c>
      <c r="AV230" s="250"/>
      <c r="AW230" s="250"/>
      <c r="AX230" s="250"/>
      <c r="AY230" s="250"/>
      <c r="AZ230" s="250"/>
      <c r="BA230" s="250"/>
      <c r="BB230" s="251">
        <f t="shared" si="155"/>
        <v>0</v>
      </c>
      <c r="BC230" s="169"/>
      <c r="BD230" s="169"/>
      <c r="BE230" s="169"/>
      <c r="BF230" s="169"/>
    </row>
    <row r="231" spans="1:58" ht="61.9" customHeight="1" outlineLevel="1" x14ac:dyDescent="0.25">
      <c r="A231" s="115"/>
      <c r="B231" s="165"/>
      <c r="C231" s="166"/>
      <c r="D231" s="107" t="s">
        <v>507</v>
      </c>
      <c r="E231" s="212" t="s">
        <v>259</v>
      </c>
      <c r="F231" s="142">
        <v>2021</v>
      </c>
      <c r="G231" s="209">
        <v>2025</v>
      </c>
      <c r="H231" s="150" t="s">
        <v>260</v>
      </c>
      <c r="I231" s="252"/>
      <c r="J231" s="252"/>
      <c r="K231" s="252"/>
      <c r="L231" s="127">
        <f>SUM(L227:L230)</f>
        <v>70644171.428571418</v>
      </c>
      <c r="M231" s="127">
        <f>SUM(M227:M230)</f>
        <v>11797576.628571428</v>
      </c>
      <c r="N231" s="252"/>
      <c r="O231" s="252"/>
      <c r="P231" s="252"/>
      <c r="Q231" s="252"/>
      <c r="R231" s="127">
        <f>SUM(R227:R230)</f>
        <v>0</v>
      </c>
      <c r="S231" s="127">
        <f>SUM(S227:S230)</f>
        <v>0</v>
      </c>
      <c r="T231" s="127">
        <f>SUM(T227:T230)</f>
        <v>0</v>
      </c>
      <c r="U231" s="127">
        <f>SUM(U227:U230)</f>
        <v>0</v>
      </c>
      <c r="V231" s="252"/>
      <c r="W231" s="252"/>
      <c r="X231" s="252"/>
      <c r="Y231" s="127">
        <f>SUM(Y227:Y230)</f>
        <v>0</v>
      </c>
      <c r="Z231" s="127"/>
      <c r="AA231" s="252"/>
      <c r="AB231" s="127">
        <f>SUM(AB227:AB230)</f>
        <v>0</v>
      </c>
      <c r="AC231" s="127">
        <f>SUM(AC227:AC230)</f>
        <v>300000</v>
      </c>
      <c r="AD231" s="127">
        <f>SUM(AD227:AD230)</f>
        <v>0</v>
      </c>
      <c r="AE231" s="127">
        <f>SUM(AE227:AE230)</f>
        <v>60000</v>
      </c>
      <c r="AF231" s="127">
        <f>SUM(AF227:AF230)</f>
        <v>360000</v>
      </c>
      <c r="AG231" s="252"/>
      <c r="AH231" s="252"/>
      <c r="AI231" s="252"/>
      <c r="AJ231" s="127">
        <f>SUM(AJ227:AJ230)</f>
        <v>0</v>
      </c>
      <c r="AK231" s="127">
        <f>SUM(AK227:AK230)</f>
        <v>0</v>
      </c>
      <c r="AL231" s="127">
        <f>SUM(AL227:AL230)</f>
        <v>0</v>
      </c>
      <c r="AM231" s="127">
        <f>SUM(AM227:AM230)</f>
        <v>0</v>
      </c>
      <c r="AN231" s="127">
        <f>SUM(AN227:AN230)</f>
        <v>0</v>
      </c>
      <c r="AO231" s="253"/>
      <c r="AP231" s="254"/>
      <c r="AQ231" s="175">
        <f>SUM(AQ227:AQ230)</f>
        <v>82441748.057142854</v>
      </c>
      <c r="AR231" s="175">
        <f>SUM(AR227:AR230)</f>
        <v>360000</v>
      </c>
      <c r="AS231" s="175">
        <f>SUM(AS227:AS230)</f>
        <v>0</v>
      </c>
      <c r="AT231" s="175">
        <f>SUM(AT227:AT230)</f>
        <v>82801748.057142854</v>
      </c>
      <c r="AU231" s="175">
        <f t="shared" ref="AU231:BB231" si="156">SUM(AU227:AU230)</f>
        <v>82801748.057142854</v>
      </c>
      <c r="AV231" s="175">
        <f t="shared" si="156"/>
        <v>0</v>
      </c>
      <c r="AW231" s="175">
        <f t="shared" si="156"/>
        <v>0</v>
      </c>
      <c r="AX231" s="175">
        <f t="shared" si="156"/>
        <v>0</v>
      </c>
      <c r="AY231" s="175">
        <f t="shared" si="156"/>
        <v>0</v>
      </c>
      <c r="AZ231" s="175">
        <f t="shared" si="156"/>
        <v>0</v>
      </c>
      <c r="BA231" s="175">
        <f t="shared" si="156"/>
        <v>0</v>
      </c>
      <c r="BB231" s="175">
        <f t="shared" si="156"/>
        <v>0</v>
      </c>
      <c r="BC231" s="169"/>
      <c r="BD231" s="169"/>
      <c r="BE231" s="169"/>
      <c r="BF231" s="169"/>
    </row>
    <row r="232" spans="1:58" s="184" customFormat="1" ht="61.9" customHeight="1" x14ac:dyDescent="0.25">
      <c r="A232" s="143"/>
      <c r="B232" s="332"/>
      <c r="C232" s="397" t="s">
        <v>261</v>
      </c>
      <c r="D232" s="397"/>
      <c r="E232" s="398"/>
      <c r="F232" s="291"/>
      <c r="G232" s="340"/>
      <c r="H232" s="144" t="s">
        <v>302</v>
      </c>
      <c r="I232" s="257"/>
      <c r="J232" s="257"/>
      <c r="K232" s="257"/>
      <c r="L232" s="258">
        <f>SUM(L237)</f>
        <v>0</v>
      </c>
      <c r="M232" s="258">
        <f>SUM(M237)</f>
        <v>0</v>
      </c>
      <c r="N232" s="257"/>
      <c r="O232" s="257"/>
      <c r="P232" s="257"/>
      <c r="Q232" s="257"/>
      <c r="R232" s="258">
        <f>SUM(R237)</f>
        <v>0</v>
      </c>
      <c r="S232" s="258">
        <f>SUM(S237)</f>
        <v>0</v>
      </c>
      <c r="T232" s="258">
        <f>SUM(T237)</f>
        <v>0</v>
      </c>
      <c r="U232" s="258">
        <f>SUM(U237)</f>
        <v>0</v>
      </c>
      <c r="V232" s="257"/>
      <c r="W232" s="257"/>
      <c r="X232" s="257"/>
      <c r="Y232" s="258">
        <f>SUM(Y237)</f>
        <v>0</v>
      </c>
      <c r="Z232" s="258"/>
      <c r="AA232" s="258"/>
      <c r="AB232" s="258">
        <f>SUM(AB237)</f>
        <v>0</v>
      </c>
      <c r="AC232" s="258">
        <f>SUM(AC237)</f>
        <v>0</v>
      </c>
      <c r="AD232" s="258">
        <f>SUM(AD237)</f>
        <v>0</v>
      </c>
      <c r="AE232" s="258">
        <f>SUM(AE237)</f>
        <v>0</v>
      </c>
      <c r="AF232" s="258">
        <f>SUM(AF237)</f>
        <v>0</v>
      </c>
      <c r="AG232" s="257"/>
      <c r="AH232" s="257"/>
      <c r="AI232" s="257"/>
      <c r="AJ232" s="258">
        <f>SUM(AJ237)</f>
        <v>0</v>
      </c>
      <c r="AK232" s="258">
        <f>SUM(AK237)</f>
        <v>0</v>
      </c>
      <c r="AL232" s="258">
        <f>SUM(AL237)</f>
        <v>0</v>
      </c>
      <c r="AM232" s="258">
        <f>SUM(AM237)</f>
        <v>0</v>
      </c>
      <c r="AN232" s="258">
        <f>SUM(AN237)</f>
        <v>0</v>
      </c>
      <c r="AO232" s="259"/>
      <c r="AP232" s="260"/>
      <c r="AQ232" s="261">
        <f>SUM(AQ237)</f>
        <v>0</v>
      </c>
      <c r="AR232" s="261">
        <f>SUM(AR237)</f>
        <v>0</v>
      </c>
      <c r="AS232" s="261">
        <f>SUM(AS237)</f>
        <v>0</v>
      </c>
      <c r="AT232" s="261">
        <f>SUM(AT237)</f>
        <v>0</v>
      </c>
      <c r="AU232" s="261">
        <f t="shared" ref="AU232:BB232" si="157">SUM(AU237)</f>
        <v>0</v>
      </c>
      <c r="AV232" s="261">
        <f t="shared" si="157"/>
        <v>0</v>
      </c>
      <c r="AW232" s="261">
        <f t="shared" si="157"/>
        <v>0</v>
      </c>
      <c r="AX232" s="261">
        <f t="shared" si="157"/>
        <v>0</v>
      </c>
      <c r="AY232" s="261">
        <f t="shared" si="157"/>
        <v>0</v>
      </c>
      <c r="AZ232" s="261">
        <f t="shared" si="157"/>
        <v>0</v>
      </c>
      <c r="BA232" s="261">
        <f t="shared" si="157"/>
        <v>0</v>
      </c>
      <c r="BB232" s="261">
        <f t="shared" si="157"/>
        <v>0</v>
      </c>
    </row>
    <row r="233" spans="1:58" ht="61.9" customHeight="1" outlineLevel="2" x14ac:dyDescent="0.25">
      <c r="A233" s="115"/>
      <c r="B233" s="200"/>
      <c r="C233" s="201"/>
      <c r="D233" s="342"/>
      <c r="E233" s="328"/>
      <c r="F233" s="328"/>
      <c r="G233" s="328"/>
      <c r="H233" s="213" t="s">
        <v>521</v>
      </c>
      <c r="I233" s="130"/>
      <c r="J233" s="126"/>
      <c r="K233" s="126"/>
      <c r="L233" s="125" t="str">
        <f>IF(I233&lt;&gt;0,((VLOOKUP(I233,'1. Standard_Cost'!$B$4:$D$11,2)+VLOOKUP(I233,'1. Standard_Cost'!$B$4:$D$11,3))*J233*K233),"0")</f>
        <v>0</v>
      </c>
      <c r="M233" s="125">
        <f>L233*'1. Standard_Cost'!$F$4</f>
        <v>0</v>
      </c>
      <c r="N233" s="126"/>
      <c r="O233" s="126"/>
      <c r="P233" s="126"/>
      <c r="Q233" s="126"/>
      <c r="R233" s="127">
        <f>'1. Standard_Cost'!$B$15*N233*P233</f>
        <v>0</v>
      </c>
      <c r="S233" s="127">
        <f>N233*O233*P233*'1. Standard_Cost'!$C$15</f>
        <v>0</v>
      </c>
      <c r="T233" s="127">
        <f>N233*P233*Q233*'1. Standard_Cost'!$D$15</f>
        <v>0</v>
      </c>
      <c r="U233" s="127">
        <f>N233*O233*'1. Standard_Cost'!$E$15</f>
        <v>0</v>
      </c>
      <c r="V233" s="126"/>
      <c r="W233" s="126"/>
      <c r="X233" s="126"/>
      <c r="Y233" s="127">
        <f>+V233*((X233*'1. Standard_Cost'!$B$19)+(W233*X233*'1. Standard_Cost'!$C$19))</f>
        <v>0</v>
      </c>
      <c r="Z233" s="126"/>
      <c r="AA233" s="126"/>
      <c r="AB233" s="127">
        <f>+Z233*'1. Standard_Cost'!$B$23+AA233*'1. Standard_Cost'!$C$23</f>
        <v>0</v>
      </c>
      <c r="AC233" s="128"/>
      <c r="AD233" s="129"/>
      <c r="AE233" s="127">
        <f>SUM(AD233,AC233,AB233,Y233,U233,T233,S233,R233)*'1. Standard_Cost'!$B$31</f>
        <v>0</v>
      </c>
      <c r="AF233" s="127">
        <f>SUM(AE233,AD233,AC233,AB233,Y233,U233,T233,S233,R233)</f>
        <v>0</v>
      </c>
      <c r="AG233" s="126"/>
      <c r="AH233" s="126"/>
      <c r="AI233" s="126"/>
      <c r="AJ233" s="130"/>
      <c r="AK233" s="130"/>
      <c r="AL233" s="130"/>
      <c r="AM233" s="127">
        <f>AG233*'1. Standard_Cost'!$B$27+'Incremental_Cost Year 8'!AH233*'1. Standard_Cost'!$C$27+'Incremental_Cost Year 8'!AI233*'1. Standard_Cost'!$D$27+'Incremental_Cost Year 8'!AJ233+'Incremental_Cost Year 8'!AL233+AK233</f>
        <v>0</v>
      </c>
      <c r="AN233" s="127">
        <f>AM233*'1. Standard_Cost'!$C$31</f>
        <v>0</v>
      </c>
      <c r="AO233" s="130"/>
      <c r="AQ233" s="171">
        <f>L233+M233</f>
        <v>0</v>
      </c>
      <c r="AR233" s="171">
        <f>AF233</f>
        <v>0</v>
      </c>
      <c r="AS233" s="171">
        <f>AM233+AN233</f>
        <v>0</v>
      </c>
      <c r="AT233" s="171">
        <f>SUM(AQ233,AR233,AS233)</f>
        <v>0</v>
      </c>
      <c r="AU233" s="250">
        <f>AT233</f>
        <v>0</v>
      </c>
      <c r="AV233" s="250"/>
      <c r="AW233" s="250"/>
      <c r="AX233" s="250"/>
      <c r="AY233" s="250"/>
      <c r="AZ233" s="250"/>
      <c r="BA233" s="250"/>
      <c r="BB233" s="251">
        <f t="shared" ref="BB233:BB236" si="158">SUM(AU233:BA233)-AT233</f>
        <v>0</v>
      </c>
      <c r="BC233" s="169"/>
      <c r="BD233" s="169"/>
      <c r="BE233" s="169"/>
      <c r="BF233" s="169"/>
    </row>
    <row r="234" spans="1:58" ht="61.9" customHeight="1" outlineLevel="2" x14ac:dyDescent="0.25">
      <c r="A234" s="115"/>
      <c r="B234" s="200"/>
      <c r="C234" s="201"/>
      <c r="D234" s="343"/>
      <c r="E234" s="328"/>
      <c r="F234" s="328"/>
      <c r="G234" s="328"/>
      <c r="H234" s="199" t="s">
        <v>522</v>
      </c>
      <c r="I234" s="130"/>
      <c r="J234" s="126"/>
      <c r="K234" s="126"/>
      <c r="L234" s="125" t="str">
        <f>IF(I234&lt;&gt;0,((VLOOKUP(I234,'1. Standard_Cost'!$B$4:$D$11,2)+VLOOKUP(I234,'1. Standard_Cost'!$B$4:$D$11,3))*J234*K234),"0")</f>
        <v>0</v>
      </c>
      <c r="M234" s="125">
        <f>L234*'1. Standard_Cost'!$F$4</f>
        <v>0</v>
      </c>
      <c r="N234" s="126"/>
      <c r="O234" s="126"/>
      <c r="P234" s="126"/>
      <c r="Q234" s="126"/>
      <c r="R234" s="127">
        <f>'1. Standard_Cost'!$B$15*N234*P234</f>
        <v>0</v>
      </c>
      <c r="S234" s="127">
        <f>N234*O234*P234*'1. Standard_Cost'!$C$15</f>
        <v>0</v>
      </c>
      <c r="T234" s="127">
        <f>N234*P234*Q234*'1. Standard_Cost'!$D$15</f>
        <v>0</v>
      </c>
      <c r="U234" s="127">
        <f>N234*O234*'1. Standard_Cost'!$E$15</f>
        <v>0</v>
      </c>
      <c r="V234" s="126"/>
      <c r="W234" s="126"/>
      <c r="X234" s="126"/>
      <c r="Y234" s="127">
        <f>+V234*((X234*'1. Standard_Cost'!$B$19)+(W234*X234*'1. Standard_Cost'!$C$19))</f>
        <v>0</v>
      </c>
      <c r="Z234" s="126"/>
      <c r="AA234" s="126"/>
      <c r="AB234" s="127">
        <f>+Z234*'1. Standard_Cost'!$B$23+AA234*'1. Standard_Cost'!$C$23</f>
        <v>0</v>
      </c>
      <c r="AC234" s="128"/>
      <c r="AD234" s="129"/>
      <c r="AE234" s="127"/>
      <c r="AF234" s="127">
        <f>SUM(AE234,AD234,AC234,AB234,Y234,U234,T234,S234,R234)</f>
        <v>0</v>
      </c>
      <c r="AG234" s="126"/>
      <c r="AH234" s="126"/>
      <c r="AI234" s="126"/>
      <c r="AJ234" s="130"/>
      <c r="AK234" s="130"/>
      <c r="AL234" s="130"/>
      <c r="AM234" s="127">
        <f>AG234*'1. Standard_Cost'!$B$27+'Incremental_Cost Year 8'!AH234*'1. Standard_Cost'!$C$27+'Incremental_Cost Year 8'!AI234*'1. Standard_Cost'!$D$27+'Incremental_Cost Year 8'!AJ234+'Incremental_Cost Year 8'!AL234+AK234</f>
        <v>0</v>
      </c>
      <c r="AN234" s="127">
        <f>AM234*'1. Standard_Cost'!$C$31</f>
        <v>0</v>
      </c>
      <c r="AO234" s="130"/>
      <c r="AQ234" s="171">
        <f>L234+M234</f>
        <v>0</v>
      </c>
      <c r="AR234" s="171">
        <f>AF234</f>
        <v>0</v>
      </c>
      <c r="AS234" s="171">
        <f>AM234+AN234</f>
        <v>0</v>
      </c>
      <c r="AT234" s="171">
        <f>SUM(AQ234,AR234,AS234)</f>
        <v>0</v>
      </c>
      <c r="AU234" s="250">
        <f>AT234</f>
        <v>0</v>
      </c>
      <c r="AV234" s="250"/>
      <c r="AW234" s="250"/>
      <c r="AX234" s="250"/>
      <c r="AY234" s="250"/>
      <c r="AZ234" s="250"/>
      <c r="BA234" s="250"/>
      <c r="BB234" s="251">
        <f t="shared" si="158"/>
        <v>0</v>
      </c>
      <c r="BC234" s="169"/>
      <c r="BD234" s="169"/>
      <c r="BE234" s="169"/>
      <c r="BF234" s="169"/>
    </row>
    <row r="235" spans="1:58" ht="61.9" customHeight="1" outlineLevel="2" x14ac:dyDescent="0.25">
      <c r="A235" s="115"/>
      <c r="B235" s="200"/>
      <c r="C235" s="201"/>
      <c r="D235" s="343"/>
      <c r="E235" s="328"/>
      <c r="F235" s="328"/>
      <c r="G235" s="328"/>
      <c r="H235" s="199" t="s">
        <v>523</v>
      </c>
      <c r="I235" s="130"/>
      <c r="J235" s="126"/>
      <c r="K235" s="126"/>
      <c r="L235" s="125" t="str">
        <f>IF(I235&lt;&gt;0,((VLOOKUP(I235,'1. Standard_Cost'!$B$4:$D$11,2)+VLOOKUP(I235,'1. Standard_Cost'!$B$4:$D$11,3))*J235*K235),"0")</f>
        <v>0</v>
      </c>
      <c r="M235" s="125">
        <f>L235*'1. Standard_Cost'!$F$4</f>
        <v>0</v>
      </c>
      <c r="N235" s="126"/>
      <c r="O235" s="126"/>
      <c r="P235" s="126"/>
      <c r="Q235" s="126"/>
      <c r="R235" s="127">
        <f>'1. Standard_Cost'!$B$15*N235*P235</f>
        <v>0</v>
      </c>
      <c r="S235" s="127">
        <f>N235*O235*P235*'1. Standard_Cost'!$C$15</f>
        <v>0</v>
      </c>
      <c r="T235" s="127">
        <f>N235*P235*Q235*'1. Standard_Cost'!$D$15</f>
        <v>0</v>
      </c>
      <c r="U235" s="127">
        <f>N235*O235*'1. Standard_Cost'!$E$15</f>
        <v>0</v>
      </c>
      <c r="V235" s="126"/>
      <c r="W235" s="126"/>
      <c r="X235" s="126"/>
      <c r="Y235" s="127">
        <f>+V235*((X235*'1. Standard_Cost'!$B$19)+(W235*X235*'1. Standard_Cost'!$C$19))</f>
        <v>0</v>
      </c>
      <c r="Z235" s="126"/>
      <c r="AA235" s="126"/>
      <c r="AB235" s="127">
        <f>+Z235*'1. Standard_Cost'!$B$23+AA235*'1. Standard_Cost'!$C$23</f>
        <v>0</v>
      </c>
      <c r="AC235" s="128"/>
      <c r="AD235" s="129"/>
      <c r="AE235" s="127">
        <f>SUM(AD235,AC235,AB235,Y235,U235,T235,S235,R235)*'1. Standard_Cost'!$B$31</f>
        <v>0</v>
      </c>
      <c r="AF235" s="127">
        <f>SUM(AE235,AD235,AC235,AB235,Y235,U235,T235,S235,R235)</f>
        <v>0</v>
      </c>
      <c r="AG235" s="126"/>
      <c r="AH235" s="126"/>
      <c r="AI235" s="126"/>
      <c r="AJ235" s="130"/>
      <c r="AK235" s="130"/>
      <c r="AL235" s="130"/>
      <c r="AM235" s="127">
        <f>AG235*'1. Standard_Cost'!$B$27+'Incremental_Cost Year 8'!AH235*'1. Standard_Cost'!$C$27+'Incremental_Cost Year 8'!AI235*'1. Standard_Cost'!$D$27+'Incremental_Cost Year 8'!AJ235+'Incremental_Cost Year 8'!AL235+AK235</f>
        <v>0</v>
      </c>
      <c r="AN235" s="127">
        <f>AM235*'1. Standard_Cost'!$C$31</f>
        <v>0</v>
      </c>
      <c r="AO235" s="130"/>
      <c r="AQ235" s="171">
        <f>L235+M235</f>
        <v>0</v>
      </c>
      <c r="AR235" s="171">
        <f>AF235</f>
        <v>0</v>
      </c>
      <c r="AS235" s="171">
        <f>AM235+AN235</f>
        <v>0</v>
      </c>
      <c r="AT235" s="171">
        <f>SUM(AQ235,AR235,AS235)</f>
        <v>0</v>
      </c>
      <c r="AU235" s="250">
        <f>AT235</f>
        <v>0</v>
      </c>
      <c r="AV235" s="250"/>
      <c r="AW235" s="250"/>
      <c r="AX235" s="250"/>
      <c r="AY235" s="250"/>
      <c r="AZ235" s="250"/>
      <c r="BA235" s="250"/>
      <c r="BB235" s="251">
        <f t="shared" si="158"/>
        <v>0</v>
      </c>
      <c r="BC235" s="169"/>
      <c r="BD235" s="169"/>
      <c r="BE235" s="169"/>
      <c r="BF235" s="169"/>
    </row>
    <row r="236" spans="1:58" ht="61.9" customHeight="1" outlineLevel="2" x14ac:dyDescent="0.25">
      <c r="A236" s="115"/>
      <c r="B236" s="200"/>
      <c r="C236" s="201"/>
      <c r="D236" s="344"/>
      <c r="E236" s="328"/>
      <c r="F236" s="328"/>
      <c r="G236" s="328"/>
      <c r="H236" s="199" t="s">
        <v>524</v>
      </c>
      <c r="I236" s="130"/>
      <c r="J236" s="126"/>
      <c r="K236" s="126"/>
      <c r="L236" s="125" t="str">
        <f>IF(I236&lt;&gt;0,((VLOOKUP(I236,'1. Standard_Cost'!$B$4:$D$11,2)+VLOOKUP(I236,'1. Standard_Cost'!$B$4:$D$11,3))*J236*K236),"0")</f>
        <v>0</v>
      </c>
      <c r="M236" s="125">
        <f>L236*'1. Standard_Cost'!$F$4</f>
        <v>0</v>
      </c>
      <c r="N236" s="126"/>
      <c r="O236" s="126"/>
      <c r="P236" s="126"/>
      <c r="Q236" s="126"/>
      <c r="R236" s="127">
        <f>'1. Standard_Cost'!$B$15*N236*P236</f>
        <v>0</v>
      </c>
      <c r="S236" s="127">
        <f>N236*O236*P236*'1. Standard_Cost'!$C$15</f>
        <v>0</v>
      </c>
      <c r="T236" s="127">
        <f>N236*P236*Q236*'1. Standard_Cost'!$D$15</f>
        <v>0</v>
      </c>
      <c r="U236" s="127">
        <f>N236*O236*'1. Standard_Cost'!$E$15</f>
        <v>0</v>
      </c>
      <c r="V236" s="126"/>
      <c r="W236" s="126"/>
      <c r="X236" s="126"/>
      <c r="Y236" s="127">
        <f>+V236*((X236*'1. Standard_Cost'!$B$19)+(W236*X236*'1. Standard_Cost'!$C$19))</f>
        <v>0</v>
      </c>
      <c r="Z236" s="126"/>
      <c r="AA236" s="126"/>
      <c r="AB236" s="127">
        <f>+Z236*'1. Standard_Cost'!$B$23+AA236*'1. Standard_Cost'!$C$23</f>
        <v>0</v>
      </c>
      <c r="AC236" s="128"/>
      <c r="AD236" s="129"/>
      <c r="AE236" s="127">
        <f>SUM(AD236,AC236,AB236,Y236,U236,T236,S236,R236)*'1. Standard_Cost'!$B$31</f>
        <v>0</v>
      </c>
      <c r="AF236" s="127">
        <f>SUM(AE236,AD236,AC236,AB236,Y236,U236,T236,S236,R236)</f>
        <v>0</v>
      </c>
      <c r="AG236" s="126"/>
      <c r="AH236" s="126"/>
      <c r="AI236" s="126"/>
      <c r="AJ236" s="130"/>
      <c r="AK236" s="130"/>
      <c r="AL236" s="130"/>
      <c r="AM236" s="127">
        <f>AG236*'1. Standard_Cost'!$B$27+'Incremental_Cost Year 8'!AH236*'1. Standard_Cost'!$C$27+'Incremental_Cost Year 8'!AI236*'1. Standard_Cost'!$D$27+'Incremental_Cost Year 8'!AJ236+'Incremental_Cost Year 8'!AL236+AK236</f>
        <v>0</v>
      </c>
      <c r="AN236" s="127">
        <f>AM236*'1. Standard_Cost'!$C$31</f>
        <v>0</v>
      </c>
      <c r="AO236" s="130"/>
      <c r="AQ236" s="171">
        <f>L236+M236</f>
        <v>0</v>
      </c>
      <c r="AR236" s="171">
        <f>AF236</f>
        <v>0</v>
      </c>
      <c r="AS236" s="171">
        <f>AM236+AN236</f>
        <v>0</v>
      </c>
      <c r="AT236" s="171">
        <f>SUM(AQ236,AR236,AS236)</f>
        <v>0</v>
      </c>
      <c r="AU236" s="250">
        <f>AT236</f>
        <v>0</v>
      </c>
      <c r="AV236" s="250"/>
      <c r="AW236" s="250"/>
      <c r="AX236" s="250"/>
      <c r="AY236" s="250"/>
      <c r="AZ236" s="250"/>
      <c r="BA236" s="250"/>
      <c r="BB236" s="251">
        <f t="shared" si="158"/>
        <v>0</v>
      </c>
      <c r="BC236" s="169"/>
      <c r="BD236" s="169"/>
      <c r="BE236" s="169"/>
      <c r="BF236" s="169"/>
    </row>
    <row r="237" spans="1:58" ht="61.9" customHeight="1" outlineLevel="1" x14ac:dyDescent="0.25">
      <c r="A237" s="115"/>
      <c r="B237" s="165"/>
      <c r="C237" s="166"/>
      <c r="D237" s="209" t="s">
        <v>563</v>
      </c>
      <c r="E237" s="212" t="s">
        <v>263</v>
      </c>
      <c r="F237" s="136">
        <v>2023</v>
      </c>
      <c r="G237" s="117">
        <v>2025</v>
      </c>
      <c r="H237" s="150" t="s">
        <v>264</v>
      </c>
      <c r="I237" s="252"/>
      <c r="J237" s="252"/>
      <c r="K237" s="252"/>
      <c r="L237" s="127">
        <f>SUM(L233:L236)</f>
        <v>0</v>
      </c>
      <c r="M237" s="127">
        <f>SUM(M233:M236)</f>
        <v>0</v>
      </c>
      <c r="N237" s="252"/>
      <c r="O237" s="252"/>
      <c r="P237" s="252"/>
      <c r="Q237" s="252"/>
      <c r="R237" s="127">
        <f>SUM(R233:R236)</f>
        <v>0</v>
      </c>
      <c r="S237" s="127">
        <f>SUM(S233:S236)</f>
        <v>0</v>
      </c>
      <c r="T237" s="127">
        <f>SUM(T233:T236)</f>
        <v>0</v>
      </c>
      <c r="U237" s="127">
        <f>SUM(U233:U236)</f>
        <v>0</v>
      </c>
      <c r="V237" s="252"/>
      <c r="W237" s="252"/>
      <c r="X237" s="252"/>
      <c r="Y237" s="127">
        <f>SUM(Y233:Y236)</f>
        <v>0</v>
      </c>
      <c r="Z237" s="127"/>
      <c r="AA237" s="252"/>
      <c r="AB237" s="127">
        <f>SUM(AB233:AB236)</f>
        <v>0</v>
      </c>
      <c r="AC237" s="127">
        <f>SUM(AC233:AC236)</f>
        <v>0</v>
      </c>
      <c r="AD237" s="127">
        <f>SUM(AD233:AD236)</f>
        <v>0</v>
      </c>
      <c r="AE237" s="127">
        <f>SUM(AE233:AE236)</f>
        <v>0</v>
      </c>
      <c r="AF237" s="127">
        <f>SUM(AF233:AF236)</f>
        <v>0</v>
      </c>
      <c r="AG237" s="252"/>
      <c r="AH237" s="252"/>
      <c r="AI237" s="252"/>
      <c r="AJ237" s="127">
        <f>SUM(AJ233:AJ236)</f>
        <v>0</v>
      </c>
      <c r="AK237" s="127">
        <f>SUM(AK233:AK236)</f>
        <v>0</v>
      </c>
      <c r="AL237" s="127">
        <f>SUM(AL233:AL236)</f>
        <v>0</v>
      </c>
      <c r="AM237" s="127">
        <f>SUM(AM233:AM236)</f>
        <v>0</v>
      </c>
      <c r="AN237" s="127">
        <f>SUM(AN233:AN236)</f>
        <v>0</v>
      </c>
      <c r="AO237" s="253"/>
      <c r="AP237" s="254"/>
      <c r="AQ237" s="175">
        <f>SUM(AQ233:AQ236)</f>
        <v>0</v>
      </c>
      <c r="AR237" s="175">
        <f>SUM(AR233:AR236)</f>
        <v>0</v>
      </c>
      <c r="AS237" s="175">
        <f>SUM(AS233:AS236)</f>
        <v>0</v>
      </c>
      <c r="AT237" s="175">
        <f>SUM(AT233:AT236)</f>
        <v>0</v>
      </c>
      <c r="AU237" s="175">
        <f t="shared" ref="AU237:BB237" si="159">SUM(AU233:AU236)</f>
        <v>0</v>
      </c>
      <c r="AV237" s="175">
        <f t="shared" si="159"/>
        <v>0</v>
      </c>
      <c r="AW237" s="175">
        <f t="shared" si="159"/>
        <v>0</v>
      </c>
      <c r="AX237" s="175">
        <f t="shared" si="159"/>
        <v>0</v>
      </c>
      <c r="AY237" s="175">
        <f t="shared" si="159"/>
        <v>0</v>
      </c>
      <c r="AZ237" s="175">
        <f t="shared" si="159"/>
        <v>0</v>
      </c>
      <c r="BA237" s="175">
        <f t="shared" si="159"/>
        <v>0</v>
      </c>
      <c r="BB237" s="175">
        <f t="shared" si="159"/>
        <v>0</v>
      </c>
      <c r="BC237" s="169"/>
      <c r="BD237" s="169"/>
      <c r="BE237" s="169"/>
      <c r="BF237" s="169"/>
    </row>
    <row r="238" spans="1:58" s="184" customFormat="1" ht="61.9" customHeight="1" x14ac:dyDescent="0.25">
      <c r="A238" s="143"/>
      <c r="B238" s="332"/>
      <c r="C238" s="397" t="s">
        <v>265</v>
      </c>
      <c r="D238" s="397"/>
      <c r="E238" s="398"/>
      <c r="F238" s="291"/>
      <c r="G238" s="340"/>
      <c r="H238" s="144" t="s">
        <v>303</v>
      </c>
      <c r="I238" s="257"/>
      <c r="J238" s="257"/>
      <c r="K238" s="257"/>
      <c r="L238" s="258">
        <f>SUM(L243)</f>
        <v>0</v>
      </c>
      <c r="M238" s="258">
        <f>SUM(M243)</f>
        <v>0</v>
      </c>
      <c r="N238" s="257"/>
      <c r="O238" s="257"/>
      <c r="P238" s="257"/>
      <c r="Q238" s="257"/>
      <c r="R238" s="258">
        <f>SUM(R243)</f>
        <v>0</v>
      </c>
      <c r="S238" s="258">
        <f>SUM(S243)</f>
        <v>0</v>
      </c>
      <c r="T238" s="258">
        <f>SUM(T243)</f>
        <v>0</v>
      </c>
      <c r="U238" s="258">
        <f>SUM(U243)</f>
        <v>0</v>
      </c>
      <c r="V238" s="257"/>
      <c r="W238" s="257"/>
      <c r="X238" s="257"/>
      <c r="Y238" s="258">
        <f>SUM(Y243)</f>
        <v>0</v>
      </c>
      <c r="Z238" s="258"/>
      <c r="AA238" s="258"/>
      <c r="AB238" s="258">
        <f>SUM(AB243)</f>
        <v>0</v>
      </c>
      <c r="AC238" s="258">
        <f>SUM(AC243)</f>
        <v>0</v>
      </c>
      <c r="AD238" s="258">
        <f>SUM(AD243)</f>
        <v>0</v>
      </c>
      <c r="AE238" s="258">
        <f>SUM(AE243)</f>
        <v>0</v>
      </c>
      <c r="AF238" s="258">
        <f>SUM(AF243)</f>
        <v>0</v>
      </c>
      <c r="AG238" s="257"/>
      <c r="AH238" s="257"/>
      <c r="AI238" s="257"/>
      <c r="AJ238" s="258">
        <f>SUM(AJ243)</f>
        <v>0</v>
      </c>
      <c r="AK238" s="258">
        <f>SUM(AK243)</f>
        <v>0</v>
      </c>
      <c r="AL238" s="258">
        <f>SUM(AL243)</f>
        <v>0</v>
      </c>
      <c r="AM238" s="258">
        <f>SUM(AM243)</f>
        <v>0</v>
      </c>
      <c r="AN238" s="258">
        <f>SUM(AN243)</f>
        <v>0</v>
      </c>
      <c r="AO238" s="259"/>
      <c r="AP238" s="260"/>
      <c r="AQ238" s="261">
        <f>SUM(AQ243)</f>
        <v>0</v>
      </c>
      <c r="AR238" s="261">
        <f>SUM(AR243)</f>
        <v>0</v>
      </c>
      <c r="AS238" s="261">
        <f>SUM(AS243)</f>
        <v>0</v>
      </c>
      <c r="AT238" s="261">
        <f>SUM(AT243)</f>
        <v>0</v>
      </c>
      <c r="AU238" s="261">
        <f t="shared" ref="AU238:BB238" si="160">SUM(AU243)</f>
        <v>0</v>
      </c>
      <c r="AV238" s="261">
        <f t="shared" si="160"/>
        <v>0</v>
      </c>
      <c r="AW238" s="261">
        <f t="shared" si="160"/>
        <v>0</v>
      </c>
      <c r="AX238" s="261">
        <f t="shared" si="160"/>
        <v>0</v>
      </c>
      <c r="AY238" s="261">
        <f t="shared" si="160"/>
        <v>0</v>
      </c>
      <c r="AZ238" s="261">
        <f t="shared" si="160"/>
        <v>0</v>
      </c>
      <c r="BA238" s="261">
        <f t="shared" si="160"/>
        <v>0</v>
      </c>
      <c r="BB238" s="261">
        <f t="shared" si="160"/>
        <v>0</v>
      </c>
    </row>
    <row r="239" spans="1:58" ht="61.9" customHeight="1" outlineLevel="2" x14ac:dyDescent="0.25">
      <c r="A239" s="115"/>
      <c r="B239" s="200"/>
      <c r="C239" s="201"/>
      <c r="D239" s="202"/>
      <c r="E239" s="354"/>
      <c r="F239" s="355"/>
      <c r="G239" s="356"/>
      <c r="H239" s="199" t="s">
        <v>525</v>
      </c>
      <c r="I239" s="130"/>
      <c r="J239" s="126"/>
      <c r="K239" s="126"/>
      <c r="L239" s="125" t="str">
        <f>IF(I239&lt;&gt;0,((VLOOKUP(I239,'1. Standard_Cost'!$B$4:$D$11,2)+VLOOKUP(I239,'1. Standard_Cost'!$B$4:$D$11,3))*J239*K239),"0")</f>
        <v>0</v>
      </c>
      <c r="M239" s="125">
        <f>L239*'1. Standard_Cost'!$F$4</f>
        <v>0</v>
      </c>
      <c r="N239" s="126"/>
      <c r="O239" s="126"/>
      <c r="P239" s="126"/>
      <c r="Q239" s="126"/>
      <c r="R239" s="127">
        <f>'1. Standard_Cost'!$B$15*N239*P239</f>
        <v>0</v>
      </c>
      <c r="S239" s="127">
        <f>N239*O239*P239*'1. Standard_Cost'!$C$15</f>
        <v>0</v>
      </c>
      <c r="T239" s="127">
        <f>N239*P239*Q239*'1. Standard_Cost'!$D$15</f>
        <v>0</v>
      </c>
      <c r="U239" s="127">
        <f>N239*O239*'1. Standard_Cost'!$E$15</f>
        <v>0</v>
      </c>
      <c r="V239" s="126"/>
      <c r="W239" s="126"/>
      <c r="X239" s="126"/>
      <c r="Y239" s="127">
        <f>+V239*((X239*'1. Standard_Cost'!$B$19)+(W239*X239*'1. Standard_Cost'!$C$19))</f>
        <v>0</v>
      </c>
      <c r="Z239" s="126"/>
      <c r="AA239" s="126"/>
      <c r="AB239" s="127">
        <f>+Z239*'1. Standard_Cost'!$B$23+AA239*'1. Standard_Cost'!$C$23</f>
        <v>0</v>
      </c>
      <c r="AC239" s="128"/>
      <c r="AD239" s="129"/>
      <c r="AE239" s="127">
        <f>SUM(AD239,AC239,AB239,Y239,U239,T239,S239,R239)*'1. Standard_Cost'!$B$31</f>
        <v>0</v>
      </c>
      <c r="AF239" s="127">
        <f>SUM(AE239,AD239,AC239,AB239,Y239,U239,T239,S239,R239)</f>
        <v>0</v>
      </c>
      <c r="AG239" s="126"/>
      <c r="AH239" s="126"/>
      <c r="AI239" s="126"/>
      <c r="AJ239" s="130"/>
      <c r="AK239" s="130"/>
      <c r="AL239" s="130"/>
      <c r="AM239" s="127">
        <f>AG239*'1. Standard_Cost'!$B$27+'Incremental_Cost Year 8'!AH239*'1. Standard_Cost'!$C$27+'Incremental_Cost Year 8'!AI239*'1. Standard_Cost'!$D$27+'Incremental_Cost Year 8'!AJ239+'Incremental_Cost Year 8'!AL239+AK239</f>
        <v>0</v>
      </c>
      <c r="AN239" s="127">
        <f>AM239*'1. Standard_Cost'!$C$31</f>
        <v>0</v>
      </c>
      <c r="AO239" s="130"/>
      <c r="AQ239" s="171">
        <f>L239+M239</f>
        <v>0</v>
      </c>
      <c r="AR239" s="171">
        <f>AF239</f>
        <v>0</v>
      </c>
      <c r="AS239" s="171">
        <f>AM239+AN239</f>
        <v>0</v>
      </c>
      <c r="AT239" s="171">
        <f>SUM(AQ239,AR239,AS239)</f>
        <v>0</v>
      </c>
      <c r="AU239" s="250">
        <f>AT239</f>
        <v>0</v>
      </c>
      <c r="AV239" s="250"/>
      <c r="AW239" s="250"/>
      <c r="AX239" s="250"/>
      <c r="AY239" s="250"/>
      <c r="AZ239" s="250"/>
      <c r="BA239" s="250"/>
      <c r="BB239" s="251">
        <f t="shared" ref="BB239:BB242" si="161">SUM(AU239:BA239)-AT239</f>
        <v>0</v>
      </c>
      <c r="BC239" s="169"/>
      <c r="BD239" s="169"/>
      <c r="BE239" s="169"/>
      <c r="BF239" s="169"/>
    </row>
    <row r="240" spans="1:58" ht="61.9" customHeight="1" outlineLevel="2" x14ac:dyDescent="0.25">
      <c r="A240" s="115"/>
      <c r="B240" s="200"/>
      <c r="C240" s="201"/>
      <c r="D240" s="202"/>
      <c r="E240" s="357"/>
      <c r="F240" s="358"/>
      <c r="G240" s="359"/>
      <c r="H240" s="199" t="s">
        <v>526</v>
      </c>
      <c r="I240" s="130"/>
      <c r="J240" s="126"/>
      <c r="K240" s="126"/>
      <c r="L240" s="125" t="str">
        <f>IF(I240&lt;&gt;0,((VLOOKUP(I240,'1. Standard_Cost'!$B$4:$D$11,2)+VLOOKUP(I240,'1. Standard_Cost'!$B$4:$D$11,3))*J240*K240),"0")</f>
        <v>0</v>
      </c>
      <c r="M240" s="125">
        <f>L240*'1. Standard_Cost'!$F$4</f>
        <v>0</v>
      </c>
      <c r="N240" s="126"/>
      <c r="O240" s="126"/>
      <c r="P240" s="126"/>
      <c r="Q240" s="126"/>
      <c r="R240" s="127">
        <f>'1. Standard_Cost'!$B$15*N240*P240</f>
        <v>0</v>
      </c>
      <c r="S240" s="127">
        <f>N240*O240*P240*'1. Standard_Cost'!$C$15</f>
        <v>0</v>
      </c>
      <c r="T240" s="127">
        <f>N240*P240*Q240*'1. Standard_Cost'!$D$15</f>
        <v>0</v>
      </c>
      <c r="U240" s="127">
        <f>N240*O240*'1. Standard_Cost'!$E$15</f>
        <v>0</v>
      </c>
      <c r="V240" s="126"/>
      <c r="W240" s="126"/>
      <c r="X240" s="126"/>
      <c r="Y240" s="127">
        <f>+V240*((X240*'1. Standard_Cost'!$B$19)+(W240*X240*'1. Standard_Cost'!$C$19))</f>
        <v>0</v>
      </c>
      <c r="Z240" s="126"/>
      <c r="AA240" s="126"/>
      <c r="AB240" s="127">
        <f>+Z240*'1. Standard_Cost'!$B$23+AA240*'1. Standard_Cost'!$C$23</f>
        <v>0</v>
      </c>
      <c r="AC240" s="128"/>
      <c r="AD240" s="129"/>
      <c r="AE240" s="127">
        <f>SUM(AD240,AC240,AB240,Y240,U240,T240,S240,R240)*'1. Standard_Cost'!$B$31</f>
        <v>0</v>
      </c>
      <c r="AF240" s="127">
        <f>SUM(AE240,AD240,AC240,AB240,Y240,U240,T240,S240,R240)</f>
        <v>0</v>
      </c>
      <c r="AG240" s="126"/>
      <c r="AH240" s="126"/>
      <c r="AI240" s="126"/>
      <c r="AJ240" s="130"/>
      <c r="AK240" s="130"/>
      <c r="AL240" s="130"/>
      <c r="AM240" s="127">
        <f>AG240*'1. Standard_Cost'!$B$27+'Incremental_Cost Year 8'!AH240*'1. Standard_Cost'!$C$27+'Incremental_Cost Year 8'!AI240*'1. Standard_Cost'!$D$27+'Incremental_Cost Year 8'!AJ240+'Incremental_Cost Year 8'!AL240+AK240</f>
        <v>0</v>
      </c>
      <c r="AN240" s="127">
        <f>AM240*'1. Standard_Cost'!$C$31</f>
        <v>0</v>
      </c>
      <c r="AO240" s="130"/>
      <c r="AQ240" s="171">
        <f>L240+M240</f>
        <v>0</v>
      </c>
      <c r="AR240" s="171">
        <f>AF240</f>
        <v>0</v>
      </c>
      <c r="AS240" s="171">
        <f>AM240+AN240</f>
        <v>0</v>
      </c>
      <c r="AT240" s="171">
        <f>SUM(AQ240,AR240,AS240)</f>
        <v>0</v>
      </c>
      <c r="AU240" s="250">
        <f>AT240</f>
        <v>0</v>
      </c>
      <c r="AV240" s="250"/>
      <c r="AW240" s="250"/>
      <c r="AX240" s="250"/>
      <c r="AY240" s="250"/>
      <c r="AZ240" s="250"/>
      <c r="BA240" s="250"/>
      <c r="BB240" s="251">
        <f t="shared" si="161"/>
        <v>0</v>
      </c>
      <c r="BC240" s="169"/>
      <c r="BD240" s="169"/>
      <c r="BE240" s="169"/>
      <c r="BF240" s="169"/>
    </row>
    <row r="241" spans="1:58" ht="61.9" customHeight="1" outlineLevel="2" x14ac:dyDescent="0.25">
      <c r="A241" s="115"/>
      <c r="B241" s="200"/>
      <c r="C241" s="201"/>
      <c r="D241" s="202"/>
      <c r="E241" s="357"/>
      <c r="F241" s="358"/>
      <c r="G241" s="359"/>
      <c r="H241" s="199" t="s">
        <v>527</v>
      </c>
      <c r="I241" s="130"/>
      <c r="J241" s="126"/>
      <c r="K241" s="126"/>
      <c r="L241" s="125" t="str">
        <f>IF(I241&lt;&gt;0,((VLOOKUP(I241,'1. Standard_Cost'!$B$4:$D$11,2)+VLOOKUP(I241,'1. Standard_Cost'!$B$4:$D$11,3))*J241*K241),"0")</f>
        <v>0</v>
      </c>
      <c r="M241" s="125">
        <f>L241*'1. Standard_Cost'!$F$4</f>
        <v>0</v>
      </c>
      <c r="N241" s="126"/>
      <c r="O241" s="126"/>
      <c r="P241" s="126"/>
      <c r="Q241" s="126"/>
      <c r="R241" s="127">
        <f>'1. Standard_Cost'!$B$15*N241*P241</f>
        <v>0</v>
      </c>
      <c r="S241" s="127">
        <f>N241*O241*P241*'1. Standard_Cost'!$C$15</f>
        <v>0</v>
      </c>
      <c r="T241" s="127">
        <f>N241*P241*Q241*'1. Standard_Cost'!$D$15</f>
        <v>0</v>
      </c>
      <c r="U241" s="127">
        <f>N241*O241*'1. Standard_Cost'!$E$15</f>
        <v>0</v>
      </c>
      <c r="V241" s="126"/>
      <c r="W241" s="126"/>
      <c r="X241" s="126"/>
      <c r="Y241" s="127">
        <f>+V241*((X241*'1. Standard_Cost'!$B$19)+(W241*X241*'1. Standard_Cost'!$C$19))</f>
        <v>0</v>
      </c>
      <c r="Z241" s="126"/>
      <c r="AA241" s="126"/>
      <c r="AB241" s="127">
        <f>+Z241*'1. Standard_Cost'!$B$23+AA241*'1. Standard_Cost'!$C$23</f>
        <v>0</v>
      </c>
      <c r="AC241" s="128"/>
      <c r="AD241" s="129"/>
      <c r="AE241" s="127">
        <f>SUM(AD241,AC241,AB241,Y241,U241,T241,S241,R241)*'1. Standard_Cost'!$B$31</f>
        <v>0</v>
      </c>
      <c r="AF241" s="127">
        <f>SUM(AE241,AD241,AC241,AB241,Y241,U241,T241,S241,R241)</f>
        <v>0</v>
      </c>
      <c r="AG241" s="126"/>
      <c r="AH241" s="126"/>
      <c r="AI241" s="126"/>
      <c r="AJ241" s="130"/>
      <c r="AK241" s="130"/>
      <c r="AL241" s="130"/>
      <c r="AM241" s="127">
        <f>AG241*'1. Standard_Cost'!$B$27+'Incremental_Cost Year 8'!AH241*'1. Standard_Cost'!$C$27+'Incremental_Cost Year 8'!AI241*'1. Standard_Cost'!$D$27+'Incremental_Cost Year 8'!AJ241+'Incremental_Cost Year 8'!AL241+AK241</f>
        <v>0</v>
      </c>
      <c r="AN241" s="127">
        <f>AM241*'1. Standard_Cost'!$C$31</f>
        <v>0</v>
      </c>
      <c r="AO241" s="130"/>
      <c r="AQ241" s="171">
        <f>L241+M241</f>
        <v>0</v>
      </c>
      <c r="AR241" s="171">
        <f>AF241</f>
        <v>0</v>
      </c>
      <c r="AS241" s="171">
        <f>AM241+AN241</f>
        <v>0</v>
      </c>
      <c r="AT241" s="171">
        <f>SUM(AQ241,AR241,AS241)</f>
        <v>0</v>
      </c>
      <c r="AU241" s="250">
        <f>AT241</f>
        <v>0</v>
      </c>
      <c r="AV241" s="250"/>
      <c r="AW241" s="250"/>
      <c r="AX241" s="250"/>
      <c r="AY241" s="250"/>
      <c r="AZ241" s="250"/>
      <c r="BA241" s="250"/>
      <c r="BB241" s="251">
        <f t="shared" si="161"/>
        <v>0</v>
      </c>
      <c r="BC241" s="169"/>
      <c r="BD241" s="169"/>
      <c r="BE241" s="169"/>
      <c r="BF241" s="169"/>
    </row>
    <row r="242" spans="1:58" ht="61.9" customHeight="1" outlineLevel="2" x14ac:dyDescent="0.25">
      <c r="A242" s="115"/>
      <c r="B242" s="200"/>
      <c r="C242" s="201"/>
      <c r="D242" s="202"/>
      <c r="E242" s="360"/>
      <c r="F242" s="361"/>
      <c r="G242" s="362"/>
      <c r="H242" s="213" t="s">
        <v>528</v>
      </c>
      <c r="I242" s="130"/>
      <c r="J242" s="126"/>
      <c r="K242" s="126"/>
      <c r="L242" s="125" t="str">
        <f>IF(I242&lt;&gt;0,((VLOOKUP(I242,'1. Standard_Cost'!$B$4:$D$11,2)+VLOOKUP(I242,'1. Standard_Cost'!$B$4:$D$11,3))*J242*K242),"0")</f>
        <v>0</v>
      </c>
      <c r="M242" s="125">
        <f>L242*'1. Standard_Cost'!$F$4</f>
        <v>0</v>
      </c>
      <c r="N242" s="126"/>
      <c r="O242" s="126"/>
      <c r="P242" s="126"/>
      <c r="Q242" s="126"/>
      <c r="R242" s="127">
        <f>'1. Standard_Cost'!$B$15*N242*P242</f>
        <v>0</v>
      </c>
      <c r="S242" s="127">
        <f>N242*O242*P242*'1. Standard_Cost'!$C$15</f>
        <v>0</v>
      </c>
      <c r="T242" s="127">
        <f>N242*P242*Q242*'1. Standard_Cost'!$D$15</f>
        <v>0</v>
      </c>
      <c r="U242" s="127">
        <f>N242*O242*'1. Standard_Cost'!$E$15</f>
        <v>0</v>
      </c>
      <c r="V242" s="126"/>
      <c r="W242" s="126"/>
      <c r="X242" s="126"/>
      <c r="Y242" s="127">
        <f>+V242*((X242*'1. Standard_Cost'!$B$19)+(W242*X242*'1. Standard_Cost'!$C$19))</f>
        <v>0</v>
      </c>
      <c r="Z242" s="126"/>
      <c r="AA242" s="126"/>
      <c r="AB242" s="127">
        <f>+Z242*'1. Standard_Cost'!$B$23+AA242*'1. Standard_Cost'!$C$23</f>
        <v>0</v>
      </c>
      <c r="AC242" s="128"/>
      <c r="AD242" s="129"/>
      <c r="AE242" s="127">
        <f>SUM(AD242,AC242,AB242,Y242,U242,T242,S242,R242)*'1. Standard_Cost'!$B$31</f>
        <v>0</v>
      </c>
      <c r="AF242" s="127">
        <f>SUM(AE242,AD242,AC242,AB242,Y242,U242,T242,S242,R242)</f>
        <v>0</v>
      </c>
      <c r="AG242" s="126"/>
      <c r="AH242" s="126"/>
      <c r="AI242" s="126"/>
      <c r="AJ242" s="130"/>
      <c r="AK242" s="130"/>
      <c r="AL242" s="130"/>
      <c r="AM242" s="127">
        <f>AG242*'1. Standard_Cost'!$B$27+'Incremental_Cost Year 8'!AH242*'1. Standard_Cost'!$C$27+'Incremental_Cost Year 8'!AI242*'1. Standard_Cost'!$D$27+'Incremental_Cost Year 8'!AJ242+'Incremental_Cost Year 8'!AL242+AK242</f>
        <v>0</v>
      </c>
      <c r="AN242" s="127">
        <f>AM242*'1. Standard_Cost'!$C$31</f>
        <v>0</v>
      </c>
      <c r="AO242" s="130"/>
      <c r="AQ242" s="171">
        <f>L242+M242</f>
        <v>0</v>
      </c>
      <c r="AR242" s="171">
        <f>AF242</f>
        <v>0</v>
      </c>
      <c r="AS242" s="171">
        <f>AM242+AN242</f>
        <v>0</v>
      </c>
      <c r="AT242" s="171">
        <f>SUM(AQ242,AR242,AS242)</f>
        <v>0</v>
      </c>
      <c r="AU242" s="250">
        <f>AT242</f>
        <v>0</v>
      </c>
      <c r="AV242" s="250"/>
      <c r="AW242" s="250"/>
      <c r="AX242" s="250"/>
      <c r="AY242" s="250"/>
      <c r="AZ242" s="250"/>
      <c r="BA242" s="250"/>
      <c r="BB242" s="251">
        <f t="shared" si="161"/>
        <v>0</v>
      </c>
      <c r="BC242" s="169"/>
      <c r="BD242" s="169"/>
      <c r="BE242" s="169"/>
      <c r="BF242" s="169"/>
    </row>
    <row r="243" spans="1:58" ht="61.9" customHeight="1" outlineLevel="1" x14ac:dyDescent="0.25">
      <c r="A243" s="115"/>
      <c r="B243" s="165"/>
      <c r="C243" s="166"/>
      <c r="D243" s="150" t="s">
        <v>564</v>
      </c>
      <c r="E243" s="212" t="s">
        <v>267</v>
      </c>
      <c r="F243" s="136">
        <v>2021</v>
      </c>
      <c r="G243" s="117">
        <v>2024</v>
      </c>
      <c r="H243" s="150" t="s">
        <v>304</v>
      </c>
      <c r="I243" s="252"/>
      <c r="J243" s="252"/>
      <c r="K243" s="252"/>
      <c r="L243" s="127">
        <f>SUM(L239:L242)</f>
        <v>0</v>
      </c>
      <c r="M243" s="127">
        <f>SUM(M239:M242)</f>
        <v>0</v>
      </c>
      <c r="N243" s="252"/>
      <c r="O243" s="252"/>
      <c r="P243" s="252"/>
      <c r="Q243" s="252"/>
      <c r="R243" s="127">
        <f>SUM(R239:R242)</f>
        <v>0</v>
      </c>
      <c r="S243" s="127">
        <f>SUM(S239:S242)</f>
        <v>0</v>
      </c>
      <c r="T243" s="127">
        <f>SUM(T239:T242)</f>
        <v>0</v>
      </c>
      <c r="U243" s="127">
        <f>SUM(U239:U242)</f>
        <v>0</v>
      </c>
      <c r="V243" s="252"/>
      <c r="W243" s="252"/>
      <c r="X243" s="252"/>
      <c r="Y243" s="127">
        <f>SUM(Y239:Y242)</f>
        <v>0</v>
      </c>
      <c r="Z243" s="127"/>
      <c r="AA243" s="252"/>
      <c r="AB243" s="127">
        <f>SUM(AB239:AB242)</f>
        <v>0</v>
      </c>
      <c r="AC243" s="127">
        <f>SUM(AC239:AC242)</f>
        <v>0</v>
      </c>
      <c r="AD243" s="127">
        <f>SUM(AD239:AD242)</f>
        <v>0</v>
      </c>
      <c r="AE243" s="127">
        <f>SUM(AE239:AE242)</f>
        <v>0</v>
      </c>
      <c r="AF243" s="127">
        <f>SUM(AF239:AF242)</f>
        <v>0</v>
      </c>
      <c r="AG243" s="252"/>
      <c r="AH243" s="252"/>
      <c r="AI243" s="252"/>
      <c r="AJ243" s="127">
        <f>SUM(AJ239:AJ242)</f>
        <v>0</v>
      </c>
      <c r="AK243" s="127">
        <f>SUM(AK239:AK242)</f>
        <v>0</v>
      </c>
      <c r="AL243" s="127">
        <f>SUM(AL239:AL242)</f>
        <v>0</v>
      </c>
      <c r="AM243" s="127">
        <f>SUM(AM239:AM242)</f>
        <v>0</v>
      </c>
      <c r="AN243" s="127">
        <f>SUM(AN239:AN242)</f>
        <v>0</v>
      </c>
      <c r="AO243" s="253"/>
      <c r="AP243" s="254"/>
      <c r="AQ243" s="175">
        <f>SUM(AQ239:AQ242)</f>
        <v>0</v>
      </c>
      <c r="AR243" s="175">
        <f>SUM(AR239:AR242)</f>
        <v>0</v>
      </c>
      <c r="AS243" s="175">
        <f>SUM(AS239:AS242)</f>
        <v>0</v>
      </c>
      <c r="AT243" s="175">
        <f>SUM(AT239:AT242)</f>
        <v>0</v>
      </c>
      <c r="AU243" s="175">
        <f t="shared" ref="AU243:BB243" si="162">SUM(AU239:AU242)</f>
        <v>0</v>
      </c>
      <c r="AV243" s="175">
        <f t="shared" si="162"/>
        <v>0</v>
      </c>
      <c r="AW243" s="175">
        <f t="shared" si="162"/>
        <v>0</v>
      </c>
      <c r="AX243" s="175">
        <f t="shared" si="162"/>
        <v>0</v>
      </c>
      <c r="AY243" s="175">
        <f t="shared" si="162"/>
        <v>0</v>
      </c>
      <c r="AZ243" s="175">
        <f t="shared" si="162"/>
        <v>0</v>
      </c>
      <c r="BA243" s="175">
        <f t="shared" si="162"/>
        <v>0</v>
      </c>
      <c r="BB243" s="175">
        <f t="shared" si="162"/>
        <v>0</v>
      </c>
      <c r="BC243" s="169"/>
      <c r="BD243" s="169"/>
      <c r="BE243" s="169"/>
      <c r="BF243" s="169"/>
    </row>
    <row r="244" spans="1:58" ht="61.9" customHeight="1" x14ac:dyDescent="0.2">
      <c r="A244" s="173"/>
      <c r="B244" s="399" t="s">
        <v>316</v>
      </c>
      <c r="C244" s="400"/>
      <c r="D244" s="400"/>
      <c r="E244" s="401"/>
      <c r="F244" s="367"/>
      <c r="G244" s="367"/>
      <c r="H244" s="367" t="s">
        <v>317</v>
      </c>
      <c r="I244" s="245"/>
      <c r="J244" s="245"/>
      <c r="K244" s="245"/>
      <c r="L244" s="245">
        <f>L245+L259+L269+L277+L284</f>
        <v>36019200</v>
      </c>
      <c r="M244" s="245">
        <f>M245+M259+M269+M277+M284</f>
        <v>6015206.4000000004</v>
      </c>
      <c r="N244" s="245"/>
      <c r="O244" s="245"/>
      <c r="P244" s="245"/>
      <c r="Q244" s="245"/>
      <c r="R244" s="245">
        <f>R245+R259+R269+R277+R284</f>
        <v>3200000</v>
      </c>
      <c r="S244" s="245">
        <f>S245+S259+S269+S277+S284</f>
        <v>2400000</v>
      </c>
      <c r="T244" s="245">
        <f>T245+T259+T269+T277+T284</f>
        <v>0</v>
      </c>
      <c r="U244" s="245">
        <f>U245+U259+U269+U277+U284</f>
        <v>3200000</v>
      </c>
      <c r="V244" s="245"/>
      <c r="W244" s="245"/>
      <c r="X244" s="245"/>
      <c r="Y244" s="245">
        <f t="shared" ref="Y244:AF244" si="163">Y245+Y259+Y269+Y277+Y284</f>
        <v>0</v>
      </c>
      <c r="Z244" s="245">
        <f t="shared" si="163"/>
        <v>0</v>
      </c>
      <c r="AA244" s="245">
        <f t="shared" si="163"/>
        <v>0</v>
      </c>
      <c r="AB244" s="245">
        <f t="shared" si="163"/>
        <v>2014000</v>
      </c>
      <c r="AC244" s="245">
        <f t="shared" si="163"/>
        <v>77641000</v>
      </c>
      <c r="AD244" s="245">
        <f t="shared" si="163"/>
        <v>529894000</v>
      </c>
      <c r="AE244" s="245">
        <f t="shared" si="163"/>
        <v>19811400</v>
      </c>
      <c r="AF244" s="245">
        <f t="shared" si="163"/>
        <v>638160400</v>
      </c>
      <c r="AG244" s="245"/>
      <c r="AH244" s="245"/>
      <c r="AI244" s="245"/>
      <c r="AJ244" s="245">
        <f>AJ245+AJ259+AJ269+AJ277+AJ284</f>
        <v>0</v>
      </c>
      <c r="AK244" s="245">
        <f>AK245+AK259+AK269+AK277+AK284</f>
        <v>0</v>
      </c>
      <c r="AL244" s="245">
        <f>AL245+AL259+AL269+AL277+AL284</f>
        <v>0</v>
      </c>
      <c r="AM244" s="245">
        <f>AM245+AM259+AM269+AM277+AM284</f>
        <v>0</v>
      </c>
      <c r="AN244" s="245">
        <f>AN245+AN259+AN269+AN277+AN284</f>
        <v>0</v>
      </c>
      <c r="AO244" s="245"/>
      <c r="AP244" s="244"/>
      <c r="AQ244" s="245">
        <f t="shared" ref="AQ244:BB244" si="164">AQ245+AQ259+AQ269+AQ277+AQ284</f>
        <v>42034406.400000006</v>
      </c>
      <c r="AR244" s="245">
        <f t="shared" si="164"/>
        <v>638160400</v>
      </c>
      <c r="AS244" s="245">
        <f t="shared" si="164"/>
        <v>0</v>
      </c>
      <c r="AT244" s="245">
        <f t="shared" si="164"/>
        <v>680194806.39999998</v>
      </c>
      <c r="AU244" s="245">
        <f t="shared" si="164"/>
        <v>67689406</v>
      </c>
      <c r="AV244" s="245">
        <f t="shared" si="164"/>
        <v>0</v>
      </c>
      <c r="AW244" s="245">
        <f t="shared" si="164"/>
        <v>0</v>
      </c>
      <c r="AX244" s="245">
        <f t="shared" si="164"/>
        <v>0</v>
      </c>
      <c r="AY244" s="245">
        <f t="shared" si="164"/>
        <v>0</v>
      </c>
      <c r="AZ244" s="245">
        <f t="shared" si="164"/>
        <v>0</v>
      </c>
      <c r="BA244" s="245">
        <f t="shared" si="164"/>
        <v>0</v>
      </c>
      <c r="BB244" s="245">
        <f t="shared" si="164"/>
        <v>-612505400.39999998</v>
      </c>
      <c r="BC244" s="170"/>
      <c r="BD244" s="170"/>
      <c r="BE244" s="170"/>
      <c r="BF244" s="170"/>
    </row>
    <row r="245" spans="1:58" ht="61.9" customHeight="1" x14ac:dyDescent="0.2">
      <c r="A245" s="179"/>
      <c r="B245" s="290"/>
      <c r="C245" s="391" t="s">
        <v>318</v>
      </c>
      <c r="D245" s="391"/>
      <c r="E245" s="392"/>
      <c r="F245" s="287"/>
      <c r="G245" s="289"/>
      <c r="H245" s="181" t="s">
        <v>319</v>
      </c>
      <c r="I245" s="270"/>
      <c r="J245" s="271"/>
      <c r="K245" s="271"/>
      <c r="L245" s="261">
        <f>L250+L254+L258</f>
        <v>5191200</v>
      </c>
      <c r="M245" s="261">
        <f>M250+M254+M258</f>
        <v>866930.4</v>
      </c>
      <c r="N245" s="271"/>
      <c r="O245" s="271"/>
      <c r="P245" s="271"/>
      <c r="Q245" s="271"/>
      <c r="R245" s="261">
        <f>R250+R254+R258</f>
        <v>3200000</v>
      </c>
      <c r="S245" s="261">
        <f>S250+S254+S258</f>
        <v>2400000</v>
      </c>
      <c r="T245" s="261">
        <f>T250+T254+T258</f>
        <v>0</v>
      </c>
      <c r="U245" s="261">
        <f>U250+U254+U258</f>
        <v>3200000</v>
      </c>
      <c r="V245" s="271"/>
      <c r="W245" s="271"/>
      <c r="X245" s="271"/>
      <c r="Y245" s="261">
        <f>Y250+Y254+Y258</f>
        <v>0</v>
      </c>
      <c r="Z245" s="261">
        <f>Z250+Z254+Z258</f>
        <v>0</v>
      </c>
      <c r="AA245" s="271"/>
      <c r="AB245" s="261">
        <f>AB250+AB254+AB258</f>
        <v>1634000</v>
      </c>
      <c r="AC245" s="261">
        <f>AC250+AC254+AC258</f>
        <v>51980000</v>
      </c>
      <c r="AD245" s="261">
        <f>AD250+AD254+AD258</f>
        <v>184500000</v>
      </c>
      <c r="AE245" s="261">
        <f>AE250+AE254+AE258</f>
        <v>1361400</v>
      </c>
      <c r="AF245" s="261">
        <f>AF250+AF254+AF258</f>
        <v>248275400</v>
      </c>
      <c r="AG245" s="271"/>
      <c r="AH245" s="271"/>
      <c r="AI245" s="271"/>
      <c r="AJ245" s="261">
        <f>AJ250+AJ254+AJ258</f>
        <v>0</v>
      </c>
      <c r="AK245" s="261">
        <f>AK250+AK254+AK258</f>
        <v>0</v>
      </c>
      <c r="AL245" s="261">
        <f>AL250+AL254+AL258</f>
        <v>0</v>
      </c>
      <c r="AM245" s="261">
        <f>AM250+AM254+AM258</f>
        <v>0</v>
      </c>
      <c r="AN245" s="261">
        <f>AN250+AN254+AN258</f>
        <v>0</v>
      </c>
      <c r="AO245" s="272"/>
      <c r="AP245" s="260"/>
      <c r="AQ245" s="261">
        <f t="shared" ref="AQ245:BB245" si="165">AQ250+AQ254+AQ258</f>
        <v>6058130.4000000004</v>
      </c>
      <c r="AR245" s="261">
        <f t="shared" si="165"/>
        <v>248275400</v>
      </c>
      <c r="AS245" s="261">
        <f t="shared" si="165"/>
        <v>0</v>
      </c>
      <c r="AT245" s="261">
        <f t="shared" si="165"/>
        <v>254333530.39999998</v>
      </c>
      <c r="AU245" s="261">
        <f t="shared" si="165"/>
        <v>6058130.4000000004</v>
      </c>
      <c r="AV245" s="261">
        <f t="shared" si="165"/>
        <v>0</v>
      </c>
      <c r="AW245" s="261">
        <f t="shared" si="165"/>
        <v>0</v>
      </c>
      <c r="AX245" s="261">
        <f t="shared" si="165"/>
        <v>0</v>
      </c>
      <c r="AY245" s="261">
        <f t="shared" si="165"/>
        <v>0</v>
      </c>
      <c r="AZ245" s="261">
        <f t="shared" si="165"/>
        <v>0</v>
      </c>
      <c r="BA245" s="261">
        <f t="shared" si="165"/>
        <v>0</v>
      </c>
      <c r="BB245" s="261">
        <f t="shared" si="165"/>
        <v>-248275400</v>
      </c>
      <c r="BC245" s="184"/>
      <c r="BD245" s="184"/>
      <c r="BE245" s="184"/>
      <c r="BF245" s="184"/>
    </row>
    <row r="246" spans="1:58" ht="61.9" customHeight="1" x14ac:dyDescent="0.25">
      <c r="A246" s="172"/>
      <c r="B246" s="200"/>
      <c r="C246" s="201"/>
      <c r="D246" s="346"/>
      <c r="E246" s="355"/>
      <c r="F246" s="355"/>
      <c r="G246" s="356"/>
      <c r="H246" s="199" t="s">
        <v>320</v>
      </c>
      <c r="I246" s="178" t="s">
        <v>3</v>
      </c>
      <c r="J246" s="174">
        <v>3</v>
      </c>
      <c r="K246" s="174">
        <v>6</v>
      </c>
      <c r="L246" s="125">
        <f>IF(I246&lt;&gt;0,((VLOOKUP(I246,'1. Standard_Cost'!$B$4:$D$11,2)+VLOOKUP(I246,'1. Standard_Cost'!$B$4:$D$11,3))*J246*K246),"0")</f>
        <v>1814400</v>
      </c>
      <c r="M246" s="125">
        <f>L246*'1. Standard_Cost'!$F$4</f>
        <v>303004.79999999999</v>
      </c>
      <c r="N246" s="174"/>
      <c r="O246" s="174"/>
      <c r="P246" s="174"/>
      <c r="Q246" s="174"/>
      <c r="R246" s="127">
        <f>'1. Standard_Cost'!$B$15*N246*P246</f>
        <v>0</v>
      </c>
      <c r="S246" s="127">
        <f>N246*O246*P246*'1. Standard_Cost'!$C$15</f>
        <v>0</v>
      </c>
      <c r="T246" s="127">
        <f>N246*P246*Q246*'1. Standard_Cost'!$D$15</f>
        <v>0</v>
      </c>
      <c r="U246" s="127">
        <f>N246*O246*'1. Standard_Cost'!$E$15</f>
        <v>0</v>
      </c>
      <c r="V246" s="174"/>
      <c r="W246" s="174"/>
      <c r="X246" s="174"/>
      <c r="Y246" s="127">
        <f>+V246*((X246*'1. Standard_Cost'!$B$19)+(W246*X246*'1. Standard_Cost'!$C$19))</f>
        <v>0</v>
      </c>
      <c r="Z246" s="174"/>
      <c r="AA246" s="174"/>
      <c r="AB246" s="127">
        <f>+Z246*'1. Standard_Cost'!$B$23+AA246*'1. Standard_Cost'!$C$23</f>
        <v>0</v>
      </c>
      <c r="AC246" s="176"/>
      <c r="AD246" s="177">
        <f>246000000*25%</f>
        <v>61500000</v>
      </c>
      <c r="AE246" s="127"/>
      <c r="AF246" s="127">
        <f>SUM(AE246,AD246,AC246,AB246,Y246,U246,T246,S246,R246)</f>
        <v>61500000</v>
      </c>
      <c r="AG246" s="174"/>
      <c r="AH246" s="174"/>
      <c r="AI246" s="174"/>
      <c r="AJ246" s="178"/>
      <c r="AK246" s="178"/>
      <c r="AL246" s="178"/>
      <c r="AM246" s="127">
        <f>AG246*'1. Standard_Cost'!$B$27+'Incremental_Cost Year 8'!AH246*'1. Standard_Cost'!$C$27+'Incremental_Cost Year 8'!AI246*'1. Standard_Cost'!$D$27+'Incremental_Cost Year 8'!AJ246+'Incremental_Cost Year 8'!AL246+AK246</f>
        <v>0</v>
      </c>
      <c r="AN246" s="127">
        <f>AM246*'1. Standard_Cost'!$C$31</f>
        <v>0</v>
      </c>
      <c r="AO246" s="178"/>
      <c r="AP246" s="256"/>
      <c r="AQ246" s="171">
        <f>L246+M246</f>
        <v>2117404.7999999998</v>
      </c>
      <c r="AR246" s="171">
        <f>AF246</f>
        <v>61500000</v>
      </c>
      <c r="AS246" s="171">
        <f>AM246+AN246</f>
        <v>0</v>
      </c>
      <c r="AT246" s="171">
        <f>SUM(AQ246,AR246,AS246)</f>
        <v>63617404.799999997</v>
      </c>
      <c r="AU246" s="250">
        <f>AQ246</f>
        <v>2117404.7999999998</v>
      </c>
      <c r="AV246" s="250"/>
      <c r="AW246" s="250"/>
      <c r="AX246" s="250"/>
      <c r="AY246" s="250"/>
      <c r="AZ246" s="250"/>
      <c r="BA246" s="250"/>
      <c r="BB246" s="251">
        <f t="shared" ref="BB246:BB249" si="166">SUM(AU246:BA246)-AT246</f>
        <v>-61500000</v>
      </c>
      <c r="BC246" s="169"/>
      <c r="BD246" s="169"/>
      <c r="BE246" s="169"/>
      <c r="BF246" s="169"/>
    </row>
    <row r="247" spans="1:58" ht="61.9" customHeight="1" x14ac:dyDescent="0.25">
      <c r="A247" s="172"/>
      <c r="B247" s="200"/>
      <c r="C247" s="201"/>
      <c r="D247" s="203"/>
      <c r="E247" s="358"/>
      <c r="F247" s="358"/>
      <c r="G247" s="359"/>
      <c r="H247" s="199" t="s">
        <v>321</v>
      </c>
      <c r="I247" s="178" t="s">
        <v>3</v>
      </c>
      <c r="J247" s="174">
        <v>0.5</v>
      </c>
      <c r="K247" s="174">
        <v>1</v>
      </c>
      <c r="L247" s="125">
        <f>IF(I247&lt;&gt;0,((VLOOKUP(I247,'1. Standard_Cost'!$B$4:$D$11,2)+VLOOKUP(I247,'1. Standard_Cost'!$B$4:$D$11,3))*J247*K247),"0")</f>
        <v>50400</v>
      </c>
      <c r="M247" s="125">
        <f>L247*'1. Standard_Cost'!$F$4</f>
        <v>8416.8000000000011</v>
      </c>
      <c r="N247" s="174"/>
      <c r="O247" s="174"/>
      <c r="P247" s="174"/>
      <c r="Q247" s="174"/>
      <c r="R247" s="127">
        <f>'1. Standard_Cost'!$B$15*N247*P247</f>
        <v>0</v>
      </c>
      <c r="S247" s="127">
        <f>N247*O247*P247*'1. Standard_Cost'!$C$15</f>
        <v>0</v>
      </c>
      <c r="T247" s="127">
        <f>N247*P247*Q247*'1. Standard_Cost'!$D$15</f>
        <v>0</v>
      </c>
      <c r="U247" s="127">
        <f>N247*O247*'1. Standard_Cost'!$E$15</f>
        <v>0</v>
      </c>
      <c r="V247" s="174"/>
      <c r="W247" s="174"/>
      <c r="X247" s="174"/>
      <c r="Y247" s="127">
        <f>+V247*((X247*'1. Standard_Cost'!$B$19)+(W247*X247*'1. Standard_Cost'!$C$19))</f>
        <v>0</v>
      </c>
      <c r="Z247" s="174"/>
      <c r="AA247" s="174"/>
      <c r="AB247" s="127">
        <f>+Z247*'1. Standard_Cost'!$B$23+AA247*'1. Standard_Cost'!$C$23</f>
        <v>0</v>
      </c>
      <c r="AC247" s="176">
        <v>1500000</v>
      </c>
      <c r="AD247" s="177"/>
      <c r="AE247" s="127"/>
      <c r="AF247" s="127">
        <f>SUM(AE247,AD247,AC247,AB247,Y247,U247,T247,S247,R247)</f>
        <v>1500000</v>
      </c>
      <c r="AG247" s="174"/>
      <c r="AH247" s="174"/>
      <c r="AI247" s="174"/>
      <c r="AJ247" s="178"/>
      <c r="AK247" s="178"/>
      <c r="AL247" s="178"/>
      <c r="AM247" s="127">
        <f>AG247*'1. Standard_Cost'!$B$27+'Incremental_Cost Year 8'!AH247*'1. Standard_Cost'!$C$27+'Incremental_Cost Year 8'!AI247*'1. Standard_Cost'!$D$27+'Incremental_Cost Year 8'!AJ247+'Incremental_Cost Year 8'!AL247+AK247</f>
        <v>0</v>
      </c>
      <c r="AN247" s="127">
        <f>AM247*'1. Standard_Cost'!$C$31</f>
        <v>0</v>
      </c>
      <c r="AO247" s="178"/>
      <c r="AP247" s="256"/>
      <c r="AQ247" s="171">
        <f>L247+M247</f>
        <v>58816.800000000003</v>
      </c>
      <c r="AR247" s="171">
        <f>AF247</f>
        <v>1500000</v>
      </c>
      <c r="AS247" s="171">
        <f>AM247+AN247</f>
        <v>0</v>
      </c>
      <c r="AT247" s="171">
        <f>SUM(AQ247,AR247,AS247)</f>
        <v>1558816.8</v>
      </c>
      <c r="AU247" s="250">
        <f>AQ247</f>
        <v>58816.800000000003</v>
      </c>
      <c r="AV247" s="250"/>
      <c r="AW247" s="250"/>
      <c r="AX247" s="250"/>
      <c r="AY247" s="250"/>
      <c r="AZ247" s="250"/>
      <c r="BA247" s="250"/>
      <c r="BB247" s="251">
        <f t="shared" si="166"/>
        <v>-1500000</v>
      </c>
      <c r="BC247" s="169"/>
      <c r="BD247" s="169"/>
      <c r="BE247" s="169"/>
      <c r="BF247" s="169"/>
    </row>
    <row r="248" spans="1:58" ht="61.9" customHeight="1" x14ac:dyDescent="0.25">
      <c r="A248" s="172"/>
      <c r="B248" s="200"/>
      <c r="C248" s="201"/>
      <c r="D248" s="203"/>
      <c r="E248" s="358"/>
      <c r="F248" s="358"/>
      <c r="G248" s="359"/>
      <c r="H248" s="213" t="s">
        <v>322</v>
      </c>
      <c r="I248" s="178" t="s">
        <v>3</v>
      </c>
      <c r="J248" s="174">
        <v>0.5</v>
      </c>
      <c r="K248" s="174">
        <v>2</v>
      </c>
      <c r="L248" s="125">
        <f>IF(I248&lt;&gt;0,((VLOOKUP(I248,'1. Standard_Cost'!$B$4:$D$11,2)+VLOOKUP(I248,'1. Standard_Cost'!$B$4:$D$11,3))*J248*K248),"0")</f>
        <v>100800</v>
      </c>
      <c r="M248" s="125">
        <f>L248*'1. Standard_Cost'!$F$4</f>
        <v>16833.600000000002</v>
      </c>
      <c r="N248" s="174"/>
      <c r="O248" s="174"/>
      <c r="P248" s="174"/>
      <c r="Q248" s="174"/>
      <c r="R248" s="127">
        <f>'1. Standard_Cost'!$B$15*N248*P248</f>
        <v>0</v>
      </c>
      <c r="S248" s="127">
        <f>N248*O248*P248*'1. Standard_Cost'!$C$15</f>
        <v>0</v>
      </c>
      <c r="T248" s="127">
        <f>N248*P248*Q248*'1. Standard_Cost'!$D$15</f>
        <v>0</v>
      </c>
      <c r="U248" s="127">
        <f>N248*O248*'1. Standard_Cost'!$E$15</f>
        <v>0</v>
      </c>
      <c r="V248" s="174"/>
      <c r="W248" s="174"/>
      <c r="X248" s="174"/>
      <c r="Y248" s="127">
        <f>+V248*((X248*'1. Standard_Cost'!$B$19)+(W248*X248*'1. Standard_Cost'!$C$19))</f>
        <v>0</v>
      </c>
      <c r="Z248" s="174"/>
      <c r="AA248" s="174"/>
      <c r="AB248" s="127">
        <f>+Z248*'1. Standard_Cost'!$B$23+AA248*'1. Standard_Cost'!$C$23</f>
        <v>0</v>
      </c>
      <c r="AC248" s="176">
        <f>1000000*50</f>
        <v>50000000</v>
      </c>
      <c r="AD248" s="177"/>
      <c r="AE248" s="127"/>
      <c r="AF248" s="127">
        <f>SUM(AE248,AD248,AC248,AB248,Y248,U248,T248,S248,R248)</f>
        <v>50000000</v>
      </c>
      <c r="AG248" s="174"/>
      <c r="AH248" s="174"/>
      <c r="AI248" s="174"/>
      <c r="AJ248" s="178"/>
      <c r="AK248" s="178"/>
      <c r="AL248" s="178"/>
      <c r="AM248" s="127">
        <f>AG248*'1. Standard_Cost'!$B$27+'Incremental_Cost Year 8'!AH248*'1. Standard_Cost'!$C$27+'Incremental_Cost Year 8'!AI248*'1. Standard_Cost'!$D$27+'Incremental_Cost Year 8'!AJ248+'Incremental_Cost Year 8'!AL248+AK248</f>
        <v>0</v>
      </c>
      <c r="AN248" s="127">
        <f>AM248*'1. Standard_Cost'!$C$31</f>
        <v>0</v>
      </c>
      <c r="AO248" s="178"/>
      <c r="AP248" s="256"/>
      <c r="AQ248" s="171">
        <f>L248+M248</f>
        <v>117633.60000000001</v>
      </c>
      <c r="AR248" s="171">
        <f>AF248</f>
        <v>50000000</v>
      </c>
      <c r="AS248" s="171">
        <f>AM248+AN248</f>
        <v>0</v>
      </c>
      <c r="AT248" s="171">
        <f>SUM(AQ248,AR248,AS248)</f>
        <v>50117633.600000001</v>
      </c>
      <c r="AU248" s="250">
        <f>AQ248</f>
        <v>117633.60000000001</v>
      </c>
      <c r="AV248" s="250"/>
      <c r="AW248" s="250"/>
      <c r="AX248" s="250"/>
      <c r="AY248" s="250"/>
      <c r="AZ248" s="250"/>
      <c r="BA248" s="250"/>
      <c r="BB248" s="251">
        <f t="shared" si="166"/>
        <v>-50000000</v>
      </c>
      <c r="BC248" s="169"/>
      <c r="BD248" s="169"/>
      <c r="BE248" s="169"/>
      <c r="BF248" s="169"/>
    </row>
    <row r="249" spans="1:58" ht="61.9" customHeight="1" x14ac:dyDescent="0.25">
      <c r="A249" s="172"/>
      <c r="B249" s="200"/>
      <c r="C249" s="201"/>
      <c r="D249" s="133"/>
      <c r="E249" s="361"/>
      <c r="F249" s="361"/>
      <c r="G249" s="362"/>
      <c r="H249" s="199" t="s">
        <v>323</v>
      </c>
      <c r="I249" s="178"/>
      <c r="J249" s="174"/>
      <c r="K249" s="174"/>
      <c r="L249" s="125" t="str">
        <f>IF(I249&lt;&gt;0,((VLOOKUP(I249,'1. Standard_Cost'!$B$4:$D$11,2)+VLOOKUP(I249,'1. Standard_Cost'!$B$4:$D$11,3))*J249*K249),"0")</f>
        <v>0</v>
      </c>
      <c r="M249" s="125">
        <f>L249*'1. Standard_Cost'!$F$4</f>
        <v>0</v>
      </c>
      <c r="N249" s="174"/>
      <c r="O249" s="174"/>
      <c r="P249" s="174"/>
      <c r="Q249" s="174"/>
      <c r="R249" s="127">
        <f>'1. Standard_Cost'!$B$15*N249*P249</f>
        <v>0</v>
      </c>
      <c r="S249" s="127">
        <f>N249*O249*P249*'1. Standard_Cost'!$C$15</f>
        <v>0</v>
      </c>
      <c r="T249" s="127">
        <f>N249*P249*Q249*'1. Standard_Cost'!$D$15</f>
        <v>0</v>
      </c>
      <c r="U249" s="127">
        <f>N249*O249*'1. Standard_Cost'!$E$15</f>
        <v>0</v>
      </c>
      <c r="V249" s="174"/>
      <c r="W249" s="174"/>
      <c r="X249" s="174"/>
      <c r="Y249" s="127">
        <f>+V249*((X249*'1. Standard_Cost'!$B$19)+(W249*X249*'1. Standard_Cost'!$C$19))</f>
        <v>0</v>
      </c>
      <c r="Z249" s="174"/>
      <c r="AA249" s="174"/>
      <c r="AB249" s="127">
        <f>+Z249*'1. Standard_Cost'!$B$23+AA249*'1. Standard_Cost'!$C$23</f>
        <v>0</v>
      </c>
      <c r="AC249" s="176"/>
      <c r="AD249" s="177"/>
      <c r="AE249" s="127">
        <f>SUM(AD249,AC249,AB249,Y249,U249,T249,S249,R249)*'1. Standard_Cost'!$B$31</f>
        <v>0</v>
      </c>
      <c r="AF249" s="127">
        <f>SUM(AE249,AD249,AC249,AB249,Y249,U249,T249,S249,R249)</f>
        <v>0</v>
      </c>
      <c r="AG249" s="174"/>
      <c r="AH249" s="174"/>
      <c r="AI249" s="174"/>
      <c r="AJ249" s="178"/>
      <c r="AK249" s="178"/>
      <c r="AL249" s="178"/>
      <c r="AM249" s="127">
        <f>AG249*'1. Standard_Cost'!$B$27+'Incremental_Cost Year 8'!AH249*'1. Standard_Cost'!$C$27+'Incremental_Cost Year 8'!AI249*'1. Standard_Cost'!$D$27+'Incremental_Cost Year 8'!AJ249+'Incremental_Cost Year 8'!AL249+AK249</f>
        <v>0</v>
      </c>
      <c r="AN249" s="127">
        <f>AM249*'1. Standard_Cost'!$C$31</f>
        <v>0</v>
      </c>
      <c r="AO249" s="178"/>
      <c r="AP249" s="256"/>
      <c r="AQ249" s="171">
        <f>L249+M249</f>
        <v>0</v>
      </c>
      <c r="AR249" s="171">
        <f>AF249</f>
        <v>0</v>
      </c>
      <c r="AS249" s="171">
        <f>AM249+AN249</f>
        <v>0</v>
      </c>
      <c r="AT249" s="171">
        <f>SUM(AQ249,AR249,AS249)</f>
        <v>0</v>
      </c>
      <c r="AU249" s="250"/>
      <c r="AV249" s="250"/>
      <c r="AW249" s="250"/>
      <c r="AX249" s="250"/>
      <c r="AY249" s="250"/>
      <c r="AZ249" s="250"/>
      <c r="BA249" s="250"/>
      <c r="BB249" s="251">
        <f t="shared" si="166"/>
        <v>0</v>
      </c>
      <c r="BC249" s="169"/>
      <c r="BD249" s="169"/>
      <c r="BE249" s="169"/>
      <c r="BF249" s="169"/>
    </row>
    <row r="250" spans="1:58" ht="61.9" customHeight="1" x14ac:dyDescent="0.25">
      <c r="A250" s="172"/>
      <c r="B250" s="363"/>
      <c r="C250" s="364"/>
      <c r="D250" s="365" t="s">
        <v>559</v>
      </c>
      <c r="E250" s="365" t="s">
        <v>324</v>
      </c>
      <c r="F250" s="366">
        <v>2025</v>
      </c>
      <c r="G250" s="209">
        <v>2030</v>
      </c>
      <c r="H250" s="180" t="s">
        <v>325</v>
      </c>
      <c r="I250" s="273"/>
      <c r="J250" s="273"/>
      <c r="K250" s="273"/>
      <c r="L250" s="175">
        <f>SUM(L246:L249)</f>
        <v>1965600</v>
      </c>
      <c r="M250" s="175">
        <f>SUM(M246:M249)</f>
        <v>328255.19999999995</v>
      </c>
      <c r="N250" s="273"/>
      <c r="O250" s="273"/>
      <c r="P250" s="273"/>
      <c r="Q250" s="273"/>
      <c r="R250" s="175">
        <f>SUM(R246:R249)</f>
        <v>0</v>
      </c>
      <c r="S250" s="175">
        <f>SUM(S246:S249)</f>
        <v>0</v>
      </c>
      <c r="T250" s="175">
        <f>SUM(T246:T249)</f>
        <v>0</v>
      </c>
      <c r="U250" s="175">
        <f>SUM(U246:U249)</f>
        <v>0</v>
      </c>
      <c r="V250" s="273"/>
      <c r="W250" s="273"/>
      <c r="X250" s="273"/>
      <c r="Y250" s="175">
        <f>SUM(Y246:Y249)</f>
        <v>0</v>
      </c>
      <c r="Z250" s="273"/>
      <c r="AA250" s="273"/>
      <c r="AB250" s="175">
        <f>SUM(AB246:AB249)</f>
        <v>0</v>
      </c>
      <c r="AC250" s="175">
        <f>SUM(AC246:AC249)</f>
        <v>51500000</v>
      </c>
      <c r="AD250" s="175">
        <f>SUM(AD246:AD249)</f>
        <v>61500000</v>
      </c>
      <c r="AE250" s="175">
        <f>SUM(AE246:AE249)</f>
        <v>0</v>
      </c>
      <c r="AF250" s="175">
        <f>SUM(AF246:AF249)</f>
        <v>113000000</v>
      </c>
      <c r="AG250" s="273"/>
      <c r="AH250" s="273"/>
      <c r="AI250" s="273"/>
      <c r="AJ250" s="175">
        <f>SUM(AJ246:AJ249)</f>
        <v>0</v>
      </c>
      <c r="AK250" s="175">
        <f>SUM(AK246:AK249)</f>
        <v>0</v>
      </c>
      <c r="AL250" s="175">
        <f>SUM(AL246:AL249)</f>
        <v>0</v>
      </c>
      <c r="AM250" s="175">
        <f>SUM(AM246:AM249)</f>
        <v>0</v>
      </c>
      <c r="AN250" s="175">
        <f>SUM(AN246:AN249)</f>
        <v>0</v>
      </c>
      <c r="AO250" s="274"/>
      <c r="AP250" s="254"/>
      <c r="AQ250" s="175">
        <f t="shared" ref="AQ250:AT250" si="167">SUM(AQ246:AQ249)</f>
        <v>2293855.1999999997</v>
      </c>
      <c r="AR250" s="175">
        <f t="shared" si="167"/>
        <v>113000000</v>
      </c>
      <c r="AS250" s="175">
        <f t="shared" si="167"/>
        <v>0</v>
      </c>
      <c r="AT250" s="175">
        <f t="shared" si="167"/>
        <v>115293855.19999999</v>
      </c>
      <c r="AU250" s="175">
        <f t="shared" ref="AU250:BB250" si="168">SUM(AU246:AU249)</f>
        <v>2293855.1999999997</v>
      </c>
      <c r="AV250" s="175">
        <f t="shared" si="168"/>
        <v>0</v>
      </c>
      <c r="AW250" s="175">
        <f t="shared" si="168"/>
        <v>0</v>
      </c>
      <c r="AX250" s="175">
        <f t="shared" si="168"/>
        <v>0</v>
      </c>
      <c r="AY250" s="175">
        <f t="shared" si="168"/>
        <v>0</v>
      </c>
      <c r="AZ250" s="175">
        <f t="shared" si="168"/>
        <v>0</v>
      </c>
      <c r="BA250" s="175">
        <f t="shared" si="168"/>
        <v>0</v>
      </c>
      <c r="BB250" s="175">
        <f t="shared" si="168"/>
        <v>-113000000</v>
      </c>
      <c r="BC250" s="169"/>
      <c r="BD250" s="169"/>
      <c r="BE250" s="169"/>
      <c r="BF250" s="169"/>
    </row>
    <row r="251" spans="1:58" ht="61.9" customHeight="1" x14ac:dyDescent="0.25">
      <c r="A251" s="172"/>
      <c r="B251" s="200"/>
      <c r="C251" s="201"/>
      <c r="D251" s="202"/>
      <c r="E251" s="354"/>
      <c r="F251" s="355"/>
      <c r="G251" s="356"/>
      <c r="H251" s="213" t="s">
        <v>361</v>
      </c>
      <c r="I251" s="178"/>
      <c r="J251" s="174"/>
      <c r="K251" s="174"/>
      <c r="L251" s="125" t="str">
        <f>IF(I251&lt;&gt;0,((VLOOKUP(I251,'1. Standard_Cost'!$B$4:$D$11,2)+VLOOKUP(I251,'1. Standard_Cost'!$B$4:$D$11,3))*J251*K251),"0")</f>
        <v>0</v>
      </c>
      <c r="M251" s="125">
        <f>L251*'1. Standard_Cost'!$F$4</f>
        <v>0</v>
      </c>
      <c r="N251" s="174"/>
      <c r="O251" s="174"/>
      <c r="P251" s="174"/>
      <c r="Q251" s="174"/>
      <c r="R251" s="127">
        <f>'1. Standard_Cost'!$B$15*N251*P251</f>
        <v>0</v>
      </c>
      <c r="S251" s="127">
        <f>N251*O251*P251*'1. Standard_Cost'!$C$15</f>
        <v>0</v>
      </c>
      <c r="T251" s="127">
        <f>N251*P251*Q251*'1. Standard_Cost'!$D$15</f>
        <v>0</v>
      </c>
      <c r="U251" s="127">
        <f>N251*O251*'1. Standard_Cost'!$E$15</f>
        <v>0</v>
      </c>
      <c r="V251" s="174"/>
      <c r="W251" s="174"/>
      <c r="X251" s="174"/>
      <c r="Y251" s="127">
        <f>+V251*((X251*'1. Standard_Cost'!$B$19)+(W251*X251*'1. Standard_Cost'!$C$19))</f>
        <v>0</v>
      </c>
      <c r="Z251" s="174"/>
      <c r="AA251" s="174"/>
      <c r="AB251" s="127">
        <f>+Z251*'1. Standard_Cost'!$B$23+AA251*'1. Standard_Cost'!$C$23</f>
        <v>0</v>
      </c>
      <c r="AC251" s="176"/>
      <c r="AD251" s="177"/>
      <c r="AE251" s="127">
        <f>SUM(AD251,AC251,AB251,Y251,U251,T251,S251,R251)*'1. Standard_Cost'!$B$31</f>
        <v>0</v>
      </c>
      <c r="AF251" s="127">
        <f>SUM(AE251,AD251,AC251,AB251,Y251,U251,T251,S251,R251)</f>
        <v>0</v>
      </c>
      <c r="AG251" s="174"/>
      <c r="AH251" s="174"/>
      <c r="AI251" s="174"/>
      <c r="AJ251" s="178"/>
      <c r="AK251" s="178"/>
      <c r="AL251" s="178"/>
      <c r="AM251" s="127">
        <f>AG251*'1. Standard_Cost'!$B$27+'Incremental_Cost Year 8'!AH251*'1. Standard_Cost'!$C$27+'Incremental_Cost Year 8'!AI251*'1. Standard_Cost'!$D$27+'Incremental_Cost Year 8'!AJ251+'Incremental_Cost Year 8'!AL251+AK251</f>
        <v>0</v>
      </c>
      <c r="AN251" s="127">
        <f>AM251*'1. Standard_Cost'!$C$31</f>
        <v>0</v>
      </c>
      <c r="AO251" s="178"/>
      <c r="AP251" s="256"/>
      <c r="AQ251" s="171">
        <f>L251+M251</f>
        <v>0</v>
      </c>
      <c r="AR251" s="171">
        <f>AF251</f>
        <v>0</v>
      </c>
      <c r="AS251" s="171">
        <f>AM251+AN251</f>
        <v>0</v>
      </c>
      <c r="AT251" s="171">
        <f>SUM(AQ251,AR251,AS251)</f>
        <v>0</v>
      </c>
      <c r="AU251" s="250"/>
      <c r="AV251" s="250"/>
      <c r="AW251" s="250">
        <f>AT251</f>
        <v>0</v>
      </c>
      <c r="AX251" s="250"/>
      <c r="AY251" s="250"/>
      <c r="AZ251" s="250"/>
      <c r="BA251" s="250"/>
      <c r="BB251" s="251">
        <f t="shared" ref="BB251:BB253" si="169">SUM(AU251:BA251)-AT251</f>
        <v>0</v>
      </c>
      <c r="BC251" s="169"/>
      <c r="BD251" s="169"/>
      <c r="BE251" s="169"/>
      <c r="BF251" s="169"/>
    </row>
    <row r="252" spans="1:58" ht="61.9" customHeight="1" x14ac:dyDescent="0.25">
      <c r="A252" s="172"/>
      <c r="B252" s="200"/>
      <c r="C252" s="201"/>
      <c r="D252" s="202"/>
      <c r="E252" s="357"/>
      <c r="F252" s="358"/>
      <c r="G252" s="359"/>
      <c r="H252" s="199" t="s">
        <v>326</v>
      </c>
      <c r="I252" s="178" t="s">
        <v>3</v>
      </c>
      <c r="J252" s="174">
        <v>3</v>
      </c>
      <c r="K252" s="174">
        <v>3</v>
      </c>
      <c r="L252" s="125">
        <f>IF(I252&lt;&gt;0,((VLOOKUP(I252,'1. Standard_Cost'!$B$4:$D$11,2)+VLOOKUP(I252,'1. Standard_Cost'!$B$4:$D$11,3))*J252*K252),"0")</f>
        <v>907200</v>
      </c>
      <c r="M252" s="125">
        <f>L252*'1. Standard_Cost'!$F$4</f>
        <v>151502.39999999999</v>
      </c>
      <c r="N252" s="174">
        <v>30</v>
      </c>
      <c r="O252" s="174">
        <v>1</v>
      </c>
      <c r="P252" s="174">
        <v>20</v>
      </c>
      <c r="Q252" s="174"/>
      <c r="R252" s="127">
        <f>'1. Standard_Cost'!$B$15*N252*P252</f>
        <v>1200000</v>
      </c>
      <c r="S252" s="127">
        <f>N252*O252*P252*'1. Standard_Cost'!$C$15</f>
        <v>900000</v>
      </c>
      <c r="T252" s="127">
        <f>N252*P252*Q252*'1. Standard_Cost'!$D$15</f>
        <v>0</v>
      </c>
      <c r="U252" s="127">
        <f>N252*O252*'1. Standard_Cost'!$E$15</f>
        <v>1200000</v>
      </c>
      <c r="V252" s="174"/>
      <c r="W252" s="174"/>
      <c r="X252" s="174"/>
      <c r="Y252" s="127">
        <f>+V252*((X252*'1. Standard_Cost'!$B$19)+(W252*X252*'1. Standard_Cost'!$C$19))</f>
        <v>0</v>
      </c>
      <c r="Z252" s="174"/>
      <c r="AA252" s="174">
        <v>33</v>
      </c>
      <c r="AB252" s="127">
        <f>+Z252*'1. Standard_Cost'!$B$23+AA252*'1. Standard_Cost'!$C$23</f>
        <v>627000</v>
      </c>
      <c r="AC252" s="176">
        <f>600*300</f>
        <v>180000</v>
      </c>
      <c r="AD252" s="177"/>
      <c r="AE252" s="127"/>
      <c r="AF252" s="127">
        <f>SUM(AE252,AD252,AC252,AB252,Y252,U252,T252,S252,R252)</f>
        <v>4107000</v>
      </c>
      <c r="AG252" s="174"/>
      <c r="AH252" s="174"/>
      <c r="AI252" s="174"/>
      <c r="AJ252" s="178"/>
      <c r="AK252" s="178"/>
      <c r="AL252" s="178"/>
      <c r="AM252" s="127">
        <f>AG252*'1. Standard_Cost'!$B$27+'Incremental_Cost Year 8'!AH252*'1. Standard_Cost'!$C$27+'Incremental_Cost Year 8'!AI252*'1. Standard_Cost'!$D$27+'Incremental_Cost Year 8'!AJ252+'Incremental_Cost Year 8'!AL252+AK252</f>
        <v>0</v>
      </c>
      <c r="AN252" s="127">
        <f>AM252*'1. Standard_Cost'!$C$31</f>
        <v>0</v>
      </c>
      <c r="AO252" s="178"/>
      <c r="AP252" s="256"/>
      <c r="AQ252" s="171">
        <f>L252+M252</f>
        <v>1058702.3999999999</v>
      </c>
      <c r="AR252" s="171">
        <f>AF252</f>
        <v>4107000</v>
      </c>
      <c r="AS252" s="171">
        <f>AM252+AN252</f>
        <v>0</v>
      </c>
      <c r="AT252" s="171">
        <f>SUM(AQ252,AR252,AS252)</f>
        <v>5165702.4000000004</v>
      </c>
      <c r="AU252" s="250">
        <f>AQ252</f>
        <v>1058702.3999999999</v>
      </c>
      <c r="AV252" s="250"/>
      <c r="AW252" s="250"/>
      <c r="AX252" s="250"/>
      <c r="AY252" s="250"/>
      <c r="AZ252" s="250"/>
      <c r="BA252" s="250"/>
      <c r="BB252" s="251">
        <f t="shared" si="169"/>
        <v>-4107000.0000000005</v>
      </c>
      <c r="BC252" s="169"/>
      <c r="BD252" s="169"/>
      <c r="BE252" s="169"/>
      <c r="BF252" s="169"/>
    </row>
    <row r="253" spans="1:58" ht="61.9" customHeight="1" x14ac:dyDescent="0.25">
      <c r="A253" s="172"/>
      <c r="B253" s="200"/>
      <c r="C253" s="201"/>
      <c r="D253" s="202"/>
      <c r="E253" s="360"/>
      <c r="F253" s="361"/>
      <c r="G253" s="362"/>
      <c r="H253" s="199" t="s">
        <v>327</v>
      </c>
      <c r="I253" s="178" t="s">
        <v>3</v>
      </c>
      <c r="J253" s="174">
        <v>3</v>
      </c>
      <c r="K253" s="174">
        <v>3</v>
      </c>
      <c r="L253" s="125">
        <f>IF(I253&lt;&gt;0,((VLOOKUP(I253,'1. Standard_Cost'!$B$4:$D$11,2)+VLOOKUP(I253,'1. Standard_Cost'!$B$4:$D$11,3))*J253*K253),"0")</f>
        <v>907200</v>
      </c>
      <c r="M253" s="125">
        <f>L253*'1. Standard_Cost'!$F$4</f>
        <v>151502.39999999999</v>
      </c>
      <c r="N253" s="174">
        <v>50</v>
      </c>
      <c r="O253" s="174">
        <v>1</v>
      </c>
      <c r="P253" s="174">
        <v>20</v>
      </c>
      <c r="Q253" s="174"/>
      <c r="R253" s="127">
        <f>'1. Standard_Cost'!$B$15*N253*P253</f>
        <v>2000000</v>
      </c>
      <c r="S253" s="127">
        <f>N253*O253*P253*'1. Standard_Cost'!$C$15</f>
        <v>1500000</v>
      </c>
      <c r="T253" s="127">
        <f>N253*P253*Q253*'1. Standard_Cost'!$D$15</f>
        <v>0</v>
      </c>
      <c r="U253" s="127">
        <f>N253*O253*'1. Standard_Cost'!$E$15</f>
        <v>2000000</v>
      </c>
      <c r="V253" s="174"/>
      <c r="W253" s="174"/>
      <c r="X253" s="174"/>
      <c r="Y253" s="127">
        <f>+V253*((X253*'1. Standard_Cost'!$B$19)+(W253*X253*'1. Standard_Cost'!$C$19))</f>
        <v>0</v>
      </c>
      <c r="Z253" s="174"/>
      <c r="AA253" s="174">
        <v>53</v>
      </c>
      <c r="AB253" s="127">
        <f>+Z253*'1. Standard_Cost'!$B$23+AA253*'1. Standard_Cost'!$C$23</f>
        <v>1007000</v>
      </c>
      <c r="AC253" s="176">
        <f>1000*300</f>
        <v>300000</v>
      </c>
      <c r="AD253" s="177"/>
      <c r="AE253" s="127">
        <f>SUM(AD253,AC253,AB253,Y253,U253,T253,S253,R253)*'1. Standard_Cost'!$B$31</f>
        <v>1361400</v>
      </c>
      <c r="AF253" s="127">
        <f>SUM(AE253,AD253,AC253,AB253,Y253,U253,T253,S253,R253)</f>
        <v>8168400</v>
      </c>
      <c r="AG253" s="174"/>
      <c r="AH253" s="174"/>
      <c r="AI253" s="174"/>
      <c r="AJ253" s="178"/>
      <c r="AK253" s="178"/>
      <c r="AL253" s="178"/>
      <c r="AM253" s="127">
        <f>AG253*'1. Standard_Cost'!$B$27+'Incremental_Cost Year 8'!AH253*'1. Standard_Cost'!$C$27+'Incremental_Cost Year 8'!AI253*'1. Standard_Cost'!$D$27+'Incremental_Cost Year 8'!AJ253+'Incremental_Cost Year 8'!AL253+AK253</f>
        <v>0</v>
      </c>
      <c r="AN253" s="127">
        <f>AM253*'1. Standard_Cost'!$C$31</f>
        <v>0</v>
      </c>
      <c r="AO253" s="178"/>
      <c r="AP253" s="256"/>
      <c r="AQ253" s="171">
        <f>L253+M253</f>
        <v>1058702.3999999999</v>
      </c>
      <c r="AR253" s="171">
        <f>AF253</f>
        <v>8168400</v>
      </c>
      <c r="AS253" s="171">
        <f>AM253+AN253</f>
        <v>0</v>
      </c>
      <c r="AT253" s="171">
        <f>SUM(AQ253,AR253,AS253)</f>
        <v>9227102.4000000004</v>
      </c>
      <c r="AU253" s="250">
        <f>AQ253</f>
        <v>1058702.3999999999</v>
      </c>
      <c r="AV253" s="250"/>
      <c r="AW253" s="250"/>
      <c r="AX253" s="250"/>
      <c r="AY253" s="250"/>
      <c r="AZ253" s="250"/>
      <c r="BA253" s="250"/>
      <c r="BB253" s="251">
        <f t="shared" si="169"/>
        <v>-8168400</v>
      </c>
      <c r="BC253" s="169"/>
      <c r="BD253" s="169"/>
      <c r="BE253" s="169"/>
      <c r="BF253" s="169"/>
    </row>
    <row r="254" spans="1:58" ht="61.9" customHeight="1" x14ac:dyDescent="0.2">
      <c r="A254" s="172"/>
      <c r="B254" s="168"/>
      <c r="C254" s="204"/>
      <c r="D254" s="195" t="s">
        <v>558</v>
      </c>
      <c r="E254" s="205" t="s">
        <v>328</v>
      </c>
      <c r="F254" s="206">
        <v>2021</v>
      </c>
      <c r="G254" s="209">
        <v>2030</v>
      </c>
      <c r="H254" s="180" t="s">
        <v>329</v>
      </c>
      <c r="I254" s="273"/>
      <c r="J254" s="273"/>
      <c r="K254" s="273"/>
      <c r="L254" s="175">
        <f>SUM(L251:L253)</f>
        <v>1814400</v>
      </c>
      <c r="M254" s="175">
        <f>SUM(M251:M253)</f>
        <v>303004.79999999999</v>
      </c>
      <c r="N254" s="273"/>
      <c r="O254" s="273"/>
      <c r="P254" s="273"/>
      <c r="Q254" s="273"/>
      <c r="R254" s="175">
        <f>SUM(R251:R253)</f>
        <v>3200000</v>
      </c>
      <c r="S254" s="175">
        <f>SUM(S251:S253)</f>
        <v>2400000</v>
      </c>
      <c r="T254" s="175">
        <f>SUM(T251:T253)</f>
        <v>0</v>
      </c>
      <c r="U254" s="175">
        <f>SUM(U251:U253)</f>
        <v>3200000</v>
      </c>
      <c r="V254" s="273"/>
      <c r="W254" s="273"/>
      <c r="X254" s="273"/>
      <c r="Y254" s="175">
        <f>SUM(Y251:Y253)</f>
        <v>0</v>
      </c>
      <c r="Z254" s="273"/>
      <c r="AA254" s="273"/>
      <c r="AB254" s="175">
        <f>SUM(AB251:AB253)</f>
        <v>1634000</v>
      </c>
      <c r="AC254" s="175">
        <f>SUM(AC251:AC253)</f>
        <v>480000</v>
      </c>
      <c r="AD254" s="175">
        <f>SUM(AD251:AD253)</f>
        <v>0</v>
      </c>
      <c r="AE254" s="175">
        <f>SUM(AE251:AE253)</f>
        <v>1361400</v>
      </c>
      <c r="AF254" s="175">
        <f>SUM(AF251:AF253)</f>
        <v>12275400</v>
      </c>
      <c r="AG254" s="273"/>
      <c r="AH254" s="273"/>
      <c r="AI254" s="273"/>
      <c r="AJ254" s="175">
        <f>SUM(AJ251:AJ253)</f>
        <v>0</v>
      </c>
      <c r="AK254" s="175">
        <f>SUM(AK251:AK253)</f>
        <v>0</v>
      </c>
      <c r="AL254" s="175">
        <f>SUM(AL251:AL253)</f>
        <v>0</v>
      </c>
      <c r="AM254" s="175">
        <f>SUM(AM251:AM253)</f>
        <v>0</v>
      </c>
      <c r="AN254" s="175">
        <f>SUM(AN251:AN253)</f>
        <v>0</v>
      </c>
      <c r="AO254" s="274"/>
      <c r="AP254" s="254"/>
      <c r="AQ254" s="175">
        <f t="shared" ref="AQ254:AT254" si="170">SUM(AQ251:AQ253)</f>
        <v>2117404.7999999998</v>
      </c>
      <c r="AR254" s="175">
        <f t="shared" si="170"/>
        <v>12275400</v>
      </c>
      <c r="AS254" s="175">
        <f t="shared" si="170"/>
        <v>0</v>
      </c>
      <c r="AT254" s="175">
        <f t="shared" si="170"/>
        <v>14392804.800000001</v>
      </c>
      <c r="AU254" s="175">
        <f t="shared" ref="AU254:BB254" si="171">SUM(AU251:AU253)</f>
        <v>2117404.7999999998</v>
      </c>
      <c r="AV254" s="175">
        <f t="shared" si="171"/>
        <v>0</v>
      </c>
      <c r="AW254" s="175">
        <f t="shared" si="171"/>
        <v>0</v>
      </c>
      <c r="AX254" s="175">
        <f t="shared" si="171"/>
        <v>0</v>
      </c>
      <c r="AY254" s="175">
        <f t="shared" si="171"/>
        <v>0</v>
      </c>
      <c r="AZ254" s="175">
        <f t="shared" si="171"/>
        <v>0</v>
      </c>
      <c r="BA254" s="175">
        <f t="shared" si="171"/>
        <v>0</v>
      </c>
      <c r="BB254" s="175">
        <f t="shared" si="171"/>
        <v>-12275400</v>
      </c>
      <c r="BC254" s="169"/>
      <c r="BD254" s="169"/>
      <c r="BE254" s="169"/>
      <c r="BF254" s="169"/>
    </row>
    <row r="255" spans="1:58" ht="61.9" customHeight="1" x14ac:dyDescent="0.25">
      <c r="A255" s="172"/>
      <c r="B255" s="200"/>
      <c r="C255" s="201"/>
      <c r="D255" s="202"/>
      <c r="E255" s="354"/>
      <c r="F255" s="355"/>
      <c r="G255" s="356"/>
      <c r="H255" s="213" t="s">
        <v>330</v>
      </c>
      <c r="I255" s="178" t="s">
        <v>3</v>
      </c>
      <c r="J255" s="174">
        <v>1</v>
      </c>
      <c r="K255" s="174">
        <v>2</v>
      </c>
      <c r="L255" s="125">
        <f>IF(I255&lt;&gt;0,((VLOOKUP(I255,'1. Standard_Cost'!$B$4:$D$11,2)+VLOOKUP(I255,'1. Standard_Cost'!$B$4:$D$11,3))*J255*K255),"0")</f>
        <v>201600</v>
      </c>
      <c r="M255" s="125">
        <f>L255*'1. Standard_Cost'!$F$4</f>
        <v>33667.200000000004</v>
      </c>
      <c r="N255" s="174"/>
      <c r="O255" s="174"/>
      <c r="P255" s="174"/>
      <c r="Q255" s="174"/>
      <c r="R255" s="127">
        <f>'1. Standard_Cost'!$B$15*N255*P255</f>
        <v>0</v>
      </c>
      <c r="S255" s="127">
        <f>N255*O255*P255*'1. Standard_Cost'!$C$15</f>
        <v>0</v>
      </c>
      <c r="T255" s="127">
        <f>N255*P255*Q255*'1. Standard_Cost'!$D$15</f>
        <v>0</v>
      </c>
      <c r="U255" s="127">
        <f>N255*O255*'1. Standard_Cost'!$E$15</f>
        <v>0</v>
      </c>
      <c r="V255" s="174"/>
      <c r="W255" s="174"/>
      <c r="X255" s="174"/>
      <c r="Y255" s="127">
        <f>+V255*((X255*'1. Standard_Cost'!$B$19)+(W255*X255*'1. Standard_Cost'!$C$19))</f>
        <v>0</v>
      </c>
      <c r="Z255" s="174"/>
      <c r="AA255" s="174"/>
      <c r="AB255" s="127">
        <f>+Z255*'1. Standard_Cost'!$B$23+AA255*'1. Standard_Cost'!$C$23</f>
        <v>0</v>
      </c>
      <c r="AC255" s="176"/>
      <c r="AD255" s="177">
        <f>123000000*25%</f>
        <v>30750000</v>
      </c>
      <c r="AE255" s="127"/>
      <c r="AF255" s="127">
        <f>SUM(AE255,AD255,AC255,AB255,Y255,U255,T255,S255,R255)</f>
        <v>30750000</v>
      </c>
      <c r="AG255" s="174"/>
      <c r="AH255" s="174"/>
      <c r="AI255" s="174"/>
      <c r="AJ255" s="178"/>
      <c r="AK255" s="178"/>
      <c r="AL255" s="178"/>
      <c r="AM255" s="127">
        <f>AG255*'1. Standard_Cost'!$B$27+'Incremental_Cost Year 8'!AH255*'1. Standard_Cost'!$C$27+'Incremental_Cost Year 8'!AI255*'1. Standard_Cost'!$D$27+'Incremental_Cost Year 8'!AJ255+'Incremental_Cost Year 8'!AL255+AK255</f>
        <v>0</v>
      </c>
      <c r="AN255" s="127">
        <f>AM255*'1. Standard_Cost'!$C$31</f>
        <v>0</v>
      </c>
      <c r="AO255" s="178"/>
      <c r="AP255" s="256"/>
      <c r="AQ255" s="171">
        <f>L255+M255</f>
        <v>235267.20000000001</v>
      </c>
      <c r="AR255" s="171">
        <f>AF255</f>
        <v>30750000</v>
      </c>
      <c r="AS255" s="171">
        <f>AM255+AN255</f>
        <v>0</v>
      </c>
      <c r="AT255" s="171">
        <f>SUM(AQ255,AR255,AS255)</f>
        <v>30985267.199999999</v>
      </c>
      <c r="AU255" s="250">
        <f>AQ255</f>
        <v>235267.20000000001</v>
      </c>
      <c r="AV255" s="250"/>
      <c r="AW255" s="250"/>
      <c r="AX255" s="250"/>
      <c r="AY255" s="250"/>
      <c r="AZ255" s="250"/>
      <c r="BA255" s="250"/>
      <c r="BB255" s="251">
        <f t="shared" ref="BB255:BB257" si="172">SUM(AU255:BA255)-AT255</f>
        <v>-30750000</v>
      </c>
      <c r="BC255" s="169"/>
      <c r="BD255" s="169"/>
      <c r="BE255" s="169"/>
      <c r="BF255" s="169"/>
    </row>
    <row r="256" spans="1:58" ht="61.9" customHeight="1" x14ac:dyDescent="0.25">
      <c r="A256" s="172"/>
      <c r="B256" s="200"/>
      <c r="C256" s="201"/>
      <c r="D256" s="202"/>
      <c r="E256" s="357"/>
      <c r="F256" s="358"/>
      <c r="G256" s="359"/>
      <c r="H256" s="199" t="s">
        <v>331</v>
      </c>
      <c r="I256" s="178" t="s">
        <v>3</v>
      </c>
      <c r="J256" s="174">
        <v>2</v>
      </c>
      <c r="K256" s="174">
        <v>6</v>
      </c>
      <c r="L256" s="125">
        <f>IF(I256&lt;&gt;0,((VLOOKUP(I256,'1. Standard_Cost'!$B$4:$D$11,2)+VLOOKUP(I256,'1. Standard_Cost'!$B$4:$D$11,3))*J256*K256),"0")</f>
        <v>1209600</v>
      </c>
      <c r="M256" s="125">
        <f>L256*'1. Standard_Cost'!$F$4</f>
        <v>202003.20000000001</v>
      </c>
      <c r="N256" s="174"/>
      <c r="O256" s="174"/>
      <c r="P256" s="174"/>
      <c r="Q256" s="174"/>
      <c r="R256" s="127">
        <f>'1. Standard_Cost'!$B$15*N256*P256</f>
        <v>0</v>
      </c>
      <c r="S256" s="127">
        <f>N256*O256*P256*'1. Standard_Cost'!$C$15</f>
        <v>0</v>
      </c>
      <c r="T256" s="127">
        <f>N256*P256*Q256*'1. Standard_Cost'!$D$15</f>
        <v>0</v>
      </c>
      <c r="U256" s="127">
        <f>N256*O256*'1. Standard_Cost'!$E$15</f>
        <v>0</v>
      </c>
      <c r="V256" s="174"/>
      <c r="W256" s="174"/>
      <c r="X256" s="174"/>
      <c r="Y256" s="127">
        <f>+V256*((X256*'1. Standard_Cost'!$B$19)+(W256*X256*'1. Standard_Cost'!$C$19))</f>
        <v>0</v>
      </c>
      <c r="Z256" s="174"/>
      <c r="AA256" s="174"/>
      <c r="AB256" s="127">
        <f>+Z256*'1. Standard_Cost'!$B$23+AA256*'1. Standard_Cost'!$C$23</f>
        <v>0</v>
      </c>
      <c r="AC256" s="176"/>
      <c r="AD256" s="177"/>
      <c r="AE256" s="127">
        <f>SUM(AD256,AC256,AB256,Y256,U256,T256,S256,R256)*'1. Standard_Cost'!$B$31</f>
        <v>0</v>
      </c>
      <c r="AF256" s="127">
        <f>SUM(AE256,AD256,AC256,AB256,Y256,U256,T256,S256,R256)</f>
        <v>0</v>
      </c>
      <c r="AG256" s="174"/>
      <c r="AH256" s="174"/>
      <c r="AI256" s="174"/>
      <c r="AJ256" s="178"/>
      <c r="AK256" s="178"/>
      <c r="AL256" s="178"/>
      <c r="AM256" s="127">
        <f>AG256*'1. Standard_Cost'!$B$27+'Incremental_Cost Year 8'!AH256*'1. Standard_Cost'!$C$27+'Incremental_Cost Year 8'!AI256*'1. Standard_Cost'!$D$27+'Incremental_Cost Year 8'!AJ256+'Incremental_Cost Year 8'!AL256+AK256</f>
        <v>0</v>
      </c>
      <c r="AN256" s="127">
        <f>AM256*'1. Standard_Cost'!$C$31</f>
        <v>0</v>
      </c>
      <c r="AO256" s="178"/>
      <c r="AP256" s="256"/>
      <c r="AQ256" s="171">
        <f>L256+M256</f>
        <v>1411603.2</v>
      </c>
      <c r="AR256" s="171">
        <f>AF256</f>
        <v>0</v>
      </c>
      <c r="AS256" s="171">
        <f>AM256+AN256</f>
        <v>0</v>
      </c>
      <c r="AT256" s="171">
        <f>SUM(AQ256,AR256,AS256)</f>
        <v>1411603.2</v>
      </c>
      <c r="AU256" s="250">
        <f>AT256</f>
        <v>1411603.2</v>
      </c>
      <c r="AV256" s="250"/>
      <c r="AW256" s="250"/>
      <c r="AX256" s="250"/>
      <c r="AY256" s="250"/>
      <c r="AZ256" s="250"/>
      <c r="BA256" s="250"/>
      <c r="BB256" s="251">
        <f t="shared" si="172"/>
        <v>0</v>
      </c>
      <c r="BC256" s="169"/>
      <c r="BD256" s="169"/>
      <c r="BE256" s="169"/>
      <c r="BF256" s="169"/>
    </row>
    <row r="257" spans="1:58" ht="61.9" customHeight="1" x14ac:dyDescent="0.25">
      <c r="A257" s="172"/>
      <c r="B257" s="200"/>
      <c r="C257" s="201"/>
      <c r="D257" s="202"/>
      <c r="E257" s="360"/>
      <c r="F257" s="361"/>
      <c r="G257" s="362"/>
      <c r="H257" s="199" t="s">
        <v>332</v>
      </c>
      <c r="I257" s="178"/>
      <c r="J257" s="174"/>
      <c r="K257" s="174"/>
      <c r="L257" s="125" t="str">
        <f>IF(I257&lt;&gt;0,((VLOOKUP(I257,'1. Standard_Cost'!$B$4:$D$11,2)+VLOOKUP(I257,'1. Standard_Cost'!$B$4:$D$11,3))*J257*K257),"0")</f>
        <v>0</v>
      </c>
      <c r="M257" s="125">
        <f>L257*'1. Standard_Cost'!$F$4</f>
        <v>0</v>
      </c>
      <c r="N257" s="174"/>
      <c r="O257" s="174"/>
      <c r="P257" s="174"/>
      <c r="Q257" s="174"/>
      <c r="R257" s="127">
        <f>'1. Standard_Cost'!$B$15*N257*P257</f>
        <v>0</v>
      </c>
      <c r="S257" s="127">
        <f>N257*O257*P257*'1. Standard_Cost'!$C$15</f>
        <v>0</v>
      </c>
      <c r="T257" s="127">
        <f>N257*P257*Q257*'1. Standard_Cost'!$D$15</f>
        <v>0</v>
      </c>
      <c r="U257" s="127">
        <f>N257*O257*'1. Standard_Cost'!$E$15</f>
        <v>0</v>
      </c>
      <c r="V257" s="174"/>
      <c r="W257" s="174"/>
      <c r="X257" s="174"/>
      <c r="Y257" s="127">
        <f>+V257*((X257*'1. Standard_Cost'!$B$19)+(W257*X257*'1. Standard_Cost'!$C$19))</f>
        <v>0</v>
      </c>
      <c r="Z257" s="174"/>
      <c r="AA257" s="174"/>
      <c r="AB257" s="127">
        <f>+Z257*'1. Standard_Cost'!$B$23+AA257*'1. Standard_Cost'!$C$23</f>
        <v>0</v>
      </c>
      <c r="AC257" s="176"/>
      <c r="AD257" s="177">
        <f>369000000*25%</f>
        <v>92250000</v>
      </c>
      <c r="AE257" s="127"/>
      <c r="AF257" s="127">
        <f>SUM(AE257,AD257,AC257,AB257,Y257,U257,T257,S257,R257)</f>
        <v>92250000</v>
      </c>
      <c r="AG257" s="174"/>
      <c r="AH257" s="174"/>
      <c r="AI257" s="174"/>
      <c r="AJ257" s="178"/>
      <c r="AK257" s="178"/>
      <c r="AL257" s="178"/>
      <c r="AM257" s="127">
        <f>AG257*'1. Standard_Cost'!$B$27+'Incremental_Cost Year 8'!AH257*'1. Standard_Cost'!$C$27+'Incremental_Cost Year 8'!AI257*'1. Standard_Cost'!$D$27+'Incremental_Cost Year 8'!AJ257+'Incremental_Cost Year 8'!AL257+AK257</f>
        <v>0</v>
      </c>
      <c r="AN257" s="127">
        <f>AM257*'1. Standard_Cost'!$C$31</f>
        <v>0</v>
      </c>
      <c r="AO257" s="178"/>
      <c r="AP257" s="256"/>
      <c r="AQ257" s="171">
        <f>L257+M257</f>
        <v>0</v>
      </c>
      <c r="AR257" s="171">
        <f>AF257</f>
        <v>92250000</v>
      </c>
      <c r="AS257" s="171">
        <f>AM257+AN257</f>
        <v>0</v>
      </c>
      <c r="AT257" s="171">
        <f>SUM(AQ257,AR257,AS257)</f>
        <v>92250000</v>
      </c>
      <c r="AU257" s="250"/>
      <c r="AV257" s="250"/>
      <c r="AW257" s="250"/>
      <c r="AX257" s="250"/>
      <c r="AY257" s="250"/>
      <c r="AZ257" s="250"/>
      <c r="BA257" s="250"/>
      <c r="BB257" s="251">
        <f t="shared" si="172"/>
        <v>-92250000</v>
      </c>
      <c r="BC257" s="169"/>
      <c r="BD257" s="169"/>
      <c r="BE257" s="169"/>
      <c r="BF257" s="169"/>
    </row>
    <row r="258" spans="1:58" ht="61.9" customHeight="1" x14ac:dyDescent="0.2">
      <c r="A258" s="172"/>
      <c r="B258" s="168"/>
      <c r="C258" s="204"/>
      <c r="D258" s="195" t="s">
        <v>559</v>
      </c>
      <c r="E258" s="205" t="s">
        <v>333</v>
      </c>
      <c r="F258" s="206">
        <v>2025</v>
      </c>
      <c r="G258" s="207">
        <v>2030</v>
      </c>
      <c r="H258" s="180" t="s">
        <v>334</v>
      </c>
      <c r="I258" s="273"/>
      <c r="J258" s="273"/>
      <c r="K258" s="273"/>
      <c r="L258" s="175">
        <f>SUM(L255:L257)</f>
        <v>1411200</v>
      </c>
      <c r="M258" s="175">
        <f>SUM(M255:M257)</f>
        <v>235670.40000000002</v>
      </c>
      <c r="N258" s="273"/>
      <c r="O258" s="273"/>
      <c r="P258" s="273"/>
      <c r="Q258" s="273"/>
      <c r="R258" s="175">
        <f>SUM(R255:R257)</f>
        <v>0</v>
      </c>
      <c r="S258" s="175">
        <f>SUM(S255:S257)</f>
        <v>0</v>
      </c>
      <c r="T258" s="175">
        <f>SUM(T255:T257)</f>
        <v>0</v>
      </c>
      <c r="U258" s="175">
        <f>SUM(U255:U257)</f>
        <v>0</v>
      </c>
      <c r="V258" s="273"/>
      <c r="W258" s="273"/>
      <c r="X258" s="273"/>
      <c r="Y258" s="175">
        <f>SUM(Y255:Y257)</f>
        <v>0</v>
      </c>
      <c r="Z258" s="273"/>
      <c r="AA258" s="273"/>
      <c r="AB258" s="175">
        <f>SUM(AB255:AB257)</f>
        <v>0</v>
      </c>
      <c r="AC258" s="175">
        <f>SUM(AC255:AC257)</f>
        <v>0</v>
      </c>
      <c r="AD258" s="175">
        <f>SUM(AD255:AD257)</f>
        <v>123000000</v>
      </c>
      <c r="AE258" s="175">
        <f>SUM(AE255:AE257)</f>
        <v>0</v>
      </c>
      <c r="AF258" s="175">
        <f>SUM(AF255:AF257)</f>
        <v>123000000</v>
      </c>
      <c r="AG258" s="273"/>
      <c r="AH258" s="273"/>
      <c r="AI258" s="273"/>
      <c r="AJ258" s="175">
        <f>SUM(AJ255:AJ257)</f>
        <v>0</v>
      </c>
      <c r="AK258" s="175">
        <f>SUM(AK255:AK257)</f>
        <v>0</v>
      </c>
      <c r="AL258" s="175">
        <f>SUM(AL255:AL257)</f>
        <v>0</v>
      </c>
      <c r="AM258" s="175">
        <f>SUM(AM255:AM257)</f>
        <v>0</v>
      </c>
      <c r="AN258" s="175">
        <f>SUM(AN255:AN257)</f>
        <v>0</v>
      </c>
      <c r="AO258" s="274"/>
      <c r="AP258" s="254"/>
      <c r="AQ258" s="175">
        <f t="shared" ref="AQ258:AT258" si="173">SUM(AQ255:AQ257)</f>
        <v>1646870.4</v>
      </c>
      <c r="AR258" s="175">
        <f t="shared" si="173"/>
        <v>123000000</v>
      </c>
      <c r="AS258" s="175">
        <f t="shared" si="173"/>
        <v>0</v>
      </c>
      <c r="AT258" s="175">
        <f t="shared" si="173"/>
        <v>124646870.40000001</v>
      </c>
      <c r="AU258" s="175">
        <f t="shared" ref="AU258:BB258" si="174">SUM(AU255:AU257)</f>
        <v>1646870.4</v>
      </c>
      <c r="AV258" s="175">
        <f t="shared" si="174"/>
        <v>0</v>
      </c>
      <c r="AW258" s="175">
        <f t="shared" si="174"/>
        <v>0</v>
      </c>
      <c r="AX258" s="175">
        <f t="shared" si="174"/>
        <v>0</v>
      </c>
      <c r="AY258" s="175">
        <f t="shared" si="174"/>
        <v>0</v>
      </c>
      <c r="AZ258" s="175">
        <f t="shared" si="174"/>
        <v>0</v>
      </c>
      <c r="BA258" s="175">
        <f t="shared" si="174"/>
        <v>0</v>
      </c>
      <c r="BB258" s="175">
        <f t="shared" si="174"/>
        <v>-123000000</v>
      </c>
      <c r="BC258" s="169"/>
      <c r="BD258" s="169"/>
      <c r="BE258" s="169"/>
      <c r="BF258" s="169"/>
    </row>
    <row r="259" spans="1:58" ht="61.9" customHeight="1" x14ac:dyDescent="0.2">
      <c r="A259" s="179"/>
      <c r="B259" s="290"/>
      <c r="C259" s="391" t="s">
        <v>335</v>
      </c>
      <c r="D259" s="391"/>
      <c r="E259" s="392"/>
      <c r="F259" s="287"/>
      <c r="G259" s="289"/>
      <c r="H259" s="181" t="s">
        <v>336</v>
      </c>
      <c r="I259" s="271"/>
      <c r="J259" s="271"/>
      <c r="K259" s="271"/>
      <c r="L259" s="261">
        <f>L263+L268</f>
        <v>23066400</v>
      </c>
      <c r="M259" s="261">
        <f>M263+M268</f>
        <v>3852088.8000000003</v>
      </c>
      <c r="N259" s="271"/>
      <c r="O259" s="271"/>
      <c r="P259" s="271"/>
      <c r="Q259" s="271"/>
      <c r="R259" s="261">
        <f>R263+R268</f>
        <v>0</v>
      </c>
      <c r="S259" s="261">
        <f>S263+S268</f>
        <v>0</v>
      </c>
      <c r="T259" s="261">
        <f>T263+T268</f>
        <v>0</v>
      </c>
      <c r="U259" s="261">
        <f>U263+U268</f>
        <v>0</v>
      </c>
      <c r="V259" s="261"/>
      <c r="W259" s="271"/>
      <c r="X259" s="271"/>
      <c r="Y259" s="261">
        <f>Y263+Y268</f>
        <v>0</v>
      </c>
      <c r="Z259" s="261"/>
      <c r="AA259" s="261"/>
      <c r="AB259" s="261">
        <f>AB263+AB268</f>
        <v>0</v>
      </c>
      <c r="AC259" s="261">
        <f>AC263+AC268</f>
        <v>25655000</v>
      </c>
      <c r="AD259" s="261">
        <f>AD263+AD268</f>
        <v>345394000</v>
      </c>
      <c r="AE259" s="261">
        <f>AE263+AE268</f>
        <v>18450000</v>
      </c>
      <c r="AF259" s="261">
        <f>AF263+AF268</f>
        <v>389499000</v>
      </c>
      <c r="AG259" s="271"/>
      <c r="AH259" s="271"/>
      <c r="AI259" s="271"/>
      <c r="AJ259" s="261">
        <f>AJ263+AJ268</f>
        <v>0</v>
      </c>
      <c r="AK259" s="261">
        <f>AK263+AK268</f>
        <v>0</v>
      </c>
      <c r="AL259" s="261">
        <f>AL263+AL268</f>
        <v>0</v>
      </c>
      <c r="AM259" s="261">
        <f>AM263+AM268</f>
        <v>0</v>
      </c>
      <c r="AN259" s="261">
        <f>AN263+AN268</f>
        <v>0</v>
      </c>
      <c r="AO259" s="272"/>
      <c r="AP259" s="260"/>
      <c r="AQ259" s="261">
        <f t="shared" ref="AQ259:BB259" si="175">AQ263+AQ268</f>
        <v>26918488.800000001</v>
      </c>
      <c r="AR259" s="261">
        <f t="shared" si="175"/>
        <v>389499000</v>
      </c>
      <c r="AS259" s="261">
        <f t="shared" si="175"/>
        <v>0</v>
      </c>
      <c r="AT259" s="261">
        <f t="shared" si="175"/>
        <v>416417488.79999995</v>
      </c>
      <c r="AU259" s="261">
        <f t="shared" si="175"/>
        <v>52573488.399999999</v>
      </c>
      <c r="AV259" s="261">
        <f t="shared" si="175"/>
        <v>0</v>
      </c>
      <c r="AW259" s="261">
        <f t="shared" si="175"/>
        <v>0</v>
      </c>
      <c r="AX259" s="261">
        <f t="shared" si="175"/>
        <v>0</v>
      </c>
      <c r="AY259" s="261">
        <f t="shared" si="175"/>
        <v>0</v>
      </c>
      <c r="AZ259" s="261">
        <f t="shared" si="175"/>
        <v>0</v>
      </c>
      <c r="BA259" s="261">
        <f t="shared" si="175"/>
        <v>0</v>
      </c>
      <c r="BB259" s="261">
        <f t="shared" si="175"/>
        <v>-363844000.39999998</v>
      </c>
      <c r="BC259" s="184"/>
      <c r="BD259" s="184"/>
      <c r="BE259" s="184"/>
      <c r="BF259" s="184"/>
    </row>
    <row r="260" spans="1:58" ht="61.9" customHeight="1" x14ac:dyDescent="0.25">
      <c r="A260" s="172"/>
      <c r="B260" s="354"/>
      <c r="C260" s="356"/>
      <c r="D260" s="342"/>
      <c r="E260" s="328"/>
      <c r="F260" s="328"/>
      <c r="G260" s="328"/>
      <c r="H260" s="199" t="s">
        <v>551</v>
      </c>
      <c r="I260" s="178" t="s">
        <v>3</v>
      </c>
      <c r="J260" s="174">
        <v>1</v>
      </c>
      <c r="K260" s="174">
        <v>2</v>
      </c>
      <c r="L260" s="125">
        <f>IF(I260&lt;&gt;0,((VLOOKUP(I260,'1. Standard_Cost'!$B$4:$D$11,2)+VLOOKUP(I260,'1. Standard_Cost'!$B$4:$D$11,3))*J260*K260),"0")</f>
        <v>201600</v>
      </c>
      <c r="M260" s="125">
        <f>L260*'1. Standard_Cost'!$F$4</f>
        <v>33667.200000000004</v>
      </c>
      <c r="N260" s="174"/>
      <c r="O260" s="174"/>
      <c r="P260" s="174"/>
      <c r="Q260" s="174"/>
      <c r="R260" s="127">
        <f>'1. Standard_Cost'!$B$15*N260*P260</f>
        <v>0</v>
      </c>
      <c r="S260" s="127">
        <f>N260*O260*P260*'1. Standard_Cost'!$C$15</f>
        <v>0</v>
      </c>
      <c r="T260" s="127">
        <f>N260*P260*Q260*'1. Standard_Cost'!$D$15</f>
        <v>0</v>
      </c>
      <c r="U260" s="127">
        <f>N260*O260*'1. Standard_Cost'!$E$15</f>
        <v>0</v>
      </c>
      <c r="V260" s="174"/>
      <c r="W260" s="174"/>
      <c r="X260" s="174"/>
      <c r="Y260" s="127">
        <f>+V260*((X260*'1. Standard_Cost'!$B$19)+(W260*X260*'1. Standard_Cost'!$C$19))</f>
        <v>0</v>
      </c>
      <c r="Z260" s="174"/>
      <c r="AA260" s="174"/>
      <c r="AB260" s="127">
        <f>+Z260*'1. Standard_Cost'!$B$23+AA260*'1. Standard_Cost'!$C$23</f>
        <v>0</v>
      </c>
      <c r="AC260" s="176"/>
      <c r="AD260" s="177">
        <f>538740000*25%</f>
        <v>134685000</v>
      </c>
      <c r="AE260" s="127"/>
      <c r="AF260" s="127">
        <f>SUM(AE260,AD260,AC260,AB260,Y260,U260,T260,S260,R260)</f>
        <v>134685000</v>
      </c>
      <c r="AG260" s="174"/>
      <c r="AH260" s="174"/>
      <c r="AI260" s="174"/>
      <c r="AJ260" s="178"/>
      <c r="AK260" s="178"/>
      <c r="AL260" s="178"/>
      <c r="AM260" s="127">
        <f>AG260*'1. Standard_Cost'!$B$27+'Incremental_Cost Year 8'!AH260*'1. Standard_Cost'!$C$27+'Incremental_Cost Year 8'!AI260*'1. Standard_Cost'!$D$27+'Incremental_Cost Year 8'!AJ260+'Incremental_Cost Year 8'!AL260+AK260</f>
        <v>0</v>
      </c>
      <c r="AN260" s="127">
        <f>AM260*'1. Standard_Cost'!$C$31</f>
        <v>0</v>
      </c>
      <c r="AO260" s="178"/>
      <c r="AP260" s="256"/>
      <c r="AQ260" s="171">
        <f>L260+M260</f>
        <v>235267.20000000001</v>
      </c>
      <c r="AR260" s="171">
        <f>AF260</f>
        <v>134685000</v>
      </c>
      <c r="AS260" s="171">
        <f>AM260+AN260</f>
        <v>0</v>
      </c>
      <c r="AT260" s="171">
        <f>SUM(AQ260,AR260,AS260)</f>
        <v>134920267.19999999</v>
      </c>
      <c r="AU260" s="250">
        <f>AQ260</f>
        <v>235267.20000000001</v>
      </c>
      <c r="AV260" s="250"/>
      <c r="AW260" s="250"/>
      <c r="AX260" s="250"/>
      <c r="AY260" s="250"/>
      <c r="AZ260" s="250"/>
      <c r="BA260" s="250"/>
      <c r="BB260" s="251">
        <f t="shared" ref="BB260:BB262" si="176">SUM(AU260:BA260)-AT260</f>
        <v>-134685000</v>
      </c>
      <c r="BC260" s="169"/>
      <c r="BD260" s="169"/>
      <c r="BE260" s="169"/>
      <c r="BF260" s="169"/>
    </row>
    <row r="261" spans="1:58" ht="61.9" customHeight="1" x14ac:dyDescent="0.25">
      <c r="A261" s="172"/>
      <c r="B261" s="357"/>
      <c r="C261" s="359"/>
      <c r="D261" s="343"/>
      <c r="E261" s="328"/>
      <c r="F261" s="328"/>
      <c r="G261" s="328"/>
      <c r="H261" s="199" t="s">
        <v>337</v>
      </c>
      <c r="I261" s="178" t="s">
        <v>3</v>
      </c>
      <c r="J261" s="174">
        <v>1</v>
      </c>
      <c r="K261" s="174">
        <v>2</v>
      </c>
      <c r="L261" s="125">
        <f>IF(I261&lt;&gt;0,((VLOOKUP(I261,'1. Standard_Cost'!$B$4:$D$11,2)+VLOOKUP(I261,'1. Standard_Cost'!$B$4:$D$11,3))*J261*K261),"0")</f>
        <v>201600</v>
      </c>
      <c r="M261" s="125">
        <f>L261*'1. Standard_Cost'!$F$4</f>
        <v>33667.200000000004</v>
      </c>
      <c r="N261" s="174"/>
      <c r="O261" s="174"/>
      <c r="P261" s="174"/>
      <c r="Q261" s="174"/>
      <c r="R261" s="127">
        <f>'1. Standard_Cost'!$B$15*N261*P261</f>
        <v>0</v>
      </c>
      <c r="S261" s="127">
        <f>N261*O261*P261*'1. Standard_Cost'!$C$15</f>
        <v>0</v>
      </c>
      <c r="T261" s="127">
        <f>N261*P261*Q261*'1. Standard_Cost'!$D$15</f>
        <v>0</v>
      </c>
      <c r="U261" s="127">
        <f>N261*O261*'1. Standard_Cost'!$E$15</f>
        <v>0</v>
      </c>
      <c r="V261" s="174"/>
      <c r="W261" s="174"/>
      <c r="X261" s="174"/>
      <c r="Y261" s="127">
        <f>+V261*((X261*'1. Standard_Cost'!$B$19)+(W261*X261*'1. Standard_Cost'!$C$19))</f>
        <v>0</v>
      </c>
      <c r="Z261" s="174"/>
      <c r="AA261" s="174"/>
      <c r="AB261" s="127">
        <f>+Z261*'1. Standard_Cost'!$B$23+AA261*'1. Standard_Cost'!$C$23</f>
        <v>0</v>
      </c>
      <c r="AC261" s="176"/>
      <c r="AD261" s="177">
        <f>51700000*25%</f>
        <v>12925000</v>
      </c>
      <c r="AE261" s="127"/>
      <c r="AF261" s="127">
        <f>SUM(AE261,AD261,AC261,AB261,Y261,U261,T261,S261,R261)</f>
        <v>12925000</v>
      </c>
      <c r="AG261" s="174"/>
      <c r="AH261" s="174"/>
      <c r="AI261" s="174"/>
      <c r="AJ261" s="178"/>
      <c r="AK261" s="178"/>
      <c r="AL261" s="178"/>
      <c r="AM261" s="127">
        <f>AG261*'1. Standard_Cost'!$B$27+'Incremental_Cost Year 8'!AH261*'1. Standard_Cost'!$C$27+'Incremental_Cost Year 8'!AI261*'1. Standard_Cost'!$D$27+'Incremental_Cost Year 8'!AJ261+'Incremental_Cost Year 8'!AL261+AK261</f>
        <v>0</v>
      </c>
      <c r="AN261" s="127">
        <f>AM261*'1. Standard_Cost'!$C$31</f>
        <v>0</v>
      </c>
      <c r="AO261" s="178"/>
      <c r="AP261" s="256"/>
      <c r="AQ261" s="171">
        <f>L261+M261</f>
        <v>235267.20000000001</v>
      </c>
      <c r="AR261" s="171">
        <f>AF261</f>
        <v>12925000</v>
      </c>
      <c r="AS261" s="171">
        <f>AM261+AN261</f>
        <v>0</v>
      </c>
      <c r="AT261" s="171">
        <f>SUM(AQ261,AR261,AS261)</f>
        <v>13160267.199999999</v>
      </c>
      <c r="AU261" s="250">
        <f>AQ261</f>
        <v>235267.20000000001</v>
      </c>
      <c r="AV261" s="250"/>
      <c r="AW261" s="250"/>
      <c r="AX261" s="250"/>
      <c r="AY261" s="250"/>
      <c r="AZ261" s="250"/>
      <c r="BA261" s="250"/>
      <c r="BB261" s="251">
        <f t="shared" si="176"/>
        <v>-12925000</v>
      </c>
      <c r="BC261" s="169"/>
      <c r="BD261" s="169"/>
      <c r="BE261" s="169"/>
      <c r="BF261" s="169"/>
    </row>
    <row r="262" spans="1:58" ht="61.9" customHeight="1" x14ac:dyDescent="0.25">
      <c r="A262" s="172"/>
      <c r="B262" s="357"/>
      <c r="C262" s="359"/>
      <c r="D262" s="343"/>
      <c r="E262" s="328"/>
      <c r="F262" s="328"/>
      <c r="G262" s="328"/>
      <c r="H262" s="199" t="s">
        <v>552</v>
      </c>
      <c r="I262" s="178" t="s">
        <v>3</v>
      </c>
      <c r="J262" s="174">
        <v>1</v>
      </c>
      <c r="K262" s="174">
        <v>2</v>
      </c>
      <c r="L262" s="125">
        <f>IF(I262&lt;&gt;0,((VLOOKUP(I262,'1. Standard_Cost'!$B$4:$D$11,2)+VLOOKUP(I262,'1. Standard_Cost'!$B$4:$D$11,3))*J262*K262),"0")</f>
        <v>201600</v>
      </c>
      <c r="M262" s="125">
        <f>L262*'1. Standard_Cost'!$F$4</f>
        <v>33667.200000000004</v>
      </c>
      <c r="N262" s="174"/>
      <c r="O262" s="174"/>
      <c r="P262" s="174"/>
      <c r="Q262" s="174"/>
      <c r="R262" s="127">
        <f>'1. Standard_Cost'!$B$15*N262*P262</f>
        <v>0</v>
      </c>
      <c r="S262" s="127">
        <f>N262*O262*P262*'1. Standard_Cost'!$C$15</f>
        <v>0</v>
      </c>
      <c r="T262" s="127">
        <f>N262*P262*Q262*'1. Standard_Cost'!$D$15</f>
        <v>0</v>
      </c>
      <c r="U262" s="127">
        <f>N262*O262*'1. Standard_Cost'!$E$15</f>
        <v>0</v>
      </c>
      <c r="V262" s="174"/>
      <c r="W262" s="174"/>
      <c r="X262" s="174"/>
      <c r="Y262" s="127">
        <f>+V262*((X262*'1. Standard_Cost'!$B$19)+(W262*X262*'1. Standard_Cost'!$C$19))</f>
        <v>0</v>
      </c>
      <c r="Z262" s="174"/>
      <c r="AA262" s="174"/>
      <c r="AB262" s="127">
        <f>+Z262*'1. Standard_Cost'!$B$23+AA262*'1. Standard_Cost'!$C$23</f>
        <v>0</v>
      </c>
      <c r="AC262" s="176"/>
      <c r="AD262" s="177">
        <f>53136000*25%</f>
        <v>13284000</v>
      </c>
      <c r="AE262" s="127"/>
      <c r="AF262" s="127">
        <f>SUM(AE262,AD262,AC262,AB262,Y262,U262,T262,S262,R262)</f>
        <v>13284000</v>
      </c>
      <c r="AG262" s="174"/>
      <c r="AH262" s="174"/>
      <c r="AI262" s="174"/>
      <c r="AJ262" s="178"/>
      <c r="AK262" s="178"/>
      <c r="AL262" s="178"/>
      <c r="AM262" s="127">
        <f>AG262*'1. Standard_Cost'!$B$27+'Incremental_Cost Year 8'!AH262*'1. Standard_Cost'!$C$27+'Incremental_Cost Year 8'!AI262*'1. Standard_Cost'!$D$27+'Incremental_Cost Year 8'!AJ262+'Incremental_Cost Year 8'!AL262+AK262</f>
        <v>0</v>
      </c>
      <c r="AN262" s="127">
        <f>AM262*'1. Standard_Cost'!$C$31</f>
        <v>0</v>
      </c>
      <c r="AO262" s="178"/>
      <c r="AP262" s="256"/>
      <c r="AQ262" s="171">
        <f>L262+M262</f>
        <v>235267.20000000001</v>
      </c>
      <c r="AR262" s="171">
        <f>AF262</f>
        <v>13284000</v>
      </c>
      <c r="AS262" s="171">
        <f>AM262+AN262</f>
        <v>0</v>
      </c>
      <c r="AT262" s="171">
        <f>SUM(AQ262,AR262,AS262)</f>
        <v>13519267.199999999</v>
      </c>
      <c r="AU262" s="250">
        <f>AQ262</f>
        <v>235267.20000000001</v>
      </c>
      <c r="AV262" s="250"/>
      <c r="AW262" s="250"/>
      <c r="AX262" s="250"/>
      <c r="AY262" s="250"/>
      <c r="AZ262" s="250"/>
      <c r="BA262" s="250"/>
      <c r="BB262" s="251">
        <f t="shared" si="176"/>
        <v>-13284000</v>
      </c>
      <c r="BC262" s="169"/>
      <c r="BD262" s="169"/>
      <c r="BE262" s="169"/>
      <c r="BF262" s="169"/>
    </row>
    <row r="263" spans="1:58" ht="61.9" customHeight="1" x14ac:dyDescent="0.25">
      <c r="A263" s="172"/>
      <c r="B263" s="357"/>
      <c r="C263" s="359"/>
      <c r="D263" s="343"/>
      <c r="E263" s="328"/>
      <c r="F263" s="328"/>
      <c r="G263" s="328"/>
      <c r="H263" s="182" t="s">
        <v>338</v>
      </c>
      <c r="I263" s="273"/>
      <c r="J263" s="273"/>
      <c r="K263" s="273"/>
      <c r="L263" s="175">
        <f>SUM(L260:L262)</f>
        <v>604800</v>
      </c>
      <c r="M263" s="175">
        <f>SUM(M260:M262)</f>
        <v>101001.60000000001</v>
      </c>
      <c r="N263" s="273"/>
      <c r="O263" s="273"/>
      <c r="P263" s="273"/>
      <c r="Q263" s="273"/>
      <c r="R263" s="175">
        <f>SUM(R260:R262)</f>
        <v>0</v>
      </c>
      <c r="S263" s="175">
        <f>SUM(S260:S262)</f>
        <v>0</v>
      </c>
      <c r="T263" s="175">
        <f>SUM(T260:T262)</f>
        <v>0</v>
      </c>
      <c r="U263" s="175">
        <f>SUM(U260:U262)</f>
        <v>0</v>
      </c>
      <c r="V263" s="273"/>
      <c r="W263" s="273"/>
      <c r="X263" s="273"/>
      <c r="Y263" s="175">
        <f>SUM(Y260:Y262)</f>
        <v>0</v>
      </c>
      <c r="Z263" s="175"/>
      <c r="AA263" s="273"/>
      <c r="AB263" s="175">
        <f>SUM(AB260:AB262)</f>
        <v>0</v>
      </c>
      <c r="AC263" s="175">
        <f>SUM(AC260:AC262)</f>
        <v>0</v>
      </c>
      <c r="AD263" s="175">
        <f>SUM(AD260:AD262)</f>
        <v>160894000</v>
      </c>
      <c r="AE263" s="175">
        <f>SUM(AE260:AE262)</f>
        <v>0</v>
      </c>
      <c r="AF263" s="175">
        <f>SUM(AF260:AF262)</f>
        <v>160894000</v>
      </c>
      <c r="AG263" s="273"/>
      <c r="AH263" s="273"/>
      <c r="AI263" s="273"/>
      <c r="AJ263" s="175">
        <f>SUM(AJ260:AJ262)</f>
        <v>0</v>
      </c>
      <c r="AK263" s="175">
        <f>SUM(AK260:AK262)</f>
        <v>0</v>
      </c>
      <c r="AL263" s="175">
        <f>SUM(AL260:AL262)</f>
        <v>0</v>
      </c>
      <c r="AM263" s="175">
        <f>SUM(AM260:AM262)</f>
        <v>0</v>
      </c>
      <c r="AN263" s="175">
        <f>SUM(AN260:AN262)</f>
        <v>0</v>
      </c>
      <c r="AO263" s="274"/>
      <c r="AP263" s="254"/>
      <c r="AQ263" s="175">
        <f t="shared" ref="AQ263:AT263" si="177">SUM(AQ260:AQ262)</f>
        <v>705801.60000000009</v>
      </c>
      <c r="AR263" s="175">
        <f t="shared" si="177"/>
        <v>160894000</v>
      </c>
      <c r="AS263" s="175">
        <f t="shared" si="177"/>
        <v>0</v>
      </c>
      <c r="AT263" s="175">
        <f t="shared" si="177"/>
        <v>161599801.59999996</v>
      </c>
      <c r="AU263" s="175">
        <f t="shared" ref="AU263:BB263" si="178">SUM(AU260:AU262)</f>
        <v>705801.60000000009</v>
      </c>
      <c r="AV263" s="175">
        <f t="shared" si="178"/>
        <v>0</v>
      </c>
      <c r="AW263" s="175">
        <f t="shared" si="178"/>
        <v>0</v>
      </c>
      <c r="AX263" s="175">
        <f t="shared" si="178"/>
        <v>0</v>
      </c>
      <c r="AY263" s="175">
        <f t="shared" si="178"/>
        <v>0</v>
      </c>
      <c r="AZ263" s="175">
        <f t="shared" si="178"/>
        <v>0</v>
      </c>
      <c r="BA263" s="175">
        <f t="shared" si="178"/>
        <v>0</v>
      </c>
      <c r="BB263" s="175">
        <f t="shared" si="178"/>
        <v>-160894000</v>
      </c>
      <c r="BC263" s="169"/>
      <c r="BD263" s="169"/>
      <c r="BE263" s="169"/>
      <c r="BF263" s="169"/>
    </row>
    <row r="264" spans="1:58" ht="61.9" customHeight="1" x14ac:dyDescent="0.25">
      <c r="A264" s="172"/>
      <c r="B264" s="357"/>
      <c r="C264" s="359"/>
      <c r="D264" s="343"/>
      <c r="E264" s="328"/>
      <c r="F264" s="328"/>
      <c r="G264" s="328"/>
      <c r="H264" s="199" t="s">
        <v>553</v>
      </c>
      <c r="I264" s="178" t="s">
        <v>3</v>
      </c>
      <c r="J264" s="174">
        <v>2</v>
      </c>
      <c r="K264" s="174">
        <v>2</v>
      </c>
      <c r="L264" s="125">
        <f>IF(I264&lt;&gt;0,((VLOOKUP(I264,'1. Standard_Cost'!$B$4:$D$11,2)+VLOOKUP(I264,'1. Standard_Cost'!$B$4:$D$11,3))*J264*K264),"0")</f>
        <v>403200</v>
      </c>
      <c r="M264" s="125">
        <f>L264*'1. Standard_Cost'!$F$4</f>
        <v>67334.400000000009</v>
      </c>
      <c r="N264" s="174"/>
      <c r="O264" s="174"/>
      <c r="P264" s="174"/>
      <c r="Q264" s="174"/>
      <c r="R264" s="127">
        <f>'1. Standard_Cost'!$B$15*N264*P264</f>
        <v>0</v>
      </c>
      <c r="S264" s="127">
        <f>N264*O264*P264*'1. Standard_Cost'!$C$15</f>
        <v>0</v>
      </c>
      <c r="T264" s="127">
        <f>N264*P264*Q264*'1. Standard_Cost'!$D$15</f>
        <v>0</v>
      </c>
      <c r="U264" s="127">
        <f>N264*O264*'1. Standard_Cost'!$E$15</f>
        <v>0</v>
      </c>
      <c r="V264" s="174"/>
      <c r="W264" s="174"/>
      <c r="X264" s="174"/>
      <c r="Y264" s="127">
        <f>+V264*((X264*'1. Standard_Cost'!$B$19)+(W264*X264*'1. Standard_Cost'!$C$19))</f>
        <v>0</v>
      </c>
      <c r="Z264" s="174"/>
      <c r="AA264" s="174"/>
      <c r="AB264" s="127">
        <f>+Z264*'1. Standard_Cost'!$B$23+AA264*'1. Standard_Cost'!$C$23</f>
        <v>0</v>
      </c>
      <c r="AC264" s="176"/>
      <c r="AD264" s="177">
        <f>369000000*0.25</f>
        <v>92250000</v>
      </c>
      <c r="AE264" s="127">
        <f>SUM(AD264,AC264,AB264,Y264,U264,T264,S264,R264)*'1. Standard_Cost'!$B$31</f>
        <v>18450000</v>
      </c>
      <c r="AF264" s="127">
        <f>SUM(AE264,AD264,AC264,AB264,Y264,U264,T264,S264,R264)</f>
        <v>110700000</v>
      </c>
      <c r="AG264" s="174"/>
      <c r="AH264" s="174"/>
      <c r="AI264" s="174"/>
      <c r="AJ264" s="178"/>
      <c r="AK264" s="178"/>
      <c r="AL264" s="178"/>
      <c r="AM264" s="127">
        <f>AG264*'1. Standard_Cost'!$B$27+'Incremental_Cost Year 8'!AH264*'1. Standard_Cost'!$C$27+'Incremental_Cost Year 8'!AI264*'1. Standard_Cost'!$D$27+'Incremental_Cost Year 8'!AJ264+'Incremental_Cost Year 8'!AL264+AK264</f>
        <v>0</v>
      </c>
      <c r="AN264" s="127">
        <f>AM264*'1. Standard_Cost'!$C$31</f>
        <v>0</v>
      </c>
      <c r="AO264" s="178"/>
      <c r="AP264" s="256"/>
      <c r="AQ264" s="171">
        <f>L264+M264</f>
        <v>470534.40000000002</v>
      </c>
      <c r="AR264" s="171">
        <f>AF264</f>
        <v>110700000</v>
      </c>
      <c r="AS264" s="171">
        <f>AM264+AN264</f>
        <v>0</v>
      </c>
      <c r="AT264" s="171">
        <f>SUM(AQ264,AR264,AS264)</f>
        <v>111170534.40000001</v>
      </c>
      <c r="AU264" s="250">
        <v>470534</v>
      </c>
      <c r="AV264" s="250"/>
      <c r="AW264" s="250"/>
      <c r="AX264" s="250"/>
      <c r="AY264" s="250"/>
      <c r="AZ264" s="250"/>
      <c r="BA264" s="250"/>
      <c r="BB264" s="251">
        <f t="shared" ref="BB264:BB267" si="179">SUM(AU264:BA264)-AT264</f>
        <v>-110700000.40000001</v>
      </c>
      <c r="BC264" s="169"/>
      <c r="BD264" s="169"/>
      <c r="BE264" s="169"/>
      <c r="BF264" s="169"/>
    </row>
    <row r="265" spans="1:58" ht="61.9" customHeight="1" x14ac:dyDescent="0.25">
      <c r="A265" s="172"/>
      <c r="B265" s="357"/>
      <c r="C265" s="359"/>
      <c r="D265" s="343"/>
      <c r="E265" s="328"/>
      <c r="F265" s="328"/>
      <c r="G265" s="328"/>
      <c r="H265" s="199" t="s">
        <v>339</v>
      </c>
      <c r="I265" s="178"/>
      <c r="J265" s="174"/>
      <c r="K265" s="174"/>
      <c r="L265" s="125" t="str">
        <f>IF(I265&lt;&gt;0,((VLOOKUP(I265,'1. Standard_Cost'!$B$4:$D$11,2)+VLOOKUP(I265,'1. Standard_Cost'!$B$4:$D$11,3))*J265*K265),"0")</f>
        <v>0</v>
      </c>
      <c r="M265" s="125">
        <f>L265*'1. Standard_Cost'!$F$4</f>
        <v>0</v>
      </c>
      <c r="N265" s="174"/>
      <c r="O265" s="174"/>
      <c r="P265" s="174"/>
      <c r="Q265" s="174"/>
      <c r="R265" s="127">
        <f>'1. Standard_Cost'!$B$15*N265*P265</f>
        <v>0</v>
      </c>
      <c r="S265" s="127">
        <f>N265*O265*P265*'1. Standard_Cost'!$C$15</f>
        <v>0</v>
      </c>
      <c r="T265" s="127">
        <f>N265*P265*Q265*'1. Standard_Cost'!$D$15</f>
        <v>0</v>
      </c>
      <c r="U265" s="127">
        <f>N265*O265*'1. Standard_Cost'!$E$15</f>
        <v>0</v>
      </c>
      <c r="V265" s="174"/>
      <c r="W265" s="174"/>
      <c r="X265" s="174"/>
      <c r="Y265" s="127">
        <f>+V265*((X265*'1. Standard_Cost'!$B$19)+(W265*X265*'1. Standard_Cost'!$C$19))</f>
        <v>0</v>
      </c>
      <c r="Z265" s="174"/>
      <c r="AA265" s="174"/>
      <c r="AB265" s="127">
        <f>+Z265*'1. Standard_Cost'!$B$23+AA265*'1. Standard_Cost'!$C$23</f>
        <v>0</v>
      </c>
      <c r="AC265" s="176"/>
      <c r="AD265" s="177"/>
      <c r="AE265" s="127">
        <f>SUM(AD265,AC265,AB265,Y265,U265,T265,S265,R265)*'1. Standard_Cost'!$B$31</f>
        <v>0</v>
      </c>
      <c r="AF265" s="127">
        <f>SUM(AE265,AD265,AC265,AB265,Y265,U265,T265,S265,R265)</f>
        <v>0</v>
      </c>
      <c r="AG265" s="174"/>
      <c r="AH265" s="174"/>
      <c r="AI265" s="174"/>
      <c r="AJ265" s="178"/>
      <c r="AK265" s="178"/>
      <c r="AL265" s="178"/>
      <c r="AM265" s="127">
        <f>AG265*'1. Standard_Cost'!$B$27+'Incremental_Cost Year 8'!AH265*'1. Standard_Cost'!$C$27+'Incremental_Cost Year 8'!AI265*'1. Standard_Cost'!$D$27+'Incremental_Cost Year 8'!AJ265+'Incremental_Cost Year 8'!AL265+AK265</f>
        <v>0</v>
      </c>
      <c r="AN265" s="127">
        <f>AM265*'1. Standard_Cost'!$C$31</f>
        <v>0</v>
      </c>
      <c r="AO265" s="178"/>
      <c r="AP265" s="256"/>
      <c r="AQ265" s="171">
        <f>L265+M265</f>
        <v>0</v>
      </c>
      <c r="AR265" s="171">
        <f>AF265</f>
        <v>0</v>
      </c>
      <c r="AS265" s="171">
        <f>AM265+AN265</f>
        <v>0</v>
      </c>
      <c r="AT265" s="171">
        <f>SUM(AQ265,AR265,AS265)</f>
        <v>0</v>
      </c>
      <c r="AU265" s="250"/>
      <c r="AV265" s="250"/>
      <c r="AW265" s="250"/>
      <c r="AX265" s="250"/>
      <c r="AY265" s="250"/>
      <c r="AZ265" s="250"/>
      <c r="BA265" s="250"/>
      <c r="BB265" s="251">
        <f t="shared" si="179"/>
        <v>0</v>
      </c>
      <c r="BC265" s="169"/>
      <c r="BD265" s="169"/>
      <c r="BE265" s="169"/>
      <c r="BF265" s="169"/>
    </row>
    <row r="266" spans="1:58" ht="61.9" customHeight="1" x14ac:dyDescent="0.25">
      <c r="A266" s="172"/>
      <c r="B266" s="357"/>
      <c r="C266" s="359"/>
      <c r="D266" s="343"/>
      <c r="E266" s="328"/>
      <c r="F266" s="328"/>
      <c r="G266" s="328"/>
      <c r="H266" s="199" t="s">
        <v>362</v>
      </c>
      <c r="I266" s="178" t="s">
        <v>5</v>
      </c>
      <c r="J266" s="174">
        <v>12</v>
      </c>
      <c r="K266" s="174">
        <v>26</v>
      </c>
      <c r="L266" s="125">
        <f>IF(I266&lt;&gt;0,((VLOOKUP(I266,'1. Standard_Cost'!$B$4:$D$11,2)+VLOOKUP(I266,'1. Standard_Cost'!$B$4:$D$11,3))*J266*K266),"0")</f>
        <v>22058400</v>
      </c>
      <c r="M266" s="125">
        <f>L266*'1. Standard_Cost'!$F$4</f>
        <v>3683752.8000000003</v>
      </c>
      <c r="N266" s="174"/>
      <c r="O266" s="174"/>
      <c r="P266" s="174"/>
      <c r="Q266" s="174"/>
      <c r="R266" s="127">
        <f>'1. Standard_Cost'!$B$15*N266*P266</f>
        <v>0</v>
      </c>
      <c r="S266" s="127">
        <f>N266*O266*P266*'1. Standard_Cost'!$C$15</f>
        <v>0</v>
      </c>
      <c r="T266" s="127">
        <f>N266*P266*Q266*'1. Standard_Cost'!$D$15</f>
        <v>0</v>
      </c>
      <c r="U266" s="127">
        <f>N266*O266*'1. Standard_Cost'!$E$15</f>
        <v>0</v>
      </c>
      <c r="V266" s="174"/>
      <c r="W266" s="174"/>
      <c r="X266" s="174"/>
      <c r="Y266" s="127">
        <f>+V266*((X266*'1. Standard_Cost'!$B$19)+(W266*X266*'1. Standard_Cost'!$C$19))</f>
        <v>0</v>
      </c>
      <c r="Z266" s="174"/>
      <c r="AA266" s="174"/>
      <c r="AB266" s="127">
        <f>+Z266*'1. Standard_Cost'!$B$23+AA266*'1. Standard_Cost'!$C$23</f>
        <v>0</v>
      </c>
      <c r="AC266" s="176">
        <v>25655000</v>
      </c>
      <c r="AD266" s="177"/>
      <c r="AE266" s="127"/>
      <c r="AF266" s="127">
        <f>SUM(AE266,AD266,AC266,AB266,Y266,U266,T266,S266,R266)</f>
        <v>25655000</v>
      </c>
      <c r="AG266" s="174"/>
      <c r="AH266" s="174"/>
      <c r="AI266" s="174"/>
      <c r="AJ266" s="178"/>
      <c r="AK266" s="178"/>
      <c r="AL266" s="178"/>
      <c r="AM266" s="127">
        <f>AG266*'1. Standard_Cost'!$B$27+'Incremental_Cost Year 8'!AH266*'1. Standard_Cost'!$C$27+'Incremental_Cost Year 8'!AI266*'1. Standard_Cost'!$D$27+'Incremental_Cost Year 8'!AJ266+'Incremental_Cost Year 8'!AL266+AK266</f>
        <v>0</v>
      </c>
      <c r="AN266" s="127">
        <f>AM266*'1. Standard_Cost'!$C$31</f>
        <v>0</v>
      </c>
      <c r="AO266" s="178"/>
      <c r="AP266" s="256"/>
      <c r="AQ266" s="171">
        <f>L266+M266</f>
        <v>25742152.800000001</v>
      </c>
      <c r="AR266" s="171">
        <f>AF266</f>
        <v>25655000</v>
      </c>
      <c r="AS266" s="171">
        <f>AM266+AN266</f>
        <v>0</v>
      </c>
      <c r="AT266" s="171">
        <f>SUM(AQ266,AR266,AS266)</f>
        <v>51397152.799999997</v>
      </c>
      <c r="AU266" s="250">
        <f>AT266</f>
        <v>51397152.799999997</v>
      </c>
      <c r="AV266" s="250"/>
      <c r="AW266" s="250"/>
      <c r="AX266" s="250"/>
      <c r="AY266" s="250"/>
      <c r="AZ266" s="250"/>
      <c r="BA266" s="250"/>
      <c r="BB266" s="251">
        <f t="shared" si="179"/>
        <v>0</v>
      </c>
      <c r="BC266" s="169"/>
      <c r="BD266" s="169"/>
      <c r="BE266" s="169"/>
      <c r="BF266" s="169"/>
    </row>
    <row r="267" spans="1:58" ht="61.9" customHeight="1" x14ac:dyDescent="0.25">
      <c r="A267" s="172"/>
      <c r="B267" s="360"/>
      <c r="C267" s="362"/>
      <c r="D267" s="344"/>
      <c r="E267" s="328"/>
      <c r="F267" s="328"/>
      <c r="G267" s="328"/>
      <c r="H267" s="199" t="s">
        <v>554</v>
      </c>
      <c r="I267" s="178"/>
      <c r="J267" s="174"/>
      <c r="K267" s="174"/>
      <c r="L267" s="125" t="str">
        <f>IF(I267&lt;&gt;0,((VLOOKUP(I267,'1. Standard_Cost'!$B$4:$D$11,2)+VLOOKUP(I267,'1. Standard_Cost'!$B$4:$D$11,3))*J267*K267),"0")</f>
        <v>0</v>
      </c>
      <c r="M267" s="125">
        <f>L267*'1. Standard_Cost'!$F$4</f>
        <v>0</v>
      </c>
      <c r="N267" s="174"/>
      <c r="O267" s="174"/>
      <c r="P267" s="174"/>
      <c r="Q267" s="174"/>
      <c r="R267" s="127">
        <f>'1. Standard_Cost'!$B$15*N267*P267</f>
        <v>0</v>
      </c>
      <c r="S267" s="127">
        <f>N267*O267*P267*'1. Standard_Cost'!$C$15</f>
        <v>0</v>
      </c>
      <c r="T267" s="127">
        <f>N267*P267*Q267*'1. Standard_Cost'!$D$15</f>
        <v>0</v>
      </c>
      <c r="U267" s="127">
        <f>N267*O267*'1. Standard_Cost'!$E$15</f>
        <v>0</v>
      </c>
      <c r="V267" s="174"/>
      <c r="W267" s="174"/>
      <c r="X267" s="174"/>
      <c r="Y267" s="127">
        <f>+V267*((X267*'1. Standard_Cost'!$B$19)+(W267*X267*'1. Standard_Cost'!$C$19))</f>
        <v>0</v>
      </c>
      <c r="Z267" s="174"/>
      <c r="AA267" s="174"/>
      <c r="AB267" s="127">
        <f>+Z267*'1. Standard_Cost'!$B$23+AA267*'1. Standard_Cost'!$C$23</f>
        <v>0</v>
      </c>
      <c r="AC267" s="176"/>
      <c r="AD267" s="177">
        <f>25%*369000000</f>
        <v>92250000</v>
      </c>
      <c r="AE267" s="127"/>
      <c r="AF267" s="127">
        <f>SUM(AE267,AD267,AC267,AB267,Y267,U267,T267,S267,R267)</f>
        <v>92250000</v>
      </c>
      <c r="AG267" s="174"/>
      <c r="AH267" s="174"/>
      <c r="AI267" s="174"/>
      <c r="AJ267" s="178"/>
      <c r="AK267" s="178"/>
      <c r="AL267" s="178"/>
      <c r="AM267" s="127">
        <f>AG267*'1. Standard_Cost'!$B$27+'Incremental_Cost Year 8'!AH267*'1. Standard_Cost'!$C$27+'Incremental_Cost Year 8'!AI267*'1. Standard_Cost'!$D$27+'Incremental_Cost Year 8'!AJ267+'Incremental_Cost Year 8'!AL267+AK267</f>
        <v>0</v>
      </c>
      <c r="AN267" s="127">
        <f>AM267*'1. Standard_Cost'!$C$31</f>
        <v>0</v>
      </c>
      <c r="AO267" s="178"/>
      <c r="AP267" s="256"/>
      <c r="AQ267" s="171">
        <f>L267+M267</f>
        <v>0</v>
      </c>
      <c r="AR267" s="171">
        <f>AF267</f>
        <v>92250000</v>
      </c>
      <c r="AS267" s="171">
        <f>AM267+AN267</f>
        <v>0</v>
      </c>
      <c r="AT267" s="171">
        <f>SUM(AQ267,AR267,AS267)</f>
        <v>92250000</v>
      </c>
      <c r="AU267" s="250"/>
      <c r="AV267" s="250"/>
      <c r="AW267" s="250"/>
      <c r="AX267" s="250"/>
      <c r="AY267" s="250"/>
      <c r="AZ267" s="250"/>
      <c r="BA267" s="250"/>
      <c r="BB267" s="251">
        <f t="shared" si="179"/>
        <v>-92250000</v>
      </c>
      <c r="BC267" s="169"/>
      <c r="BD267" s="169"/>
      <c r="BE267" s="169"/>
      <c r="BF267" s="169"/>
    </row>
    <row r="268" spans="1:58" ht="61.9" customHeight="1" x14ac:dyDescent="0.2">
      <c r="A268" s="172"/>
      <c r="B268" s="168"/>
      <c r="C268" s="204"/>
      <c r="D268" s="376" t="s">
        <v>560</v>
      </c>
      <c r="E268" s="205" t="s">
        <v>340</v>
      </c>
      <c r="F268" s="205">
        <v>2021</v>
      </c>
      <c r="G268" s="205">
        <v>2030</v>
      </c>
      <c r="H268" s="182" t="s">
        <v>341</v>
      </c>
      <c r="I268" s="273"/>
      <c r="J268" s="273"/>
      <c r="K268" s="273"/>
      <c r="L268" s="175">
        <f>SUM(L264:L267)</f>
        <v>22461600</v>
      </c>
      <c r="M268" s="175">
        <f>SUM(M264:M267)</f>
        <v>3751087.2</v>
      </c>
      <c r="N268" s="273"/>
      <c r="O268" s="273"/>
      <c r="P268" s="273"/>
      <c r="Q268" s="273"/>
      <c r="R268" s="175">
        <f>SUM(R264:R267)</f>
        <v>0</v>
      </c>
      <c r="S268" s="175">
        <f>SUM(S264:S267)</f>
        <v>0</v>
      </c>
      <c r="T268" s="175">
        <f>SUM(T264:T267)</f>
        <v>0</v>
      </c>
      <c r="U268" s="175">
        <f>SUM(U264:U267)</f>
        <v>0</v>
      </c>
      <c r="V268" s="273"/>
      <c r="W268" s="273"/>
      <c r="X268" s="273"/>
      <c r="Y268" s="175">
        <f>SUM(Y264:Y267)</f>
        <v>0</v>
      </c>
      <c r="Z268" s="175"/>
      <c r="AA268" s="273"/>
      <c r="AB268" s="175">
        <f>SUM(AB264:AB267)</f>
        <v>0</v>
      </c>
      <c r="AC268" s="175">
        <f>SUM(AC264:AC267)</f>
        <v>25655000</v>
      </c>
      <c r="AD268" s="175">
        <f>SUM(AD264:AD267)</f>
        <v>184500000</v>
      </c>
      <c r="AE268" s="175">
        <f>SUM(AE264:AE267)</f>
        <v>18450000</v>
      </c>
      <c r="AF268" s="175">
        <f>SUM(AF264:AF267)</f>
        <v>228605000</v>
      </c>
      <c r="AG268" s="273"/>
      <c r="AH268" s="273"/>
      <c r="AI268" s="273"/>
      <c r="AJ268" s="175">
        <f>SUM(AJ264:AJ267)</f>
        <v>0</v>
      </c>
      <c r="AK268" s="175">
        <f>SUM(AK264:AK267)</f>
        <v>0</v>
      </c>
      <c r="AL268" s="175">
        <f>SUM(AL264:AL267)</f>
        <v>0</v>
      </c>
      <c r="AM268" s="175">
        <f>SUM(AM264:AM267)</f>
        <v>0</v>
      </c>
      <c r="AN268" s="175">
        <f>SUM(AN264:AN267)</f>
        <v>0</v>
      </c>
      <c r="AO268" s="274"/>
      <c r="AP268" s="254"/>
      <c r="AQ268" s="175">
        <f t="shared" ref="AQ268:AT268" si="180">SUM(AQ264:AQ267)</f>
        <v>26212687.199999999</v>
      </c>
      <c r="AR268" s="175">
        <f t="shared" si="180"/>
        <v>228605000</v>
      </c>
      <c r="AS268" s="175">
        <f t="shared" si="180"/>
        <v>0</v>
      </c>
      <c r="AT268" s="175">
        <f t="shared" si="180"/>
        <v>254817687.19999999</v>
      </c>
      <c r="AU268" s="175">
        <f t="shared" ref="AU268:BB268" si="181">SUM(AU264:AU267)</f>
        <v>51867686.799999997</v>
      </c>
      <c r="AV268" s="175">
        <f t="shared" si="181"/>
        <v>0</v>
      </c>
      <c r="AW268" s="175">
        <f t="shared" si="181"/>
        <v>0</v>
      </c>
      <c r="AX268" s="175">
        <f t="shared" si="181"/>
        <v>0</v>
      </c>
      <c r="AY268" s="175">
        <f t="shared" si="181"/>
        <v>0</v>
      </c>
      <c r="AZ268" s="175">
        <f t="shared" si="181"/>
        <v>0</v>
      </c>
      <c r="BA268" s="175">
        <f t="shared" si="181"/>
        <v>0</v>
      </c>
      <c r="BB268" s="175">
        <f t="shared" si="181"/>
        <v>-202950000.40000001</v>
      </c>
      <c r="BC268" s="169"/>
      <c r="BD268" s="169"/>
      <c r="BE268" s="169"/>
      <c r="BF268" s="169"/>
    </row>
    <row r="269" spans="1:58" ht="61.9" customHeight="1" x14ac:dyDescent="0.2">
      <c r="A269" s="179"/>
      <c r="B269" s="290"/>
      <c r="C269" s="391" t="s">
        <v>342</v>
      </c>
      <c r="D269" s="391"/>
      <c r="E269" s="392"/>
      <c r="F269" s="287"/>
      <c r="G269" s="289"/>
      <c r="H269" s="181" t="s">
        <v>343</v>
      </c>
      <c r="I269" s="271"/>
      <c r="J269" s="271"/>
      <c r="K269" s="271"/>
      <c r="L269" s="261">
        <f>L273+L276</f>
        <v>100800</v>
      </c>
      <c r="M269" s="261">
        <f>M273+M276</f>
        <v>16833.600000000002</v>
      </c>
      <c r="N269" s="271"/>
      <c r="O269" s="271"/>
      <c r="P269" s="271"/>
      <c r="Q269" s="271"/>
      <c r="R269" s="261">
        <f>R273+R276</f>
        <v>0</v>
      </c>
      <c r="S269" s="261">
        <f>S273+S276</f>
        <v>0</v>
      </c>
      <c r="T269" s="261">
        <f>T273+T276</f>
        <v>0</v>
      </c>
      <c r="U269" s="261">
        <f>U273+U276</f>
        <v>0</v>
      </c>
      <c r="V269" s="271"/>
      <c r="W269" s="271"/>
      <c r="X269" s="271"/>
      <c r="Y269" s="261">
        <f>Y273+Y276</f>
        <v>0</v>
      </c>
      <c r="Z269" s="261"/>
      <c r="AA269" s="261"/>
      <c r="AB269" s="261">
        <f>AB273+AB276</f>
        <v>380000</v>
      </c>
      <c r="AC269" s="261">
        <f>AC273+AC276</f>
        <v>6000</v>
      </c>
      <c r="AD269" s="261">
        <f>AD273+AD276</f>
        <v>0</v>
      </c>
      <c r="AE269" s="261">
        <f>AE273+AE276</f>
        <v>0</v>
      </c>
      <c r="AF269" s="261">
        <f>AF273+AF276</f>
        <v>386000</v>
      </c>
      <c r="AG269" s="271"/>
      <c r="AH269" s="271"/>
      <c r="AI269" s="271"/>
      <c r="AJ269" s="261">
        <f>AJ273+AJ276</f>
        <v>0</v>
      </c>
      <c r="AK269" s="261">
        <f>AK273+AK276</f>
        <v>0</v>
      </c>
      <c r="AL269" s="261">
        <f>AL273+AL276</f>
        <v>0</v>
      </c>
      <c r="AM269" s="261">
        <f>AM273+AM276</f>
        <v>0</v>
      </c>
      <c r="AN269" s="261">
        <f>AN273+AN276</f>
        <v>0</v>
      </c>
      <c r="AO269" s="272"/>
      <c r="AP269" s="260"/>
      <c r="AQ269" s="261">
        <f t="shared" ref="AQ269:BB269" si="182">AQ273+AQ276</f>
        <v>117633.60000000001</v>
      </c>
      <c r="AR269" s="261">
        <f t="shared" si="182"/>
        <v>386000</v>
      </c>
      <c r="AS269" s="261">
        <f t="shared" si="182"/>
        <v>0</v>
      </c>
      <c r="AT269" s="261">
        <f t="shared" si="182"/>
        <v>503633.6</v>
      </c>
      <c r="AU269" s="261">
        <f t="shared" si="182"/>
        <v>117633.60000000001</v>
      </c>
      <c r="AV269" s="261">
        <f t="shared" si="182"/>
        <v>0</v>
      </c>
      <c r="AW269" s="261">
        <f t="shared" si="182"/>
        <v>0</v>
      </c>
      <c r="AX269" s="261">
        <f t="shared" si="182"/>
        <v>0</v>
      </c>
      <c r="AY269" s="261">
        <f t="shared" si="182"/>
        <v>0</v>
      </c>
      <c r="AZ269" s="261">
        <f t="shared" si="182"/>
        <v>0</v>
      </c>
      <c r="BA269" s="261">
        <f t="shared" si="182"/>
        <v>0</v>
      </c>
      <c r="BB269" s="261">
        <f t="shared" si="182"/>
        <v>-386000</v>
      </c>
      <c r="BC269" s="184"/>
      <c r="BD269" s="184"/>
      <c r="BE269" s="184"/>
      <c r="BF269" s="184"/>
    </row>
    <row r="270" spans="1:58" ht="61.9" customHeight="1" x14ac:dyDescent="0.25">
      <c r="A270" s="172"/>
      <c r="B270" s="200"/>
      <c r="C270" s="201"/>
      <c r="D270" s="202"/>
      <c r="E270" s="354"/>
      <c r="F270" s="355"/>
      <c r="G270" s="356"/>
      <c r="H270" s="199" t="s">
        <v>344</v>
      </c>
      <c r="I270" s="178"/>
      <c r="J270" s="174"/>
      <c r="K270" s="174"/>
      <c r="L270" s="125" t="str">
        <f>IF(I270&lt;&gt;0,((VLOOKUP(I270,'1. Standard_Cost'!$B$4:$D$11,2)+VLOOKUP(I270,'1. Standard_Cost'!$B$4:$D$11,3))*J270*K270),"0")</f>
        <v>0</v>
      </c>
      <c r="M270" s="125">
        <f>L270*'1. Standard_Cost'!$F$4</f>
        <v>0</v>
      </c>
      <c r="N270" s="174"/>
      <c r="O270" s="174"/>
      <c r="P270" s="174"/>
      <c r="Q270" s="174"/>
      <c r="R270" s="127">
        <f>'1. Standard_Cost'!$B$15*N270*P270</f>
        <v>0</v>
      </c>
      <c r="S270" s="127">
        <f>N270*O270*P270*'1. Standard_Cost'!$C$15</f>
        <v>0</v>
      </c>
      <c r="T270" s="127">
        <f>N270*P270*Q270*'1. Standard_Cost'!$D$15</f>
        <v>0</v>
      </c>
      <c r="U270" s="127">
        <f>N270*O270*'1. Standard_Cost'!$E$15</f>
        <v>0</v>
      </c>
      <c r="V270" s="174"/>
      <c r="W270" s="174"/>
      <c r="X270" s="174"/>
      <c r="Y270" s="127">
        <f>+V270*((X270*'1. Standard_Cost'!$B$19)+(W270*X270*'1. Standard_Cost'!$C$19))</f>
        <v>0</v>
      </c>
      <c r="Z270" s="174"/>
      <c r="AA270" s="174"/>
      <c r="AB270" s="127">
        <f>+Z270*'1. Standard_Cost'!$B$23+AA270*'1. Standard_Cost'!$C$23</f>
        <v>0</v>
      </c>
      <c r="AC270" s="176"/>
      <c r="AD270" s="177"/>
      <c r="AE270" s="127">
        <f>SUM(AD270,AC270,AB270,Y270,U270,T270,S270,R270)*'1. Standard_Cost'!$B$31</f>
        <v>0</v>
      </c>
      <c r="AF270" s="127">
        <f>SUM(AE270,AD270,AC270,AB270,Y270,U270,T270,S270,R270)</f>
        <v>0</v>
      </c>
      <c r="AG270" s="174"/>
      <c r="AH270" s="174"/>
      <c r="AI270" s="174"/>
      <c r="AJ270" s="178"/>
      <c r="AK270" s="178"/>
      <c r="AL270" s="178"/>
      <c r="AM270" s="127">
        <f>AG270*'1. Standard_Cost'!$B$27+'Incremental_Cost Year 8'!AH270*'1. Standard_Cost'!$C$27+'Incremental_Cost Year 8'!AI270*'1. Standard_Cost'!$D$27+'Incremental_Cost Year 8'!AJ270+'Incremental_Cost Year 8'!AL270+AK270</f>
        <v>0</v>
      </c>
      <c r="AN270" s="127">
        <f>AM270*'1. Standard_Cost'!$C$31</f>
        <v>0</v>
      </c>
      <c r="AO270" s="178"/>
      <c r="AP270" s="256"/>
      <c r="AQ270" s="171">
        <f>L270+M270</f>
        <v>0</v>
      </c>
      <c r="AR270" s="171">
        <f>AF270</f>
        <v>0</v>
      </c>
      <c r="AS270" s="171">
        <f>AM270+AN270</f>
        <v>0</v>
      </c>
      <c r="AT270" s="171">
        <f>SUM(AQ270,AR270,AS270)</f>
        <v>0</v>
      </c>
      <c r="AU270" s="250">
        <f>AQ270</f>
        <v>0</v>
      </c>
      <c r="AV270" s="250"/>
      <c r="AW270" s="250"/>
      <c r="AX270" s="250"/>
      <c r="AY270" s="250"/>
      <c r="AZ270" s="250"/>
      <c r="BA270" s="250"/>
      <c r="BB270" s="251">
        <f t="shared" ref="BB270:BB272" si="183">SUM(AU270:BA270)-AT270</f>
        <v>0</v>
      </c>
      <c r="BC270" s="169"/>
      <c r="BD270" s="169"/>
      <c r="BE270" s="169"/>
      <c r="BF270" s="169"/>
    </row>
    <row r="271" spans="1:58" ht="61.9" customHeight="1" x14ac:dyDescent="0.25">
      <c r="A271" s="172"/>
      <c r="B271" s="200"/>
      <c r="C271" s="201"/>
      <c r="D271" s="202"/>
      <c r="E271" s="357"/>
      <c r="F271" s="358"/>
      <c r="G271" s="359"/>
      <c r="H271" s="199" t="s">
        <v>345</v>
      </c>
      <c r="I271" s="178"/>
      <c r="J271" s="174"/>
      <c r="K271" s="174"/>
      <c r="L271" s="125" t="str">
        <f>IF(I271&lt;&gt;0,((VLOOKUP(I271,'1. Standard_Cost'!$B$4:$D$11,2)+VLOOKUP(I271,'1. Standard_Cost'!$B$4:$D$11,3))*J271*K271),"0")</f>
        <v>0</v>
      </c>
      <c r="M271" s="125">
        <f>L271*'1. Standard_Cost'!$F$4</f>
        <v>0</v>
      </c>
      <c r="N271" s="174"/>
      <c r="O271" s="174"/>
      <c r="P271" s="174"/>
      <c r="Q271" s="174"/>
      <c r="R271" s="127">
        <f>'1. Standard_Cost'!$B$15*N271*P271</f>
        <v>0</v>
      </c>
      <c r="S271" s="127">
        <f>N271*O271*P271*'1. Standard_Cost'!$C$15</f>
        <v>0</v>
      </c>
      <c r="T271" s="127">
        <f>N271*P271*Q271*'1. Standard_Cost'!$D$15</f>
        <v>0</v>
      </c>
      <c r="U271" s="127">
        <f>N271*O271*'1. Standard_Cost'!$E$15</f>
        <v>0</v>
      </c>
      <c r="V271" s="174"/>
      <c r="W271" s="174"/>
      <c r="X271" s="174"/>
      <c r="Y271" s="127">
        <f>+V271*((X271*'1. Standard_Cost'!$B$19)+(W271*X271*'1. Standard_Cost'!$C$19))</f>
        <v>0</v>
      </c>
      <c r="Z271" s="174"/>
      <c r="AA271" s="174"/>
      <c r="AB271" s="127">
        <f>+Z271*'1. Standard_Cost'!$B$23+AA271*'1. Standard_Cost'!$C$23</f>
        <v>0</v>
      </c>
      <c r="AC271" s="176"/>
      <c r="AD271" s="177"/>
      <c r="AE271" s="127">
        <f>SUM(AD271,AC271,AB271,Y271,U271,T271,S271,R271)*'1. Standard_Cost'!$B$31</f>
        <v>0</v>
      </c>
      <c r="AF271" s="127">
        <f>SUM(AE271,AD271,AC271,AB271,Y271,U271,T271,S271,R271)</f>
        <v>0</v>
      </c>
      <c r="AG271" s="174"/>
      <c r="AH271" s="174"/>
      <c r="AI271" s="174"/>
      <c r="AJ271" s="178"/>
      <c r="AK271" s="178"/>
      <c r="AL271" s="178"/>
      <c r="AM271" s="127">
        <f>AG271*'1. Standard_Cost'!$B$27+'Incremental_Cost Year 8'!AH271*'1. Standard_Cost'!$C$27+'Incremental_Cost Year 8'!AI271*'1. Standard_Cost'!$D$27+'Incremental_Cost Year 8'!AJ271+'Incremental_Cost Year 8'!AL271+AK271</f>
        <v>0</v>
      </c>
      <c r="AN271" s="127">
        <f>AM271*'1. Standard_Cost'!$C$31</f>
        <v>0</v>
      </c>
      <c r="AO271" s="178"/>
      <c r="AP271" s="256"/>
      <c r="AQ271" s="171">
        <f>L271+M271</f>
        <v>0</v>
      </c>
      <c r="AR271" s="171">
        <f>AF271</f>
        <v>0</v>
      </c>
      <c r="AS271" s="171">
        <f>AM271+AN271</f>
        <v>0</v>
      </c>
      <c r="AT271" s="171">
        <f>SUM(AQ271,AR271,AS271)</f>
        <v>0</v>
      </c>
      <c r="AU271" s="250">
        <f>AQ271</f>
        <v>0</v>
      </c>
      <c r="AV271" s="250"/>
      <c r="AW271" s="250"/>
      <c r="AX271" s="250"/>
      <c r="AY271" s="250"/>
      <c r="AZ271" s="250"/>
      <c r="BA271" s="250"/>
      <c r="BB271" s="251">
        <f t="shared" si="183"/>
        <v>0</v>
      </c>
      <c r="BC271" s="169"/>
      <c r="BD271" s="169"/>
      <c r="BE271" s="169"/>
      <c r="BF271" s="169"/>
    </row>
    <row r="272" spans="1:58" ht="61.9" customHeight="1" x14ac:dyDescent="0.25">
      <c r="A272" s="172"/>
      <c r="B272" s="200"/>
      <c r="C272" s="201"/>
      <c r="D272" s="202"/>
      <c r="E272" s="360"/>
      <c r="F272" s="361"/>
      <c r="G272" s="362"/>
      <c r="H272" s="199" t="s">
        <v>346</v>
      </c>
      <c r="I272" s="178" t="s">
        <v>3</v>
      </c>
      <c r="J272" s="174">
        <v>1</v>
      </c>
      <c r="K272" s="174">
        <v>1</v>
      </c>
      <c r="L272" s="125">
        <f>IF(I272&lt;&gt;0,((VLOOKUP(I272,'1. Standard_Cost'!$B$4:$D$11,2)+VLOOKUP(I272,'1. Standard_Cost'!$B$4:$D$11,3))*J272*K272),"0")</f>
        <v>100800</v>
      </c>
      <c r="M272" s="125">
        <f>L272*'1. Standard_Cost'!$F$4</f>
        <v>16833.600000000002</v>
      </c>
      <c r="N272" s="174"/>
      <c r="O272" s="174"/>
      <c r="P272" s="174"/>
      <c r="Q272" s="174"/>
      <c r="R272" s="127">
        <f>'1. Standard_Cost'!$B$15*N272*P272</f>
        <v>0</v>
      </c>
      <c r="S272" s="127">
        <f>N272*O272*P272*'1. Standard_Cost'!$C$15</f>
        <v>0</v>
      </c>
      <c r="T272" s="127">
        <f>N272*P272*Q272*'1. Standard_Cost'!$D$15</f>
        <v>0</v>
      </c>
      <c r="U272" s="127">
        <f>N272*O272*'1. Standard_Cost'!$E$15</f>
        <v>0</v>
      </c>
      <c r="V272" s="174"/>
      <c r="W272" s="174"/>
      <c r="X272" s="174"/>
      <c r="Y272" s="127">
        <f>+V272*((X272*'1. Standard_Cost'!$B$19)+(W272*X272*'1. Standard_Cost'!$C$19))</f>
        <v>0</v>
      </c>
      <c r="Z272" s="174"/>
      <c r="AA272" s="174">
        <v>20</v>
      </c>
      <c r="AB272" s="127">
        <f>+Z272*'1. Standard_Cost'!$B$23+AA272*'1. Standard_Cost'!$C$23</f>
        <v>380000</v>
      </c>
      <c r="AC272" s="176">
        <f>20*300</f>
        <v>6000</v>
      </c>
      <c r="AD272" s="177"/>
      <c r="AE272" s="127"/>
      <c r="AF272" s="127">
        <f>SUM(AE272,AD272,AC272,AB272,Y272,U272,T272,S272,R272)</f>
        <v>386000</v>
      </c>
      <c r="AG272" s="174"/>
      <c r="AH272" s="174"/>
      <c r="AI272" s="174"/>
      <c r="AJ272" s="178"/>
      <c r="AK272" s="178"/>
      <c r="AL272" s="178"/>
      <c r="AM272" s="127">
        <f>AG272*'1. Standard_Cost'!$B$27+'Incremental_Cost Year 8'!AH272*'1. Standard_Cost'!$C$27+'Incremental_Cost Year 8'!AI272*'1. Standard_Cost'!$D$27+'Incremental_Cost Year 8'!AJ272+'Incremental_Cost Year 8'!AL272+AK272</f>
        <v>0</v>
      </c>
      <c r="AN272" s="127">
        <f>AM272*'1. Standard_Cost'!$C$31</f>
        <v>0</v>
      </c>
      <c r="AO272" s="178"/>
      <c r="AP272" s="256"/>
      <c r="AQ272" s="171">
        <f>L272+M272</f>
        <v>117633.60000000001</v>
      </c>
      <c r="AR272" s="171">
        <f>AF272</f>
        <v>386000</v>
      </c>
      <c r="AS272" s="171">
        <f>AM272+AN272</f>
        <v>0</v>
      </c>
      <c r="AT272" s="171">
        <f>SUM(AQ272,AR272,AS272)</f>
        <v>503633.6</v>
      </c>
      <c r="AU272" s="250">
        <f>AQ272</f>
        <v>117633.60000000001</v>
      </c>
      <c r="AV272" s="250"/>
      <c r="AW272" s="250"/>
      <c r="AX272" s="250"/>
      <c r="AY272" s="250"/>
      <c r="AZ272" s="250"/>
      <c r="BA272" s="250"/>
      <c r="BB272" s="251">
        <f t="shared" si="183"/>
        <v>-386000</v>
      </c>
      <c r="BC272" s="169"/>
      <c r="BD272" s="169"/>
      <c r="BE272" s="169"/>
      <c r="BF272" s="169"/>
    </row>
    <row r="273" spans="1:58" ht="61.9" customHeight="1" x14ac:dyDescent="0.2">
      <c r="A273" s="172"/>
      <c r="B273" s="168"/>
      <c r="C273" s="204"/>
      <c r="D273" s="212" t="s">
        <v>559</v>
      </c>
      <c r="E273" s="212" t="s">
        <v>347</v>
      </c>
      <c r="F273" s="206">
        <v>2026</v>
      </c>
      <c r="G273" s="207">
        <v>2028</v>
      </c>
      <c r="H273" s="182" t="s">
        <v>348</v>
      </c>
      <c r="I273" s="273"/>
      <c r="J273" s="273"/>
      <c r="K273" s="273"/>
      <c r="L273" s="175">
        <f>SUM(L270:L272)</f>
        <v>100800</v>
      </c>
      <c r="M273" s="175">
        <f>SUM(M270:M272)</f>
        <v>16833.600000000002</v>
      </c>
      <c r="N273" s="273"/>
      <c r="O273" s="273"/>
      <c r="P273" s="273"/>
      <c r="Q273" s="273"/>
      <c r="R273" s="175">
        <f>SUM(R270:R272)</f>
        <v>0</v>
      </c>
      <c r="S273" s="175">
        <f>SUM(S270:S272)</f>
        <v>0</v>
      </c>
      <c r="T273" s="175">
        <f>SUM(T270:T272)</f>
        <v>0</v>
      </c>
      <c r="U273" s="175">
        <f>SUM(U270:U272)</f>
        <v>0</v>
      </c>
      <c r="V273" s="273"/>
      <c r="W273" s="273"/>
      <c r="X273" s="273"/>
      <c r="Y273" s="175">
        <f>SUM(Y270:Y272)</f>
        <v>0</v>
      </c>
      <c r="Z273" s="175"/>
      <c r="AA273" s="273"/>
      <c r="AB273" s="175">
        <f>SUM(AB270:AB272)</f>
        <v>380000</v>
      </c>
      <c r="AC273" s="175">
        <f>SUM(AC270:AC272)</f>
        <v>6000</v>
      </c>
      <c r="AD273" s="175">
        <f>SUM(AD270:AD272)</f>
        <v>0</v>
      </c>
      <c r="AE273" s="175">
        <f>SUM(AE270:AE272)</f>
        <v>0</v>
      </c>
      <c r="AF273" s="175">
        <f>SUM(AF270:AF272)</f>
        <v>386000</v>
      </c>
      <c r="AG273" s="273"/>
      <c r="AH273" s="273"/>
      <c r="AI273" s="273"/>
      <c r="AJ273" s="175">
        <f>SUM(AJ270:AJ272)</f>
        <v>0</v>
      </c>
      <c r="AK273" s="175">
        <f>SUM(AK270:AK272)</f>
        <v>0</v>
      </c>
      <c r="AL273" s="175">
        <f>SUM(AL270:AL272)</f>
        <v>0</v>
      </c>
      <c r="AM273" s="175">
        <f>SUM(AM270:AM272)</f>
        <v>0</v>
      </c>
      <c r="AN273" s="175">
        <f>SUM(AN270:AN272)</f>
        <v>0</v>
      </c>
      <c r="AO273" s="274"/>
      <c r="AP273" s="254"/>
      <c r="AQ273" s="175">
        <f t="shared" ref="AQ273:AT273" si="184">SUM(AQ270:AQ272)</f>
        <v>117633.60000000001</v>
      </c>
      <c r="AR273" s="175">
        <f t="shared" si="184"/>
        <v>386000</v>
      </c>
      <c r="AS273" s="175">
        <f t="shared" si="184"/>
        <v>0</v>
      </c>
      <c r="AT273" s="175">
        <f t="shared" si="184"/>
        <v>503633.6</v>
      </c>
      <c r="AU273" s="175">
        <f t="shared" ref="AU273:BB273" si="185">SUM(AU270:AU272)</f>
        <v>117633.60000000001</v>
      </c>
      <c r="AV273" s="175">
        <f t="shared" si="185"/>
        <v>0</v>
      </c>
      <c r="AW273" s="175">
        <f t="shared" si="185"/>
        <v>0</v>
      </c>
      <c r="AX273" s="175">
        <f t="shared" si="185"/>
        <v>0</v>
      </c>
      <c r="AY273" s="175">
        <f t="shared" si="185"/>
        <v>0</v>
      </c>
      <c r="AZ273" s="175">
        <f t="shared" si="185"/>
        <v>0</v>
      </c>
      <c r="BA273" s="175">
        <f t="shared" si="185"/>
        <v>0</v>
      </c>
      <c r="BB273" s="175">
        <f t="shared" si="185"/>
        <v>-386000</v>
      </c>
      <c r="BC273" s="169"/>
      <c r="BD273" s="169"/>
      <c r="BE273" s="169"/>
      <c r="BF273" s="169"/>
    </row>
    <row r="274" spans="1:58" ht="61.9" customHeight="1" x14ac:dyDescent="0.25">
      <c r="A274" s="172"/>
      <c r="B274" s="200"/>
      <c r="C274" s="201"/>
      <c r="D274" s="202"/>
      <c r="E274" s="354"/>
      <c r="F274" s="355"/>
      <c r="G274" s="356"/>
      <c r="H274" s="199" t="s">
        <v>349</v>
      </c>
      <c r="I274" s="178"/>
      <c r="J274" s="174"/>
      <c r="K274" s="174"/>
      <c r="L274" s="125" t="str">
        <f>IF(I274&lt;&gt;0,((VLOOKUP(I274,'1. Standard_Cost'!$B$4:$D$11,2)+VLOOKUP(I274,'1. Standard_Cost'!$B$4:$D$11,3))*J274*K274),"0")</f>
        <v>0</v>
      </c>
      <c r="M274" s="125">
        <f>L274*'1. Standard_Cost'!$F$4</f>
        <v>0</v>
      </c>
      <c r="N274" s="174"/>
      <c r="O274" s="174"/>
      <c r="P274" s="174"/>
      <c r="Q274" s="174"/>
      <c r="R274" s="127">
        <f>'1. Standard_Cost'!$B$15*N274*P274</f>
        <v>0</v>
      </c>
      <c r="S274" s="127">
        <f>N274*O274*P274*'1. Standard_Cost'!$C$15</f>
        <v>0</v>
      </c>
      <c r="T274" s="127">
        <f>N274*P274*Q274*'1. Standard_Cost'!$D$15</f>
        <v>0</v>
      </c>
      <c r="U274" s="127">
        <f>N274*O274*'1. Standard_Cost'!$E$15</f>
        <v>0</v>
      </c>
      <c r="V274" s="174"/>
      <c r="W274" s="174"/>
      <c r="X274" s="174"/>
      <c r="Y274" s="127">
        <f>+V274*((X274*'1. Standard_Cost'!$B$19)+(W274*X274*'1. Standard_Cost'!$C$19))</f>
        <v>0</v>
      </c>
      <c r="Z274" s="174"/>
      <c r="AA274" s="174"/>
      <c r="AB274" s="127">
        <f>+Z274*'1. Standard_Cost'!$B$23+AA274*'1. Standard_Cost'!$C$23</f>
        <v>0</v>
      </c>
      <c r="AC274" s="176"/>
      <c r="AD274" s="177"/>
      <c r="AE274" s="127">
        <f>SUM(AD274,AC274,AB274,Y274,U274,T274,S274,R274)*'1. Standard_Cost'!$B$31</f>
        <v>0</v>
      </c>
      <c r="AF274" s="127">
        <f>SUM(AE274,AD274,AC274,AB274,Y274,U274,T274,S274,R274)</f>
        <v>0</v>
      </c>
      <c r="AG274" s="174"/>
      <c r="AH274" s="174"/>
      <c r="AI274" s="174"/>
      <c r="AJ274" s="178"/>
      <c r="AK274" s="178"/>
      <c r="AL274" s="178"/>
      <c r="AM274" s="127">
        <f>AG274*'1. Standard_Cost'!$B$27+'Incremental_Cost Year 8'!AH274*'1. Standard_Cost'!$C$27+'Incremental_Cost Year 8'!AI274*'1. Standard_Cost'!$D$27+'Incremental_Cost Year 8'!AJ274+'Incremental_Cost Year 8'!AL274+AK274</f>
        <v>0</v>
      </c>
      <c r="AN274" s="127">
        <f>AM274*'1. Standard_Cost'!$C$31</f>
        <v>0</v>
      </c>
      <c r="AO274" s="178"/>
      <c r="AP274" s="256"/>
      <c r="AQ274" s="171">
        <f>L274+M274</f>
        <v>0</v>
      </c>
      <c r="AR274" s="171">
        <f>AF274</f>
        <v>0</v>
      </c>
      <c r="AS274" s="171">
        <f>AM274+AN274</f>
        <v>0</v>
      </c>
      <c r="AT274" s="171">
        <f>SUM(AQ274,AR274,AS274)</f>
        <v>0</v>
      </c>
      <c r="AU274" s="250">
        <f>AT274</f>
        <v>0</v>
      </c>
      <c r="AV274" s="250"/>
      <c r="AW274" s="250"/>
      <c r="AX274" s="250"/>
      <c r="AY274" s="250"/>
      <c r="AZ274" s="250"/>
      <c r="BA274" s="250"/>
      <c r="BB274" s="251">
        <f t="shared" ref="BB274:BB275" si="186">SUM(AU274:BA274)-AT274</f>
        <v>0</v>
      </c>
      <c r="BC274" s="169"/>
      <c r="BD274" s="169"/>
      <c r="BE274" s="169"/>
      <c r="BF274" s="169"/>
    </row>
    <row r="275" spans="1:58" ht="61.9" customHeight="1" x14ac:dyDescent="0.25">
      <c r="A275" s="172"/>
      <c r="B275" s="200"/>
      <c r="C275" s="201"/>
      <c r="D275" s="202"/>
      <c r="E275" s="360"/>
      <c r="F275" s="361"/>
      <c r="G275" s="362"/>
      <c r="H275" s="199" t="s">
        <v>350</v>
      </c>
      <c r="I275" s="178"/>
      <c r="J275" s="174"/>
      <c r="K275" s="174"/>
      <c r="L275" s="125" t="str">
        <f>IF(I275&lt;&gt;0,((VLOOKUP(I275,'1. Standard_Cost'!$B$4:$D$11,2)+VLOOKUP(I275,'1. Standard_Cost'!$B$4:$D$11,3))*J275*K275),"0")</f>
        <v>0</v>
      </c>
      <c r="M275" s="125">
        <f>L275*'1. Standard_Cost'!$F$4</f>
        <v>0</v>
      </c>
      <c r="N275" s="174"/>
      <c r="O275" s="174"/>
      <c r="P275" s="174"/>
      <c r="Q275" s="174"/>
      <c r="R275" s="127">
        <f>'1. Standard_Cost'!$B$15*N275*P275</f>
        <v>0</v>
      </c>
      <c r="S275" s="127">
        <f>N275*O275*P275*'1. Standard_Cost'!$C$15</f>
        <v>0</v>
      </c>
      <c r="T275" s="127">
        <f>N275*P275*Q275*'1. Standard_Cost'!$D$15</f>
        <v>0</v>
      </c>
      <c r="U275" s="127">
        <f>N275*O275*'1. Standard_Cost'!$E$15</f>
        <v>0</v>
      </c>
      <c r="V275" s="174"/>
      <c r="W275" s="174"/>
      <c r="X275" s="174"/>
      <c r="Y275" s="127">
        <f>+V275*((X275*'1. Standard_Cost'!$B$19)+(W275*X275*'1. Standard_Cost'!$C$19))</f>
        <v>0</v>
      </c>
      <c r="Z275" s="174"/>
      <c r="AA275" s="174"/>
      <c r="AB275" s="127">
        <f>+Z275*'1. Standard_Cost'!$B$23+AA275*'1. Standard_Cost'!$C$23</f>
        <v>0</v>
      </c>
      <c r="AC275" s="176"/>
      <c r="AD275" s="177"/>
      <c r="AE275" s="127">
        <f>SUM(AD275,AC275,AB275,Y275,U275,T275,S275,R275)*'1. Standard_Cost'!$B$31</f>
        <v>0</v>
      </c>
      <c r="AF275" s="127">
        <f>SUM(AE275,AD275,AC275,AB275,Y275,U275,T275,S275,R275)</f>
        <v>0</v>
      </c>
      <c r="AG275" s="174"/>
      <c r="AH275" s="174"/>
      <c r="AI275" s="174"/>
      <c r="AJ275" s="178"/>
      <c r="AK275" s="178"/>
      <c r="AL275" s="178"/>
      <c r="AM275" s="127">
        <f>AG275*'1. Standard_Cost'!$B$27+'Incremental_Cost Year 8'!AH275*'1. Standard_Cost'!$C$27+'Incremental_Cost Year 8'!AI275*'1. Standard_Cost'!$D$27+'Incremental_Cost Year 8'!AJ275+'Incremental_Cost Year 8'!AL275+AK275</f>
        <v>0</v>
      </c>
      <c r="AN275" s="127">
        <f>AM275*'1. Standard_Cost'!$C$31</f>
        <v>0</v>
      </c>
      <c r="AO275" s="178"/>
      <c r="AP275" s="256"/>
      <c r="AQ275" s="171">
        <f>L275+M275</f>
        <v>0</v>
      </c>
      <c r="AR275" s="171">
        <f>AF275</f>
        <v>0</v>
      </c>
      <c r="AS275" s="171">
        <f>AM275+AN275</f>
        <v>0</v>
      </c>
      <c r="AT275" s="171">
        <f>SUM(AQ275,AR275,AS275)</f>
        <v>0</v>
      </c>
      <c r="AU275" s="250">
        <f>AQ275</f>
        <v>0</v>
      </c>
      <c r="AV275" s="250"/>
      <c r="AW275" s="250"/>
      <c r="AX275" s="250"/>
      <c r="AY275" s="250"/>
      <c r="AZ275" s="250"/>
      <c r="BA275" s="250"/>
      <c r="BB275" s="251">
        <f t="shared" si="186"/>
        <v>0</v>
      </c>
      <c r="BC275" s="169"/>
      <c r="BD275" s="169"/>
      <c r="BE275" s="169"/>
      <c r="BF275" s="169"/>
    </row>
    <row r="276" spans="1:58" ht="61.9" customHeight="1" x14ac:dyDescent="0.2">
      <c r="A276" s="172"/>
      <c r="B276" s="168"/>
      <c r="C276" s="204"/>
      <c r="D276" s="212" t="s">
        <v>485</v>
      </c>
      <c r="E276" s="212" t="s">
        <v>351</v>
      </c>
      <c r="F276" s="206">
        <v>2022</v>
      </c>
      <c r="G276" s="207">
        <v>2025</v>
      </c>
      <c r="H276" s="182" t="s">
        <v>352</v>
      </c>
      <c r="I276" s="273"/>
      <c r="J276" s="273"/>
      <c r="K276" s="273"/>
      <c r="L276" s="175">
        <f>SUM(L274:L275)</f>
        <v>0</v>
      </c>
      <c r="M276" s="175">
        <f>SUM(M274:M275)</f>
        <v>0</v>
      </c>
      <c r="N276" s="273"/>
      <c r="O276" s="273"/>
      <c r="P276" s="273"/>
      <c r="Q276" s="273"/>
      <c r="R276" s="175">
        <f>SUM(R274:R275)</f>
        <v>0</v>
      </c>
      <c r="S276" s="175">
        <f>SUM(S274:S275)</f>
        <v>0</v>
      </c>
      <c r="T276" s="175">
        <f>SUM(T274:T275)</f>
        <v>0</v>
      </c>
      <c r="U276" s="175">
        <f>SUM(U274:U275)</f>
        <v>0</v>
      </c>
      <c r="V276" s="273"/>
      <c r="W276" s="273"/>
      <c r="X276" s="273"/>
      <c r="Y276" s="175">
        <f>SUM(Y274:Y275)</f>
        <v>0</v>
      </c>
      <c r="Z276" s="175"/>
      <c r="AA276" s="273"/>
      <c r="AB276" s="175">
        <f>SUM(AB274:AB275)</f>
        <v>0</v>
      </c>
      <c r="AC276" s="175">
        <f>SUM(AC274:AC275)</f>
        <v>0</v>
      </c>
      <c r="AD276" s="175">
        <f>SUM(AD274:AD275)</f>
        <v>0</v>
      </c>
      <c r="AE276" s="175">
        <f>SUM(AE274:AE275)</f>
        <v>0</v>
      </c>
      <c r="AF276" s="175">
        <f>SUM(AF274:AF275)</f>
        <v>0</v>
      </c>
      <c r="AG276" s="273"/>
      <c r="AH276" s="273"/>
      <c r="AI276" s="273"/>
      <c r="AJ276" s="175">
        <f>SUM(AJ274:AJ275)</f>
        <v>0</v>
      </c>
      <c r="AK276" s="175">
        <f>SUM(AK274:AK275)</f>
        <v>0</v>
      </c>
      <c r="AL276" s="175">
        <f>SUM(AL274:AL275)</f>
        <v>0</v>
      </c>
      <c r="AM276" s="175">
        <f>SUM(AM274:AM275)</f>
        <v>0</v>
      </c>
      <c r="AN276" s="175">
        <f>SUM(AN274:AN275)</f>
        <v>0</v>
      </c>
      <c r="AO276" s="274"/>
      <c r="AP276" s="254"/>
      <c r="AQ276" s="175">
        <f t="shared" ref="AQ276:AT276" si="187">SUM(AQ274:AQ275)</f>
        <v>0</v>
      </c>
      <c r="AR276" s="175">
        <f t="shared" si="187"/>
        <v>0</v>
      </c>
      <c r="AS276" s="175">
        <f t="shared" si="187"/>
        <v>0</v>
      </c>
      <c r="AT276" s="175">
        <f t="shared" si="187"/>
        <v>0</v>
      </c>
      <c r="AU276" s="175">
        <f t="shared" ref="AU276:BB276" si="188">SUM(AU274:AU275)</f>
        <v>0</v>
      </c>
      <c r="AV276" s="175">
        <f t="shared" si="188"/>
        <v>0</v>
      </c>
      <c r="AW276" s="175">
        <f t="shared" si="188"/>
        <v>0</v>
      </c>
      <c r="AX276" s="175">
        <f t="shared" si="188"/>
        <v>0</v>
      </c>
      <c r="AY276" s="175">
        <f t="shared" si="188"/>
        <v>0</v>
      </c>
      <c r="AZ276" s="175">
        <f t="shared" si="188"/>
        <v>0</v>
      </c>
      <c r="BA276" s="175">
        <f t="shared" si="188"/>
        <v>0</v>
      </c>
      <c r="BB276" s="175">
        <f t="shared" si="188"/>
        <v>0</v>
      </c>
      <c r="BC276" s="169"/>
      <c r="BD276" s="169"/>
      <c r="BE276" s="169"/>
      <c r="BF276" s="169"/>
    </row>
    <row r="277" spans="1:58" ht="61.9" customHeight="1" x14ac:dyDescent="0.2">
      <c r="A277" s="179"/>
      <c r="B277" s="290"/>
      <c r="C277" s="391" t="s">
        <v>353</v>
      </c>
      <c r="D277" s="391"/>
      <c r="E277" s="392"/>
      <c r="F277" s="287"/>
      <c r="G277" s="289"/>
      <c r="H277" s="181" t="s">
        <v>354</v>
      </c>
      <c r="I277" s="271"/>
      <c r="J277" s="271"/>
      <c r="K277" s="271"/>
      <c r="L277" s="261">
        <f>L283</f>
        <v>7660800</v>
      </c>
      <c r="M277" s="261">
        <f>M283</f>
        <v>1279353.6000000001</v>
      </c>
      <c r="N277" s="271"/>
      <c r="O277" s="271"/>
      <c r="P277" s="271"/>
      <c r="Q277" s="271"/>
      <c r="R277" s="261">
        <f>R283</f>
        <v>0</v>
      </c>
      <c r="S277" s="261">
        <f>S283</f>
        <v>0</v>
      </c>
      <c r="T277" s="261">
        <f>T283</f>
        <v>0</v>
      </c>
      <c r="U277" s="261">
        <f>U283</f>
        <v>0</v>
      </c>
      <c r="V277" s="271"/>
      <c r="W277" s="271"/>
      <c r="X277" s="271"/>
      <c r="Y277" s="261">
        <f>Y283</f>
        <v>0</v>
      </c>
      <c r="Z277" s="261"/>
      <c r="AA277" s="261"/>
      <c r="AB277" s="261">
        <f>AB283</f>
        <v>0</v>
      </c>
      <c r="AC277" s="261">
        <f>AC283</f>
        <v>0</v>
      </c>
      <c r="AD277" s="261">
        <f>AD283</f>
        <v>0</v>
      </c>
      <c r="AE277" s="261">
        <f>AE283</f>
        <v>0</v>
      </c>
      <c r="AF277" s="261">
        <f>AF283</f>
        <v>0</v>
      </c>
      <c r="AG277" s="271"/>
      <c r="AH277" s="271"/>
      <c r="AI277" s="271"/>
      <c r="AJ277" s="261">
        <f>AJ283</f>
        <v>0</v>
      </c>
      <c r="AK277" s="261">
        <f>AK283</f>
        <v>0</v>
      </c>
      <c r="AL277" s="261">
        <f>AL283</f>
        <v>0</v>
      </c>
      <c r="AM277" s="261">
        <f>AM283</f>
        <v>0</v>
      </c>
      <c r="AN277" s="261">
        <f>AN283</f>
        <v>0</v>
      </c>
      <c r="AO277" s="272"/>
      <c r="AP277" s="260"/>
      <c r="AQ277" s="261">
        <f t="shared" ref="AQ277:BB277" si="189">AQ283</f>
        <v>8940153.5999999996</v>
      </c>
      <c r="AR277" s="261">
        <f t="shared" si="189"/>
        <v>0</v>
      </c>
      <c r="AS277" s="261">
        <f t="shared" si="189"/>
        <v>0</v>
      </c>
      <c r="AT277" s="261">
        <f t="shared" si="189"/>
        <v>8940153.5999999996</v>
      </c>
      <c r="AU277" s="261">
        <f t="shared" si="189"/>
        <v>8940153.5999999996</v>
      </c>
      <c r="AV277" s="261">
        <f t="shared" si="189"/>
        <v>0</v>
      </c>
      <c r="AW277" s="261">
        <f t="shared" si="189"/>
        <v>0</v>
      </c>
      <c r="AX277" s="261">
        <f t="shared" si="189"/>
        <v>0</v>
      </c>
      <c r="AY277" s="261">
        <f t="shared" si="189"/>
        <v>0</v>
      </c>
      <c r="AZ277" s="261">
        <f t="shared" si="189"/>
        <v>0</v>
      </c>
      <c r="BA277" s="261">
        <f t="shared" si="189"/>
        <v>0</v>
      </c>
      <c r="BB277" s="261">
        <f t="shared" si="189"/>
        <v>0</v>
      </c>
      <c r="BC277" s="184"/>
      <c r="BD277" s="184"/>
      <c r="BE277" s="184"/>
      <c r="BF277" s="184"/>
    </row>
    <row r="278" spans="1:58" ht="61.9" customHeight="1" x14ac:dyDescent="0.25">
      <c r="A278" s="172"/>
      <c r="B278" s="200"/>
      <c r="C278" s="201"/>
      <c r="D278" s="202"/>
      <c r="E278" s="354"/>
      <c r="F278" s="355"/>
      <c r="G278" s="356"/>
      <c r="H278" s="213" t="s">
        <v>363</v>
      </c>
      <c r="I278" s="178"/>
      <c r="J278" s="174"/>
      <c r="K278" s="174"/>
      <c r="L278" s="125" t="str">
        <f>IF(I278&lt;&gt;0,((VLOOKUP(I278,'1. Standard_Cost'!$B$4:$D$11,2)+VLOOKUP(I278,'1. Standard_Cost'!$B$4:$D$11,3))*J278*K278),"0")</f>
        <v>0</v>
      </c>
      <c r="M278" s="125">
        <f>L278*'1. Standard_Cost'!$F$4</f>
        <v>0</v>
      </c>
      <c r="N278" s="174"/>
      <c r="O278" s="174"/>
      <c r="P278" s="174"/>
      <c r="Q278" s="174"/>
      <c r="R278" s="127">
        <f>'1. Standard_Cost'!$B$15*N278*P278</f>
        <v>0</v>
      </c>
      <c r="S278" s="127">
        <f>N278*O278*P278*'1. Standard_Cost'!$C$15</f>
        <v>0</v>
      </c>
      <c r="T278" s="127">
        <f>N278*P278*Q278*'1. Standard_Cost'!$D$15</f>
        <v>0</v>
      </c>
      <c r="U278" s="127">
        <f>N278*O278*'1. Standard_Cost'!$E$15</f>
        <v>0</v>
      </c>
      <c r="V278" s="174"/>
      <c r="W278" s="174"/>
      <c r="X278" s="174"/>
      <c r="Y278" s="127">
        <f>+V278*((X278*'1. Standard_Cost'!$B$19)+(W278*X278*'1. Standard_Cost'!$C$19))</f>
        <v>0</v>
      </c>
      <c r="Z278" s="174"/>
      <c r="AA278" s="174"/>
      <c r="AB278" s="127">
        <f>+Z278*'1. Standard_Cost'!$B$23+AA278*'1. Standard_Cost'!$C$23</f>
        <v>0</v>
      </c>
      <c r="AC278" s="176"/>
      <c r="AD278" s="177"/>
      <c r="AE278" s="127">
        <f>SUM(AD278,AC278,AB278,Y278,U278,T278,S278,R278)*'1. Standard_Cost'!$B$31</f>
        <v>0</v>
      </c>
      <c r="AF278" s="127">
        <f>SUM(AE278,AD278,AC278,AB278,Y278,U278,T278,S278,R278)</f>
        <v>0</v>
      </c>
      <c r="AG278" s="174"/>
      <c r="AH278" s="174"/>
      <c r="AI278" s="174"/>
      <c r="AJ278" s="178"/>
      <c r="AK278" s="178"/>
      <c r="AL278" s="178"/>
      <c r="AM278" s="127">
        <f>AG278*'1. Standard_Cost'!$B$27+'Incremental_Cost Year 8'!AH278*'1. Standard_Cost'!$C$27+'Incremental_Cost Year 8'!AI278*'1. Standard_Cost'!$D$27+'Incremental_Cost Year 8'!AJ278+'Incremental_Cost Year 8'!AL278+AK278</f>
        <v>0</v>
      </c>
      <c r="AN278" s="127">
        <f>AM278*'1. Standard_Cost'!$C$31</f>
        <v>0</v>
      </c>
      <c r="AO278" s="178"/>
      <c r="AP278" s="256"/>
      <c r="AQ278" s="171">
        <f>L278+M278</f>
        <v>0</v>
      </c>
      <c r="AR278" s="171">
        <f>AF278</f>
        <v>0</v>
      </c>
      <c r="AS278" s="171">
        <f>AM278+AN278</f>
        <v>0</v>
      </c>
      <c r="AT278" s="171">
        <f>SUM(AQ278,AR278,AS278)</f>
        <v>0</v>
      </c>
      <c r="AU278" s="250">
        <f>AT278</f>
        <v>0</v>
      </c>
      <c r="AV278" s="250"/>
      <c r="AW278" s="250"/>
      <c r="AX278" s="250"/>
      <c r="AY278" s="250"/>
      <c r="AZ278" s="250"/>
      <c r="BA278" s="250"/>
      <c r="BB278" s="251">
        <f t="shared" ref="BB278:BB282" si="190">SUM(AU278:BA278)-AT278</f>
        <v>0</v>
      </c>
      <c r="BC278" s="169"/>
      <c r="BD278" s="169"/>
      <c r="BE278" s="169"/>
      <c r="BF278" s="169"/>
    </row>
    <row r="279" spans="1:58" ht="61.9" customHeight="1" x14ac:dyDescent="0.25">
      <c r="A279" s="172"/>
      <c r="B279" s="200"/>
      <c r="C279" s="201"/>
      <c r="D279" s="202"/>
      <c r="E279" s="357"/>
      <c r="F279" s="358"/>
      <c r="G279" s="359"/>
      <c r="H279" s="213" t="s">
        <v>364</v>
      </c>
      <c r="I279" s="178"/>
      <c r="J279" s="174"/>
      <c r="K279" s="174"/>
      <c r="L279" s="125" t="str">
        <f>IF(I279&lt;&gt;0,((VLOOKUP(I279,'1. Standard_Cost'!$B$4:$D$11,2)+VLOOKUP(I279,'1. Standard_Cost'!$B$4:$D$11,3))*J279*K279),"0")</f>
        <v>0</v>
      </c>
      <c r="M279" s="125">
        <f>L279*'1. Standard_Cost'!$F$4</f>
        <v>0</v>
      </c>
      <c r="N279" s="174"/>
      <c r="O279" s="174"/>
      <c r="P279" s="174"/>
      <c r="Q279" s="174"/>
      <c r="R279" s="127">
        <f>'1. Standard_Cost'!$B$15*N279*P279</f>
        <v>0</v>
      </c>
      <c r="S279" s="127">
        <f>N279*O279*P279*'1. Standard_Cost'!$C$15</f>
        <v>0</v>
      </c>
      <c r="T279" s="127">
        <f>N279*P279*Q279*'1. Standard_Cost'!$D$15</f>
        <v>0</v>
      </c>
      <c r="U279" s="127">
        <f>N279*O279*'1. Standard_Cost'!$E$15</f>
        <v>0</v>
      </c>
      <c r="V279" s="174"/>
      <c r="W279" s="174"/>
      <c r="X279" s="174"/>
      <c r="Y279" s="127">
        <f>+V279*((X279*'1. Standard_Cost'!$B$19)+(W279*X279*'1. Standard_Cost'!$C$19))</f>
        <v>0</v>
      </c>
      <c r="Z279" s="174"/>
      <c r="AA279" s="174"/>
      <c r="AB279" s="127">
        <f>+Z279*'1. Standard_Cost'!$B$23+AA279*'1. Standard_Cost'!$C$23</f>
        <v>0</v>
      </c>
      <c r="AC279" s="176"/>
      <c r="AD279" s="177"/>
      <c r="AE279" s="127">
        <f>SUM(AD279,AC279,AB279,Y279,U279,T279,S279,R279)*'1. Standard_Cost'!$B$31</f>
        <v>0</v>
      </c>
      <c r="AF279" s="127">
        <f>SUM(AE279,AD279,AC279,AB279,Y279,U279,T279,S279,R279)</f>
        <v>0</v>
      </c>
      <c r="AG279" s="174"/>
      <c r="AH279" s="174"/>
      <c r="AI279" s="174"/>
      <c r="AJ279" s="178"/>
      <c r="AK279" s="178"/>
      <c r="AL279" s="178"/>
      <c r="AM279" s="127">
        <f>AG279*'1. Standard_Cost'!$B$27+'Incremental_Cost Year 8'!AH279*'1. Standard_Cost'!$C$27+'Incremental_Cost Year 8'!AI279*'1. Standard_Cost'!$D$27+'Incremental_Cost Year 8'!AJ279+'Incremental_Cost Year 8'!AL279+AK279</f>
        <v>0</v>
      </c>
      <c r="AN279" s="127">
        <f>AM279*'1. Standard_Cost'!$C$31</f>
        <v>0</v>
      </c>
      <c r="AO279" s="178"/>
      <c r="AP279" s="256"/>
      <c r="AQ279" s="171">
        <f>L279+M279</f>
        <v>0</v>
      </c>
      <c r="AR279" s="171">
        <f>AF279</f>
        <v>0</v>
      </c>
      <c r="AS279" s="171">
        <f>AM279+AN279</f>
        <v>0</v>
      </c>
      <c r="AT279" s="171">
        <f>SUM(AQ279,AR279,AS279)</f>
        <v>0</v>
      </c>
      <c r="AU279" s="250">
        <f>AT279</f>
        <v>0</v>
      </c>
      <c r="AV279" s="250"/>
      <c r="AW279" s="250"/>
      <c r="AX279" s="250"/>
      <c r="AY279" s="250"/>
      <c r="AZ279" s="250"/>
      <c r="BA279" s="250"/>
      <c r="BB279" s="251">
        <f t="shared" si="190"/>
        <v>0</v>
      </c>
      <c r="BC279" s="169"/>
      <c r="BD279" s="169"/>
      <c r="BE279" s="169"/>
      <c r="BF279" s="169"/>
    </row>
    <row r="280" spans="1:58" ht="61.9" customHeight="1" x14ac:dyDescent="0.25">
      <c r="A280" s="172"/>
      <c r="B280" s="200"/>
      <c r="C280" s="201"/>
      <c r="D280" s="202"/>
      <c r="E280" s="357"/>
      <c r="F280" s="358"/>
      <c r="G280" s="359"/>
      <c r="H280" s="213" t="s">
        <v>365</v>
      </c>
      <c r="I280" s="178" t="s">
        <v>3</v>
      </c>
      <c r="J280" s="174">
        <v>2</v>
      </c>
      <c r="K280" s="174">
        <v>20</v>
      </c>
      <c r="L280" s="125">
        <f>IF(I280&lt;&gt;0,((VLOOKUP(I280,'1. Standard_Cost'!$B$4:$D$11,2)+VLOOKUP(I280,'1. Standard_Cost'!$B$4:$D$11,3))*J280*K280),"0")</f>
        <v>4032000</v>
      </c>
      <c r="M280" s="125">
        <f>L280*'1. Standard_Cost'!$F$4</f>
        <v>673344</v>
      </c>
      <c r="N280" s="174"/>
      <c r="O280" s="174"/>
      <c r="P280" s="174"/>
      <c r="Q280" s="174"/>
      <c r="R280" s="127">
        <f>'1. Standard_Cost'!$B$15*N280*P280</f>
        <v>0</v>
      </c>
      <c r="S280" s="127">
        <f>N280*O280*P280*'1. Standard_Cost'!$C$15</f>
        <v>0</v>
      </c>
      <c r="T280" s="127">
        <f>N280*P280*Q280*'1. Standard_Cost'!$D$15</f>
        <v>0</v>
      </c>
      <c r="U280" s="127">
        <f>N280*O280*'1. Standard_Cost'!$E$15</f>
        <v>0</v>
      </c>
      <c r="V280" s="174"/>
      <c r="W280" s="174"/>
      <c r="X280" s="174"/>
      <c r="Y280" s="127">
        <f>+V280*((X280*'1. Standard_Cost'!$B$19)+(W280*X280*'1. Standard_Cost'!$C$19))</f>
        <v>0</v>
      </c>
      <c r="Z280" s="174"/>
      <c r="AA280" s="174"/>
      <c r="AB280" s="127">
        <f>+Z280*'1. Standard_Cost'!$B$23+AA280*'1. Standard_Cost'!$C$23</f>
        <v>0</v>
      </c>
      <c r="AC280" s="176"/>
      <c r="AD280" s="177"/>
      <c r="AE280" s="127">
        <f>SUM(AD280,AC280,AB280,Y280,U280,T280,S280,R280)*'1. Standard_Cost'!$B$31</f>
        <v>0</v>
      </c>
      <c r="AF280" s="127">
        <f>SUM(AE280,AD280,AC280,AB280,Y280,U280,T280,S280,R280)</f>
        <v>0</v>
      </c>
      <c r="AG280" s="174"/>
      <c r="AH280" s="174"/>
      <c r="AI280" s="174"/>
      <c r="AJ280" s="178"/>
      <c r="AK280" s="178"/>
      <c r="AL280" s="178"/>
      <c r="AM280" s="127">
        <f>AG280*'1. Standard_Cost'!$B$27+'Incremental_Cost Year 8'!AH280*'1. Standard_Cost'!$C$27+'Incremental_Cost Year 8'!AI280*'1. Standard_Cost'!$D$27+'Incremental_Cost Year 8'!AJ280+'Incremental_Cost Year 8'!AL280+AK280</f>
        <v>0</v>
      </c>
      <c r="AN280" s="127">
        <f>AM280*'1. Standard_Cost'!$C$31</f>
        <v>0</v>
      </c>
      <c r="AO280" s="178"/>
      <c r="AP280" s="256"/>
      <c r="AQ280" s="171">
        <f>L280+M280</f>
        <v>4705344</v>
      </c>
      <c r="AR280" s="171">
        <f>AF280</f>
        <v>0</v>
      </c>
      <c r="AS280" s="171">
        <f>AM280+AN280</f>
        <v>0</v>
      </c>
      <c r="AT280" s="171">
        <f>SUM(AQ280,AR280,AS280)</f>
        <v>4705344</v>
      </c>
      <c r="AU280" s="250">
        <f>AQ280</f>
        <v>4705344</v>
      </c>
      <c r="AV280" s="250"/>
      <c r="AW280" s="250"/>
      <c r="AX280" s="250"/>
      <c r="AY280" s="250"/>
      <c r="AZ280" s="250"/>
      <c r="BA280" s="250"/>
      <c r="BB280" s="251">
        <f t="shared" si="190"/>
        <v>0</v>
      </c>
      <c r="BC280" s="169"/>
      <c r="BD280" s="169"/>
      <c r="BE280" s="169"/>
      <c r="BF280" s="169"/>
    </row>
    <row r="281" spans="1:58" ht="61.9" customHeight="1" x14ac:dyDescent="0.25">
      <c r="A281" s="172"/>
      <c r="B281" s="200"/>
      <c r="C281" s="201"/>
      <c r="D281" s="202"/>
      <c r="E281" s="357"/>
      <c r="F281" s="358"/>
      <c r="G281" s="359"/>
      <c r="H281" s="369"/>
      <c r="I281" s="178"/>
      <c r="J281" s="174"/>
      <c r="K281" s="174"/>
      <c r="L281" s="125" t="str">
        <f>IF(I281&lt;&gt;0,((VLOOKUP(I281,'1. Standard_Cost'!$B$4:$D$11,2)+VLOOKUP(I281,'1. Standard_Cost'!$B$4:$D$11,3))*J281*K281),"0")</f>
        <v>0</v>
      </c>
      <c r="M281" s="125">
        <f>L281*'1. Standard_Cost'!$F$4</f>
        <v>0</v>
      </c>
      <c r="N281" s="174"/>
      <c r="O281" s="174"/>
      <c r="P281" s="174"/>
      <c r="Q281" s="174"/>
      <c r="R281" s="127">
        <f>'1. Standard_Cost'!$B$15*N281*P281</f>
        <v>0</v>
      </c>
      <c r="S281" s="127">
        <f>N281*O281*P281*'1. Standard_Cost'!$C$15</f>
        <v>0</v>
      </c>
      <c r="T281" s="127">
        <f>N281*P281*Q281*'1. Standard_Cost'!$D$15</f>
        <v>0</v>
      </c>
      <c r="U281" s="127">
        <f>N281*O281*'1. Standard_Cost'!$E$15</f>
        <v>0</v>
      </c>
      <c r="V281" s="174"/>
      <c r="W281" s="174"/>
      <c r="X281" s="174"/>
      <c r="Y281" s="127">
        <f>+V281*((X281*'1. Standard_Cost'!$B$19)+(W281*X281*'1. Standard_Cost'!$C$19))</f>
        <v>0</v>
      </c>
      <c r="Z281" s="174"/>
      <c r="AA281" s="174"/>
      <c r="AB281" s="127">
        <f>+Z281*'1. Standard_Cost'!$B$23+AA281*'1. Standard_Cost'!$C$23</f>
        <v>0</v>
      </c>
      <c r="AC281" s="176"/>
      <c r="AD281" s="177"/>
      <c r="AE281" s="127">
        <f>SUM(AD281,AC281,AB281,Y281,U281,T281,S281,R281)*'1. Standard_Cost'!$B$31</f>
        <v>0</v>
      </c>
      <c r="AF281" s="127">
        <f>SUM(AE281,AD281,AC281,AB281,Y281,U281,T281,S281,R281)</f>
        <v>0</v>
      </c>
      <c r="AG281" s="174"/>
      <c r="AH281" s="174"/>
      <c r="AI281" s="174"/>
      <c r="AJ281" s="178"/>
      <c r="AK281" s="178"/>
      <c r="AL281" s="178"/>
      <c r="AM281" s="127">
        <f>AG281*'1. Standard_Cost'!$B$27+'Incremental_Cost Year 8'!AH281*'1. Standard_Cost'!$C$27+'Incremental_Cost Year 8'!AI281*'1. Standard_Cost'!$D$27+'Incremental_Cost Year 8'!AJ281+'Incremental_Cost Year 8'!AL281+AK281</f>
        <v>0</v>
      </c>
      <c r="AN281" s="127">
        <f>AM281*'1. Standard_Cost'!$C$31</f>
        <v>0</v>
      </c>
      <c r="AO281" s="178"/>
      <c r="AP281" s="256"/>
      <c r="AQ281" s="171">
        <f>L281+M281</f>
        <v>0</v>
      </c>
      <c r="AR281" s="171">
        <f>AF281</f>
        <v>0</v>
      </c>
      <c r="AS281" s="171">
        <f>AM281+AN281</f>
        <v>0</v>
      </c>
      <c r="AT281" s="171">
        <f>SUM(AQ281,AR281,AS281)</f>
        <v>0</v>
      </c>
      <c r="AU281" s="250">
        <f>AQ281</f>
        <v>0</v>
      </c>
      <c r="AV281" s="250"/>
      <c r="AW281" s="250"/>
      <c r="AX281" s="250"/>
      <c r="AY281" s="250"/>
      <c r="AZ281" s="250"/>
      <c r="BA281" s="250"/>
      <c r="BB281" s="251">
        <f t="shared" si="190"/>
        <v>0</v>
      </c>
      <c r="BC281" s="169"/>
      <c r="BD281" s="169"/>
      <c r="BE281" s="169"/>
      <c r="BF281" s="169"/>
    </row>
    <row r="282" spans="1:58" ht="61.9" customHeight="1" x14ac:dyDescent="0.25">
      <c r="A282" s="172"/>
      <c r="B282" s="200"/>
      <c r="C282" s="201"/>
      <c r="D282" s="202"/>
      <c r="E282" s="360"/>
      <c r="F282" s="361"/>
      <c r="G282" s="362"/>
      <c r="H282" s="213" t="s">
        <v>366</v>
      </c>
      <c r="I282" s="178" t="s">
        <v>3</v>
      </c>
      <c r="J282" s="174">
        <v>12</v>
      </c>
      <c r="K282" s="174">
        <v>3</v>
      </c>
      <c r="L282" s="125">
        <f>IF(I282&lt;&gt;0,((VLOOKUP(I282,'1. Standard_Cost'!$B$4:$D$11,2)+VLOOKUP(I282,'1. Standard_Cost'!$B$4:$D$11,3))*J282*K282),"0")</f>
        <v>3628800</v>
      </c>
      <c r="M282" s="125">
        <f>L282*'1. Standard_Cost'!$F$4</f>
        <v>606009.59999999998</v>
      </c>
      <c r="N282" s="174"/>
      <c r="O282" s="174"/>
      <c r="P282" s="174"/>
      <c r="Q282" s="174"/>
      <c r="R282" s="127">
        <f>'1. Standard_Cost'!$B$15*N282*P282</f>
        <v>0</v>
      </c>
      <c r="S282" s="127">
        <f>N282*O282*P282*'1. Standard_Cost'!$C$15</f>
        <v>0</v>
      </c>
      <c r="T282" s="127">
        <f>N282*P282*Q282*'1. Standard_Cost'!$D$15</f>
        <v>0</v>
      </c>
      <c r="U282" s="127">
        <f>N282*O282*'1. Standard_Cost'!$E$15</f>
        <v>0</v>
      </c>
      <c r="V282" s="174"/>
      <c r="W282" s="174"/>
      <c r="X282" s="174"/>
      <c r="Y282" s="127">
        <f>+V282*((X282*'1. Standard_Cost'!$B$19)+(W282*X282*'1. Standard_Cost'!$C$19))</f>
        <v>0</v>
      </c>
      <c r="Z282" s="174"/>
      <c r="AA282" s="174"/>
      <c r="AB282" s="127">
        <f>+Z282*'1. Standard_Cost'!$B$23+AA282*'1. Standard_Cost'!$C$23</f>
        <v>0</v>
      </c>
      <c r="AC282" s="176"/>
      <c r="AD282" s="177"/>
      <c r="AE282" s="127">
        <f>SUM(AD282,AC282,AB282,Y282,U282,T282,S282,R282)*'1. Standard_Cost'!$B$31</f>
        <v>0</v>
      </c>
      <c r="AF282" s="127">
        <f>SUM(AE282,AD282,AC282,AB282,Y282,U282,T282,S282,R282)</f>
        <v>0</v>
      </c>
      <c r="AG282" s="174"/>
      <c r="AH282" s="174"/>
      <c r="AI282" s="174"/>
      <c r="AJ282" s="178"/>
      <c r="AK282" s="178"/>
      <c r="AL282" s="178"/>
      <c r="AM282" s="127">
        <f>AG282*'1. Standard_Cost'!$B$27+'Incremental_Cost Year 8'!AH282*'1. Standard_Cost'!$C$27+'Incremental_Cost Year 8'!AI282*'1. Standard_Cost'!$D$27+'Incremental_Cost Year 8'!AJ282+'Incremental_Cost Year 8'!AL282+AK282</f>
        <v>0</v>
      </c>
      <c r="AN282" s="127">
        <f>AM282*'1. Standard_Cost'!$C$31</f>
        <v>0</v>
      </c>
      <c r="AO282" s="178"/>
      <c r="AP282" s="256"/>
      <c r="AQ282" s="171">
        <f>L282+M282</f>
        <v>4234809.5999999996</v>
      </c>
      <c r="AR282" s="171">
        <f>AF282</f>
        <v>0</v>
      </c>
      <c r="AS282" s="171">
        <f>AM282+AN282</f>
        <v>0</v>
      </c>
      <c r="AT282" s="171">
        <f>SUM(AQ282,AR282,AS282)</f>
        <v>4234809.5999999996</v>
      </c>
      <c r="AU282" s="250">
        <f>AQ282</f>
        <v>4234809.5999999996</v>
      </c>
      <c r="AV282" s="250"/>
      <c r="AW282" s="250"/>
      <c r="AX282" s="250"/>
      <c r="AY282" s="250"/>
      <c r="AZ282" s="250"/>
      <c r="BA282" s="250"/>
      <c r="BB282" s="251">
        <f t="shared" si="190"/>
        <v>0</v>
      </c>
      <c r="BC282" s="169"/>
      <c r="BD282" s="169"/>
      <c r="BE282" s="169"/>
      <c r="BF282" s="169"/>
    </row>
    <row r="283" spans="1:58" ht="61.9" customHeight="1" x14ac:dyDescent="0.2">
      <c r="A283" s="172"/>
      <c r="B283" s="168"/>
      <c r="C283" s="204"/>
      <c r="D283" s="212" t="s">
        <v>559</v>
      </c>
      <c r="E283" s="212" t="s">
        <v>355</v>
      </c>
      <c r="F283" s="212">
        <v>2021</v>
      </c>
      <c r="G283" s="212">
        <v>2030</v>
      </c>
      <c r="H283" s="182" t="s">
        <v>356</v>
      </c>
      <c r="I283" s="273"/>
      <c r="J283" s="273"/>
      <c r="K283" s="273"/>
      <c r="L283" s="175">
        <f>SUM(L278:L282)</f>
        <v>7660800</v>
      </c>
      <c r="M283" s="175">
        <f>SUM(M278:M282)</f>
        <v>1279353.6000000001</v>
      </c>
      <c r="N283" s="273"/>
      <c r="O283" s="273"/>
      <c r="P283" s="273"/>
      <c r="Q283" s="273"/>
      <c r="R283" s="175">
        <f>SUM(R278:R282)</f>
        <v>0</v>
      </c>
      <c r="S283" s="175">
        <f>SUM(S278:S282)</f>
        <v>0</v>
      </c>
      <c r="T283" s="175">
        <f>SUM(T278:T282)</f>
        <v>0</v>
      </c>
      <c r="U283" s="175">
        <f>SUM(U278:U282)</f>
        <v>0</v>
      </c>
      <c r="V283" s="273"/>
      <c r="W283" s="273"/>
      <c r="X283" s="273"/>
      <c r="Y283" s="175">
        <f>SUM(Y278:Y282)</f>
        <v>0</v>
      </c>
      <c r="Z283" s="175"/>
      <c r="AA283" s="273"/>
      <c r="AB283" s="175">
        <f>SUM(AB278:AB282)</f>
        <v>0</v>
      </c>
      <c r="AC283" s="175">
        <f>SUM(AC278:AC282)</f>
        <v>0</v>
      </c>
      <c r="AD283" s="175">
        <f>SUM(AD278:AD282)</f>
        <v>0</v>
      </c>
      <c r="AE283" s="175">
        <f>SUM(AE278:AE282)</f>
        <v>0</v>
      </c>
      <c r="AF283" s="175">
        <f>SUM(AF278:AF282)</f>
        <v>0</v>
      </c>
      <c r="AG283" s="273"/>
      <c r="AH283" s="273"/>
      <c r="AI283" s="273"/>
      <c r="AJ283" s="175">
        <f>SUM(AJ278:AJ282)</f>
        <v>0</v>
      </c>
      <c r="AK283" s="175">
        <f>SUM(AK278:AK282)</f>
        <v>0</v>
      </c>
      <c r="AL283" s="175">
        <f>SUM(AL278:AL282)</f>
        <v>0</v>
      </c>
      <c r="AM283" s="175">
        <f>SUM(AM278:AM282)</f>
        <v>0</v>
      </c>
      <c r="AN283" s="175">
        <f>SUM(AN278:AN282)</f>
        <v>0</v>
      </c>
      <c r="AO283" s="274"/>
      <c r="AP283" s="254"/>
      <c r="AQ283" s="175">
        <f t="shared" ref="AQ283:AT283" si="191">SUM(AQ278:AQ282)</f>
        <v>8940153.5999999996</v>
      </c>
      <c r="AR283" s="175">
        <f t="shared" si="191"/>
        <v>0</v>
      </c>
      <c r="AS283" s="175">
        <f t="shared" si="191"/>
        <v>0</v>
      </c>
      <c r="AT283" s="175">
        <f t="shared" si="191"/>
        <v>8940153.5999999996</v>
      </c>
      <c r="AU283" s="175">
        <f t="shared" ref="AU283:BB283" si="192">SUM(AU278:AU282)</f>
        <v>8940153.5999999996</v>
      </c>
      <c r="AV283" s="175">
        <f t="shared" si="192"/>
        <v>0</v>
      </c>
      <c r="AW283" s="175">
        <f t="shared" si="192"/>
        <v>0</v>
      </c>
      <c r="AX283" s="175">
        <f t="shared" si="192"/>
        <v>0</v>
      </c>
      <c r="AY283" s="175">
        <f t="shared" si="192"/>
        <v>0</v>
      </c>
      <c r="AZ283" s="175">
        <f t="shared" si="192"/>
        <v>0</v>
      </c>
      <c r="BA283" s="175">
        <f t="shared" si="192"/>
        <v>0</v>
      </c>
      <c r="BB283" s="175">
        <f t="shared" si="192"/>
        <v>0</v>
      </c>
      <c r="BC283" s="169"/>
      <c r="BD283" s="169"/>
      <c r="BE283" s="169"/>
      <c r="BF283" s="169"/>
    </row>
    <row r="284" spans="1:58" ht="61.9" customHeight="1" x14ac:dyDescent="0.2">
      <c r="A284" s="179"/>
      <c r="B284" s="290"/>
      <c r="C284" s="391" t="s">
        <v>357</v>
      </c>
      <c r="D284" s="391"/>
      <c r="E284" s="392"/>
      <c r="F284" s="287"/>
      <c r="G284" s="289"/>
      <c r="H284" s="181" t="s">
        <v>358</v>
      </c>
      <c r="I284" s="271"/>
      <c r="J284" s="271"/>
      <c r="K284" s="271"/>
      <c r="L284" s="261">
        <f>L289</f>
        <v>0</v>
      </c>
      <c r="M284" s="261">
        <f>M289</f>
        <v>0</v>
      </c>
      <c r="N284" s="271"/>
      <c r="O284" s="271"/>
      <c r="P284" s="271"/>
      <c r="Q284" s="271"/>
      <c r="R284" s="261">
        <f>R289</f>
        <v>0</v>
      </c>
      <c r="S284" s="261">
        <f>S289</f>
        <v>0</v>
      </c>
      <c r="T284" s="261">
        <f>T289</f>
        <v>0</v>
      </c>
      <c r="U284" s="261">
        <f>U289</f>
        <v>0</v>
      </c>
      <c r="V284" s="271"/>
      <c r="W284" s="271"/>
      <c r="X284" s="271"/>
      <c r="Y284" s="261">
        <f>Y289</f>
        <v>0</v>
      </c>
      <c r="Z284" s="261"/>
      <c r="AA284" s="261"/>
      <c r="AB284" s="261">
        <f>AB289</f>
        <v>0</v>
      </c>
      <c r="AC284" s="261">
        <f>AC289</f>
        <v>0</v>
      </c>
      <c r="AD284" s="261">
        <f>AD289</f>
        <v>0</v>
      </c>
      <c r="AE284" s="261">
        <f>AE289</f>
        <v>0</v>
      </c>
      <c r="AF284" s="261">
        <f>AF289</f>
        <v>0</v>
      </c>
      <c r="AG284" s="271"/>
      <c r="AH284" s="271"/>
      <c r="AI284" s="271"/>
      <c r="AJ284" s="261">
        <f>AJ289</f>
        <v>0</v>
      </c>
      <c r="AK284" s="261">
        <f>AK289</f>
        <v>0</v>
      </c>
      <c r="AL284" s="261">
        <f>AL289</f>
        <v>0</v>
      </c>
      <c r="AM284" s="261">
        <f>AM289</f>
        <v>0</v>
      </c>
      <c r="AN284" s="261">
        <f>AN289</f>
        <v>0</v>
      </c>
      <c r="AO284" s="272"/>
      <c r="AP284" s="260"/>
      <c r="AQ284" s="261">
        <f t="shared" ref="AQ284:BB284" si="193">AQ289</f>
        <v>0</v>
      </c>
      <c r="AR284" s="261">
        <f t="shared" si="193"/>
        <v>0</v>
      </c>
      <c r="AS284" s="261">
        <f t="shared" si="193"/>
        <v>0</v>
      </c>
      <c r="AT284" s="261">
        <f t="shared" si="193"/>
        <v>0</v>
      </c>
      <c r="AU284" s="261">
        <f t="shared" si="193"/>
        <v>0</v>
      </c>
      <c r="AV284" s="261">
        <f t="shared" si="193"/>
        <v>0</v>
      </c>
      <c r="AW284" s="261">
        <f t="shared" si="193"/>
        <v>0</v>
      </c>
      <c r="AX284" s="261">
        <f t="shared" si="193"/>
        <v>0</v>
      </c>
      <c r="AY284" s="261">
        <f t="shared" si="193"/>
        <v>0</v>
      </c>
      <c r="AZ284" s="261">
        <f t="shared" si="193"/>
        <v>0</v>
      </c>
      <c r="BA284" s="261">
        <f t="shared" si="193"/>
        <v>0</v>
      </c>
      <c r="BB284" s="261">
        <f t="shared" si="193"/>
        <v>0</v>
      </c>
      <c r="BC284" s="184"/>
      <c r="BD284" s="184"/>
      <c r="BE284" s="184"/>
      <c r="BF284" s="184"/>
    </row>
    <row r="285" spans="1:58" ht="61.9" customHeight="1" x14ac:dyDescent="0.25">
      <c r="A285" s="172"/>
      <c r="B285" s="354"/>
      <c r="C285" s="356"/>
      <c r="D285" s="342"/>
      <c r="E285" s="328"/>
      <c r="F285" s="328"/>
      <c r="G285" s="328"/>
      <c r="H285" s="213" t="s">
        <v>550</v>
      </c>
      <c r="I285" s="178"/>
      <c r="J285" s="174"/>
      <c r="K285" s="174"/>
      <c r="L285" s="125" t="str">
        <f>IF(I285&lt;&gt;0,((VLOOKUP(I285,'1. Standard_Cost'!$B$4:$D$11,2)+VLOOKUP(I285,'1. Standard_Cost'!$B$4:$D$11,3))*J285*K285),"0")</f>
        <v>0</v>
      </c>
      <c r="M285" s="125">
        <f>L285*'1. Standard_Cost'!$F$4</f>
        <v>0</v>
      </c>
      <c r="N285" s="174"/>
      <c r="O285" s="174"/>
      <c r="P285" s="174"/>
      <c r="Q285" s="174"/>
      <c r="R285" s="127">
        <f>'1. Standard_Cost'!$B$15*N285*P285</f>
        <v>0</v>
      </c>
      <c r="S285" s="127">
        <f>N285*O285*P285*'1. Standard_Cost'!$C$15</f>
        <v>0</v>
      </c>
      <c r="T285" s="127">
        <f>N285*P285*Q285*'1. Standard_Cost'!$D$15</f>
        <v>0</v>
      </c>
      <c r="U285" s="127">
        <f>N285*O285*'1. Standard_Cost'!$E$15</f>
        <v>0</v>
      </c>
      <c r="V285" s="174"/>
      <c r="W285" s="174"/>
      <c r="X285" s="174"/>
      <c r="Y285" s="127">
        <f>+V285*((X285*'1. Standard_Cost'!$B$19)+(W285*X285*'1. Standard_Cost'!$C$19))</f>
        <v>0</v>
      </c>
      <c r="Z285" s="174"/>
      <c r="AA285" s="174"/>
      <c r="AB285" s="127">
        <f>+Z285*'1. Standard_Cost'!$B$23+AA285*'1. Standard_Cost'!$C$23</f>
        <v>0</v>
      </c>
      <c r="AC285" s="176"/>
      <c r="AD285" s="177"/>
      <c r="AE285" s="127">
        <f>SUM(AD285,AC285,AB285,Y285,U285,T285,S285,R285)*'1. Standard_Cost'!$B$31</f>
        <v>0</v>
      </c>
      <c r="AF285" s="127">
        <f>SUM(AE285,AD285,AC285,AB285,Y285,U285,T285,S285,R285)</f>
        <v>0</v>
      </c>
      <c r="AG285" s="174"/>
      <c r="AH285" s="174"/>
      <c r="AI285" s="174"/>
      <c r="AJ285" s="178"/>
      <c r="AK285" s="178"/>
      <c r="AL285" s="178"/>
      <c r="AM285" s="127">
        <f>AG285*'1. Standard_Cost'!$B$27+'Incremental_Cost Year 8'!AH285*'1. Standard_Cost'!$C$27+'Incremental_Cost Year 8'!AI285*'1. Standard_Cost'!$D$27+'Incremental_Cost Year 8'!AJ285+'Incremental_Cost Year 8'!AL285+AK285</f>
        <v>0</v>
      </c>
      <c r="AN285" s="127">
        <f>AM285*'1. Standard_Cost'!$C$31</f>
        <v>0</v>
      </c>
      <c r="AO285" s="178"/>
      <c r="AP285" s="256"/>
      <c r="AQ285" s="171">
        <f>L285+M285</f>
        <v>0</v>
      </c>
      <c r="AR285" s="171">
        <f>AF285</f>
        <v>0</v>
      </c>
      <c r="AS285" s="171">
        <f>AM285+AN285</f>
        <v>0</v>
      </c>
      <c r="AT285" s="171">
        <f>SUM(AQ285,AR285,AS285)</f>
        <v>0</v>
      </c>
      <c r="AU285" s="250"/>
      <c r="AV285" s="250"/>
      <c r="AW285" s="250"/>
      <c r="AX285" s="250"/>
      <c r="AY285" s="250"/>
      <c r="AZ285" s="250"/>
      <c r="BA285" s="250"/>
      <c r="BB285" s="251">
        <f t="shared" ref="BB285:BB288" si="194">SUM(AU285:BA285)-AT285</f>
        <v>0</v>
      </c>
      <c r="BC285" s="169"/>
      <c r="BD285" s="169"/>
      <c r="BE285" s="169"/>
      <c r="BF285" s="169"/>
    </row>
    <row r="286" spans="1:58" ht="61.9" customHeight="1" x14ac:dyDescent="0.25">
      <c r="A286" s="172"/>
      <c r="B286" s="357"/>
      <c r="C286" s="359"/>
      <c r="D286" s="343"/>
      <c r="E286" s="328"/>
      <c r="F286" s="328"/>
      <c r="G286" s="328"/>
      <c r="H286" s="213" t="s">
        <v>555</v>
      </c>
      <c r="I286" s="178"/>
      <c r="J286" s="174"/>
      <c r="K286" s="174"/>
      <c r="L286" s="125" t="str">
        <f>IF(I286&lt;&gt;0,((VLOOKUP(I286,'1. Standard_Cost'!$B$4:$D$11,2)+VLOOKUP(I286,'1. Standard_Cost'!$B$4:$D$11,3))*J286*K286),"0")</f>
        <v>0</v>
      </c>
      <c r="M286" s="125">
        <f>L286*'1. Standard_Cost'!$F$4</f>
        <v>0</v>
      </c>
      <c r="N286" s="174"/>
      <c r="O286" s="174"/>
      <c r="P286" s="174"/>
      <c r="Q286" s="174"/>
      <c r="R286" s="127">
        <f>'1. Standard_Cost'!$B$15*N286*P286</f>
        <v>0</v>
      </c>
      <c r="S286" s="127">
        <f>N286*O286*P286*'1. Standard_Cost'!$C$15</f>
        <v>0</v>
      </c>
      <c r="T286" s="127">
        <f>N286*P286*Q286*'1. Standard_Cost'!$D$15</f>
        <v>0</v>
      </c>
      <c r="U286" s="127">
        <f>N286*O286*'1. Standard_Cost'!$E$15</f>
        <v>0</v>
      </c>
      <c r="V286" s="174"/>
      <c r="W286" s="174"/>
      <c r="X286" s="174"/>
      <c r="Y286" s="127">
        <f>+V286*((X286*'1. Standard_Cost'!$B$19)+(W286*X286*'1. Standard_Cost'!$C$19))</f>
        <v>0</v>
      </c>
      <c r="Z286" s="174"/>
      <c r="AA286" s="174"/>
      <c r="AB286" s="127">
        <f>+Z286*'1. Standard_Cost'!$B$23+AA286*'1. Standard_Cost'!$C$23</f>
        <v>0</v>
      </c>
      <c r="AC286" s="176"/>
      <c r="AD286" s="177"/>
      <c r="AE286" s="127">
        <f>SUM(AD286,AC286,AB286,Y286,U286,T286,S286,R286)*'1. Standard_Cost'!$B$31</f>
        <v>0</v>
      </c>
      <c r="AF286" s="127">
        <f>SUM(AE286,AD286,AC286,AB286,Y286,U286,T286,S286,R286)</f>
        <v>0</v>
      </c>
      <c r="AG286" s="174"/>
      <c r="AH286" s="174"/>
      <c r="AI286" s="174"/>
      <c r="AJ286" s="178"/>
      <c r="AK286" s="178"/>
      <c r="AL286" s="178"/>
      <c r="AM286" s="127">
        <f>AG286*'1. Standard_Cost'!$B$27+'Incremental_Cost Year 8'!AH286*'1. Standard_Cost'!$C$27+'Incremental_Cost Year 8'!AI286*'1. Standard_Cost'!$D$27+'Incremental_Cost Year 8'!AJ286+'Incremental_Cost Year 8'!AL286+AK286</f>
        <v>0</v>
      </c>
      <c r="AN286" s="127">
        <f>AM286*'1. Standard_Cost'!$C$31</f>
        <v>0</v>
      </c>
      <c r="AO286" s="178"/>
      <c r="AP286" s="256"/>
      <c r="AQ286" s="171">
        <f>L286+M286</f>
        <v>0</v>
      </c>
      <c r="AR286" s="171">
        <f>AF286</f>
        <v>0</v>
      </c>
      <c r="AS286" s="171">
        <f>AM286+AN286</f>
        <v>0</v>
      </c>
      <c r="AT286" s="171">
        <f>SUM(AQ286,AR286,AS286)</f>
        <v>0</v>
      </c>
      <c r="AU286" s="250"/>
      <c r="AV286" s="250"/>
      <c r="AW286" s="250"/>
      <c r="AX286" s="250"/>
      <c r="AY286" s="250"/>
      <c r="AZ286" s="250"/>
      <c r="BA286" s="250"/>
      <c r="BB286" s="251">
        <f t="shared" si="194"/>
        <v>0</v>
      </c>
      <c r="BC286" s="169"/>
      <c r="BD286" s="169"/>
      <c r="BE286" s="169"/>
      <c r="BF286" s="169"/>
    </row>
    <row r="287" spans="1:58" ht="61.9" customHeight="1" x14ac:dyDescent="0.25">
      <c r="A287" s="172"/>
      <c r="B287" s="357"/>
      <c r="C287" s="359"/>
      <c r="D287" s="343"/>
      <c r="E287" s="328"/>
      <c r="F287" s="328"/>
      <c r="G287" s="328"/>
      <c r="H287" s="213" t="s">
        <v>367</v>
      </c>
      <c r="I287" s="178"/>
      <c r="J287" s="174"/>
      <c r="K287" s="174"/>
      <c r="L287" s="125" t="str">
        <f>IF(I287&lt;&gt;0,((VLOOKUP(I287,'1. Standard_Cost'!$B$4:$D$11,2)+VLOOKUP(I287,'1. Standard_Cost'!$B$4:$D$11,3))*J287*K287),"0")</f>
        <v>0</v>
      </c>
      <c r="M287" s="125">
        <f>L287*'1. Standard_Cost'!$F$4</f>
        <v>0</v>
      </c>
      <c r="N287" s="174"/>
      <c r="O287" s="174"/>
      <c r="P287" s="174"/>
      <c r="Q287" s="174"/>
      <c r="R287" s="127">
        <f>'1. Standard_Cost'!$B$15*N287*P287</f>
        <v>0</v>
      </c>
      <c r="S287" s="127">
        <f>N287*O287*P287*'1. Standard_Cost'!$C$15</f>
        <v>0</v>
      </c>
      <c r="T287" s="127">
        <f>N287*P287*Q287*'1. Standard_Cost'!$D$15</f>
        <v>0</v>
      </c>
      <c r="U287" s="127">
        <f>N287*O287*'1. Standard_Cost'!$E$15</f>
        <v>0</v>
      </c>
      <c r="V287" s="174"/>
      <c r="W287" s="174"/>
      <c r="X287" s="174"/>
      <c r="Y287" s="127">
        <f>+V287*((X287*'1. Standard_Cost'!$B$19)+(W287*X287*'1. Standard_Cost'!$C$19))</f>
        <v>0</v>
      </c>
      <c r="Z287" s="174"/>
      <c r="AA287" s="174"/>
      <c r="AB287" s="127">
        <f>+Z287*'1. Standard_Cost'!$B$23+AA287*'1. Standard_Cost'!$C$23</f>
        <v>0</v>
      </c>
      <c r="AC287" s="176"/>
      <c r="AD287" s="177"/>
      <c r="AE287" s="127">
        <f>SUM(AD287,AC287,AB287,Y287,U287,T287,S287,R287)*'1. Standard_Cost'!$B$31</f>
        <v>0</v>
      </c>
      <c r="AF287" s="127">
        <f>SUM(AE287,AD287,AC287,AB287,Y287,U287,T287,S287,R287)</f>
        <v>0</v>
      </c>
      <c r="AG287" s="174"/>
      <c r="AH287" s="174"/>
      <c r="AI287" s="174"/>
      <c r="AJ287" s="178"/>
      <c r="AK287" s="178"/>
      <c r="AL287" s="178"/>
      <c r="AM287" s="127">
        <f>AG287*'1. Standard_Cost'!$B$27+'Incremental_Cost Year 8'!AH287*'1. Standard_Cost'!$C$27+'Incremental_Cost Year 8'!AI287*'1. Standard_Cost'!$D$27+'Incremental_Cost Year 8'!AJ287+'Incremental_Cost Year 8'!AL287+AK287</f>
        <v>0</v>
      </c>
      <c r="AN287" s="127">
        <f>AM287*'1. Standard_Cost'!$C$31</f>
        <v>0</v>
      </c>
      <c r="AO287" s="178"/>
      <c r="AP287" s="256"/>
      <c r="AQ287" s="171">
        <f>L287+M287</f>
        <v>0</v>
      </c>
      <c r="AR287" s="171">
        <f>AF287</f>
        <v>0</v>
      </c>
      <c r="AS287" s="171">
        <f>AM287+AN287</f>
        <v>0</v>
      </c>
      <c r="AT287" s="171">
        <f>SUM(AQ287,AR287,AS287)</f>
        <v>0</v>
      </c>
      <c r="AU287" s="250">
        <f>AT287</f>
        <v>0</v>
      </c>
      <c r="AV287" s="250"/>
      <c r="AW287" s="250"/>
      <c r="AX287" s="250"/>
      <c r="AY287" s="250"/>
      <c r="AZ287" s="250"/>
      <c r="BA287" s="250"/>
      <c r="BB287" s="251">
        <f t="shared" si="194"/>
        <v>0</v>
      </c>
      <c r="BC287" s="169"/>
      <c r="BD287" s="169"/>
      <c r="BE287" s="169"/>
      <c r="BF287" s="169"/>
    </row>
    <row r="288" spans="1:58" ht="61.9" customHeight="1" x14ac:dyDescent="0.25">
      <c r="A288" s="172"/>
      <c r="B288" s="360"/>
      <c r="C288" s="362"/>
      <c r="D288" s="344"/>
      <c r="E288" s="328"/>
      <c r="F288" s="328"/>
      <c r="G288" s="328"/>
      <c r="H288" s="213" t="s">
        <v>368</v>
      </c>
      <c r="I288" s="178"/>
      <c r="J288" s="174"/>
      <c r="K288" s="174"/>
      <c r="L288" s="125" t="str">
        <f>IF(I288&lt;&gt;0,((VLOOKUP(I288,'1. Standard_Cost'!$B$4:$D$11,2)+VLOOKUP(I288,'1. Standard_Cost'!$B$4:$D$11,3))*J288*K288),"0")</f>
        <v>0</v>
      </c>
      <c r="M288" s="125">
        <f>L288*'1. Standard_Cost'!$F$4</f>
        <v>0</v>
      </c>
      <c r="N288" s="174"/>
      <c r="O288" s="174"/>
      <c r="P288" s="174"/>
      <c r="Q288" s="174"/>
      <c r="R288" s="127">
        <f>'1. Standard_Cost'!$B$15*N288*P288</f>
        <v>0</v>
      </c>
      <c r="S288" s="127">
        <f>N288*O288*P288*'1. Standard_Cost'!$C$15</f>
        <v>0</v>
      </c>
      <c r="T288" s="127">
        <f>N288*P288*Q288*'1. Standard_Cost'!$D$15</f>
        <v>0</v>
      </c>
      <c r="U288" s="127">
        <f>N288*O288*'1. Standard_Cost'!$E$15</f>
        <v>0</v>
      </c>
      <c r="V288" s="174"/>
      <c r="W288" s="174"/>
      <c r="X288" s="174"/>
      <c r="Y288" s="127">
        <f>+V288*((X288*'1. Standard_Cost'!$B$19)+(W288*X288*'1. Standard_Cost'!$C$19))</f>
        <v>0</v>
      </c>
      <c r="Z288" s="174"/>
      <c r="AA288" s="174"/>
      <c r="AB288" s="127">
        <f>+Z288*'1. Standard_Cost'!$B$23+AA288*'1. Standard_Cost'!$C$23</f>
        <v>0</v>
      </c>
      <c r="AC288" s="176"/>
      <c r="AD288" s="177"/>
      <c r="AE288" s="127">
        <f>SUM(AD288,AC288,AB288,Y288,U288,T288,S288,R288)*'1. Standard_Cost'!$B$31</f>
        <v>0</v>
      </c>
      <c r="AF288" s="127">
        <f>SUM(AE288,AD288,AC288,AB288,Y288,U288,T288,S288,R288)</f>
        <v>0</v>
      </c>
      <c r="AG288" s="174"/>
      <c r="AH288" s="174"/>
      <c r="AI288" s="174"/>
      <c r="AJ288" s="178"/>
      <c r="AK288" s="178"/>
      <c r="AL288" s="178"/>
      <c r="AM288" s="127">
        <f>AG288*'1. Standard_Cost'!$B$27+'Incremental_Cost Year 8'!AH288*'1. Standard_Cost'!$C$27+'Incremental_Cost Year 8'!AI288*'1. Standard_Cost'!$D$27+'Incremental_Cost Year 8'!AJ288+'Incremental_Cost Year 8'!AL288+AK288</f>
        <v>0</v>
      </c>
      <c r="AN288" s="127">
        <f>AM288*'1. Standard_Cost'!$C$31</f>
        <v>0</v>
      </c>
      <c r="AO288" s="178"/>
      <c r="AP288" s="256"/>
      <c r="AQ288" s="171">
        <f>L288+M288</f>
        <v>0</v>
      </c>
      <c r="AR288" s="171">
        <f>AF288</f>
        <v>0</v>
      </c>
      <c r="AS288" s="171">
        <f>AM288+AN288</f>
        <v>0</v>
      </c>
      <c r="AT288" s="171">
        <f>SUM(AQ288,AR288,AS288)</f>
        <v>0</v>
      </c>
      <c r="AU288" s="250">
        <f>AT288</f>
        <v>0</v>
      </c>
      <c r="AV288" s="250"/>
      <c r="AW288" s="250"/>
      <c r="AX288" s="250"/>
      <c r="AY288" s="250"/>
      <c r="AZ288" s="250"/>
      <c r="BA288" s="250"/>
      <c r="BB288" s="251">
        <f t="shared" si="194"/>
        <v>0</v>
      </c>
      <c r="BC288" s="169"/>
      <c r="BD288" s="169"/>
      <c r="BE288" s="169"/>
      <c r="BF288" s="169"/>
    </row>
    <row r="289" spans="1:54" ht="61.9" customHeight="1" x14ac:dyDescent="0.25">
      <c r="A289" s="167"/>
      <c r="B289" s="168"/>
      <c r="C289" s="204"/>
      <c r="D289" s="212" t="s">
        <v>388</v>
      </c>
      <c r="E289" s="212" t="s">
        <v>359</v>
      </c>
      <c r="F289" s="212">
        <v>2021</v>
      </c>
      <c r="G289" s="212">
        <v>2023</v>
      </c>
      <c r="H289" s="182" t="s">
        <v>360</v>
      </c>
      <c r="I289" s="273"/>
      <c r="J289" s="273"/>
      <c r="K289" s="273"/>
      <c r="L289" s="175">
        <f>SUM(L285:L288)</f>
        <v>0</v>
      </c>
      <c r="M289" s="175">
        <f>SUM(M285:M288)</f>
        <v>0</v>
      </c>
      <c r="N289" s="273"/>
      <c r="O289" s="273"/>
      <c r="P289" s="273"/>
      <c r="Q289" s="273"/>
      <c r="R289" s="175">
        <f>SUM(R285:R288)</f>
        <v>0</v>
      </c>
      <c r="S289" s="175">
        <f>SUM(S285:S288)</f>
        <v>0</v>
      </c>
      <c r="T289" s="175">
        <f>SUM(T285:T288)</f>
        <v>0</v>
      </c>
      <c r="U289" s="175">
        <f>SUM(U285:U288)</f>
        <v>0</v>
      </c>
      <c r="V289" s="273"/>
      <c r="W289" s="273"/>
      <c r="X289" s="273"/>
      <c r="Y289" s="175">
        <f>SUM(Y285:Y288)</f>
        <v>0</v>
      </c>
      <c r="Z289" s="175"/>
      <c r="AA289" s="273"/>
      <c r="AB289" s="175">
        <f>SUM(AB285:AB288)</f>
        <v>0</v>
      </c>
      <c r="AC289" s="175">
        <f>SUM(AC285:AC287)</f>
        <v>0</v>
      </c>
      <c r="AD289" s="175">
        <f>SUM(AD285:AD287)</f>
        <v>0</v>
      </c>
      <c r="AE289" s="175">
        <f>SUM(AE285:AE288)</f>
        <v>0</v>
      </c>
      <c r="AF289" s="175">
        <f>SUM(AF285:AF288)</f>
        <v>0</v>
      </c>
      <c r="AG289" s="273"/>
      <c r="AH289" s="273"/>
      <c r="AI289" s="273"/>
      <c r="AJ289" s="175">
        <f>SUM(AJ285:AJ288)</f>
        <v>0</v>
      </c>
      <c r="AK289" s="175">
        <f>SUM(AK285:AK288)</f>
        <v>0</v>
      </c>
      <c r="AL289" s="175">
        <f>SUM(AL285:AL288)</f>
        <v>0</v>
      </c>
      <c r="AM289" s="175">
        <f>SUM(AM285:AM288)</f>
        <v>0</v>
      </c>
      <c r="AN289" s="175">
        <f>SUM(AN285:AN288)</f>
        <v>0</v>
      </c>
      <c r="AO289" s="274"/>
      <c r="AP289" s="254"/>
      <c r="AQ289" s="175">
        <f t="shared" ref="AQ289:AT289" si="195">SUM(AQ285:AQ288)</f>
        <v>0</v>
      </c>
      <c r="AR289" s="175">
        <f t="shared" si="195"/>
        <v>0</v>
      </c>
      <c r="AS289" s="175">
        <f t="shared" si="195"/>
        <v>0</v>
      </c>
      <c r="AT289" s="175">
        <f t="shared" si="195"/>
        <v>0</v>
      </c>
      <c r="AU289" s="175">
        <f t="shared" ref="AU289:BB289" si="196">SUM(AU285:AU288)</f>
        <v>0</v>
      </c>
      <c r="AV289" s="175">
        <f t="shared" si="196"/>
        <v>0</v>
      </c>
      <c r="AW289" s="175">
        <f t="shared" si="196"/>
        <v>0</v>
      </c>
      <c r="AX289" s="175">
        <f t="shared" si="196"/>
        <v>0</v>
      </c>
      <c r="AY289" s="175">
        <f t="shared" si="196"/>
        <v>0</v>
      </c>
      <c r="AZ289" s="175">
        <f t="shared" si="196"/>
        <v>0</v>
      </c>
      <c r="BA289" s="175">
        <f t="shared" si="196"/>
        <v>0</v>
      </c>
      <c r="BB289" s="175">
        <f t="shared" si="196"/>
        <v>0</v>
      </c>
    </row>
    <row r="292" spans="1:54" ht="61.9" customHeight="1" x14ac:dyDescent="0.25">
      <c r="AQ292" s="239">
        <f>AQ5+AQ78+AQ150+AQ197+AQ244</f>
        <v>16407339640.667141</v>
      </c>
      <c r="AR292" s="239">
        <f t="shared" ref="AR292:BB292" si="197">AR5+AR78+AR150+AR197+AR244</f>
        <v>36015150248.600006</v>
      </c>
      <c r="AS292" s="239">
        <f t="shared" si="197"/>
        <v>0</v>
      </c>
      <c r="AT292" s="239">
        <f t="shared" si="197"/>
        <v>52422489889.267143</v>
      </c>
      <c r="AU292" s="239">
        <f t="shared" si="197"/>
        <v>49680326489.522858</v>
      </c>
      <c r="AV292" s="239">
        <f t="shared" si="197"/>
        <v>0</v>
      </c>
      <c r="AW292" s="239">
        <f t="shared" si="197"/>
        <v>0</v>
      </c>
      <c r="AX292" s="239">
        <f t="shared" si="197"/>
        <v>0</v>
      </c>
      <c r="AY292" s="239">
        <f t="shared" si="197"/>
        <v>2346000</v>
      </c>
      <c r="AZ292" s="239">
        <f t="shared" si="197"/>
        <v>0</v>
      </c>
      <c r="BA292" s="239">
        <f t="shared" si="197"/>
        <v>0</v>
      </c>
      <c r="BB292" s="239">
        <f t="shared" si="197"/>
        <v>-2739817399.7442856</v>
      </c>
    </row>
  </sheetData>
  <mergeCells count="38">
    <mergeCell ref="C277:E277"/>
    <mergeCell ref="C284:E284"/>
    <mergeCell ref="B244:E244"/>
    <mergeCell ref="C245:E245"/>
    <mergeCell ref="C259:E259"/>
    <mergeCell ref="C269:E269"/>
    <mergeCell ref="C232:E232"/>
    <mergeCell ref="C238:E238"/>
    <mergeCell ref="AQ2:BB2"/>
    <mergeCell ref="B3:E3"/>
    <mergeCell ref="B5:E5"/>
    <mergeCell ref="C6:E6"/>
    <mergeCell ref="C40:E40"/>
    <mergeCell ref="C45:E45"/>
    <mergeCell ref="C163:E163"/>
    <mergeCell ref="C79:E79"/>
    <mergeCell ref="C213:E213"/>
    <mergeCell ref="C182:E182"/>
    <mergeCell ref="B197:E197"/>
    <mergeCell ref="C198:E198"/>
    <mergeCell ref="C221:E221"/>
    <mergeCell ref="C226:E226"/>
    <mergeCell ref="B150:E150"/>
    <mergeCell ref="C151:E151"/>
    <mergeCell ref="B1:L1"/>
    <mergeCell ref="B2:E2"/>
    <mergeCell ref="C16:E16"/>
    <mergeCell ref="C20:E20"/>
    <mergeCell ref="C140:E140"/>
    <mergeCell ref="C93:E93"/>
    <mergeCell ref="C100:E100"/>
    <mergeCell ref="C106:E106"/>
    <mergeCell ref="C61:E61"/>
    <mergeCell ref="C111:E111"/>
    <mergeCell ref="C118:E118"/>
    <mergeCell ref="C123:E123"/>
    <mergeCell ref="C134:E134"/>
    <mergeCell ref="B78:E78"/>
  </mergeCells>
  <conditionalFormatting sqref="BB203 BB220:BB221 BB235:BB243 BB231:BB233 BB212:BB213 BB225:BB226">
    <cfRule type="cellIs" dxfId="16999" priority="8049" operator="lessThan">
      <formula>0</formula>
    </cfRule>
    <cfRule type="cellIs" dxfId="16998" priority="8050" operator="lessThan">
      <formula>-105575</formula>
    </cfRule>
  </conditionalFormatting>
  <conditionalFormatting sqref="BB220 BB212:BB213 BB235:BB238 BB240:BB243 BB225:BB226 BB231:BB233">
    <cfRule type="cellIs" dxfId="16997" priority="8047" operator="lessThan">
      <formula>0</formula>
    </cfRule>
    <cfRule type="cellIs" dxfId="16996" priority="8048" operator="lessThan">
      <formula>-105575</formula>
    </cfRule>
  </conditionalFormatting>
  <conditionalFormatting sqref="BB220:BB221 BB243 BB226 BB231:BB236 BB238:BB241 BB203 BB213">
    <cfRule type="cellIs" dxfId="16995" priority="8045" operator="lessThan">
      <formula>0</formula>
    </cfRule>
    <cfRule type="cellIs" dxfId="16994" priority="8046" operator="lessThan">
      <formula>-105575</formula>
    </cfRule>
  </conditionalFormatting>
  <conditionalFormatting sqref="BB235:BB243 BB231:BB233 BB220 BB212:BB213 BB225:BB226">
    <cfRule type="cellIs" dxfId="16993" priority="8043" operator="lessThan">
      <formula>0</formula>
    </cfRule>
    <cfRule type="cellIs" dxfId="16992" priority="8044" operator="lessThan">
      <formula>-105575</formula>
    </cfRule>
  </conditionalFormatting>
  <conditionalFormatting sqref="BB220:BB221 BB237:BB243 BB203 BB231:BB235 BB212:BB213 BB225:BB226">
    <cfRule type="cellIs" dxfId="16991" priority="8041" operator="lessThan">
      <formula>0</formula>
    </cfRule>
    <cfRule type="cellIs" dxfId="16990" priority="8042" operator="lessThan">
      <formula>-105575</formula>
    </cfRule>
  </conditionalFormatting>
  <conditionalFormatting sqref="BB220:BB221 BB237:BB240 BB242:BB243 BB225:BB226 BB231:BB235">
    <cfRule type="cellIs" dxfId="16989" priority="8039" operator="lessThan">
      <formula>0</formula>
    </cfRule>
    <cfRule type="cellIs" dxfId="16988" priority="8040" operator="lessThan">
      <formula>-105575</formula>
    </cfRule>
  </conditionalFormatting>
  <conditionalFormatting sqref="BB212 BB231 BB233:BB238 BB240:BB243 BB225">
    <cfRule type="cellIs" dxfId="16987" priority="8037" operator="lessThan">
      <formula>0</formula>
    </cfRule>
    <cfRule type="cellIs" dxfId="16986" priority="8038" operator="lessThan">
      <formula>-105575</formula>
    </cfRule>
  </conditionalFormatting>
  <conditionalFormatting sqref="BB237:BB243 BB231:BB235 BB220:BB221 BB225:BB226">
    <cfRule type="cellIs" dxfId="16985" priority="8035" operator="lessThan">
      <formula>0</formula>
    </cfRule>
    <cfRule type="cellIs" dxfId="16984" priority="8036" operator="lessThan">
      <formula>-105575</formula>
    </cfRule>
  </conditionalFormatting>
  <conditionalFormatting sqref="BB233:BB237 BB231 BB239:BB243">
    <cfRule type="cellIs" dxfId="16983" priority="8033" operator="lessThan">
      <formula>0</formula>
    </cfRule>
    <cfRule type="cellIs" dxfId="16982" priority="8034" operator="lessThan">
      <formula>-105575</formula>
    </cfRule>
  </conditionalFormatting>
  <conditionalFormatting sqref="BB233:BB237 BB231 BB239:BB243">
    <cfRule type="cellIs" dxfId="16981" priority="8031" operator="lessThan">
      <formula>0</formula>
    </cfRule>
    <cfRule type="cellIs" dxfId="16980" priority="8032" operator="lessThan">
      <formula>-105575</formula>
    </cfRule>
  </conditionalFormatting>
  <conditionalFormatting sqref="BB119:BB128 BB106:BB117 BB101:BB104 BB80:BB98">
    <cfRule type="cellIs" dxfId="16979" priority="8029" operator="lessThan">
      <formula>0</formula>
    </cfRule>
    <cfRule type="cellIs" dxfId="16978" priority="8030" operator="lessThan">
      <formula>-105575</formula>
    </cfRule>
  </conditionalFormatting>
  <conditionalFormatting sqref="BB130 BB132 BB134">
    <cfRule type="cellIs" dxfId="16977" priority="8027" operator="lessThan">
      <formula>0</formula>
    </cfRule>
    <cfRule type="cellIs" dxfId="16976" priority="8028" operator="lessThan">
      <formula>-105575</formula>
    </cfRule>
  </conditionalFormatting>
  <conditionalFormatting sqref="BB130 BB132 BB134">
    <cfRule type="cellIs" dxfId="16975" priority="8025" operator="lessThan">
      <formula>0</formula>
    </cfRule>
    <cfRule type="cellIs" dxfId="16974" priority="8026" operator="lessThan">
      <formula>-105575</formula>
    </cfRule>
  </conditionalFormatting>
  <conditionalFormatting sqref="BB129 BB131 BB133 BB135">
    <cfRule type="cellIs" dxfId="16973" priority="8023" operator="lessThan">
      <formula>0</formula>
    </cfRule>
    <cfRule type="cellIs" dxfId="16972" priority="8024" operator="lessThan">
      <formula>-105575</formula>
    </cfRule>
  </conditionalFormatting>
  <conditionalFormatting sqref="BB140 BB145 BB142:BB143 BB137:BB138">
    <cfRule type="cellIs" dxfId="16971" priority="8013" operator="lessThan">
      <formula>0</formula>
    </cfRule>
    <cfRule type="cellIs" dxfId="16970" priority="8014" operator="lessThan">
      <formula>-105575</formula>
    </cfRule>
  </conditionalFormatting>
  <conditionalFormatting sqref="BB149">
    <cfRule type="cellIs" dxfId="16969" priority="8009" operator="lessThan">
      <formula>0</formula>
    </cfRule>
    <cfRule type="cellIs" dxfId="16968" priority="8010" operator="lessThan">
      <formula>-105575</formula>
    </cfRule>
  </conditionalFormatting>
  <conditionalFormatting sqref="BB129:BB138 BB140:BB149">
    <cfRule type="cellIs" dxfId="16967" priority="8007" operator="lessThan">
      <formula>0</formula>
    </cfRule>
    <cfRule type="cellIs" dxfId="16966" priority="8008" operator="lessThan">
      <formula>-105575</formula>
    </cfRule>
  </conditionalFormatting>
  <conditionalFormatting sqref="BB94:BB98 BB86:BB87 BB89:BB91 BB141:BB149 BB124:BB133 BB107:BB110 BB112:BB117 BB119:BB122 BB135:BB138 BB101:BB104 BB80:BB84">
    <cfRule type="cellIs" dxfId="16965" priority="8003" operator="lessThan">
      <formula>0</formula>
    </cfRule>
    <cfRule type="cellIs" dxfId="16964" priority="8004" operator="lessThan">
      <formula>-105575</formula>
    </cfRule>
  </conditionalFormatting>
  <conditionalFormatting sqref="BB129 BB131 BB133 BB135">
    <cfRule type="cellIs" dxfId="16963" priority="8021" operator="lessThan">
      <formula>0</formula>
    </cfRule>
    <cfRule type="cellIs" dxfId="16962" priority="8022" operator="lessThan">
      <formula>-105575</formula>
    </cfRule>
  </conditionalFormatting>
  <conditionalFormatting sqref="BB146 BB144 BB141">
    <cfRule type="cellIs" dxfId="16961" priority="8019" operator="lessThan">
      <formula>0</formula>
    </cfRule>
    <cfRule type="cellIs" dxfId="16960" priority="8020" operator="lessThan">
      <formula>-105575</formula>
    </cfRule>
  </conditionalFormatting>
  <conditionalFormatting sqref="BB146 BB144 BB141">
    <cfRule type="cellIs" dxfId="16959" priority="8017" operator="lessThan">
      <formula>0</formula>
    </cfRule>
    <cfRule type="cellIs" dxfId="16958" priority="8018" operator="lessThan">
      <formula>-105575</formula>
    </cfRule>
  </conditionalFormatting>
  <conditionalFormatting sqref="BB140 BB145 BB142:BB143 BB137:BB138">
    <cfRule type="cellIs" dxfId="16957" priority="8015" operator="lessThan">
      <formula>0</formula>
    </cfRule>
    <cfRule type="cellIs" dxfId="16956" priority="8016" operator="lessThan">
      <formula>-105575</formula>
    </cfRule>
  </conditionalFormatting>
  <conditionalFormatting sqref="BB149">
    <cfRule type="cellIs" dxfId="16955" priority="8011" operator="lessThan">
      <formula>0</formula>
    </cfRule>
    <cfRule type="cellIs" dxfId="16954" priority="8012" operator="lessThan">
      <formula>-105575</formula>
    </cfRule>
  </conditionalFormatting>
  <conditionalFormatting sqref="BB94:BB98 BB86:BB87 BB89:BB91 BB141:BB149 BB124:BB133 BB107:BB110 BB112:BB117 BB119:BB122 BB135:BB138 BB101:BB104 BB80:BB84">
    <cfRule type="cellIs" dxfId="16953" priority="8005" operator="lessThan">
      <formula>0</formula>
    </cfRule>
    <cfRule type="cellIs" dxfId="16952" priority="8006" operator="lessThan">
      <formula>-105575</formula>
    </cfRule>
  </conditionalFormatting>
  <conditionalFormatting sqref="BB246:BB249 BB262 BB267 BB279:BB282 BB285:BB288 BB274:BB275 BB306:BB309 BB311:BB325 BB327:BB330 BB332:BB341 BB344:BB347 BB349:BB353 BB355:BB358 BB360:BB384 BB386:BB389 BB392:BB395 BB397:BB411 BB413:BB416 BB418:BB432 BB434:BB437 BB439:BB453 BB455:BB458 BB460:BB469 BB7:BB10 BB12:BB14 BB17:BB18 BB21:BB24 BB26:BB28 BB30:BB36 BB38 BB41:BB43 BB46:BB49 BB51:BB55 BB57:BB59 BB62:BB76 BB251:BB253 BB255:BB257 BB293:BB304 BB264:BB265 BB260 BB290:BB291 BB270:BB272">
    <cfRule type="cellIs" dxfId="16951" priority="8053" operator="lessThan">
      <formula>0</formula>
    </cfRule>
    <cfRule type="cellIs" dxfId="16950" priority="8054" operator="lessThan">
      <formula>-105575</formula>
    </cfRule>
  </conditionalFormatting>
  <conditionalFormatting sqref="BB41">
    <cfRule type="cellIs" dxfId="16949" priority="8051" operator="lessThan">
      <formula>0</formula>
    </cfRule>
    <cfRule type="cellIs" dxfId="16948" priority="8052" operator="lessThan">
      <formula>-105575</formula>
    </cfRule>
  </conditionalFormatting>
  <conditionalFormatting sqref="BB152:BB155">
    <cfRule type="cellIs" dxfId="16947" priority="8001" operator="lessThan">
      <formula>0</formula>
    </cfRule>
    <cfRule type="cellIs" dxfId="16946" priority="8002" operator="lessThan">
      <formula>-105575</formula>
    </cfRule>
  </conditionalFormatting>
  <conditionalFormatting sqref="BB152:BB155">
    <cfRule type="cellIs" dxfId="16945" priority="7997" operator="lessThan">
      <formula>0</formula>
    </cfRule>
    <cfRule type="cellIs" dxfId="16944" priority="7998" operator="lessThan">
      <formula>-105575</formula>
    </cfRule>
  </conditionalFormatting>
  <conditionalFormatting sqref="BB152:BB155">
    <cfRule type="cellIs" dxfId="16943" priority="7999" operator="lessThan">
      <formula>0</formula>
    </cfRule>
    <cfRule type="cellIs" dxfId="16942" priority="8000" operator="lessThan">
      <formula>-105575</formula>
    </cfRule>
  </conditionalFormatting>
  <conditionalFormatting sqref="BB157:BB158">
    <cfRule type="cellIs" dxfId="16941" priority="7995" operator="lessThan">
      <formula>0</formula>
    </cfRule>
    <cfRule type="cellIs" dxfId="16940" priority="7996" operator="lessThan">
      <formula>-105575</formula>
    </cfRule>
  </conditionalFormatting>
  <conditionalFormatting sqref="BB157:BB158">
    <cfRule type="cellIs" dxfId="16939" priority="7991" operator="lessThan">
      <formula>0</formula>
    </cfRule>
    <cfRule type="cellIs" dxfId="16938" priority="7992" operator="lessThan">
      <formula>-105575</formula>
    </cfRule>
  </conditionalFormatting>
  <conditionalFormatting sqref="BB157:BB158">
    <cfRule type="cellIs" dxfId="16937" priority="7993" operator="lessThan">
      <formula>0</formula>
    </cfRule>
    <cfRule type="cellIs" dxfId="16936" priority="7994" operator="lessThan">
      <formula>-105575</formula>
    </cfRule>
  </conditionalFormatting>
  <conditionalFormatting sqref="BB160:BB161">
    <cfRule type="cellIs" dxfId="16935" priority="7989" operator="lessThan">
      <formula>0</formula>
    </cfRule>
    <cfRule type="cellIs" dxfId="16934" priority="7990" operator="lessThan">
      <formula>-105575</formula>
    </cfRule>
  </conditionalFormatting>
  <conditionalFormatting sqref="BB160:BB161">
    <cfRule type="cellIs" dxfId="16933" priority="7985" operator="lessThan">
      <formula>0</formula>
    </cfRule>
    <cfRule type="cellIs" dxfId="16932" priority="7986" operator="lessThan">
      <formula>-105575</formula>
    </cfRule>
  </conditionalFormatting>
  <conditionalFormatting sqref="BB160:BB161">
    <cfRule type="cellIs" dxfId="16931" priority="7987" operator="lessThan">
      <formula>0</formula>
    </cfRule>
    <cfRule type="cellIs" dxfId="16930" priority="7988" operator="lessThan">
      <formula>-105575</formula>
    </cfRule>
  </conditionalFormatting>
  <conditionalFormatting sqref="BB164:BB167">
    <cfRule type="cellIs" dxfId="16929" priority="7983" operator="lessThan">
      <formula>0</formula>
    </cfRule>
    <cfRule type="cellIs" dxfId="16928" priority="7984" operator="lessThan">
      <formula>-105575</formula>
    </cfRule>
  </conditionalFormatting>
  <conditionalFormatting sqref="BB164:BB167">
    <cfRule type="cellIs" dxfId="16927" priority="7979" operator="lessThan">
      <formula>0</formula>
    </cfRule>
    <cfRule type="cellIs" dxfId="16926" priority="7980" operator="lessThan">
      <formula>-105575</formula>
    </cfRule>
  </conditionalFormatting>
  <conditionalFormatting sqref="BB164:BB167">
    <cfRule type="cellIs" dxfId="16925" priority="7981" operator="lessThan">
      <formula>0</formula>
    </cfRule>
    <cfRule type="cellIs" dxfId="16924" priority="7982" operator="lessThan">
      <formula>-105575</formula>
    </cfRule>
  </conditionalFormatting>
  <conditionalFormatting sqref="BB169:BB177">
    <cfRule type="cellIs" dxfId="16923" priority="7977" operator="lessThan">
      <formula>0</formula>
    </cfRule>
    <cfRule type="cellIs" dxfId="16922" priority="7978" operator="lessThan">
      <formula>-105575</formula>
    </cfRule>
  </conditionalFormatting>
  <conditionalFormatting sqref="BB169:BB177">
    <cfRule type="cellIs" dxfId="16921" priority="7973" operator="lessThan">
      <formula>0</formula>
    </cfRule>
    <cfRule type="cellIs" dxfId="16920" priority="7974" operator="lessThan">
      <formula>-105575</formula>
    </cfRule>
  </conditionalFormatting>
  <conditionalFormatting sqref="BB169:BB177">
    <cfRule type="cellIs" dxfId="16919" priority="7975" operator="lessThan">
      <formula>0</formula>
    </cfRule>
    <cfRule type="cellIs" dxfId="16918" priority="7976" operator="lessThan">
      <formula>-105575</formula>
    </cfRule>
  </conditionalFormatting>
  <conditionalFormatting sqref="BB179:BB180">
    <cfRule type="cellIs" dxfId="16917" priority="7971" operator="lessThan">
      <formula>0</formula>
    </cfRule>
    <cfRule type="cellIs" dxfId="16916" priority="7972" operator="lessThan">
      <formula>-105575</formula>
    </cfRule>
  </conditionalFormatting>
  <conditionalFormatting sqref="BB179:BB180">
    <cfRule type="cellIs" dxfId="16915" priority="7967" operator="lessThan">
      <formula>0</formula>
    </cfRule>
    <cfRule type="cellIs" dxfId="16914" priority="7968" operator="lessThan">
      <formula>-105575</formula>
    </cfRule>
  </conditionalFormatting>
  <conditionalFormatting sqref="BB179:BB180">
    <cfRule type="cellIs" dxfId="16913" priority="7969" operator="lessThan">
      <formula>0</formula>
    </cfRule>
    <cfRule type="cellIs" dxfId="16912" priority="7970" operator="lessThan">
      <formula>-105575</formula>
    </cfRule>
  </conditionalFormatting>
  <conditionalFormatting sqref="BB183:BB189">
    <cfRule type="cellIs" dxfId="16911" priority="7965" operator="lessThan">
      <formula>0</formula>
    </cfRule>
    <cfRule type="cellIs" dxfId="16910" priority="7966" operator="lessThan">
      <formula>-105575</formula>
    </cfRule>
  </conditionalFormatting>
  <conditionalFormatting sqref="BB183:BB189">
    <cfRule type="cellIs" dxfId="16909" priority="7961" operator="lessThan">
      <formula>0</formula>
    </cfRule>
    <cfRule type="cellIs" dxfId="16908" priority="7962" operator="lessThan">
      <formula>-105575</formula>
    </cfRule>
  </conditionalFormatting>
  <conditionalFormatting sqref="BB183:BB189">
    <cfRule type="cellIs" dxfId="16907" priority="7963" operator="lessThan">
      <formula>0</formula>
    </cfRule>
    <cfRule type="cellIs" dxfId="16906" priority="7964" operator="lessThan">
      <formula>-105575</formula>
    </cfRule>
  </conditionalFormatting>
  <conditionalFormatting sqref="BB191:BB192">
    <cfRule type="cellIs" dxfId="16905" priority="7959" operator="lessThan">
      <formula>0</formula>
    </cfRule>
    <cfRule type="cellIs" dxfId="16904" priority="7960" operator="lessThan">
      <formula>-105575</formula>
    </cfRule>
  </conditionalFormatting>
  <conditionalFormatting sqref="BB191:BB192">
    <cfRule type="cellIs" dxfId="16903" priority="7955" operator="lessThan">
      <formula>0</formula>
    </cfRule>
    <cfRule type="cellIs" dxfId="16902" priority="7956" operator="lessThan">
      <formula>-105575</formula>
    </cfRule>
  </conditionalFormatting>
  <conditionalFormatting sqref="BB191:BB192">
    <cfRule type="cellIs" dxfId="16901" priority="7957" operator="lessThan">
      <formula>0</formula>
    </cfRule>
    <cfRule type="cellIs" dxfId="16900" priority="7958" operator="lessThan">
      <formula>-105575</formula>
    </cfRule>
  </conditionalFormatting>
  <conditionalFormatting sqref="BB194:BB195">
    <cfRule type="cellIs" dxfId="16899" priority="7953" operator="lessThan">
      <formula>0</formula>
    </cfRule>
    <cfRule type="cellIs" dxfId="16898" priority="7954" operator="lessThan">
      <formula>-105575</formula>
    </cfRule>
  </conditionalFormatting>
  <conditionalFormatting sqref="BB194:BB195">
    <cfRule type="cellIs" dxfId="16897" priority="7949" operator="lessThan">
      <formula>0</formula>
    </cfRule>
    <cfRule type="cellIs" dxfId="16896" priority="7950" operator="lessThan">
      <formula>-105575</formula>
    </cfRule>
  </conditionalFormatting>
  <conditionalFormatting sqref="BB194:BB195">
    <cfRule type="cellIs" dxfId="16895" priority="7951" operator="lessThan">
      <formula>0</formula>
    </cfRule>
    <cfRule type="cellIs" dxfId="16894" priority="7952" operator="lessThan">
      <formula>-105575</formula>
    </cfRule>
  </conditionalFormatting>
  <conditionalFormatting sqref="BB199:BB202">
    <cfRule type="cellIs" dxfId="16893" priority="7947" operator="lessThan">
      <formula>0</formula>
    </cfRule>
    <cfRule type="cellIs" dxfId="16892" priority="7948" operator="lessThan">
      <formula>-105575</formula>
    </cfRule>
  </conditionalFormatting>
  <conditionalFormatting sqref="BB199:BB202">
    <cfRule type="cellIs" dxfId="16891" priority="7943" operator="lessThan">
      <formula>0</formula>
    </cfRule>
    <cfRule type="cellIs" dxfId="16890" priority="7944" operator="lessThan">
      <formula>-105575</formula>
    </cfRule>
  </conditionalFormatting>
  <conditionalFormatting sqref="BB199:BB202">
    <cfRule type="cellIs" dxfId="16889" priority="7945" operator="lessThan">
      <formula>0</formula>
    </cfRule>
    <cfRule type="cellIs" dxfId="16888" priority="7946" operator="lessThan">
      <formula>-105575</formula>
    </cfRule>
  </conditionalFormatting>
  <conditionalFormatting sqref="BB204:BB208">
    <cfRule type="cellIs" dxfId="16887" priority="7941" operator="lessThan">
      <formula>0</formula>
    </cfRule>
    <cfRule type="cellIs" dxfId="16886" priority="7942" operator="lessThan">
      <formula>-105575</formula>
    </cfRule>
  </conditionalFormatting>
  <conditionalFormatting sqref="BB204:BB208">
    <cfRule type="cellIs" dxfId="16885" priority="7937" operator="lessThan">
      <formula>0</formula>
    </cfRule>
    <cfRule type="cellIs" dxfId="16884" priority="7938" operator="lessThan">
      <formula>-105575</formula>
    </cfRule>
  </conditionalFormatting>
  <conditionalFormatting sqref="BB204:BB208">
    <cfRule type="cellIs" dxfId="16883" priority="7939" operator="lessThan">
      <formula>0</formula>
    </cfRule>
    <cfRule type="cellIs" dxfId="16882" priority="7940" operator="lessThan">
      <formula>-105575</formula>
    </cfRule>
  </conditionalFormatting>
  <conditionalFormatting sqref="BB210:BB211">
    <cfRule type="cellIs" dxfId="16881" priority="7935" operator="lessThan">
      <formula>0</formula>
    </cfRule>
    <cfRule type="cellIs" dxfId="16880" priority="7936" operator="lessThan">
      <formula>-105575</formula>
    </cfRule>
  </conditionalFormatting>
  <conditionalFormatting sqref="BB210:BB211">
    <cfRule type="cellIs" dxfId="16879" priority="7931" operator="lessThan">
      <formula>0</formula>
    </cfRule>
    <cfRule type="cellIs" dxfId="16878" priority="7932" operator="lessThan">
      <formula>-105575</formula>
    </cfRule>
  </conditionalFormatting>
  <conditionalFormatting sqref="BB210:BB211">
    <cfRule type="cellIs" dxfId="16877" priority="7933" operator="lessThan">
      <formula>0</formula>
    </cfRule>
    <cfRule type="cellIs" dxfId="16876" priority="7934" operator="lessThan">
      <formula>-105575</formula>
    </cfRule>
  </conditionalFormatting>
  <conditionalFormatting sqref="BB214:BB219">
    <cfRule type="cellIs" dxfId="16875" priority="7929" operator="lessThan">
      <formula>0</formula>
    </cfRule>
    <cfRule type="cellIs" dxfId="16874" priority="7930" operator="lessThan">
      <formula>-105575</formula>
    </cfRule>
  </conditionalFormatting>
  <conditionalFormatting sqref="BB214:BB219">
    <cfRule type="cellIs" dxfId="16873" priority="7925" operator="lessThan">
      <formula>0</formula>
    </cfRule>
    <cfRule type="cellIs" dxfId="16872" priority="7926" operator="lessThan">
      <formula>-105575</formula>
    </cfRule>
  </conditionalFormatting>
  <conditionalFormatting sqref="BB214:BB219">
    <cfRule type="cellIs" dxfId="16871" priority="7927" operator="lessThan">
      <formula>0</formula>
    </cfRule>
    <cfRule type="cellIs" dxfId="16870" priority="7928" operator="lessThan">
      <formula>-105575</formula>
    </cfRule>
  </conditionalFormatting>
  <conditionalFormatting sqref="BB222:BB224">
    <cfRule type="cellIs" dxfId="16869" priority="7923" operator="lessThan">
      <formula>0</formula>
    </cfRule>
    <cfRule type="cellIs" dxfId="16868" priority="7924" operator="lessThan">
      <formula>-105575</formula>
    </cfRule>
  </conditionalFormatting>
  <conditionalFormatting sqref="BB222:BB224">
    <cfRule type="cellIs" dxfId="16867" priority="7919" operator="lessThan">
      <formula>0</formula>
    </cfRule>
    <cfRule type="cellIs" dxfId="16866" priority="7920" operator="lessThan">
      <formula>-105575</formula>
    </cfRule>
  </conditionalFormatting>
  <conditionalFormatting sqref="BB222:BB224">
    <cfRule type="cellIs" dxfId="16865" priority="7921" operator="lessThan">
      <formula>0</formula>
    </cfRule>
    <cfRule type="cellIs" dxfId="16864" priority="7922" operator="lessThan">
      <formula>-105575</formula>
    </cfRule>
  </conditionalFormatting>
  <conditionalFormatting sqref="BB227:BB230">
    <cfRule type="cellIs" dxfId="16863" priority="7917" operator="lessThan">
      <formula>0</formula>
    </cfRule>
    <cfRule type="cellIs" dxfId="16862" priority="7918" operator="lessThan">
      <formula>-105575</formula>
    </cfRule>
  </conditionalFormatting>
  <conditionalFormatting sqref="BB227:BB230">
    <cfRule type="cellIs" dxfId="16861" priority="7913" operator="lessThan">
      <formula>0</formula>
    </cfRule>
    <cfRule type="cellIs" dxfId="16860" priority="7914" operator="lessThan">
      <formula>-105575</formula>
    </cfRule>
  </conditionalFormatting>
  <conditionalFormatting sqref="BB227:BB230">
    <cfRule type="cellIs" dxfId="16859" priority="7915" operator="lessThan">
      <formula>0</formula>
    </cfRule>
    <cfRule type="cellIs" dxfId="16858" priority="7916" operator="lessThan">
      <formula>-105575</formula>
    </cfRule>
  </conditionalFormatting>
  <conditionalFormatting sqref="BB203 BB220:BB221 BB235:BB243 BB231:BB233 BB212:BB213 BB225:BB226">
    <cfRule type="cellIs" dxfId="16857" priority="7911" operator="lessThan">
      <formula>0</formula>
    </cfRule>
    <cfRule type="cellIs" dxfId="16856" priority="7912" operator="lessThan">
      <formula>-105575</formula>
    </cfRule>
  </conditionalFormatting>
  <conditionalFormatting sqref="BB220 BB212:BB213 BB235:BB238 BB240:BB243 BB225:BB226 BB231:BB233">
    <cfRule type="cellIs" dxfId="16855" priority="7909" operator="lessThan">
      <formula>0</formula>
    </cfRule>
    <cfRule type="cellIs" dxfId="16854" priority="7910" operator="lessThan">
      <formula>-105575</formula>
    </cfRule>
  </conditionalFormatting>
  <conditionalFormatting sqref="BB220:BB221 BB243 BB226 BB231:BB236 BB238:BB241 BB203 BB213">
    <cfRule type="cellIs" dxfId="16853" priority="7907" operator="lessThan">
      <formula>0</formula>
    </cfRule>
    <cfRule type="cellIs" dxfId="16852" priority="7908" operator="lessThan">
      <formula>-105575</formula>
    </cfRule>
  </conditionalFormatting>
  <conditionalFormatting sqref="BB235:BB243 BB231:BB233 BB220 BB212:BB213 BB225:BB226">
    <cfRule type="cellIs" dxfId="16851" priority="7905" operator="lessThan">
      <formula>0</formula>
    </cfRule>
    <cfRule type="cellIs" dxfId="16850" priority="7906" operator="lessThan">
      <formula>-105575</formula>
    </cfRule>
  </conditionalFormatting>
  <conditionalFormatting sqref="BB220:BB221 BB237:BB243 BB203 BB231:BB235 BB212:BB213 BB225:BB226">
    <cfRule type="cellIs" dxfId="16849" priority="7903" operator="lessThan">
      <formula>0</formula>
    </cfRule>
    <cfRule type="cellIs" dxfId="16848" priority="7904" operator="lessThan">
      <formula>-105575</formula>
    </cfRule>
  </conditionalFormatting>
  <conditionalFormatting sqref="BB220:BB221 BB237:BB240 BB242:BB243 BB225:BB226 BB231:BB235">
    <cfRule type="cellIs" dxfId="16847" priority="7901" operator="lessThan">
      <formula>0</formula>
    </cfRule>
    <cfRule type="cellIs" dxfId="16846" priority="7902" operator="lessThan">
      <formula>-105575</formula>
    </cfRule>
  </conditionalFormatting>
  <conditionalFormatting sqref="BB212 BB231 BB233:BB238 BB240:BB243 BB225">
    <cfRule type="cellIs" dxfId="16845" priority="7899" operator="lessThan">
      <formula>0</formula>
    </cfRule>
    <cfRule type="cellIs" dxfId="16844" priority="7900" operator="lessThan">
      <formula>-105575</formula>
    </cfRule>
  </conditionalFormatting>
  <conditionalFormatting sqref="BB237:BB243 BB231:BB235 BB220:BB221 BB225:BB226">
    <cfRule type="cellIs" dxfId="16843" priority="7897" operator="lessThan">
      <formula>0</formula>
    </cfRule>
    <cfRule type="cellIs" dxfId="16842" priority="7898" operator="lessThan">
      <formula>-105575</formula>
    </cfRule>
  </conditionalFormatting>
  <conditionalFormatting sqref="BB233:BB237 BB231 BB239:BB243">
    <cfRule type="cellIs" dxfId="16841" priority="7895" operator="lessThan">
      <formula>0</formula>
    </cfRule>
    <cfRule type="cellIs" dxfId="16840" priority="7896" operator="lessThan">
      <formula>-105575</formula>
    </cfRule>
  </conditionalFormatting>
  <conditionalFormatting sqref="BB233:BB237 BB231 BB239:BB243">
    <cfRule type="cellIs" dxfId="16839" priority="7893" operator="lessThan">
      <formula>0</formula>
    </cfRule>
    <cfRule type="cellIs" dxfId="16838" priority="7894" operator="lessThan">
      <formula>-105575</formula>
    </cfRule>
  </conditionalFormatting>
  <conditionalFormatting sqref="BB119:BB128 BB106:BB117 BB101:BB104 BB80:BB98">
    <cfRule type="cellIs" dxfId="16837" priority="7891" operator="lessThan">
      <formula>0</formula>
    </cfRule>
    <cfRule type="cellIs" dxfId="16836" priority="7892" operator="lessThan">
      <formula>-105575</formula>
    </cfRule>
  </conditionalFormatting>
  <conditionalFormatting sqref="BB130 BB132 BB134">
    <cfRule type="cellIs" dxfId="16835" priority="7889" operator="lessThan">
      <formula>0</formula>
    </cfRule>
    <cfRule type="cellIs" dxfId="16834" priority="7890" operator="lessThan">
      <formula>-105575</formula>
    </cfRule>
  </conditionalFormatting>
  <conditionalFormatting sqref="BB130 BB132 BB134">
    <cfRule type="cellIs" dxfId="16833" priority="7887" operator="lessThan">
      <formula>0</formula>
    </cfRule>
    <cfRule type="cellIs" dxfId="16832" priority="7888" operator="lessThan">
      <formula>-105575</formula>
    </cfRule>
  </conditionalFormatting>
  <conditionalFormatting sqref="BB129 BB131 BB133 BB135">
    <cfRule type="cellIs" dxfId="16831" priority="7885" operator="lessThan">
      <formula>0</formula>
    </cfRule>
    <cfRule type="cellIs" dxfId="16830" priority="7886" operator="lessThan">
      <formula>-105575</formula>
    </cfRule>
  </conditionalFormatting>
  <conditionalFormatting sqref="BB140 BB145 BB142:BB143 BB137:BB138">
    <cfRule type="cellIs" dxfId="16829" priority="7883" operator="lessThan">
      <formula>0</formula>
    </cfRule>
    <cfRule type="cellIs" dxfId="16828" priority="7884" operator="lessThan">
      <formula>-105575</formula>
    </cfRule>
  </conditionalFormatting>
  <conditionalFormatting sqref="BB149">
    <cfRule type="cellIs" dxfId="16827" priority="7881" operator="lessThan">
      <formula>0</formula>
    </cfRule>
    <cfRule type="cellIs" dxfId="16826" priority="7882" operator="lessThan">
      <formula>-105575</formula>
    </cfRule>
  </conditionalFormatting>
  <conditionalFormatting sqref="BB129:BB138 BB140:BB149">
    <cfRule type="cellIs" dxfId="16825" priority="7879" operator="lessThan">
      <formula>0</formula>
    </cfRule>
    <cfRule type="cellIs" dxfId="16824" priority="7880" operator="lessThan">
      <formula>-105575</formula>
    </cfRule>
  </conditionalFormatting>
  <conditionalFormatting sqref="BB94:BB98 BB86:BB87 BB89:BB91 BB141:BB149 BB124:BB133 BB107:BB110 BB112:BB117 BB119:BB122 BB135:BB138 BB101:BB104 BB80:BB84">
    <cfRule type="cellIs" dxfId="16823" priority="7877" operator="lessThan">
      <formula>0</formula>
    </cfRule>
    <cfRule type="cellIs" dxfId="16822" priority="7878" operator="lessThan">
      <formula>-105575</formula>
    </cfRule>
  </conditionalFormatting>
  <conditionalFormatting sqref="BB129 BB131 BB133 BB135">
    <cfRule type="cellIs" dxfId="16821" priority="7875" operator="lessThan">
      <formula>0</formula>
    </cfRule>
    <cfRule type="cellIs" dxfId="16820" priority="7876" operator="lessThan">
      <formula>-105575</formula>
    </cfRule>
  </conditionalFormatting>
  <conditionalFormatting sqref="BB146 BB144 BB141">
    <cfRule type="cellIs" dxfId="16819" priority="7873" operator="lessThan">
      <formula>0</formula>
    </cfRule>
    <cfRule type="cellIs" dxfId="16818" priority="7874" operator="lessThan">
      <formula>-105575</formula>
    </cfRule>
  </conditionalFormatting>
  <conditionalFormatting sqref="BB146 BB144 BB141">
    <cfRule type="cellIs" dxfId="16817" priority="7871" operator="lessThan">
      <formula>0</formula>
    </cfRule>
    <cfRule type="cellIs" dxfId="16816" priority="7872" operator="lessThan">
      <formula>-105575</formula>
    </cfRule>
  </conditionalFormatting>
  <conditionalFormatting sqref="BB140 BB145 BB142:BB143 BB137:BB138">
    <cfRule type="cellIs" dxfId="16815" priority="7869" operator="lessThan">
      <formula>0</formula>
    </cfRule>
    <cfRule type="cellIs" dxfId="16814" priority="7870" operator="lessThan">
      <formula>-105575</formula>
    </cfRule>
  </conditionalFormatting>
  <conditionalFormatting sqref="BB149">
    <cfRule type="cellIs" dxfId="16813" priority="7867" operator="lessThan">
      <formula>0</formula>
    </cfRule>
    <cfRule type="cellIs" dxfId="16812" priority="7868" operator="lessThan">
      <formula>-105575</formula>
    </cfRule>
  </conditionalFormatting>
  <conditionalFormatting sqref="BB94:BB98 BB86:BB87 BB89:BB91 BB141:BB149 BB124:BB133 BB107:BB110 BB112:BB117 BB119:BB122 BB135:BB138 BB101:BB104 BB80:BB84">
    <cfRule type="cellIs" dxfId="16811" priority="7865" operator="lessThan">
      <formula>0</formula>
    </cfRule>
    <cfRule type="cellIs" dxfId="16810" priority="7866" operator="lessThan">
      <formula>-105575</formula>
    </cfRule>
  </conditionalFormatting>
  <conditionalFormatting sqref="BB62:BB76 BB306:BB309 BB311:BB325 BB327:BB330 BB332:BB341 BB344:BB347 BB349:BB353 BB355:BB358 BB360:BB384 BB386:BB389 BB392:BB395 BB397:BB411 BB413:BB416 BB418:BB432 BB434:BB437 BB439:BB453 BB455:BB458 BB460:BB469 BB7:BB10 BB12:BB14 BB17:BB18 BB21:BB24 BB26:BB28 BB30:BB36 BB38 BB41:BB43 BB46:BB49 BB51:BB55 BB57:BB59 BB290:BB291 BB293:BB304">
    <cfRule type="cellIs" dxfId="16809" priority="7863" operator="lessThan">
      <formula>0</formula>
    </cfRule>
    <cfRule type="cellIs" dxfId="16808" priority="7864" operator="lessThan">
      <formula>-105575</formula>
    </cfRule>
  </conditionalFormatting>
  <conditionalFormatting sqref="BB41">
    <cfRule type="cellIs" dxfId="16807" priority="7861" operator="lessThan">
      <formula>0</formula>
    </cfRule>
    <cfRule type="cellIs" dxfId="16806" priority="7862" operator="lessThan">
      <formula>-105575</formula>
    </cfRule>
  </conditionalFormatting>
  <conditionalFormatting sqref="BB152:BB155">
    <cfRule type="cellIs" dxfId="16805" priority="7859" operator="lessThan">
      <formula>0</formula>
    </cfRule>
    <cfRule type="cellIs" dxfId="16804" priority="7860" operator="lessThan">
      <formula>-105575</formula>
    </cfRule>
  </conditionalFormatting>
  <conditionalFormatting sqref="BB152:BB155">
    <cfRule type="cellIs" dxfId="16803" priority="7857" operator="lessThan">
      <formula>0</formula>
    </cfRule>
    <cfRule type="cellIs" dxfId="16802" priority="7858" operator="lessThan">
      <formula>-105575</formula>
    </cfRule>
  </conditionalFormatting>
  <conditionalFormatting sqref="BB152:BB155">
    <cfRule type="cellIs" dxfId="16801" priority="7855" operator="lessThan">
      <formula>0</formula>
    </cfRule>
    <cfRule type="cellIs" dxfId="16800" priority="7856" operator="lessThan">
      <formula>-105575</formula>
    </cfRule>
  </conditionalFormatting>
  <conditionalFormatting sqref="BB157:BB158">
    <cfRule type="cellIs" dxfId="16799" priority="7853" operator="lessThan">
      <formula>0</formula>
    </cfRule>
    <cfRule type="cellIs" dxfId="16798" priority="7854" operator="lessThan">
      <formula>-105575</formula>
    </cfRule>
  </conditionalFormatting>
  <conditionalFormatting sqref="BB157:BB158">
    <cfRule type="cellIs" dxfId="16797" priority="7851" operator="lessThan">
      <formula>0</formula>
    </cfRule>
    <cfRule type="cellIs" dxfId="16796" priority="7852" operator="lessThan">
      <formula>-105575</formula>
    </cfRule>
  </conditionalFormatting>
  <conditionalFormatting sqref="BB157:BB158">
    <cfRule type="cellIs" dxfId="16795" priority="7849" operator="lessThan">
      <formula>0</formula>
    </cfRule>
    <cfRule type="cellIs" dxfId="16794" priority="7850" operator="lessThan">
      <formula>-105575</formula>
    </cfRule>
  </conditionalFormatting>
  <conditionalFormatting sqref="BB160:BB161">
    <cfRule type="cellIs" dxfId="16793" priority="7847" operator="lessThan">
      <formula>0</formula>
    </cfRule>
    <cfRule type="cellIs" dxfId="16792" priority="7848" operator="lessThan">
      <formula>-105575</formula>
    </cfRule>
  </conditionalFormatting>
  <conditionalFormatting sqref="BB160:BB161">
    <cfRule type="cellIs" dxfId="16791" priority="7845" operator="lessThan">
      <formula>0</formula>
    </cfRule>
    <cfRule type="cellIs" dxfId="16790" priority="7846" operator="lessThan">
      <formula>-105575</formula>
    </cfRule>
  </conditionalFormatting>
  <conditionalFormatting sqref="BB160:BB161">
    <cfRule type="cellIs" dxfId="16789" priority="7843" operator="lessThan">
      <formula>0</formula>
    </cfRule>
    <cfRule type="cellIs" dxfId="16788" priority="7844" operator="lessThan">
      <formula>-105575</formula>
    </cfRule>
  </conditionalFormatting>
  <conditionalFormatting sqref="BB164:BB167">
    <cfRule type="cellIs" dxfId="16787" priority="7841" operator="lessThan">
      <formula>0</formula>
    </cfRule>
    <cfRule type="cellIs" dxfId="16786" priority="7842" operator="lessThan">
      <formula>-105575</formula>
    </cfRule>
  </conditionalFormatting>
  <conditionalFormatting sqref="BB164:BB167">
    <cfRule type="cellIs" dxfId="16785" priority="7839" operator="lessThan">
      <formula>0</formula>
    </cfRule>
    <cfRule type="cellIs" dxfId="16784" priority="7840" operator="lessThan">
      <formula>-105575</formula>
    </cfRule>
  </conditionalFormatting>
  <conditionalFormatting sqref="BB164:BB167">
    <cfRule type="cellIs" dxfId="16783" priority="7837" operator="lessThan">
      <formula>0</formula>
    </cfRule>
    <cfRule type="cellIs" dxfId="16782" priority="7838" operator="lessThan">
      <formula>-105575</formula>
    </cfRule>
  </conditionalFormatting>
  <conditionalFormatting sqref="BB169:BB177">
    <cfRule type="cellIs" dxfId="16781" priority="7835" operator="lessThan">
      <formula>0</formula>
    </cfRule>
    <cfRule type="cellIs" dxfId="16780" priority="7836" operator="lessThan">
      <formula>-105575</formula>
    </cfRule>
  </conditionalFormatting>
  <conditionalFormatting sqref="BB169:BB177">
    <cfRule type="cellIs" dxfId="16779" priority="7833" operator="lessThan">
      <formula>0</formula>
    </cfRule>
    <cfRule type="cellIs" dxfId="16778" priority="7834" operator="lessThan">
      <formula>-105575</formula>
    </cfRule>
  </conditionalFormatting>
  <conditionalFormatting sqref="BB169:BB177">
    <cfRule type="cellIs" dxfId="16777" priority="7831" operator="lessThan">
      <formula>0</formula>
    </cfRule>
    <cfRule type="cellIs" dxfId="16776" priority="7832" operator="lessThan">
      <formula>-105575</formula>
    </cfRule>
  </conditionalFormatting>
  <conditionalFormatting sqref="BB179:BB180">
    <cfRule type="cellIs" dxfId="16775" priority="7829" operator="lessThan">
      <formula>0</formula>
    </cfRule>
    <cfRule type="cellIs" dxfId="16774" priority="7830" operator="lessThan">
      <formula>-105575</formula>
    </cfRule>
  </conditionalFormatting>
  <conditionalFormatting sqref="BB179:BB180">
    <cfRule type="cellIs" dxfId="16773" priority="7827" operator="lessThan">
      <formula>0</formula>
    </cfRule>
    <cfRule type="cellIs" dxfId="16772" priority="7828" operator="lessThan">
      <formula>-105575</formula>
    </cfRule>
  </conditionalFormatting>
  <conditionalFormatting sqref="BB179:BB180">
    <cfRule type="cellIs" dxfId="16771" priority="7825" operator="lessThan">
      <formula>0</formula>
    </cfRule>
    <cfRule type="cellIs" dxfId="16770" priority="7826" operator="lessThan">
      <formula>-105575</formula>
    </cfRule>
  </conditionalFormatting>
  <conditionalFormatting sqref="BB183:BB189">
    <cfRule type="cellIs" dxfId="16769" priority="7823" operator="lessThan">
      <formula>0</formula>
    </cfRule>
    <cfRule type="cellIs" dxfId="16768" priority="7824" operator="lessThan">
      <formula>-105575</formula>
    </cfRule>
  </conditionalFormatting>
  <conditionalFormatting sqref="BB183:BB189">
    <cfRule type="cellIs" dxfId="16767" priority="7821" operator="lessThan">
      <formula>0</formula>
    </cfRule>
    <cfRule type="cellIs" dxfId="16766" priority="7822" operator="lessThan">
      <formula>-105575</formula>
    </cfRule>
  </conditionalFormatting>
  <conditionalFormatting sqref="BB183:BB189">
    <cfRule type="cellIs" dxfId="16765" priority="7819" operator="lessThan">
      <formula>0</formula>
    </cfRule>
    <cfRule type="cellIs" dxfId="16764" priority="7820" operator="lessThan">
      <formula>-105575</formula>
    </cfRule>
  </conditionalFormatting>
  <conditionalFormatting sqref="BB191:BB192">
    <cfRule type="cellIs" dxfId="16763" priority="7817" operator="lessThan">
      <formula>0</formula>
    </cfRule>
    <cfRule type="cellIs" dxfId="16762" priority="7818" operator="lessThan">
      <formula>-105575</formula>
    </cfRule>
  </conditionalFormatting>
  <conditionalFormatting sqref="BB191:BB192">
    <cfRule type="cellIs" dxfId="16761" priority="7815" operator="lessThan">
      <formula>0</formula>
    </cfRule>
    <cfRule type="cellIs" dxfId="16760" priority="7816" operator="lessThan">
      <formula>-105575</formula>
    </cfRule>
  </conditionalFormatting>
  <conditionalFormatting sqref="BB191:BB192">
    <cfRule type="cellIs" dxfId="16759" priority="7813" operator="lessThan">
      <formula>0</formula>
    </cfRule>
    <cfRule type="cellIs" dxfId="16758" priority="7814" operator="lessThan">
      <formula>-105575</formula>
    </cfRule>
  </conditionalFormatting>
  <conditionalFormatting sqref="BB194:BB195">
    <cfRule type="cellIs" dxfId="16757" priority="7811" operator="lessThan">
      <formula>0</formula>
    </cfRule>
    <cfRule type="cellIs" dxfId="16756" priority="7812" operator="lessThan">
      <formula>-105575</formula>
    </cfRule>
  </conditionalFormatting>
  <conditionalFormatting sqref="BB194:BB195">
    <cfRule type="cellIs" dxfId="16755" priority="7809" operator="lessThan">
      <formula>0</formula>
    </cfRule>
    <cfRule type="cellIs" dxfId="16754" priority="7810" operator="lessThan">
      <formula>-105575</formula>
    </cfRule>
  </conditionalFormatting>
  <conditionalFormatting sqref="BB194:BB195">
    <cfRule type="cellIs" dxfId="16753" priority="7807" operator="lessThan">
      <formula>0</formula>
    </cfRule>
    <cfRule type="cellIs" dxfId="16752" priority="7808" operator="lessThan">
      <formula>-105575</formula>
    </cfRule>
  </conditionalFormatting>
  <conditionalFormatting sqref="BB199:BB202">
    <cfRule type="cellIs" dxfId="16751" priority="7805" operator="lessThan">
      <formula>0</formula>
    </cfRule>
    <cfRule type="cellIs" dxfId="16750" priority="7806" operator="lessThan">
      <formula>-105575</formula>
    </cfRule>
  </conditionalFormatting>
  <conditionalFormatting sqref="BB199:BB202">
    <cfRule type="cellIs" dxfId="16749" priority="7803" operator="lessThan">
      <formula>0</formula>
    </cfRule>
    <cfRule type="cellIs" dxfId="16748" priority="7804" operator="lessThan">
      <formula>-105575</formula>
    </cfRule>
  </conditionalFormatting>
  <conditionalFormatting sqref="BB199:BB202">
    <cfRule type="cellIs" dxfId="16747" priority="7801" operator="lessThan">
      <formula>0</formula>
    </cfRule>
    <cfRule type="cellIs" dxfId="16746" priority="7802" operator="lessThan">
      <formula>-105575</formula>
    </cfRule>
  </conditionalFormatting>
  <conditionalFormatting sqref="BB204:BB208">
    <cfRule type="cellIs" dxfId="16745" priority="7799" operator="lessThan">
      <formula>0</formula>
    </cfRule>
    <cfRule type="cellIs" dxfId="16744" priority="7800" operator="lessThan">
      <formula>-105575</formula>
    </cfRule>
  </conditionalFormatting>
  <conditionalFormatting sqref="BB204:BB208">
    <cfRule type="cellIs" dxfId="16743" priority="7797" operator="lessThan">
      <formula>0</formula>
    </cfRule>
    <cfRule type="cellIs" dxfId="16742" priority="7798" operator="lessThan">
      <formula>-105575</formula>
    </cfRule>
  </conditionalFormatting>
  <conditionalFormatting sqref="BB204:BB208">
    <cfRule type="cellIs" dxfId="16741" priority="7795" operator="lessThan">
      <formula>0</formula>
    </cfRule>
    <cfRule type="cellIs" dxfId="16740" priority="7796" operator="lessThan">
      <formula>-105575</formula>
    </cfRule>
  </conditionalFormatting>
  <conditionalFormatting sqref="BB210:BB211">
    <cfRule type="cellIs" dxfId="16739" priority="7793" operator="lessThan">
      <formula>0</formula>
    </cfRule>
    <cfRule type="cellIs" dxfId="16738" priority="7794" operator="lessThan">
      <formula>-105575</formula>
    </cfRule>
  </conditionalFormatting>
  <conditionalFormatting sqref="BB210:BB211">
    <cfRule type="cellIs" dxfId="16737" priority="7791" operator="lessThan">
      <formula>0</formula>
    </cfRule>
    <cfRule type="cellIs" dxfId="16736" priority="7792" operator="lessThan">
      <formula>-105575</formula>
    </cfRule>
  </conditionalFormatting>
  <conditionalFormatting sqref="BB210:BB211">
    <cfRule type="cellIs" dxfId="16735" priority="7789" operator="lessThan">
      <formula>0</formula>
    </cfRule>
    <cfRule type="cellIs" dxfId="16734" priority="7790" operator="lessThan">
      <formula>-105575</formula>
    </cfRule>
  </conditionalFormatting>
  <conditionalFormatting sqref="BB214:BB219">
    <cfRule type="cellIs" dxfId="16733" priority="7787" operator="lessThan">
      <formula>0</formula>
    </cfRule>
    <cfRule type="cellIs" dxfId="16732" priority="7788" operator="lessThan">
      <formula>-105575</formula>
    </cfRule>
  </conditionalFormatting>
  <conditionalFormatting sqref="BB214:BB219">
    <cfRule type="cellIs" dxfId="16731" priority="7785" operator="lessThan">
      <formula>0</formula>
    </cfRule>
    <cfRule type="cellIs" dxfId="16730" priority="7786" operator="lessThan">
      <formula>-105575</formula>
    </cfRule>
  </conditionalFormatting>
  <conditionalFormatting sqref="BB214:BB219">
    <cfRule type="cellIs" dxfId="16729" priority="7783" operator="lessThan">
      <formula>0</formula>
    </cfRule>
    <cfRule type="cellIs" dxfId="16728" priority="7784" operator="lessThan">
      <formula>-105575</formula>
    </cfRule>
  </conditionalFormatting>
  <conditionalFormatting sqref="BB222:BB224">
    <cfRule type="cellIs" dxfId="16727" priority="7781" operator="lessThan">
      <formula>0</formula>
    </cfRule>
    <cfRule type="cellIs" dxfId="16726" priority="7782" operator="lessThan">
      <formula>-105575</formula>
    </cfRule>
  </conditionalFormatting>
  <conditionalFormatting sqref="BB222:BB224">
    <cfRule type="cellIs" dxfId="16725" priority="7779" operator="lessThan">
      <formula>0</formula>
    </cfRule>
    <cfRule type="cellIs" dxfId="16724" priority="7780" operator="lessThan">
      <formula>-105575</formula>
    </cfRule>
  </conditionalFormatting>
  <conditionalFormatting sqref="BB222:BB224">
    <cfRule type="cellIs" dxfId="16723" priority="7777" operator="lessThan">
      <formula>0</formula>
    </cfRule>
    <cfRule type="cellIs" dxfId="16722" priority="7778" operator="lessThan">
      <formula>-105575</formula>
    </cfRule>
  </conditionalFormatting>
  <conditionalFormatting sqref="BB227:BB230">
    <cfRule type="cellIs" dxfId="16721" priority="7775" operator="lessThan">
      <formula>0</formula>
    </cfRule>
    <cfRule type="cellIs" dxfId="16720" priority="7776" operator="lessThan">
      <formula>-105575</formula>
    </cfRule>
  </conditionalFormatting>
  <conditionalFormatting sqref="BB227:BB230">
    <cfRule type="cellIs" dxfId="16719" priority="7773" operator="lessThan">
      <formula>0</formula>
    </cfRule>
    <cfRule type="cellIs" dxfId="16718" priority="7774" operator="lessThan">
      <formula>-105575</formula>
    </cfRule>
  </conditionalFormatting>
  <conditionalFormatting sqref="BB227:BB230">
    <cfRule type="cellIs" dxfId="16717" priority="7771" operator="lessThan">
      <formula>0</formula>
    </cfRule>
    <cfRule type="cellIs" dxfId="16716" priority="7772" operator="lessThan">
      <formula>-105575</formula>
    </cfRule>
  </conditionalFormatting>
  <conditionalFormatting sqref="BB246:BB249">
    <cfRule type="cellIs" dxfId="16715" priority="7769" operator="lessThan">
      <formula>0</formula>
    </cfRule>
    <cfRule type="cellIs" dxfId="16714" priority="7770" operator="lessThan">
      <formula>-105575</formula>
    </cfRule>
  </conditionalFormatting>
  <conditionalFormatting sqref="BB246:BB249">
    <cfRule type="cellIs" dxfId="16713" priority="7767" operator="lessThan">
      <formula>0</formula>
    </cfRule>
    <cfRule type="cellIs" dxfId="16712" priority="7768" operator="lessThan">
      <formula>-105575</formula>
    </cfRule>
  </conditionalFormatting>
  <conditionalFormatting sqref="BB246:BB249">
    <cfRule type="cellIs" dxfId="16711" priority="7765" operator="lessThan">
      <formula>0</formula>
    </cfRule>
    <cfRule type="cellIs" dxfId="16710" priority="7766" operator="lessThan">
      <formula>-105575</formula>
    </cfRule>
  </conditionalFormatting>
  <conditionalFormatting sqref="BB246:BB249">
    <cfRule type="cellIs" dxfId="16709" priority="7763" operator="lessThan">
      <formula>0</formula>
    </cfRule>
    <cfRule type="cellIs" dxfId="16708" priority="7764" operator="lessThan">
      <formula>-105575</formula>
    </cfRule>
  </conditionalFormatting>
  <conditionalFormatting sqref="BB246:BB249">
    <cfRule type="cellIs" dxfId="16707" priority="7761" operator="lessThan">
      <formula>0</formula>
    </cfRule>
    <cfRule type="cellIs" dxfId="16706" priority="7762" operator="lessThan">
      <formula>-105575</formula>
    </cfRule>
  </conditionalFormatting>
  <conditionalFormatting sqref="BB246:BB249">
    <cfRule type="cellIs" dxfId="16705" priority="7759" operator="lessThan">
      <formula>0</formula>
    </cfRule>
    <cfRule type="cellIs" dxfId="16704" priority="7760" operator="lessThan">
      <formula>-105575</formula>
    </cfRule>
  </conditionalFormatting>
  <conditionalFormatting sqref="BB246:BB249">
    <cfRule type="cellIs" dxfId="16703" priority="7757" operator="lessThan">
      <formula>0</formula>
    </cfRule>
    <cfRule type="cellIs" dxfId="16702" priority="7758" operator="lessThan">
      <formula>-105575</formula>
    </cfRule>
  </conditionalFormatting>
  <conditionalFormatting sqref="BB246:BB249">
    <cfRule type="cellIs" dxfId="16701" priority="7755" operator="lessThan">
      <formula>0</formula>
    </cfRule>
    <cfRule type="cellIs" dxfId="16700" priority="7756" operator="lessThan">
      <formula>-105575</formula>
    </cfRule>
  </conditionalFormatting>
  <conditionalFormatting sqref="BB246:BB249">
    <cfRule type="cellIs" dxfId="16699" priority="7753" operator="lessThan">
      <formula>0</formula>
    </cfRule>
    <cfRule type="cellIs" dxfId="16698" priority="7754" operator="lessThan">
      <formula>-105575</formula>
    </cfRule>
  </conditionalFormatting>
  <conditionalFormatting sqref="BB251:BB253">
    <cfRule type="cellIs" dxfId="16697" priority="7751" operator="lessThan">
      <formula>0</formula>
    </cfRule>
    <cfRule type="cellIs" dxfId="16696" priority="7752" operator="lessThan">
      <formula>-105575</formula>
    </cfRule>
  </conditionalFormatting>
  <conditionalFormatting sqref="BB251:BB253">
    <cfRule type="cellIs" dxfId="16695" priority="7749" operator="lessThan">
      <formula>0</formula>
    </cfRule>
    <cfRule type="cellIs" dxfId="16694" priority="7750" operator="lessThan">
      <formula>-105575</formula>
    </cfRule>
  </conditionalFormatting>
  <conditionalFormatting sqref="BB251:BB253">
    <cfRule type="cellIs" dxfId="16693" priority="7747" operator="lessThan">
      <formula>0</formula>
    </cfRule>
    <cfRule type="cellIs" dxfId="16692" priority="7748" operator="lessThan">
      <formula>-105575</formula>
    </cfRule>
  </conditionalFormatting>
  <conditionalFormatting sqref="BB251:BB253">
    <cfRule type="cellIs" dxfId="16691" priority="7745" operator="lessThan">
      <formula>0</formula>
    </cfRule>
    <cfRule type="cellIs" dxfId="16690" priority="7746" operator="lessThan">
      <formula>-105575</formula>
    </cfRule>
  </conditionalFormatting>
  <conditionalFormatting sqref="BB251:BB253">
    <cfRule type="cellIs" dxfId="16689" priority="7743" operator="lessThan">
      <formula>0</formula>
    </cfRule>
    <cfRule type="cellIs" dxfId="16688" priority="7744" operator="lessThan">
      <formula>-105575</formula>
    </cfRule>
  </conditionalFormatting>
  <conditionalFormatting sqref="BB251:BB253">
    <cfRule type="cellIs" dxfId="16687" priority="7741" operator="lessThan">
      <formula>0</formula>
    </cfRule>
    <cfRule type="cellIs" dxfId="16686" priority="7742" operator="lessThan">
      <formula>-105575</formula>
    </cfRule>
  </conditionalFormatting>
  <conditionalFormatting sqref="BB251:BB253">
    <cfRule type="cellIs" dxfId="16685" priority="7739" operator="lessThan">
      <formula>0</formula>
    </cfRule>
    <cfRule type="cellIs" dxfId="16684" priority="7740" operator="lessThan">
      <formula>-105575</formula>
    </cfRule>
  </conditionalFormatting>
  <conditionalFormatting sqref="BB251:BB253">
    <cfRule type="cellIs" dxfId="16683" priority="7737" operator="lessThan">
      <formula>0</formula>
    </cfRule>
    <cfRule type="cellIs" dxfId="16682" priority="7738" operator="lessThan">
      <formula>-105575</formula>
    </cfRule>
  </conditionalFormatting>
  <conditionalFormatting sqref="BB251:BB253">
    <cfRule type="cellIs" dxfId="16681" priority="7735" operator="lessThan">
      <formula>0</formula>
    </cfRule>
    <cfRule type="cellIs" dxfId="16680" priority="7736" operator="lessThan">
      <formula>-105575</formula>
    </cfRule>
  </conditionalFormatting>
  <conditionalFormatting sqref="BB255:BB257">
    <cfRule type="cellIs" dxfId="16679" priority="7733" operator="lessThan">
      <formula>0</formula>
    </cfRule>
    <cfRule type="cellIs" dxfId="16678" priority="7734" operator="lessThan">
      <formula>-105575</formula>
    </cfRule>
  </conditionalFormatting>
  <conditionalFormatting sqref="BB255:BB257">
    <cfRule type="cellIs" dxfId="16677" priority="7731" operator="lessThan">
      <formula>0</formula>
    </cfRule>
    <cfRule type="cellIs" dxfId="16676" priority="7732" operator="lessThan">
      <formula>-105575</formula>
    </cfRule>
  </conditionalFormatting>
  <conditionalFormatting sqref="BB255:BB257">
    <cfRule type="cellIs" dxfId="16675" priority="7729" operator="lessThan">
      <formula>0</formula>
    </cfRule>
    <cfRule type="cellIs" dxfId="16674" priority="7730" operator="lessThan">
      <formula>-105575</formula>
    </cfRule>
  </conditionalFormatting>
  <conditionalFormatting sqref="BB255:BB257">
    <cfRule type="cellIs" dxfId="16673" priority="7727" operator="lessThan">
      <formula>0</formula>
    </cfRule>
    <cfRule type="cellIs" dxfId="16672" priority="7728" operator="lessThan">
      <formula>-105575</formula>
    </cfRule>
  </conditionalFormatting>
  <conditionalFormatting sqref="BB255:BB257">
    <cfRule type="cellIs" dxfId="16671" priority="7725" operator="lessThan">
      <formula>0</formula>
    </cfRule>
    <cfRule type="cellIs" dxfId="16670" priority="7726" operator="lessThan">
      <formula>-105575</formula>
    </cfRule>
  </conditionalFormatting>
  <conditionalFormatting sqref="BB255:BB257">
    <cfRule type="cellIs" dxfId="16669" priority="7723" operator="lessThan">
      <formula>0</formula>
    </cfRule>
    <cfRule type="cellIs" dxfId="16668" priority="7724" operator="lessThan">
      <formula>-105575</formula>
    </cfRule>
  </conditionalFormatting>
  <conditionalFormatting sqref="BB255:BB257">
    <cfRule type="cellIs" dxfId="16667" priority="7721" operator="lessThan">
      <formula>0</formula>
    </cfRule>
    <cfRule type="cellIs" dxfId="16666" priority="7722" operator="lessThan">
      <formula>-105575</formula>
    </cfRule>
  </conditionalFormatting>
  <conditionalFormatting sqref="BB255:BB257">
    <cfRule type="cellIs" dxfId="16665" priority="7719" operator="lessThan">
      <formula>0</formula>
    </cfRule>
    <cfRule type="cellIs" dxfId="16664" priority="7720" operator="lessThan">
      <formula>-105575</formula>
    </cfRule>
  </conditionalFormatting>
  <conditionalFormatting sqref="BB255:BB257">
    <cfRule type="cellIs" dxfId="16663" priority="7717" operator="lessThan">
      <formula>0</formula>
    </cfRule>
    <cfRule type="cellIs" dxfId="16662" priority="7718" operator="lessThan">
      <formula>-105575</formula>
    </cfRule>
  </conditionalFormatting>
  <conditionalFormatting sqref="BB260:BB262">
    <cfRule type="cellIs" dxfId="16661" priority="7715" operator="lessThan">
      <formula>0</formula>
    </cfRule>
    <cfRule type="cellIs" dxfId="16660" priority="7716" operator="lessThan">
      <formula>-105575</formula>
    </cfRule>
  </conditionalFormatting>
  <conditionalFormatting sqref="BB260:BB262">
    <cfRule type="cellIs" dxfId="16659" priority="7713" operator="lessThan">
      <formula>0</formula>
    </cfRule>
    <cfRule type="cellIs" dxfId="16658" priority="7714" operator="lessThan">
      <formula>-105575</formula>
    </cfRule>
  </conditionalFormatting>
  <conditionalFormatting sqref="BB260:BB262">
    <cfRule type="cellIs" dxfId="16657" priority="7711" operator="lessThan">
      <formula>0</formula>
    </cfRule>
    <cfRule type="cellIs" dxfId="16656" priority="7712" operator="lessThan">
      <formula>-105575</formula>
    </cfRule>
  </conditionalFormatting>
  <conditionalFormatting sqref="BB260:BB262">
    <cfRule type="cellIs" dxfId="16655" priority="7709" operator="lessThan">
      <formula>0</formula>
    </cfRule>
    <cfRule type="cellIs" dxfId="16654" priority="7710" operator="lessThan">
      <formula>-105575</formula>
    </cfRule>
  </conditionalFormatting>
  <conditionalFormatting sqref="BB260:BB262">
    <cfRule type="cellIs" dxfId="16653" priority="7707" operator="lessThan">
      <formula>0</formula>
    </cfRule>
    <cfRule type="cellIs" dxfId="16652" priority="7708" operator="lessThan">
      <formula>-105575</formula>
    </cfRule>
  </conditionalFormatting>
  <conditionalFormatting sqref="BB260:BB262">
    <cfRule type="cellIs" dxfId="16651" priority="7705" operator="lessThan">
      <formula>0</formula>
    </cfRule>
    <cfRule type="cellIs" dxfId="16650" priority="7706" operator="lessThan">
      <formula>-105575</formula>
    </cfRule>
  </conditionalFormatting>
  <conditionalFormatting sqref="BB260:BB262">
    <cfRule type="cellIs" dxfId="16649" priority="7703" operator="lessThan">
      <formula>0</formula>
    </cfRule>
    <cfRule type="cellIs" dxfId="16648" priority="7704" operator="lessThan">
      <formula>-105575</formula>
    </cfRule>
  </conditionalFormatting>
  <conditionalFormatting sqref="BB260:BB262">
    <cfRule type="cellIs" dxfId="16647" priority="7701" operator="lessThan">
      <formula>0</formula>
    </cfRule>
    <cfRule type="cellIs" dxfId="16646" priority="7702" operator="lessThan">
      <formula>-105575</formula>
    </cfRule>
  </conditionalFormatting>
  <conditionalFormatting sqref="BB260:BB262">
    <cfRule type="cellIs" dxfId="16645" priority="7699" operator="lessThan">
      <formula>0</formula>
    </cfRule>
    <cfRule type="cellIs" dxfId="16644" priority="7700" operator="lessThan">
      <formula>-105575</formula>
    </cfRule>
  </conditionalFormatting>
  <conditionalFormatting sqref="BB264:BB267">
    <cfRule type="cellIs" dxfId="16643" priority="7697" operator="lessThan">
      <formula>0</formula>
    </cfRule>
    <cfRule type="cellIs" dxfId="16642" priority="7698" operator="lessThan">
      <formula>-105575</formula>
    </cfRule>
  </conditionalFormatting>
  <conditionalFormatting sqref="BB264:BB267">
    <cfRule type="cellIs" dxfId="16641" priority="7695" operator="lessThan">
      <formula>0</formula>
    </cfRule>
    <cfRule type="cellIs" dxfId="16640" priority="7696" operator="lessThan">
      <formula>-105575</formula>
    </cfRule>
  </conditionalFormatting>
  <conditionalFormatting sqref="BB264:BB267">
    <cfRule type="cellIs" dxfId="16639" priority="7693" operator="lessThan">
      <formula>0</formula>
    </cfRule>
    <cfRule type="cellIs" dxfId="16638" priority="7694" operator="lessThan">
      <formula>-105575</formula>
    </cfRule>
  </conditionalFormatting>
  <conditionalFormatting sqref="BB264:BB267">
    <cfRule type="cellIs" dxfId="16637" priority="7691" operator="lessThan">
      <formula>0</formula>
    </cfRule>
    <cfRule type="cellIs" dxfId="16636" priority="7692" operator="lessThan">
      <formula>-105575</formula>
    </cfRule>
  </conditionalFormatting>
  <conditionalFormatting sqref="BB264:BB267">
    <cfRule type="cellIs" dxfId="16635" priority="7689" operator="lessThan">
      <formula>0</formula>
    </cfRule>
    <cfRule type="cellIs" dxfId="16634" priority="7690" operator="lessThan">
      <formula>-105575</formula>
    </cfRule>
  </conditionalFormatting>
  <conditionalFormatting sqref="BB264:BB267">
    <cfRule type="cellIs" dxfId="16633" priority="7687" operator="lessThan">
      <formula>0</formula>
    </cfRule>
    <cfRule type="cellIs" dxfId="16632" priority="7688" operator="lessThan">
      <formula>-105575</formula>
    </cfRule>
  </conditionalFormatting>
  <conditionalFormatting sqref="BB264:BB267">
    <cfRule type="cellIs" dxfId="16631" priority="7685" operator="lessThan">
      <formula>0</formula>
    </cfRule>
    <cfRule type="cellIs" dxfId="16630" priority="7686" operator="lessThan">
      <formula>-105575</formula>
    </cfRule>
  </conditionalFormatting>
  <conditionalFormatting sqref="BB264:BB267">
    <cfRule type="cellIs" dxfId="16629" priority="7683" operator="lessThan">
      <formula>0</formula>
    </cfRule>
    <cfRule type="cellIs" dxfId="16628" priority="7684" operator="lessThan">
      <formula>-105575</formula>
    </cfRule>
  </conditionalFormatting>
  <conditionalFormatting sqref="BB264:BB267">
    <cfRule type="cellIs" dxfId="16627" priority="7681" operator="lessThan">
      <formula>0</formula>
    </cfRule>
    <cfRule type="cellIs" dxfId="16626" priority="7682" operator="lessThan">
      <formula>-105575</formula>
    </cfRule>
  </conditionalFormatting>
  <conditionalFormatting sqref="BB270:BB272">
    <cfRule type="cellIs" dxfId="16625" priority="7679" operator="lessThan">
      <formula>0</formula>
    </cfRule>
    <cfRule type="cellIs" dxfId="16624" priority="7680" operator="lessThan">
      <formula>-105575</formula>
    </cfRule>
  </conditionalFormatting>
  <conditionalFormatting sqref="BB270:BB272">
    <cfRule type="cellIs" dxfId="16623" priority="7677" operator="lessThan">
      <formula>0</formula>
    </cfRule>
    <cfRule type="cellIs" dxfId="16622" priority="7678" operator="lessThan">
      <formula>-105575</formula>
    </cfRule>
  </conditionalFormatting>
  <conditionalFormatting sqref="BB270:BB272">
    <cfRule type="cellIs" dxfId="16621" priority="7675" operator="lessThan">
      <formula>0</formula>
    </cfRule>
    <cfRule type="cellIs" dxfId="16620" priority="7676" operator="lessThan">
      <formula>-105575</formula>
    </cfRule>
  </conditionalFormatting>
  <conditionalFormatting sqref="BB270:BB272">
    <cfRule type="cellIs" dxfId="16619" priority="7673" operator="lessThan">
      <formula>0</formula>
    </cfRule>
    <cfRule type="cellIs" dxfId="16618" priority="7674" operator="lessThan">
      <formula>-105575</formula>
    </cfRule>
  </conditionalFormatting>
  <conditionalFormatting sqref="BB270:BB272">
    <cfRule type="cellIs" dxfId="16617" priority="7671" operator="lessThan">
      <formula>0</formula>
    </cfRule>
    <cfRule type="cellIs" dxfId="16616" priority="7672" operator="lessThan">
      <formula>-105575</formula>
    </cfRule>
  </conditionalFormatting>
  <conditionalFormatting sqref="BB270:BB272">
    <cfRule type="cellIs" dxfId="16615" priority="7669" operator="lessThan">
      <formula>0</formula>
    </cfRule>
    <cfRule type="cellIs" dxfId="16614" priority="7670" operator="lessThan">
      <formula>-105575</formula>
    </cfRule>
  </conditionalFormatting>
  <conditionalFormatting sqref="BB270:BB272">
    <cfRule type="cellIs" dxfId="16613" priority="7667" operator="lessThan">
      <formula>0</formula>
    </cfRule>
    <cfRule type="cellIs" dxfId="16612" priority="7668" operator="lessThan">
      <formula>-105575</formula>
    </cfRule>
  </conditionalFormatting>
  <conditionalFormatting sqref="BB270:BB272">
    <cfRule type="cellIs" dxfId="16611" priority="7665" operator="lessThan">
      <formula>0</formula>
    </cfRule>
    <cfRule type="cellIs" dxfId="16610" priority="7666" operator="lessThan">
      <formula>-105575</formula>
    </cfRule>
  </conditionalFormatting>
  <conditionalFormatting sqref="BB270:BB272">
    <cfRule type="cellIs" dxfId="16609" priority="7663" operator="lessThan">
      <formula>0</formula>
    </cfRule>
    <cfRule type="cellIs" dxfId="16608" priority="7664" operator="lessThan">
      <formula>-105575</formula>
    </cfRule>
  </conditionalFormatting>
  <conditionalFormatting sqref="BB274:BB275">
    <cfRule type="cellIs" dxfId="16607" priority="7661" operator="lessThan">
      <formula>0</formula>
    </cfRule>
    <cfRule type="cellIs" dxfId="16606" priority="7662" operator="lessThan">
      <formula>-105575</formula>
    </cfRule>
  </conditionalFormatting>
  <conditionalFormatting sqref="BB274:BB275">
    <cfRule type="cellIs" dxfId="16605" priority="7659" operator="lessThan">
      <formula>0</formula>
    </cfRule>
    <cfRule type="cellIs" dxfId="16604" priority="7660" operator="lessThan">
      <formula>-105575</formula>
    </cfRule>
  </conditionalFormatting>
  <conditionalFormatting sqref="BB274:BB275">
    <cfRule type="cellIs" dxfId="16603" priority="7657" operator="lessThan">
      <formula>0</formula>
    </cfRule>
    <cfRule type="cellIs" dxfId="16602" priority="7658" operator="lessThan">
      <formula>-105575</formula>
    </cfRule>
  </conditionalFormatting>
  <conditionalFormatting sqref="BB274:BB275">
    <cfRule type="cellIs" dxfId="16601" priority="7655" operator="lessThan">
      <formula>0</formula>
    </cfRule>
    <cfRule type="cellIs" dxfId="16600" priority="7656" operator="lessThan">
      <formula>-105575</formula>
    </cfRule>
  </conditionalFormatting>
  <conditionalFormatting sqref="BB274:BB275">
    <cfRule type="cellIs" dxfId="16599" priority="7653" operator="lessThan">
      <formula>0</formula>
    </cfRule>
    <cfRule type="cellIs" dxfId="16598" priority="7654" operator="lessThan">
      <formula>-105575</formula>
    </cfRule>
  </conditionalFormatting>
  <conditionalFormatting sqref="BB274:BB275">
    <cfRule type="cellIs" dxfId="16597" priority="7651" operator="lessThan">
      <formula>0</formula>
    </cfRule>
    <cfRule type="cellIs" dxfId="16596" priority="7652" operator="lessThan">
      <formula>-105575</formula>
    </cfRule>
  </conditionalFormatting>
  <conditionalFormatting sqref="BB274:BB275">
    <cfRule type="cellIs" dxfId="16595" priority="7649" operator="lessThan">
      <formula>0</formula>
    </cfRule>
    <cfRule type="cellIs" dxfId="16594" priority="7650" operator="lessThan">
      <formula>-105575</formula>
    </cfRule>
  </conditionalFormatting>
  <conditionalFormatting sqref="BB274:BB275">
    <cfRule type="cellIs" dxfId="16593" priority="7647" operator="lessThan">
      <formula>0</formula>
    </cfRule>
    <cfRule type="cellIs" dxfId="16592" priority="7648" operator="lessThan">
      <formula>-105575</formula>
    </cfRule>
  </conditionalFormatting>
  <conditionalFormatting sqref="BB274:BB275">
    <cfRule type="cellIs" dxfId="16591" priority="7645" operator="lessThan">
      <formula>0</formula>
    </cfRule>
    <cfRule type="cellIs" dxfId="16590" priority="7646" operator="lessThan">
      <formula>-105575</formula>
    </cfRule>
  </conditionalFormatting>
  <conditionalFormatting sqref="BB278:BB282">
    <cfRule type="cellIs" dxfId="16589" priority="7643" operator="lessThan">
      <formula>0</formula>
    </cfRule>
    <cfRule type="cellIs" dxfId="16588" priority="7644" operator="lessThan">
      <formula>-105575</formula>
    </cfRule>
  </conditionalFormatting>
  <conditionalFormatting sqref="BB278:BB282">
    <cfRule type="cellIs" dxfId="16587" priority="7641" operator="lessThan">
      <formula>0</formula>
    </cfRule>
    <cfRule type="cellIs" dxfId="16586" priority="7642" operator="lessThan">
      <formula>-105575</formula>
    </cfRule>
  </conditionalFormatting>
  <conditionalFormatting sqref="BB278:BB282">
    <cfRule type="cellIs" dxfId="16585" priority="7639" operator="lessThan">
      <formula>0</formula>
    </cfRule>
    <cfRule type="cellIs" dxfId="16584" priority="7640" operator="lessThan">
      <formula>-105575</formula>
    </cfRule>
  </conditionalFormatting>
  <conditionalFormatting sqref="BB278:BB282">
    <cfRule type="cellIs" dxfId="16583" priority="7637" operator="lessThan">
      <formula>0</formula>
    </cfRule>
    <cfRule type="cellIs" dxfId="16582" priority="7638" operator="lessThan">
      <formula>-105575</formula>
    </cfRule>
  </conditionalFormatting>
  <conditionalFormatting sqref="BB278:BB282">
    <cfRule type="cellIs" dxfId="16581" priority="7635" operator="lessThan">
      <formula>0</formula>
    </cfRule>
    <cfRule type="cellIs" dxfId="16580" priority="7636" operator="lessThan">
      <formula>-105575</formula>
    </cfRule>
  </conditionalFormatting>
  <conditionalFormatting sqref="BB278:BB282">
    <cfRule type="cellIs" dxfId="16579" priority="7633" operator="lessThan">
      <formula>0</formula>
    </cfRule>
    <cfRule type="cellIs" dxfId="16578" priority="7634" operator="lessThan">
      <formula>-105575</formula>
    </cfRule>
  </conditionalFormatting>
  <conditionalFormatting sqref="BB278:BB282">
    <cfRule type="cellIs" dxfId="16577" priority="7631" operator="lessThan">
      <formula>0</formula>
    </cfRule>
    <cfRule type="cellIs" dxfId="16576" priority="7632" operator="lessThan">
      <formula>-105575</formula>
    </cfRule>
  </conditionalFormatting>
  <conditionalFormatting sqref="BB278:BB282">
    <cfRule type="cellIs" dxfId="16575" priority="7629" operator="lessThan">
      <formula>0</formula>
    </cfRule>
    <cfRule type="cellIs" dxfId="16574" priority="7630" operator="lessThan">
      <formula>-105575</formula>
    </cfRule>
  </conditionalFormatting>
  <conditionalFormatting sqref="BB278:BB282">
    <cfRule type="cellIs" dxfId="16573" priority="7627" operator="lessThan">
      <formula>0</formula>
    </cfRule>
    <cfRule type="cellIs" dxfId="16572" priority="7628" operator="lessThan">
      <formula>-105575</formula>
    </cfRule>
  </conditionalFormatting>
  <conditionalFormatting sqref="BB285:BB288">
    <cfRule type="cellIs" dxfId="16571" priority="7625" operator="lessThan">
      <formula>0</formula>
    </cfRule>
    <cfRule type="cellIs" dxfId="16570" priority="7626" operator="lessThan">
      <formula>-105575</formula>
    </cfRule>
  </conditionalFormatting>
  <conditionalFormatting sqref="BB285:BB288">
    <cfRule type="cellIs" dxfId="16569" priority="7623" operator="lessThan">
      <formula>0</formula>
    </cfRule>
    <cfRule type="cellIs" dxfId="16568" priority="7624" operator="lessThan">
      <formula>-105575</formula>
    </cfRule>
  </conditionalFormatting>
  <conditionalFormatting sqref="BB285:BB288">
    <cfRule type="cellIs" dxfId="16567" priority="7621" operator="lessThan">
      <formula>0</formula>
    </cfRule>
    <cfRule type="cellIs" dxfId="16566" priority="7622" operator="lessThan">
      <formula>-105575</formula>
    </cfRule>
  </conditionalFormatting>
  <conditionalFormatting sqref="BB285:BB288">
    <cfRule type="cellIs" dxfId="16565" priority="7619" operator="lessThan">
      <formula>0</formula>
    </cfRule>
    <cfRule type="cellIs" dxfId="16564" priority="7620" operator="lessThan">
      <formula>-105575</formula>
    </cfRule>
  </conditionalFormatting>
  <conditionalFormatting sqref="BB285:BB288">
    <cfRule type="cellIs" dxfId="16563" priority="7617" operator="lessThan">
      <formula>0</formula>
    </cfRule>
    <cfRule type="cellIs" dxfId="16562" priority="7618" operator="lessThan">
      <formula>-105575</formula>
    </cfRule>
  </conditionalFormatting>
  <conditionalFormatting sqref="BB285:BB288">
    <cfRule type="cellIs" dxfId="16561" priority="7615" operator="lessThan">
      <formula>0</formula>
    </cfRule>
    <cfRule type="cellIs" dxfId="16560" priority="7616" operator="lessThan">
      <formula>-105575</formula>
    </cfRule>
  </conditionalFormatting>
  <conditionalFormatting sqref="BB285:BB288">
    <cfRule type="cellIs" dxfId="16559" priority="7613" operator="lessThan">
      <formula>0</formula>
    </cfRule>
    <cfRule type="cellIs" dxfId="16558" priority="7614" operator="lessThan">
      <formula>-105575</formula>
    </cfRule>
  </conditionalFormatting>
  <conditionalFormatting sqref="BB285:BB288">
    <cfRule type="cellIs" dxfId="16557" priority="7611" operator="lessThan">
      <formula>0</formula>
    </cfRule>
    <cfRule type="cellIs" dxfId="16556" priority="7612" operator="lessThan">
      <formula>-105575</formula>
    </cfRule>
  </conditionalFormatting>
  <conditionalFormatting sqref="BB285:BB288">
    <cfRule type="cellIs" dxfId="16555" priority="7609" operator="lessThan">
      <formula>0</formula>
    </cfRule>
    <cfRule type="cellIs" dxfId="16554" priority="7610" operator="lessThan">
      <formula>-105575</formula>
    </cfRule>
  </conditionalFormatting>
  <conditionalFormatting sqref="BB203 BB220:BB221 BB235:BB243 BB231:BB233 BB212:BB213 BB225:BB226">
    <cfRule type="cellIs" dxfId="16553" priority="7607" operator="lessThan">
      <formula>0</formula>
    </cfRule>
    <cfRule type="cellIs" dxfId="16552" priority="7608" operator="lessThan">
      <formula>-105575</formula>
    </cfRule>
  </conditionalFormatting>
  <conditionalFormatting sqref="BB220 BB212:BB213 BB235:BB238 BB240:BB243 BB225:BB226 BB231:BB233">
    <cfRule type="cellIs" dxfId="16551" priority="7605" operator="lessThan">
      <formula>0</formula>
    </cfRule>
    <cfRule type="cellIs" dxfId="16550" priority="7606" operator="lessThan">
      <formula>-105575</formula>
    </cfRule>
  </conditionalFormatting>
  <conditionalFormatting sqref="BB220:BB221 BB243 BB226 BB231:BB236 BB238:BB241 BB203 BB213">
    <cfRule type="cellIs" dxfId="16549" priority="7603" operator="lessThan">
      <formula>0</formula>
    </cfRule>
    <cfRule type="cellIs" dxfId="16548" priority="7604" operator="lessThan">
      <formula>-105575</formula>
    </cfRule>
  </conditionalFormatting>
  <conditionalFormatting sqref="BB235:BB243 BB231:BB233 BB220 BB212:BB213 BB225:BB226">
    <cfRule type="cellIs" dxfId="16547" priority="7601" operator="lessThan">
      <formula>0</formula>
    </cfRule>
    <cfRule type="cellIs" dxfId="16546" priority="7602" operator="lessThan">
      <formula>-105575</formula>
    </cfRule>
  </conditionalFormatting>
  <conditionalFormatting sqref="BB220:BB221 BB237:BB243 BB203 BB231:BB235 BB212:BB213 BB225:BB226">
    <cfRule type="cellIs" dxfId="16545" priority="7599" operator="lessThan">
      <formula>0</formula>
    </cfRule>
    <cfRule type="cellIs" dxfId="16544" priority="7600" operator="lessThan">
      <formula>-105575</formula>
    </cfRule>
  </conditionalFormatting>
  <conditionalFormatting sqref="BB220:BB221 BB237:BB240 BB242:BB243 BB225:BB226 BB231:BB235">
    <cfRule type="cellIs" dxfId="16543" priority="7597" operator="lessThan">
      <formula>0</formula>
    </cfRule>
    <cfRule type="cellIs" dxfId="16542" priority="7598" operator="lessThan">
      <formula>-105575</formula>
    </cfRule>
  </conditionalFormatting>
  <conditionalFormatting sqref="BB212 BB231 BB233:BB238 BB240:BB243 BB225">
    <cfRule type="cellIs" dxfId="16541" priority="7595" operator="lessThan">
      <formula>0</formula>
    </cfRule>
    <cfRule type="cellIs" dxfId="16540" priority="7596" operator="lessThan">
      <formula>-105575</formula>
    </cfRule>
  </conditionalFormatting>
  <conditionalFormatting sqref="BB237:BB243 BB231:BB235 BB220:BB221 BB225:BB226">
    <cfRule type="cellIs" dxfId="16539" priority="7593" operator="lessThan">
      <formula>0</formula>
    </cfRule>
    <cfRule type="cellIs" dxfId="16538" priority="7594" operator="lessThan">
      <formula>-105575</formula>
    </cfRule>
  </conditionalFormatting>
  <conditionalFormatting sqref="BB233:BB237 BB231 BB239:BB243">
    <cfRule type="cellIs" dxfId="16537" priority="7591" operator="lessThan">
      <formula>0</formula>
    </cfRule>
    <cfRule type="cellIs" dxfId="16536" priority="7592" operator="lessThan">
      <formula>-105575</formula>
    </cfRule>
  </conditionalFormatting>
  <conditionalFormatting sqref="BB233:BB237 BB231 BB239:BB243">
    <cfRule type="cellIs" dxfId="16535" priority="7589" operator="lessThan">
      <formula>0</formula>
    </cfRule>
    <cfRule type="cellIs" dxfId="16534" priority="7590" operator="lessThan">
      <formula>-105575</formula>
    </cfRule>
  </conditionalFormatting>
  <conditionalFormatting sqref="BB119:BB128 BB106:BB117 BB101:BB104 BB80:BB98">
    <cfRule type="cellIs" dxfId="16533" priority="7587" operator="lessThan">
      <formula>0</formula>
    </cfRule>
    <cfRule type="cellIs" dxfId="16532" priority="7588" operator="lessThan">
      <formula>-105575</formula>
    </cfRule>
  </conditionalFormatting>
  <conditionalFormatting sqref="BB130 BB132 BB134">
    <cfRule type="cellIs" dxfId="16531" priority="7585" operator="lessThan">
      <formula>0</formula>
    </cfRule>
    <cfRule type="cellIs" dxfId="16530" priority="7586" operator="lessThan">
      <formula>-105575</formula>
    </cfRule>
  </conditionalFormatting>
  <conditionalFormatting sqref="BB130 BB132 BB134">
    <cfRule type="cellIs" dxfId="16529" priority="7583" operator="lessThan">
      <formula>0</formula>
    </cfRule>
    <cfRule type="cellIs" dxfId="16528" priority="7584" operator="lessThan">
      <formula>-105575</formula>
    </cfRule>
  </conditionalFormatting>
  <conditionalFormatting sqref="BB129 BB131 BB133 BB135">
    <cfRule type="cellIs" dxfId="16527" priority="7581" operator="lessThan">
      <formula>0</formula>
    </cfRule>
    <cfRule type="cellIs" dxfId="16526" priority="7582" operator="lessThan">
      <formula>-105575</formula>
    </cfRule>
  </conditionalFormatting>
  <conditionalFormatting sqref="BB140 BB145 BB142:BB143 BB137:BB138">
    <cfRule type="cellIs" dxfId="16525" priority="7579" operator="lessThan">
      <formula>0</formula>
    </cfRule>
    <cfRule type="cellIs" dxfId="16524" priority="7580" operator="lessThan">
      <formula>-105575</formula>
    </cfRule>
  </conditionalFormatting>
  <conditionalFormatting sqref="BB149">
    <cfRule type="cellIs" dxfId="16523" priority="7577" operator="lessThan">
      <formula>0</formula>
    </cfRule>
    <cfRule type="cellIs" dxfId="16522" priority="7578" operator="lessThan">
      <formula>-105575</formula>
    </cfRule>
  </conditionalFormatting>
  <conditionalFormatting sqref="BB129:BB138 BB140:BB149">
    <cfRule type="cellIs" dxfId="16521" priority="7575" operator="lessThan">
      <formula>0</formula>
    </cfRule>
    <cfRule type="cellIs" dxfId="16520" priority="7576" operator="lessThan">
      <formula>-105575</formula>
    </cfRule>
  </conditionalFormatting>
  <conditionalFormatting sqref="BB94:BB98 BB86:BB87 BB89:BB91 BB141:BB149 BB124:BB133 BB107:BB110 BB112:BB117 BB119:BB122 BB135:BB138 BB101:BB104 BB80:BB84">
    <cfRule type="cellIs" dxfId="16519" priority="7573" operator="lessThan">
      <formula>0</formula>
    </cfRule>
    <cfRule type="cellIs" dxfId="16518" priority="7574" operator="lessThan">
      <formula>-105575</formula>
    </cfRule>
  </conditionalFormatting>
  <conditionalFormatting sqref="BB129 BB131 BB133 BB135">
    <cfRule type="cellIs" dxfId="16517" priority="7571" operator="lessThan">
      <formula>0</formula>
    </cfRule>
    <cfRule type="cellIs" dxfId="16516" priority="7572" operator="lessThan">
      <formula>-105575</formula>
    </cfRule>
  </conditionalFormatting>
  <conditionalFormatting sqref="BB146 BB144 BB141">
    <cfRule type="cellIs" dxfId="16515" priority="7569" operator="lessThan">
      <formula>0</formula>
    </cfRule>
    <cfRule type="cellIs" dxfId="16514" priority="7570" operator="lessThan">
      <formula>-105575</formula>
    </cfRule>
  </conditionalFormatting>
  <conditionalFormatting sqref="BB146 BB144 BB141">
    <cfRule type="cellIs" dxfId="16513" priority="7567" operator="lessThan">
      <formula>0</formula>
    </cfRule>
    <cfRule type="cellIs" dxfId="16512" priority="7568" operator="lessThan">
      <formula>-105575</formula>
    </cfRule>
  </conditionalFormatting>
  <conditionalFormatting sqref="BB140 BB145 BB142:BB143 BB137:BB138">
    <cfRule type="cellIs" dxfId="16511" priority="7565" operator="lessThan">
      <formula>0</formula>
    </cfRule>
    <cfRule type="cellIs" dxfId="16510" priority="7566" operator="lessThan">
      <formula>-105575</formula>
    </cfRule>
  </conditionalFormatting>
  <conditionalFormatting sqref="BB149">
    <cfRule type="cellIs" dxfId="16509" priority="7563" operator="lessThan">
      <formula>0</formula>
    </cfRule>
    <cfRule type="cellIs" dxfId="16508" priority="7564" operator="lessThan">
      <formula>-105575</formula>
    </cfRule>
  </conditionalFormatting>
  <conditionalFormatting sqref="BB94:BB98 BB86:BB87 BB89:BB91 BB141:BB149 BB124:BB133 BB107:BB110 BB112:BB117 BB119:BB122 BB135:BB138 BB101:BB104 BB80:BB84">
    <cfRule type="cellIs" dxfId="16507" priority="7561" operator="lessThan">
      <formula>0</formula>
    </cfRule>
    <cfRule type="cellIs" dxfId="16506" priority="7562" operator="lessThan">
      <formula>-105575</formula>
    </cfRule>
  </conditionalFormatting>
  <conditionalFormatting sqref="BB246:BB249 BB262 BB267 BB279:BB282 BB285:BB288 BB274:BB275 BB306:BB309 BB311:BB325 BB327:BB330 BB332:BB341 BB344:BB347 BB349:BB353 BB355:BB358 BB360:BB384 BB386:BB389 BB392:BB395 BB397:BB411 BB413:BB416 BB418:BB432 BB434:BB437 BB439:BB453 BB455:BB458 BB460:BB469 BB7:BB10 BB12:BB14 BB17:BB18 BB21:BB24 BB26:BB28 BB30:BB36 BB38 BB41:BB43 BB46:BB49 BB51:BB55 BB57:BB59 BB62:BB76 BB251:BB253 BB255:BB257 BB293:BB304 BB264:BB265 BB260 BB290:BB291 BB270:BB272">
    <cfRule type="cellIs" dxfId="16505" priority="7559" operator="lessThan">
      <formula>0</formula>
    </cfRule>
    <cfRule type="cellIs" dxfId="16504" priority="7560" operator="lessThan">
      <formula>-105575</formula>
    </cfRule>
  </conditionalFormatting>
  <conditionalFormatting sqref="BB41">
    <cfRule type="cellIs" dxfId="16503" priority="7557" operator="lessThan">
      <formula>0</formula>
    </cfRule>
    <cfRule type="cellIs" dxfId="16502" priority="7558" operator="lessThan">
      <formula>-105575</formula>
    </cfRule>
  </conditionalFormatting>
  <conditionalFormatting sqref="BB152:BB155">
    <cfRule type="cellIs" dxfId="16501" priority="7555" operator="lessThan">
      <formula>0</formula>
    </cfRule>
    <cfRule type="cellIs" dxfId="16500" priority="7556" operator="lessThan">
      <formula>-105575</formula>
    </cfRule>
  </conditionalFormatting>
  <conditionalFormatting sqref="BB152:BB155">
    <cfRule type="cellIs" dxfId="16499" priority="7553" operator="lessThan">
      <formula>0</formula>
    </cfRule>
    <cfRule type="cellIs" dxfId="16498" priority="7554" operator="lessThan">
      <formula>-105575</formula>
    </cfRule>
  </conditionalFormatting>
  <conditionalFormatting sqref="BB152:BB155">
    <cfRule type="cellIs" dxfId="16497" priority="7551" operator="lessThan">
      <formula>0</formula>
    </cfRule>
    <cfRule type="cellIs" dxfId="16496" priority="7552" operator="lessThan">
      <formula>-105575</formula>
    </cfRule>
  </conditionalFormatting>
  <conditionalFormatting sqref="BB157:BB158">
    <cfRule type="cellIs" dxfId="16495" priority="7549" operator="lessThan">
      <formula>0</formula>
    </cfRule>
    <cfRule type="cellIs" dxfId="16494" priority="7550" operator="lessThan">
      <formula>-105575</formula>
    </cfRule>
  </conditionalFormatting>
  <conditionalFormatting sqref="BB157:BB158">
    <cfRule type="cellIs" dxfId="16493" priority="7547" operator="lessThan">
      <formula>0</formula>
    </cfRule>
    <cfRule type="cellIs" dxfId="16492" priority="7548" operator="lessThan">
      <formula>-105575</formula>
    </cfRule>
  </conditionalFormatting>
  <conditionalFormatting sqref="BB157:BB158">
    <cfRule type="cellIs" dxfId="16491" priority="7545" operator="lessThan">
      <formula>0</formula>
    </cfRule>
    <cfRule type="cellIs" dxfId="16490" priority="7546" operator="lessThan">
      <formula>-105575</formula>
    </cfRule>
  </conditionalFormatting>
  <conditionalFormatting sqref="BB160:BB161">
    <cfRule type="cellIs" dxfId="16489" priority="7543" operator="lessThan">
      <formula>0</formula>
    </cfRule>
    <cfRule type="cellIs" dxfId="16488" priority="7544" operator="lessThan">
      <formula>-105575</formula>
    </cfRule>
  </conditionalFormatting>
  <conditionalFormatting sqref="BB160:BB161">
    <cfRule type="cellIs" dxfId="16487" priority="7541" operator="lessThan">
      <formula>0</formula>
    </cfRule>
    <cfRule type="cellIs" dxfId="16486" priority="7542" operator="lessThan">
      <formula>-105575</formula>
    </cfRule>
  </conditionalFormatting>
  <conditionalFormatting sqref="BB160:BB161">
    <cfRule type="cellIs" dxfId="16485" priority="7539" operator="lessThan">
      <formula>0</formula>
    </cfRule>
    <cfRule type="cellIs" dxfId="16484" priority="7540" operator="lessThan">
      <formula>-105575</formula>
    </cfRule>
  </conditionalFormatting>
  <conditionalFormatting sqref="BB164:BB167">
    <cfRule type="cellIs" dxfId="16483" priority="7537" operator="lessThan">
      <formula>0</formula>
    </cfRule>
    <cfRule type="cellIs" dxfId="16482" priority="7538" operator="lessThan">
      <formula>-105575</formula>
    </cfRule>
  </conditionalFormatting>
  <conditionalFormatting sqref="BB164:BB167">
    <cfRule type="cellIs" dxfId="16481" priority="7535" operator="lessThan">
      <formula>0</formula>
    </cfRule>
    <cfRule type="cellIs" dxfId="16480" priority="7536" operator="lessThan">
      <formula>-105575</formula>
    </cfRule>
  </conditionalFormatting>
  <conditionalFormatting sqref="BB164:BB167">
    <cfRule type="cellIs" dxfId="16479" priority="7533" operator="lessThan">
      <formula>0</formula>
    </cfRule>
    <cfRule type="cellIs" dxfId="16478" priority="7534" operator="lessThan">
      <formula>-105575</formula>
    </cfRule>
  </conditionalFormatting>
  <conditionalFormatting sqref="BB169:BB177">
    <cfRule type="cellIs" dxfId="16477" priority="7531" operator="lessThan">
      <formula>0</formula>
    </cfRule>
    <cfRule type="cellIs" dxfId="16476" priority="7532" operator="lessThan">
      <formula>-105575</formula>
    </cfRule>
  </conditionalFormatting>
  <conditionalFormatting sqref="BB169:BB177">
    <cfRule type="cellIs" dxfId="16475" priority="7529" operator="lessThan">
      <formula>0</formula>
    </cfRule>
    <cfRule type="cellIs" dxfId="16474" priority="7530" operator="lessThan">
      <formula>-105575</formula>
    </cfRule>
  </conditionalFormatting>
  <conditionalFormatting sqref="BB169:BB177">
    <cfRule type="cellIs" dxfId="16473" priority="7527" operator="lessThan">
      <formula>0</formula>
    </cfRule>
    <cfRule type="cellIs" dxfId="16472" priority="7528" operator="lessThan">
      <formula>-105575</formula>
    </cfRule>
  </conditionalFormatting>
  <conditionalFormatting sqref="BB179:BB180">
    <cfRule type="cellIs" dxfId="16471" priority="7525" operator="lessThan">
      <formula>0</formula>
    </cfRule>
    <cfRule type="cellIs" dxfId="16470" priority="7526" operator="lessThan">
      <formula>-105575</formula>
    </cfRule>
  </conditionalFormatting>
  <conditionalFormatting sqref="BB179:BB180">
    <cfRule type="cellIs" dxfId="16469" priority="7523" operator="lessThan">
      <formula>0</formula>
    </cfRule>
    <cfRule type="cellIs" dxfId="16468" priority="7524" operator="lessThan">
      <formula>-105575</formula>
    </cfRule>
  </conditionalFormatting>
  <conditionalFormatting sqref="BB179:BB180">
    <cfRule type="cellIs" dxfId="16467" priority="7521" operator="lessThan">
      <formula>0</formula>
    </cfRule>
    <cfRule type="cellIs" dxfId="16466" priority="7522" operator="lessThan">
      <formula>-105575</formula>
    </cfRule>
  </conditionalFormatting>
  <conditionalFormatting sqref="BB183:BB189">
    <cfRule type="cellIs" dxfId="16465" priority="7519" operator="lessThan">
      <formula>0</formula>
    </cfRule>
    <cfRule type="cellIs" dxfId="16464" priority="7520" operator="lessThan">
      <formula>-105575</formula>
    </cfRule>
  </conditionalFormatting>
  <conditionalFormatting sqref="BB183:BB189">
    <cfRule type="cellIs" dxfId="16463" priority="7517" operator="lessThan">
      <formula>0</formula>
    </cfRule>
    <cfRule type="cellIs" dxfId="16462" priority="7518" operator="lessThan">
      <formula>-105575</formula>
    </cfRule>
  </conditionalFormatting>
  <conditionalFormatting sqref="BB183:BB189">
    <cfRule type="cellIs" dxfId="16461" priority="7515" operator="lessThan">
      <formula>0</formula>
    </cfRule>
    <cfRule type="cellIs" dxfId="16460" priority="7516" operator="lessThan">
      <formula>-105575</formula>
    </cfRule>
  </conditionalFormatting>
  <conditionalFormatting sqref="BB191:BB192">
    <cfRule type="cellIs" dxfId="16459" priority="7513" operator="lessThan">
      <formula>0</formula>
    </cfRule>
    <cfRule type="cellIs" dxfId="16458" priority="7514" operator="lessThan">
      <formula>-105575</formula>
    </cfRule>
  </conditionalFormatting>
  <conditionalFormatting sqref="BB191:BB192">
    <cfRule type="cellIs" dxfId="16457" priority="7511" operator="lessThan">
      <formula>0</formula>
    </cfRule>
    <cfRule type="cellIs" dxfId="16456" priority="7512" operator="lessThan">
      <formula>-105575</formula>
    </cfRule>
  </conditionalFormatting>
  <conditionalFormatting sqref="BB191:BB192">
    <cfRule type="cellIs" dxfId="16455" priority="7509" operator="lessThan">
      <formula>0</formula>
    </cfRule>
    <cfRule type="cellIs" dxfId="16454" priority="7510" operator="lessThan">
      <formula>-105575</formula>
    </cfRule>
  </conditionalFormatting>
  <conditionalFormatting sqref="BB194:BB195">
    <cfRule type="cellIs" dxfId="16453" priority="7507" operator="lessThan">
      <formula>0</formula>
    </cfRule>
    <cfRule type="cellIs" dxfId="16452" priority="7508" operator="lessThan">
      <formula>-105575</formula>
    </cfRule>
  </conditionalFormatting>
  <conditionalFormatting sqref="BB194:BB195">
    <cfRule type="cellIs" dxfId="16451" priority="7505" operator="lessThan">
      <formula>0</formula>
    </cfRule>
    <cfRule type="cellIs" dxfId="16450" priority="7506" operator="lessThan">
      <formula>-105575</formula>
    </cfRule>
  </conditionalFormatting>
  <conditionalFormatting sqref="BB194:BB195">
    <cfRule type="cellIs" dxfId="16449" priority="7503" operator="lessThan">
      <formula>0</formula>
    </cfRule>
    <cfRule type="cellIs" dxfId="16448" priority="7504" operator="lessThan">
      <formula>-105575</formula>
    </cfRule>
  </conditionalFormatting>
  <conditionalFormatting sqref="BB199:BB202">
    <cfRule type="cellIs" dxfId="16447" priority="7501" operator="lessThan">
      <formula>0</formula>
    </cfRule>
    <cfRule type="cellIs" dxfId="16446" priority="7502" operator="lessThan">
      <formula>-105575</formula>
    </cfRule>
  </conditionalFormatting>
  <conditionalFormatting sqref="BB199:BB202">
    <cfRule type="cellIs" dxfId="16445" priority="7499" operator="lessThan">
      <formula>0</formula>
    </cfRule>
    <cfRule type="cellIs" dxfId="16444" priority="7500" operator="lessThan">
      <formula>-105575</formula>
    </cfRule>
  </conditionalFormatting>
  <conditionalFormatting sqref="BB199:BB202">
    <cfRule type="cellIs" dxfId="16443" priority="7497" operator="lessThan">
      <formula>0</formula>
    </cfRule>
    <cfRule type="cellIs" dxfId="16442" priority="7498" operator="lessThan">
      <formula>-105575</formula>
    </cfRule>
  </conditionalFormatting>
  <conditionalFormatting sqref="BB204:BB208">
    <cfRule type="cellIs" dxfId="16441" priority="7495" operator="lessThan">
      <formula>0</formula>
    </cfRule>
    <cfRule type="cellIs" dxfId="16440" priority="7496" operator="lessThan">
      <formula>-105575</formula>
    </cfRule>
  </conditionalFormatting>
  <conditionalFormatting sqref="BB204:BB208">
    <cfRule type="cellIs" dxfId="16439" priority="7493" operator="lessThan">
      <formula>0</formula>
    </cfRule>
    <cfRule type="cellIs" dxfId="16438" priority="7494" operator="lessThan">
      <formula>-105575</formula>
    </cfRule>
  </conditionalFormatting>
  <conditionalFormatting sqref="BB204:BB208">
    <cfRule type="cellIs" dxfId="16437" priority="7491" operator="lessThan">
      <formula>0</formula>
    </cfRule>
    <cfRule type="cellIs" dxfId="16436" priority="7492" operator="lessThan">
      <formula>-105575</formula>
    </cfRule>
  </conditionalFormatting>
  <conditionalFormatting sqref="BB210:BB211">
    <cfRule type="cellIs" dxfId="16435" priority="7489" operator="lessThan">
      <formula>0</formula>
    </cfRule>
    <cfRule type="cellIs" dxfId="16434" priority="7490" operator="lessThan">
      <formula>-105575</formula>
    </cfRule>
  </conditionalFormatting>
  <conditionalFormatting sqref="BB210:BB211">
    <cfRule type="cellIs" dxfId="16433" priority="7487" operator="lessThan">
      <formula>0</formula>
    </cfRule>
    <cfRule type="cellIs" dxfId="16432" priority="7488" operator="lessThan">
      <formula>-105575</formula>
    </cfRule>
  </conditionalFormatting>
  <conditionalFormatting sqref="BB210:BB211">
    <cfRule type="cellIs" dxfId="16431" priority="7485" operator="lessThan">
      <formula>0</formula>
    </cfRule>
    <cfRule type="cellIs" dxfId="16430" priority="7486" operator="lessThan">
      <formula>-105575</formula>
    </cfRule>
  </conditionalFormatting>
  <conditionalFormatting sqref="BB214:BB219">
    <cfRule type="cellIs" dxfId="16429" priority="7483" operator="lessThan">
      <formula>0</formula>
    </cfRule>
    <cfRule type="cellIs" dxfId="16428" priority="7484" operator="lessThan">
      <formula>-105575</formula>
    </cfRule>
  </conditionalFormatting>
  <conditionalFormatting sqref="BB214:BB219">
    <cfRule type="cellIs" dxfId="16427" priority="7481" operator="lessThan">
      <formula>0</formula>
    </cfRule>
    <cfRule type="cellIs" dxfId="16426" priority="7482" operator="lessThan">
      <formula>-105575</formula>
    </cfRule>
  </conditionalFormatting>
  <conditionalFormatting sqref="BB214:BB219">
    <cfRule type="cellIs" dxfId="16425" priority="7479" operator="lessThan">
      <formula>0</formula>
    </cfRule>
    <cfRule type="cellIs" dxfId="16424" priority="7480" operator="lessThan">
      <formula>-105575</formula>
    </cfRule>
  </conditionalFormatting>
  <conditionalFormatting sqref="BB222:BB224">
    <cfRule type="cellIs" dxfId="16423" priority="7477" operator="lessThan">
      <formula>0</formula>
    </cfRule>
    <cfRule type="cellIs" dxfId="16422" priority="7478" operator="lessThan">
      <formula>-105575</formula>
    </cfRule>
  </conditionalFormatting>
  <conditionalFormatting sqref="BB222:BB224">
    <cfRule type="cellIs" dxfId="16421" priority="7475" operator="lessThan">
      <formula>0</formula>
    </cfRule>
    <cfRule type="cellIs" dxfId="16420" priority="7476" operator="lessThan">
      <formula>-105575</formula>
    </cfRule>
  </conditionalFormatting>
  <conditionalFormatting sqref="BB222:BB224">
    <cfRule type="cellIs" dxfId="16419" priority="7473" operator="lessThan">
      <formula>0</formula>
    </cfRule>
    <cfRule type="cellIs" dxfId="16418" priority="7474" operator="lessThan">
      <formula>-105575</formula>
    </cfRule>
  </conditionalFormatting>
  <conditionalFormatting sqref="BB227:BB230">
    <cfRule type="cellIs" dxfId="16417" priority="7471" operator="lessThan">
      <formula>0</formula>
    </cfRule>
    <cfRule type="cellIs" dxfId="16416" priority="7472" operator="lessThan">
      <formula>-105575</formula>
    </cfRule>
  </conditionalFormatting>
  <conditionalFormatting sqref="BB227:BB230">
    <cfRule type="cellIs" dxfId="16415" priority="7469" operator="lessThan">
      <formula>0</formula>
    </cfRule>
    <cfRule type="cellIs" dxfId="16414" priority="7470" operator="lessThan">
      <formula>-105575</formula>
    </cfRule>
  </conditionalFormatting>
  <conditionalFormatting sqref="BB227:BB230">
    <cfRule type="cellIs" dxfId="16413" priority="7467" operator="lessThan">
      <formula>0</formula>
    </cfRule>
    <cfRule type="cellIs" dxfId="16412" priority="7468" operator="lessThan">
      <formula>-105575</formula>
    </cfRule>
  </conditionalFormatting>
  <conditionalFormatting sqref="BB203 BB220:BB221 BB235:BB243 BB231:BB233 BB212:BB213 BB225:BB226">
    <cfRule type="cellIs" dxfId="16411" priority="7465" operator="lessThan">
      <formula>0</formula>
    </cfRule>
    <cfRule type="cellIs" dxfId="16410" priority="7466" operator="lessThan">
      <formula>-105575</formula>
    </cfRule>
  </conditionalFormatting>
  <conditionalFormatting sqref="BB220 BB212:BB213 BB235:BB238 BB240:BB243 BB225:BB226 BB231:BB233">
    <cfRule type="cellIs" dxfId="16409" priority="7463" operator="lessThan">
      <formula>0</formula>
    </cfRule>
    <cfRule type="cellIs" dxfId="16408" priority="7464" operator="lessThan">
      <formula>-105575</formula>
    </cfRule>
  </conditionalFormatting>
  <conditionalFormatting sqref="BB220:BB221 BB243 BB226 BB231:BB236 BB238:BB241 BB203 BB213">
    <cfRule type="cellIs" dxfId="16407" priority="7461" operator="lessThan">
      <formula>0</formula>
    </cfRule>
    <cfRule type="cellIs" dxfId="16406" priority="7462" operator="lessThan">
      <formula>-105575</formula>
    </cfRule>
  </conditionalFormatting>
  <conditionalFormatting sqref="BB235:BB243 BB231:BB233 BB220 BB212:BB213 BB225:BB226">
    <cfRule type="cellIs" dxfId="16405" priority="7459" operator="lessThan">
      <formula>0</formula>
    </cfRule>
    <cfRule type="cellIs" dxfId="16404" priority="7460" operator="lessThan">
      <formula>-105575</formula>
    </cfRule>
  </conditionalFormatting>
  <conditionalFormatting sqref="BB220:BB221 BB237:BB243 BB203 BB231:BB235 BB212:BB213 BB225:BB226">
    <cfRule type="cellIs" dxfId="16403" priority="7457" operator="lessThan">
      <formula>0</formula>
    </cfRule>
    <cfRule type="cellIs" dxfId="16402" priority="7458" operator="lessThan">
      <formula>-105575</formula>
    </cfRule>
  </conditionalFormatting>
  <conditionalFormatting sqref="BB220:BB221 BB237:BB240 BB242:BB243 BB225:BB226 BB231:BB235">
    <cfRule type="cellIs" dxfId="16401" priority="7455" operator="lessThan">
      <formula>0</formula>
    </cfRule>
    <cfRule type="cellIs" dxfId="16400" priority="7456" operator="lessThan">
      <formula>-105575</formula>
    </cfRule>
  </conditionalFormatting>
  <conditionalFormatting sqref="BB212 BB231 BB233:BB238 BB240:BB243 BB225">
    <cfRule type="cellIs" dxfId="16399" priority="7453" operator="lessThan">
      <formula>0</formula>
    </cfRule>
    <cfRule type="cellIs" dxfId="16398" priority="7454" operator="lessThan">
      <formula>-105575</formula>
    </cfRule>
  </conditionalFormatting>
  <conditionalFormatting sqref="BB237:BB243 BB231:BB235 BB220:BB221 BB225:BB226">
    <cfRule type="cellIs" dxfId="16397" priority="7451" operator="lessThan">
      <formula>0</formula>
    </cfRule>
    <cfRule type="cellIs" dxfId="16396" priority="7452" operator="lessThan">
      <formula>-105575</formula>
    </cfRule>
  </conditionalFormatting>
  <conditionalFormatting sqref="BB233:BB237 BB231 BB239:BB243">
    <cfRule type="cellIs" dxfId="16395" priority="7449" operator="lessThan">
      <formula>0</formula>
    </cfRule>
    <cfRule type="cellIs" dxfId="16394" priority="7450" operator="lessThan">
      <formula>-105575</formula>
    </cfRule>
  </conditionalFormatting>
  <conditionalFormatting sqref="BB233:BB237 BB231 BB239:BB243">
    <cfRule type="cellIs" dxfId="16393" priority="7447" operator="lessThan">
      <formula>0</formula>
    </cfRule>
    <cfRule type="cellIs" dxfId="16392" priority="7448" operator="lessThan">
      <formula>-105575</formula>
    </cfRule>
  </conditionalFormatting>
  <conditionalFormatting sqref="BB119:BB128 BB106:BB117 BB101:BB104 BB80:BB98">
    <cfRule type="cellIs" dxfId="16391" priority="7445" operator="lessThan">
      <formula>0</formula>
    </cfRule>
    <cfRule type="cellIs" dxfId="16390" priority="7446" operator="lessThan">
      <formula>-105575</formula>
    </cfRule>
  </conditionalFormatting>
  <conditionalFormatting sqref="BB130 BB132 BB134">
    <cfRule type="cellIs" dxfId="16389" priority="7443" operator="lessThan">
      <formula>0</formula>
    </cfRule>
    <cfRule type="cellIs" dxfId="16388" priority="7444" operator="lessThan">
      <formula>-105575</formula>
    </cfRule>
  </conditionalFormatting>
  <conditionalFormatting sqref="BB130 BB132 BB134">
    <cfRule type="cellIs" dxfId="16387" priority="7441" operator="lessThan">
      <formula>0</formula>
    </cfRule>
    <cfRule type="cellIs" dxfId="16386" priority="7442" operator="lessThan">
      <formula>-105575</formula>
    </cfRule>
  </conditionalFormatting>
  <conditionalFormatting sqref="BB129 BB131 BB133 BB135">
    <cfRule type="cellIs" dxfId="16385" priority="7439" operator="lessThan">
      <formula>0</formula>
    </cfRule>
    <cfRule type="cellIs" dxfId="16384" priority="7440" operator="lessThan">
      <formula>-105575</formula>
    </cfRule>
  </conditionalFormatting>
  <conditionalFormatting sqref="BB140 BB145 BB142:BB143 BB137:BB138">
    <cfRule type="cellIs" dxfId="16383" priority="7437" operator="lessThan">
      <formula>0</formula>
    </cfRule>
    <cfRule type="cellIs" dxfId="16382" priority="7438" operator="lessThan">
      <formula>-105575</formula>
    </cfRule>
  </conditionalFormatting>
  <conditionalFormatting sqref="BB149">
    <cfRule type="cellIs" dxfId="16381" priority="7435" operator="lessThan">
      <formula>0</formula>
    </cfRule>
    <cfRule type="cellIs" dxfId="16380" priority="7436" operator="lessThan">
      <formula>-105575</formula>
    </cfRule>
  </conditionalFormatting>
  <conditionalFormatting sqref="BB129:BB138 BB140:BB149">
    <cfRule type="cellIs" dxfId="16379" priority="7433" operator="lessThan">
      <formula>0</formula>
    </cfRule>
    <cfRule type="cellIs" dxfId="16378" priority="7434" operator="lessThan">
      <formula>-105575</formula>
    </cfRule>
  </conditionalFormatting>
  <conditionalFormatting sqref="BB94:BB98 BB86:BB87 BB89:BB91 BB141:BB149 BB124:BB133 BB107:BB110 BB112:BB117 BB119:BB122 BB135:BB138 BB101:BB104 BB80:BB84">
    <cfRule type="cellIs" dxfId="16377" priority="7431" operator="lessThan">
      <formula>0</formula>
    </cfRule>
    <cfRule type="cellIs" dxfId="16376" priority="7432" operator="lessThan">
      <formula>-105575</formula>
    </cfRule>
  </conditionalFormatting>
  <conditionalFormatting sqref="BB129 BB131 BB133 BB135">
    <cfRule type="cellIs" dxfId="16375" priority="7429" operator="lessThan">
      <formula>0</formula>
    </cfRule>
    <cfRule type="cellIs" dxfId="16374" priority="7430" operator="lessThan">
      <formula>-105575</formula>
    </cfRule>
  </conditionalFormatting>
  <conditionalFormatting sqref="BB146 BB144 BB141">
    <cfRule type="cellIs" dxfId="16373" priority="7427" operator="lessThan">
      <formula>0</formula>
    </cfRule>
    <cfRule type="cellIs" dxfId="16372" priority="7428" operator="lessThan">
      <formula>-105575</formula>
    </cfRule>
  </conditionalFormatting>
  <conditionalFormatting sqref="BB146 BB144 BB141">
    <cfRule type="cellIs" dxfId="16371" priority="7425" operator="lessThan">
      <formula>0</formula>
    </cfRule>
    <cfRule type="cellIs" dxfId="16370" priority="7426" operator="lessThan">
      <formula>-105575</formula>
    </cfRule>
  </conditionalFormatting>
  <conditionalFormatting sqref="BB140 BB145 BB142:BB143 BB137:BB138">
    <cfRule type="cellIs" dxfId="16369" priority="7423" operator="lessThan">
      <formula>0</formula>
    </cfRule>
    <cfRule type="cellIs" dxfId="16368" priority="7424" operator="lessThan">
      <formula>-105575</formula>
    </cfRule>
  </conditionalFormatting>
  <conditionalFormatting sqref="BB149">
    <cfRule type="cellIs" dxfId="16367" priority="7421" operator="lessThan">
      <formula>0</formula>
    </cfRule>
    <cfRule type="cellIs" dxfId="16366" priority="7422" operator="lessThan">
      <formula>-105575</formula>
    </cfRule>
  </conditionalFormatting>
  <conditionalFormatting sqref="BB94:BB98 BB86:BB87 BB89:BB91 BB141:BB149 BB124:BB133 BB107:BB110 BB112:BB117 BB119:BB122 BB135:BB138 BB101:BB104 BB80:BB84">
    <cfRule type="cellIs" dxfId="16365" priority="7419" operator="lessThan">
      <formula>0</formula>
    </cfRule>
    <cfRule type="cellIs" dxfId="16364" priority="7420" operator="lessThan">
      <formula>-105575</formula>
    </cfRule>
  </conditionalFormatting>
  <conditionalFormatting sqref="BB62:BB76 BB306:BB309 BB311:BB325 BB327:BB330 BB332:BB341 BB344:BB347 BB349:BB353 BB355:BB358 BB360:BB384 BB386:BB389 BB392:BB395 BB397:BB411 BB413:BB416 BB418:BB432 BB434:BB437 BB439:BB453 BB455:BB458 BB460:BB469 BB7:BB10 BB12:BB14 BB17:BB18 BB21:BB24 BB26:BB28 BB30:BB36 BB38 BB41:BB43 BB46:BB49 BB51:BB55 BB57:BB59 BB290:BB291 BB293:BB304">
    <cfRule type="cellIs" dxfId="16363" priority="7417" operator="lessThan">
      <formula>0</formula>
    </cfRule>
    <cfRule type="cellIs" dxfId="16362" priority="7418" operator="lessThan">
      <formula>-105575</formula>
    </cfRule>
  </conditionalFormatting>
  <conditionalFormatting sqref="BB41">
    <cfRule type="cellIs" dxfId="16361" priority="7415" operator="lessThan">
      <formula>0</formula>
    </cfRule>
    <cfRule type="cellIs" dxfId="16360" priority="7416" operator="lessThan">
      <formula>-105575</formula>
    </cfRule>
  </conditionalFormatting>
  <conditionalFormatting sqref="BB152:BB155">
    <cfRule type="cellIs" dxfId="16359" priority="7413" operator="lessThan">
      <formula>0</formula>
    </cfRule>
    <cfRule type="cellIs" dxfId="16358" priority="7414" operator="lessThan">
      <formula>-105575</formula>
    </cfRule>
  </conditionalFormatting>
  <conditionalFormatting sqref="BB152:BB155">
    <cfRule type="cellIs" dxfId="16357" priority="7411" operator="lessThan">
      <formula>0</formula>
    </cfRule>
    <cfRule type="cellIs" dxfId="16356" priority="7412" operator="lessThan">
      <formula>-105575</formula>
    </cfRule>
  </conditionalFormatting>
  <conditionalFormatting sqref="BB152:BB155">
    <cfRule type="cellIs" dxfId="16355" priority="7409" operator="lessThan">
      <formula>0</formula>
    </cfRule>
    <cfRule type="cellIs" dxfId="16354" priority="7410" operator="lessThan">
      <formula>-105575</formula>
    </cfRule>
  </conditionalFormatting>
  <conditionalFormatting sqref="BB157:BB158">
    <cfRule type="cellIs" dxfId="16353" priority="7407" operator="lessThan">
      <formula>0</formula>
    </cfRule>
    <cfRule type="cellIs" dxfId="16352" priority="7408" operator="lessThan">
      <formula>-105575</formula>
    </cfRule>
  </conditionalFormatting>
  <conditionalFormatting sqref="BB157:BB158">
    <cfRule type="cellIs" dxfId="16351" priority="7405" operator="lessThan">
      <formula>0</formula>
    </cfRule>
    <cfRule type="cellIs" dxfId="16350" priority="7406" operator="lessThan">
      <formula>-105575</formula>
    </cfRule>
  </conditionalFormatting>
  <conditionalFormatting sqref="BB157:BB158">
    <cfRule type="cellIs" dxfId="16349" priority="7403" operator="lessThan">
      <formula>0</formula>
    </cfRule>
    <cfRule type="cellIs" dxfId="16348" priority="7404" operator="lessThan">
      <formula>-105575</formula>
    </cfRule>
  </conditionalFormatting>
  <conditionalFormatting sqref="BB160:BB161">
    <cfRule type="cellIs" dxfId="16347" priority="7401" operator="lessThan">
      <formula>0</formula>
    </cfRule>
    <cfRule type="cellIs" dxfId="16346" priority="7402" operator="lessThan">
      <formula>-105575</formula>
    </cfRule>
  </conditionalFormatting>
  <conditionalFormatting sqref="BB160:BB161">
    <cfRule type="cellIs" dxfId="16345" priority="7399" operator="lessThan">
      <formula>0</formula>
    </cfRule>
    <cfRule type="cellIs" dxfId="16344" priority="7400" operator="lessThan">
      <formula>-105575</formula>
    </cfRule>
  </conditionalFormatting>
  <conditionalFormatting sqref="BB160:BB161">
    <cfRule type="cellIs" dxfId="16343" priority="7397" operator="lessThan">
      <formula>0</formula>
    </cfRule>
    <cfRule type="cellIs" dxfId="16342" priority="7398" operator="lessThan">
      <formula>-105575</formula>
    </cfRule>
  </conditionalFormatting>
  <conditionalFormatting sqref="BB164:BB167">
    <cfRule type="cellIs" dxfId="16341" priority="7395" operator="lessThan">
      <formula>0</formula>
    </cfRule>
    <cfRule type="cellIs" dxfId="16340" priority="7396" operator="lessThan">
      <formula>-105575</formula>
    </cfRule>
  </conditionalFormatting>
  <conditionalFormatting sqref="BB164:BB167">
    <cfRule type="cellIs" dxfId="16339" priority="7393" operator="lessThan">
      <formula>0</formula>
    </cfRule>
    <cfRule type="cellIs" dxfId="16338" priority="7394" operator="lessThan">
      <formula>-105575</formula>
    </cfRule>
  </conditionalFormatting>
  <conditionalFormatting sqref="BB164:BB167">
    <cfRule type="cellIs" dxfId="16337" priority="7391" operator="lessThan">
      <formula>0</formula>
    </cfRule>
    <cfRule type="cellIs" dxfId="16336" priority="7392" operator="lessThan">
      <formula>-105575</formula>
    </cfRule>
  </conditionalFormatting>
  <conditionalFormatting sqref="BB169:BB177">
    <cfRule type="cellIs" dxfId="16335" priority="7389" operator="lessThan">
      <formula>0</formula>
    </cfRule>
    <cfRule type="cellIs" dxfId="16334" priority="7390" operator="lessThan">
      <formula>-105575</formula>
    </cfRule>
  </conditionalFormatting>
  <conditionalFormatting sqref="BB169:BB177">
    <cfRule type="cellIs" dxfId="16333" priority="7387" operator="lessThan">
      <formula>0</formula>
    </cfRule>
    <cfRule type="cellIs" dxfId="16332" priority="7388" operator="lessThan">
      <formula>-105575</formula>
    </cfRule>
  </conditionalFormatting>
  <conditionalFormatting sqref="BB169:BB177">
    <cfRule type="cellIs" dxfId="16331" priority="7385" operator="lessThan">
      <formula>0</formula>
    </cfRule>
    <cfRule type="cellIs" dxfId="16330" priority="7386" operator="lessThan">
      <formula>-105575</formula>
    </cfRule>
  </conditionalFormatting>
  <conditionalFormatting sqref="BB179:BB180">
    <cfRule type="cellIs" dxfId="16329" priority="7383" operator="lessThan">
      <formula>0</formula>
    </cfRule>
    <cfRule type="cellIs" dxfId="16328" priority="7384" operator="lessThan">
      <formula>-105575</formula>
    </cfRule>
  </conditionalFormatting>
  <conditionalFormatting sqref="BB179:BB180">
    <cfRule type="cellIs" dxfId="16327" priority="7381" operator="lessThan">
      <formula>0</formula>
    </cfRule>
    <cfRule type="cellIs" dxfId="16326" priority="7382" operator="lessThan">
      <formula>-105575</formula>
    </cfRule>
  </conditionalFormatting>
  <conditionalFormatting sqref="BB179:BB180">
    <cfRule type="cellIs" dxfId="16325" priority="7379" operator="lessThan">
      <formula>0</formula>
    </cfRule>
    <cfRule type="cellIs" dxfId="16324" priority="7380" operator="lessThan">
      <formula>-105575</formula>
    </cfRule>
  </conditionalFormatting>
  <conditionalFormatting sqref="BB183:BB189">
    <cfRule type="cellIs" dxfId="16323" priority="7377" operator="lessThan">
      <formula>0</formula>
    </cfRule>
    <cfRule type="cellIs" dxfId="16322" priority="7378" operator="lessThan">
      <formula>-105575</formula>
    </cfRule>
  </conditionalFormatting>
  <conditionalFormatting sqref="BB183:BB189">
    <cfRule type="cellIs" dxfId="16321" priority="7375" operator="lessThan">
      <formula>0</formula>
    </cfRule>
    <cfRule type="cellIs" dxfId="16320" priority="7376" operator="lessThan">
      <formula>-105575</formula>
    </cfRule>
  </conditionalFormatting>
  <conditionalFormatting sqref="BB183:BB189">
    <cfRule type="cellIs" dxfId="16319" priority="7373" operator="lessThan">
      <formula>0</formula>
    </cfRule>
    <cfRule type="cellIs" dxfId="16318" priority="7374" operator="lessThan">
      <formula>-105575</formula>
    </cfRule>
  </conditionalFormatting>
  <conditionalFormatting sqref="BB191:BB192">
    <cfRule type="cellIs" dxfId="16317" priority="7371" operator="lessThan">
      <formula>0</formula>
    </cfRule>
    <cfRule type="cellIs" dxfId="16316" priority="7372" operator="lessThan">
      <formula>-105575</formula>
    </cfRule>
  </conditionalFormatting>
  <conditionalFormatting sqref="BB191:BB192">
    <cfRule type="cellIs" dxfId="16315" priority="7369" operator="lessThan">
      <formula>0</formula>
    </cfRule>
    <cfRule type="cellIs" dxfId="16314" priority="7370" operator="lessThan">
      <formula>-105575</formula>
    </cfRule>
  </conditionalFormatting>
  <conditionalFormatting sqref="BB191:BB192">
    <cfRule type="cellIs" dxfId="16313" priority="7367" operator="lessThan">
      <formula>0</formula>
    </cfRule>
    <cfRule type="cellIs" dxfId="16312" priority="7368" operator="lessThan">
      <formula>-105575</formula>
    </cfRule>
  </conditionalFormatting>
  <conditionalFormatting sqref="BB194:BB195">
    <cfRule type="cellIs" dxfId="16311" priority="7365" operator="lessThan">
      <formula>0</formula>
    </cfRule>
    <cfRule type="cellIs" dxfId="16310" priority="7366" operator="lessThan">
      <formula>-105575</formula>
    </cfRule>
  </conditionalFormatting>
  <conditionalFormatting sqref="BB194:BB195">
    <cfRule type="cellIs" dxfId="16309" priority="7363" operator="lessThan">
      <formula>0</formula>
    </cfRule>
    <cfRule type="cellIs" dxfId="16308" priority="7364" operator="lessThan">
      <formula>-105575</formula>
    </cfRule>
  </conditionalFormatting>
  <conditionalFormatting sqref="BB194:BB195">
    <cfRule type="cellIs" dxfId="16307" priority="7361" operator="lessThan">
      <formula>0</formula>
    </cfRule>
    <cfRule type="cellIs" dxfId="16306" priority="7362" operator="lessThan">
      <formula>-105575</formula>
    </cfRule>
  </conditionalFormatting>
  <conditionalFormatting sqref="BB199:BB202">
    <cfRule type="cellIs" dxfId="16305" priority="7359" operator="lessThan">
      <formula>0</formula>
    </cfRule>
    <cfRule type="cellIs" dxfId="16304" priority="7360" operator="lessThan">
      <formula>-105575</formula>
    </cfRule>
  </conditionalFormatting>
  <conditionalFormatting sqref="BB199:BB202">
    <cfRule type="cellIs" dxfId="16303" priority="7357" operator="lessThan">
      <formula>0</formula>
    </cfRule>
    <cfRule type="cellIs" dxfId="16302" priority="7358" operator="lessThan">
      <formula>-105575</formula>
    </cfRule>
  </conditionalFormatting>
  <conditionalFormatting sqref="BB199:BB202">
    <cfRule type="cellIs" dxfId="16301" priority="7355" operator="lessThan">
      <formula>0</formula>
    </cfRule>
    <cfRule type="cellIs" dxfId="16300" priority="7356" operator="lessThan">
      <formula>-105575</formula>
    </cfRule>
  </conditionalFormatting>
  <conditionalFormatting sqref="BB204:BB208">
    <cfRule type="cellIs" dxfId="16299" priority="7353" operator="lessThan">
      <formula>0</formula>
    </cfRule>
    <cfRule type="cellIs" dxfId="16298" priority="7354" operator="lessThan">
      <formula>-105575</formula>
    </cfRule>
  </conditionalFormatting>
  <conditionalFormatting sqref="BB204:BB208">
    <cfRule type="cellIs" dxfId="16297" priority="7351" operator="lessThan">
      <formula>0</formula>
    </cfRule>
    <cfRule type="cellIs" dxfId="16296" priority="7352" operator="lessThan">
      <formula>-105575</formula>
    </cfRule>
  </conditionalFormatting>
  <conditionalFormatting sqref="BB204:BB208">
    <cfRule type="cellIs" dxfId="16295" priority="7349" operator="lessThan">
      <formula>0</formula>
    </cfRule>
    <cfRule type="cellIs" dxfId="16294" priority="7350" operator="lessThan">
      <formula>-105575</formula>
    </cfRule>
  </conditionalFormatting>
  <conditionalFormatting sqref="BB210:BB211">
    <cfRule type="cellIs" dxfId="16293" priority="7347" operator="lessThan">
      <formula>0</formula>
    </cfRule>
    <cfRule type="cellIs" dxfId="16292" priority="7348" operator="lessThan">
      <formula>-105575</formula>
    </cfRule>
  </conditionalFormatting>
  <conditionalFormatting sqref="BB210:BB211">
    <cfRule type="cellIs" dxfId="16291" priority="7345" operator="lessThan">
      <formula>0</formula>
    </cfRule>
    <cfRule type="cellIs" dxfId="16290" priority="7346" operator="lessThan">
      <formula>-105575</formula>
    </cfRule>
  </conditionalFormatting>
  <conditionalFormatting sqref="BB210:BB211">
    <cfRule type="cellIs" dxfId="16289" priority="7343" operator="lessThan">
      <formula>0</formula>
    </cfRule>
    <cfRule type="cellIs" dxfId="16288" priority="7344" operator="lessThan">
      <formula>-105575</formula>
    </cfRule>
  </conditionalFormatting>
  <conditionalFormatting sqref="BB214:BB219">
    <cfRule type="cellIs" dxfId="16287" priority="7341" operator="lessThan">
      <formula>0</formula>
    </cfRule>
    <cfRule type="cellIs" dxfId="16286" priority="7342" operator="lessThan">
      <formula>-105575</formula>
    </cfRule>
  </conditionalFormatting>
  <conditionalFormatting sqref="BB214:BB219">
    <cfRule type="cellIs" dxfId="16285" priority="7339" operator="lessThan">
      <formula>0</formula>
    </cfRule>
    <cfRule type="cellIs" dxfId="16284" priority="7340" operator="lessThan">
      <formula>-105575</formula>
    </cfRule>
  </conditionalFormatting>
  <conditionalFormatting sqref="BB214:BB219">
    <cfRule type="cellIs" dxfId="16283" priority="7337" operator="lessThan">
      <formula>0</formula>
    </cfRule>
    <cfRule type="cellIs" dxfId="16282" priority="7338" operator="lessThan">
      <formula>-105575</formula>
    </cfRule>
  </conditionalFormatting>
  <conditionalFormatting sqref="BB222:BB224">
    <cfRule type="cellIs" dxfId="16281" priority="7335" operator="lessThan">
      <formula>0</formula>
    </cfRule>
    <cfRule type="cellIs" dxfId="16280" priority="7336" operator="lessThan">
      <formula>-105575</formula>
    </cfRule>
  </conditionalFormatting>
  <conditionalFormatting sqref="BB222:BB224">
    <cfRule type="cellIs" dxfId="16279" priority="7333" operator="lessThan">
      <formula>0</formula>
    </cfRule>
    <cfRule type="cellIs" dxfId="16278" priority="7334" operator="lessThan">
      <formula>-105575</formula>
    </cfRule>
  </conditionalFormatting>
  <conditionalFormatting sqref="BB222:BB224">
    <cfRule type="cellIs" dxfId="16277" priority="7331" operator="lessThan">
      <formula>0</formula>
    </cfRule>
    <cfRule type="cellIs" dxfId="16276" priority="7332" operator="lessThan">
      <formula>-105575</formula>
    </cfRule>
  </conditionalFormatting>
  <conditionalFormatting sqref="BB227:BB230">
    <cfRule type="cellIs" dxfId="16275" priority="7329" operator="lessThan">
      <formula>0</formula>
    </cfRule>
    <cfRule type="cellIs" dxfId="16274" priority="7330" operator="lessThan">
      <formula>-105575</formula>
    </cfRule>
  </conditionalFormatting>
  <conditionalFormatting sqref="BB227:BB230">
    <cfRule type="cellIs" dxfId="16273" priority="7327" operator="lessThan">
      <formula>0</formula>
    </cfRule>
    <cfRule type="cellIs" dxfId="16272" priority="7328" operator="lessThan">
      <formula>-105575</formula>
    </cfRule>
  </conditionalFormatting>
  <conditionalFormatting sqref="BB227:BB230">
    <cfRule type="cellIs" dxfId="16271" priority="7325" operator="lessThan">
      <formula>0</formula>
    </cfRule>
    <cfRule type="cellIs" dxfId="16270" priority="7326" operator="lessThan">
      <formula>-105575</formula>
    </cfRule>
  </conditionalFormatting>
  <conditionalFormatting sqref="BB246:BB249">
    <cfRule type="cellIs" dxfId="16269" priority="7323" operator="lessThan">
      <formula>0</formula>
    </cfRule>
    <cfRule type="cellIs" dxfId="16268" priority="7324" operator="lessThan">
      <formula>-105575</formula>
    </cfRule>
  </conditionalFormatting>
  <conditionalFormatting sqref="BB246:BB249">
    <cfRule type="cellIs" dxfId="16267" priority="7321" operator="lessThan">
      <formula>0</formula>
    </cfRule>
    <cfRule type="cellIs" dxfId="16266" priority="7322" operator="lessThan">
      <formula>-105575</formula>
    </cfRule>
  </conditionalFormatting>
  <conditionalFormatting sqref="BB246:BB249">
    <cfRule type="cellIs" dxfId="16265" priority="7319" operator="lessThan">
      <formula>0</formula>
    </cfRule>
    <cfRule type="cellIs" dxfId="16264" priority="7320" operator="lessThan">
      <formula>-105575</formula>
    </cfRule>
  </conditionalFormatting>
  <conditionalFormatting sqref="BB246:BB249">
    <cfRule type="cellIs" dxfId="16263" priority="7317" operator="lessThan">
      <formula>0</formula>
    </cfRule>
    <cfRule type="cellIs" dxfId="16262" priority="7318" operator="lessThan">
      <formula>-105575</formula>
    </cfRule>
  </conditionalFormatting>
  <conditionalFormatting sqref="BB246:BB249">
    <cfRule type="cellIs" dxfId="16261" priority="7315" operator="lessThan">
      <formula>0</formula>
    </cfRule>
    <cfRule type="cellIs" dxfId="16260" priority="7316" operator="lessThan">
      <formula>-105575</formula>
    </cfRule>
  </conditionalFormatting>
  <conditionalFormatting sqref="BB246:BB249">
    <cfRule type="cellIs" dxfId="16259" priority="7313" operator="lessThan">
      <formula>0</formula>
    </cfRule>
    <cfRule type="cellIs" dxfId="16258" priority="7314" operator="lessThan">
      <formula>-105575</formula>
    </cfRule>
  </conditionalFormatting>
  <conditionalFormatting sqref="BB246:BB249">
    <cfRule type="cellIs" dxfId="16257" priority="7311" operator="lessThan">
      <formula>0</formula>
    </cfRule>
    <cfRule type="cellIs" dxfId="16256" priority="7312" operator="lessThan">
      <formula>-105575</formula>
    </cfRule>
  </conditionalFormatting>
  <conditionalFormatting sqref="BB246:BB249">
    <cfRule type="cellIs" dxfId="16255" priority="7309" operator="lessThan">
      <formula>0</formula>
    </cfRule>
    <cfRule type="cellIs" dxfId="16254" priority="7310" operator="lessThan">
      <formula>-105575</formula>
    </cfRule>
  </conditionalFormatting>
  <conditionalFormatting sqref="BB246:BB249">
    <cfRule type="cellIs" dxfId="16253" priority="7307" operator="lessThan">
      <formula>0</formula>
    </cfRule>
    <cfRule type="cellIs" dxfId="16252" priority="7308" operator="lessThan">
      <formula>-105575</formula>
    </cfRule>
  </conditionalFormatting>
  <conditionalFormatting sqref="BB251:BB253">
    <cfRule type="cellIs" dxfId="16251" priority="7305" operator="lessThan">
      <formula>0</formula>
    </cfRule>
    <cfRule type="cellIs" dxfId="16250" priority="7306" operator="lessThan">
      <formula>-105575</formula>
    </cfRule>
  </conditionalFormatting>
  <conditionalFormatting sqref="BB251:BB253">
    <cfRule type="cellIs" dxfId="16249" priority="7303" operator="lessThan">
      <formula>0</formula>
    </cfRule>
    <cfRule type="cellIs" dxfId="16248" priority="7304" operator="lessThan">
      <formula>-105575</formula>
    </cfRule>
  </conditionalFormatting>
  <conditionalFormatting sqref="BB251:BB253">
    <cfRule type="cellIs" dxfId="16247" priority="7301" operator="lessThan">
      <formula>0</formula>
    </cfRule>
    <cfRule type="cellIs" dxfId="16246" priority="7302" operator="lessThan">
      <formula>-105575</formula>
    </cfRule>
  </conditionalFormatting>
  <conditionalFormatting sqref="BB251:BB253">
    <cfRule type="cellIs" dxfId="16245" priority="7299" operator="lessThan">
      <formula>0</formula>
    </cfRule>
    <cfRule type="cellIs" dxfId="16244" priority="7300" operator="lessThan">
      <formula>-105575</formula>
    </cfRule>
  </conditionalFormatting>
  <conditionalFormatting sqref="BB251:BB253">
    <cfRule type="cellIs" dxfId="16243" priority="7297" operator="lessThan">
      <formula>0</formula>
    </cfRule>
    <cfRule type="cellIs" dxfId="16242" priority="7298" operator="lessThan">
      <formula>-105575</formula>
    </cfRule>
  </conditionalFormatting>
  <conditionalFormatting sqref="BB251:BB253">
    <cfRule type="cellIs" dxfId="16241" priority="7295" operator="lessThan">
      <formula>0</formula>
    </cfRule>
    <cfRule type="cellIs" dxfId="16240" priority="7296" operator="lessThan">
      <formula>-105575</formula>
    </cfRule>
  </conditionalFormatting>
  <conditionalFormatting sqref="BB251:BB253">
    <cfRule type="cellIs" dxfId="16239" priority="7293" operator="lessThan">
      <formula>0</formula>
    </cfRule>
    <cfRule type="cellIs" dxfId="16238" priority="7294" operator="lessThan">
      <formula>-105575</formula>
    </cfRule>
  </conditionalFormatting>
  <conditionalFormatting sqref="BB251:BB253">
    <cfRule type="cellIs" dxfId="16237" priority="7291" operator="lessThan">
      <formula>0</formula>
    </cfRule>
    <cfRule type="cellIs" dxfId="16236" priority="7292" operator="lessThan">
      <formula>-105575</formula>
    </cfRule>
  </conditionalFormatting>
  <conditionalFormatting sqref="BB251:BB253">
    <cfRule type="cellIs" dxfId="16235" priority="7289" operator="lessThan">
      <formula>0</formula>
    </cfRule>
    <cfRule type="cellIs" dxfId="16234" priority="7290" operator="lessThan">
      <formula>-105575</formula>
    </cfRule>
  </conditionalFormatting>
  <conditionalFormatting sqref="BB255:BB257">
    <cfRule type="cellIs" dxfId="16233" priority="7287" operator="lessThan">
      <formula>0</formula>
    </cfRule>
    <cfRule type="cellIs" dxfId="16232" priority="7288" operator="lessThan">
      <formula>-105575</formula>
    </cfRule>
  </conditionalFormatting>
  <conditionalFormatting sqref="BB255:BB257">
    <cfRule type="cellIs" dxfId="16231" priority="7285" operator="lessThan">
      <formula>0</formula>
    </cfRule>
    <cfRule type="cellIs" dxfId="16230" priority="7286" operator="lessThan">
      <formula>-105575</formula>
    </cfRule>
  </conditionalFormatting>
  <conditionalFormatting sqref="BB255:BB257">
    <cfRule type="cellIs" dxfId="16229" priority="7283" operator="lessThan">
      <formula>0</formula>
    </cfRule>
    <cfRule type="cellIs" dxfId="16228" priority="7284" operator="lessThan">
      <formula>-105575</formula>
    </cfRule>
  </conditionalFormatting>
  <conditionalFormatting sqref="BB255:BB257">
    <cfRule type="cellIs" dxfId="16227" priority="7281" operator="lessThan">
      <formula>0</formula>
    </cfRule>
    <cfRule type="cellIs" dxfId="16226" priority="7282" operator="lessThan">
      <formula>-105575</formula>
    </cfRule>
  </conditionalFormatting>
  <conditionalFormatting sqref="BB255:BB257">
    <cfRule type="cellIs" dxfId="16225" priority="7279" operator="lessThan">
      <formula>0</formula>
    </cfRule>
    <cfRule type="cellIs" dxfId="16224" priority="7280" operator="lessThan">
      <formula>-105575</formula>
    </cfRule>
  </conditionalFormatting>
  <conditionalFormatting sqref="BB255:BB257">
    <cfRule type="cellIs" dxfId="16223" priority="7277" operator="lessThan">
      <formula>0</formula>
    </cfRule>
    <cfRule type="cellIs" dxfId="16222" priority="7278" operator="lessThan">
      <formula>-105575</formula>
    </cfRule>
  </conditionalFormatting>
  <conditionalFormatting sqref="BB255:BB257">
    <cfRule type="cellIs" dxfId="16221" priority="7275" operator="lessThan">
      <formula>0</formula>
    </cfRule>
    <cfRule type="cellIs" dxfId="16220" priority="7276" operator="lessThan">
      <formula>-105575</formula>
    </cfRule>
  </conditionalFormatting>
  <conditionalFormatting sqref="BB255:BB257">
    <cfRule type="cellIs" dxfId="16219" priority="7273" operator="lessThan">
      <formula>0</formula>
    </cfRule>
    <cfRule type="cellIs" dxfId="16218" priority="7274" operator="lessThan">
      <formula>-105575</formula>
    </cfRule>
  </conditionalFormatting>
  <conditionalFormatting sqref="BB255:BB257">
    <cfRule type="cellIs" dxfId="16217" priority="7271" operator="lessThan">
      <formula>0</formula>
    </cfRule>
    <cfRule type="cellIs" dxfId="16216" priority="7272" operator="lessThan">
      <formula>-105575</formula>
    </cfRule>
  </conditionalFormatting>
  <conditionalFormatting sqref="BB260:BB262">
    <cfRule type="cellIs" dxfId="16215" priority="7269" operator="lessThan">
      <formula>0</formula>
    </cfRule>
    <cfRule type="cellIs" dxfId="16214" priority="7270" operator="lessThan">
      <formula>-105575</formula>
    </cfRule>
  </conditionalFormatting>
  <conditionalFormatting sqref="BB260:BB262">
    <cfRule type="cellIs" dxfId="16213" priority="7267" operator="lessThan">
      <formula>0</formula>
    </cfRule>
    <cfRule type="cellIs" dxfId="16212" priority="7268" operator="lessThan">
      <formula>-105575</formula>
    </cfRule>
  </conditionalFormatting>
  <conditionalFormatting sqref="BB260:BB262">
    <cfRule type="cellIs" dxfId="16211" priority="7265" operator="lessThan">
      <formula>0</formula>
    </cfRule>
    <cfRule type="cellIs" dxfId="16210" priority="7266" operator="lessThan">
      <formula>-105575</formula>
    </cfRule>
  </conditionalFormatting>
  <conditionalFormatting sqref="BB260:BB262">
    <cfRule type="cellIs" dxfId="16209" priority="7263" operator="lessThan">
      <formula>0</formula>
    </cfRule>
    <cfRule type="cellIs" dxfId="16208" priority="7264" operator="lessThan">
      <formula>-105575</formula>
    </cfRule>
  </conditionalFormatting>
  <conditionalFormatting sqref="BB260:BB262">
    <cfRule type="cellIs" dxfId="16207" priority="7261" operator="lessThan">
      <formula>0</formula>
    </cfRule>
    <cfRule type="cellIs" dxfId="16206" priority="7262" operator="lessThan">
      <formula>-105575</formula>
    </cfRule>
  </conditionalFormatting>
  <conditionalFormatting sqref="BB260:BB262">
    <cfRule type="cellIs" dxfId="16205" priority="7259" operator="lessThan">
      <formula>0</formula>
    </cfRule>
    <cfRule type="cellIs" dxfId="16204" priority="7260" operator="lessThan">
      <formula>-105575</formula>
    </cfRule>
  </conditionalFormatting>
  <conditionalFormatting sqref="BB260:BB262">
    <cfRule type="cellIs" dxfId="16203" priority="7257" operator="lessThan">
      <formula>0</formula>
    </cfRule>
    <cfRule type="cellIs" dxfId="16202" priority="7258" operator="lessThan">
      <formula>-105575</formula>
    </cfRule>
  </conditionalFormatting>
  <conditionalFormatting sqref="BB260:BB262">
    <cfRule type="cellIs" dxfId="16201" priority="7255" operator="lessThan">
      <formula>0</formula>
    </cfRule>
    <cfRule type="cellIs" dxfId="16200" priority="7256" operator="lessThan">
      <formula>-105575</formula>
    </cfRule>
  </conditionalFormatting>
  <conditionalFormatting sqref="BB260:BB262">
    <cfRule type="cellIs" dxfId="16199" priority="7253" operator="lessThan">
      <formula>0</formula>
    </cfRule>
    <cfRule type="cellIs" dxfId="16198" priority="7254" operator="lessThan">
      <formula>-105575</formula>
    </cfRule>
  </conditionalFormatting>
  <conditionalFormatting sqref="BB264:BB267">
    <cfRule type="cellIs" dxfId="16197" priority="7251" operator="lessThan">
      <formula>0</formula>
    </cfRule>
    <cfRule type="cellIs" dxfId="16196" priority="7252" operator="lessThan">
      <formula>-105575</formula>
    </cfRule>
  </conditionalFormatting>
  <conditionalFormatting sqref="BB264:BB267">
    <cfRule type="cellIs" dxfId="16195" priority="7249" operator="lessThan">
      <formula>0</formula>
    </cfRule>
    <cfRule type="cellIs" dxfId="16194" priority="7250" operator="lessThan">
      <formula>-105575</formula>
    </cfRule>
  </conditionalFormatting>
  <conditionalFormatting sqref="BB264:BB267">
    <cfRule type="cellIs" dxfId="16193" priority="7247" operator="lessThan">
      <formula>0</formula>
    </cfRule>
    <cfRule type="cellIs" dxfId="16192" priority="7248" operator="lessThan">
      <formula>-105575</formula>
    </cfRule>
  </conditionalFormatting>
  <conditionalFormatting sqref="BB264:BB267">
    <cfRule type="cellIs" dxfId="16191" priority="7245" operator="lessThan">
      <formula>0</formula>
    </cfRule>
    <cfRule type="cellIs" dxfId="16190" priority="7246" operator="lessThan">
      <formula>-105575</formula>
    </cfRule>
  </conditionalFormatting>
  <conditionalFormatting sqref="BB264:BB267">
    <cfRule type="cellIs" dxfId="16189" priority="7243" operator="lessThan">
      <formula>0</formula>
    </cfRule>
    <cfRule type="cellIs" dxfId="16188" priority="7244" operator="lessThan">
      <formula>-105575</formula>
    </cfRule>
  </conditionalFormatting>
  <conditionalFormatting sqref="BB264:BB267">
    <cfRule type="cellIs" dxfId="16187" priority="7241" operator="lessThan">
      <formula>0</formula>
    </cfRule>
    <cfRule type="cellIs" dxfId="16186" priority="7242" operator="lessThan">
      <formula>-105575</formula>
    </cfRule>
  </conditionalFormatting>
  <conditionalFormatting sqref="BB264:BB267">
    <cfRule type="cellIs" dxfId="16185" priority="7239" operator="lessThan">
      <formula>0</formula>
    </cfRule>
    <cfRule type="cellIs" dxfId="16184" priority="7240" operator="lessThan">
      <formula>-105575</formula>
    </cfRule>
  </conditionalFormatting>
  <conditionalFormatting sqref="BB264:BB267">
    <cfRule type="cellIs" dxfId="16183" priority="7237" operator="lessThan">
      <formula>0</formula>
    </cfRule>
    <cfRule type="cellIs" dxfId="16182" priority="7238" operator="lessThan">
      <formula>-105575</formula>
    </cfRule>
  </conditionalFormatting>
  <conditionalFormatting sqref="BB264:BB267">
    <cfRule type="cellIs" dxfId="16181" priority="7235" operator="lessThan">
      <formula>0</formula>
    </cfRule>
    <cfRule type="cellIs" dxfId="16180" priority="7236" operator="lessThan">
      <formula>-105575</formula>
    </cfRule>
  </conditionalFormatting>
  <conditionalFormatting sqref="BB270:BB272">
    <cfRule type="cellIs" dxfId="16179" priority="7233" operator="lessThan">
      <formula>0</formula>
    </cfRule>
    <cfRule type="cellIs" dxfId="16178" priority="7234" operator="lessThan">
      <formula>-105575</formula>
    </cfRule>
  </conditionalFormatting>
  <conditionalFormatting sqref="BB270:BB272">
    <cfRule type="cellIs" dxfId="16177" priority="7231" operator="lessThan">
      <formula>0</formula>
    </cfRule>
    <cfRule type="cellIs" dxfId="16176" priority="7232" operator="lessThan">
      <formula>-105575</formula>
    </cfRule>
  </conditionalFormatting>
  <conditionalFormatting sqref="BB270:BB272">
    <cfRule type="cellIs" dxfId="16175" priority="7229" operator="lessThan">
      <formula>0</formula>
    </cfRule>
    <cfRule type="cellIs" dxfId="16174" priority="7230" operator="lessThan">
      <formula>-105575</formula>
    </cfRule>
  </conditionalFormatting>
  <conditionalFormatting sqref="BB270:BB272">
    <cfRule type="cellIs" dxfId="16173" priority="7227" operator="lessThan">
      <formula>0</formula>
    </cfRule>
    <cfRule type="cellIs" dxfId="16172" priority="7228" operator="lessThan">
      <formula>-105575</formula>
    </cfRule>
  </conditionalFormatting>
  <conditionalFormatting sqref="BB270:BB272">
    <cfRule type="cellIs" dxfId="16171" priority="7225" operator="lessThan">
      <formula>0</formula>
    </cfRule>
    <cfRule type="cellIs" dxfId="16170" priority="7226" operator="lessThan">
      <formula>-105575</formula>
    </cfRule>
  </conditionalFormatting>
  <conditionalFormatting sqref="BB270:BB272">
    <cfRule type="cellIs" dxfId="16169" priority="7223" operator="lessThan">
      <formula>0</formula>
    </cfRule>
    <cfRule type="cellIs" dxfId="16168" priority="7224" operator="lessThan">
      <formula>-105575</formula>
    </cfRule>
  </conditionalFormatting>
  <conditionalFormatting sqref="BB270:BB272">
    <cfRule type="cellIs" dxfId="16167" priority="7221" operator="lessThan">
      <formula>0</formula>
    </cfRule>
    <cfRule type="cellIs" dxfId="16166" priority="7222" operator="lessThan">
      <formula>-105575</formula>
    </cfRule>
  </conditionalFormatting>
  <conditionalFormatting sqref="BB270:BB272">
    <cfRule type="cellIs" dxfId="16165" priority="7219" operator="lessThan">
      <formula>0</formula>
    </cfRule>
    <cfRule type="cellIs" dxfId="16164" priority="7220" operator="lessThan">
      <formula>-105575</formula>
    </cfRule>
  </conditionalFormatting>
  <conditionalFormatting sqref="BB270:BB272">
    <cfRule type="cellIs" dxfId="16163" priority="7217" operator="lessThan">
      <formula>0</formula>
    </cfRule>
    <cfRule type="cellIs" dxfId="16162" priority="7218" operator="lessThan">
      <formula>-105575</formula>
    </cfRule>
  </conditionalFormatting>
  <conditionalFormatting sqref="BB274:BB275">
    <cfRule type="cellIs" dxfId="16161" priority="7215" operator="lessThan">
      <formula>0</formula>
    </cfRule>
    <cfRule type="cellIs" dxfId="16160" priority="7216" operator="lessThan">
      <formula>-105575</formula>
    </cfRule>
  </conditionalFormatting>
  <conditionalFormatting sqref="BB274:BB275">
    <cfRule type="cellIs" dxfId="16159" priority="7213" operator="lessThan">
      <formula>0</formula>
    </cfRule>
    <cfRule type="cellIs" dxfId="16158" priority="7214" operator="lessThan">
      <formula>-105575</formula>
    </cfRule>
  </conditionalFormatting>
  <conditionalFormatting sqref="BB274:BB275">
    <cfRule type="cellIs" dxfId="16157" priority="7211" operator="lessThan">
      <formula>0</formula>
    </cfRule>
    <cfRule type="cellIs" dxfId="16156" priority="7212" operator="lessThan">
      <formula>-105575</formula>
    </cfRule>
  </conditionalFormatting>
  <conditionalFormatting sqref="BB274:BB275">
    <cfRule type="cellIs" dxfId="16155" priority="7209" operator="lessThan">
      <formula>0</formula>
    </cfRule>
    <cfRule type="cellIs" dxfId="16154" priority="7210" operator="lessThan">
      <formula>-105575</formula>
    </cfRule>
  </conditionalFormatting>
  <conditionalFormatting sqref="BB274:BB275">
    <cfRule type="cellIs" dxfId="16153" priority="7207" operator="lessThan">
      <formula>0</formula>
    </cfRule>
    <cfRule type="cellIs" dxfId="16152" priority="7208" operator="lessThan">
      <formula>-105575</formula>
    </cfRule>
  </conditionalFormatting>
  <conditionalFormatting sqref="BB274:BB275">
    <cfRule type="cellIs" dxfId="16151" priority="7205" operator="lessThan">
      <formula>0</formula>
    </cfRule>
    <cfRule type="cellIs" dxfId="16150" priority="7206" operator="lessThan">
      <formula>-105575</formula>
    </cfRule>
  </conditionalFormatting>
  <conditionalFormatting sqref="BB274:BB275">
    <cfRule type="cellIs" dxfId="16149" priority="7203" operator="lessThan">
      <formula>0</formula>
    </cfRule>
    <cfRule type="cellIs" dxfId="16148" priority="7204" operator="lessThan">
      <formula>-105575</formula>
    </cfRule>
  </conditionalFormatting>
  <conditionalFormatting sqref="BB274:BB275">
    <cfRule type="cellIs" dxfId="16147" priority="7201" operator="lessThan">
      <formula>0</formula>
    </cfRule>
    <cfRule type="cellIs" dxfId="16146" priority="7202" operator="lessThan">
      <formula>-105575</formula>
    </cfRule>
  </conditionalFormatting>
  <conditionalFormatting sqref="BB274:BB275">
    <cfRule type="cellIs" dxfId="16145" priority="7199" operator="lessThan">
      <formula>0</formula>
    </cfRule>
    <cfRule type="cellIs" dxfId="16144" priority="7200" operator="lessThan">
      <formula>-105575</formula>
    </cfRule>
  </conditionalFormatting>
  <conditionalFormatting sqref="BB278:BB282">
    <cfRule type="cellIs" dxfId="16143" priority="7197" operator="lessThan">
      <formula>0</formula>
    </cfRule>
    <cfRule type="cellIs" dxfId="16142" priority="7198" operator="lessThan">
      <formula>-105575</formula>
    </cfRule>
  </conditionalFormatting>
  <conditionalFormatting sqref="BB278:BB282">
    <cfRule type="cellIs" dxfId="16141" priority="7195" operator="lessThan">
      <formula>0</formula>
    </cfRule>
    <cfRule type="cellIs" dxfId="16140" priority="7196" operator="lessThan">
      <formula>-105575</formula>
    </cfRule>
  </conditionalFormatting>
  <conditionalFormatting sqref="BB278:BB282">
    <cfRule type="cellIs" dxfId="16139" priority="7193" operator="lessThan">
      <formula>0</formula>
    </cfRule>
    <cfRule type="cellIs" dxfId="16138" priority="7194" operator="lessThan">
      <formula>-105575</formula>
    </cfRule>
  </conditionalFormatting>
  <conditionalFormatting sqref="BB278:BB282">
    <cfRule type="cellIs" dxfId="16137" priority="7191" operator="lessThan">
      <formula>0</formula>
    </cfRule>
    <cfRule type="cellIs" dxfId="16136" priority="7192" operator="lessThan">
      <formula>-105575</formula>
    </cfRule>
  </conditionalFormatting>
  <conditionalFormatting sqref="BB278:BB282">
    <cfRule type="cellIs" dxfId="16135" priority="7189" operator="lessThan">
      <formula>0</formula>
    </cfRule>
    <cfRule type="cellIs" dxfId="16134" priority="7190" operator="lessThan">
      <formula>-105575</formula>
    </cfRule>
  </conditionalFormatting>
  <conditionalFormatting sqref="BB278:BB282">
    <cfRule type="cellIs" dxfId="16133" priority="7187" operator="lessThan">
      <formula>0</formula>
    </cfRule>
    <cfRule type="cellIs" dxfId="16132" priority="7188" operator="lessThan">
      <formula>-105575</formula>
    </cfRule>
  </conditionalFormatting>
  <conditionalFormatting sqref="BB278:BB282">
    <cfRule type="cellIs" dxfId="16131" priority="7185" operator="lessThan">
      <formula>0</formula>
    </cfRule>
    <cfRule type="cellIs" dxfId="16130" priority="7186" operator="lessThan">
      <formula>-105575</formula>
    </cfRule>
  </conditionalFormatting>
  <conditionalFormatting sqref="BB278:BB282">
    <cfRule type="cellIs" dxfId="16129" priority="7183" operator="lessThan">
      <formula>0</formula>
    </cfRule>
    <cfRule type="cellIs" dxfId="16128" priority="7184" operator="lessThan">
      <formula>-105575</formula>
    </cfRule>
  </conditionalFormatting>
  <conditionalFormatting sqref="BB278:BB282">
    <cfRule type="cellIs" dxfId="16127" priority="7181" operator="lessThan">
      <formula>0</formula>
    </cfRule>
    <cfRule type="cellIs" dxfId="16126" priority="7182" operator="lessThan">
      <formula>-105575</formula>
    </cfRule>
  </conditionalFormatting>
  <conditionalFormatting sqref="BB285:BB288">
    <cfRule type="cellIs" dxfId="16125" priority="7179" operator="lessThan">
      <formula>0</formula>
    </cfRule>
    <cfRule type="cellIs" dxfId="16124" priority="7180" operator="lessThan">
      <formula>-105575</formula>
    </cfRule>
  </conditionalFormatting>
  <conditionalFormatting sqref="BB285:BB288">
    <cfRule type="cellIs" dxfId="16123" priority="7177" operator="lessThan">
      <formula>0</formula>
    </cfRule>
    <cfRule type="cellIs" dxfId="16122" priority="7178" operator="lessThan">
      <formula>-105575</formula>
    </cfRule>
  </conditionalFormatting>
  <conditionalFormatting sqref="BB285:BB288">
    <cfRule type="cellIs" dxfId="16121" priority="7175" operator="lessThan">
      <formula>0</formula>
    </cfRule>
    <cfRule type="cellIs" dxfId="16120" priority="7176" operator="lessThan">
      <formula>-105575</formula>
    </cfRule>
  </conditionalFormatting>
  <conditionalFormatting sqref="BB285:BB288">
    <cfRule type="cellIs" dxfId="16119" priority="7173" operator="lessThan">
      <formula>0</formula>
    </cfRule>
    <cfRule type="cellIs" dxfId="16118" priority="7174" operator="lessThan">
      <formula>-105575</formula>
    </cfRule>
  </conditionalFormatting>
  <conditionalFormatting sqref="BB285:BB288">
    <cfRule type="cellIs" dxfId="16117" priority="7171" operator="lessThan">
      <formula>0</formula>
    </cfRule>
    <cfRule type="cellIs" dxfId="16116" priority="7172" operator="lessThan">
      <formula>-105575</formula>
    </cfRule>
  </conditionalFormatting>
  <conditionalFormatting sqref="BB285:BB288">
    <cfRule type="cellIs" dxfId="16115" priority="7169" operator="lessThan">
      <formula>0</formula>
    </cfRule>
    <cfRule type="cellIs" dxfId="16114" priority="7170" operator="lessThan">
      <formula>-105575</formula>
    </cfRule>
  </conditionalFormatting>
  <conditionalFormatting sqref="BB285:BB288">
    <cfRule type="cellIs" dxfId="16113" priority="7167" operator="lessThan">
      <formula>0</formula>
    </cfRule>
    <cfRule type="cellIs" dxfId="16112" priority="7168" operator="lessThan">
      <formula>-105575</formula>
    </cfRule>
  </conditionalFormatting>
  <conditionalFormatting sqref="BB285:BB288">
    <cfRule type="cellIs" dxfId="16111" priority="7165" operator="lessThan">
      <formula>0</formula>
    </cfRule>
    <cfRule type="cellIs" dxfId="16110" priority="7166" operator="lessThan">
      <formula>-105575</formula>
    </cfRule>
  </conditionalFormatting>
  <conditionalFormatting sqref="BB285:BB288">
    <cfRule type="cellIs" dxfId="16109" priority="7163" operator="lessThan">
      <formula>0</formula>
    </cfRule>
    <cfRule type="cellIs" dxfId="16108" priority="7164" operator="lessThan">
      <formula>-105575</formula>
    </cfRule>
  </conditionalFormatting>
  <conditionalFormatting sqref="BB203 BB220:BB221 BB235:BB243 BB231:BB233 BB212:BB213 BB225:BB226">
    <cfRule type="cellIs" dxfId="16107" priority="7161" operator="lessThan">
      <formula>0</formula>
    </cfRule>
    <cfRule type="cellIs" dxfId="16106" priority="7162" operator="lessThan">
      <formula>-105575</formula>
    </cfRule>
  </conditionalFormatting>
  <conditionalFormatting sqref="BB220 BB212:BB213 BB235:BB238 BB240:BB243 BB225:BB226 BB231:BB233">
    <cfRule type="cellIs" dxfId="16105" priority="7159" operator="lessThan">
      <formula>0</formula>
    </cfRule>
    <cfRule type="cellIs" dxfId="16104" priority="7160" operator="lessThan">
      <formula>-105575</formula>
    </cfRule>
  </conditionalFormatting>
  <conditionalFormatting sqref="BB220:BB221 BB243 BB226 BB231:BB236 BB238:BB241 BB203 BB213">
    <cfRule type="cellIs" dxfId="16103" priority="7157" operator="lessThan">
      <formula>0</formula>
    </cfRule>
    <cfRule type="cellIs" dxfId="16102" priority="7158" operator="lessThan">
      <formula>-105575</formula>
    </cfRule>
  </conditionalFormatting>
  <conditionalFormatting sqref="BB235:BB243 BB231:BB233 BB220 BB212:BB213 BB225:BB226">
    <cfRule type="cellIs" dxfId="16101" priority="7155" operator="lessThan">
      <formula>0</formula>
    </cfRule>
    <cfRule type="cellIs" dxfId="16100" priority="7156" operator="lessThan">
      <formula>-105575</formula>
    </cfRule>
  </conditionalFormatting>
  <conditionalFormatting sqref="BB220:BB221 BB237:BB243 BB203 BB231:BB235 BB212:BB213 BB225:BB226">
    <cfRule type="cellIs" dxfId="16099" priority="7153" operator="lessThan">
      <formula>0</formula>
    </cfRule>
    <cfRule type="cellIs" dxfId="16098" priority="7154" operator="lessThan">
      <formula>-105575</formula>
    </cfRule>
  </conditionalFormatting>
  <conditionalFormatting sqref="BB220:BB221 BB237:BB240 BB242:BB243 BB225:BB226 BB231:BB235">
    <cfRule type="cellIs" dxfId="16097" priority="7151" operator="lessThan">
      <formula>0</formula>
    </cfRule>
    <cfRule type="cellIs" dxfId="16096" priority="7152" operator="lessThan">
      <formula>-105575</formula>
    </cfRule>
  </conditionalFormatting>
  <conditionalFormatting sqref="BB212 BB231 BB233:BB238 BB240:BB243 BB225">
    <cfRule type="cellIs" dxfId="16095" priority="7149" operator="lessThan">
      <formula>0</formula>
    </cfRule>
    <cfRule type="cellIs" dxfId="16094" priority="7150" operator="lessThan">
      <formula>-105575</formula>
    </cfRule>
  </conditionalFormatting>
  <conditionalFormatting sqref="BB237:BB243 BB231:BB235 BB220:BB221 BB225:BB226">
    <cfRule type="cellIs" dxfId="16093" priority="7147" operator="lessThan">
      <formula>0</formula>
    </cfRule>
    <cfRule type="cellIs" dxfId="16092" priority="7148" operator="lessThan">
      <formula>-105575</formula>
    </cfRule>
  </conditionalFormatting>
  <conditionalFormatting sqref="BB233:BB237 BB231 BB239:BB243">
    <cfRule type="cellIs" dxfId="16091" priority="7145" operator="lessThan">
      <formula>0</formula>
    </cfRule>
    <cfRule type="cellIs" dxfId="16090" priority="7146" operator="lessThan">
      <formula>-105575</formula>
    </cfRule>
  </conditionalFormatting>
  <conditionalFormatting sqref="BB233:BB237 BB231 BB239:BB243">
    <cfRule type="cellIs" dxfId="16089" priority="7143" operator="lessThan">
      <formula>0</formula>
    </cfRule>
    <cfRule type="cellIs" dxfId="16088" priority="7144" operator="lessThan">
      <formula>-105575</formula>
    </cfRule>
  </conditionalFormatting>
  <conditionalFormatting sqref="BB119:BB128 BB106:BB117 BB101:BB104 BB80:BB98">
    <cfRule type="cellIs" dxfId="16087" priority="7141" operator="lessThan">
      <formula>0</formula>
    </cfRule>
    <cfRule type="cellIs" dxfId="16086" priority="7142" operator="lessThan">
      <formula>-105575</formula>
    </cfRule>
  </conditionalFormatting>
  <conditionalFormatting sqref="BB130 BB132 BB134">
    <cfRule type="cellIs" dxfId="16085" priority="7139" operator="lessThan">
      <formula>0</formula>
    </cfRule>
    <cfRule type="cellIs" dxfId="16084" priority="7140" operator="lessThan">
      <formula>-105575</formula>
    </cfRule>
  </conditionalFormatting>
  <conditionalFormatting sqref="BB130 BB132 BB134">
    <cfRule type="cellIs" dxfId="16083" priority="7137" operator="lessThan">
      <formula>0</formula>
    </cfRule>
    <cfRule type="cellIs" dxfId="16082" priority="7138" operator="lessThan">
      <formula>-105575</formula>
    </cfRule>
  </conditionalFormatting>
  <conditionalFormatting sqref="BB129 BB131 BB133 BB135">
    <cfRule type="cellIs" dxfId="16081" priority="7135" operator="lessThan">
      <formula>0</formula>
    </cfRule>
    <cfRule type="cellIs" dxfId="16080" priority="7136" operator="lessThan">
      <formula>-105575</formula>
    </cfRule>
  </conditionalFormatting>
  <conditionalFormatting sqref="BB140 BB145 BB142:BB143 BB137:BB138">
    <cfRule type="cellIs" dxfId="16079" priority="7133" operator="lessThan">
      <formula>0</formula>
    </cfRule>
    <cfRule type="cellIs" dxfId="16078" priority="7134" operator="lessThan">
      <formula>-105575</formula>
    </cfRule>
  </conditionalFormatting>
  <conditionalFormatting sqref="BB149">
    <cfRule type="cellIs" dxfId="16077" priority="7131" operator="lessThan">
      <formula>0</formula>
    </cfRule>
    <cfRule type="cellIs" dxfId="16076" priority="7132" operator="lessThan">
      <formula>-105575</formula>
    </cfRule>
  </conditionalFormatting>
  <conditionalFormatting sqref="BB129:BB138 BB140:BB149">
    <cfRule type="cellIs" dxfId="16075" priority="7129" operator="lessThan">
      <formula>0</formula>
    </cfRule>
    <cfRule type="cellIs" dxfId="16074" priority="7130" operator="lessThan">
      <formula>-105575</formula>
    </cfRule>
  </conditionalFormatting>
  <conditionalFormatting sqref="BB94:BB98 BB86:BB87 BB89:BB91 BB141:BB149 BB124:BB133 BB107:BB110 BB112:BB117 BB119:BB122 BB135:BB138 BB101:BB104 BB80:BB84">
    <cfRule type="cellIs" dxfId="16073" priority="7127" operator="lessThan">
      <formula>0</formula>
    </cfRule>
    <cfRule type="cellIs" dxfId="16072" priority="7128" operator="lessThan">
      <formula>-105575</formula>
    </cfRule>
  </conditionalFormatting>
  <conditionalFormatting sqref="BB129 BB131 BB133 BB135">
    <cfRule type="cellIs" dxfId="16071" priority="7125" operator="lessThan">
      <formula>0</formula>
    </cfRule>
    <cfRule type="cellIs" dxfId="16070" priority="7126" operator="lessThan">
      <formula>-105575</formula>
    </cfRule>
  </conditionalFormatting>
  <conditionalFormatting sqref="BB146 BB144 BB141">
    <cfRule type="cellIs" dxfId="16069" priority="7123" operator="lessThan">
      <formula>0</formula>
    </cfRule>
    <cfRule type="cellIs" dxfId="16068" priority="7124" operator="lessThan">
      <formula>-105575</formula>
    </cfRule>
  </conditionalFormatting>
  <conditionalFormatting sqref="BB146 BB144 BB141">
    <cfRule type="cellIs" dxfId="16067" priority="7121" operator="lessThan">
      <formula>0</formula>
    </cfRule>
    <cfRule type="cellIs" dxfId="16066" priority="7122" operator="lessThan">
      <formula>-105575</formula>
    </cfRule>
  </conditionalFormatting>
  <conditionalFormatting sqref="BB140 BB145 BB142:BB143 BB137:BB138">
    <cfRule type="cellIs" dxfId="16065" priority="7119" operator="lessThan">
      <formula>0</formula>
    </cfRule>
    <cfRule type="cellIs" dxfId="16064" priority="7120" operator="lessThan">
      <formula>-105575</formula>
    </cfRule>
  </conditionalFormatting>
  <conditionalFormatting sqref="BB149">
    <cfRule type="cellIs" dxfId="16063" priority="7117" operator="lessThan">
      <formula>0</formula>
    </cfRule>
    <cfRule type="cellIs" dxfId="16062" priority="7118" operator="lessThan">
      <formula>-105575</formula>
    </cfRule>
  </conditionalFormatting>
  <conditionalFormatting sqref="BB94:BB98 BB86:BB87 BB89:BB91 BB141:BB149 BB124:BB133 BB107:BB110 BB112:BB117 BB119:BB122 BB135:BB138 BB101:BB104 BB80:BB84">
    <cfRule type="cellIs" dxfId="16061" priority="7115" operator="lessThan">
      <formula>0</formula>
    </cfRule>
    <cfRule type="cellIs" dxfId="16060" priority="7116" operator="lessThan">
      <formula>-105575</formula>
    </cfRule>
  </conditionalFormatting>
  <conditionalFormatting sqref="BB246:BB249 BB262 BB267 BB279:BB282 BB285:BB288 BB274:BB275 BB306:BB309 BB311:BB325 BB327:BB330 BB332:BB341 BB344:BB347 BB349:BB353 BB355:BB358 BB360:BB384 BB386:BB389 BB392:BB395 BB397:BB411 BB413:BB416 BB418:BB432 BB434:BB437 BB439:BB453 BB455:BB458 BB460:BB469 BB7:BB10 BB12:BB14 BB17:BB18 BB21:BB24 BB26:BB28 BB30:BB36 BB38 BB41:BB43 BB46:BB49 BB51:BB55 BB57:BB59 BB62:BB76 BB251:BB253 BB255:BB257 BB293:BB304 BB264:BB265 BB260 BB290:BB291 BB270:BB272">
    <cfRule type="cellIs" dxfId="16059" priority="7113" operator="lessThan">
      <formula>0</formula>
    </cfRule>
    <cfRule type="cellIs" dxfId="16058" priority="7114" operator="lessThan">
      <formula>-105575</formula>
    </cfRule>
  </conditionalFormatting>
  <conditionalFormatting sqref="BB41">
    <cfRule type="cellIs" dxfId="16057" priority="7111" operator="lessThan">
      <formula>0</formula>
    </cfRule>
    <cfRule type="cellIs" dxfId="16056" priority="7112" operator="lessThan">
      <formula>-105575</formula>
    </cfRule>
  </conditionalFormatting>
  <conditionalFormatting sqref="BB152:BB155">
    <cfRule type="cellIs" dxfId="16055" priority="7109" operator="lessThan">
      <formula>0</formula>
    </cfRule>
    <cfRule type="cellIs" dxfId="16054" priority="7110" operator="lessThan">
      <formula>-105575</formula>
    </cfRule>
  </conditionalFormatting>
  <conditionalFormatting sqref="BB152:BB155">
    <cfRule type="cellIs" dxfId="16053" priority="7107" operator="lessThan">
      <formula>0</formula>
    </cfRule>
    <cfRule type="cellIs" dxfId="16052" priority="7108" operator="lessThan">
      <formula>-105575</formula>
    </cfRule>
  </conditionalFormatting>
  <conditionalFormatting sqref="BB152:BB155">
    <cfRule type="cellIs" dxfId="16051" priority="7105" operator="lessThan">
      <formula>0</formula>
    </cfRule>
    <cfRule type="cellIs" dxfId="16050" priority="7106" operator="lessThan">
      <formula>-105575</formula>
    </cfRule>
  </conditionalFormatting>
  <conditionalFormatting sqref="BB157:BB158">
    <cfRule type="cellIs" dxfId="16049" priority="7103" operator="lessThan">
      <formula>0</formula>
    </cfRule>
    <cfRule type="cellIs" dxfId="16048" priority="7104" operator="lessThan">
      <formula>-105575</formula>
    </cfRule>
  </conditionalFormatting>
  <conditionalFormatting sqref="BB157:BB158">
    <cfRule type="cellIs" dxfId="16047" priority="7101" operator="lessThan">
      <formula>0</formula>
    </cfRule>
    <cfRule type="cellIs" dxfId="16046" priority="7102" operator="lessThan">
      <formula>-105575</formula>
    </cfRule>
  </conditionalFormatting>
  <conditionalFormatting sqref="BB157:BB158">
    <cfRule type="cellIs" dxfId="16045" priority="7099" operator="lessThan">
      <formula>0</formula>
    </cfRule>
    <cfRule type="cellIs" dxfId="16044" priority="7100" operator="lessThan">
      <formula>-105575</formula>
    </cfRule>
  </conditionalFormatting>
  <conditionalFormatting sqref="BB160:BB161">
    <cfRule type="cellIs" dxfId="16043" priority="7097" operator="lessThan">
      <formula>0</formula>
    </cfRule>
    <cfRule type="cellIs" dxfId="16042" priority="7098" operator="lessThan">
      <formula>-105575</formula>
    </cfRule>
  </conditionalFormatting>
  <conditionalFormatting sqref="BB160:BB161">
    <cfRule type="cellIs" dxfId="16041" priority="7095" operator="lessThan">
      <formula>0</formula>
    </cfRule>
    <cfRule type="cellIs" dxfId="16040" priority="7096" operator="lessThan">
      <formula>-105575</formula>
    </cfRule>
  </conditionalFormatting>
  <conditionalFormatting sqref="BB160:BB161">
    <cfRule type="cellIs" dxfId="16039" priority="7093" operator="lessThan">
      <formula>0</formula>
    </cfRule>
    <cfRule type="cellIs" dxfId="16038" priority="7094" operator="lessThan">
      <formula>-105575</formula>
    </cfRule>
  </conditionalFormatting>
  <conditionalFormatting sqref="BB164:BB167">
    <cfRule type="cellIs" dxfId="16037" priority="7091" operator="lessThan">
      <formula>0</formula>
    </cfRule>
    <cfRule type="cellIs" dxfId="16036" priority="7092" operator="lessThan">
      <formula>-105575</formula>
    </cfRule>
  </conditionalFormatting>
  <conditionalFormatting sqref="BB164:BB167">
    <cfRule type="cellIs" dxfId="16035" priority="7089" operator="lessThan">
      <formula>0</formula>
    </cfRule>
    <cfRule type="cellIs" dxfId="16034" priority="7090" operator="lessThan">
      <formula>-105575</formula>
    </cfRule>
  </conditionalFormatting>
  <conditionalFormatting sqref="BB164:BB167">
    <cfRule type="cellIs" dxfId="16033" priority="7087" operator="lessThan">
      <formula>0</formula>
    </cfRule>
    <cfRule type="cellIs" dxfId="16032" priority="7088" operator="lessThan">
      <formula>-105575</formula>
    </cfRule>
  </conditionalFormatting>
  <conditionalFormatting sqref="BB169:BB177">
    <cfRule type="cellIs" dxfId="16031" priority="7085" operator="lessThan">
      <formula>0</formula>
    </cfRule>
    <cfRule type="cellIs" dxfId="16030" priority="7086" operator="lessThan">
      <formula>-105575</formula>
    </cfRule>
  </conditionalFormatting>
  <conditionalFormatting sqref="BB169:BB177">
    <cfRule type="cellIs" dxfId="16029" priority="7083" operator="lessThan">
      <formula>0</formula>
    </cfRule>
    <cfRule type="cellIs" dxfId="16028" priority="7084" operator="lessThan">
      <formula>-105575</formula>
    </cfRule>
  </conditionalFormatting>
  <conditionalFormatting sqref="BB169:BB177">
    <cfRule type="cellIs" dxfId="16027" priority="7081" operator="lessThan">
      <formula>0</formula>
    </cfRule>
    <cfRule type="cellIs" dxfId="16026" priority="7082" operator="lessThan">
      <formula>-105575</formula>
    </cfRule>
  </conditionalFormatting>
  <conditionalFormatting sqref="BB179:BB180">
    <cfRule type="cellIs" dxfId="16025" priority="7079" operator="lessThan">
      <formula>0</formula>
    </cfRule>
    <cfRule type="cellIs" dxfId="16024" priority="7080" operator="lessThan">
      <formula>-105575</formula>
    </cfRule>
  </conditionalFormatting>
  <conditionalFormatting sqref="BB179:BB180">
    <cfRule type="cellIs" dxfId="16023" priority="7077" operator="lessThan">
      <formula>0</formula>
    </cfRule>
    <cfRule type="cellIs" dxfId="16022" priority="7078" operator="lessThan">
      <formula>-105575</formula>
    </cfRule>
  </conditionalFormatting>
  <conditionalFormatting sqref="BB179:BB180">
    <cfRule type="cellIs" dxfId="16021" priority="7075" operator="lessThan">
      <formula>0</formula>
    </cfRule>
    <cfRule type="cellIs" dxfId="16020" priority="7076" operator="lessThan">
      <formula>-105575</formula>
    </cfRule>
  </conditionalFormatting>
  <conditionalFormatting sqref="BB183:BB189">
    <cfRule type="cellIs" dxfId="16019" priority="7073" operator="lessThan">
      <formula>0</formula>
    </cfRule>
    <cfRule type="cellIs" dxfId="16018" priority="7074" operator="lessThan">
      <formula>-105575</formula>
    </cfRule>
  </conditionalFormatting>
  <conditionalFormatting sqref="BB183:BB189">
    <cfRule type="cellIs" dxfId="16017" priority="7071" operator="lessThan">
      <formula>0</formula>
    </cfRule>
    <cfRule type="cellIs" dxfId="16016" priority="7072" operator="lessThan">
      <formula>-105575</formula>
    </cfRule>
  </conditionalFormatting>
  <conditionalFormatting sqref="BB183:BB189">
    <cfRule type="cellIs" dxfId="16015" priority="7069" operator="lessThan">
      <formula>0</formula>
    </cfRule>
    <cfRule type="cellIs" dxfId="16014" priority="7070" operator="lessThan">
      <formula>-105575</formula>
    </cfRule>
  </conditionalFormatting>
  <conditionalFormatting sqref="BB191:BB192">
    <cfRule type="cellIs" dxfId="16013" priority="7067" operator="lessThan">
      <formula>0</formula>
    </cfRule>
    <cfRule type="cellIs" dxfId="16012" priority="7068" operator="lessThan">
      <formula>-105575</formula>
    </cfRule>
  </conditionalFormatting>
  <conditionalFormatting sqref="BB191:BB192">
    <cfRule type="cellIs" dxfId="16011" priority="7065" operator="lessThan">
      <formula>0</formula>
    </cfRule>
    <cfRule type="cellIs" dxfId="16010" priority="7066" operator="lessThan">
      <formula>-105575</formula>
    </cfRule>
  </conditionalFormatting>
  <conditionalFormatting sqref="BB191:BB192">
    <cfRule type="cellIs" dxfId="16009" priority="7063" operator="lessThan">
      <formula>0</formula>
    </cfRule>
    <cfRule type="cellIs" dxfId="16008" priority="7064" operator="lessThan">
      <formula>-105575</formula>
    </cfRule>
  </conditionalFormatting>
  <conditionalFormatting sqref="BB194:BB195">
    <cfRule type="cellIs" dxfId="16007" priority="7061" operator="lessThan">
      <formula>0</formula>
    </cfRule>
    <cfRule type="cellIs" dxfId="16006" priority="7062" operator="lessThan">
      <formula>-105575</formula>
    </cfRule>
  </conditionalFormatting>
  <conditionalFormatting sqref="BB194:BB195">
    <cfRule type="cellIs" dxfId="16005" priority="7059" operator="lessThan">
      <formula>0</formula>
    </cfRule>
    <cfRule type="cellIs" dxfId="16004" priority="7060" operator="lessThan">
      <formula>-105575</formula>
    </cfRule>
  </conditionalFormatting>
  <conditionalFormatting sqref="BB194:BB195">
    <cfRule type="cellIs" dxfId="16003" priority="7057" operator="lessThan">
      <formula>0</formula>
    </cfRule>
    <cfRule type="cellIs" dxfId="16002" priority="7058" operator="lessThan">
      <formula>-105575</formula>
    </cfRule>
  </conditionalFormatting>
  <conditionalFormatting sqref="BB199:BB202">
    <cfRule type="cellIs" dxfId="16001" priority="7055" operator="lessThan">
      <formula>0</formula>
    </cfRule>
    <cfRule type="cellIs" dxfId="16000" priority="7056" operator="lessThan">
      <formula>-105575</formula>
    </cfRule>
  </conditionalFormatting>
  <conditionalFormatting sqref="BB199:BB202">
    <cfRule type="cellIs" dxfId="15999" priority="7053" operator="lessThan">
      <formula>0</formula>
    </cfRule>
    <cfRule type="cellIs" dxfId="15998" priority="7054" operator="lessThan">
      <formula>-105575</formula>
    </cfRule>
  </conditionalFormatting>
  <conditionalFormatting sqref="BB199:BB202">
    <cfRule type="cellIs" dxfId="15997" priority="7051" operator="lessThan">
      <formula>0</formula>
    </cfRule>
    <cfRule type="cellIs" dxfId="15996" priority="7052" operator="lessThan">
      <formula>-105575</formula>
    </cfRule>
  </conditionalFormatting>
  <conditionalFormatting sqref="BB204:BB208">
    <cfRule type="cellIs" dxfId="15995" priority="7049" operator="lessThan">
      <formula>0</formula>
    </cfRule>
    <cfRule type="cellIs" dxfId="15994" priority="7050" operator="lessThan">
      <formula>-105575</formula>
    </cfRule>
  </conditionalFormatting>
  <conditionalFormatting sqref="BB204:BB208">
    <cfRule type="cellIs" dxfId="15993" priority="7047" operator="lessThan">
      <formula>0</formula>
    </cfRule>
    <cfRule type="cellIs" dxfId="15992" priority="7048" operator="lessThan">
      <formula>-105575</formula>
    </cfRule>
  </conditionalFormatting>
  <conditionalFormatting sqref="BB204:BB208">
    <cfRule type="cellIs" dxfId="15991" priority="7045" operator="lessThan">
      <formula>0</formula>
    </cfRule>
    <cfRule type="cellIs" dxfId="15990" priority="7046" operator="lessThan">
      <formula>-105575</formula>
    </cfRule>
  </conditionalFormatting>
  <conditionalFormatting sqref="BB210:BB211">
    <cfRule type="cellIs" dxfId="15989" priority="7043" operator="lessThan">
      <formula>0</formula>
    </cfRule>
    <cfRule type="cellIs" dxfId="15988" priority="7044" operator="lessThan">
      <formula>-105575</formula>
    </cfRule>
  </conditionalFormatting>
  <conditionalFormatting sqref="BB210:BB211">
    <cfRule type="cellIs" dxfId="15987" priority="7041" operator="lessThan">
      <formula>0</formula>
    </cfRule>
    <cfRule type="cellIs" dxfId="15986" priority="7042" operator="lessThan">
      <formula>-105575</formula>
    </cfRule>
  </conditionalFormatting>
  <conditionalFormatting sqref="BB210:BB211">
    <cfRule type="cellIs" dxfId="15985" priority="7039" operator="lessThan">
      <formula>0</formula>
    </cfRule>
    <cfRule type="cellIs" dxfId="15984" priority="7040" operator="lessThan">
      <formula>-105575</formula>
    </cfRule>
  </conditionalFormatting>
  <conditionalFormatting sqref="BB214:BB219">
    <cfRule type="cellIs" dxfId="15983" priority="7037" operator="lessThan">
      <formula>0</formula>
    </cfRule>
    <cfRule type="cellIs" dxfId="15982" priority="7038" operator="lessThan">
      <formula>-105575</formula>
    </cfRule>
  </conditionalFormatting>
  <conditionalFormatting sqref="BB214:BB219">
    <cfRule type="cellIs" dxfId="15981" priority="7035" operator="lessThan">
      <formula>0</formula>
    </cfRule>
    <cfRule type="cellIs" dxfId="15980" priority="7036" operator="lessThan">
      <formula>-105575</formula>
    </cfRule>
  </conditionalFormatting>
  <conditionalFormatting sqref="BB214:BB219">
    <cfRule type="cellIs" dxfId="15979" priority="7033" operator="lessThan">
      <formula>0</formula>
    </cfRule>
    <cfRule type="cellIs" dxfId="15978" priority="7034" operator="lessThan">
      <formula>-105575</formula>
    </cfRule>
  </conditionalFormatting>
  <conditionalFormatting sqref="BB222:BB224">
    <cfRule type="cellIs" dxfId="15977" priority="7031" operator="lessThan">
      <formula>0</formula>
    </cfRule>
    <cfRule type="cellIs" dxfId="15976" priority="7032" operator="lessThan">
      <formula>-105575</formula>
    </cfRule>
  </conditionalFormatting>
  <conditionalFormatting sqref="BB222:BB224">
    <cfRule type="cellIs" dxfId="15975" priority="7029" operator="lessThan">
      <formula>0</formula>
    </cfRule>
    <cfRule type="cellIs" dxfId="15974" priority="7030" operator="lessThan">
      <formula>-105575</formula>
    </cfRule>
  </conditionalFormatting>
  <conditionalFormatting sqref="BB222:BB224">
    <cfRule type="cellIs" dxfId="15973" priority="7027" operator="lessThan">
      <formula>0</formula>
    </cfRule>
    <cfRule type="cellIs" dxfId="15972" priority="7028" operator="lessThan">
      <formula>-105575</formula>
    </cfRule>
  </conditionalFormatting>
  <conditionalFormatting sqref="BB227:BB230">
    <cfRule type="cellIs" dxfId="15971" priority="7025" operator="lessThan">
      <formula>0</formula>
    </cfRule>
    <cfRule type="cellIs" dxfId="15970" priority="7026" operator="lessThan">
      <formula>-105575</formula>
    </cfRule>
  </conditionalFormatting>
  <conditionalFormatting sqref="BB227:BB230">
    <cfRule type="cellIs" dxfId="15969" priority="7023" operator="lessThan">
      <formula>0</formula>
    </cfRule>
    <cfRule type="cellIs" dxfId="15968" priority="7024" operator="lessThan">
      <formula>-105575</formula>
    </cfRule>
  </conditionalFormatting>
  <conditionalFormatting sqref="BB227:BB230">
    <cfRule type="cellIs" dxfId="15967" priority="7021" operator="lessThan">
      <formula>0</formula>
    </cfRule>
    <cfRule type="cellIs" dxfId="15966" priority="7022" operator="lessThan">
      <formula>-105575</formula>
    </cfRule>
  </conditionalFormatting>
  <conditionalFormatting sqref="BB203 BB220:BB221 BB235:BB243 BB231:BB233 BB212:BB213 BB225:BB226">
    <cfRule type="cellIs" dxfId="15965" priority="7019" operator="lessThan">
      <formula>0</formula>
    </cfRule>
    <cfRule type="cellIs" dxfId="15964" priority="7020" operator="lessThan">
      <formula>-105575</formula>
    </cfRule>
  </conditionalFormatting>
  <conditionalFormatting sqref="BB220 BB212:BB213 BB235:BB238 BB240:BB243 BB225:BB226 BB231:BB233">
    <cfRule type="cellIs" dxfId="15963" priority="7017" operator="lessThan">
      <formula>0</formula>
    </cfRule>
    <cfRule type="cellIs" dxfId="15962" priority="7018" operator="lessThan">
      <formula>-105575</formula>
    </cfRule>
  </conditionalFormatting>
  <conditionalFormatting sqref="BB220:BB221 BB243 BB226 BB231:BB236 BB238:BB241 BB203 BB213">
    <cfRule type="cellIs" dxfId="15961" priority="7015" operator="lessThan">
      <formula>0</formula>
    </cfRule>
    <cfRule type="cellIs" dxfId="15960" priority="7016" operator="lessThan">
      <formula>-105575</formula>
    </cfRule>
  </conditionalFormatting>
  <conditionalFormatting sqref="BB235:BB243 BB231:BB233 BB220 BB212:BB213 BB225:BB226">
    <cfRule type="cellIs" dxfId="15959" priority="7013" operator="lessThan">
      <formula>0</formula>
    </cfRule>
    <cfRule type="cellIs" dxfId="15958" priority="7014" operator="lessThan">
      <formula>-105575</formula>
    </cfRule>
  </conditionalFormatting>
  <conditionalFormatting sqref="BB220:BB221 BB237:BB243 BB203 BB231:BB235 BB212:BB213 BB225:BB226">
    <cfRule type="cellIs" dxfId="15957" priority="7011" operator="lessThan">
      <formula>0</formula>
    </cfRule>
    <cfRule type="cellIs" dxfId="15956" priority="7012" operator="lessThan">
      <formula>-105575</formula>
    </cfRule>
  </conditionalFormatting>
  <conditionalFormatting sqref="BB220:BB221 BB237:BB240 BB242:BB243 BB225:BB226 BB231:BB235">
    <cfRule type="cellIs" dxfId="15955" priority="7009" operator="lessThan">
      <formula>0</formula>
    </cfRule>
    <cfRule type="cellIs" dxfId="15954" priority="7010" operator="lessThan">
      <formula>-105575</formula>
    </cfRule>
  </conditionalFormatting>
  <conditionalFormatting sqref="BB212 BB231 BB233:BB238 BB240:BB243 BB225">
    <cfRule type="cellIs" dxfId="15953" priority="7007" operator="lessThan">
      <formula>0</formula>
    </cfRule>
    <cfRule type="cellIs" dxfId="15952" priority="7008" operator="lessThan">
      <formula>-105575</formula>
    </cfRule>
  </conditionalFormatting>
  <conditionalFormatting sqref="BB237:BB243 BB231:BB235 BB220:BB221 BB225:BB226">
    <cfRule type="cellIs" dxfId="15951" priority="7005" operator="lessThan">
      <formula>0</formula>
    </cfRule>
    <cfRule type="cellIs" dxfId="15950" priority="7006" operator="lessThan">
      <formula>-105575</formula>
    </cfRule>
  </conditionalFormatting>
  <conditionalFormatting sqref="BB233:BB237 BB231 BB239:BB243">
    <cfRule type="cellIs" dxfId="15949" priority="7003" operator="lessThan">
      <formula>0</formula>
    </cfRule>
    <cfRule type="cellIs" dxfId="15948" priority="7004" operator="lessThan">
      <formula>-105575</formula>
    </cfRule>
  </conditionalFormatting>
  <conditionalFormatting sqref="BB233:BB237 BB231 BB239:BB243">
    <cfRule type="cellIs" dxfId="15947" priority="7001" operator="lessThan">
      <formula>0</formula>
    </cfRule>
    <cfRule type="cellIs" dxfId="15946" priority="7002" operator="lessThan">
      <formula>-105575</formula>
    </cfRule>
  </conditionalFormatting>
  <conditionalFormatting sqref="BB119:BB128 BB106:BB117 BB101:BB104 BB80:BB98">
    <cfRule type="cellIs" dxfId="15945" priority="6999" operator="lessThan">
      <formula>0</formula>
    </cfRule>
    <cfRule type="cellIs" dxfId="15944" priority="7000" operator="lessThan">
      <formula>-105575</formula>
    </cfRule>
  </conditionalFormatting>
  <conditionalFormatting sqref="BB130 BB132 BB134">
    <cfRule type="cellIs" dxfId="15943" priority="6997" operator="lessThan">
      <formula>0</formula>
    </cfRule>
    <cfRule type="cellIs" dxfId="15942" priority="6998" operator="lessThan">
      <formula>-105575</formula>
    </cfRule>
  </conditionalFormatting>
  <conditionalFormatting sqref="BB130 BB132 BB134">
    <cfRule type="cellIs" dxfId="15941" priority="6995" operator="lessThan">
      <formula>0</formula>
    </cfRule>
    <cfRule type="cellIs" dxfId="15940" priority="6996" operator="lessThan">
      <formula>-105575</formula>
    </cfRule>
  </conditionalFormatting>
  <conditionalFormatting sqref="BB129 BB131 BB133 BB135">
    <cfRule type="cellIs" dxfId="15939" priority="6993" operator="lessThan">
      <formula>0</formula>
    </cfRule>
    <cfRule type="cellIs" dxfId="15938" priority="6994" operator="lessThan">
      <formula>-105575</formula>
    </cfRule>
  </conditionalFormatting>
  <conditionalFormatting sqref="BB140 BB145 BB142:BB143 BB137:BB138">
    <cfRule type="cellIs" dxfId="15937" priority="6991" operator="lessThan">
      <formula>0</formula>
    </cfRule>
    <cfRule type="cellIs" dxfId="15936" priority="6992" operator="lessThan">
      <formula>-105575</formula>
    </cfRule>
  </conditionalFormatting>
  <conditionalFormatting sqref="BB149">
    <cfRule type="cellIs" dxfId="15935" priority="6989" operator="lessThan">
      <formula>0</formula>
    </cfRule>
    <cfRule type="cellIs" dxfId="15934" priority="6990" operator="lessThan">
      <formula>-105575</formula>
    </cfRule>
  </conditionalFormatting>
  <conditionalFormatting sqref="BB129:BB138 BB140:BB149">
    <cfRule type="cellIs" dxfId="15933" priority="6987" operator="lessThan">
      <formula>0</formula>
    </cfRule>
    <cfRule type="cellIs" dxfId="15932" priority="6988" operator="lessThan">
      <formula>-105575</formula>
    </cfRule>
  </conditionalFormatting>
  <conditionalFormatting sqref="BB94:BB98 BB86:BB87 BB89:BB91 BB141:BB149 BB124:BB133 BB107:BB110 BB112:BB117 BB119:BB122 BB135:BB138 BB101:BB104 BB80:BB84">
    <cfRule type="cellIs" dxfId="15931" priority="6985" operator="lessThan">
      <formula>0</formula>
    </cfRule>
    <cfRule type="cellIs" dxfId="15930" priority="6986" operator="lessThan">
      <formula>-105575</formula>
    </cfRule>
  </conditionalFormatting>
  <conditionalFormatting sqref="BB129 BB131 BB133 BB135">
    <cfRule type="cellIs" dxfId="15929" priority="6983" operator="lessThan">
      <formula>0</formula>
    </cfRule>
    <cfRule type="cellIs" dxfId="15928" priority="6984" operator="lessThan">
      <formula>-105575</formula>
    </cfRule>
  </conditionalFormatting>
  <conditionalFormatting sqref="BB146 BB144 BB141">
    <cfRule type="cellIs" dxfId="15927" priority="6981" operator="lessThan">
      <formula>0</formula>
    </cfRule>
    <cfRule type="cellIs" dxfId="15926" priority="6982" operator="lessThan">
      <formula>-105575</formula>
    </cfRule>
  </conditionalFormatting>
  <conditionalFormatting sqref="BB146 BB144 BB141">
    <cfRule type="cellIs" dxfId="15925" priority="6979" operator="lessThan">
      <formula>0</formula>
    </cfRule>
    <cfRule type="cellIs" dxfId="15924" priority="6980" operator="lessThan">
      <formula>-105575</formula>
    </cfRule>
  </conditionalFormatting>
  <conditionalFormatting sqref="BB140 BB145 BB142:BB143 BB137:BB138">
    <cfRule type="cellIs" dxfId="15923" priority="6977" operator="lessThan">
      <formula>0</formula>
    </cfRule>
    <cfRule type="cellIs" dxfId="15922" priority="6978" operator="lessThan">
      <formula>-105575</formula>
    </cfRule>
  </conditionalFormatting>
  <conditionalFormatting sqref="BB149">
    <cfRule type="cellIs" dxfId="15921" priority="6975" operator="lessThan">
      <formula>0</formula>
    </cfRule>
    <cfRule type="cellIs" dxfId="15920" priority="6976" operator="lessThan">
      <formula>-105575</formula>
    </cfRule>
  </conditionalFormatting>
  <conditionalFormatting sqref="BB94:BB98 BB86:BB87 BB89:BB91 BB141:BB149 BB124:BB133 BB107:BB110 BB112:BB117 BB119:BB122 BB135:BB138 BB101:BB104 BB80:BB84">
    <cfRule type="cellIs" dxfId="15919" priority="6973" operator="lessThan">
      <formula>0</formula>
    </cfRule>
    <cfRule type="cellIs" dxfId="15918" priority="6974" operator="lessThan">
      <formula>-105575</formula>
    </cfRule>
  </conditionalFormatting>
  <conditionalFormatting sqref="BB62:BB76 BB306:BB309 BB311:BB325 BB327:BB330 BB332:BB341 BB344:BB347 BB349:BB353 BB355:BB358 BB360:BB384 BB386:BB389 BB392:BB395 BB397:BB411 BB413:BB416 BB418:BB432 BB434:BB437 BB439:BB453 BB455:BB458 BB460:BB469 BB7:BB10 BB12:BB14 BB17:BB18 BB21:BB24 BB26:BB28 BB30:BB36 BB38 BB41:BB43 BB46:BB49 BB51:BB55 BB57:BB59 BB290:BB291 BB293:BB304">
    <cfRule type="cellIs" dxfId="15917" priority="6971" operator="lessThan">
      <formula>0</formula>
    </cfRule>
    <cfRule type="cellIs" dxfId="15916" priority="6972" operator="lessThan">
      <formula>-105575</formula>
    </cfRule>
  </conditionalFormatting>
  <conditionalFormatting sqref="BB41">
    <cfRule type="cellIs" dxfId="15915" priority="6969" operator="lessThan">
      <formula>0</formula>
    </cfRule>
    <cfRule type="cellIs" dxfId="15914" priority="6970" operator="lessThan">
      <formula>-105575</formula>
    </cfRule>
  </conditionalFormatting>
  <conditionalFormatting sqref="BB152:BB155">
    <cfRule type="cellIs" dxfId="15913" priority="6967" operator="lessThan">
      <formula>0</formula>
    </cfRule>
    <cfRule type="cellIs" dxfId="15912" priority="6968" operator="lessThan">
      <formula>-105575</formula>
    </cfRule>
  </conditionalFormatting>
  <conditionalFormatting sqref="BB152:BB155">
    <cfRule type="cellIs" dxfId="15911" priority="6965" operator="lessThan">
      <formula>0</formula>
    </cfRule>
    <cfRule type="cellIs" dxfId="15910" priority="6966" operator="lessThan">
      <formula>-105575</formula>
    </cfRule>
  </conditionalFormatting>
  <conditionalFormatting sqref="BB152:BB155">
    <cfRule type="cellIs" dxfId="15909" priority="6963" operator="lessThan">
      <formula>0</formula>
    </cfRule>
    <cfRule type="cellIs" dxfId="15908" priority="6964" operator="lessThan">
      <formula>-105575</formula>
    </cfRule>
  </conditionalFormatting>
  <conditionalFormatting sqref="BB157:BB158">
    <cfRule type="cellIs" dxfId="15907" priority="6961" operator="lessThan">
      <formula>0</formula>
    </cfRule>
    <cfRule type="cellIs" dxfId="15906" priority="6962" operator="lessThan">
      <formula>-105575</formula>
    </cfRule>
  </conditionalFormatting>
  <conditionalFormatting sqref="BB157:BB158">
    <cfRule type="cellIs" dxfId="15905" priority="6959" operator="lessThan">
      <formula>0</formula>
    </cfRule>
    <cfRule type="cellIs" dxfId="15904" priority="6960" operator="lessThan">
      <formula>-105575</formula>
    </cfRule>
  </conditionalFormatting>
  <conditionalFormatting sqref="BB157:BB158">
    <cfRule type="cellIs" dxfId="15903" priority="6957" operator="lessThan">
      <formula>0</formula>
    </cfRule>
    <cfRule type="cellIs" dxfId="15902" priority="6958" operator="lessThan">
      <formula>-105575</formula>
    </cfRule>
  </conditionalFormatting>
  <conditionalFormatting sqref="BB160:BB161">
    <cfRule type="cellIs" dxfId="15901" priority="6955" operator="lessThan">
      <formula>0</formula>
    </cfRule>
    <cfRule type="cellIs" dxfId="15900" priority="6956" operator="lessThan">
      <formula>-105575</formula>
    </cfRule>
  </conditionalFormatting>
  <conditionalFormatting sqref="BB160:BB161">
    <cfRule type="cellIs" dxfId="15899" priority="6953" operator="lessThan">
      <formula>0</formula>
    </cfRule>
    <cfRule type="cellIs" dxfId="15898" priority="6954" operator="lessThan">
      <formula>-105575</formula>
    </cfRule>
  </conditionalFormatting>
  <conditionalFormatting sqref="BB160:BB161">
    <cfRule type="cellIs" dxfId="15897" priority="6951" operator="lessThan">
      <formula>0</formula>
    </cfRule>
    <cfRule type="cellIs" dxfId="15896" priority="6952" operator="lessThan">
      <formula>-105575</formula>
    </cfRule>
  </conditionalFormatting>
  <conditionalFormatting sqref="BB164:BB167">
    <cfRule type="cellIs" dxfId="15895" priority="6949" operator="lessThan">
      <formula>0</formula>
    </cfRule>
    <cfRule type="cellIs" dxfId="15894" priority="6950" operator="lessThan">
      <formula>-105575</formula>
    </cfRule>
  </conditionalFormatting>
  <conditionalFormatting sqref="BB164:BB167">
    <cfRule type="cellIs" dxfId="15893" priority="6947" operator="lessThan">
      <formula>0</formula>
    </cfRule>
    <cfRule type="cellIs" dxfId="15892" priority="6948" operator="lessThan">
      <formula>-105575</formula>
    </cfRule>
  </conditionalFormatting>
  <conditionalFormatting sqref="BB164:BB167">
    <cfRule type="cellIs" dxfId="15891" priority="6945" operator="lessThan">
      <formula>0</formula>
    </cfRule>
    <cfRule type="cellIs" dxfId="15890" priority="6946" operator="lessThan">
      <formula>-105575</formula>
    </cfRule>
  </conditionalFormatting>
  <conditionalFormatting sqref="BB169:BB177">
    <cfRule type="cellIs" dxfId="15889" priority="6943" operator="lessThan">
      <formula>0</formula>
    </cfRule>
    <cfRule type="cellIs" dxfId="15888" priority="6944" operator="lessThan">
      <formula>-105575</formula>
    </cfRule>
  </conditionalFormatting>
  <conditionalFormatting sqref="BB169:BB177">
    <cfRule type="cellIs" dxfId="15887" priority="6941" operator="lessThan">
      <formula>0</formula>
    </cfRule>
    <cfRule type="cellIs" dxfId="15886" priority="6942" operator="lessThan">
      <formula>-105575</formula>
    </cfRule>
  </conditionalFormatting>
  <conditionalFormatting sqref="BB169:BB177">
    <cfRule type="cellIs" dxfId="15885" priority="6939" operator="lessThan">
      <formula>0</formula>
    </cfRule>
    <cfRule type="cellIs" dxfId="15884" priority="6940" operator="lessThan">
      <formula>-105575</formula>
    </cfRule>
  </conditionalFormatting>
  <conditionalFormatting sqref="BB179:BB180">
    <cfRule type="cellIs" dxfId="15883" priority="6937" operator="lessThan">
      <formula>0</formula>
    </cfRule>
    <cfRule type="cellIs" dxfId="15882" priority="6938" operator="lessThan">
      <formula>-105575</formula>
    </cfRule>
  </conditionalFormatting>
  <conditionalFormatting sqref="BB179:BB180">
    <cfRule type="cellIs" dxfId="15881" priority="6935" operator="lessThan">
      <formula>0</formula>
    </cfRule>
    <cfRule type="cellIs" dxfId="15880" priority="6936" operator="lessThan">
      <formula>-105575</formula>
    </cfRule>
  </conditionalFormatting>
  <conditionalFormatting sqref="BB179:BB180">
    <cfRule type="cellIs" dxfId="15879" priority="6933" operator="lessThan">
      <formula>0</formula>
    </cfRule>
    <cfRule type="cellIs" dxfId="15878" priority="6934" operator="lessThan">
      <formula>-105575</formula>
    </cfRule>
  </conditionalFormatting>
  <conditionalFormatting sqref="BB183:BB189">
    <cfRule type="cellIs" dxfId="15877" priority="6931" operator="lessThan">
      <formula>0</formula>
    </cfRule>
    <cfRule type="cellIs" dxfId="15876" priority="6932" operator="lessThan">
      <formula>-105575</formula>
    </cfRule>
  </conditionalFormatting>
  <conditionalFormatting sqref="BB183:BB189">
    <cfRule type="cellIs" dxfId="15875" priority="6929" operator="lessThan">
      <formula>0</formula>
    </cfRule>
    <cfRule type="cellIs" dxfId="15874" priority="6930" operator="lessThan">
      <formula>-105575</formula>
    </cfRule>
  </conditionalFormatting>
  <conditionalFormatting sqref="BB183:BB189">
    <cfRule type="cellIs" dxfId="15873" priority="6927" operator="lessThan">
      <formula>0</formula>
    </cfRule>
    <cfRule type="cellIs" dxfId="15872" priority="6928" operator="lessThan">
      <formula>-105575</formula>
    </cfRule>
  </conditionalFormatting>
  <conditionalFormatting sqref="BB191:BB192">
    <cfRule type="cellIs" dxfId="15871" priority="6925" operator="lessThan">
      <formula>0</formula>
    </cfRule>
    <cfRule type="cellIs" dxfId="15870" priority="6926" operator="lessThan">
      <formula>-105575</formula>
    </cfRule>
  </conditionalFormatting>
  <conditionalFormatting sqref="BB191:BB192">
    <cfRule type="cellIs" dxfId="15869" priority="6923" operator="lessThan">
      <formula>0</formula>
    </cfRule>
    <cfRule type="cellIs" dxfId="15868" priority="6924" operator="lessThan">
      <formula>-105575</formula>
    </cfRule>
  </conditionalFormatting>
  <conditionalFormatting sqref="BB191:BB192">
    <cfRule type="cellIs" dxfId="15867" priority="6921" operator="lessThan">
      <formula>0</formula>
    </cfRule>
    <cfRule type="cellIs" dxfId="15866" priority="6922" operator="lessThan">
      <formula>-105575</formula>
    </cfRule>
  </conditionalFormatting>
  <conditionalFormatting sqref="BB194:BB195">
    <cfRule type="cellIs" dxfId="15865" priority="6919" operator="lessThan">
      <formula>0</formula>
    </cfRule>
    <cfRule type="cellIs" dxfId="15864" priority="6920" operator="lessThan">
      <formula>-105575</formula>
    </cfRule>
  </conditionalFormatting>
  <conditionalFormatting sqref="BB194:BB195">
    <cfRule type="cellIs" dxfId="15863" priority="6917" operator="lessThan">
      <formula>0</formula>
    </cfRule>
    <cfRule type="cellIs" dxfId="15862" priority="6918" operator="lessThan">
      <formula>-105575</formula>
    </cfRule>
  </conditionalFormatting>
  <conditionalFormatting sqref="BB194:BB195">
    <cfRule type="cellIs" dxfId="15861" priority="6915" operator="lessThan">
      <formula>0</formula>
    </cfRule>
    <cfRule type="cellIs" dxfId="15860" priority="6916" operator="lessThan">
      <formula>-105575</formula>
    </cfRule>
  </conditionalFormatting>
  <conditionalFormatting sqref="BB199:BB202">
    <cfRule type="cellIs" dxfId="15859" priority="6913" operator="lessThan">
      <formula>0</formula>
    </cfRule>
    <cfRule type="cellIs" dxfId="15858" priority="6914" operator="lessThan">
      <formula>-105575</formula>
    </cfRule>
  </conditionalFormatting>
  <conditionalFormatting sqref="BB199:BB202">
    <cfRule type="cellIs" dxfId="15857" priority="6911" operator="lessThan">
      <formula>0</formula>
    </cfRule>
    <cfRule type="cellIs" dxfId="15856" priority="6912" operator="lessThan">
      <formula>-105575</formula>
    </cfRule>
  </conditionalFormatting>
  <conditionalFormatting sqref="BB199:BB202">
    <cfRule type="cellIs" dxfId="15855" priority="6909" operator="lessThan">
      <formula>0</formula>
    </cfRule>
    <cfRule type="cellIs" dxfId="15854" priority="6910" operator="lessThan">
      <formula>-105575</formula>
    </cfRule>
  </conditionalFormatting>
  <conditionalFormatting sqref="BB204:BB208">
    <cfRule type="cellIs" dxfId="15853" priority="6907" operator="lessThan">
      <formula>0</formula>
    </cfRule>
    <cfRule type="cellIs" dxfId="15852" priority="6908" operator="lessThan">
      <formula>-105575</formula>
    </cfRule>
  </conditionalFormatting>
  <conditionalFormatting sqref="BB204:BB208">
    <cfRule type="cellIs" dxfId="15851" priority="6905" operator="lessThan">
      <formula>0</formula>
    </cfRule>
    <cfRule type="cellIs" dxfId="15850" priority="6906" operator="lessThan">
      <formula>-105575</formula>
    </cfRule>
  </conditionalFormatting>
  <conditionalFormatting sqref="BB204:BB208">
    <cfRule type="cellIs" dxfId="15849" priority="6903" operator="lessThan">
      <formula>0</formula>
    </cfRule>
    <cfRule type="cellIs" dxfId="15848" priority="6904" operator="lessThan">
      <formula>-105575</formula>
    </cfRule>
  </conditionalFormatting>
  <conditionalFormatting sqref="BB210:BB211">
    <cfRule type="cellIs" dxfId="15847" priority="6901" operator="lessThan">
      <formula>0</formula>
    </cfRule>
    <cfRule type="cellIs" dxfId="15846" priority="6902" operator="lessThan">
      <formula>-105575</formula>
    </cfRule>
  </conditionalFormatting>
  <conditionalFormatting sqref="BB210:BB211">
    <cfRule type="cellIs" dxfId="15845" priority="6899" operator="lessThan">
      <formula>0</formula>
    </cfRule>
    <cfRule type="cellIs" dxfId="15844" priority="6900" operator="lessThan">
      <formula>-105575</formula>
    </cfRule>
  </conditionalFormatting>
  <conditionalFormatting sqref="BB210:BB211">
    <cfRule type="cellIs" dxfId="15843" priority="6897" operator="lessThan">
      <formula>0</formula>
    </cfRule>
    <cfRule type="cellIs" dxfId="15842" priority="6898" operator="lessThan">
      <formula>-105575</formula>
    </cfRule>
  </conditionalFormatting>
  <conditionalFormatting sqref="BB214:BB219">
    <cfRule type="cellIs" dxfId="15841" priority="6895" operator="lessThan">
      <formula>0</formula>
    </cfRule>
    <cfRule type="cellIs" dxfId="15840" priority="6896" operator="lessThan">
      <formula>-105575</formula>
    </cfRule>
  </conditionalFormatting>
  <conditionalFormatting sqref="BB214:BB219">
    <cfRule type="cellIs" dxfId="15839" priority="6893" operator="lessThan">
      <formula>0</formula>
    </cfRule>
    <cfRule type="cellIs" dxfId="15838" priority="6894" operator="lessThan">
      <formula>-105575</formula>
    </cfRule>
  </conditionalFormatting>
  <conditionalFormatting sqref="BB214:BB219">
    <cfRule type="cellIs" dxfId="15837" priority="6891" operator="lessThan">
      <formula>0</formula>
    </cfRule>
    <cfRule type="cellIs" dxfId="15836" priority="6892" operator="lessThan">
      <formula>-105575</formula>
    </cfRule>
  </conditionalFormatting>
  <conditionalFormatting sqref="BB222:BB224">
    <cfRule type="cellIs" dxfId="15835" priority="6889" operator="lessThan">
      <formula>0</formula>
    </cfRule>
    <cfRule type="cellIs" dxfId="15834" priority="6890" operator="lessThan">
      <formula>-105575</formula>
    </cfRule>
  </conditionalFormatting>
  <conditionalFormatting sqref="BB222:BB224">
    <cfRule type="cellIs" dxfId="15833" priority="6887" operator="lessThan">
      <formula>0</formula>
    </cfRule>
    <cfRule type="cellIs" dxfId="15832" priority="6888" operator="lessThan">
      <formula>-105575</formula>
    </cfRule>
  </conditionalFormatting>
  <conditionalFormatting sqref="BB222:BB224">
    <cfRule type="cellIs" dxfId="15831" priority="6885" operator="lessThan">
      <formula>0</formula>
    </cfRule>
    <cfRule type="cellIs" dxfId="15830" priority="6886" operator="lessThan">
      <formula>-105575</formula>
    </cfRule>
  </conditionalFormatting>
  <conditionalFormatting sqref="BB227:BB230">
    <cfRule type="cellIs" dxfId="15829" priority="6883" operator="lessThan">
      <formula>0</formula>
    </cfRule>
    <cfRule type="cellIs" dxfId="15828" priority="6884" operator="lessThan">
      <formula>-105575</formula>
    </cfRule>
  </conditionalFormatting>
  <conditionalFormatting sqref="BB227:BB230">
    <cfRule type="cellIs" dxfId="15827" priority="6881" operator="lessThan">
      <formula>0</formula>
    </cfRule>
    <cfRule type="cellIs" dxfId="15826" priority="6882" operator="lessThan">
      <formula>-105575</formula>
    </cfRule>
  </conditionalFormatting>
  <conditionalFormatting sqref="BB227:BB230">
    <cfRule type="cellIs" dxfId="15825" priority="6879" operator="lessThan">
      <formula>0</formula>
    </cfRule>
    <cfRule type="cellIs" dxfId="15824" priority="6880" operator="lessThan">
      <formula>-105575</formula>
    </cfRule>
  </conditionalFormatting>
  <conditionalFormatting sqref="BB246:BB249">
    <cfRule type="cellIs" dxfId="15823" priority="6877" operator="lessThan">
      <formula>0</formula>
    </cfRule>
    <cfRule type="cellIs" dxfId="15822" priority="6878" operator="lessThan">
      <formula>-105575</formula>
    </cfRule>
  </conditionalFormatting>
  <conditionalFormatting sqref="BB246:BB249">
    <cfRule type="cellIs" dxfId="15821" priority="6875" operator="lessThan">
      <formula>0</formula>
    </cfRule>
    <cfRule type="cellIs" dxfId="15820" priority="6876" operator="lessThan">
      <formula>-105575</formula>
    </cfRule>
  </conditionalFormatting>
  <conditionalFormatting sqref="BB246:BB249">
    <cfRule type="cellIs" dxfId="15819" priority="6873" operator="lessThan">
      <formula>0</formula>
    </cfRule>
    <cfRule type="cellIs" dxfId="15818" priority="6874" operator="lessThan">
      <formula>-105575</formula>
    </cfRule>
  </conditionalFormatting>
  <conditionalFormatting sqref="BB246:BB249">
    <cfRule type="cellIs" dxfId="15817" priority="6871" operator="lessThan">
      <formula>0</formula>
    </cfRule>
    <cfRule type="cellIs" dxfId="15816" priority="6872" operator="lessThan">
      <formula>-105575</formula>
    </cfRule>
  </conditionalFormatting>
  <conditionalFormatting sqref="BB246:BB249">
    <cfRule type="cellIs" dxfId="15815" priority="6869" operator="lessThan">
      <formula>0</formula>
    </cfRule>
    <cfRule type="cellIs" dxfId="15814" priority="6870" operator="lessThan">
      <formula>-105575</formula>
    </cfRule>
  </conditionalFormatting>
  <conditionalFormatting sqref="BB246:BB249">
    <cfRule type="cellIs" dxfId="15813" priority="6867" operator="lessThan">
      <formula>0</formula>
    </cfRule>
    <cfRule type="cellIs" dxfId="15812" priority="6868" operator="lessThan">
      <formula>-105575</formula>
    </cfRule>
  </conditionalFormatting>
  <conditionalFormatting sqref="BB246:BB249">
    <cfRule type="cellIs" dxfId="15811" priority="6865" operator="lessThan">
      <formula>0</formula>
    </cfRule>
    <cfRule type="cellIs" dxfId="15810" priority="6866" operator="lessThan">
      <formula>-105575</formula>
    </cfRule>
  </conditionalFormatting>
  <conditionalFormatting sqref="BB246:BB249">
    <cfRule type="cellIs" dxfId="15809" priority="6863" operator="lessThan">
      <formula>0</formula>
    </cfRule>
    <cfRule type="cellIs" dxfId="15808" priority="6864" operator="lessThan">
      <formula>-105575</formula>
    </cfRule>
  </conditionalFormatting>
  <conditionalFormatting sqref="BB246:BB249">
    <cfRule type="cellIs" dxfId="15807" priority="6861" operator="lessThan">
      <formula>0</formula>
    </cfRule>
    <cfRule type="cellIs" dxfId="15806" priority="6862" operator="lessThan">
      <formula>-105575</formula>
    </cfRule>
  </conditionalFormatting>
  <conditionalFormatting sqref="BB251:BB253">
    <cfRule type="cellIs" dxfId="15805" priority="6859" operator="lessThan">
      <formula>0</formula>
    </cfRule>
    <cfRule type="cellIs" dxfId="15804" priority="6860" operator="lessThan">
      <formula>-105575</formula>
    </cfRule>
  </conditionalFormatting>
  <conditionalFormatting sqref="BB251:BB253">
    <cfRule type="cellIs" dxfId="15803" priority="6857" operator="lessThan">
      <formula>0</formula>
    </cfRule>
    <cfRule type="cellIs" dxfId="15802" priority="6858" operator="lessThan">
      <formula>-105575</formula>
    </cfRule>
  </conditionalFormatting>
  <conditionalFormatting sqref="BB251:BB253">
    <cfRule type="cellIs" dxfId="15801" priority="6855" operator="lessThan">
      <formula>0</formula>
    </cfRule>
    <cfRule type="cellIs" dxfId="15800" priority="6856" operator="lessThan">
      <formula>-105575</formula>
    </cfRule>
  </conditionalFormatting>
  <conditionalFormatting sqref="BB251:BB253">
    <cfRule type="cellIs" dxfId="15799" priority="6853" operator="lessThan">
      <formula>0</formula>
    </cfRule>
    <cfRule type="cellIs" dxfId="15798" priority="6854" operator="lessThan">
      <formula>-105575</formula>
    </cfRule>
  </conditionalFormatting>
  <conditionalFormatting sqref="BB251:BB253">
    <cfRule type="cellIs" dxfId="15797" priority="6851" operator="lessThan">
      <formula>0</formula>
    </cfRule>
    <cfRule type="cellIs" dxfId="15796" priority="6852" operator="lessThan">
      <formula>-105575</formula>
    </cfRule>
  </conditionalFormatting>
  <conditionalFormatting sqref="BB251:BB253">
    <cfRule type="cellIs" dxfId="15795" priority="6849" operator="lessThan">
      <formula>0</formula>
    </cfRule>
    <cfRule type="cellIs" dxfId="15794" priority="6850" operator="lessThan">
      <formula>-105575</formula>
    </cfRule>
  </conditionalFormatting>
  <conditionalFormatting sqref="BB251:BB253">
    <cfRule type="cellIs" dxfId="15793" priority="6847" operator="lessThan">
      <formula>0</formula>
    </cfRule>
    <cfRule type="cellIs" dxfId="15792" priority="6848" operator="lessThan">
      <formula>-105575</formula>
    </cfRule>
  </conditionalFormatting>
  <conditionalFormatting sqref="BB251:BB253">
    <cfRule type="cellIs" dxfId="15791" priority="6845" operator="lessThan">
      <formula>0</formula>
    </cfRule>
    <cfRule type="cellIs" dxfId="15790" priority="6846" operator="lessThan">
      <formula>-105575</formula>
    </cfRule>
  </conditionalFormatting>
  <conditionalFormatting sqref="BB251:BB253">
    <cfRule type="cellIs" dxfId="15789" priority="6843" operator="lessThan">
      <formula>0</formula>
    </cfRule>
    <cfRule type="cellIs" dxfId="15788" priority="6844" operator="lessThan">
      <formula>-105575</formula>
    </cfRule>
  </conditionalFormatting>
  <conditionalFormatting sqref="BB255:BB257">
    <cfRule type="cellIs" dxfId="15787" priority="6841" operator="lessThan">
      <formula>0</formula>
    </cfRule>
    <cfRule type="cellIs" dxfId="15786" priority="6842" operator="lessThan">
      <formula>-105575</formula>
    </cfRule>
  </conditionalFormatting>
  <conditionalFormatting sqref="BB255:BB257">
    <cfRule type="cellIs" dxfId="15785" priority="6839" operator="lessThan">
      <formula>0</formula>
    </cfRule>
    <cfRule type="cellIs" dxfId="15784" priority="6840" operator="lessThan">
      <formula>-105575</formula>
    </cfRule>
  </conditionalFormatting>
  <conditionalFormatting sqref="BB255:BB257">
    <cfRule type="cellIs" dxfId="15783" priority="6837" operator="lessThan">
      <formula>0</formula>
    </cfRule>
    <cfRule type="cellIs" dxfId="15782" priority="6838" operator="lessThan">
      <formula>-105575</formula>
    </cfRule>
  </conditionalFormatting>
  <conditionalFormatting sqref="BB255:BB257">
    <cfRule type="cellIs" dxfId="15781" priority="6835" operator="lessThan">
      <formula>0</formula>
    </cfRule>
    <cfRule type="cellIs" dxfId="15780" priority="6836" operator="lessThan">
      <formula>-105575</formula>
    </cfRule>
  </conditionalFormatting>
  <conditionalFormatting sqref="BB255:BB257">
    <cfRule type="cellIs" dxfId="15779" priority="6833" operator="lessThan">
      <formula>0</formula>
    </cfRule>
    <cfRule type="cellIs" dxfId="15778" priority="6834" operator="lessThan">
      <formula>-105575</formula>
    </cfRule>
  </conditionalFormatting>
  <conditionalFormatting sqref="BB255:BB257">
    <cfRule type="cellIs" dxfId="15777" priority="6831" operator="lessThan">
      <formula>0</formula>
    </cfRule>
    <cfRule type="cellIs" dxfId="15776" priority="6832" operator="lessThan">
      <formula>-105575</formula>
    </cfRule>
  </conditionalFormatting>
  <conditionalFormatting sqref="BB255:BB257">
    <cfRule type="cellIs" dxfId="15775" priority="6829" operator="lessThan">
      <formula>0</formula>
    </cfRule>
    <cfRule type="cellIs" dxfId="15774" priority="6830" operator="lessThan">
      <formula>-105575</formula>
    </cfRule>
  </conditionalFormatting>
  <conditionalFormatting sqref="BB255:BB257">
    <cfRule type="cellIs" dxfId="15773" priority="6827" operator="lessThan">
      <formula>0</formula>
    </cfRule>
    <cfRule type="cellIs" dxfId="15772" priority="6828" operator="lessThan">
      <formula>-105575</formula>
    </cfRule>
  </conditionalFormatting>
  <conditionalFormatting sqref="BB255:BB257">
    <cfRule type="cellIs" dxfId="15771" priority="6825" operator="lessThan">
      <formula>0</formula>
    </cfRule>
    <cfRule type="cellIs" dxfId="15770" priority="6826" operator="lessThan">
      <formula>-105575</formula>
    </cfRule>
  </conditionalFormatting>
  <conditionalFormatting sqref="BB260:BB262">
    <cfRule type="cellIs" dxfId="15769" priority="6823" operator="lessThan">
      <formula>0</formula>
    </cfRule>
    <cfRule type="cellIs" dxfId="15768" priority="6824" operator="lessThan">
      <formula>-105575</formula>
    </cfRule>
  </conditionalFormatting>
  <conditionalFormatting sqref="BB260:BB262">
    <cfRule type="cellIs" dxfId="15767" priority="6821" operator="lessThan">
      <formula>0</formula>
    </cfRule>
    <cfRule type="cellIs" dxfId="15766" priority="6822" operator="lessThan">
      <formula>-105575</formula>
    </cfRule>
  </conditionalFormatting>
  <conditionalFormatting sqref="BB260:BB262">
    <cfRule type="cellIs" dxfId="15765" priority="6819" operator="lessThan">
      <formula>0</formula>
    </cfRule>
    <cfRule type="cellIs" dxfId="15764" priority="6820" operator="lessThan">
      <formula>-105575</formula>
    </cfRule>
  </conditionalFormatting>
  <conditionalFormatting sqref="BB260:BB262">
    <cfRule type="cellIs" dxfId="15763" priority="6817" operator="lessThan">
      <formula>0</formula>
    </cfRule>
    <cfRule type="cellIs" dxfId="15762" priority="6818" operator="lessThan">
      <formula>-105575</formula>
    </cfRule>
  </conditionalFormatting>
  <conditionalFormatting sqref="BB260:BB262">
    <cfRule type="cellIs" dxfId="15761" priority="6815" operator="lessThan">
      <formula>0</formula>
    </cfRule>
    <cfRule type="cellIs" dxfId="15760" priority="6816" operator="lessThan">
      <formula>-105575</formula>
    </cfRule>
  </conditionalFormatting>
  <conditionalFormatting sqref="BB260:BB262">
    <cfRule type="cellIs" dxfId="15759" priority="6813" operator="lessThan">
      <formula>0</formula>
    </cfRule>
    <cfRule type="cellIs" dxfId="15758" priority="6814" operator="lessThan">
      <formula>-105575</formula>
    </cfRule>
  </conditionalFormatting>
  <conditionalFormatting sqref="BB260:BB262">
    <cfRule type="cellIs" dxfId="15757" priority="6811" operator="lessThan">
      <formula>0</formula>
    </cfRule>
    <cfRule type="cellIs" dxfId="15756" priority="6812" operator="lessThan">
      <formula>-105575</formula>
    </cfRule>
  </conditionalFormatting>
  <conditionalFormatting sqref="BB260:BB262">
    <cfRule type="cellIs" dxfId="15755" priority="6809" operator="lessThan">
      <formula>0</formula>
    </cfRule>
    <cfRule type="cellIs" dxfId="15754" priority="6810" operator="lessThan">
      <formula>-105575</formula>
    </cfRule>
  </conditionalFormatting>
  <conditionalFormatting sqref="BB260:BB262">
    <cfRule type="cellIs" dxfId="15753" priority="6807" operator="lessThan">
      <formula>0</formula>
    </cfRule>
    <cfRule type="cellIs" dxfId="15752" priority="6808" operator="lessThan">
      <formula>-105575</formula>
    </cfRule>
  </conditionalFormatting>
  <conditionalFormatting sqref="BB264:BB267">
    <cfRule type="cellIs" dxfId="15751" priority="6805" operator="lessThan">
      <formula>0</formula>
    </cfRule>
    <cfRule type="cellIs" dxfId="15750" priority="6806" operator="lessThan">
      <formula>-105575</formula>
    </cfRule>
  </conditionalFormatting>
  <conditionalFormatting sqref="BB264:BB267">
    <cfRule type="cellIs" dxfId="15749" priority="6803" operator="lessThan">
      <formula>0</formula>
    </cfRule>
    <cfRule type="cellIs" dxfId="15748" priority="6804" operator="lessThan">
      <formula>-105575</formula>
    </cfRule>
  </conditionalFormatting>
  <conditionalFormatting sqref="BB264:BB267">
    <cfRule type="cellIs" dxfId="15747" priority="6801" operator="lessThan">
      <formula>0</formula>
    </cfRule>
    <cfRule type="cellIs" dxfId="15746" priority="6802" operator="lessThan">
      <formula>-105575</formula>
    </cfRule>
  </conditionalFormatting>
  <conditionalFormatting sqref="BB264:BB267">
    <cfRule type="cellIs" dxfId="15745" priority="6799" operator="lessThan">
      <formula>0</formula>
    </cfRule>
    <cfRule type="cellIs" dxfId="15744" priority="6800" operator="lessThan">
      <formula>-105575</formula>
    </cfRule>
  </conditionalFormatting>
  <conditionalFormatting sqref="BB264:BB267">
    <cfRule type="cellIs" dxfId="15743" priority="6797" operator="lessThan">
      <formula>0</formula>
    </cfRule>
    <cfRule type="cellIs" dxfId="15742" priority="6798" operator="lessThan">
      <formula>-105575</formula>
    </cfRule>
  </conditionalFormatting>
  <conditionalFormatting sqref="BB264:BB267">
    <cfRule type="cellIs" dxfId="15741" priority="6795" operator="lessThan">
      <formula>0</formula>
    </cfRule>
    <cfRule type="cellIs" dxfId="15740" priority="6796" operator="lessThan">
      <formula>-105575</formula>
    </cfRule>
  </conditionalFormatting>
  <conditionalFormatting sqref="BB264:BB267">
    <cfRule type="cellIs" dxfId="15739" priority="6793" operator="lessThan">
      <formula>0</formula>
    </cfRule>
    <cfRule type="cellIs" dxfId="15738" priority="6794" operator="lessThan">
      <formula>-105575</formula>
    </cfRule>
  </conditionalFormatting>
  <conditionalFormatting sqref="BB264:BB267">
    <cfRule type="cellIs" dxfId="15737" priority="6791" operator="lessThan">
      <formula>0</formula>
    </cfRule>
    <cfRule type="cellIs" dxfId="15736" priority="6792" operator="lessThan">
      <formula>-105575</formula>
    </cfRule>
  </conditionalFormatting>
  <conditionalFormatting sqref="BB264:BB267">
    <cfRule type="cellIs" dxfId="15735" priority="6789" operator="lessThan">
      <formula>0</formula>
    </cfRule>
    <cfRule type="cellIs" dxfId="15734" priority="6790" operator="lessThan">
      <formula>-105575</formula>
    </cfRule>
  </conditionalFormatting>
  <conditionalFormatting sqref="BB270:BB272">
    <cfRule type="cellIs" dxfId="15733" priority="6787" operator="lessThan">
      <formula>0</formula>
    </cfRule>
    <cfRule type="cellIs" dxfId="15732" priority="6788" operator="lessThan">
      <formula>-105575</formula>
    </cfRule>
  </conditionalFormatting>
  <conditionalFormatting sqref="BB270:BB272">
    <cfRule type="cellIs" dxfId="15731" priority="6785" operator="lessThan">
      <formula>0</formula>
    </cfRule>
    <cfRule type="cellIs" dxfId="15730" priority="6786" operator="lessThan">
      <formula>-105575</formula>
    </cfRule>
  </conditionalFormatting>
  <conditionalFormatting sqref="BB270:BB272">
    <cfRule type="cellIs" dxfId="15729" priority="6783" operator="lessThan">
      <formula>0</formula>
    </cfRule>
    <cfRule type="cellIs" dxfId="15728" priority="6784" operator="lessThan">
      <formula>-105575</formula>
    </cfRule>
  </conditionalFormatting>
  <conditionalFormatting sqref="BB270:BB272">
    <cfRule type="cellIs" dxfId="15727" priority="6781" operator="lessThan">
      <formula>0</formula>
    </cfRule>
    <cfRule type="cellIs" dxfId="15726" priority="6782" operator="lessThan">
      <formula>-105575</formula>
    </cfRule>
  </conditionalFormatting>
  <conditionalFormatting sqref="BB270:BB272">
    <cfRule type="cellIs" dxfId="15725" priority="6779" operator="lessThan">
      <formula>0</formula>
    </cfRule>
    <cfRule type="cellIs" dxfId="15724" priority="6780" operator="lessThan">
      <formula>-105575</formula>
    </cfRule>
  </conditionalFormatting>
  <conditionalFormatting sqref="BB270:BB272">
    <cfRule type="cellIs" dxfId="15723" priority="6777" operator="lessThan">
      <formula>0</formula>
    </cfRule>
    <cfRule type="cellIs" dxfId="15722" priority="6778" operator="lessThan">
      <formula>-105575</formula>
    </cfRule>
  </conditionalFormatting>
  <conditionalFormatting sqref="BB270:BB272">
    <cfRule type="cellIs" dxfId="15721" priority="6775" operator="lessThan">
      <formula>0</formula>
    </cfRule>
    <cfRule type="cellIs" dxfId="15720" priority="6776" operator="lessThan">
      <formula>-105575</formula>
    </cfRule>
  </conditionalFormatting>
  <conditionalFormatting sqref="BB270:BB272">
    <cfRule type="cellIs" dxfId="15719" priority="6773" operator="lessThan">
      <formula>0</formula>
    </cfRule>
    <cfRule type="cellIs" dxfId="15718" priority="6774" operator="lessThan">
      <formula>-105575</formula>
    </cfRule>
  </conditionalFormatting>
  <conditionalFormatting sqref="BB270:BB272">
    <cfRule type="cellIs" dxfId="15717" priority="6771" operator="lessThan">
      <formula>0</formula>
    </cfRule>
    <cfRule type="cellIs" dxfId="15716" priority="6772" operator="lessThan">
      <formula>-105575</formula>
    </cfRule>
  </conditionalFormatting>
  <conditionalFormatting sqref="BB274:BB275">
    <cfRule type="cellIs" dxfId="15715" priority="6769" operator="lessThan">
      <formula>0</formula>
    </cfRule>
    <cfRule type="cellIs" dxfId="15714" priority="6770" operator="lessThan">
      <formula>-105575</formula>
    </cfRule>
  </conditionalFormatting>
  <conditionalFormatting sqref="BB274:BB275">
    <cfRule type="cellIs" dxfId="15713" priority="6767" operator="lessThan">
      <formula>0</formula>
    </cfRule>
    <cfRule type="cellIs" dxfId="15712" priority="6768" operator="lessThan">
      <formula>-105575</formula>
    </cfRule>
  </conditionalFormatting>
  <conditionalFormatting sqref="BB274:BB275">
    <cfRule type="cellIs" dxfId="15711" priority="6765" operator="lessThan">
      <formula>0</formula>
    </cfRule>
    <cfRule type="cellIs" dxfId="15710" priority="6766" operator="lessThan">
      <formula>-105575</formula>
    </cfRule>
  </conditionalFormatting>
  <conditionalFormatting sqref="BB274:BB275">
    <cfRule type="cellIs" dxfId="15709" priority="6763" operator="lessThan">
      <formula>0</formula>
    </cfRule>
    <cfRule type="cellIs" dxfId="15708" priority="6764" operator="lessThan">
      <formula>-105575</formula>
    </cfRule>
  </conditionalFormatting>
  <conditionalFormatting sqref="BB274:BB275">
    <cfRule type="cellIs" dxfId="15707" priority="6761" operator="lessThan">
      <formula>0</formula>
    </cfRule>
    <cfRule type="cellIs" dxfId="15706" priority="6762" operator="lessThan">
      <formula>-105575</formula>
    </cfRule>
  </conditionalFormatting>
  <conditionalFormatting sqref="BB274:BB275">
    <cfRule type="cellIs" dxfId="15705" priority="6759" operator="lessThan">
      <formula>0</formula>
    </cfRule>
    <cfRule type="cellIs" dxfId="15704" priority="6760" operator="lessThan">
      <formula>-105575</formula>
    </cfRule>
  </conditionalFormatting>
  <conditionalFormatting sqref="BB274:BB275">
    <cfRule type="cellIs" dxfId="15703" priority="6757" operator="lessThan">
      <formula>0</formula>
    </cfRule>
    <cfRule type="cellIs" dxfId="15702" priority="6758" operator="lessThan">
      <formula>-105575</formula>
    </cfRule>
  </conditionalFormatting>
  <conditionalFormatting sqref="BB274:BB275">
    <cfRule type="cellIs" dxfId="15701" priority="6755" operator="lessThan">
      <formula>0</formula>
    </cfRule>
    <cfRule type="cellIs" dxfId="15700" priority="6756" operator="lessThan">
      <formula>-105575</formula>
    </cfRule>
  </conditionalFormatting>
  <conditionalFormatting sqref="BB274:BB275">
    <cfRule type="cellIs" dxfId="15699" priority="6753" operator="lessThan">
      <formula>0</formula>
    </cfRule>
    <cfRule type="cellIs" dxfId="15698" priority="6754" operator="lessThan">
      <formula>-105575</formula>
    </cfRule>
  </conditionalFormatting>
  <conditionalFormatting sqref="BB278:BB282">
    <cfRule type="cellIs" dxfId="15697" priority="6751" operator="lessThan">
      <formula>0</formula>
    </cfRule>
    <cfRule type="cellIs" dxfId="15696" priority="6752" operator="lessThan">
      <formula>-105575</formula>
    </cfRule>
  </conditionalFormatting>
  <conditionalFormatting sqref="BB278:BB282">
    <cfRule type="cellIs" dxfId="15695" priority="6749" operator="lessThan">
      <formula>0</formula>
    </cfRule>
    <cfRule type="cellIs" dxfId="15694" priority="6750" operator="lessThan">
      <formula>-105575</formula>
    </cfRule>
  </conditionalFormatting>
  <conditionalFormatting sqref="BB278:BB282">
    <cfRule type="cellIs" dxfId="15693" priority="6747" operator="lessThan">
      <formula>0</formula>
    </cfRule>
    <cfRule type="cellIs" dxfId="15692" priority="6748" operator="lessThan">
      <formula>-105575</formula>
    </cfRule>
  </conditionalFormatting>
  <conditionalFormatting sqref="BB278:BB282">
    <cfRule type="cellIs" dxfId="15691" priority="6745" operator="lessThan">
      <formula>0</formula>
    </cfRule>
    <cfRule type="cellIs" dxfId="15690" priority="6746" operator="lessThan">
      <formula>-105575</formula>
    </cfRule>
  </conditionalFormatting>
  <conditionalFormatting sqref="BB278:BB282">
    <cfRule type="cellIs" dxfId="15689" priority="6743" operator="lessThan">
      <formula>0</formula>
    </cfRule>
    <cfRule type="cellIs" dxfId="15688" priority="6744" operator="lessThan">
      <formula>-105575</formula>
    </cfRule>
  </conditionalFormatting>
  <conditionalFormatting sqref="BB278:BB282">
    <cfRule type="cellIs" dxfId="15687" priority="6741" operator="lessThan">
      <formula>0</formula>
    </cfRule>
    <cfRule type="cellIs" dxfId="15686" priority="6742" operator="lessThan">
      <formula>-105575</formula>
    </cfRule>
  </conditionalFormatting>
  <conditionalFormatting sqref="BB278:BB282">
    <cfRule type="cellIs" dxfId="15685" priority="6739" operator="lessThan">
      <formula>0</formula>
    </cfRule>
    <cfRule type="cellIs" dxfId="15684" priority="6740" operator="lessThan">
      <formula>-105575</formula>
    </cfRule>
  </conditionalFormatting>
  <conditionalFormatting sqref="BB278:BB282">
    <cfRule type="cellIs" dxfId="15683" priority="6737" operator="lessThan">
      <formula>0</formula>
    </cfRule>
    <cfRule type="cellIs" dxfId="15682" priority="6738" operator="lessThan">
      <formula>-105575</formula>
    </cfRule>
  </conditionalFormatting>
  <conditionalFormatting sqref="BB278:BB282">
    <cfRule type="cellIs" dxfId="15681" priority="6735" operator="lessThan">
      <formula>0</formula>
    </cfRule>
    <cfRule type="cellIs" dxfId="15680" priority="6736" operator="lessThan">
      <formula>-105575</formula>
    </cfRule>
  </conditionalFormatting>
  <conditionalFormatting sqref="BB285:BB288">
    <cfRule type="cellIs" dxfId="15679" priority="6733" operator="lessThan">
      <formula>0</formula>
    </cfRule>
    <cfRule type="cellIs" dxfId="15678" priority="6734" operator="lessThan">
      <formula>-105575</formula>
    </cfRule>
  </conditionalFormatting>
  <conditionalFormatting sqref="BB285:BB288">
    <cfRule type="cellIs" dxfId="15677" priority="6731" operator="lessThan">
      <formula>0</formula>
    </cfRule>
    <cfRule type="cellIs" dxfId="15676" priority="6732" operator="lessThan">
      <formula>-105575</formula>
    </cfRule>
  </conditionalFormatting>
  <conditionalFormatting sqref="BB285:BB288">
    <cfRule type="cellIs" dxfId="15675" priority="6729" operator="lessThan">
      <formula>0</formula>
    </cfRule>
    <cfRule type="cellIs" dxfId="15674" priority="6730" operator="lessThan">
      <formula>-105575</formula>
    </cfRule>
  </conditionalFormatting>
  <conditionalFormatting sqref="BB285:BB288">
    <cfRule type="cellIs" dxfId="15673" priority="6727" operator="lessThan">
      <formula>0</formula>
    </cfRule>
    <cfRule type="cellIs" dxfId="15672" priority="6728" operator="lessThan">
      <formula>-105575</formula>
    </cfRule>
  </conditionalFormatting>
  <conditionalFormatting sqref="BB285:BB288">
    <cfRule type="cellIs" dxfId="15671" priority="6725" operator="lessThan">
      <formula>0</formula>
    </cfRule>
    <cfRule type="cellIs" dxfId="15670" priority="6726" operator="lessThan">
      <formula>-105575</formula>
    </cfRule>
  </conditionalFormatting>
  <conditionalFormatting sqref="BB285:BB288">
    <cfRule type="cellIs" dxfId="15669" priority="6723" operator="lessThan">
      <formula>0</formula>
    </cfRule>
    <cfRule type="cellIs" dxfId="15668" priority="6724" operator="lessThan">
      <formula>-105575</formula>
    </cfRule>
  </conditionalFormatting>
  <conditionalFormatting sqref="BB285:BB288">
    <cfRule type="cellIs" dxfId="15667" priority="6721" operator="lessThan">
      <formula>0</formula>
    </cfRule>
    <cfRule type="cellIs" dxfId="15666" priority="6722" operator="lessThan">
      <formula>-105575</formula>
    </cfRule>
  </conditionalFormatting>
  <conditionalFormatting sqref="BB285:BB288">
    <cfRule type="cellIs" dxfId="15665" priority="6719" operator="lessThan">
      <formula>0</formula>
    </cfRule>
    <cfRule type="cellIs" dxfId="15664" priority="6720" operator="lessThan">
      <formula>-105575</formula>
    </cfRule>
  </conditionalFormatting>
  <conditionalFormatting sqref="BB285:BB288">
    <cfRule type="cellIs" dxfId="15663" priority="6717" operator="lessThan">
      <formula>0</formula>
    </cfRule>
    <cfRule type="cellIs" dxfId="15662" priority="6718" operator="lessThan">
      <formula>-105575</formula>
    </cfRule>
  </conditionalFormatting>
  <conditionalFormatting sqref="BB203 BB220:BB221 BB235:BB243 BB231:BB233 BB212:BB213 BB225:BB226">
    <cfRule type="cellIs" dxfId="15661" priority="6715" operator="lessThan">
      <formula>0</formula>
    </cfRule>
    <cfRule type="cellIs" dxfId="15660" priority="6716" operator="lessThan">
      <formula>-105575</formula>
    </cfRule>
  </conditionalFormatting>
  <conditionalFormatting sqref="BB220 BB212:BB213 BB235:BB238 BB240:BB243 BB225:BB226 BB231:BB233">
    <cfRule type="cellIs" dxfId="15659" priority="6713" operator="lessThan">
      <formula>0</formula>
    </cfRule>
    <cfRule type="cellIs" dxfId="15658" priority="6714" operator="lessThan">
      <formula>-105575</formula>
    </cfRule>
  </conditionalFormatting>
  <conditionalFormatting sqref="BB220:BB221 BB243 BB226 BB231:BB236 BB238:BB241 BB203 BB213">
    <cfRule type="cellIs" dxfId="15657" priority="6711" operator="lessThan">
      <formula>0</formula>
    </cfRule>
    <cfRule type="cellIs" dxfId="15656" priority="6712" operator="lessThan">
      <formula>-105575</formula>
    </cfRule>
  </conditionalFormatting>
  <conditionalFormatting sqref="BB235:BB243 BB231:BB233 BB220 BB212:BB213 BB225:BB226">
    <cfRule type="cellIs" dxfId="15655" priority="6709" operator="lessThan">
      <formula>0</formula>
    </cfRule>
    <cfRule type="cellIs" dxfId="15654" priority="6710" operator="lessThan">
      <formula>-105575</formula>
    </cfRule>
  </conditionalFormatting>
  <conditionalFormatting sqref="BB220:BB221 BB237:BB243 BB203 BB231:BB235 BB212:BB213 BB225:BB226">
    <cfRule type="cellIs" dxfId="15653" priority="6707" operator="lessThan">
      <formula>0</formula>
    </cfRule>
    <cfRule type="cellIs" dxfId="15652" priority="6708" operator="lessThan">
      <formula>-105575</formula>
    </cfRule>
  </conditionalFormatting>
  <conditionalFormatting sqref="BB220:BB221 BB237:BB240 BB242:BB243 BB225:BB226 BB231:BB235">
    <cfRule type="cellIs" dxfId="15651" priority="6705" operator="lessThan">
      <formula>0</formula>
    </cfRule>
    <cfRule type="cellIs" dxfId="15650" priority="6706" operator="lessThan">
      <formula>-105575</formula>
    </cfRule>
  </conditionalFormatting>
  <conditionalFormatting sqref="BB212 BB231 BB233:BB238 BB240:BB243 BB225">
    <cfRule type="cellIs" dxfId="15649" priority="6703" operator="lessThan">
      <formula>0</formula>
    </cfRule>
    <cfRule type="cellIs" dxfId="15648" priority="6704" operator="lessThan">
      <formula>-105575</formula>
    </cfRule>
  </conditionalFormatting>
  <conditionalFormatting sqref="BB237:BB243 BB231:BB235 BB220:BB221 BB225:BB226">
    <cfRule type="cellIs" dxfId="15647" priority="6701" operator="lessThan">
      <formula>0</formula>
    </cfRule>
    <cfRule type="cellIs" dxfId="15646" priority="6702" operator="lessThan">
      <formula>-105575</formula>
    </cfRule>
  </conditionalFormatting>
  <conditionalFormatting sqref="BB233:BB237 BB231 BB239:BB243">
    <cfRule type="cellIs" dxfId="15645" priority="6699" operator="lessThan">
      <formula>0</formula>
    </cfRule>
    <cfRule type="cellIs" dxfId="15644" priority="6700" operator="lessThan">
      <formula>-105575</formula>
    </cfRule>
  </conditionalFormatting>
  <conditionalFormatting sqref="BB233:BB237 BB231 BB239:BB243">
    <cfRule type="cellIs" dxfId="15643" priority="6697" operator="lessThan">
      <formula>0</formula>
    </cfRule>
    <cfRule type="cellIs" dxfId="15642" priority="6698" operator="lessThan">
      <formula>-105575</formula>
    </cfRule>
  </conditionalFormatting>
  <conditionalFormatting sqref="BB119:BB128 BB106:BB117 BB101:BB104 BB80:BB98">
    <cfRule type="cellIs" dxfId="15641" priority="6695" operator="lessThan">
      <formula>0</formula>
    </cfRule>
    <cfRule type="cellIs" dxfId="15640" priority="6696" operator="lessThan">
      <formula>-105575</formula>
    </cfRule>
  </conditionalFormatting>
  <conditionalFormatting sqref="BB130 BB132 BB134">
    <cfRule type="cellIs" dxfId="15639" priority="6693" operator="lessThan">
      <formula>0</formula>
    </cfRule>
    <cfRule type="cellIs" dxfId="15638" priority="6694" operator="lessThan">
      <formula>-105575</formula>
    </cfRule>
  </conditionalFormatting>
  <conditionalFormatting sqref="BB130 BB132 BB134">
    <cfRule type="cellIs" dxfId="15637" priority="6691" operator="lessThan">
      <formula>0</formula>
    </cfRule>
    <cfRule type="cellIs" dxfId="15636" priority="6692" operator="lessThan">
      <formula>-105575</formula>
    </cfRule>
  </conditionalFormatting>
  <conditionalFormatting sqref="BB129 BB131 BB133 BB135">
    <cfRule type="cellIs" dxfId="15635" priority="6689" operator="lessThan">
      <formula>0</formula>
    </cfRule>
    <cfRule type="cellIs" dxfId="15634" priority="6690" operator="lessThan">
      <formula>-105575</formula>
    </cfRule>
  </conditionalFormatting>
  <conditionalFormatting sqref="BB140 BB145 BB142:BB143 BB137:BB138">
    <cfRule type="cellIs" dxfId="15633" priority="6687" operator="lessThan">
      <formula>0</formula>
    </cfRule>
    <cfRule type="cellIs" dxfId="15632" priority="6688" operator="lessThan">
      <formula>-105575</formula>
    </cfRule>
  </conditionalFormatting>
  <conditionalFormatting sqref="BB149">
    <cfRule type="cellIs" dxfId="15631" priority="6685" operator="lessThan">
      <formula>0</formula>
    </cfRule>
    <cfRule type="cellIs" dxfId="15630" priority="6686" operator="lessThan">
      <formula>-105575</formula>
    </cfRule>
  </conditionalFormatting>
  <conditionalFormatting sqref="BB129:BB138 BB140:BB149">
    <cfRule type="cellIs" dxfId="15629" priority="6683" operator="lessThan">
      <formula>0</formula>
    </cfRule>
    <cfRule type="cellIs" dxfId="15628" priority="6684" operator="lessThan">
      <formula>-105575</formula>
    </cfRule>
  </conditionalFormatting>
  <conditionalFormatting sqref="BB94:BB98 BB86:BB87 BB89:BB91 BB141:BB149 BB124:BB133 BB107:BB110 BB112:BB117 BB119:BB122 BB135:BB138 BB101:BB104 BB80:BB84">
    <cfRule type="cellIs" dxfId="15627" priority="6681" operator="lessThan">
      <formula>0</formula>
    </cfRule>
    <cfRule type="cellIs" dxfId="15626" priority="6682" operator="lessThan">
      <formula>-105575</formula>
    </cfRule>
  </conditionalFormatting>
  <conditionalFormatting sqref="BB129 BB131 BB133 BB135">
    <cfRule type="cellIs" dxfId="15625" priority="6679" operator="lessThan">
      <formula>0</formula>
    </cfRule>
    <cfRule type="cellIs" dxfId="15624" priority="6680" operator="lessThan">
      <formula>-105575</formula>
    </cfRule>
  </conditionalFormatting>
  <conditionalFormatting sqref="BB146 BB144 BB141">
    <cfRule type="cellIs" dxfId="15623" priority="6677" operator="lessThan">
      <formula>0</formula>
    </cfRule>
    <cfRule type="cellIs" dxfId="15622" priority="6678" operator="lessThan">
      <formula>-105575</formula>
    </cfRule>
  </conditionalFormatting>
  <conditionalFormatting sqref="BB146 BB144 BB141">
    <cfRule type="cellIs" dxfId="15621" priority="6675" operator="lessThan">
      <formula>0</formula>
    </cfRule>
    <cfRule type="cellIs" dxfId="15620" priority="6676" operator="lessThan">
      <formula>-105575</formula>
    </cfRule>
  </conditionalFormatting>
  <conditionalFormatting sqref="BB140 BB145 BB142:BB143 BB137:BB138">
    <cfRule type="cellIs" dxfId="15619" priority="6673" operator="lessThan">
      <formula>0</formula>
    </cfRule>
    <cfRule type="cellIs" dxfId="15618" priority="6674" operator="lessThan">
      <formula>-105575</formula>
    </cfRule>
  </conditionalFormatting>
  <conditionalFormatting sqref="BB149">
    <cfRule type="cellIs" dxfId="15617" priority="6671" operator="lessThan">
      <formula>0</formula>
    </cfRule>
    <cfRule type="cellIs" dxfId="15616" priority="6672" operator="lessThan">
      <formula>-105575</formula>
    </cfRule>
  </conditionalFormatting>
  <conditionalFormatting sqref="BB94:BB98 BB86:BB87 BB89:BB91 BB141:BB149 BB124:BB133 BB107:BB110 BB112:BB117 BB119:BB122 BB135:BB138 BB101:BB104 BB80:BB84">
    <cfRule type="cellIs" dxfId="15615" priority="6669" operator="lessThan">
      <formula>0</formula>
    </cfRule>
    <cfRule type="cellIs" dxfId="15614" priority="6670" operator="lessThan">
      <formula>-105575</formula>
    </cfRule>
  </conditionalFormatting>
  <conditionalFormatting sqref="BB246:BB249 BB262 BB267 BB279:BB282 BB285:BB288 BB274:BB275 BB306:BB309 BB311:BB325 BB327:BB330 BB332:BB341 BB344:BB347 BB349:BB353 BB355:BB358 BB360:BB384 BB386:BB389 BB392:BB395 BB397:BB411 BB413:BB416 BB418:BB432 BB434:BB437 BB439:BB453 BB455:BB458 BB460:BB469 BB7:BB10 BB12:BB14 BB17:BB18 BB21:BB24 BB26:BB28 BB30:BB36 BB38 BB41:BB43 BB46:BB49 BB51:BB55 BB57:BB59 BB62:BB76 BB251:BB253 BB255:BB257 BB293:BB304 BB264:BB265 BB260 BB290:BB291 BB270:BB272">
    <cfRule type="cellIs" dxfId="15613" priority="6667" operator="lessThan">
      <formula>0</formula>
    </cfRule>
    <cfRule type="cellIs" dxfId="15612" priority="6668" operator="lessThan">
      <formula>-105575</formula>
    </cfRule>
  </conditionalFormatting>
  <conditionalFormatting sqref="BB41">
    <cfRule type="cellIs" dxfId="15611" priority="6665" operator="lessThan">
      <formula>0</formula>
    </cfRule>
    <cfRule type="cellIs" dxfId="15610" priority="6666" operator="lessThan">
      <formula>-105575</formula>
    </cfRule>
  </conditionalFormatting>
  <conditionalFormatting sqref="BB152:BB155">
    <cfRule type="cellIs" dxfId="15609" priority="6663" operator="lessThan">
      <formula>0</formula>
    </cfRule>
    <cfRule type="cellIs" dxfId="15608" priority="6664" operator="lessThan">
      <formula>-105575</formula>
    </cfRule>
  </conditionalFormatting>
  <conditionalFormatting sqref="BB152:BB155">
    <cfRule type="cellIs" dxfId="15607" priority="6661" operator="lessThan">
      <formula>0</formula>
    </cfRule>
    <cfRule type="cellIs" dxfId="15606" priority="6662" operator="lessThan">
      <formula>-105575</formula>
    </cfRule>
  </conditionalFormatting>
  <conditionalFormatting sqref="BB152:BB155">
    <cfRule type="cellIs" dxfId="15605" priority="6659" operator="lessThan">
      <formula>0</formula>
    </cfRule>
    <cfRule type="cellIs" dxfId="15604" priority="6660" operator="lessThan">
      <formula>-105575</formula>
    </cfRule>
  </conditionalFormatting>
  <conditionalFormatting sqref="BB157:BB158">
    <cfRule type="cellIs" dxfId="15603" priority="6657" operator="lessThan">
      <formula>0</formula>
    </cfRule>
    <cfRule type="cellIs" dxfId="15602" priority="6658" operator="lessThan">
      <formula>-105575</formula>
    </cfRule>
  </conditionalFormatting>
  <conditionalFormatting sqref="BB157:BB158">
    <cfRule type="cellIs" dxfId="15601" priority="6655" operator="lessThan">
      <formula>0</formula>
    </cfRule>
    <cfRule type="cellIs" dxfId="15600" priority="6656" operator="lessThan">
      <formula>-105575</formula>
    </cfRule>
  </conditionalFormatting>
  <conditionalFormatting sqref="BB157:BB158">
    <cfRule type="cellIs" dxfId="15599" priority="6653" operator="lessThan">
      <formula>0</formula>
    </cfRule>
    <cfRule type="cellIs" dxfId="15598" priority="6654" operator="lessThan">
      <formula>-105575</formula>
    </cfRule>
  </conditionalFormatting>
  <conditionalFormatting sqref="BB160:BB161">
    <cfRule type="cellIs" dxfId="15597" priority="6651" operator="lessThan">
      <formula>0</formula>
    </cfRule>
    <cfRule type="cellIs" dxfId="15596" priority="6652" operator="lessThan">
      <formula>-105575</formula>
    </cfRule>
  </conditionalFormatting>
  <conditionalFormatting sqref="BB160:BB161">
    <cfRule type="cellIs" dxfId="15595" priority="6649" operator="lessThan">
      <formula>0</formula>
    </cfRule>
    <cfRule type="cellIs" dxfId="15594" priority="6650" operator="lessThan">
      <formula>-105575</formula>
    </cfRule>
  </conditionalFormatting>
  <conditionalFormatting sqref="BB160:BB161">
    <cfRule type="cellIs" dxfId="15593" priority="6647" operator="lessThan">
      <formula>0</formula>
    </cfRule>
    <cfRule type="cellIs" dxfId="15592" priority="6648" operator="lessThan">
      <formula>-105575</formula>
    </cfRule>
  </conditionalFormatting>
  <conditionalFormatting sqref="BB164:BB167">
    <cfRule type="cellIs" dxfId="15591" priority="6645" operator="lessThan">
      <formula>0</formula>
    </cfRule>
    <cfRule type="cellIs" dxfId="15590" priority="6646" operator="lessThan">
      <formula>-105575</formula>
    </cfRule>
  </conditionalFormatting>
  <conditionalFormatting sqref="BB164:BB167">
    <cfRule type="cellIs" dxfId="15589" priority="6643" operator="lessThan">
      <formula>0</formula>
    </cfRule>
    <cfRule type="cellIs" dxfId="15588" priority="6644" operator="lessThan">
      <formula>-105575</formula>
    </cfRule>
  </conditionalFormatting>
  <conditionalFormatting sqref="BB164:BB167">
    <cfRule type="cellIs" dxfId="15587" priority="6641" operator="lessThan">
      <formula>0</formula>
    </cfRule>
    <cfRule type="cellIs" dxfId="15586" priority="6642" operator="lessThan">
      <formula>-105575</formula>
    </cfRule>
  </conditionalFormatting>
  <conditionalFormatting sqref="BB169:BB177">
    <cfRule type="cellIs" dxfId="15585" priority="6639" operator="lessThan">
      <formula>0</formula>
    </cfRule>
    <cfRule type="cellIs" dxfId="15584" priority="6640" operator="lessThan">
      <formula>-105575</formula>
    </cfRule>
  </conditionalFormatting>
  <conditionalFormatting sqref="BB169:BB177">
    <cfRule type="cellIs" dxfId="15583" priority="6637" operator="lessThan">
      <formula>0</formula>
    </cfRule>
    <cfRule type="cellIs" dxfId="15582" priority="6638" operator="lessThan">
      <formula>-105575</formula>
    </cfRule>
  </conditionalFormatting>
  <conditionalFormatting sqref="BB169:BB177">
    <cfRule type="cellIs" dxfId="15581" priority="6635" operator="lessThan">
      <formula>0</formula>
    </cfRule>
    <cfRule type="cellIs" dxfId="15580" priority="6636" operator="lessThan">
      <formula>-105575</formula>
    </cfRule>
  </conditionalFormatting>
  <conditionalFormatting sqref="BB179:BB180">
    <cfRule type="cellIs" dxfId="15579" priority="6633" operator="lessThan">
      <formula>0</formula>
    </cfRule>
    <cfRule type="cellIs" dxfId="15578" priority="6634" operator="lessThan">
      <formula>-105575</formula>
    </cfRule>
  </conditionalFormatting>
  <conditionalFormatting sqref="BB179:BB180">
    <cfRule type="cellIs" dxfId="15577" priority="6631" operator="lessThan">
      <formula>0</formula>
    </cfRule>
    <cfRule type="cellIs" dxfId="15576" priority="6632" operator="lessThan">
      <formula>-105575</formula>
    </cfRule>
  </conditionalFormatting>
  <conditionalFormatting sqref="BB179:BB180">
    <cfRule type="cellIs" dxfId="15575" priority="6629" operator="lessThan">
      <formula>0</formula>
    </cfRule>
    <cfRule type="cellIs" dxfId="15574" priority="6630" operator="lessThan">
      <formula>-105575</formula>
    </cfRule>
  </conditionalFormatting>
  <conditionalFormatting sqref="BB183:BB189">
    <cfRule type="cellIs" dxfId="15573" priority="6627" operator="lessThan">
      <formula>0</formula>
    </cfRule>
    <cfRule type="cellIs" dxfId="15572" priority="6628" operator="lessThan">
      <formula>-105575</formula>
    </cfRule>
  </conditionalFormatting>
  <conditionalFormatting sqref="BB183:BB189">
    <cfRule type="cellIs" dxfId="15571" priority="6625" operator="lessThan">
      <formula>0</formula>
    </cfRule>
    <cfRule type="cellIs" dxfId="15570" priority="6626" operator="lessThan">
      <formula>-105575</formula>
    </cfRule>
  </conditionalFormatting>
  <conditionalFormatting sqref="BB183:BB189">
    <cfRule type="cellIs" dxfId="15569" priority="6623" operator="lessThan">
      <formula>0</formula>
    </cfRule>
    <cfRule type="cellIs" dxfId="15568" priority="6624" operator="lessThan">
      <formula>-105575</formula>
    </cfRule>
  </conditionalFormatting>
  <conditionalFormatting sqref="BB191:BB192">
    <cfRule type="cellIs" dxfId="15567" priority="6621" operator="lessThan">
      <formula>0</formula>
    </cfRule>
    <cfRule type="cellIs" dxfId="15566" priority="6622" operator="lessThan">
      <formula>-105575</formula>
    </cfRule>
  </conditionalFormatting>
  <conditionalFormatting sqref="BB191:BB192">
    <cfRule type="cellIs" dxfId="15565" priority="6619" operator="lessThan">
      <formula>0</formula>
    </cfRule>
    <cfRule type="cellIs" dxfId="15564" priority="6620" operator="lessThan">
      <formula>-105575</formula>
    </cfRule>
  </conditionalFormatting>
  <conditionalFormatting sqref="BB191:BB192">
    <cfRule type="cellIs" dxfId="15563" priority="6617" operator="lessThan">
      <formula>0</formula>
    </cfRule>
    <cfRule type="cellIs" dxfId="15562" priority="6618" operator="lessThan">
      <formula>-105575</formula>
    </cfRule>
  </conditionalFormatting>
  <conditionalFormatting sqref="BB194:BB195">
    <cfRule type="cellIs" dxfId="15561" priority="6615" operator="lessThan">
      <formula>0</formula>
    </cfRule>
    <cfRule type="cellIs" dxfId="15560" priority="6616" operator="lessThan">
      <formula>-105575</formula>
    </cfRule>
  </conditionalFormatting>
  <conditionalFormatting sqref="BB194:BB195">
    <cfRule type="cellIs" dxfId="15559" priority="6613" operator="lessThan">
      <formula>0</formula>
    </cfRule>
    <cfRule type="cellIs" dxfId="15558" priority="6614" operator="lessThan">
      <formula>-105575</formula>
    </cfRule>
  </conditionalFormatting>
  <conditionalFormatting sqref="BB194:BB195">
    <cfRule type="cellIs" dxfId="15557" priority="6611" operator="lessThan">
      <formula>0</formula>
    </cfRule>
    <cfRule type="cellIs" dxfId="15556" priority="6612" operator="lessThan">
      <formula>-105575</formula>
    </cfRule>
  </conditionalFormatting>
  <conditionalFormatting sqref="BB199:BB202">
    <cfRule type="cellIs" dxfId="15555" priority="6609" operator="lessThan">
      <formula>0</formula>
    </cfRule>
    <cfRule type="cellIs" dxfId="15554" priority="6610" operator="lessThan">
      <formula>-105575</formula>
    </cfRule>
  </conditionalFormatting>
  <conditionalFormatting sqref="BB199:BB202">
    <cfRule type="cellIs" dxfId="15553" priority="6607" operator="lessThan">
      <formula>0</formula>
    </cfRule>
    <cfRule type="cellIs" dxfId="15552" priority="6608" operator="lessThan">
      <formula>-105575</formula>
    </cfRule>
  </conditionalFormatting>
  <conditionalFormatting sqref="BB199:BB202">
    <cfRule type="cellIs" dxfId="15551" priority="6605" operator="lessThan">
      <formula>0</formula>
    </cfRule>
    <cfRule type="cellIs" dxfId="15550" priority="6606" operator="lessThan">
      <formula>-105575</formula>
    </cfRule>
  </conditionalFormatting>
  <conditionalFormatting sqref="BB204:BB208">
    <cfRule type="cellIs" dxfId="15549" priority="6603" operator="lessThan">
      <formula>0</formula>
    </cfRule>
    <cfRule type="cellIs" dxfId="15548" priority="6604" operator="lessThan">
      <formula>-105575</formula>
    </cfRule>
  </conditionalFormatting>
  <conditionalFormatting sqref="BB204:BB208">
    <cfRule type="cellIs" dxfId="15547" priority="6601" operator="lessThan">
      <formula>0</formula>
    </cfRule>
    <cfRule type="cellIs" dxfId="15546" priority="6602" operator="lessThan">
      <formula>-105575</formula>
    </cfRule>
  </conditionalFormatting>
  <conditionalFormatting sqref="BB204:BB208">
    <cfRule type="cellIs" dxfId="15545" priority="6599" operator="lessThan">
      <formula>0</formula>
    </cfRule>
    <cfRule type="cellIs" dxfId="15544" priority="6600" operator="lessThan">
      <formula>-105575</formula>
    </cfRule>
  </conditionalFormatting>
  <conditionalFormatting sqref="BB210:BB211">
    <cfRule type="cellIs" dxfId="15543" priority="6597" operator="lessThan">
      <formula>0</formula>
    </cfRule>
    <cfRule type="cellIs" dxfId="15542" priority="6598" operator="lessThan">
      <formula>-105575</formula>
    </cfRule>
  </conditionalFormatting>
  <conditionalFormatting sqref="BB210:BB211">
    <cfRule type="cellIs" dxfId="15541" priority="6595" operator="lessThan">
      <formula>0</formula>
    </cfRule>
    <cfRule type="cellIs" dxfId="15540" priority="6596" operator="lessThan">
      <formula>-105575</formula>
    </cfRule>
  </conditionalFormatting>
  <conditionalFormatting sqref="BB210:BB211">
    <cfRule type="cellIs" dxfId="15539" priority="6593" operator="lessThan">
      <formula>0</formula>
    </cfRule>
    <cfRule type="cellIs" dxfId="15538" priority="6594" operator="lessThan">
      <formula>-105575</formula>
    </cfRule>
  </conditionalFormatting>
  <conditionalFormatting sqref="BB214:BB219">
    <cfRule type="cellIs" dxfId="15537" priority="6591" operator="lessThan">
      <formula>0</formula>
    </cfRule>
    <cfRule type="cellIs" dxfId="15536" priority="6592" operator="lessThan">
      <formula>-105575</formula>
    </cfRule>
  </conditionalFormatting>
  <conditionalFormatting sqref="BB214:BB219">
    <cfRule type="cellIs" dxfId="15535" priority="6589" operator="lessThan">
      <formula>0</formula>
    </cfRule>
    <cfRule type="cellIs" dxfId="15534" priority="6590" operator="lessThan">
      <formula>-105575</formula>
    </cfRule>
  </conditionalFormatting>
  <conditionalFormatting sqref="BB214:BB219">
    <cfRule type="cellIs" dxfId="15533" priority="6587" operator="lessThan">
      <formula>0</formula>
    </cfRule>
    <cfRule type="cellIs" dxfId="15532" priority="6588" operator="lessThan">
      <formula>-105575</formula>
    </cfRule>
  </conditionalFormatting>
  <conditionalFormatting sqref="BB222:BB224">
    <cfRule type="cellIs" dxfId="15531" priority="6585" operator="lessThan">
      <formula>0</formula>
    </cfRule>
    <cfRule type="cellIs" dxfId="15530" priority="6586" operator="lessThan">
      <formula>-105575</formula>
    </cfRule>
  </conditionalFormatting>
  <conditionalFormatting sqref="BB222:BB224">
    <cfRule type="cellIs" dxfId="15529" priority="6583" operator="lessThan">
      <formula>0</formula>
    </cfRule>
    <cfRule type="cellIs" dxfId="15528" priority="6584" operator="lessThan">
      <formula>-105575</formula>
    </cfRule>
  </conditionalFormatting>
  <conditionalFormatting sqref="BB222:BB224">
    <cfRule type="cellIs" dxfId="15527" priority="6581" operator="lessThan">
      <formula>0</formula>
    </cfRule>
    <cfRule type="cellIs" dxfId="15526" priority="6582" operator="lessThan">
      <formula>-105575</formula>
    </cfRule>
  </conditionalFormatting>
  <conditionalFormatting sqref="BB227:BB230">
    <cfRule type="cellIs" dxfId="15525" priority="6579" operator="lessThan">
      <formula>0</formula>
    </cfRule>
    <cfRule type="cellIs" dxfId="15524" priority="6580" operator="lessThan">
      <formula>-105575</formula>
    </cfRule>
  </conditionalFormatting>
  <conditionalFormatting sqref="BB227:BB230">
    <cfRule type="cellIs" dxfId="15523" priority="6577" operator="lessThan">
      <formula>0</formula>
    </cfRule>
    <cfRule type="cellIs" dxfId="15522" priority="6578" operator="lessThan">
      <formula>-105575</formula>
    </cfRule>
  </conditionalFormatting>
  <conditionalFormatting sqref="BB227:BB230">
    <cfRule type="cellIs" dxfId="15521" priority="6575" operator="lessThan">
      <formula>0</formula>
    </cfRule>
    <cfRule type="cellIs" dxfId="15520" priority="6576" operator="lessThan">
      <formula>-105575</formula>
    </cfRule>
  </conditionalFormatting>
  <conditionalFormatting sqref="BB203 BB220:BB221 BB235:BB243 BB231:BB233 BB212:BB213 BB225:BB226">
    <cfRule type="cellIs" dxfId="15519" priority="6573" operator="lessThan">
      <formula>0</formula>
    </cfRule>
    <cfRule type="cellIs" dxfId="15518" priority="6574" operator="lessThan">
      <formula>-105575</formula>
    </cfRule>
  </conditionalFormatting>
  <conditionalFormatting sqref="BB220 BB212:BB213 BB235:BB238 BB240:BB243 BB225:BB226 BB231:BB233">
    <cfRule type="cellIs" dxfId="15517" priority="6571" operator="lessThan">
      <formula>0</formula>
    </cfRule>
    <cfRule type="cellIs" dxfId="15516" priority="6572" operator="lessThan">
      <formula>-105575</formula>
    </cfRule>
  </conditionalFormatting>
  <conditionalFormatting sqref="BB220:BB221 BB243 BB226 BB231:BB236 BB238:BB241 BB203 BB213">
    <cfRule type="cellIs" dxfId="15515" priority="6569" operator="lessThan">
      <formula>0</formula>
    </cfRule>
    <cfRule type="cellIs" dxfId="15514" priority="6570" operator="lessThan">
      <formula>-105575</formula>
    </cfRule>
  </conditionalFormatting>
  <conditionalFormatting sqref="BB235:BB243 BB231:BB233 BB220 BB212:BB213 BB225:BB226">
    <cfRule type="cellIs" dxfId="15513" priority="6567" operator="lessThan">
      <formula>0</formula>
    </cfRule>
    <cfRule type="cellIs" dxfId="15512" priority="6568" operator="lessThan">
      <formula>-105575</formula>
    </cfRule>
  </conditionalFormatting>
  <conditionalFormatting sqref="BB220:BB221 BB237:BB243 BB203 BB231:BB235 BB212:BB213 BB225:BB226">
    <cfRule type="cellIs" dxfId="15511" priority="6565" operator="lessThan">
      <formula>0</formula>
    </cfRule>
    <cfRule type="cellIs" dxfId="15510" priority="6566" operator="lessThan">
      <formula>-105575</formula>
    </cfRule>
  </conditionalFormatting>
  <conditionalFormatting sqref="BB220:BB221 BB237:BB240 BB242:BB243 BB225:BB226 BB231:BB235">
    <cfRule type="cellIs" dxfId="15509" priority="6563" operator="lessThan">
      <formula>0</formula>
    </cfRule>
    <cfRule type="cellIs" dxfId="15508" priority="6564" operator="lessThan">
      <formula>-105575</formula>
    </cfRule>
  </conditionalFormatting>
  <conditionalFormatting sqref="BB212 BB231 BB233:BB238 BB240:BB243 BB225">
    <cfRule type="cellIs" dxfId="15507" priority="6561" operator="lessThan">
      <formula>0</formula>
    </cfRule>
    <cfRule type="cellIs" dxfId="15506" priority="6562" operator="lessThan">
      <formula>-105575</formula>
    </cfRule>
  </conditionalFormatting>
  <conditionalFormatting sqref="BB237:BB243 BB231:BB235 BB220:BB221 BB225:BB226">
    <cfRule type="cellIs" dxfId="15505" priority="6559" operator="lessThan">
      <formula>0</formula>
    </cfRule>
    <cfRule type="cellIs" dxfId="15504" priority="6560" operator="lessThan">
      <formula>-105575</formula>
    </cfRule>
  </conditionalFormatting>
  <conditionalFormatting sqref="BB233:BB237 BB231 BB239:BB243">
    <cfRule type="cellIs" dxfId="15503" priority="6557" operator="lessThan">
      <formula>0</formula>
    </cfRule>
    <cfRule type="cellIs" dxfId="15502" priority="6558" operator="lessThan">
      <formula>-105575</formula>
    </cfRule>
  </conditionalFormatting>
  <conditionalFormatting sqref="BB233:BB237 BB231 BB239:BB243">
    <cfRule type="cellIs" dxfId="15501" priority="6555" operator="lessThan">
      <formula>0</formula>
    </cfRule>
    <cfRule type="cellIs" dxfId="15500" priority="6556" operator="lessThan">
      <formula>-105575</formula>
    </cfRule>
  </conditionalFormatting>
  <conditionalFormatting sqref="BB119:BB128 BB106:BB117 BB101:BB104 BB80:BB98">
    <cfRule type="cellIs" dxfId="15499" priority="6553" operator="lessThan">
      <formula>0</formula>
    </cfRule>
    <cfRule type="cellIs" dxfId="15498" priority="6554" operator="lessThan">
      <formula>-105575</formula>
    </cfRule>
  </conditionalFormatting>
  <conditionalFormatting sqref="BB130 BB132 BB134">
    <cfRule type="cellIs" dxfId="15497" priority="6551" operator="lessThan">
      <formula>0</formula>
    </cfRule>
    <cfRule type="cellIs" dxfId="15496" priority="6552" operator="lessThan">
      <formula>-105575</formula>
    </cfRule>
  </conditionalFormatting>
  <conditionalFormatting sqref="BB130 BB132 BB134">
    <cfRule type="cellIs" dxfId="15495" priority="6549" operator="lessThan">
      <formula>0</formula>
    </cfRule>
    <cfRule type="cellIs" dxfId="15494" priority="6550" operator="lessThan">
      <formula>-105575</formula>
    </cfRule>
  </conditionalFormatting>
  <conditionalFormatting sqref="BB129 BB131 BB133 BB135">
    <cfRule type="cellIs" dxfId="15493" priority="6547" operator="lessThan">
      <formula>0</formula>
    </cfRule>
    <cfRule type="cellIs" dxfId="15492" priority="6548" operator="lessThan">
      <formula>-105575</formula>
    </cfRule>
  </conditionalFormatting>
  <conditionalFormatting sqref="BB140 BB145 BB142:BB143 BB137:BB138">
    <cfRule type="cellIs" dxfId="15491" priority="6545" operator="lessThan">
      <formula>0</formula>
    </cfRule>
    <cfRule type="cellIs" dxfId="15490" priority="6546" operator="lessThan">
      <formula>-105575</formula>
    </cfRule>
  </conditionalFormatting>
  <conditionalFormatting sqref="BB149">
    <cfRule type="cellIs" dxfId="15489" priority="6543" operator="lessThan">
      <formula>0</formula>
    </cfRule>
    <cfRule type="cellIs" dxfId="15488" priority="6544" operator="lessThan">
      <formula>-105575</formula>
    </cfRule>
  </conditionalFormatting>
  <conditionalFormatting sqref="BB129:BB138 BB140:BB149">
    <cfRule type="cellIs" dxfId="15487" priority="6541" operator="lessThan">
      <formula>0</formula>
    </cfRule>
    <cfRule type="cellIs" dxfId="15486" priority="6542" operator="lessThan">
      <formula>-105575</formula>
    </cfRule>
  </conditionalFormatting>
  <conditionalFormatting sqref="BB94:BB98 BB86:BB87 BB89:BB91 BB141:BB149 BB124:BB133 BB107:BB110 BB112:BB117 BB119:BB122 BB135:BB138 BB101:BB104 BB80:BB84">
    <cfRule type="cellIs" dxfId="15485" priority="6539" operator="lessThan">
      <formula>0</formula>
    </cfRule>
    <cfRule type="cellIs" dxfId="15484" priority="6540" operator="lessThan">
      <formula>-105575</formula>
    </cfRule>
  </conditionalFormatting>
  <conditionalFormatting sqref="BB129 BB131 BB133 BB135">
    <cfRule type="cellIs" dxfId="15483" priority="6537" operator="lessThan">
      <formula>0</formula>
    </cfRule>
    <cfRule type="cellIs" dxfId="15482" priority="6538" operator="lessThan">
      <formula>-105575</formula>
    </cfRule>
  </conditionalFormatting>
  <conditionalFormatting sqref="BB146 BB144 BB141">
    <cfRule type="cellIs" dxfId="15481" priority="6535" operator="lessThan">
      <formula>0</formula>
    </cfRule>
    <cfRule type="cellIs" dxfId="15480" priority="6536" operator="lessThan">
      <formula>-105575</formula>
    </cfRule>
  </conditionalFormatting>
  <conditionalFormatting sqref="BB146 BB144 BB141">
    <cfRule type="cellIs" dxfId="15479" priority="6533" operator="lessThan">
      <formula>0</formula>
    </cfRule>
    <cfRule type="cellIs" dxfId="15478" priority="6534" operator="lessThan">
      <formula>-105575</formula>
    </cfRule>
  </conditionalFormatting>
  <conditionalFormatting sqref="BB140 BB145 BB142:BB143 BB137:BB138">
    <cfRule type="cellIs" dxfId="15477" priority="6531" operator="lessThan">
      <formula>0</formula>
    </cfRule>
    <cfRule type="cellIs" dxfId="15476" priority="6532" operator="lessThan">
      <formula>-105575</formula>
    </cfRule>
  </conditionalFormatting>
  <conditionalFormatting sqref="BB149">
    <cfRule type="cellIs" dxfId="15475" priority="6529" operator="lessThan">
      <formula>0</formula>
    </cfRule>
    <cfRule type="cellIs" dxfId="15474" priority="6530" operator="lessThan">
      <formula>-105575</formula>
    </cfRule>
  </conditionalFormatting>
  <conditionalFormatting sqref="BB94:BB98 BB86:BB87 BB89:BB91 BB141:BB149 BB124:BB133 BB107:BB110 BB112:BB117 BB119:BB122 BB135:BB138 BB101:BB104 BB80:BB84">
    <cfRule type="cellIs" dxfId="15473" priority="6527" operator="lessThan">
      <formula>0</formula>
    </cfRule>
    <cfRule type="cellIs" dxfId="15472" priority="6528" operator="lessThan">
      <formula>-105575</formula>
    </cfRule>
  </conditionalFormatting>
  <conditionalFormatting sqref="BB62:BB76 BB306:BB309 BB311:BB325 BB327:BB330 BB332:BB341 BB344:BB347 BB349:BB353 BB355:BB358 BB360:BB384 BB386:BB389 BB392:BB395 BB397:BB411 BB413:BB416 BB418:BB432 BB434:BB437 BB439:BB453 BB455:BB458 BB460:BB469 BB7:BB10 BB12:BB14 BB17:BB18 BB21:BB24 BB26:BB28 BB30:BB36 BB38 BB41:BB43 BB46:BB49 BB51:BB55 BB57:BB59 BB290:BB291 BB293:BB304">
    <cfRule type="cellIs" dxfId="15471" priority="6525" operator="lessThan">
      <formula>0</formula>
    </cfRule>
    <cfRule type="cellIs" dxfId="15470" priority="6526" operator="lessThan">
      <formula>-105575</formula>
    </cfRule>
  </conditionalFormatting>
  <conditionalFormatting sqref="BB41">
    <cfRule type="cellIs" dxfId="15469" priority="6523" operator="lessThan">
      <formula>0</formula>
    </cfRule>
    <cfRule type="cellIs" dxfId="15468" priority="6524" operator="lessThan">
      <formula>-105575</formula>
    </cfRule>
  </conditionalFormatting>
  <conditionalFormatting sqref="BB152:BB155">
    <cfRule type="cellIs" dxfId="15467" priority="6521" operator="lessThan">
      <formula>0</formula>
    </cfRule>
    <cfRule type="cellIs" dxfId="15466" priority="6522" operator="lessThan">
      <formula>-105575</formula>
    </cfRule>
  </conditionalFormatting>
  <conditionalFormatting sqref="BB152:BB155">
    <cfRule type="cellIs" dxfId="15465" priority="6519" operator="lessThan">
      <formula>0</formula>
    </cfRule>
    <cfRule type="cellIs" dxfId="15464" priority="6520" operator="lessThan">
      <formula>-105575</formula>
    </cfRule>
  </conditionalFormatting>
  <conditionalFormatting sqref="BB152:BB155">
    <cfRule type="cellIs" dxfId="15463" priority="6517" operator="lessThan">
      <formula>0</formula>
    </cfRule>
    <cfRule type="cellIs" dxfId="15462" priority="6518" operator="lessThan">
      <formula>-105575</formula>
    </cfRule>
  </conditionalFormatting>
  <conditionalFormatting sqref="BB157:BB158">
    <cfRule type="cellIs" dxfId="15461" priority="6515" operator="lessThan">
      <formula>0</formula>
    </cfRule>
    <cfRule type="cellIs" dxfId="15460" priority="6516" operator="lessThan">
      <formula>-105575</formula>
    </cfRule>
  </conditionalFormatting>
  <conditionalFormatting sqref="BB157:BB158">
    <cfRule type="cellIs" dxfId="15459" priority="6513" operator="lessThan">
      <formula>0</formula>
    </cfRule>
    <cfRule type="cellIs" dxfId="15458" priority="6514" operator="lessThan">
      <formula>-105575</formula>
    </cfRule>
  </conditionalFormatting>
  <conditionalFormatting sqref="BB157:BB158">
    <cfRule type="cellIs" dxfId="15457" priority="6511" operator="lessThan">
      <formula>0</formula>
    </cfRule>
    <cfRule type="cellIs" dxfId="15456" priority="6512" operator="lessThan">
      <formula>-105575</formula>
    </cfRule>
  </conditionalFormatting>
  <conditionalFormatting sqref="BB160:BB161">
    <cfRule type="cellIs" dxfId="15455" priority="6509" operator="lessThan">
      <formula>0</formula>
    </cfRule>
    <cfRule type="cellIs" dxfId="15454" priority="6510" operator="lessThan">
      <formula>-105575</formula>
    </cfRule>
  </conditionalFormatting>
  <conditionalFormatting sqref="BB160:BB161">
    <cfRule type="cellIs" dxfId="15453" priority="6507" operator="lessThan">
      <formula>0</formula>
    </cfRule>
    <cfRule type="cellIs" dxfId="15452" priority="6508" operator="lessThan">
      <formula>-105575</formula>
    </cfRule>
  </conditionalFormatting>
  <conditionalFormatting sqref="BB160:BB161">
    <cfRule type="cellIs" dxfId="15451" priority="6505" operator="lessThan">
      <formula>0</formula>
    </cfRule>
    <cfRule type="cellIs" dxfId="15450" priority="6506" operator="lessThan">
      <formula>-105575</formula>
    </cfRule>
  </conditionalFormatting>
  <conditionalFormatting sqref="BB164:BB167">
    <cfRule type="cellIs" dxfId="15449" priority="6503" operator="lessThan">
      <formula>0</formula>
    </cfRule>
    <cfRule type="cellIs" dxfId="15448" priority="6504" operator="lessThan">
      <formula>-105575</formula>
    </cfRule>
  </conditionalFormatting>
  <conditionalFormatting sqref="BB164:BB167">
    <cfRule type="cellIs" dxfId="15447" priority="6501" operator="lessThan">
      <formula>0</formula>
    </cfRule>
    <cfRule type="cellIs" dxfId="15446" priority="6502" operator="lessThan">
      <formula>-105575</formula>
    </cfRule>
  </conditionalFormatting>
  <conditionalFormatting sqref="BB164:BB167">
    <cfRule type="cellIs" dxfId="15445" priority="6499" operator="lessThan">
      <formula>0</formula>
    </cfRule>
    <cfRule type="cellIs" dxfId="15444" priority="6500" operator="lessThan">
      <formula>-105575</formula>
    </cfRule>
  </conditionalFormatting>
  <conditionalFormatting sqref="BB169:BB177">
    <cfRule type="cellIs" dxfId="15443" priority="6497" operator="lessThan">
      <formula>0</formula>
    </cfRule>
    <cfRule type="cellIs" dxfId="15442" priority="6498" operator="lessThan">
      <formula>-105575</formula>
    </cfRule>
  </conditionalFormatting>
  <conditionalFormatting sqref="BB169:BB177">
    <cfRule type="cellIs" dxfId="15441" priority="6495" operator="lessThan">
      <formula>0</formula>
    </cfRule>
    <cfRule type="cellIs" dxfId="15440" priority="6496" operator="lessThan">
      <formula>-105575</formula>
    </cfRule>
  </conditionalFormatting>
  <conditionalFormatting sqref="BB169:BB177">
    <cfRule type="cellIs" dxfId="15439" priority="6493" operator="lessThan">
      <formula>0</formula>
    </cfRule>
    <cfRule type="cellIs" dxfId="15438" priority="6494" operator="lessThan">
      <formula>-105575</formula>
    </cfRule>
  </conditionalFormatting>
  <conditionalFormatting sqref="BB179:BB180">
    <cfRule type="cellIs" dxfId="15437" priority="6491" operator="lessThan">
      <formula>0</formula>
    </cfRule>
    <cfRule type="cellIs" dxfId="15436" priority="6492" operator="lessThan">
      <formula>-105575</formula>
    </cfRule>
  </conditionalFormatting>
  <conditionalFormatting sqref="BB179:BB180">
    <cfRule type="cellIs" dxfId="15435" priority="6489" operator="lessThan">
      <formula>0</formula>
    </cfRule>
    <cfRule type="cellIs" dxfId="15434" priority="6490" operator="lessThan">
      <formula>-105575</formula>
    </cfRule>
  </conditionalFormatting>
  <conditionalFormatting sqref="BB179:BB180">
    <cfRule type="cellIs" dxfId="15433" priority="6487" operator="lessThan">
      <formula>0</formula>
    </cfRule>
    <cfRule type="cellIs" dxfId="15432" priority="6488" operator="lessThan">
      <formula>-105575</formula>
    </cfRule>
  </conditionalFormatting>
  <conditionalFormatting sqref="BB183:BB189">
    <cfRule type="cellIs" dxfId="15431" priority="6485" operator="lessThan">
      <formula>0</formula>
    </cfRule>
    <cfRule type="cellIs" dxfId="15430" priority="6486" operator="lessThan">
      <formula>-105575</formula>
    </cfRule>
  </conditionalFormatting>
  <conditionalFormatting sqref="BB183:BB189">
    <cfRule type="cellIs" dxfId="15429" priority="6483" operator="lessThan">
      <formula>0</formula>
    </cfRule>
    <cfRule type="cellIs" dxfId="15428" priority="6484" operator="lessThan">
      <formula>-105575</formula>
    </cfRule>
  </conditionalFormatting>
  <conditionalFormatting sqref="BB183:BB189">
    <cfRule type="cellIs" dxfId="15427" priority="6481" operator="lessThan">
      <formula>0</formula>
    </cfRule>
    <cfRule type="cellIs" dxfId="15426" priority="6482" operator="lessThan">
      <formula>-105575</formula>
    </cfRule>
  </conditionalFormatting>
  <conditionalFormatting sqref="BB191:BB192">
    <cfRule type="cellIs" dxfId="15425" priority="6479" operator="lessThan">
      <formula>0</formula>
    </cfRule>
    <cfRule type="cellIs" dxfId="15424" priority="6480" operator="lessThan">
      <formula>-105575</formula>
    </cfRule>
  </conditionalFormatting>
  <conditionalFormatting sqref="BB191:BB192">
    <cfRule type="cellIs" dxfId="15423" priority="6477" operator="lessThan">
      <formula>0</formula>
    </cfRule>
    <cfRule type="cellIs" dxfId="15422" priority="6478" operator="lessThan">
      <formula>-105575</formula>
    </cfRule>
  </conditionalFormatting>
  <conditionalFormatting sqref="BB191:BB192">
    <cfRule type="cellIs" dxfId="15421" priority="6475" operator="lessThan">
      <formula>0</formula>
    </cfRule>
    <cfRule type="cellIs" dxfId="15420" priority="6476" operator="lessThan">
      <formula>-105575</formula>
    </cfRule>
  </conditionalFormatting>
  <conditionalFormatting sqref="BB194:BB195">
    <cfRule type="cellIs" dxfId="15419" priority="6473" operator="lessThan">
      <formula>0</formula>
    </cfRule>
    <cfRule type="cellIs" dxfId="15418" priority="6474" operator="lessThan">
      <formula>-105575</formula>
    </cfRule>
  </conditionalFormatting>
  <conditionalFormatting sqref="BB194:BB195">
    <cfRule type="cellIs" dxfId="15417" priority="6471" operator="lessThan">
      <formula>0</formula>
    </cfRule>
    <cfRule type="cellIs" dxfId="15416" priority="6472" operator="lessThan">
      <formula>-105575</formula>
    </cfRule>
  </conditionalFormatting>
  <conditionalFormatting sqref="BB194:BB195">
    <cfRule type="cellIs" dxfId="15415" priority="6469" operator="lessThan">
      <formula>0</formula>
    </cfRule>
    <cfRule type="cellIs" dxfId="15414" priority="6470" operator="lessThan">
      <formula>-105575</formula>
    </cfRule>
  </conditionalFormatting>
  <conditionalFormatting sqref="BB199:BB202">
    <cfRule type="cellIs" dxfId="15413" priority="6467" operator="lessThan">
      <formula>0</formula>
    </cfRule>
    <cfRule type="cellIs" dxfId="15412" priority="6468" operator="lessThan">
      <formula>-105575</formula>
    </cfRule>
  </conditionalFormatting>
  <conditionalFormatting sqref="BB199:BB202">
    <cfRule type="cellIs" dxfId="15411" priority="6465" operator="lessThan">
      <formula>0</formula>
    </cfRule>
    <cfRule type="cellIs" dxfId="15410" priority="6466" operator="lessThan">
      <formula>-105575</formula>
    </cfRule>
  </conditionalFormatting>
  <conditionalFormatting sqref="BB199:BB202">
    <cfRule type="cellIs" dxfId="15409" priority="6463" operator="lessThan">
      <formula>0</formula>
    </cfRule>
    <cfRule type="cellIs" dxfId="15408" priority="6464" operator="lessThan">
      <formula>-105575</formula>
    </cfRule>
  </conditionalFormatting>
  <conditionalFormatting sqref="BB204:BB208">
    <cfRule type="cellIs" dxfId="15407" priority="6461" operator="lessThan">
      <formula>0</formula>
    </cfRule>
    <cfRule type="cellIs" dxfId="15406" priority="6462" operator="lessThan">
      <formula>-105575</formula>
    </cfRule>
  </conditionalFormatting>
  <conditionalFormatting sqref="BB204:BB208">
    <cfRule type="cellIs" dxfId="15405" priority="6459" operator="lessThan">
      <formula>0</formula>
    </cfRule>
    <cfRule type="cellIs" dxfId="15404" priority="6460" operator="lessThan">
      <formula>-105575</formula>
    </cfRule>
  </conditionalFormatting>
  <conditionalFormatting sqref="BB204:BB208">
    <cfRule type="cellIs" dxfId="15403" priority="6457" operator="lessThan">
      <formula>0</formula>
    </cfRule>
    <cfRule type="cellIs" dxfId="15402" priority="6458" operator="lessThan">
      <formula>-105575</formula>
    </cfRule>
  </conditionalFormatting>
  <conditionalFormatting sqref="BB210:BB211">
    <cfRule type="cellIs" dxfId="15401" priority="6455" operator="lessThan">
      <formula>0</formula>
    </cfRule>
    <cfRule type="cellIs" dxfId="15400" priority="6456" operator="lessThan">
      <formula>-105575</formula>
    </cfRule>
  </conditionalFormatting>
  <conditionalFormatting sqref="BB210:BB211">
    <cfRule type="cellIs" dxfId="15399" priority="6453" operator="lessThan">
      <formula>0</formula>
    </cfRule>
    <cfRule type="cellIs" dxfId="15398" priority="6454" operator="lessThan">
      <formula>-105575</formula>
    </cfRule>
  </conditionalFormatting>
  <conditionalFormatting sqref="BB210:BB211">
    <cfRule type="cellIs" dxfId="15397" priority="6451" operator="lessThan">
      <formula>0</formula>
    </cfRule>
    <cfRule type="cellIs" dxfId="15396" priority="6452" operator="lessThan">
      <formula>-105575</formula>
    </cfRule>
  </conditionalFormatting>
  <conditionalFormatting sqref="BB214:BB219">
    <cfRule type="cellIs" dxfId="15395" priority="6449" operator="lessThan">
      <formula>0</formula>
    </cfRule>
    <cfRule type="cellIs" dxfId="15394" priority="6450" operator="lessThan">
      <formula>-105575</formula>
    </cfRule>
  </conditionalFormatting>
  <conditionalFormatting sqref="BB214:BB219">
    <cfRule type="cellIs" dxfId="15393" priority="6447" operator="lessThan">
      <formula>0</formula>
    </cfRule>
    <cfRule type="cellIs" dxfId="15392" priority="6448" operator="lessThan">
      <formula>-105575</formula>
    </cfRule>
  </conditionalFormatting>
  <conditionalFormatting sqref="BB214:BB219">
    <cfRule type="cellIs" dxfId="15391" priority="6445" operator="lessThan">
      <formula>0</formula>
    </cfRule>
    <cfRule type="cellIs" dxfId="15390" priority="6446" operator="lessThan">
      <formula>-105575</formula>
    </cfRule>
  </conditionalFormatting>
  <conditionalFormatting sqref="BB222:BB224">
    <cfRule type="cellIs" dxfId="15389" priority="6443" operator="lessThan">
      <formula>0</formula>
    </cfRule>
    <cfRule type="cellIs" dxfId="15388" priority="6444" operator="lessThan">
      <formula>-105575</formula>
    </cfRule>
  </conditionalFormatting>
  <conditionalFormatting sqref="BB222:BB224">
    <cfRule type="cellIs" dxfId="15387" priority="6441" operator="lessThan">
      <formula>0</formula>
    </cfRule>
    <cfRule type="cellIs" dxfId="15386" priority="6442" operator="lessThan">
      <formula>-105575</formula>
    </cfRule>
  </conditionalFormatting>
  <conditionalFormatting sqref="BB222:BB224">
    <cfRule type="cellIs" dxfId="15385" priority="6439" operator="lessThan">
      <formula>0</formula>
    </cfRule>
    <cfRule type="cellIs" dxfId="15384" priority="6440" operator="lessThan">
      <formula>-105575</formula>
    </cfRule>
  </conditionalFormatting>
  <conditionalFormatting sqref="BB227:BB230">
    <cfRule type="cellIs" dxfId="15383" priority="6437" operator="lessThan">
      <formula>0</formula>
    </cfRule>
    <cfRule type="cellIs" dxfId="15382" priority="6438" operator="lessThan">
      <formula>-105575</formula>
    </cfRule>
  </conditionalFormatting>
  <conditionalFormatting sqref="BB227:BB230">
    <cfRule type="cellIs" dxfId="15381" priority="6435" operator="lessThan">
      <formula>0</formula>
    </cfRule>
    <cfRule type="cellIs" dxfId="15380" priority="6436" operator="lessThan">
      <formula>-105575</formula>
    </cfRule>
  </conditionalFormatting>
  <conditionalFormatting sqref="BB227:BB230">
    <cfRule type="cellIs" dxfId="15379" priority="6433" operator="lessThan">
      <formula>0</formula>
    </cfRule>
    <cfRule type="cellIs" dxfId="15378" priority="6434" operator="lessThan">
      <formula>-105575</formula>
    </cfRule>
  </conditionalFormatting>
  <conditionalFormatting sqref="BB246:BB249">
    <cfRule type="cellIs" dxfId="15377" priority="6431" operator="lessThan">
      <formula>0</formula>
    </cfRule>
    <cfRule type="cellIs" dxfId="15376" priority="6432" operator="lessThan">
      <formula>-105575</formula>
    </cfRule>
  </conditionalFormatting>
  <conditionalFormatting sqref="BB246:BB249">
    <cfRule type="cellIs" dxfId="15375" priority="6429" operator="lessThan">
      <formula>0</formula>
    </cfRule>
    <cfRule type="cellIs" dxfId="15374" priority="6430" operator="lessThan">
      <formula>-105575</formula>
    </cfRule>
  </conditionalFormatting>
  <conditionalFormatting sqref="BB246:BB249">
    <cfRule type="cellIs" dxfId="15373" priority="6427" operator="lessThan">
      <formula>0</formula>
    </cfRule>
    <cfRule type="cellIs" dxfId="15372" priority="6428" operator="lessThan">
      <formula>-105575</formula>
    </cfRule>
  </conditionalFormatting>
  <conditionalFormatting sqref="BB246:BB249">
    <cfRule type="cellIs" dxfId="15371" priority="6425" operator="lessThan">
      <formula>0</formula>
    </cfRule>
    <cfRule type="cellIs" dxfId="15370" priority="6426" operator="lessThan">
      <formula>-105575</formula>
    </cfRule>
  </conditionalFormatting>
  <conditionalFormatting sqref="BB246:BB249">
    <cfRule type="cellIs" dxfId="15369" priority="6423" operator="lessThan">
      <formula>0</formula>
    </cfRule>
    <cfRule type="cellIs" dxfId="15368" priority="6424" operator="lessThan">
      <formula>-105575</formula>
    </cfRule>
  </conditionalFormatting>
  <conditionalFormatting sqref="BB246:BB249">
    <cfRule type="cellIs" dxfId="15367" priority="6421" operator="lessThan">
      <formula>0</formula>
    </cfRule>
    <cfRule type="cellIs" dxfId="15366" priority="6422" operator="lessThan">
      <formula>-105575</formula>
    </cfRule>
  </conditionalFormatting>
  <conditionalFormatting sqref="BB246:BB249">
    <cfRule type="cellIs" dxfId="15365" priority="6419" operator="lessThan">
      <formula>0</formula>
    </cfRule>
    <cfRule type="cellIs" dxfId="15364" priority="6420" operator="lessThan">
      <formula>-105575</formula>
    </cfRule>
  </conditionalFormatting>
  <conditionalFormatting sqref="BB246:BB249">
    <cfRule type="cellIs" dxfId="15363" priority="6417" operator="lessThan">
      <formula>0</formula>
    </cfRule>
    <cfRule type="cellIs" dxfId="15362" priority="6418" operator="lessThan">
      <formula>-105575</formula>
    </cfRule>
  </conditionalFormatting>
  <conditionalFormatting sqref="BB246:BB249">
    <cfRule type="cellIs" dxfId="15361" priority="6415" operator="lessThan">
      <formula>0</formula>
    </cfRule>
    <cfRule type="cellIs" dxfId="15360" priority="6416" operator="lessThan">
      <formula>-105575</formula>
    </cfRule>
  </conditionalFormatting>
  <conditionalFormatting sqref="BB251:BB253">
    <cfRule type="cellIs" dxfId="15359" priority="6413" operator="lessThan">
      <formula>0</formula>
    </cfRule>
    <cfRule type="cellIs" dxfId="15358" priority="6414" operator="lessThan">
      <formula>-105575</formula>
    </cfRule>
  </conditionalFormatting>
  <conditionalFormatting sqref="BB251:BB253">
    <cfRule type="cellIs" dxfId="15357" priority="6411" operator="lessThan">
      <formula>0</formula>
    </cfRule>
    <cfRule type="cellIs" dxfId="15356" priority="6412" operator="lessThan">
      <formula>-105575</formula>
    </cfRule>
  </conditionalFormatting>
  <conditionalFormatting sqref="BB251:BB253">
    <cfRule type="cellIs" dxfId="15355" priority="6409" operator="lessThan">
      <formula>0</formula>
    </cfRule>
    <cfRule type="cellIs" dxfId="15354" priority="6410" operator="lessThan">
      <formula>-105575</formula>
    </cfRule>
  </conditionalFormatting>
  <conditionalFormatting sqref="BB251:BB253">
    <cfRule type="cellIs" dxfId="15353" priority="6407" operator="lessThan">
      <formula>0</formula>
    </cfRule>
    <cfRule type="cellIs" dxfId="15352" priority="6408" operator="lessThan">
      <formula>-105575</formula>
    </cfRule>
  </conditionalFormatting>
  <conditionalFormatting sqref="BB251:BB253">
    <cfRule type="cellIs" dxfId="15351" priority="6405" operator="lessThan">
      <formula>0</formula>
    </cfRule>
    <cfRule type="cellIs" dxfId="15350" priority="6406" operator="lessThan">
      <formula>-105575</formula>
    </cfRule>
  </conditionalFormatting>
  <conditionalFormatting sqref="BB251:BB253">
    <cfRule type="cellIs" dxfId="15349" priority="6403" operator="lessThan">
      <formula>0</formula>
    </cfRule>
    <cfRule type="cellIs" dxfId="15348" priority="6404" operator="lessThan">
      <formula>-105575</formula>
    </cfRule>
  </conditionalFormatting>
  <conditionalFormatting sqref="BB251:BB253">
    <cfRule type="cellIs" dxfId="15347" priority="6401" operator="lessThan">
      <formula>0</formula>
    </cfRule>
    <cfRule type="cellIs" dxfId="15346" priority="6402" operator="lessThan">
      <formula>-105575</formula>
    </cfRule>
  </conditionalFormatting>
  <conditionalFormatting sqref="BB251:BB253">
    <cfRule type="cellIs" dxfId="15345" priority="6399" operator="lessThan">
      <formula>0</formula>
    </cfRule>
    <cfRule type="cellIs" dxfId="15344" priority="6400" operator="lessThan">
      <formula>-105575</formula>
    </cfRule>
  </conditionalFormatting>
  <conditionalFormatting sqref="BB251:BB253">
    <cfRule type="cellIs" dxfId="15343" priority="6397" operator="lessThan">
      <formula>0</formula>
    </cfRule>
    <cfRule type="cellIs" dxfId="15342" priority="6398" operator="lessThan">
      <formula>-105575</formula>
    </cfRule>
  </conditionalFormatting>
  <conditionalFormatting sqref="BB255:BB257">
    <cfRule type="cellIs" dxfId="15341" priority="6395" operator="lessThan">
      <formula>0</formula>
    </cfRule>
    <cfRule type="cellIs" dxfId="15340" priority="6396" operator="lessThan">
      <formula>-105575</formula>
    </cfRule>
  </conditionalFormatting>
  <conditionalFormatting sqref="BB255:BB257">
    <cfRule type="cellIs" dxfId="15339" priority="6393" operator="lessThan">
      <formula>0</formula>
    </cfRule>
    <cfRule type="cellIs" dxfId="15338" priority="6394" operator="lessThan">
      <formula>-105575</formula>
    </cfRule>
  </conditionalFormatting>
  <conditionalFormatting sqref="BB255:BB257">
    <cfRule type="cellIs" dxfId="15337" priority="6391" operator="lessThan">
      <formula>0</formula>
    </cfRule>
    <cfRule type="cellIs" dxfId="15336" priority="6392" operator="lessThan">
      <formula>-105575</formula>
    </cfRule>
  </conditionalFormatting>
  <conditionalFormatting sqref="BB255:BB257">
    <cfRule type="cellIs" dxfId="15335" priority="6389" operator="lessThan">
      <formula>0</formula>
    </cfRule>
    <cfRule type="cellIs" dxfId="15334" priority="6390" operator="lessThan">
      <formula>-105575</formula>
    </cfRule>
  </conditionalFormatting>
  <conditionalFormatting sqref="BB255:BB257">
    <cfRule type="cellIs" dxfId="15333" priority="6387" operator="lessThan">
      <formula>0</formula>
    </cfRule>
    <cfRule type="cellIs" dxfId="15332" priority="6388" operator="lessThan">
      <formula>-105575</formula>
    </cfRule>
  </conditionalFormatting>
  <conditionalFormatting sqref="BB255:BB257">
    <cfRule type="cellIs" dxfId="15331" priority="6385" operator="lessThan">
      <formula>0</formula>
    </cfRule>
    <cfRule type="cellIs" dxfId="15330" priority="6386" operator="lessThan">
      <formula>-105575</formula>
    </cfRule>
  </conditionalFormatting>
  <conditionalFormatting sqref="BB255:BB257">
    <cfRule type="cellIs" dxfId="15329" priority="6383" operator="lessThan">
      <formula>0</formula>
    </cfRule>
    <cfRule type="cellIs" dxfId="15328" priority="6384" operator="lessThan">
      <formula>-105575</formula>
    </cfRule>
  </conditionalFormatting>
  <conditionalFormatting sqref="BB255:BB257">
    <cfRule type="cellIs" dxfId="15327" priority="6381" operator="lessThan">
      <formula>0</formula>
    </cfRule>
    <cfRule type="cellIs" dxfId="15326" priority="6382" operator="lessThan">
      <formula>-105575</formula>
    </cfRule>
  </conditionalFormatting>
  <conditionalFormatting sqref="BB255:BB257">
    <cfRule type="cellIs" dxfId="15325" priority="6379" operator="lessThan">
      <formula>0</formula>
    </cfRule>
    <cfRule type="cellIs" dxfId="15324" priority="6380" operator="lessThan">
      <formula>-105575</formula>
    </cfRule>
  </conditionalFormatting>
  <conditionalFormatting sqref="BB260:BB262">
    <cfRule type="cellIs" dxfId="15323" priority="6377" operator="lessThan">
      <formula>0</formula>
    </cfRule>
    <cfRule type="cellIs" dxfId="15322" priority="6378" operator="lessThan">
      <formula>-105575</formula>
    </cfRule>
  </conditionalFormatting>
  <conditionalFormatting sqref="BB260:BB262">
    <cfRule type="cellIs" dxfId="15321" priority="6375" operator="lessThan">
      <formula>0</formula>
    </cfRule>
    <cfRule type="cellIs" dxfId="15320" priority="6376" operator="lessThan">
      <formula>-105575</formula>
    </cfRule>
  </conditionalFormatting>
  <conditionalFormatting sqref="BB260:BB262">
    <cfRule type="cellIs" dxfId="15319" priority="6373" operator="lessThan">
      <formula>0</formula>
    </cfRule>
    <cfRule type="cellIs" dxfId="15318" priority="6374" operator="lessThan">
      <formula>-105575</formula>
    </cfRule>
  </conditionalFormatting>
  <conditionalFormatting sqref="BB260:BB262">
    <cfRule type="cellIs" dxfId="15317" priority="6371" operator="lessThan">
      <formula>0</formula>
    </cfRule>
    <cfRule type="cellIs" dxfId="15316" priority="6372" operator="lessThan">
      <formula>-105575</formula>
    </cfRule>
  </conditionalFormatting>
  <conditionalFormatting sqref="BB260:BB262">
    <cfRule type="cellIs" dxfId="15315" priority="6369" operator="lessThan">
      <formula>0</formula>
    </cfRule>
    <cfRule type="cellIs" dxfId="15314" priority="6370" operator="lessThan">
      <formula>-105575</formula>
    </cfRule>
  </conditionalFormatting>
  <conditionalFormatting sqref="BB260:BB262">
    <cfRule type="cellIs" dxfId="15313" priority="6367" operator="lessThan">
      <formula>0</formula>
    </cfRule>
    <cfRule type="cellIs" dxfId="15312" priority="6368" operator="lessThan">
      <formula>-105575</formula>
    </cfRule>
  </conditionalFormatting>
  <conditionalFormatting sqref="BB260:BB262">
    <cfRule type="cellIs" dxfId="15311" priority="6365" operator="lessThan">
      <formula>0</formula>
    </cfRule>
    <cfRule type="cellIs" dxfId="15310" priority="6366" operator="lessThan">
      <formula>-105575</formula>
    </cfRule>
  </conditionalFormatting>
  <conditionalFormatting sqref="BB260:BB262">
    <cfRule type="cellIs" dxfId="15309" priority="6363" operator="lessThan">
      <formula>0</formula>
    </cfRule>
    <cfRule type="cellIs" dxfId="15308" priority="6364" operator="lessThan">
      <formula>-105575</formula>
    </cfRule>
  </conditionalFormatting>
  <conditionalFormatting sqref="BB260:BB262">
    <cfRule type="cellIs" dxfId="15307" priority="6361" operator="lessThan">
      <formula>0</formula>
    </cfRule>
    <cfRule type="cellIs" dxfId="15306" priority="6362" operator="lessThan">
      <formula>-105575</formula>
    </cfRule>
  </conditionalFormatting>
  <conditionalFormatting sqref="BB264:BB267">
    <cfRule type="cellIs" dxfId="15305" priority="6359" operator="lessThan">
      <formula>0</formula>
    </cfRule>
    <cfRule type="cellIs" dxfId="15304" priority="6360" operator="lessThan">
      <formula>-105575</formula>
    </cfRule>
  </conditionalFormatting>
  <conditionalFormatting sqref="BB264:BB267">
    <cfRule type="cellIs" dxfId="15303" priority="6357" operator="lessThan">
      <formula>0</formula>
    </cfRule>
    <cfRule type="cellIs" dxfId="15302" priority="6358" operator="lessThan">
      <formula>-105575</formula>
    </cfRule>
  </conditionalFormatting>
  <conditionalFormatting sqref="BB264:BB267">
    <cfRule type="cellIs" dxfId="15301" priority="6355" operator="lessThan">
      <formula>0</formula>
    </cfRule>
    <cfRule type="cellIs" dxfId="15300" priority="6356" operator="lessThan">
      <formula>-105575</formula>
    </cfRule>
  </conditionalFormatting>
  <conditionalFormatting sqref="BB264:BB267">
    <cfRule type="cellIs" dxfId="15299" priority="6353" operator="lessThan">
      <formula>0</formula>
    </cfRule>
    <cfRule type="cellIs" dxfId="15298" priority="6354" operator="lessThan">
      <formula>-105575</formula>
    </cfRule>
  </conditionalFormatting>
  <conditionalFormatting sqref="BB264:BB267">
    <cfRule type="cellIs" dxfId="15297" priority="6351" operator="lessThan">
      <formula>0</formula>
    </cfRule>
    <cfRule type="cellIs" dxfId="15296" priority="6352" operator="lessThan">
      <formula>-105575</formula>
    </cfRule>
  </conditionalFormatting>
  <conditionalFormatting sqref="BB264:BB267">
    <cfRule type="cellIs" dxfId="15295" priority="6349" operator="lessThan">
      <formula>0</formula>
    </cfRule>
    <cfRule type="cellIs" dxfId="15294" priority="6350" operator="lessThan">
      <formula>-105575</formula>
    </cfRule>
  </conditionalFormatting>
  <conditionalFormatting sqref="BB264:BB267">
    <cfRule type="cellIs" dxfId="15293" priority="6347" operator="lessThan">
      <formula>0</formula>
    </cfRule>
    <cfRule type="cellIs" dxfId="15292" priority="6348" operator="lessThan">
      <formula>-105575</formula>
    </cfRule>
  </conditionalFormatting>
  <conditionalFormatting sqref="BB264:BB267">
    <cfRule type="cellIs" dxfId="15291" priority="6345" operator="lessThan">
      <formula>0</formula>
    </cfRule>
    <cfRule type="cellIs" dxfId="15290" priority="6346" operator="lessThan">
      <formula>-105575</formula>
    </cfRule>
  </conditionalFormatting>
  <conditionalFormatting sqref="BB264:BB267">
    <cfRule type="cellIs" dxfId="15289" priority="6343" operator="lessThan">
      <formula>0</formula>
    </cfRule>
    <cfRule type="cellIs" dxfId="15288" priority="6344" operator="lessThan">
      <formula>-105575</formula>
    </cfRule>
  </conditionalFormatting>
  <conditionalFormatting sqref="BB270:BB272">
    <cfRule type="cellIs" dxfId="15287" priority="6341" operator="lessThan">
      <formula>0</formula>
    </cfRule>
    <cfRule type="cellIs" dxfId="15286" priority="6342" operator="lessThan">
      <formula>-105575</formula>
    </cfRule>
  </conditionalFormatting>
  <conditionalFormatting sqref="BB270:BB272">
    <cfRule type="cellIs" dxfId="15285" priority="6339" operator="lessThan">
      <formula>0</formula>
    </cfRule>
    <cfRule type="cellIs" dxfId="15284" priority="6340" operator="lessThan">
      <formula>-105575</formula>
    </cfRule>
  </conditionalFormatting>
  <conditionalFormatting sqref="BB270:BB272">
    <cfRule type="cellIs" dxfId="15283" priority="6337" operator="lessThan">
      <formula>0</formula>
    </cfRule>
    <cfRule type="cellIs" dxfId="15282" priority="6338" operator="lessThan">
      <formula>-105575</formula>
    </cfRule>
  </conditionalFormatting>
  <conditionalFormatting sqref="BB270:BB272">
    <cfRule type="cellIs" dxfId="15281" priority="6335" operator="lessThan">
      <formula>0</formula>
    </cfRule>
    <cfRule type="cellIs" dxfId="15280" priority="6336" operator="lessThan">
      <formula>-105575</formula>
    </cfRule>
  </conditionalFormatting>
  <conditionalFormatting sqref="BB270:BB272">
    <cfRule type="cellIs" dxfId="15279" priority="6333" operator="lessThan">
      <formula>0</formula>
    </cfRule>
    <cfRule type="cellIs" dxfId="15278" priority="6334" operator="lessThan">
      <formula>-105575</formula>
    </cfRule>
  </conditionalFormatting>
  <conditionalFormatting sqref="BB270:BB272">
    <cfRule type="cellIs" dxfId="15277" priority="6331" operator="lessThan">
      <formula>0</formula>
    </cfRule>
    <cfRule type="cellIs" dxfId="15276" priority="6332" operator="lessThan">
      <formula>-105575</formula>
    </cfRule>
  </conditionalFormatting>
  <conditionalFormatting sqref="BB270:BB272">
    <cfRule type="cellIs" dxfId="15275" priority="6329" operator="lessThan">
      <formula>0</formula>
    </cfRule>
    <cfRule type="cellIs" dxfId="15274" priority="6330" operator="lessThan">
      <formula>-105575</formula>
    </cfRule>
  </conditionalFormatting>
  <conditionalFormatting sqref="BB270:BB272">
    <cfRule type="cellIs" dxfId="15273" priority="6327" operator="lessThan">
      <formula>0</formula>
    </cfRule>
    <cfRule type="cellIs" dxfId="15272" priority="6328" operator="lessThan">
      <formula>-105575</formula>
    </cfRule>
  </conditionalFormatting>
  <conditionalFormatting sqref="BB270:BB272">
    <cfRule type="cellIs" dxfId="15271" priority="6325" operator="lessThan">
      <formula>0</formula>
    </cfRule>
    <cfRule type="cellIs" dxfId="15270" priority="6326" operator="lessThan">
      <formula>-105575</formula>
    </cfRule>
  </conditionalFormatting>
  <conditionalFormatting sqref="BB274:BB275">
    <cfRule type="cellIs" dxfId="15269" priority="6323" operator="lessThan">
      <formula>0</formula>
    </cfRule>
    <cfRule type="cellIs" dxfId="15268" priority="6324" operator="lessThan">
      <formula>-105575</formula>
    </cfRule>
  </conditionalFormatting>
  <conditionalFormatting sqref="BB274:BB275">
    <cfRule type="cellIs" dxfId="15267" priority="6321" operator="lessThan">
      <formula>0</formula>
    </cfRule>
    <cfRule type="cellIs" dxfId="15266" priority="6322" operator="lessThan">
      <formula>-105575</formula>
    </cfRule>
  </conditionalFormatting>
  <conditionalFormatting sqref="BB274:BB275">
    <cfRule type="cellIs" dxfId="15265" priority="6319" operator="lessThan">
      <formula>0</formula>
    </cfRule>
    <cfRule type="cellIs" dxfId="15264" priority="6320" operator="lessThan">
      <formula>-105575</formula>
    </cfRule>
  </conditionalFormatting>
  <conditionalFormatting sqref="BB274:BB275">
    <cfRule type="cellIs" dxfId="15263" priority="6317" operator="lessThan">
      <formula>0</formula>
    </cfRule>
    <cfRule type="cellIs" dxfId="15262" priority="6318" operator="lessThan">
      <formula>-105575</formula>
    </cfRule>
  </conditionalFormatting>
  <conditionalFormatting sqref="BB274:BB275">
    <cfRule type="cellIs" dxfId="15261" priority="6315" operator="lessThan">
      <formula>0</formula>
    </cfRule>
    <cfRule type="cellIs" dxfId="15260" priority="6316" operator="lessThan">
      <formula>-105575</formula>
    </cfRule>
  </conditionalFormatting>
  <conditionalFormatting sqref="BB274:BB275">
    <cfRule type="cellIs" dxfId="15259" priority="6313" operator="lessThan">
      <formula>0</formula>
    </cfRule>
    <cfRule type="cellIs" dxfId="15258" priority="6314" operator="lessThan">
      <formula>-105575</formula>
    </cfRule>
  </conditionalFormatting>
  <conditionalFormatting sqref="BB274:BB275">
    <cfRule type="cellIs" dxfId="15257" priority="6311" operator="lessThan">
      <formula>0</formula>
    </cfRule>
    <cfRule type="cellIs" dxfId="15256" priority="6312" operator="lessThan">
      <formula>-105575</formula>
    </cfRule>
  </conditionalFormatting>
  <conditionalFormatting sqref="BB274:BB275">
    <cfRule type="cellIs" dxfId="15255" priority="6309" operator="lessThan">
      <formula>0</formula>
    </cfRule>
    <cfRule type="cellIs" dxfId="15254" priority="6310" operator="lessThan">
      <formula>-105575</formula>
    </cfRule>
  </conditionalFormatting>
  <conditionalFormatting sqref="BB274:BB275">
    <cfRule type="cellIs" dxfId="15253" priority="6307" operator="lessThan">
      <formula>0</formula>
    </cfRule>
    <cfRule type="cellIs" dxfId="15252" priority="6308" operator="lessThan">
      <formula>-105575</formula>
    </cfRule>
  </conditionalFormatting>
  <conditionalFormatting sqref="BB278:BB282">
    <cfRule type="cellIs" dxfId="15251" priority="6305" operator="lessThan">
      <formula>0</formula>
    </cfRule>
    <cfRule type="cellIs" dxfId="15250" priority="6306" operator="lessThan">
      <formula>-105575</formula>
    </cfRule>
  </conditionalFormatting>
  <conditionalFormatting sqref="BB278:BB282">
    <cfRule type="cellIs" dxfId="15249" priority="6303" operator="lessThan">
      <formula>0</formula>
    </cfRule>
    <cfRule type="cellIs" dxfId="15248" priority="6304" operator="lessThan">
      <formula>-105575</formula>
    </cfRule>
  </conditionalFormatting>
  <conditionalFormatting sqref="BB278:BB282">
    <cfRule type="cellIs" dxfId="15247" priority="6301" operator="lessThan">
      <formula>0</formula>
    </cfRule>
    <cfRule type="cellIs" dxfId="15246" priority="6302" operator="lessThan">
      <formula>-105575</formula>
    </cfRule>
  </conditionalFormatting>
  <conditionalFormatting sqref="BB278:BB282">
    <cfRule type="cellIs" dxfId="15245" priority="6299" operator="lessThan">
      <formula>0</formula>
    </cfRule>
    <cfRule type="cellIs" dxfId="15244" priority="6300" operator="lessThan">
      <formula>-105575</formula>
    </cfRule>
  </conditionalFormatting>
  <conditionalFormatting sqref="BB278:BB282">
    <cfRule type="cellIs" dxfId="15243" priority="6297" operator="lessThan">
      <formula>0</formula>
    </cfRule>
    <cfRule type="cellIs" dxfId="15242" priority="6298" operator="lessThan">
      <formula>-105575</formula>
    </cfRule>
  </conditionalFormatting>
  <conditionalFormatting sqref="BB278:BB282">
    <cfRule type="cellIs" dxfId="15241" priority="6295" operator="lessThan">
      <formula>0</formula>
    </cfRule>
    <cfRule type="cellIs" dxfId="15240" priority="6296" operator="lessThan">
      <formula>-105575</formula>
    </cfRule>
  </conditionalFormatting>
  <conditionalFormatting sqref="BB278:BB282">
    <cfRule type="cellIs" dxfId="15239" priority="6293" operator="lessThan">
      <formula>0</formula>
    </cfRule>
    <cfRule type="cellIs" dxfId="15238" priority="6294" operator="lessThan">
      <formula>-105575</formula>
    </cfRule>
  </conditionalFormatting>
  <conditionalFormatting sqref="BB278:BB282">
    <cfRule type="cellIs" dxfId="15237" priority="6291" operator="lessThan">
      <formula>0</formula>
    </cfRule>
    <cfRule type="cellIs" dxfId="15236" priority="6292" operator="lessThan">
      <formula>-105575</formula>
    </cfRule>
  </conditionalFormatting>
  <conditionalFormatting sqref="BB278:BB282">
    <cfRule type="cellIs" dxfId="15235" priority="6289" operator="lessThan">
      <formula>0</formula>
    </cfRule>
    <cfRule type="cellIs" dxfId="15234" priority="6290" operator="lessThan">
      <formula>-105575</formula>
    </cfRule>
  </conditionalFormatting>
  <conditionalFormatting sqref="BB285:BB288">
    <cfRule type="cellIs" dxfId="15233" priority="6287" operator="lessThan">
      <formula>0</formula>
    </cfRule>
    <cfRule type="cellIs" dxfId="15232" priority="6288" operator="lessThan">
      <formula>-105575</formula>
    </cfRule>
  </conditionalFormatting>
  <conditionalFormatting sqref="BB285:BB288">
    <cfRule type="cellIs" dxfId="15231" priority="6285" operator="lessThan">
      <formula>0</formula>
    </cfRule>
    <cfRule type="cellIs" dxfId="15230" priority="6286" operator="lessThan">
      <formula>-105575</formula>
    </cfRule>
  </conditionalFormatting>
  <conditionalFormatting sqref="BB285:BB288">
    <cfRule type="cellIs" dxfId="15229" priority="6283" operator="lessThan">
      <formula>0</formula>
    </cfRule>
    <cfRule type="cellIs" dxfId="15228" priority="6284" operator="lessThan">
      <formula>-105575</formula>
    </cfRule>
  </conditionalFormatting>
  <conditionalFormatting sqref="BB285:BB288">
    <cfRule type="cellIs" dxfId="15227" priority="6281" operator="lessThan">
      <formula>0</formula>
    </cfRule>
    <cfRule type="cellIs" dxfId="15226" priority="6282" operator="lessThan">
      <formula>-105575</formula>
    </cfRule>
  </conditionalFormatting>
  <conditionalFormatting sqref="BB285:BB288">
    <cfRule type="cellIs" dxfId="15225" priority="6279" operator="lessThan">
      <formula>0</formula>
    </cfRule>
    <cfRule type="cellIs" dxfId="15224" priority="6280" operator="lessThan">
      <formula>-105575</formula>
    </cfRule>
  </conditionalFormatting>
  <conditionalFormatting sqref="BB285:BB288">
    <cfRule type="cellIs" dxfId="15223" priority="6277" operator="lessThan">
      <formula>0</formula>
    </cfRule>
    <cfRule type="cellIs" dxfId="15222" priority="6278" operator="lessThan">
      <formula>-105575</formula>
    </cfRule>
  </conditionalFormatting>
  <conditionalFormatting sqref="BB285:BB288">
    <cfRule type="cellIs" dxfId="15221" priority="6275" operator="lessThan">
      <formula>0</formula>
    </cfRule>
    <cfRule type="cellIs" dxfId="15220" priority="6276" operator="lessThan">
      <formula>-105575</formula>
    </cfRule>
  </conditionalFormatting>
  <conditionalFormatting sqref="BB285:BB288">
    <cfRule type="cellIs" dxfId="15219" priority="6273" operator="lessThan">
      <formula>0</formula>
    </cfRule>
    <cfRule type="cellIs" dxfId="15218" priority="6274" operator="lessThan">
      <formula>-105575</formula>
    </cfRule>
  </conditionalFormatting>
  <conditionalFormatting sqref="BB285:BB288">
    <cfRule type="cellIs" dxfId="15217" priority="6271" operator="lessThan">
      <formula>0</formula>
    </cfRule>
    <cfRule type="cellIs" dxfId="15216" priority="6272" operator="lessThan">
      <formula>-105575</formula>
    </cfRule>
  </conditionalFormatting>
  <conditionalFormatting sqref="BB203 BB220:BB221 BB235:BB243 BB231:BB233 BB212:BB213 BB225:BB226">
    <cfRule type="cellIs" dxfId="15215" priority="6269" operator="lessThan">
      <formula>0</formula>
    </cfRule>
    <cfRule type="cellIs" dxfId="15214" priority="6270" operator="lessThan">
      <formula>-105575</formula>
    </cfRule>
  </conditionalFormatting>
  <conditionalFormatting sqref="BB220 BB212:BB213 BB235:BB238 BB240:BB243 BB225:BB226 BB231:BB233">
    <cfRule type="cellIs" dxfId="15213" priority="6267" operator="lessThan">
      <formula>0</formula>
    </cfRule>
    <cfRule type="cellIs" dxfId="15212" priority="6268" operator="lessThan">
      <formula>-105575</formula>
    </cfRule>
  </conditionalFormatting>
  <conditionalFormatting sqref="BB220:BB221 BB243 BB226 BB231:BB236 BB238:BB241 BB203 BB213">
    <cfRule type="cellIs" dxfId="15211" priority="6265" operator="lessThan">
      <formula>0</formula>
    </cfRule>
    <cfRule type="cellIs" dxfId="15210" priority="6266" operator="lessThan">
      <formula>-105575</formula>
    </cfRule>
  </conditionalFormatting>
  <conditionalFormatting sqref="BB235:BB243 BB231:BB233 BB220 BB212:BB213 BB225:BB226">
    <cfRule type="cellIs" dxfId="15209" priority="6263" operator="lessThan">
      <formula>0</formula>
    </cfRule>
    <cfRule type="cellIs" dxfId="15208" priority="6264" operator="lessThan">
      <formula>-105575</formula>
    </cfRule>
  </conditionalFormatting>
  <conditionalFormatting sqref="BB220:BB221 BB237:BB243 BB203 BB231:BB235 BB212:BB213 BB225:BB226">
    <cfRule type="cellIs" dxfId="15207" priority="6261" operator="lessThan">
      <formula>0</formula>
    </cfRule>
    <cfRule type="cellIs" dxfId="15206" priority="6262" operator="lessThan">
      <formula>-105575</formula>
    </cfRule>
  </conditionalFormatting>
  <conditionalFormatting sqref="BB220:BB221 BB237:BB240 BB242:BB243 BB225:BB226 BB231:BB235">
    <cfRule type="cellIs" dxfId="15205" priority="6259" operator="lessThan">
      <formula>0</formula>
    </cfRule>
    <cfRule type="cellIs" dxfId="15204" priority="6260" operator="lessThan">
      <formula>-105575</formula>
    </cfRule>
  </conditionalFormatting>
  <conditionalFormatting sqref="BB212 BB231 BB233:BB238 BB240:BB243 BB225">
    <cfRule type="cellIs" dxfId="15203" priority="6257" operator="lessThan">
      <formula>0</formula>
    </cfRule>
    <cfRule type="cellIs" dxfId="15202" priority="6258" operator="lessThan">
      <formula>-105575</formula>
    </cfRule>
  </conditionalFormatting>
  <conditionalFormatting sqref="BB237:BB243 BB231:BB235 BB220:BB221 BB225:BB226">
    <cfRule type="cellIs" dxfId="15201" priority="6255" operator="lessThan">
      <formula>0</formula>
    </cfRule>
    <cfRule type="cellIs" dxfId="15200" priority="6256" operator="lessThan">
      <formula>-105575</formula>
    </cfRule>
  </conditionalFormatting>
  <conditionalFormatting sqref="BB233:BB237 BB231 BB239:BB243">
    <cfRule type="cellIs" dxfId="15199" priority="6253" operator="lessThan">
      <formula>0</formula>
    </cfRule>
    <cfRule type="cellIs" dxfId="15198" priority="6254" operator="lessThan">
      <formula>-105575</formula>
    </cfRule>
  </conditionalFormatting>
  <conditionalFormatting sqref="BB233:BB237 BB231 BB239:BB243">
    <cfRule type="cellIs" dxfId="15197" priority="6251" operator="lessThan">
      <formula>0</formula>
    </cfRule>
    <cfRule type="cellIs" dxfId="15196" priority="6252" operator="lessThan">
      <formula>-105575</formula>
    </cfRule>
  </conditionalFormatting>
  <conditionalFormatting sqref="BB119:BB128 BB106:BB117 BB101:BB104 BB80:BB98">
    <cfRule type="cellIs" dxfId="15195" priority="6249" operator="lessThan">
      <formula>0</formula>
    </cfRule>
    <cfRule type="cellIs" dxfId="15194" priority="6250" operator="lessThan">
      <formula>-105575</formula>
    </cfRule>
  </conditionalFormatting>
  <conditionalFormatting sqref="BB130 BB132 BB134">
    <cfRule type="cellIs" dxfId="15193" priority="6247" operator="lessThan">
      <formula>0</formula>
    </cfRule>
    <cfRule type="cellIs" dxfId="15192" priority="6248" operator="lessThan">
      <formula>-105575</formula>
    </cfRule>
  </conditionalFormatting>
  <conditionalFormatting sqref="BB130 BB132 BB134">
    <cfRule type="cellIs" dxfId="15191" priority="6245" operator="lessThan">
      <formula>0</formula>
    </cfRule>
    <cfRule type="cellIs" dxfId="15190" priority="6246" operator="lessThan">
      <formula>-105575</formula>
    </cfRule>
  </conditionalFormatting>
  <conditionalFormatting sqref="BB129 BB131 BB133 BB135">
    <cfRule type="cellIs" dxfId="15189" priority="6243" operator="lessThan">
      <formula>0</formula>
    </cfRule>
    <cfRule type="cellIs" dxfId="15188" priority="6244" operator="lessThan">
      <formula>-105575</formula>
    </cfRule>
  </conditionalFormatting>
  <conditionalFormatting sqref="BB140 BB145 BB142:BB143 BB137:BB138">
    <cfRule type="cellIs" dxfId="15187" priority="6241" operator="lessThan">
      <formula>0</formula>
    </cfRule>
    <cfRule type="cellIs" dxfId="15186" priority="6242" operator="lessThan">
      <formula>-105575</formula>
    </cfRule>
  </conditionalFormatting>
  <conditionalFormatting sqref="BB149">
    <cfRule type="cellIs" dxfId="15185" priority="6239" operator="lessThan">
      <formula>0</formula>
    </cfRule>
    <cfRule type="cellIs" dxfId="15184" priority="6240" operator="lessThan">
      <formula>-105575</formula>
    </cfRule>
  </conditionalFormatting>
  <conditionalFormatting sqref="BB129:BB138 BB140:BB149">
    <cfRule type="cellIs" dxfId="15183" priority="6237" operator="lessThan">
      <formula>0</formula>
    </cfRule>
    <cfRule type="cellIs" dxfId="15182" priority="6238" operator="lessThan">
      <formula>-105575</formula>
    </cfRule>
  </conditionalFormatting>
  <conditionalFormatting sqref="BB94:BB98 BB86:BB87 BB89:BB91 BB141:BB149 BB124:BB133 BB107:BB110 BB112:BB117 BB119:BB122 BB135:BB138 BB101:BB104 BB80:BB84">
    <cfRule type="cellIs" dxfId="15181" priority="6235" operator="lessThan">
      <formula>0</formula>
    </cfRule>
    <cfRule type="cellIs" dxfId="15180" priority="6236" operator="lessThan">
      <formula>-105575</formula>
    </cfRule>
  </conditionalFormatting>
  <conditionalFormatting sqref="BB129 BB131 BB133 BB135">
    <cfRule type="cellIs" dxfId="15179" priority="6233" operator="lessThan">
      <formula>0</formula>
    </cfRule>
    <cfRule type="cellIs" dxfId="15178" priority="6234" operator="lessThan">
      <formula>-105575</formula>
    </cfRule>
  </conditionalFormatting>
  <conditionalFormatting sqref="BB146 BB144 BB141">
    <cfRule type="cellIs" dxfId="15177" priority="6231" operator="lessThan">
      <formula>0</formula>
    </cfRule>
    <cfRule type="cellIs" dxfId="15176" priority="6232" operator="lessThan">
      <formula>-105575</formula>
    </cfRule>
  </conditionalFormatting>
  <conditionalFormatting sqref="BB146 BB144 BB141">
    <cfRule type="cellIs" dxfId="15175" priority="6229" operator="lessThan">
      <formula>0</formula>
    </cfRule>
    <cfRule type="cellIs" dxfId="15174" priority="6230" operator="lessThan">
      <formula>-105575</formula>
    </cfRule>
  </conditionalFormatting>
  <conditionalFormatting sqref="BB140 BB145 BB142:BB143 BB137:BB138">
    <cfRule type="cellIs" dxfId="15173" priority="6227" operator="lessThan">
      <formula>0</formula>
    </cfRule>
    <cfRule type="cellIs" dxfId="15172" priority="6228" operator="lessThan">
      <formula>-105575</formula>
    </cfRule>
  </conditionalFormatting>
  <conditionalFormatting sqref="BB149">
    <cfRule type="cellIs" dxfId="15171" priority="6225" operator="lessThan">
      <formula>0</formula>
    </cfRule>
    <cfRule type="cellIs" dxfId="15170" priority="6226" operator="lessThan">
      <formula>-105575</formula>
    </cfRule>
  </conditionalFormatting>
  <conditionalFormatting sqref="BB94:BB98 BB86:BB87 BB89:BB91 BB141:BB149 BB124:BB133 BB107:BB110 BB112:BB117 BB119:BB122 BB135:BB138 BB101:BB104 BB80:BB84">
    <cfRule type="cellIs" dxfId="15169" priority="6223" operator="lessThan">
      <formula>0</formula>
    </cfRule>
    <cfRule type="cellIs" dxfId="15168" priority="6224" operator="lessThan">
      <formula>-105575</formula>
    </cfRule>
  </conditionalFormatting>
  <conditionalFormatting sqref="BB246:BB249 BB262 BB267 BB279:BB282 BB285:BB288 BB274:BB275 BB306:BB309 BB311:BB325 BB327:BB330 BB332:BB341 BB344:BB347 BB349:BB353 BB355:BB358 BB360:BB384 BB386:BB389 BB392:BB395 BB397:BB411 BB413:BB416 BB418:BB432 BB434:BB437 BB439:BB453 BB455:BB458 BB460:BB469 BB7:BB10 BB12:BB14 BB17:BB18 BB21:BB24 BB26:BB28 BB30:BB36 BB38 BB41:BB43 BB46:BB49 BB51:BB55 BB57:BB59 BB62:BB76 BB251:BB253 BB255:BB257 BB293:BB304 BB264:BB265 BB260 BB290:BB291 BB270:BB272">
    <cfRule type="cellIs" dxfId="15167" priority="6221" operator="lessThan">
      <formula>0</formula>
    </cfRule>
    <cfRule type="cellIs" dxfId="15166" priority="6222" operator="lessThan">
      <formula>-105575</formula>
    </cfRule>
  </conditionalFormatting>
  <conditionalFormatting sqref="BB41">
    <cfRule type="cellIs" dxfId="15165" priority="6219" operator="lessThan">
      <formula>0</formula>
    </cfRule>
    <cfRule type="cellIs" dxfId="15164" priority="6220" operator="lessThan">
      <formula>-105575</formula>
    </cfRule>
  </conditionalFormatting>
  <conditionalFormatting sqref="BB152:BB155">
    <cfRule type="cellIs" dxfId="15163" priority="6217" operator="lessThan">
      <formula>0</formula>
    </cfRule>
    <cfRule type="cellIs" dxfId="15162" priority="6218" operator="lessThan">
      <formula>-105575</formula>
    </cfRule>
  </conditionalFormatting>
  <conditionalFormatting sqref="BB152:BB155">
    <cfRule type="cellIs" dxfId="15161" priority="6215" operator="lessThan">
      <formula>0</formula>
    </cfRule>
    <cfRule type="cellIs" dxfId="15160" priority="6216" operator="lessThan">
      <formula>-105575</formula>
    </cfRule>
  </conditionalFormatting>
  <conditionalFormatting sqref="BB152:BB155">
    <cfRule type="cellIs" dxfId="15159" priority="6213" operator="lessThan">
      <formula>0</formula>
    </cfRule>
    <cfRule type="cellIs" dxfId="15158" priority="6214" operator="lessThan">
      <formula>-105575</formula>
    </cfRule>
  </conditionalFormatting>
  <conditionalFormatting sqref="BB157:BB158">
    <cfRule type="cellIs" dxfId="15157" priority="6211" operator="lessThan">
      <formula>0</formula>
    </cfRule>
    <cfRule type="cellIs" dxfId="15156" priority="6212" operator="lessThan">
      <formula>-105575</formula>
    </cfRule>
  </conditionalFormatting>
  <conditionalFormatting sqref="BB157:BB158">
    <cfRule type="cellIs" dxfId="15155" priority="6209" operator="lessThan">
      <formula>0</formula>
    </cfRule>
    <cfRule type="cellIs" dxfId="15154" priority="6210" operator="lessThan">
      <formula>-105575</formula>
    </cfRule>
  </conditionalFormatting>
  <conditionalFormatting sqref="BB157:BB158">
    <cfRule type="cellIs" dxfId="15153" priority="6207" operator="lessThan">
      <formula>0</formula>
    </cfRule>
    <cfRule type="cellIs" dxfId="15152" priority="6208" operator="lessThan">
      <formula>-105575</formula>
    </cfRule>
  </conditionalFormatting>
  <conditionalFormatting sqref="BB160:BB161">
    <cfRule type="cellIs" dxfId="15151" priority="6205" operator="lessThan">
      <formula>0</formula>
    </cfRule>
    <cfRule type="cellIs" dxfId="15150" priority="6206" operator="lessThan">
      <formula>-105575</formula>
    </cfRule>
  </conditionalFormatting>
  <conditionalFormatting sqref="BB160:BB161">
    <cfRule type="cellIs" dxfId="15149" priority="6203" operator="lessThan">
      <formula>0</formula>
    </cfRule>
    <cfRule type="cellIs" dxfId="15148" priority="6204" operator="lessThan">
      <formula>-105575</formula>
    </cfRule>
  </conditionalFormatting>
  <conditionalFormatting sqref="BB160:BB161">
    <cfRule type="cellIs" dxfId="15147" priority="6201" operator="lessThan">
      <formula>0</formula>
    </cfRule>
    <cfRule type="cellIs" dxfId="15146" priority="6202" operator="lessThan">
      <formula>-105575</formula>
    </cfRule>
  </conditionalFormatting>
  <conditionalFormatting sqref="BB164:BB167">
    <cfRule type="cellIs" dxfId="15145" priority="6199" operator="lessThan">
      <formula>0</formula>
    </cfRule>
    <cfRule type="cellIs" dxfId="15144" priority="6200" operator="lessThan">
      <formula>-105575</formula>
    </cfRule>
  </conditionalFormatting>
  <conditionalFormatting sqref="BB164:BB167">
    <cfRule type="cellIs" dxfId="15143" priority="6197" operator="lessThan">
      <formula>0</formula>
    </cfRule>
    <cfRule type="cellIs" dxfId="15142" priority="6198" operator="lessThan">
      <formula>-105575</formula>
    </cfRule>
  </conditionalFormatting>
  <conditionalFormatting sqref="BB164:BB167">
    <cfRule type="cellIs" dxfId="15141" priority="6195" operator="lessThan">
      <formula>0</formula>
    </cfRule>
    <cfRule type="cellIs" dxfId="15140" priority="6196" operator="lessThan">
      <formula>-105575</formula>
    </cfRule>
  </conditionalFormatting>
  <conditionalFormatting sqref="BB169:BB177">
    <cfRule type="cellIs" dxfId="15139" priority="6193" operator="lessThan">
      <formula>0</formula>
    </cfRule>
    <cfRule type="cellIs" dxfId="15138" priority="6194" operator="lessThan">
      <formula>-105575</formula>
    </cfRule>
  </conditionalFormatting>
  <conditionalFormatting sqref="BB169:BB177">
    <cfRule type="cellIs" dxfId="15137" priority="6191" operator="lessThan">
      <formula>0</formula>
    </cfRule>
    <cfRule type="cellIs" dxfId="15136" priority="6192" operator="lessThan">
      <formula>-105575</formula>
    </cfRule>
  </conditionalFormatting>
  <conditionalFormatting sqref="BB169:BB177">
    <cfRule type="cellIs" dxfId="15135" priority="6189" operator="lessThan">
      <formula>0</formula>
    </cfRule>
    <cfRule type="cellIs" dxfId="15134" priority="6190" operator="lessThan">
      <formula>-105575</formula>
    </cfRule>
  </conditionalFormatting>
  <conditionalFormatting sqref="BB179:BB180">
    <cfRule type="cellIs" dxfId="15133" priority="6187" operator="lessThan">
      <formula>0</formula>
    </cfRule>
    <cfRule type="cellIs" dxfId="15132" priority="6188" operator="lessThan">
      <formula>-105575</formula>
    </cfRule>
  </conditionalFormatting>
  <conditionalFormatting sqref="BB179:BB180">
    <cfRule type="cellIs" dxfId="15131" priority="6185" operator="lessThan">
      <formula>0</formula>
    </cfRule>
    <cfRule type="cellIs" dxfId="15130" priority="6186" operator="lessThan">
      <formula>-105575</formula>
    </cfRule>
  </conditionalFormatting>
  <conditionalFormatting sqref="BB179:BB180">
    <cfRule type="cellIs" dxfId="15129" priority="6183" operator="lessThan">
      <formula>0</formula>
    </cfRule>
    <cfRule type="cellIs" dxfId="15128" priority="6184" operator="lessThan">
      <formula>-105575</formula>
    </cfRule>
  </conditionalFormatting>
  <conditionalFormatting sqref="BB183:BB189">
    <cfRule type="cellIs" dxfId="15127" priority="6181" operator="lessThan">
      <formula>0</formula>
    </cfRule>
    <cfRule type="cellIs" dxfId="15126" priority="6182" operator="lessThan">
      <formula>-105575</formula>
    </cfRule>
  </conditionalFormatting>
  <conditionalFormatting sqref="BB183:BB189">
    <cfRule type="cellIs" dxfId="15125" priority="6179" operator="lessThan">
      <formula>0</formula>
    </cfRule>
    <cfRule type="cellIs" dxfId="15124" priority="6180" operator="lessThan">
      <formula>-105575</formula>
    </cfRule>
  </conditionalFormatting>
  <conditionalFormatting sqref="BB183:BB189">
    <cfRule type="cellIs" dxfId="15123" priority="6177" operator="lessThan">
      <formula>0</formula>
    </cfRule>
    <cfRule type="cellIs" dxfId="15122" priority="6178" operator="lessThan">
      <formula>-105575</formula>
    </cfRule>
  </conditionalFormatting>
  <conditionalFormatting sqref="BB191:BB192">
    <cfRule type="cellIs" dxfId="15121" priority="6175" operator="lessThan">
      <formula>0</formula>
    </cfRule>
    <cfRule type="cellIs" dxfId="15120" priority="6176" operator="lessThan">
      <formula>-105575</formula>
    </cfRule>
  </conditionalFormatting>
  <conditionalFormatting sqref="BB191:BB192">
    <cfRule type="cellIs" dxfId="15119" priority="6173" operator="lessThan">
      <formula>0</formula>
    </cfRule>
    <cfRule type="cellIs" dxfId="15118" priority="6174" operator="lessThan">
      <formula>-105575</formula>
    </cfRule>
  </conditionalFormatting>
  <conditionalFormatting sqref="BB191:BB192">
    <cfRule type="cellIs" dxfId="15117" priority="6171" operator="lessThan">
      <formula>0</formula>
    </cfRule>
    <cfRule type="cellIs" dxfId="15116" priority="6172" operator="lessThan">
      <formula>-105575</formula>
    </cfRule>
  </conditionalFormatting>
  <conditionalFormatting sqref="BB194:BB195">
    <cfRule type="cellIs" dxfId="15115" priority="6169" operator="lessThan">
      <formula>0</formula>
    </cfRule>
    <cfRule type="cellIs" dxfId="15114" priority="6170" operator="lessThan">
      <formula>-105575</formula>
    </cfRule>
  </conditionalFormatting>
  <conditionalFormatting sqref="BB194:BB195">
    <cfRule type="cellIs" dxfId="15113" priority="6167" operator="lessThan">
      <formula>0</formula>
    </cfRule>
    <cfRule type="cellIs" dxfId="15112" priority="6168" operator="lessThan">
      <formula>-105575</formula>
    </cfRule>
  </conditionalFormatting>
  <conditionalFormatting sqref="BB194:BB195">
    <cfRule type="cellIs" dxfId="15111" priority="6165" operator="lessThan">
      <formula>0</formula>
    </cfRule>
    <cfRule type="cellIs" dxfId="15110" priority="6166" operator="lessThan">
      <formula>-105575</formula>
    </cfRule>
  </conditionalFormatting>
  <conditionalFormatting sqref="BB199:BB202">
    <cfRule type="cellIs" dxfId="15109" priority="6163" operator="lessThan">
      <formula>0</formula>
    </cfRule>
    <cfRule type="cellIs" dxfId="15108" priority="6164" operator="lessThan">
      <formula>-105575</formula>
    </cfRule>
  </conditionalFormatting>
  <conditionalFormatting sqref="BB199:BB202">
    <cfRule type="cellIs" dxfId="15107" priority="6161" operator="lessThan">
      <formula>0</formula>
    </cfRule>
    <cfRule type="cellIs" dxfId="15106" priority="6162" operator="lessThan">
      <formula>-105575</formula>
    </cfRule>
  </conditionalFormatting>
  <conditionalFormatting sqref="BB199:BB202">
    <cfRule type="cellIs" dxfId="15105" priority="6159" operator="lessThan">
      <formula>0</formula>
    </cfRule>
    <cfRule type="cellIs" dxfId="15104" priority="6160" operator="lessThan">
      <formula>-105575</formula>
    </cfRule>
  </conditionalFormatting>
  <conditionalFormatting sqref="BB204:BB208">
    <cfRule type="cellIs" dxfId="15103" priority="6157" operator="lessThan">
      <formula>0</formula>
    </cfRule>
    <cfRule type="cellIs" dxfId="15102" priority="6158" operator="lessThan">
      <formula>-105575</formula>
    </cfRule>
  </conditionalFormatting>
  <conditionalFormatting sqref="BB204:BB208">
    <cfRule type="cellIs" dxfId="15101" priority="6155" operator="lessThan">
      <formula>0</formula>
    </cfRule>
    <cfRule type="cellIs" dxfId="15100" priority="6156" operator="lessThan">
      <formula>-105575</formula>
    </cfRule>
  </conditionalFormatting>
  <conditionalFormatting sqref="BB204:BB208">
    <cfRule type="cellIs" dxfId="15099" priority="6153" operator="lessThan">
      <formula>0</formula>
    </cfRule>
    <cfRule type="cellIs" dxfId="15098" priority="6154" operator="lessThan">
      <formula>-105575</formula>
    </cfRule>
  </conditionalFormatting>
  <conditionalFormatting sqref="BB210:BB211">
    <cfRule type="cellIs" dxfId="15097" priority="6151" operator="lessThan">
      <formula>0</formula>
    </cfRule>
    <cfRule type="cellIs" dxfId="15096" priority="6152" operator="lessThan">
      <formula>-105575</formula>
    </cfRule>
  </conditionalFormatting>
  <conditionalFormatting sqref="BB210:BB211">
    <cfRule type="cellIs" dxfId="15095" priority="6149" operator="lessThan">
      <formula>0</formula>
    </cfRule>
    <cfRule type="cellIs" dxfId="15094" priority="6150" operator="lessThan">
      <formula>-105575</formula>
    </cfRule>
  </conditionalFormatting>
  <conditionalFormatting sqref="BB210:BB211">
    <cfRule type="cellIs" dxfId="15093" priority="6147" operator="lessThan">
      <formula>0</formula>
    </cfRule>
    <cfRule type="cellIs" dxfId="15092" priority="6148" operator="lessThan">
      <formula>-105575</formula>
    </cfRule>
  </conditionalFormatting>
  <conditionalFormatting sqref="BB214:BB219">
    <cfRule type="cellIs" dxfId="15091" priority="6145" operator="lessThan">
      <formula>0</formula>
    </cfRule>
    <cfRule type="cellIs" dxfId="15090" priority="6146" operator="lessThan">
      <formula>-105575</formula>
    </cfRule>
  </conditionalFormatting>
  <conditionalFormatting sqref="BB214:BB219">
    <cfRule type="cellIs" dxfId="15089" priority="6143" operator="lessThan">
      <formula>0</formula>
    </cfRule>
    <cfRule type="cellIs" dxfId="15088" priority="6144" operator="lessThan">
      <formula>-105575</formula>
    </cfRule>
  </conditionalFormatting>
  <conditionalFormatting sqref="BB214:BB219">
    <cfRule type="cellIs" dxfId="15087" priority="6141" operator="lessThan">
      <formula>0</formula>
    </cfRule>
    <cfRule type="cellIs" dxfId="15086" priority="6142" operator="lessThan">
      <formula>-105575</formula>
    </cfRule>
  </conditionalFormatting>
  <conditionalFormatting sqref="BB222:BB224">
    <cfRule type="cellIs" dxfId="15085" priority="6139" operator="lessThan">
      <formula>0</formula>
    </cfRule>
    <cfRule type="cellIs" dxfId="15084" priority="6140" operator="lessThan">
      <formula>-105575</formula>
    </cfRule>
  </conditionalFormatting>
  <conditionalFormatting sqref="BB222:BB224">
    <cfRule type="cellIs" dxfId="15083" priority="6137" operator="lessThan">
      <formula>0</formula>
    </cfRule>
    <cfRule type="cellIs" dxfId="15082" priority="6138" operator="lessThan">
      <formula>-105575</formula>
    </cfRule>
  </conditionalFormatting>
  <conditionalFormatting sqref="BB222:BB224">
    <cfRule type="cellIs" dxfId="15081" priority="6135" operator="lessThan">
      <formula>0</formula>
    </cfRule>
    <cfRule type="cellIs" dxfId="15080" priority="6136" operator="lessThan">
      <formula>-105575</formula>
    </cfRule>
  </conditionalFormatting>
  <conditionalFormatting sqref="BB227:BB230">
    <cfRule type="cellIs" dxfId="15079" priority="6133" operator="lessThan">
      <formula>0</formula>
    </cfRule>
    <cfRule type="cellIs" dxfId="15078" priority="6134" operator="lessThan">
      <formula>-105575</formula>
    </cfRule>
  </conditionalFormatting>
  <conditionalFormatting sqref="BB227:BB230">
    <cfRule type="cellIs" dxfId="15077" priority="6131" operator="lessThan">
      <formula>0</formula>
    </cfRule>
    <cfRule type="cellIs" dxfId="15076" priority="6132" operator="lessThan">
      <formula>-105575</formula>
    </cfRule>
  </conditionalFormatting>
  <conditionalFormatting sqref="BB227:BB230">
    <cfRule type="cellIs" dxfId="15075" priority="6129" operator="lessThan">
      <formula>0</formula>
    </cfRule>
    <cfRule type="cellIs" dxfId="15074" priority="6130" operator="lessThan">
      <formula>-105575</formula>
    </cfRule>
  </conditionalFormatting>
  <conditionalFormatting sqref="BB203 BB220:BB221 BB235:BB243 BB231:BB233 BB212:BB213 BB225:BB226">
    <cfRule type="cellIs" dxfId="15073" priority="6127" operator="lessThan">
      <formula>0</formula>
    </cfRule>
    <cfRule type="cellIs" dxfId="15072" priority="6128" operator="lessThan">
      <formula>-105575</formula>
    </cfRule>
  </conditionalFormatting>
  <conditionalFormatting sqref="BB220 BB212:BB213 BB235:BB238 BB240:BB243 BB225:BB226 BB231:BB233">
    <cfRule type="cellIs" dxfId="15071" priority="6125" operator="lessThan">
      <formula>0</formula>
    </cfRule>
    <cfRule type="cellIs" dxfId="15070" priority="6126" operator="lessThan">
      <formula>-105575</formula>
    </cfRule>
  </conditionalFormatting>
  <conditionalFormatting sqref="BB220:BB221 BB243 BB226 BB231:BB236 BB238:BB241 BB203 BB213">
    <cfRule type="cellIs" dxfId="15069" priority="6123" operator="lessThan">
      <formula>0</formula>
    </cfRule>
    <cfRule type="cellIs" dxfId="15068" priority="6124" operator="lessThan">
      <formula>-105575</formula>
    </cfRule>
  </conditionalFormatting>
  <conditionalFormatting sqref="BB235:BB243 BB231:BB233 BB220 BB212:BB213 BB225:BB226">
    <cfRule type="cellIs" dxfId="15067" priority="6121" operator="lessThan">
      <formula>0</formula>
    </cfRule>
    <cfRule type="cellIs" dxfId="15066" priority="6122" operator="lessThan">
      <formula>-105575</formula>
    </cfRule>
  </conditionalFormatting>
  <conditionalFormatting sqref="BB220:BB221 BB237:BB243 BB203 BB231:BB235 BB212:BB213 BB225:BB226">
    <cfRule type="cellIs" dxfId="15065" priority="6119" operator="lessThan">
      <formula>0</formula>
    </cfRule>
    <cfRule type="cellIs" dxfId="15064" priority="6120" operator="lessThan">
      <formula>-105575</formula>
    </cfRule>
  </conditionalFormatting>
  <conditionalFormatting sqref="BB220:BB221 BB237:BB240 BB242:BB243 BB225:BB226 BB231:BB235">
    <cfRule type="cellIs" dxfId="15063" priority="6117" operator="lessThan">
      <formula>0</formula>
    </cfRule>
    <cfRule type="cellIs" dxfId="15062" priority="6118" operator="lessThan">
      <formula>-105575</formula>
    </cfRule>
  </conditionalFormatting>
  <conditionalFormatting sqref="BB212 BB231 BB233:BB238 BB240:BB243 BB225">
    <cfRule type="cellIs" dxfId="15061" priority="6115" operator="lessThan">
      <formula>0</formula>
    </cfRule>
    <cfRule type="cellIs" dxfId="15060" priority="6116" operator="lessThan">
      <formula>-105575</formula>
    </cfRule>
  </conditionalFormatting>
  <conditionalFormatting sqref="BB237:BB243 BB231:BB235 BB220:BB221 BB225:BB226">
    <cfRule type="cellIs" dxfId="15059" priority="6113" operator="lessThan">
      <formula>0</formula>
    </cfRule>
    <cfRule type="cellIs" dxfId="15058" priority="6114" operator="lessThan">
      <formula>-105575</formula>
    </cfRule>
  </conditionalFormatting>
  <conditionalFormatting sqref="BB233:BB237 BB231 BB239:BB243">
    <cfRule type="cellIs" dxfId="15057" priority="6111" operator="lessThan">
      <formula>0</formula>
    </cfRule>
    <cfRule type="cellIs" dxfId="15056" priority="6112" operator="lessThan">
      <formula>-105575</formula>
    </cfRule>
  </conditionalFormatting>
  <conditionalFormatting sqref="BB233:BB237 BB231 BB239:BB243">
    <cfRule type="cellIs" dxfId="15055" priority="6109" operator="lessThan">
      <formula>0</formula>
    </cfRule>
    <cfRule type="cellIs" dxfId="15054" priority="6110" operator="lessThan">
      <formula>-105575</formula>
    </cfRule>
  </conditionalFormatting>
  <conditionalFormatting sqref="BB119:BB128 BB106:BB117 BB101:BB104 BB80:BB98">
    <cfRule type="cellIs" dxfId="15053" priority="6107" operator="lessThan">
      <formula>0</formula>
    </cfRule>
    <cfRule type="cellIs" dxfId="15052" priority="6108" operator="lessThan">
      <formula>-105575</formula>
    </cfRule>
  </conditionalFormatting>
  <conditionalFormatting sqref="BB130 BB132 BB134">
    <cfRule type="cellIs" dxfId="15051" priority="6105" operator="lessThan">
      <formula>0</formula>
    </cfRule>
    <cfRule type="cellIs" dxfId="15050" priority="6106" operator="lessThan">
      <formula>-105575</formula>
    </cfRule>
  </conditionalFormatting>
  <conditionalFormatting sqref="BB130 BB132 BB134">
    <cfRule type="cellIs" dxfId="15049" priority="6103" operator="lessThan">
      <formula>0</formula>
    </cfRule>
    <cfRule type="cellIs" dxfId="15048" priority="6104" operator="lessThan">
      <formula>-105575</formula>
    </cfRule>
  </conditionalFormatting>
  <conditionalFormatting sqref="BB129 BB131 BB133 BB135">
    <cfRule type="cellIs" dxfId="15047" priority="6101" operator="lessThan">
      <formula>0</formula>
    </cfRule>
    <cfRule type="cellIs" dxfId="15046" priority="6102" operator="lessThan">
      <formula>-105575</formula>
    </cfRule>
  </conditionalFormatting>
  <conditionalFormatting sqref="BB140 BB145 BB142:BB143 BB137:BB138">
    <cfRule type="cellIs" dxfId="15045" priority="6099" operator="lessThan">
      <formula>0</formula>
    </cfRule>
    <cfRule type="cellIs" dxfId="15044" priority="6100" operator="lessThan">
      <formula>-105575</formula>
    </cfRule>
  </conditionalFormatting>
  <conditionalFormatting sqref="BB149">
    <cfRule type="cellIs" dxfId="15043" priority="6097" operator="lessThan">
      <formula>0</formula>
    </cfRule>
    <cfRule type="cellIs" dxfId="15042" priority="6098" operator="lessThan">
      <formula>-105575</formula>
    </cfRule>
  </conditionalFormatting>
  <conditionalFormatting sqref="BB129:BB138 BB140:BB149">
    <cfRule type="cellIs" dxfId="15041" priority="6095" operator="lessThan">
      <formula>0</formula>
    </cfRule>
    <cfRule type="cellIs" dxfId="15040" priority="6096" operator="lessThan">
      <formula>-105575</formula>
    </cfRule>
  </conditionalFormatting>
  <conditionalFormatting sqref="BB94:BB98 BB86:BB87 BB89:BB91 BB141:BB149 BB124:BB133 BB107:BB110 BB112:BB117 BB119:BB122 BB135:BB138 BB101:BB104 BB80:BB84">
    <cfRule type="cellIs" dxfId="15039" priority="6093" operator="lessThan">
      <formula>0</formula>
    </cfRule>
    <cfRule type="cellIs" dxfId="15038" priority="6094" operator="lessThan">
      <formula>-105575</formula>
    </cfRule>
  </conditionalFormatting>
  <conditionalFormatting sqref="BB129 BB131 BB133 BB135">
    <cfRule type="cellIs" dxfId="15037" priority="6091" operator="lessThan">
      <formula>0</formula>
    </cfRule>
    <cfRule type="cellIs" dxfId="15036" priority="6092" operator="lessThan">
      <formula>-105575</formula>
    </cfRule>
  </conditionalFormatting>
  <conditionalFormatting sqref="BB146 BB144 BB141">
    <cfRule type="cellIs" dxfId="15035" priority="6089" operator="lessThan">
      <formula>0</formula>
    </cfRule>
    <cfRule type="cellIs" dxfId="15034" priority="6090" operator="lessThan">
      <formula>-105575</formula>
    </cfRule>
  </conditionalFormatting>
  <conditionalFormatting sqref="BB146 BB144 BB141">
    <cfRule type="cellIs" dxfId="15033" priority="6087" operator="lessThan">
      <formula>0</formula>
    </cfRule>
    <cfRule type="cellIs" dxfId="15032" priority="6088" operator="lessThan">
      <formula>-105575</formula>
    </cfRule>
  </conditionalFormatting>
  <conditionalFormatting sqref="BB140 BB145 BB142:BB143 BB137:BB138">
    <cfRule type="cellIs" dxfId="15031" priority="6085" operator="lessThan">
      <formula>0</formula>
    </cfRule>
    <cfRule type="cellIs" dxfId="15030" priority="6086" operator="lessThan">
      <formula>-105575</formula>
    </cfRule>
  </conditionalFormatting>
  <conditionalFormatting sqref="BB149">
    <cfRule type="cellIs" dxfId="15029" priority="6083" operator="lessThan">
      <formula>0</formula>
    </cfRule>
    <cfRule type="cellIs" dxfId="15028" priority="6084" operator="lessThan">
      <formula>-105575</formula>
    </cfRule>
  </conditionalFormatting>
  <conditionalFormatting sqref="BB94:BB98 BB86:BB87 BB89:BB91 BB141:BB149 BB124:BB133 BB107:BB110 BB112:BB117 BB119:BB122 BB135:BB138 BB101:BB104 BB80:BB84">
    <cfRule type="cellIs" dxfId="15027" priority="6081" operator="lessThan">
      <formula>0</formula>
    </cfRule>
    <cfRule type="cellIs" dxfId="15026" priority="6082" operator="lessThan">
      <formula>-105575</formula>
    </cfRule>
  </conditionalFormatting>
  <conditionalFormatting sqref="BB62:BB76 BB306:BB309 BB311:BB325 BB327:BB330 BB332:BB341 BB344:BB347 BB349:BB353 BB355:BB358 BB360:BB384 BB386:BB389 BB392:BB395 BB397:BB411 BB413:BB416 BB418:BB432 BB434:BB437 BB439:BB453 BB455:BB458 BB460:BB469 BB7:BB10 BB12:BB14 BB17:BB18 BB21:BB24 BB26:BB28 BB30:BB36 BB38 BB41:BB43 BB46:BB49 BB51:BB55 BB57:BB59 BB290:BB291 BB293:BB304">
    <cfRule type="cellIs" dxfId="15025" priority="6079" operator="lessThan">
      <formula>0</formula>
    </cfRule>
    <cfRule type="cellIs" dxfId="15024" priority="6080" operator="lessThan">
      <formula>-105575</formula>
    </cfRule>
  </conditionalFormatting>
  <conditionalFormatting sqref="BB41">
    <cfRule type="cellIs" dxfId="15023" priority="6077" operator="lessThan">
      <formula>0</formula>
    </cfRule>
    <cfRule type="cellIs" dxfId="15022" priority="6078" operator="lessThan">
      <formula>-105575</formula>
    </cfRule>
  </conditionalFormatting>
  <conditionalFormatting sqref="BB152:BB155">
    <cfRule type="cellIs" dxfId="15021" priority="6075" operator="lessThan">
      <formula>0</formula>
    </cfRule>
    <cfRule type="cellIs" dxfId="15020" priority="6076" operator="lessThan">
      <formula>-105575</formula>
    </cfRule>
  </conditionalFormatting>
  <conditionalFormatting sqref="BB152:BB155">
    <cfRule type="cellIs" dxfId="15019" priority="6073" operator="lessThan">
      <formula>0</formula>
    </cfRule>
    <cfRule type="cellIs" dxfId="15018" priority="6074" operator="lessThan">
      <formula>-105575</formula>
    </cfRule>
  </conditionalFormatting>
  <conditionalFormatting sqref="BB152:BB155">
    <cfRule type="cellIs" dxfId="15017" priority="6071" operator="lessThan">
      <formula>0</formula>
    </cfRule>
    <cfRule type="cellIs" dxfId="15016" priority="6072" operator="lessThan">
      <formula>-105575</formula>
    </cfRule>
  </conditionalFormatting>
  <conditionalFormatting sqref="BB157:BB158">
    <cfRule type="cellIs" dxfId="15015" priority="6069" operator="lessThan">
      <formula>0</formula>
    </cfRule>
    <cfRule type="cellIs" dxfId="15014" priority="6070" operator="lessThan">
      <formula>-105575</formula>
    </cfRule>
  </conditionalFormatting>
  <conditionalFormatting sqref="BB157:BB158">
    <cfRule type="cellIs" dxfId="15013" priority="6067" operator="lessThan">
      <formula>0</formula>
    </cfRule>
    <cfRule type="cellIs" dxfId="15012" priority="6068" operator="lessThan">
      <formula>-105575</formula>
    </cfRule>
  </conditionalFormatting>
  <conditionalFormatting sqref="BB157:BB158">
    <cfRule type="cellIs" dxfId="15011" priority="6065" operator="lessThan">
      <formula>0</formula>
    </cfRule>
    <cfRule type="cellIs" dxfId="15010" priority="6066" operator="lessThan">
      <formula>-105575</formula>
    </cfRule>
  </conditionalFormatting>
  <conditionalFormatting sqref="BB160:BB161">
    <cfRule type="cellIs" dxfId="15009" priority="6063" operator="lessThan">
      <formula>0</formula>
    </cfRule>
    <cfRule type="cellIs" dxfId="15008" priority="6064" operator="lessThan">
      <formula>-105575</formula>
    </cfRule>
  </conditionalFormatting>
  <conditionalFormatting sqref="BB160:BB161">
    <cfRule type="cellIs" dxfId="15007" priority="6061" operator="lessThan">
      <formula>0</formula>
    </cfRule>
    <cfRule type="cellIs" dxfId="15006" priority="6062" operator="lessThan">
      <formula>-105575</formula>
    </cfRule>
  </conditionalFormatting>
  <conditionalFormatting sqref="BB160:BB161">
    <cfRule type="cellIs" dxfId="15005" priority="6059" operator="lessThan">
      <formula>0</formula>
    </cfRule>
    <cfRule type="cellIs" dxfId="15004" priority="6060" operator="lessThan">
      <formula>-105575</formula>
    </cfRule>
  </conditionalFormatting>
  <conditionalFormatting sqref="BB164:BB167">
    <cfRule type="cellIs" dxfId="15003" priority="6057" operator="lessThan">
      <formula>0</formula>
    </cfRule>
    <cfRule type="cellIs" dxfId="15002" priority="6058" operator="lessThan">
      <formula>-105575</formula>
    </cfRule>
  </conditionalFormatting>
  <conditionalFormatting sqref="BB164:BB167">
    <cfRule type="cellIs" dxfId="15001" priority="6055" operator="lessThan">
      <formula>0</formula>
    </cfRule>
    <cfRule type="cellIs" dxfId="15000" priority="6056" operator="lessThan">
      <formula>-105575</formula>
    </cfRule>
  </conditionalFormatting>
  <conditionalFormatting sqref="BB164:BB167">
    <cfRule type="cellIs" dxfId="14999" priority="6053" operator="lessThan">
      <formula>0</formula>
    </cfRule>
    <cfRule type="cellIs" dxfId="14998" priority="6054" operator="lessThan">
      <formula>-105575</formula>
    </cfRule>
  </conditionalFormatting>
  <conditionalFormatting sqref="BB169:BB177">
    <cfRule type="cellIs" dxfId="14997" priority="6051" operator="lessThan">
      <formula>0</formula>
    </cfRule>
    <cfRule type="cellIs" dxfId="14996" priority="6052" operator="lessThan">
      <formula>-105575</formula>
    </cfRule>
  </conditionalFormatting>
  <conditionalFormatting sqref="BB169:BB177">
    <cfRule type="cellIs" dxfId="14995" priority="6049" operator="lessThan">
      <formula>0</formula>
    </cfRule>
    <cfRule type="cellIs" dxfId="14994" priority="6050" operator="lessThan">
      <formula>-105575</formula>
    </cfRule>
  </conditionalFormatting>
  <conditionalFormatting sqref="BB169:BB177">
    <cfRule type="cellIs" dxfId="14993" priority="6047" operator="lessThan">
      <formula>0</formula>
    </cfRule>
    <cfRule type="cellIs" dxfId="14992" priority="6048" operator="lessThan">
      <formula>-105575</formula>
    </cfRule>
  </conditionalFormatting>
  <conditionalFormatting sqref="BB179:BB180">
    <cfRule type="cellIs" dxfId="14991" priority="6045" operator="lessThan">
      <formula>0</formula>
    </cfRule>
    <cfRule type="cellIs" dxfId="14990" priority="6046" operator="lessThan">
      <formula>-105575</formula>
    </cfRule>
  </conditionalFormatting>
  <conditionalFormatting sqref="BB179:BB180">
    <cfRule type="cellIs" dxfId="14989" priority="6043" operator="lessThan">
      <formula>0</formula>
    </cfRule>
    <cfRule type="cellIs" dxfId="14988" priority="6044" operator="lessThan">
      <formula>-105575</formula>
    </cfRule>
  </conditionalFormatting>
  <conditionalFormatting sqref="BB179:BB180">
    <cfRule type="cellIs" dxfId="14987" priority="6041" operator="lessThan">
      <formula>0</formula>
    </cfRule>
    <cfRule type="cellIs" dxfId="14986" priority="6042" operator="lessThan">
      <formula>-105575</formula>
    </cfRule>
  </conditionalFormatting>
  <conditionalFormatting sqref="BB183:BB189">
    <cfRule type="cellIs" dxfId="14985" priority="6039" operator="lessThan">
      <formula>0</formula>
    </cfRule>
    <cfRule type="cellIs" dxfId="14984" priority="6040" operator="lessThan">
      <formula>-105575</formula>
    </cfRule>
  </conditionalFormatting>
  <conditionalFormatting sqref="BB183:BB189">
    <cfRule type="cellIs" dxfId="14983" priority="6037" operator="lessThan">
      <formula>0</formula>
    </cfRule>
    <cfRule type="cellIs" dxfId="14982" priority="6038" operator="lessThan">
      <formula>-105575</formula>
    </cfRule>
  </conditionalFormatting>
  <conditionalFormatting sqref="BB183:BB189">
    <cfRule type="cellIs" dxfId="14981" priority="6035" operator="lessThan">
      <formula>0</formula>
    </cfRule>
    <cfRule type="cellIs" dxfId="14980" priority="6036" operator="lessThan">
      <formula>-105575</formula>
    </cfRule>
  </conditionalFormatting>
  <conditionalFormatting sqref="BB191:BB192">
    <cfRule type="cellIs" dxfId="14979" priority="6033" operator="lessThan">
      <formula>0</formula>
    </cfRule>
    <cfRule type="cellIs" dxfId="14978" priority="6034" operator="lessThan">
      <formula>-105575</formula>
    </cfRule>
  </conditionalFormatting>
  <conditionalFormatting sqref="BB191:BB192">
    <cfRule type="cellIs" dxfId="14977" priority="6031" operator="lessThan">
      <formula>0</formula>
    </cfRule>
    <cfRule type="cellIs" dxfId="14976" priority="6032" operator="lessThan">
      <formula>-105575</formula>
    </cfRule>
  </conditionalFormatting>
  <conditionalFormatting sqref="BB191:BB192">
    <cfRule type="cellIs" dxfId="14975" priority="6029" operator="lessThan">
      <formula>0</formula>
    </cfRule>
    <cfRule type="cellIs" dxfId="14974" priority="6030" operator="lessThan">
      <formula>-105575</formula>
    </cfRule>
  </conditionalFormatting>
  <conditionalFormatting sqref="BB194:BB195">
    <cfRule type="cellIs" dxfId="14973" priority="6027" operator="lessThan">
      <formula>0</formula>
    </cfRule>
    <cfRule type="cellIs" dxfId="14972" priority="6028" operator="lessThan">
      <formula>-105575</formula>
    </cfRule>
  </conditionalFormatting>
  <conditionalFormatting sqref="BB194:BB195">
    <cfRule type="cellIs" dxfId="14971" priority="6025" operator="lessThan">
      <formula>0</formula>
    </cfRule>
    <cfRule type="cellIs" dxfId="14970" priority="6026" operator="lessThan">
      <formula>-105575</formula>
    </cfRule>
  </conditionalFormatting>
  <conditionalFormatting sqref="BB194:BB195">
    <cfRule type="cellIs" dxfId="14969" priority="6023" operator="lessThan">
      <formula>0</formula>
    </cfRule>
    <cfRule type="cellIs" dxfId="14968" priority="6024" operator="lessThan">
      <formula>-105575</formula>
    </cfRule>
  </conditionalFormatting>
  <conditionalFormatting sqref="BB199:BB202">
    <cfRule type="cellIs" dxfId="14967" priority="6021" operator="lessThan">
      <formula>0</formula>
    </cfRule>
    <cfRule type="cellIs" dxfId="14966" priority="6022" operator="lessThan">
      <formula>-105575</formula>
    </cfRule>
  </conditionalFormatting>
  <conditionalFormatting sqref="BB199:BB202">
    <cfRule type="cellIs" dxfId="14965" priority="6019" operator="lessThan">
      <formula>0</formula>
    </cfRule>
    <cfRule type="cellIs" dxfId="14964" priority="6020" operator="lessThan">
      <formula>-105575</formula>
    </cfRule>
  </conditionalFormatting>
  <conditionalFormatting sqref="BB199:BB202">
    <cfRule type="cellIs" dxfId="14963" priority="6017" operator="lessThan">
      <formula>0</formula>
    </cfRule>
    <cfRule type="cellIs" dxfId="14962" priority="6018" operator="lessThan">
      <formula>-105575</formula>
    </cfRule>
  </conditionalFormatting>
  <conditionalFormatting sqref="BB204:BB208">
    <cfRule type="cellIs" dxfId="14961" priority="6015" operator="lessThan">
      <formula>0</formula>
    </cfRule>
    <cfRule type="cellIs" dxfId="14960" priority="6016" operator="lessThan">
      <formula>-105575</formula>
    </cfRule>
  </conditionalFormatting>
  <conditionalFormatting sqref="BB204:BB208">
    <cfRule type="cellIs" dxfId="14959" priority="6013" operator="lessThan">
      <formula>0</formula>
    </cfRule>
    <cfRule type="cellIs" dxfId="14958" priority="6014" operator="lessThan">
      <formula>-105575</formula>
    </cfRule>
  </conditionalFormatting>
  <conditionalFormatting sqref="BB204:BB208">
    <cfRule type="cellIs" dxfId="14957" priority="6011" operator="lessThan">
      <formula>0</formula>
    </cfRule>
    <cfRule type="cellIs" dxfId="14956" priority="6012" operator="lessThan">
      <formula>-105575</formula>
    </cfRule>
  </conditionalFormatting>
  <conditionalFormatting sqref="BB210:BB211">
    <cfRule type="cellIs" dxfId="14955" priority="6009" operator="lessThan">
      <formula>0</formula>
    </cfRule>
    <cfRule type="cellIs" dxfId="14954" priority="6010" operator="lessThan">
      <formula>-105575</formula>
    </cfRule>
  </conditionalFormatting>
  <conditionalFormatting sqref="BB210:BB211">
    <cfRule type="cellIs" dxfId="14953" priority="6007" operator="lessThan">
      <formula>0</formula>
    </cfRule>
    <cfRule type="cellIs" dxfId="14952" priority="6008" operator="lessThan">
      <formula>-105575</formula>
    </cfRule>
  </conditionalFormatting>
  <conditionalFormatting sqref="BB210:BB211">
    <cfRule type="cellIs" dxfId="14951" priority="6005" operator="lessThan">
      <formula>0</formula>
    </cfRule>
    <cfRule type="cellIs" dxfId="14950" priority="6006" operator="lessThan">
      <formula>-105575</formula>
    </cfRule>
  </conditionalFormatting>
  <conditionalFormatting sqref="BB214:BB219">
    <cfRule type="cellIs" dxfId="14949" priority="6003" operator="lessThan">
      <formula>0</formula>
    </cfRule>
    <cfRule type="cellIs" dxfId="14948" priority="6004" operator="lessThan">
      <formula>-105575</formula>
    </cfRule>
  </conditionalFormatting>
  <conditionalFormatting sqref="BB214:BB219">
    <cfRule type="cellIs" dxfId="14947" priority="6001" operator="lessThan">
      <formula>0</formula>
    </cfRule>
    <cfRule type="cellIs" dxfId="14946" priority="6002" operator="lessThan">
      <formula>-105575</formula>
    </cfRule>
  </conditionalFormatting>
  <conditionalFormatting sqref="BB214:BB219">
    <cfRule type="cellIs" dxfId="14945" priority="5999" operator="lessThan">
      <formula>0</formula>
    </cfRule>
    <cfRule type="cellIs" dxfId="14944" priority="6000" operator="lessThan">
      <formula>-105575</formula>
    </cfRule>
  </conditionalFormatting>
  <conditionalFormatting sqref="BB222:BB224">
    <cfRule type="cellIs" dxfId="14943" priority="5997" operator="lessThan">
      <formula>0</formula>
    </cfRule>
    <cfRule type="cellIs" dxfId="14942" priority="5998" operator="lessThan">
      <formula>-105575</formula>
    </cfRule>
  </conditionalFormatting>
  <conditionalFormatting sqref="BB222:BB224">
    <cfRule type="cellIs" dxfId="14941" priority="5995" operator="lessThan">
      <formula>0</formula>
    </cfRule>
    <cfRule type="cellIs" dxfId="14940" priority="5996" operator="lessThan">
      <formula>-105575</formula>
    </cfRule>
  </conditionalFormatting>
  <conditionalFormatting sqref="BB222:BB224">
    <cfRule type="cellIs" dxfId="14939" priority="5993" operator="lessThan">
      <formula>0</formula>
    </cfRule>
    <cfRule type="cellIs" dxfId="14938" priority="5994" operator="lessThan">
      <formula>-105575</formula>
    </cfRule>
  </conditionalFormatting>
  <conditionalFormatting sqref="BB227:BB230">
    <cfRule type="cellIs" dxfId="14937" priority="5991" operator="lessThan">
      <formula>0</formula>
    </cfRule>
    <cfRule type="cellIs" dxfId="14936" priority="5992" operator="lessThan">
      <formula>-105575</formula>
    </cfRule>
  </conditionalFormatting>
  <conditionalFormatting sqref="BB227:BB230">
    <cfRule type="cellIs" dxfId="14935" priority="5989" operator="lessThan">
      <formula>0</formula>
    </cfRule>
    <cfRule type="cellIs" dxfId="14934" priority="5990" operator="lessThan">
      <formula>-105575</formula>
    </cfRule>
  </conditionalFormatting>
  <conditionalFormatting sqref="BB227:BB230">
    <cfRule type="cellIs" dxfId="14933" priority="5987" operator="lessThan">
      <formula>0</formula>
    </cfRule>
    <cfRule type="cellIs" dxfId="14932" priority="5988" operator="lessThan">
      <formula>-105575</formula>
    </cfRule>
  </conditionalFormatting>
  <conditionalFormatting sqref="BB246:BB249">
    <cfRule type="cellIs" dxfId="14931" priority="5985" operator="lessThan">
      <formula>0</formula>
    </cfRule>
    <cfRule type="cellIs" dxfId="14930" priority="5986" operator="lessThan">
      <formula>-105575</formula>
    </cfRule>
  </conditionalFormatting>
  <conditionalFormatting sqref="BB246:BB249">
    <cfRule type="cellIs" dxfId="14929" priority="5983" operator="lessThan">
      <formula>0</formula>
    </cfRule>
    <cfRule type="cellIs" dxfId="14928" priority="5984" operator="lessThan">
      <formula>-105575</formula>
    </cfRule>
  </conditionalFormatting>
  <conditionalFormatting sqref="BB246:BB249">
    <cfRule type="cellIs" dxfId="14927" priority="5981" operator="lessThan">
      <formula>0</formula>
    </cfRule>
    <cfRule type="cellIs" dxfId="14926" priority="5982" operator="lessThan">
      <formula>-105575</formula>
    </cfRule>
  </conditionalFormatting>
  <conditionalFormatting sqref="BB246:BB249">
    <cfRule type="cellIs" dxfId="14925" priority="5979" operator="lessThan">
      <formula>0</formula>
    </cfRule>
    <cfRule type="cellIs" dxfId="14924" priority="5980" operator="lessThan">
      <formula>-105575</formula>
    </cfRule>
  </conditionalFormatting>
  <conditionalFormatting sqref="BB246:BB249">
    <cfRule type="cellIs" dxfId="14923" priority="5977" operator="lessThan">
      <formula>0</formula>
    </cfRule>
    <cfRule type="cellIs" dxfId="14922" priority="5978" operator="lessThan">
      <formula>-105575</formula>
    </cfRule>
  </conditionalFormatting>
  <conditionalFormatting sqref="BB246:BB249">
    <cfRule type="cellIs" dxfId="14921" priority="5975" operator="lessThan">
      <formula>0</formula>
    </cfRule>
    <cfRule type="cellIs" dxfId="14920" priority="5976" operator="lessThan">
      <formula>-105575</formula>
    </cfRule>
  </conditionalFormatting>
  <conditionalFormatting sqref="BB246:BB249">
    <cfRule type="cellIs" dxfId="14919" priority="5973" operator="lessThan">
      <formula>0</formula>
    </cfRule>
    <cfRule type="cellIs" dxfId="14918" priority="5974" operator="lessThan">
      <formula>-105575</formula>
    </cfRule>
  </conditionalFormatting>
  <conditionalFormatting sqref="BB246:BB249">
    <cfRule type="cellIs" dxfId="14917" priority="5971" operator="lessThan">
      <formula>0</formula>
    </cfRule>
    <cfRule type="cellIs" dxfId="14916" priority="5972" operator="lessThan">
      <formula>-105575</formula>
    </cfRule>
  </conditionalFormatting>
  <conditionalFormatting sqref="BB246:BB249">
    <cfRule type="cellIs" dxfId="14915" priority="5969" operator="lessThan">
      <formula>0</formula>
    </cfRule>
    <cfRule type="cellIs" dxfId="14914" priority="5970" operator="lessThan">
      <formula>-105575</formula>
    </cfRule>
  </conditionalFormatting>
  <conditionalFormatting sqref="BB251:BB253">
    <cfRule type="cellIs" dxfId="14913" priority="5967" operator="lessThan">
      <formula>0</formula>
    </cfRule>
    <cfRule type="cellIs" dxfId="14912" priority="5968" operator="lessThan">
      <formula>-105575</formula>
    </cfRule>
  </conditionalFormatting>
  <conditionalFormatting sqref="BB251:BB253">
    <cfRule type="cellIs" dxfId="14911" priority="5965" operator="lessThan">
      <formula>0</formula>
    </cfRule>
    <cfRule type="cellIs" dxfId="14910" priority="5966" operator="lessThan">
      <formula>-105575</formula>
    </cfRule>
  </conditionalFormatting>
  <conditionalFormatting sqref="BB251:BB253">
    <cfRule type="cellIs" dxfId="14909" priority="5963" operator="lessThan">
      <formula>0</formula>
    </cfRule>
    <cfRule type="cellIs" dxfId="14908" priority="5964" operator="lessThan">
      <formula>-105575</formula>
    </cfRule>
  </conditionalFormatting>
  <conditionalFormatting sqref="BB251:BB253">
    <cfRule type="cellIs" dxfId="14907" priority="5961" operator="lessThan">
      <formula>0</formula>
    </cfRule>
    <cfRule type="cellIs" dxfId="14906" priority="5962" operator="lessThan">
      <formula>-105575</formula>
    </cfRule>
  </conditionalFormatting>
  <conditionalFormatting sqref="BB251:BB253">
    <cfRule type="cellIs" dxfId="14905" priority="5959" operator="lessThan">
      <formula>0</formula>
    </cfRule>
    <cfRule type="cellIs" dxfId="14904" priority="5960" operator="lessThan">
      <formula>-105575</formula>
    </cfRule>
  </conditionalFormatting>
  <conditionalFormatting sqref="BB251:BB253">
    <cfRule type="cellIs" dxfId="14903" priority="5957" operator="lessThan">
      <formula>0</formula>
    </cfRule>
    <cfRule type="cellIs" dxfId="14902" priority="5958" operator="lessThan">
      <formula>-105575</formula>
    </cfRule>
  </conditionalFormatting>
  <conditionalFormatting sqref="BB251:BB253">
    <cfRule type="cellIs" dxfId="14901" priority="5955" operator="lessThan">
      <formula>0</formula>
    </cfRule>
    <cfRule type="cellIs" dxfId="14900" priority="5956" operator="lessThan">
      <formula>-105575</formula>
    </cfRule>
  </conditionalFormatting>
  <conditionalFormatting sqref="BB251:BB253">
    <cfRule type="cellIs" dxfId="14899" priority="5953" operator="lessThan">
      <formula>0</formula>
    </cfRule>
    <cfRule type="cellIs" dxfId="14898" priority="5954" operator="lessThan">
      <formula>-105575</formula>
    </cfRule>
  </conditionalFormatting>
  <conditionalFormatting sqref="BB251:BB253">
    <cfRule type="cellIs" dxfId="14897" priority="5951" operator="lessThan">
      <formula>0</formula>
    </cfRule>
    <cfRule type="cellIs" dxfId="14896" priority="5952" operator="lessThan">
      <formula>-105575</formula>
    </cfRule>
  </conditionalFormatting>
  <conditionalFormatting sqref="BB255:BB257">
    <cfRule type="cellIs" dxfId="14895" priority="5949" operator="lessThan">
      <formula>0</formula>
    </cfRule>
    <cfRule type="cellIs" dxfId="14894" priority="5950" operator="lessThan">
      <formula>-105575</formula>
    </cfRule>
  </conditionalFormatting>
  <conditionalFormatting sqref="BB255:BB257">
    <cfRule type="cellIs" dxfId="14893" priority="5947" operator="lessThan">
      <formula>0</formula>
    </cfRule>
    <cfRule type="cellIs" dxfId="14892" priority="5948" operator="lessThan">
      <formula>-105575</formula>
    </cfRule>
  </conditionalFormatting>
  <conditionalFormatting sqref="BB255:BB257">
    <cfRule type="cellIs" dxfId="14891" priority="5945" operator="lessThan">
      <formula>0</formula>
    </cfRule>
    <cfRule type="cellIs" dxfId="14890" priority="5946" operator="lessThan">
      <formula>-105575</formula>
    </cfRule>
  </conditionalFormatting>
  <conditionalFormatting sqref="BB255:BB257">
    <cfRule type="cellIs" dxfId="14889" priority="5943" operator="lessThan">
      <formula>0</formula>
    </cfRule>
    <cfRule type="cellIs" dxfId="14888" priority="5944" operator="lessThan">
      <formula>-105575</formula>
    </cfRule>
  </conditionalFormatting>
  <conditionalFormatting sqref="BB255:BB257">
    <cfRule type="cellIs" dxfId="14887" priority="5941" operator="lessThan">
      <formula>0</formula>
    </cfRule>
    <cfRule type="cellIs" dxfId="14886" priority="5942" operator="lessThan">
      <formula>-105575</formula>
    </cfRule>
  </conditionalFormatting>
  <conditionalFormatting sqref="BB255:BB257">
    <cfRule type="cellIs" dxfId="14885" priority="5939" operator="lessThan">
      <formula>0</formula>
    </cfRule>
    <cfRule type="cellIs" dxfId="14884" priority="5940" operator="lessThan">
      <formula>-105575</formula>
    </cfRule>
  </conditionalFormatting>
  <conditionalFormatting sqref="BB255:BB257">
    <cfRule type="cellIs" dxfId="14883" priority="5937" operator="lessThan">
      <formula>0</formula>
    </cfRule>
    <cfRule type="cellIs" dxfId="14882" priority="5938" operator="lessThan">
      <formula>-105575</formula>
    </cfRule>
  </conditionalFormatting>
  <conditionalFormatting sqref="BB255:BB257">
    <cfRule type="cellIs" dxfId="14881" priority="5935" operator="lessThan">
      <formula>0</formula>
    </cfRule>
    <cfRule type="cellIs" dxfId="14880" priority="5936" operator="lessThan">
      <formula>-105575</formula>
    </cfRule>
  </conditionalFormatting>
  <conditionalFormatting sqref="BB255:BB257">
    <cfRule type="cellIs" dxfId="14879" priority="5933" operator="lessThan">
      <formula>0</formula>
    </cfRule>
    <cfRule type="cellIs" dxfId="14878" priority="5934" operator="lessThan">
      <formula>-105575</formula>
    </cfRule>
  </conditionalFormatting>
  <conditionalFormatting sqref="BB260:BB262">
    <cfRule type="cellIs" dxfId="14877" priority="5931" operator="lessThan">
      <formula>0</formula>
    </cfRule>
    <cfRule type="cellIs" dxfId="14876" priority="5932" operator="lessThan">
      <formula>-105575</formula>
    </cfRule>
  </conditionalFormatting>
  <conditionalFormatting sqref="BB260:BB262">
    <cfRule type="cellIs" dxfId="14875" priority="5929" operator="lessThan">
      <formula>0</formula>
    </cfRule>
    <cfRule type="cellIs" dxfId="14874" priority="5930" operator="lessThan">
      <formula>-105575</formula>
    </cfRule>
  </conditionalFormatting>
  <conditionalFormatting sqref="BB260:BB262">
    <cfRule type="cellIs" dxfId="14873" priority="5927" operator="lessThan">
      <formula>0</formula>
    </cfRule>
    <cfRule type="cellIs" dxfId="14872" priority="5928" operator="lessThan">
      <formula>-105575</formula>
    </cfRule>
  </conditionalFormatting>
  <conditionalFormatting sqref="BB260:BB262">
    <cfRule type="cellIs" dxfId="14871" priority="5925" operator="lessThan">
      <formula>0</formula>
    </cfRule>
    <cfRule type="cellIs" dxfId="14870" priority="5926" operator="lessThan">
      <formula>-105575</formula>
    </cfRule>
  </conditionalFormatting>
  <conditionalFormatting sqref="BB260:BB262">
    <cfRule type="cellIs" dxfId="14869" priority="5923" operator="lessThan">
      <formula>0</formula>
    </cfRule>
    <cfRule type="cellIs" dxfId="14868" priority="5924" operator="lessThan">
      <formula>-105575</formula>
    </cfRule>
  </conditionalFormatting>
  <conditionalFormatting sqref="BB260:BB262">
    <cfRule type="cellIs" dxfId="14867" priority="5921" operator="lessThan">
      <formula>0</formula>
    </cfRule>
    <cfRule type="cellIs" dxfId="14866" priority="5922" operator="lessThan">
      <formula>-105575</formula>
    </cfRule>
  </conditionalFormatting>
  <conditionalFormatting sqref="BB260:BB262">
    <cfRule type="cellIs" dxfId="14865" priority="5919" operator="lessThan">
      <formula>0</formula>
    </cfRule>
    <cfRule type="cellIs" dxfId="14864" priority="5920" operator="lessThan">
      <formula>-105575</formula>
    </cfRule>
  </conditionalFormatting>
  <conditionalFormatting sqref="BB260:BB262">
    <cfRule type="cellIs" dxfId="14863" priority="5917" operator="lessThan">
      <formula>0</formula>
    </cfRule>
    <cfRule type="cellIs" dxfId="14862" priority="5918" operator="lessThan">
      <formula>-105575</formula>
    </cfRule>
  </conditionalFormatting>
  <conditionalFormatting sqref="BB260:BB262">
    <cfRule type="cellIs" dxfId="14861" priority="5915" operator="lessThan">
      <formula>0</formula>
    </cfRule>
    <cfRule type="cellIs" dxfId="14860" priority="5916" operator="lessThan">
      <formula>-105575</formula>
    </cfRule>
  </conditionalFormatting>
  <conditionalFormatting sqref="BB264:BB267">
    <cfRule type="cellIs" dxfId="14859" priority="5913" operator="lessThan">
      <formula>0</formula>
    </cfRule>
    <cfRule type="cellIs" dxfId="14858" priority="5914" operator="lessThan">
      <formula>-105575</formula>
    </cfRule>
  </conditionalFormatting>
  <conditionalFormatting sqref="BB264:BB267">
    <cfRule type="cellIs" dxfId="14857" priority="5911" operator="lessThan">
      <formula>0</formula>
    </cfRule>
    <cfRule type="cellIs" dxfId="14856" priority="5912" operator="lessThan">
      <formula>-105575</formula>
    </cfRule>
  </conditionalFormatting>
  <conditionalFormatting sqref="BB264:BB267">
    <cfRule type="cellIs" dxfId="14855" priority="5909" operator="lessThan">
      <formula>0</formula>
    </cfRule>
    <cfRule type="cellIs" dxfId="14854" priority="5910" operator="lessThan">
      <formula>-105575</formula>
    </cfRule>
  </conditionalFormatting>
  <conditionalFormatting sqref="BB264:BB267">
    <cfRule type="cellIs" dxfId="14853" priority="5907" operator="lessThan">
      <formula>0</formula>
    </cfRule>
    <cfRule type="cellIs" dxfId="14852" priority="5908" operator="lessThan">
      <formula>-105575</formula>
    </cfRule>
  </conditionalFormatting>
  <conditionalFormatting sqref="BB264:BB267">
    <cfRule type="cellIs" dxfId="14851" priority="5905" operator="lessThan">
      <formula>0</formula>
    </cfRule>
    <cfRule type="cellIs" dxfId="14850" priority="5906" operator="lessThan">
      <formula>-105575</formula>
    </cfRule>
  </conditionalFormatting>
  <conditionalFormatting sqref="BB264:BB267">
    <cfRule type="cellIs" dxfId="14849" priority="5903" operator="lessThan">
      <formula>0</formula>
    </cfRule>
    <cfRule type="cellIs" dxfId="14848" priority="5904" operator="lessThan">
      <formula>-105575</formula>
    </cfRule>
  </conditionalFormatting>
  <conditionalFormatting sqref="BB264:BB267">
    <cfRule type="cellIs" dxfId="14847" priority="5901" operator="lessThan">
      <formula>0</formula>
    </cfRule>
    <cfRule type="cellIs" dxfId="14846" priority="5902" operator="lessThan">
      <formula>-105575</formula>
    </cfRule>
  </conditionalFormatting>
  <conditionalFormatting sqref="BB264:BB267">
    <cfRule type="cellIs" dxfId="14845" priority="5899" operator="lessThan">
      <formula>0</formula>
    </cfRule>
    <cfRule type="cellIs" dxfId="14844" priority="5900" operator="lessThan">
      <formula>-105575</formula>
    </cfRule>
  </conditionalFormatting>
  <conditionalFormatting sqref="BB264:BB267">
    <cfRule type="cellIs" dxfId="14843" priority="5897" operator="lessThan">
      <formula>0</formula>
    </cfRule>
    <cfRule type="cellIs" dxfId="14842" priority="5898" operator="lessThan">
      <formula>-105575</formula>
    </cfRule>
  </conditionalFormatting>
  <conditionalFormatting sqref="BB270:BB272">
    <cfRule type="cellIs" dxfId="14841" priority="5895" operator="lessThan">
      <formula>0</formula>
    </cfRule>
    <cfRule type="cellIs" dxfId="14840" priority="5896" operator="lessThan">
      <formula>-105575</formula>
    </cfRule>
  </conditionalFormatting>
  <conditionalFormatting sqref="BB270:BB272">
    <cfRule type="cellIs" dxfId="14839" priority="5893" operator="lessThan">
      <formula>0</formula>
    </cfRule>
    <cfRule type="cellIs" dxfId="14838" priority="5894" operator="lessThan">
      <formula>-105575</formula>
    </cfRule>
  </conditionalFormatting>
  <conditionalFormatting sqref="BB270:BB272">
    <cfRule type="cellIs" dxfId="14837" priority="5891" operator="lessThan">
      <formula>0</formula>
    </cfRule>
    <cfRule type="cellIs" dxfId="14836" priority="5892" operator="lessThan">
      <formula>-105575</formula>
    </cfRule>
  </conditionalFormatting>
  <conditionalFormatting sqref="BB270:BB272">
    <cfRule type="cellIs" dxfId="14835" priority="5889" operator="lessThan">
      <formula>0</formula>
    </cfRule>
    <cfRule type="cellIs" dxfId="14834" priority="5890" operator="lessThan">
      <formula>-105575</formula>
    </cfRule>
  </conditionalFormatting>
  <conditionalFormatting sqref="BB270:BB272">
    <cfRule type="cellIs" dxfId="14833" priority="5887" operator="lessThan">
      <formula>0</formula>
    </cfRule>
    <cfRule type="cellIs" dxfId="14832" priority="5888" operator="lessThan">
      <formula>-105575</formula>
    </cfRule>
  </conditionalFormatting>
  <conditionalFormatting sqref="BB270:BB272">
    <cfRule type="cellIs" dxfId="14831" priority="5885" operator="lessThan">
      <formula>0</formula>
    </cfRule>
    <cfRule type="cellIs" dxfId="14830" priority="5886" operator="lessThan">
      <formula>-105575</formula>
    </cfRule>
  </conditionalFormatting>
  <conditionalFormatting sqref="BB270:BB272">
    <cfRule type="cellIs" dxfId="14829" priority="5883" operator="lessThan">
      <formula>0</formula>
    </cfRule>
    <cfRule type="cellIs" dxfId="14828" priority="5884" operator="lessThan">
      <formula>-105575</formula>
    </cfRule>
  </conditionalFormatting>
  <conditionalFormatting sqref="BB270:BB272">
    <cfRule type="cellIs" dxfId="14827" priority="5881" operator="lessThan">
      <formula>0</formula>
    </cfRule>
    <cfRule type="cellIs" dxfId="14826" priority="5882" operator="lessThan">
      <formula>-105575</formula>
    </cfRule>
  </conditionalFormatting>
  <conditionalFormatting sqref="BB270:BB272">
    <cfRule type="cellIs" dxfId="14825" priority="5879" operator="lessThan">
      <formula>0</formula>
    </cfRule>
    <cfRule type="cellIs" dxfId="14824" priority="5880" operator="lessThan">
      <formula>-105575</formula>
    </cfRule>
  </conditionalFormatting>
  <conditionalFormatting sqref="BB274:BB275">
    <cfRule type="cellIs" dxfId="14823" priority="5877" operator="lessThan">
      <formula>0</formula>
    </cfRule>
    <cfRule type="cellIs" dxfId="14822" priority="5878" operator="lessThan">
      <formula>-105575</formula>
    </cfRule>
  </conditionalFormatting>
  <conditionalFormatting sqref="BB274:BB275">
    <cfRule type="cellIs" dxfId="14821" priority="5875" operator="lessThan">
      <formula>0</formula>
    </cfRule>
    <cfRule type="cellIs" dxfId="14820" priority="5876" operator="lessThan">
      <formula>-105575</formula>
    </cfRule>
  </conditionalFormatting>
  <conditionalFormatting sqref="BB274:BB275">
    <cfRule type="cellIs" dxfId="14819" priority="5873" operator="lessThan">
      <formula>0</formula>
    </cfRule>
    <cfRule type="cellIs" dxfId="14818" priority="5874" operator="lessThan">
      <formula>-105575</formula>
    </cfRule>
  </conditionalFormatting>
  <conditionalFormatting sqref="BB274:BB275">
    <cfRule type="cellIs" dxfId="14817" priority="5871" operator="lessThan">
      <formula>0</formula>
    </cfRule>
    <cfRule type="cellIs" dxfId="14816" priority="5872" operator="lessThan">
      <formula>-105575</formula>
    </cfRule>
  </conditionalFormatting>
  <conditionalFormatting sqref="BB274:BB275">
    <cfRule type="cellIs" dxfId="14815" priority="5869" operator="lessThan">
      <formula>0</formula>
    </cfRule>
    <cfRule type="cellIs" dxfId="14814" priority="5870" operator="lessThan">
      <formula>-105575</formula>
    </cfRule>
  </conditionalFormatting>
  <conditionalFormatting sqref="BB274:BB275">
    <cfRule type="cellIs" dxfId="14813" priority="5867" operator="lessThan">
      <formula>0</formula>
    </cfRule>
    <cfRule type="cellIs" dxfId="14812" priority="5868" operator="lessThan">
      <formula>-105575</formula>
    </cfRule>
  </conditionalFormatting>
  <conditionalFormatting sqref="BB274:BB275">
    <cfRule type="cellIs" dxfId="14811" priority="5865" operator="lessThan">
      <formula>0</formula>
    </cfRule>
    <cfRule type="cellIs" dxfId="14810" priority="5866" operator="lessThan">
      <formula>-105575</formula>
    </cfRule>
  </conditionalFormatting>
  <conditionalFormatting sqref="BB274:BB275">
    <cfRule type="cellIs" dxfId="14809" priority="5863" operator="lessThan">
      <formula>0</formula>
    </cfRule>
    <cfRule type="cellIs" dxfId="14808" priority="5864" operator="lessThan">
      <formula>-105575</formula>
    </cfRule>
  </conditionalFormatting>
  <conditionalFormatting sqref="BB274:BB275">
    <cfRule type="cellIs" dxfId="14807" priority="5861" operator="lessThan">
      <formula>0</formula>
    </cfRule>
    <cfRule type="cellIs" dxfId="14806" priority="5862" operator="lessThan">
      <formula>-105575</formula>
    </cfRule>
  </conditionalFormatting>
  <conditionalFormatting sqref="BB278:BB282">
    <cfRule type="cellIs" dxfId="14805" priority="5859" operator="lessThan">
      <formula>0</formula>
    </cfRule>
    <cfRule type="cellIs" dxfId="14804" priority="5860" operator="lessThan">
      <formula>-105575</formula>
    </cfRule>
  </conditionalFormatting>
  <conditionalFormatting sqref="BB278:BB282">
    <cfRule type="cellIs" dxfId="14803" priority="5857" operator="lessThan">
      <formula>0</formula>
    </cfRule>
    <cfRule type="cellIs" dxfId="14802" priority="5858" operator="lessThan">
      <formula>-105575</formula>
    </cfRule>
  </conditionalFormatting>
  <conditionalFormatting sqref="BB278:BB282">
    <cfRule type="cellIs" dxfId="14801" priority="5855" operator="lessThan">
      <formula>0</formula>
    </cfRule>
    <cfRule type="cellIs" dxfId="14800" priority="5856" operator="lessThan">
      <formula>-105575</formula>
    </cfRule>
  </conditionalFormatting>
  <conditionalFormatting sqref="BB278:BB282">
    <cfRule type="cellIs" dxfId="14799" priority="5853" operator="lessThan">
      <formula>0</formula>
    </cfRule>
    <cfRule type="cellIs" dxfId="14798" priority="5854" operator="lessThan">
      <formula>-105575</formula>
    </cfRule>
  </conditionalFormatting>
  <conditionalFormatting sqref="BB278:BB282">
    <cfRule type="cellIs" dxfId="14797" priority="5851" operator="lessThan">
      <formula>0</formula>
    </cfRule>
    <cfRule type="cellIs" dxfId="14796" priority="5852" operator="lessThan">
      <formula>-105575</formula>
    </cfRule>
  </conditionalFormatting>
  <conditionalFormatting sqref="BB278:BB282">
    <cfRule type="cellIs" dxfId="14795" priority="5849" operator="lessThan">
      <formula>0</formula>
    </cfRule>
    <cfRule type="cellIs" dxfId="14794" priority="5850" operator="lessThan">
      <formula>-105575</formula>
    </cfRule>
  </conditionalFormatting>
  <conditionalFormatting sqref="BB278:BB282">
    <cfRule type="cellIs" dxfId="14793" priority="5847" operator="lessThan">
      <formula>0</formula>
    </cfRule>
    <cfRule type="cellIs" dxfId="14792" priority="5848" operator="lessThan">
      <formula>-105575</formula>
    </cfRule>
  </conditionalFormatting>
  <conditionalFormatting sqref="BB278:BB282">
    <cfRule type="cellIs" dxfId="14791" priority="5845" operator="lessThan">
      <formula>0</formula>
    </cfRule>
    <cfRule type="cellIs" dxfId="14790" priority="5846" operator="lessThan">
      <formula>-105575</formula>
    </cfRule>
  </conditionalFormatting>
  <conditionalFormatting sqref="BB278:BB282">
    <cfRule type="cellIs" dxfId="14789" priority="5843" operator="lessThan">
      <formula>0</formula>
    </cfRule>
    <cfRule type="cellIs" dxfId="14788" priority="5844" operator="lessThan">
      <formula>-105575</formula>
    </cfRule>
  </conditionalFormatting>
  <conditionalFormatting sqref="BB285:BB288">
    <cfRule type="cellIs" dxfId="14787" priority="5841" operator="lessThan">
      <formula>0</formula>
    </cfRule>
    <cfRule type="cellIs" dxfId="14786" priority="5842" operator="lessThan">
      <formula>-105575</formula>
    </cfRule>
  </conditionalFormatting>
  <conditionalFormatting sqref="BB285:BB288">
    <cfRule type="cellIs" dxfId="14785" priority="5839" operator="lessThan">
      <formula>0</formula>
    </cfRule>
    <cfRule type="cellIs" dxfId="14784" priority="5840" operator="lessThan">
      <formula>-105575</formula>
    </cfRule>
  </conditionalFormatting>
  <conditionalFormatting sqref="BB285:BB288">
    <cfRule type="cellIs" dxfId="14783" priority="5837" operator="lessThan">
      <formula>0</formula>
    </cfRule>
    <cfRule type="cellIs" dxfId="14782" priority="5838" operator="lessThan">
      <formula>-105575</formula>
    </cfRule>
  </conditionalFormatting>
  <conditionalFormatting sqref="BB285:BB288">
    <cfRule type="cellIs" dxfId="14781" priority="5835" operator="lessThan">
      <formula>0</formula>
    </cfRule>
    <cfRule type="cellIs" dxfId="14780" priority="5836" operator="lessThan">
      <formula>-105575</formula>
    </cfRule>
  </conditionalFormatting>
  <conditionalFormatting sqref="BB285:BB288">
    <cfRule type="cellIs" dxfId="14779" priority="5833" operator="lessThan">
      <formula>0</formula>
    </cfRule>
    <cfRule type="cellIs" dxfId="14778" priority="5834" operator="lessThan">
      <formula>-105575</formula>
    </cfRule>
  </conditionalFormatting>
  <conditionalFormatting sqref="BB285:BB288">
    <cfRule type="cellIs" dxfId="14777" priority="5831" operator="lessThan">
      <formula>0</formula>
    </cfRule>
    <cfRule type="cellIs" dxfId="14776" priority="5832" operator="lessThan">
      <formula>-105575</formula>
    </cfRule>
  </conditionalFormatting>
  <conditionalFormatting sqref="BB285:BB288">
    <cfRule type="cellIs" dxfId="14775" priority="5829" operator="lessThan">
      <formula>0</formula>
    </cfRule>
    <cfRule type="cellIs" dxfId="14774" priority="5830" operator="lessThan">
      <formula>-105575</formula>
    </cfRule>
  </conditionalFormatting>
  <conditionalFormatting sqref="BB285:BB288">
    <cfRule type="cellIs" dxfId="14773" priority="5827" operator="lessThan">
      <formula>0</formula>
    </cfRule>
    <cfRule type="cellIs" dxfId="14772" priority="5828" operator="lessThan">
      <formula>-105575</formula>
    </cfRule>
  </conditionalFormatting>
  <conditionalFormatting sqref="BB285:BB288">
    <cfRule type="cellIs" dxfId="14771" priority="5825" operator="lessThan">
      <formula>0</formula>
    </cfRule>
    <cfRule type="cellIs" dxfId="14770" priority="5826" operator="lessThan">
      <formula>-105575</formula>
    </cfRule>
  </conditionalFormatting>
  <conditionalFormatting sqref="BB203 BB220:BB221 BB235:BB243 BB231:BB233 BB212:BB213 BB225:BB226">
    <cfRule type="cellIs" dxfId="14769" priority="5823" operator="lessThan">
      <formula>0</formula>
    </cfRule>
    <cfRule type="cellIs" dxfId="14768" priority="5824" operator="lessThan">
      <formula>-105575</formula>
    </cfRule>
  </conditionalFormatting>
  <conditionalFormatting sqref="BB220 BB212:BB213 BB235:BB238 BB240:BB243 BB225:BB226 BB231:BB233">
    <cfRule type="cellIs" dxfId="14767" priority="5821" operator="lessThan">
      <formula>0</formula>
    </cfRule>
    <cfRule type="cellIs" dxfId="14766" priority="5822" operator="lessThan">
      <formula>-105575</formula>
    </cfRule>
  </conditionalFormatting>
  <conditionalFormatting sqref="BB220:BB221 BB243 BB226 BB231:BB236 BB238:BB241 BB203 BB213">
    <cfRule type="cellIs" dxfId="14765" priority="5819" operator="lessThan">
      <formula>0</formula>
    </cfRule>
    <cfRule type="cellIs" dxfId="14764" priority="5820" operator="lessThan">
      <formula>-105575</formula>
    </cfRule>
  </conditionalFormatting>
  <conditionalFormatting sqref="BB235:BB243 BB231:BB233 BB220 BB212:BB213 BB225:BB226">
    <cfRule type="cellIs" dxfId="14763" priority="5817" operator="lessThan">
      <formula>0</formula>
    </cfRule>
    <cfRule type="cellIs" dxfId="14762" priority="5818" operator="lessThan">
      <formula>-105575</formula>
    </cfRule>
  </conditionalFormatting>
  <conditionalFormatting sqref="BB220:BB221 BB237:BB243 BB203 BB231:BB235 BB212:BB213 BB225:BB226">
    <cfRule type="cellIs" dxfId="14761" priority="5815" operator="lessThan">
      <formula>0</formula>
    </cfRule>
    <cfRule type="cellIs" dxfId="14760" priority="5816" operator="lessThan">
      <formula>-105575</formula>
    </cfRule>
  </conditionalFormatting>
  <conditionalFormatting sqref="BB220:BB221 BB237:BB240 BB242:BB243 BB225:BB226 BB231:BB235">
    <cfRule type="cellIs" dxfId="14759" priority="5813" operator="lessThan">
      <formula>0</formula>
    </cfRule>
    <cfRule type="cellIs" dxfId="14758" priority="5814" operator="lessThan">
      <formula>-105575</formula>
    </cfRule>
  </conditionalFormatting>
  <conditionalFormatting sqref="BB212 BB231 BB233:BB238 BB240:BB243 BB225">
    <cfRule type="cellIs" dxfId="14757" priority="5811" operator="lessThan">
      <formula>0</formula>
    </cfRule>
    <cfRule type="cellIs" dxfId="14756" priority="5812" operator="lessThan">
      <formula>-105575</formula>
    </cfRule>
  </conditionalFormatting>
  <conditionalFormatting sqref="BB237:BB243 BB231:BB235 BB220:BB221 BB225:BB226">
    <cfRule type="cellIs" dxfId="14755" priority="5809" operator="lessThan">
      <formula>0</formula>
    </cfRule>
    <cfRule type="cellIs" dxfId="14754" priority="5810" operator="lessThan">
      <formula>-105575</formula>
    </cfRule>
  </conditionalFormatting>
  <conditionalFormatting sqref="BB233:BB237 BB231 BB239:BB243">
    <cfRule type="cellIs" dxfId="14753" priority="5807" operator="lessThan">
      <formula>0</formula>
    </cfRule>
    <cfRule type="cellIs" dxfId="14752" priority="5808" operator="lessThan">
      <formula>-105575</formula>
    </cfRule>
  </conditionalFormatting>
  <conditionalFormatting sqref="BB233:BB237 BB231 BB239:BB243">
    <cfRule type="cellIs" dxfId="14751" priority="5805" operator="lessThan">
      <formula>0</formula>
    </cfRule>
    <cfRule type="cellIs" dxfId="14750" priority="5806" operator="lessThan">
      <formula>-105575</formula>
    </cfRule>
  </conditionalFormatting>
  <conditionalFormatting sqref="BB119:BB128 BB106:BB117 BB101:BB104 BB80:BB98">
    <cfRule type="cellIs" dxfId="14749" priority="5803" operator="lessThan">
      <formula>0</formula>
    </cfRule>
    <cfRule type="cellIs" dxfId="14748" priority="5804" operator="lessThan">
      <formula>-105575</formula>
    </cfRule>
  </conditionalFormatting>
  <conditionalFormatting sqref="BB130 BB132 BB134">
    <cfRule type="cellIs" dxfId="14747" priority="5801" operator="lessThan">
      <formula>0</formula>
    </cfRule>
    <cfRule type="cellIs" dxfId="14746" priority="5802" operator="lessThan">
      <formula>-105575</formula>
    </cfRule>
  </conditionalFormatting>
  <conditionalFormatting sqref="BB130 BB132 BB134">
    <cfRule type="cellIs" dxfId="14745" priority="5799" operator="lessThan">
      <formula>0</formula>
    </cfRule>
    <cfRule type="cellIs" dxfId="14744" priority="5800" operator="lessThan">
      <formula>-105575</formula>
    </cfRule>
  </conditionalFormatting>
  <conditionalFormatting sqref="BB129 BB131 BB133 BB135">
    <cfRule type="cellIs" dxfId="14743" priority="5797" operator="lessThan">
      <formula>0</formula>
    </cfRule>
    <cfRule type="cellIs" dxfId="14742" priority="5798" operator="lessThan">
      <formula>-105575</formula>
    </cfRule>
  </conditionalFormatting>
  <conditionalFormatting sqref="BB140 BB145 BB142:BB143 BB137:BB138">
    <cfRule type="cellIs" dxfId="14741" priority="5795" operator="lessThan">
      <formula>0</formula>
    </cfRule>
    <cfRule type="cellIs" dxfId="14740" priority="5796" operator="lessThan">
      <formula>-105575</formula>
    </cfRule>
  </conditionalFormatting>
  <conditionalFormatting sqref="BB149">
    <cfRule type="cellIs" dxfId="14739" priority="5793" operator="lessThan">
      <formula>0</formula>
    </cfRule>
    <cfRule type="cellIs" dxfId="14738" priority="5794" operator="lessThan">
      <formula>-105575</formula>
    </cfRule>
  </conditionalFormatting>
  <conditionalFormatting sqref="BB129:BB138 BB140:BB149">
    <cfRule type="cellIs" dxfId="14737" priority="5791" operator="lessThan">
      <formula>0</formula>
    </cfRule>
    <cfRule type="cellIs" dxfId="14736" priority="5792" operator="lessThan">
      <formula>-105575</formula>
    </cfRule>
  </conditionalFormatting>
  <conditionalFormatting sqref="BB94:BB98 BB86:BB87 BB89:BB91 BB141:BB149 BB124:BB133 BB107:BB110 BB112:BB117 BB119:BB122 BB135:BB138 BB101:BB104 BB80:BB84">
    <cfRule type="cellIs" dxfId="14735" priority="5789" operator="lessThan">
      <formula>0</formula>
    </cfRule>
    <cfRule type="cellIs" dxfId="14734" priority="5790" operator="lessThan">
      <formula>-105575</formula>
    </cfRule>
  </conditionalFormatting>
  <conditionalFormatting sqref="BB129 BB131 BB133 BB135">
    <cfRule type="cellIs" dxfId="14733" priority="5787" operator="lessThan">
      <formula>0</formula>
    </cfRule>
    <cfRule type="cellIs" dxfId="14732" priority="5788" operator="lessThan">
      <formula>-105575</formula>
    </cfRule>
  </conditionalFormatting>
  <conditionalFormatting sqref="BB146 BB144 BB141">
    <cfRule type="cellIs" dxfId="14731" priority="5785" operator="lessThan">
      <formula>0</formula>
    </cfRule>
    <cfRule type="cellIs" dxfId="14730" priority="5786" operator="lessThan">
      <formula>-105575</formula>
    </cfRule>
  </conditionalFormatting>
  <conditionalFormatting sqref="BB146 BB144 BB141">
    <cfRule type="cellIs" dxfId="14729" priority="5783" operator="lessThan">
      <formula>0</formula>
    </cfRule>
    <cfRule type="cellIs" dxfId="14728" priority="5784" operator="lessThan">
      <formula>-105575</formula>
    </cfRule>
  </conditionalFormatting>
  <conditionalFormatting sqref="BB140 BB145 BB142:BB143 BB137:BB138">
    <cfRule type="cellIs" dxfId="14727" priority="5781" operator="lessThan">
      <formula>0</formula>
    </cfRule>
    <cfRule type="cellIs" dxfId="14726" priority="5782" operator="lessThan">
      <formula>-105575</formula>
    </cfRule>
  </conditionalFormatting>
  <conditionalFormatting sqref="BB149">
    <cfRule type="cellIs" dxfId="14725" priority="5779" operator="lessThan">
      <formula>0</formula>
    </cfRule>
    <cfRule type="cellIs" dxfId="14724" priority="5780" operator="lessThan">
      <formula>-105575</formula>
    </cfRule>
  </conditionalFormatting>
  <conditionalFormatting sqref="BB94:BB98 BB86:BB87 BB89:BB91 BB141:BB149 BB124:BB133 BB107:BB110 BB112:BB117 BB119:BB122 BB135:BB138 BB101:BB104 BB80:BB84">
    <cfRule type="cellIs" dxfId="14723" priority="5777" operator="lessThan">
      <formula>0</formula>
    </cfRule>
    <cfRule type="cellIs" dxfId="14722" priority="5778" operator="lessThan">
      <formula>-105575</formula>
    </cfRule>
  </conditionalFormatting>
  <conditionalFormatting sqref="BB246:BB249 BB262 BB267 BB279:BB282 BB285:BB288 BB274:BB275 BB306:BB309 BB311:BB325 BB327:BB330 BB332:BB341 BB344:BB347 BB349:BB353 BB355:BB358 BB360:BB384 BB386:BB389 BB392:BB395 BB397:BB411 BB413:BB416 BB418:BB432 BB434:BB437 BB439:BB453 BB455:BB458 BB460:BB469 BB7:BB10 BB12:BB14 BB17:BB18 BB21:BB24 BB26:BB28 BB30:BB36 BB38 BB41:BB43 BB46:BB49 BB51:BB55 BB57:BB59 BB62:BB76 BB251:BB253 BB255:BB257 BB293:BB304 BB264:BB265 BB260 BB290:BB291 BB270:BB272">
    <cfRule type="cellIs" dxfId="14721" priority="5775" operator="lessThan">
      <formula>0</formula>
    </cfRule>
    <cfRule type="cellIs" dxfId="14720" priority="5776" operator="lessThan">
      <formula>-105575</formula>
    </cfRule>
  </conditionalFormatting>
  <conditionalFormatting sqref="BB41">
    <cfRule type="cellIs" dxfId="14719" priority="5773" operator="lessThan">
      <formula>0</formula>
    </cfRule>
    <cfRule type="cellIs" dxfId="14718" priority="5774" operator="lessThan">
      <formula>-105575</formula>
    </cfRule>
  </conditionalFormatting>
  <conditionalFormatting sqref="BB152:BB155">
    <cfRule type="cellIs" dxfId="14717" priority="5771" operator="lessThan">
      <formula>0</formula>
    </cfRule>
    <cfRule type="cellIs" dxfId="14716" priority="5772" operator="lessThan">
      <formula>-105575</formula>
    </cfRule>
  </conditionalFormatting>
  <conditionalFormatting sqref="BB152:BB155">
    <cfRule type="cellIs" dxfId="14715" priority="5769" operator="lessThan">
      <formula>0</formula>
    </cfRule>
    <cfRule type="cellIs" dxfId="14714" priority="5770" operator="lessThan">
      <formula>-105575</formula>
    </cfRule>
  </conditionalFormatting>
  <conditionalFormatting sqref="BB152:BB155">
    <cfRule type="cellIs" dxfId="14713" priority="5767" operator="lessThan">
      <formula>0</formula>
    </cfRule>
    <cfRule type="cellIs" dxfId="14712" priority="5768" operator="lessThan">
      <formula>-105575</formula>
    </cfRule>
  </conditionalFormatting>
  <conditionalFormatting sqref="BB157:BB158">
    <cfRule type="cellIs" dxfId="14711" priority="5765" operator="lessThan">
      <formula>0</formula>
    </cfRule>
    <cfRule type="cellIs" dxfId="14710" priority="5766" operator="lessThan">
      <formula>-105575</formula>
    </cfRule>
  </conditionalFormatting>
  <conditionalFormatting sqref="BB157:BB158">
    <cfRule type="cellIs" dxfId="14709" priority="5763" operator="lessThan">
      <formula>0</formula>
    </cfRule>
    <cfRule type="cellIs" dxfId="14708" priority="5764" operator="lessThan">
      <formula>-105575</formula>
    </cfRule>
  </conditionalFormatting>
  <conditionalFormatting sqref="BB157:BB158">
    <cfRule type="cellIs" dxfId="14707" priority="5761" operator="lessThan">
      <formula>0</formula>
    </cfRule>
    <cfRule type="cellIs" dxfId="14706" priority="5762" operator="lessThan">
      <formula>-105575</formula>
    </cfRule>
  </conditionalFormatting>
  <conditionalFormatting sqref="BB160:BB161">
    <cfRule type="cellIs" dxfId="14705" priority="5759" operator="lessThan">
      <formula>0</formula>
    </cfRule>
    <cfRule type="cellIs" dxfId="14704" priority="5760" operator="lessThan">
      <formula>-105575</formula>
    </cfRule>
  </conditionalFormatting>
  <conditionalFormatting sqref="BB160:BB161">
    <cfRule type="cellIs" dxfId="14703" priority="5757" operator="lessThan">
      <formula>0</formula>
    </cfRule>
    <cfRule type="cellIs" dxfId="14702" priority="5758" operator="lessThan">
      <formula>-105575</formula>
    </cfRule>
  </conditionalFormatting>
  <conditionalFormatting sqref="BB160:BB161">
    <cfRule type="cellIs" dxfId="14701" priority="5755" operator="lessThan">
      <formula>0</formula>
    </cfRule>
    <cfRule type="cellIs" dxfId="14700" priority="5756" operator="lessThan">
      <formula>-105575</formula>
    </cfRule>
  </conditionalFormatting>
  <conditionalFormatting sqref="BB164:BB167">
    <cfRule type="cellIs" dxfId="14699" priority="5753" operator="lessThan">
      <formula>0</formula>
    </cfRule>
    <cfRule type="cellIs" dxfId="14698" priority="5754" operator="lessThan">
      <formula>-105575</formula>
    </cfRule>
  </conditionalFormatting>
  <conditionalFormatting sqref="BB164:BB167">
    <cfRule type="cellIs" dxfId="14697" priority="5751" operator="lessThan">
      <formula>0</formula>
    </cfRule>
    <cfRule type="cellIs" dxfId="14696" priority="5752" operator="lessThan">
      <formula>-105575</formula>
    </cfRule>
  </conditionalFormatting>
  <conditionalFormatting sqref="BB164:BB167">
    <cfRule type="cellIs" dxfId="14695" priority="5749" operator="lessThan">
      <formula>0</formula>
    </cfRule>
    <cfRule type="cellIs" dxfId="14694" priority="5750" operator="lessThan">
      <formula>-105575</formula>
    </cfRule>
  </conditionalFormatting>
  <conditionalFormatting sqref="BB169:BB177">
    <cfRule type="cellIs" dxfId="14693" priority="5747" operator="lessThan">
      <formula>0</formula>
    </cfRule>
    <cfRule type="cellIs" dxfId="14692" priority="5748" operator="lessThan">
      <formula>-105575</formula>
    </cfRule>
  </conditionalFormatting>
  <conditionalFormatting sqref="BB169:BB177">
    <cfRule type="cellIs" dxfId="14691" priority="5745" operator="lessThan">
      <formula>0</formula>
    </cfRule>
    <cfRule type="cellIs" dxfId="14690" priority="5746" operator="lessThan">
      <formula>-105575</formula>
    </cfRule>
  </conditionalFormatting>
  <conditionalFormatting sqref="BB169:BB177">
    <cfRule type="cellIs" dxfId="14689" priority="5743" operator="lessThan">
      <formula>0</formula>
    </cfRule>
    <cfRule type="cellIs" dxfId="14688" priority="5744" operator="lessThan">
      <formula>-105575</formula>
    </cfRule>
  </conditionalFormatting>
  <conditionalFormatting sqref="BB179:BB180">
    <cfRule type="cellIs" dxfId="14687" priority="5741" operator="lessThan">
      <formula>0</formula>
    </cfRule>
    <cfRule type="cellIs" dxfId="14686" priority="5742" operator="lessThan">
      <formula>-105575</formula>
    </cfRule>
  </conditionalFormatting>
  <conditionalFormatting sqref="BB179:BB180">
    <cfRule type="cellIs" dxfId="14685" priority="5739" operator="lessThan">
      <formula>0</formula>
    </cfRule>
    <cfRule type="cellIs" dxfId="14684" priority="5740" operator="lessThan">
      <formula>-105575</formula>
    </cfRule>
  </conditionalFormatting>
  <conditionalFormatting sqref="BB179:BB180">
    <cfRule type="cellIs" dxfId="14683" priority="5737" operator="lessThan">
      <formula>0</formula>
    </cfRule>
    <cfRule type="cellIs" dxfId="14682" priority="5738" operator="lessThan">
      <formula>-105575</formula>
    </cfRule>
  </conditionalFormatting>
  <conditionalFormatting sqref="BB183:BB189">
    <cfRule type="cellIs" dxfId="14681" priority="5735" operator="lessThan">
      <formula>0</formula>
    </cfRule>
    <cfRule type="cellIs" dxfId="14680" priority="5736" operator="lessThan">
      <formula>-105575</formula>
    </cfRule>
  </conditionalFormatting>
  <conditionalFormatting sqref="BB183:BB189">
    <cfRule type="cellIs" dxfId="14679" priority="5733" operator="lessThan">
      <formula>0</formula>
    </cfRule>
    <cfRule type="cellIs" dxfId="14678" priority="5734" operator="lessThan">
      <formula>-105575</formula>
    </cfRule>
  </conditionalFormatting>
  <conditionalFormatting sqref="BB183:BB189">
    <cfRule type="cellIs" dxfId="14677" priority="5731" operator="lessThan">
      <formula>0</formula>
    </cfRule>
    <cfRule type="cellIs" dxfId="14676" priority="5732" operator="lessThan">
      <formula>-105575</formula>
    </cfRule>
  </conditionalFormatting>
  <conditionalFormatting sqref="BB191:BB192">
    <cfRule type="cellIs" dxfId="14675" priority="5729" operator="lessThan">
      <formula>0</formula>
    </cfRule>
    <cfRule type="cellIs" dxfId="14674" priority="5730" operator="lessThan">
      <formula>-105575</formula>
    </cfRule>
  </conditionalFormatting>
  <conditionalFormatting sqref="BB191:BB192">
    <cfRule type="cellIs" dxfId="14673" priority="5727" operator="lessThan">
      <formula>0</formula>
    </cfRule>
    <cfRule type="cellIs" dxfId="14672" priority="5728" operator="lessThan">
      <formula>-105575</formula>
    </cfRule>
  </conditionalFormatting>
  <conditionalFormatting sqref="BB191:BB192">
    <cfRule type="cellIs" dxfId="14671" priority="5725" operator="lessThan">
      <formula>0</formula>
    </cfRule>
    <cfRule type="cellIs" dxfId="14670" priority="5726" operator="lessThan">
      <formula>-105575</formula>
    </cfRule>
  </conditionalFormatting>
  <conditionalFormatting sqref="BB194:BB195">
    <cfRule type="cellIs" dxfId="14669" priority="5723" operator="lessThan">
      <formula>0</formula>
    </cfRule>
    <cfRule type="cellIs" dxfId="14668" priority="5724" operator="lessThan">
      <formula>-105575</formula>
    </cfRule>
  </conditionalFormatting>
  <conditionalFormatting sqref="BB194:BB195">
    <cfRule type="cellIs" dxfId="14667" priority="5721" operator="lessThan">
      <formula>0</formula>
    </cfRule>
    <cfRule type="cellIs" dxfId="14666" priority="5722" operator="lessThan">
      <formula>-105575</formula>
    </cfRule>
  </conditionalFormatting>
  <conditionalFormatting sqref="BB194:BB195">
    <cfRule type="cellIs" dxfId="14665" priority="5719" operator="lessThan">
      <formula>0</formula>
    </cfRule>
    <cfRule type="cellIs" dxfId="14664" priority="5720" operator="lessThan">
      <formula>-105575</formula>
    </cfRule>
  </conditionalFormatting>
  <conditionalFormatting sqref="BB199:BB202">
    <cfRule type="cellIs" dxfId="14663" priority="5717" operator="lessThan">
      <formula>0</formula>
    </cfRule>
    <cfRule type="cellIs" dxfId="14662" priority="5718" operator="lessThan">
      <formula>-105575</formula>
    </cfRule>
  </conditionalFormatting>
  <conditionalFormatting sqref="BB199:BB202">
    <cfRule type="cellIs" dxfId="14661" priority="5715" operator="lessThan">
      <formula>0</formula>
    </cfRule>
    <cfRule type="cellIs" dxfId="14660" priority="5716" operator="lessThan">
      <formula>-105575</formula>
    </cfRule>
  </conditionalFormatting>
  <conditionalFormatting sqref="BB199:BB202">
    <cfRule type="cellIs" dxfId="14659" priority="5713" operator="lessThan">
      <formula>0</formula>
    </cfRule>
    <cfRule type="cellIs" dxfId="14658" priority="5714" operator="lessThan">
      <formula>-105575</formula>
    </cfRule>
  </conditionalFormatting>
  <conditionalFormatting sqref="BB204:BB208">
    <cfRule type="cellIs" dxfId="14657" priority="5711" operator="lessThan">
      <formula>0</formula>
    </cfRule>
    <cfRule type="cellIs" dxfId="14656" priority="5712" operator="lessThan">
      <formula>-105575</formula>
    </cfRule>
  </conditionalFormatting>
  <conditionalFormatting sqref="BB204:BB208">
    <cfRule type="cellIs" dxfId="14655" priority="5709" operator="lessThan">
      <formula>0</formula>
    </cfRule>
    <cfRule type="cellIs" dxfId="14654" priority="5710" operator="lessThan">
      <formula>-105575</formula>
    </cfRule>
  </conditionalFormatting>
  <conditionalFormatting sqref="BB204:BB208">
    <cfRule type="cellIs" dxfId="14653" priority="5707" operator="lessThan">
      <formula>0</formula>
    </cfRule>
    <cfRule type="cellIs" dxfId="14652" priority="5708" operator="lessThan">
      <formula>-105575</formula>
    </cfRule>
  </conditionalFormatting>
  <conditionalFormatting sqref="BB210:BB211">
    <cfRule type="cellIs" dxfId="14651" priority="5705" operator="lessThan">
      <formula>0</formula>
    </cfRule>
    <cfRule type="cellIs" dxfId="14650" priority="5706" operator="lessThan">
      <formula>-105575</formula>
    </cfRule>
  </conditionalFormatting>
  <conditionalFormatting sqref="BB210:BB211">
    <cfRule type="cellIs" dxfId="14649" priority="5703" operator="lessThan">
      <formula>0</formula>
    </cfRule>
    <cfRule type="cellIs" dxfId="14648" priority="5704" operator="lessThan">
      <formula>-105575</formula>
    </cfRule>
  </conditionalFormatting>
  <conditionalFormatting sqref="BB210:BB211">
    <cfRule type="cellIs" dxfId="14647" priority="5701" operator="lessThan">
      <formula>0</formula>
    </cfRule>
    <cfRule type="cellIs" dxfId="14646" priority="5702" operator="lessThan">
      <formula>-105575</formula>
    </cfRule>
  </conditionalFormatting>
  <conditionalFormatting sqref="BB214:BB219">
    <cfRule type="cellIs" dxfId="14645" priority="5699" operator="lessThan">
      <formula>0</formula>
    </cfRule>
    <cfRule type="cellIs" dxfId="14644" priority="5700" operator="lessThan">
      <formula>-105575</formula>
    </cfRule>
  </conditionalFormatting>
  <conditionalFormatting sqref="BB214:BB219">
    <cfRule type="cellIs" dxfId="14643" priority="5697" operator="lessThan">
      <formula>0</formula>
    </cfRule>
    <cfRule type="cellIs" dxfId="14642" priority="5698" operator="lessThan">
      <formula>-105575</formula>
    </cfRule>
  </conditionalFormatting>
  <conditionalFormatting sqref="BB214:BB219">
    <cfRule type="cellIs" dxfId="14641" priority="5695" operator="lessThan">
      <formula>0</formula>
    </cfRule>
    <cfRule type="cellIs" dxfId="14640" priority="5696" operator="lessThan">
      <formula>-105575</formula>
    </cfRule>
  </conditionalFormatting>
  <conditionalFormatting sqref="BB222:BB224">
    <cfRule type="cellIs" dxfId="14639" priority="5693" operator="lessThan">
      <formula>0</formula>
    </cfRule>
    <cfRule type="cellIs" dxfId="14638" priority="5694" operator="lessThan">
      <formula>-105575</formula>
    </cfRule>
  </conditionalFormatting>
  <conditionalFormatting sqref="BB222:BB224">
    <cfRule type="cellIs" dxfId="14637" priority="5691" operator="lessThan">
      <formula>0</formula>
    </cfRule>
    <cfRule type="cellIs" dxfId="14636" priority="5692" operator="lessThan">
      <formula>-105575</formula>
    </cfRule>
  </conditionalFormatting>
  <conditionalFormatting sqref="BB222:BB224">
    <cfRule type="cellIs" dxfId="14635" priority="5689" operator="lessThan">
      <formula>0</formula>
    </cfRule>
    <cfRule type="cellIs" dxfId="14634" priority="5690" operator="lessThan">
      <formula>-105575</formula>
    </cfRule>
  </conditionalFormatting>
  <conditionalFormatting sqref="BB227:BB230">
    <cfRule type="cellIs" dxfId="14633" priority="5687" operator="lessThan">
      <formula>0</formula>
    </cfRule>
    <cfRule type="cellIs" dxfId="14632" priority="5688" operator="lessThan">
      <formula>-105575</formula>
    </cfRule>
  </conditionalFormatting>
  <conditionalFormatting sqref="BB227:BB230">
    <cfRule type="cellIs" dxfId="14631" priority="5685" operator="lessThan">
      <formula>0</formula>
    </cfRule>
    <cfRule type="cellIs" dxfId="14630" priority="5686" operator="lessThan">
      <formula>-105575</formula>
    </cfRule>
  </conditionalFormatting>
  <conditionalFormatting sqref="BB227:BB230">
    <cfRule type="cellIs" dxfId="14629" priority="5683" operator="lessThan">
      <formula>0</formula>
    </cfRule>
    <cfRule type="cellIs" dxfId="14628" priority="5684" operator="lessThan">
      <formula>-105575</formula>
    </cfRule>
  </conditionalFormatting>
  <conditionalFormatting sqref="BB203 BB220:BB221 BB235:BB243 BB231:BB233 BB212:BB213 BB225:BB226">
    <cfRule type="cellIs" dxfId="14627" priority="5681" operator="lessThan">
      <formula>0</formula>
    </cfRule>
    <cfRule type="cellIs" dxfId="14626" priority="5682" operator="lessThan">
      <formula>-105575</formula>
    </cfRule>
  </conditionalFormatting>
  <conditionalFormatting sqref="BB220 BB212:BB213 BB235:BB238 BB240:BB243 BB225:BB226 BB231:BB233">
    <cfRule type="cellIs" dxfId="14625" priority="5679" operator="lessThan">
      <formula>0</formula>
    </cfRule>
    <cfRule type="cellIs" dxfId="14624" priority="5680" operator="lessThan">
      <formula>-105575</formula>
    </cfRule>
  </conditionalFormatting>
  <conditionalFormatting sqref="BB220:BB221 BB243 BB226 BB231:BB236 BB238:BB241 BB203 BB213">
    <cfRule type="cellIs" dxfId="14623" priority="5677" operator="lessThan">
      <formula>0</formula>
    </cfRule>
    <cfRule type="cellIs" dxfId="14622" priority="5678" operator="lessThan">
      <formula>-105575</formula>
    </cfRule>
  </conditionalFormatting>
  <conditionalFormatting sqref="BB235:BB243 BB231:BB233 BB220 BB212:BB213 BB225:BB226">
    <cfRule type="cellIs" dxfId="14621" priority="5675" operator="lessThan">
      <formula>0</formula>
    </cfRule>
    <cfRule type="cellIs" dxfId="14620" priority="5676" operator="lessThan">
      <formula>-105575</formula>
    </cfRule>
  </conditionalFormatting>
  <conditionalFormatting sqref="BB220:BB221 BB237:BB243 BB203 BB231:BB235 BB212:BB213 BB225:BB226">
    <cfRule type="cellIs" dxfId="14619" priority="5673" operator="lessThan">
      <formula>0</formula>
    </cfRule>
    <cfRule type="cellIs" dxfId="14618" priority="5674" operator="lessThan">
      <formula>-105575</formula>
    </cfRule>
  </conditionalFormatting>
  <conditionalFormatting sqref="BB220:BB221 BB237:BB240 BB242:BB243 BB225:BB226 BB231:BB235">
    <cfRule type="cellIs" dxfId="14617" priority="5671" operator="lessThan">
      <formula>0</formula>
    </cfRule>
    <cfRule type="cellIs" dxfId="14616" priority="5672" operator="lessThan">
      <formula>-105575</formula>
    </cfRule>
  </conditionalFormatting>
  <conditionalFormatting sqref="BB212 BB231 BB233:BB238 BB240:BB243 BB225">
    <cfRule type="cellIs" dxfId="14615" priority="5669" operator="lessThan">
      <formula>0</formula>
    </cfRule>
    <cfRule type="cellIs" dxfId="14614" priority="5670" operator="lessThan">
      <formula>-105575</formula>
    </cfRule>
  </conditionalFormatting>
  <conditionalFormatting sqref="BB237:BB243 BB231:BB235 BB220:BB221 BB225:BB226">
    <cfRule type="cellIs" dxfId="14613" priority="5667" operator="lessThan">
      <formula>0</formula>
    </cfRule>
    <cfRule type="cellIs" dxfId="14612" priority="5668" operator="lessThan">
      <formula>-105575</formula>
    </cfRule>
  </conditionalFormatting>
  <conditionalFormatting sqref="BB233:BB237 BB231 BB239:BB243">
    <cfRule type="cellIs" dxfId="14611" priority="5665" operator="lessThan">
      <formula>0</formula>
    </cfRule>
    <cfRule type="cellIs" dxfId="14610" priority="5666" operator="lessThan">
      <formula>-105575</formula>
    </cfRule>
  </conditionalFormatting>
  <conditionalFormatting sqref="BB233:BB237 BB231 BB239:BB243">
    <cfRule type="cellIs" dxfId="14609" priority="5663" operator="lessThan">
      <formula>0</formula>
    </cfRule>
    <cfRule type="cellIs" dxfId="14608" priority="5664" operator="lessThan">
      <formula>-105575</formula>
    </cfRule>
  </conditionalFormatting>
  <conditionalFormatting sqref="BB119:BB128 BB106:BB117 BB101:BB104 BB80:BB98">
    <cfRule type="cellIs" dxfId="14607" priority="5661" operator="lessThan">
      <formula>0</formula>
    </cfRule>
    <cfRule type="cellIs" dxfId="14606" priority="5662" operator="lessThan">
      <formula>-105575</formula>
    </cfRule>
  </conditionalFormatting>
  <conditionalFormatting sqref="BB130 BB132 BB134">
    <cfRule type="cellIs" dxfId="14605" priority="5659" operator="lessThan">
      <formula>0</formula>
    </cfRule>
    <cfRule type="cellIs" dxfId="14604" priority="5660" operator="lessThan">
      <formula>-105575</formula>
    </cfRule>
  </conditionalFormatting>
  <conditionalFormatting sqref="BB130 BB132 BB134">
    <cfRule type="cellIs" dxfId="14603" priority="5657" operator="lessThan">
      <formula>0</formula>
    </cfRule>
    <cfRule type="cellIs" dxfId="14602" priority="5658" operator="lessThan">
      <formula>-105575</formula>
    </cfRule>
  </conditionalFormatting>
  <conditionalFormatting sqref="BB129 BB131 BB133 BB135">
    <cfRule type="cellIs" dxfId="14601" priority="5655" operator="lessThan">
      <formula>0</formula>
    </cfRule>
    <cfRule type="cellIs" dxfId="14600" priority="5656" operator="lessThan">
      <formula>-105575</formula>
    </cfRule>
  </conditionalFormatting>
  <conditionalFormatting sqref="BB140 BB145 BB142:BB143 BB137:BB138">
    <cfRule type="cellIs" dxfId="14599" priority="5653" operator="lessThan">
      <formula>0</formula>
    </cfRule>
    <cfRule type="cellIs" dxfId="14598" priority="5654" operator="lessThan">
      <formula>-105575</formula>
    </cfRule>
  </conditionalFormatting>
  <conditionalFormatting sqref="BB149">
    <cfRule type="cellIs" dxfId="14597" priority="5651" operator="lessThan">
      <formula>0</formula>
    </cfRule>
    <cfRule type="cellIs" dxfId="14596" priority="5652" operator="lessThan">
      <formula>-105575</formula>
    </cfRule>
  </conditionalFormatting>
  <conditionalFormatting sqref="BB129:BB138 BB140:BB149">
    <cfRule type="cellIs" dxfId="14595" priority="5649" operator="lessThan">
      <formula>0</formula>
    </cfRule>
    <cfRule type="cellIs" dxfId="14594" priority="5650" operator="lessThan">
      <formula>-105575</formula>
    </cfRule>
  </conditionalFormatting>
  <conditionalFormatting sqref="BB94:BB98 BB86:BB87 BB89:BB91 BB141:BB149 BB124:BB133 BB107:BB110 BB112:BB117 BB119:BB122 BB135:BB138 BB101:BB104 BB80:BB84">
    <cfRule type="cellIs" dxfId="14593" priority="5647" operator="lessThan">
      <formula>0</formula>
    </cfRule>
    <cfRule type="cellIs" dxfId="14592" priority="5648" operator="lessThan">
      <formula>-105575</formula>
    </cfRule>
  </conditionalFormatting>
  <conditionalFormatting sqref="BB129 BB131 BB133 BB135">
    <cfRule type="cellIs" dxfId="14591" priority="5645" operator="lessThan">
      <formula>0</formula>
    </cfRule>
    <cfRule type="cellIs" dxfId="14590" priority="5646" operator="lessThan">
      <formula>-105575</formula>
    </cfRule>
  </conditionalFormatting>
  <conditionalFormatting sqref="BB146 BB144 BB141">
    <cfRule type="cellIs" dxfId="14589" priority="5643" operator="lessThan">
      <formula>0</formula>
    </cfRule>
    <cfRule type="cellIs" dxfId="14588" priority="5644" operator="lessThan">
      <formula>-105575</formula>
    </cfRule>
  </conditionalFormatting>
  <conditionalFormatting sqref="BB146 BB144 BB141">
    <cfRule type="cellIs" dxfId="14587" priority="5641" operator="lessThan">
      <formula>0</formula>
    </cfRule>
    <cfRule type="cellIs" dxfId="14586" priority="5642" operator="lessThan">
      <formula>-105575</formula>
    </cfRule>
  </conditionalFormatting>
  <conditionalFormatting sqref="BB140 BB145 BB142:BB143 BB137:BB138">
    <cfRule type="cellIs" dxfId="14585" priority="5639" operator="lessThan">
      <formula>0</formula>
    </cfRule>
    <cfRule type="cellIs" dxfId="14584" priority="5640" operator="lessThan">
      <formula>-105575</formula>
    </cfRule>
  </conditionalFormatting>
  <conditionalFormatting sqref="BB149">
    <cfRule type="cellIs" dxfId="14583" priority="5637" operator="lessThan">
      <formula>0</formula>
    </cfRule>
    <cfRule type="cellIs" dxfId="14582" priority="5638" operator="lessThan">
      <formula>-105575</formula>
    </cfRule>
  </conditionalFormatting>
  <conditionalFormatting sqref="BB94:BB98 BB86:BB87 BB89:BB91 BB141:BB149 BB124:BB133 BB107:BB110 BB112:BB117 BB119:BB122 BB135:BB138 BB101:BB104 BB80:BB84">
    <cfRule type="cellIs" dxfId="14581" priority="5635" operator="lessThan">
      <formula>0</formula>
    </cfRule>
    <cfRule type="cellIs" dxfId="14580" priority="5636" operator="lessThan">
      <formula>-105575</formula>
    </cfRule>
  </conditionalFormatting>
  <conditionalFormatting sqref="BB62:BB76 BB306:BB309 BB311:BB325 BB327:BB330 BB332:BB341 BB344:BB347 BB349:BB353 BB355:BB358 BB360:BB384 BB386:BB389 BB392:BB395 BB397:BB411 BB413:BB416 BB418:BB432 BB434:BB437 BB439:BB453 BB455:BB458 BB460:BB469 BB7:BB10 BB12:BB14 BB17:BB18 BB21:BB24 BB26:BB28 BB30:BB36 BB38 BB41:BB43 BB46:BB49 BB51:BB55 BB57:BB59 BB290:BB291 BB293:BB304">
    <cfRule type="cellIs" dxfId="14579" priority="5633" operator="lessThan">
      <formula>0</formula>
    </cfRule>
    <cfRule type="cellIs" dxfId="14578" priority="5634" operator="lessThan">
      <formula>-105575</formula>
    </cfRule>
  </conditionalFormatting>
  <conditionalFormatting sqref="BB41">
    <cfRule type="cellIs" dxfId="14577" priority="5631" operator="lessThan">
      <formula>0</formula>
    </cfRule>
    <cfRule type="cellIs" dxfId="14576" priority="5632" operator="lessThan">
      <formula>-105575</formula>
    </cfRule>
  </conditionalFormatting>
  <conditionalFormatting sqref="BB152:BB155">
    <cfRule type="cellIs" dxfId="14575" priority="5629" operator="lessThan">
      <formula>0</formula>
    </cfRule>
    <cfRule type="cellIs" dxfId="14574" priority="5630" operator="lessThan">
      <formula>-105575</formula>
    </cfRule>
  </conditionalFormatting>
  <conditionalFormatting sqref="BB152:BB155">
    <cfRule type="cellIs" dxfId="14573" priority="5627" operator="lessThan">
      <formula>0</formula>
    </cfRule>
    <cfRule type="cellIs" dxfId="14572" priority="5628" operator="lessThan">
      <formula>-105575</formula>
    </cfRule>
  </conditionalFormatting>
  <conditionalFormatting sqref="BB152:BB155">
    <cfRule type="cellIs" dxfId="14571" priority="5625" operator="lessThan">
      <formula>0</formula>
    </cfRule>
    <cfRule type="cellIs" dxfId="14570" priority="5626" operator="lessThan">
      <formula>-105575</formula>
    </cfRule>
  </conditionalFormatting>
  <conditionalFormatting sqref="BB157:BB158">
    <cfRule type="cellIs" dxfId="14569" priority="5623" operator="lessThan">
      <formula>0</formula>
    </cfRule>
    <cfRule type="cellIs" dxfId="14568" priority="5624" operator="lessThan">
      <formula>-105575</formula>
    </cfRule>
  </conditionalFormatting>
  <conditionalFormatting sqref="BB157:BB158">
    <cfRule type="cellIs" dxfId="14567" priority="5621" operator="lessThan">
      <formula>0</formula>
    </cfRule>
    <cfRule type="cellIs" dxfId="14566" priority="5622" operator="lessThan">
      <formula>-105575</formula>
    </cfRule>
  </conditionalFormatting>
  <conditionalFormatting sqref="BB157:BB158">
    <cfRule type="cellIs" dxfId="14565" priority="5619" operator="lessThan">
      <formula>0</formula>
    </cfRule>
    <cfRule type="cellIs" dxfId="14564" priority="5620" operator="lessThan">
      <formula>-105575</formula>
    </cfRule>
  </conditionalFormatting>
  <conditionalFormatting sqref="BB160:BB161">
    <cfRule type="cellIs" dxfId="14563" priority="5617" operator="lessThan">
      <formula>0</formula>
    </cfRule>
    <cfRule type="cellIs" dxfId="14562" priority="5618" operator="lessThan">
      <formula>-105575</formula>
    </cfRule>
  </conditionalFormatting>
  <conditionalFormatting sqref="BB160:BB161">
    <cfRule type="cellIs" dxfId="14561" priority="5615" operator="lessThan">
      <formula>0</formula>
    </cfRule>
    <cfRule type="cellIs" dxfId="14560" priority="5616" operator="lessThan">
      <formula>-105575</formula>
    </cfRule>
  </conditionalFormatting>
  <conditionalFormatting sqref="BB160:BB161">
    <cfRule type="cellIs" dxfId="14559" priority="5613" operator="lessThan">
      <formula>0</formula>
    </cfRule>
    <cfRule type="cellIs" dxfId="14558" priority="5614" operator="lessThan">
      <formula>-105575</formula>
    </cfRule>
  </conditionalFormatting>
  <conditionalFormatting sqref="BB164:BB167">
    <cfRule type="cellIs" dxfId="14557" priority="5611" operator="lessThan">
      <formula>0</formula>
    </cfRule>
    <cfRule type="cellIs" dxfId="14556" priority="5612" operator="lessThan">
      <formula>-105575</formula>
    </cfRule>
  </conditionalFormatting>
  <conditionalFormatting sqref="BB164:BB167">
    <cfRule type="cellIs" dxfId="14555" priority="5609" operator="lessThan">
      <formula>0</formula>
    </cfRule>
    <cfRule type="cellIs" dxfId="14554" priority="5610" operator="lessThan">
      <formula>-105575</formula>
    </cfRule>
  </conditionalFormatting>
  <conditionalFormatting sqref="BB164:BB167">
    <cfRule type="cellIs" dxfId="14553" priority="5607" operator="lessThan">
      <formula>0</formula>
    </cfRule>
    <cfRule type="cellIs" dxfId="14552" priority="5608" operator="lessThan">
      <formula>-105575</formula>
    </cfRule>
  </conditionalFormatting>
  <conditionalFormatting sqref="BB169:BB177">
    <cfRule type="cellIs" dxfId="14551" priority="5605" operator="lessThan">
      <formula>0</formula>
    </cfRule>
    <cfRule type="cellIs" dxfId="14550" priority="5606" operator="lessThan">
      <formula>-105575</formula>
    </cfRule>
  </conditionalFormatting>
  <conditionalFormatting sqref="BB169:BB177">
    <cfRule type="cellIs" dxfId="14549" priority="5603" operator="lessThan">
      <formula>0</formula>
    </cfRule>
    <cfRule type="cellIs" dxfId="14548" priority="5604" operator="lessThan">
      <formula>-105575</formula>
    </cfRule>
  </conditionalFormatting>
  <conditionalFormatting sqref="BB169:BB177">
    <cfRule type="cellIs" dxfId="14547" priority="5601" operator="lessThan">
      <formula>0</formula>
    </cfRule>
    <cfRule type="cellIs" dxfId="14546" priority="5602" operator="lessThan">
      <formula>-105575</formula>
    </cfRule>
  </conditionalFormatting>
  <conditionalFormatting sqref="BB179:BB180">
    <cfRule type="cellIs" dxfId="14545" priority="5599" operator="lessThan">
      <formula>0</formula>
    </cfRule>
    <cfRule type="cellIs" dxfId="14544" priority="5600" operator="lessThan">
      <formula>-105575</formula>
    </cfRule>
  </conditionalFormatting>
  <conditionalFormatting sqref="BB179:BB180">
    <cfRule type="cellIs" dxfId="14543" priority="5597" operator="lessThan">
      <formula>0</formula>
    </cfRule>
    <cfRule type="cellIs" dxfId="14542" priority="5598" operator="lessThan">
      <formula>-105575</formula>
    </cfRule>
  </conditionalFormatting>
  <conditionalFormatting sqref="BB179:BB180">
    <cfRule type="cellIs" dxfId="14541" priority="5595" operator="lessThan">
      <formula>0</formula>
    </cfRule>
    <cfRule type="cellIs" dxfId="14540" priority="5596" operator="lessThan">
      <formula>-105575</formula>
    </cfRule>
  </conditionalFormatting>
  <conditionalFormatting sqref="BB183:BB189">
    <cfRule type="cellIs" dxfId="14539" priority="5593" operator="lessThan">
      <formula>0</formula>
    </cfRule>
    <cfRule type="cellIs" dxfId="14538" priority="5594" operator="lessThan">
      <formula>-105575</formula>
    </cfRule>
  </conditionalFormatting>
  <conditionalFormatting sqref="BB183:BB189">
    <cfRule type="cellIs" dxfId="14537" priority="5591" operator="lessThan">
      <formula>0</formula>
    </cfRule>
    <cfRule type="cellIs" dxfId="14536" priority="5592" operator="lessThan">
      <formula>-105575</formula>
    </cfRule>
  </conditionalFormatting>
  <conditionalFormatting sqref="BB183:BB189">
    <cfRule type="cellIs" dxfId="14535" priority="5589" operator="lessThan">
      <formula>0</formula>
    </cfRule>
    <cfRule type="cellIs" dxfId="14534" priority="5590" operator="lessThan">
      <formula>-105575</formula>
    </cfRule>
  </conditionalFormatting>
  <conditionalFormatting sqref="BB191:BB192">
    <cfRule type="cellIs" dxfId="14533" priority="5587" operator="lessThan">
      <formula>0</formula>
    </cfRule>
    <cfRule type="cellIs" dxfId="14532" priority="5588" operator="lessThan">
      <formula>-105575</formula>
    </cfRule>
  </conditionalFormatting>
  <conditionalFormatting sqref="BB191:BB192">
    <cfRule type="cellIs" dxfId="14531" priority="5585" operator="lessThan">
      <formula>0</formula>
    </cfRule>
    <cfRule type="cellIs" dxfId="14530" priority="5586" operator="lessThan">
      <formula>-105575</formula>
    </cfRule>
  </conditionalFormatting>
  <conditionalFormatting sqref="BB191:BB192">
    <cfRule type="cellIs" dxfId="14529" priority="5583" operator="lessThan">
      <formula>0</formula>
    </cfRule>
    <cfRule type="cellIs" dxfId="14528" priority="5584" operator="lessThan">
      <formula>-105575</formula>
    </cfRule>
  </conditionalFormatting>
  <conditionalFormatting sqref="BB194:BB195">
    <cfRule type="cellIs" dxfId="14527" priority="5581" operator="lessThan">
      <formula>0</formula>
    </cfRule>
    <cfRule type="cellIs" dxfId="14526" priority="5582" operator="lessThan">
      <formula>-105575</formula>
    </cfRule>
  </conditionalFormatting>
  <conditionalFormatting sqref="BB194:BB195">
    <cfRule type="cellIs" dxfId="14525" priority="5579" operator="lessThan">
      <formula>0</formula>
    </cfRule>
    <cfRule type="cellIs" dxfId="14524" priority="5580" operator="lessThan">
      <formula>-105575</formula>
    </cfRule>
  </conditionalFormatting>
  <conditionalFormatting sqref="BB194:BB195">
    <cfRule type="cellIs" dxfId="14523" priority="5577" operator="lessThan">
      <formula>0</formula>
    </cfRule>
    <cfRule type="cellIs" dxfId="14522" priority="5578" operator="lessThan">
      <formula>-105575</formula>
    </cfRule>
  </conditionalFormatting>
  <conditionalFormatting sqref="BB199:BB202">
    <cfRule type="cellIs" dxfId="14521" priority="5575" operator="lessThan">
      <formula>0</formula>
    </cfRule>
    <cfRule type="cellIs" dxfId="14520" priority="5576" operator="lessThan">
      <formula>-105575</formula>
    </cfRule>
  </conditionalFormatting>
  <conditionalFormatting sqref="BB199:BB202">
    <cfRule type="cellIs" dxfId="14519" priority="5573" operator="lessThan">
      <formula>0</formula>
    </cfRule>
    <cfRule type="cellIs" dxfId="14518" priority="5574" operator="lessThan">
      <formula>-105575</formula>
    </cfRule>
  </conditionalFormatting>
  <conditionalFormatting sqref="BB199:BB202">
    <cfRule type="cellIs" dxfId="14517" priority="5571" operator="lessThan">
      <formula>0</formula>
    </cfRule>
    <cfRule type="cellIs" dxfId="14516" priority="5572" operator="lessThan">
      <formula>-105575</formula>
    </cfRule>
  </conditionalFormatting>
  <conditionalFormatting sqref="BB204:BB208">
    <cfRule type="cellIs" dxfId="14515" priority="5569" operator="lessThan">
      <formula>0</formula>
    </cfRule>
    <cfRule type="cellIs" dxfId="14514" priority="5570" operator="lessThan">
      <formula>-105575</formula>
    </cfRule>
  </conditionalFormatting>
  <conditionalFormatting sqref="BB204:BB208">
    <cfRule type="cellIs" dxfId="14513" priority="5567" operator="lessThan">
      <formula>0</formula>
    </cfRule>
    <cfRule type="cellIs" dxfId="14512" priority="5568" operator="lessThan">
      <formula>-105575</formula>
    </cfRule>
  </conditionalFormatting>
  <conditionalFormatting sqref="BB204:BB208">
    <cfRule type="cellIs" dxfId="14511" priority="5565" operator="lessThan">
      <formula>0</formula>
    </cfRule>
    <cfRule type="cellIs" dxfId="14510" priority="5566" operator="lessThan">
      <formula>-105575</formula>
    </cfRule>
  </conditionalFormatting>
  <conditionalFormatting sqref="BB210:BB211">
    <cfRule type="cellIs" dxfId="14509" priority="5563" operator="lessThan">
      <formula>0</formula>
    </cfRule>
    <cfRule type="cellIs" dxfId="14508" priority="5564" operator="lessThan">
      <formula>-105575</formula>
    </cfRule>
  </conditionalFormatting>
  <conditionalFormatting sqref="BB210:BB211">
    <cfRule type="cellIs" dxfId="14507" priority="5561" operator="lessThan">
      <formula>0</formula>
    </cfRule>
    <cfRule type="cellIs" dxfId="14506" priority="5562" operator="lessThan">
      <formula>-105575</formula>
    </cfRule>
  </conditionalFormatting>
  <conditionalFormatting sqref="BB210:BB211">
    <cfRule type="cellIs" dxfId="14505" priority="5559" operator="lessThan">
      <formula>0</formula>
    </cfRule>
    <cfRule type="cellIs" dxfId="14504" priority="5560" operator="lessThan">
      <formula>-105575</formula>
    </cfRule>
  </conditionalFormatting>
  <conditionalFormatting sqref="BB214:BB219">
    <cfRule type="cellIs" dxfId="14503" priority="5557" operator="lessThan">
      <formula>0</formula>
    </cfRule>
    <cfRule type="cellIs" dxfId="14502" priority="5558" operator="lessThan">
      <formula>-105575</formula>
    </cfRule>
  </conditionalFormatting>
  <conditionalFormatting sqref="BB214:BB219">
    <cfRule type="cellIs" dxfId="14501" priority="5555" operator="lessThan">
      <formula>0</formula>
    </cfRule>
    <cfRule type="cellIs" dxfId="14500" priority="5556" operator="lessThan">
      <formula>-105575</formula>
    </cfRule>
  </conditionalFormatting>
  <conditionalFormatting sqref="BB214:BB219">
    <cfRule type="cellIs" dxfId="14499" priority="5553" operator="lessThan">
      <formula>0</formula>
    </cfRule>
    <cfRule type="cellIs" dxfId="14498" priority="5554" operator="lessThan">
      <formula>-105575</formula>
    </cfRule>
  </conditionalFormatting>
  <conditionalFormatting sqref="BB222:BB224">
    <cfRule type="cellIs" dxfId="14497" priority="5551" operator="lessThan">
      <formula>0</formula>
    </cfRule>
    <cfRule type="cellIs" dxfId="14496" priority="5552" operator="lessThan">
      <formula>-105575</formula>
    </cfRule>
  </conditionalFormatting>
  <conditionalFormatting sqref="BB222:BB224">
    <cfRule type="cellIs" dxfId="14495" priority="5549" operator="lessThan">
      <formula>0</formula>
    </cfRule>
    <cfRule type="cellIs" dxfId="14494" priority="5550" operator="lessThan">
      <formula>-105575</formula>
    </cfRule>
  </conditionalFormatting>
  <conditionalFormatting sqref="BB222:BB224">
    <cfRule type="cellIs" dxfId="14493" priority="5547" operator="lessThan">
      <formula>0</formula>
    </cfRule>
    <cfRule type="cellIs" dxfId="14492" priority="5548" operator="lessThan">
      <formula>-105575</formula>
    </cfRule>
  </conditionalFormatting>
  <conditionalFormatting sqref="BB227:BB230">
    <cfRule type="cellIs" dxfId="14491" priority="5545" operator="lessThan">
      <formula>0</formula>
    </cfRule>
    <cfRule type="cellIs" dxfId="14490" priority="5546" operator="lessThan">
      <formula>-105575</formula>
    </cfRule>
  </conditionalFormatting>
  <conditionalFormatting sqref="BB227:BB230">
    <cfRule type="cellIs" dxfId="14489" priority="5543" operator="lessThan">
      <formula>0</formula>
    </cfRule>
    <cfRule type="cellIs" dxfId="14488" priority="5544" operator="lessThan">
      <formula>-105575</formula>
    </cfRule>
  </conditionalFormatting>
  <conditionalFormatting sqref="BB227:BB230">
    <cfRule type="cellIs" dxfId="14487" priority="5541" operator="lessThan">
      <formula>0</formula>
    </cfRule>
    <cfRule type="cellIs" dxfId="14486" priority="5542" operator="lessThan">
      <formula>-105575</formula>
    </cfRule>
  </conditionalFormatting>
  <conditionalFormatting sqref="BB246:BB249">
    <cfRule type="cellIs" dxfId="14485" priority="5539" operator="lessThan">
      <formula>0</formula>
    </cfRule>
    <cfRule type="cellIs" dxfId="14484" priority="5540" operator="lessThan">
      <formula>-105575</formula>
    </cfRule>
  </conditionalFormatting>
  <conditionalFormatting sqref="BB246:BB249">
    <cfRule type="cellIs" dxfId="14483" priority="5537" operator="lessThan">
      <formula>0</formula>
    </cfRule>
    <cfRule type="cellIs" dxfId="14482" priority="5538" operator="lessThan">
      <formula>-105575</formula>
    </cfRule>
  </conditionalFormatting>
  <conditionalFormatting sqref="BB246:BB249">
    <cfRule type="cellIs" dxfId="14481" priority="5535" operator="lessThan">
      <formula>0</formula>
    </cfRule>
    <cfRule type="cellIs" dxfId="14480" priority="5536" operator="lessThan">
      <formula>-105575</formula>
    </cfRule>
  </conditionalFormatting>
  <conditionalFormatting sqref="BB246:BB249">
    <cfRule type="cellIs" dxfId="14479" priority="5533" operator="lessThan">
      <formula>0</formula>
    </cfRule>
    <cfRule type="cellIs" dxfId="14478" priority="5534" operator="lessThan">
      <formula>-105575</formula>
    </cfRule>
  </conditionalFormatting>
  <conditionalFormatting sqref="BB246:BB249">
    <cfRule type="cellIs" dxfId="14477" priority="5531" operator="lessThan">
      <formula>0</formula>
    </cfRule>
    <cfRule type="cellIs" dxfId="14476" priority="5532" operator="lessThan">
      <formula>-105575</formula>
    </cfRule>
  </conditionalFormatting>
  <conditionalFormatting sqref="BB246:BB249">
    <cfRule type="cellIs" dxfId="14475" priority="5529" operator="lessThan">
      <formula>0</formula>
    </cfRule>
    <cfRule type="cellIs" dxfId="14474" priority="5530" operator="lessThan">
      <formula>-105575</formula>
    </cfRule>
  </conditionalFormatting>
  <conditionalFormatting sqref="BB246:BB249">
    <cfRule type="cellIs" dxfId="14473" priority="5527" operator="lessThan">
      <formula>0</formula>
    </cfRule>
    <cfRule type="cellIs" dxfId="14472" priority="5528" operator="lessThan">
      <formula>-105575</formula>
    </cfRule>
  </conditionalFormatting>
  <conditionalFormatting sqref="BB246:BB249">
    <cfRule type="cellIs" dxfId="14471" priority="5525" operator="lessThan">
      <formula>0</formula>
    </cfRule>
    <cfRule type="cellIs" dxfId="14470" priority="5526" operator="lessThan">
      <formula>-105575</formula>
    </cfRule>
  </conditionalFormatting>
  <conditionalFormatting sqref="BB246:BB249">
    <cfRule type="cellIs" dxfId="14469" priority="5523" operator="lessThan">
      <formula>0</formula>
    </cfRule>
    <cfRule type="cellIs" dxfId="14468" priority="5524" operator="lessThan">
      <formula>-105575</formula>
    </cfRule>
  </conditionalFormatting>
  <conditionalFormatting sqref="BB251:BB253">
    <cfRule type="cellIs" dxfId="14467" priority="5521" operator="lessThan">
      <formula>0</formula>
    </cfRule>
    <cfRule type="cellIs" dxfId="14466" priority="5522" operator="lessThan">
      <formula>-105575</formula>
    </cfRule>
  </conditionalFormatting>
  <conditionalFormatting sqref="BB251:BB253">
    <cfRule type="cellIs" dxfId="14465" priority="5519" operator="lessThan">
      <formula>0</formula>
    </cfRule>
    <cfRule type="cellIs" dxfId="14464" priority="5520" operator="lessThan">
      <formula>-105575</formula>
    </cfRule>
  </conditionalFormatting>
  <conditionalFormatting sqref="BB251:BB253">
    <cfRule type="cellIs" dxfId="14463" priority="5517" operator="lessThan">
      <formula>0</formula>
    </cfRule>
    <cfRule type="cellIs" dxfId="14462" priority="5518" operator="lessThan">
      <formula>-105575</formula>
    </cfRule>
  </conditionalFormatting>
  <conditionalFormatting sqref="BB251:BB253">
    <cfRule type="cellIs" dxfId="14461" priority="5515" operator="lessThan">
      <formula>0</formula>
    </cfRule>
    <cfRule type="cellIs" dxfId="14460" priority="5516" operator="lessThan">
      <formula>-105575</formula>
    </cfRule>
  </conditionalFormatting>
  <conditionalFormatting sqref="BB251:BB253">
    <cfRule type="cellIs" dxfId="14459" priority="5513" operator="lessThan">
      <formula>0</formula>
    </cfRule>
    <cfRule type="cellIs" dxfId="14458" priority="5514" operator="lessThan">
      <formula>-105575</formula>
    </cfRule>
  </conditionalFormatting>
  <conditionalFormatting sqref="BB251:BB253">
    <cfRule type="cellIs" dxfId="14457" priority="5511" operator="lessThan">
      <formula>0</formula>
    </cfRule>
    <cfRule type="cellIs" dxfId="14456" priority="5512" operator="lessThan">
      <formula>-105575</formula>
    </cfRule>
  </conditionalFormatting>
  <conditionalFormatting sqref="BB251:BB253">
    <cfRule type="cellIs" dxfId="14455" priority="5509" operator="lessThan">
      <formula>0</formula>
    </cfRule>
    <cfRule type="cellIs" dxfId="14454" priority="5510" operator="lessThan">
      <formula>-105575</formula>
    </cfRule>
  </conditionalFormatting>
  <conditionalFormatting sqref="BB251:BB253">
    <cfRule type="cellIs" dxfId="14453" priority="5507" operator="lessThan">
      <formula>0</formula>
    </cfRule>
    <cfRule type="cellIs" dxfId="14452" priority="5508" operator="lessThan">
      <formula>-105575</formula>
    </cfRule>
  </conditionalFormatting>
  <conditionalFormatting sqref="BB251:BB253">
    <cfRule type="cellIs" dxfId="14451" priority="5505" operator="lessThan">
      <formula>0</formula>
    </cfRule>
    <cfRule type="cellIs" dxfId="14450" priority="5506" operator="lessThan">
      <formula>-105575</formula>
    </cfRule>
  </conditionalFormatting>
  <conditionalFormatting sqref="BB255:BB257">
    <cfRule type="cellIs" dxfId="14449" priority="5503" operator="lessThan">
      <formula>0</formula>
    </cfRule>
    <cfRule type="cellIs" dxfId="14448" priority="5504" operator="lessThan">
      <formula>-105575</formula>
    </cfRule>
  </conditionalFormatting>
  <conditionalFormatting sqref="BB255:BB257">
    <cfRule type="cellIs" dxfId="14447" priority="5501" operator="lessThan">
      <formula>0</formula>
    </cfRule>
    <cfRule type="cellIs" dxfId="14446" priority="5502" operator="lessThan">
      <formula>-105575</formula>
    </cfRule>
  </conditionalFormatting>
  <conditionalFormatting sqref="BB255:BB257">
    <cfRule type="cellIs" dxfId="14445" priority="5499" operator="lessThan">
      <formula>0</formula>
    </cfRule>
    <cfRule type="cellIs" dxfId="14444" priority="5500" operator="lessThan">
      <formula>-105575</formula>
    </cfRule>
  </conditionalFormatting>
  <conditionalFormatting sqref="BB255:BB257">
    <cfRule type="cellIs" dxfId="14443" priority="5497" operator="lessThan">
      <formula>0</formula>
    </cfRule>
    <cfRule type="cellIs" dxfId="14442" priority="5498" operator="lessThan">
      <formula>-105575</formula>
    </cfRule>
  </conditionalFormatting>
  <conditionalFormatting sqref="BB255:BB257">
    <cfRule type="cellIs" dxfId="14441" priority="5495" operator="lessThan">
      <formula>0</formula>
    </cfRule>
    <cfRule type="cellIs" dxfId="14440" priority="5496" operator="lessThan">
      <formula>-105575</formula>
    </cfRule>
  </conditionalFormatting>
  <conditionalFormatting sqref="BB255:BB257">
    <cfRule type="cellIs" dxfId="14439" priority="5493" operator="lessThan">
      <formula>0</formula>
    </cfRule>
    <cfRule type="cellIs" dxfId="14438" priority="5494" operator="lessThan">
      <formula>-105575</formula>
    </cfRule>
  </conditionalFormatting>
  <conditionalFormatting sqref="BB255:BB257">
    <cfRule type="cellIs" dxfId="14437" priority="5491" operator="lessThan">
      <formula>0</formula>
    </cfRule>
    <cfRule type="cellIs" dxfId="14436" priority="5492" operator="lessThan">
      <formula>-105575</formula>
    </cfRule>
  </conditionalFormatting>
  <conditionalFormatting sqref="BB255:BB257">
    <cfRule type="cellIs" dxfId="14435" priority="5489" operator="lessThan">
      <formula>0</formula>
    </cfRule>
    <cfRule type="cellIs" dxfId="14434" priority="5490" operator="lessThan">
      <formula>-105575</formula>
    </cfRule>
  </conditionalFormatting>
  <conditionalFormatting sqref="BB255:BB257">
    <cfRule type="cellIs" dxfId="14433" priority="5487" operator="lessThan">
      <formula>0</formula>
    </cfRule>
    <cfRule type="cellIs" dxfId="14432" priority="5488" operator="lessThan">
      <formula>-105575</formula>
    </cfRule>
  </conditionalFormatting>
  <conditionalFormatting sqref="BB260:BB262">
    <cfRule type="cellIs" dxfId="14431" priority="5485" operator="lessThan">
      <formula>0</formula>
    </cfRule>
    <cfRule type="cellIs" dxfId="14430" priority="5486" operator="lessThan">
      <formula>-105575</formula>
    </cfRule>
  </conditionalFormatting>
  <conditionalFormatting sqref="BB260:BB262">
    <cfRule type="cellIs" dxfId="14429" priority="5483" operator="lessThan">
      <formula>0</formula>
    </cfRule>
    <cfRule type="cellIs" dxfId="14428" priority="5484" operator="lessThan">
      <formula>-105575</formula>
    </cfRule>
  </conditionalFormatting>
  <conditionalFormatting sqref="BB260:BB262">
    <cfRule type="cellIs" dxfId="14427" priority="5481" operator="lessThan">
      <formula>0</formula>
    </cfRule>
    <cfRule type="cellIs" dxfId="14426" priority="5482" operator="lessThan">
      <formula>-105575</formula>
    </cfRule>
  </conditionalFormatting>
  <conditionalFormatting sqref="BB260:BB262">
    <cfRule type="cellIs" dxfId="14425" priority="5479" operator="lessThan">
      <formula>0</formula>
    </cfRule>
    <cfRule type="cellIs" dxfId="14424" priority="5480" operator="lessThan">
      <formula>-105575</formula>
    </cfRule>
  </conditionalFormatting>
  <conditionalFormatting sqref="BB260:BB262">
    <cfRule type="cellIs" dxfId="14423" priority="5477" operator="lessThan">
      <formula>0</formula>
    </cfRule>
    <cfRule type="cellIs" dxfId="14422" priority="5478" operator="lessThan">
      <formula>-105575</formula>
    </cfRule>
  </conditionalFormatting>
  <conditionalFormatting sqref="BB260:BB262">
    <cfRule type="cellIs" dxfId="14421" priority="5475" operator="lessThan">
      <formula>0</formula>
    </cfRule>
    <cfRule type="cellIs" dxfId="14420" priority="5476" operator="lessThan">
      <formula>-105575</formula>
    </cfRule>
  </conditionalFormatting>
  <conditionalFormatting sqref="BB260:BB262">
    <cfRule type="cellIs" dxfId="14419" priority="5473" operator="lessThan">
      <formula>0</formula>
    </cfRule>
    <cfRule type="cellIs" dxfId="14418" priority="5474" operator="lessThan">
      <formula>-105575</formula>
    </cfRule>
  </conditionalFormatting>
  <conditionalFormatting sqref="BB260:BB262">
    <cfRule type="cellIs" dxfId="14417" priority="5471" operator="lessThan">
      <formula>0</formula>
    </cfRule>
    <cfRule type="cellIs" dxfId="14416" priority="5472" operator="lessThan">
      <formula>-105575</formula>
    </cfRule>
  </conditionalFormatting>
  <conditionalFormatting sqref="BB260:BB262">
    <cfRule type="cellIs" dxfId="14415" priority="5469" operator="lessThan">
      <formula>0</formula>
    </cfRule>
    <cfRule type="cellIs" dxfId="14414" priority="5470" operator="lessThan">
      <formula>-105575</formula>
    </cfRule>
  </conditionalFormatting>
  <conditionalFormatting sqref="BB264:BB267">
    <cfRule type="cellIs" dxfId="14413" priority="5467" operator="lessThan">
      <formula>0</formula>
    </cfRule>
    <cfRule type="cellIs" dxfId="14412" priority="5468" operator="lessThan">
      <formula>-105575</formula>
    </cfRule>
  </conditionalFormatting>
  <conditionalFormatting sqref="BB264:BB267">
    <cfRule type="cellIs" dxfId="14411" priority="5465" operator="lessThan">
      <formula>0</formula>
    </cfRule>
    <cfRule type="cellIs" dxfId="14410" priority="5466" operator="lessThan">
      <formula>-105575</formula>
    </cfRule>
  </conditionalFormatting>
  <conditionalFormatting sqref="BB264:BB267">
    <cfRule type="cellIs" dxfId="14409" priority="5463" operator="lessThan">
      <formula>0</formula>
    </cfRule>
    <cfRule type="cellIs" dxfId="14408" priority="5464" operator="lessThan">
      <formula>-105575</formula>
    </cfRule>
  </conditionalFormatting>
  <conditionalFormatting sqref="BB264:BB267">
    <cfRule type="cellIs" dxfId="14407" priority="5461" operator="lessThan">
      <formula>0</formula>
    </cfRule>
    <cfRule type="cellIs" dxfId="14406" priority="5462" operator="lessThan">
      <formula>-105575</formula>
    </cfRule>
  </conditionalFormatting>
  <conditionalFormatting sqref="BB264:BB267">
    <cfRule type="cellIs" dxfId="14405" priority="5459" operator="lessThan">
      <formula>0</formula>
    </cfRule>
    <cfRule type="cellIs" dxfId="14404" priority="5460" operator="lessThan">
      <formula>-105575</formula>
    </cfRule>
  </conditionalFormatting>
  <conditionalFormatting sqref="BB264:BB267">
    <cfRule type="cellIs" dxfId="14403" priority="5457" operator="lessThan">
      <formula>0</formula>
    </cfRule>
    <cfRule type="cellIs" dxfId="14402" priority="5458" operator="lessThan">
      <formula>-105575</formula>
    </cfRule>
  </conditionalFormatting>
  <conditionalFormatting sqref="BB264:BB267">
    <cfRule type="cellIs" dxfId="14401" priority="5455" operator="lessThan">
      <formula>0</formula>
    </cfRule>
    <cfRule type="cellIs" dxfId="14400" priority="5456" operator="lessThan">
      <formula>-105575</formula>
    </cfRule>
  </conditionalFormatting>
  <conditionalFormatting sqref="BB264:BB267">
    <cfRule type="cellIs" dxfId="14399" priority="5453" operator="lessThan">
      <formula>0</formula>
    </cfRule>
    <cfRule type="cellIs" dxfId="14398" priority="5454" operator="lessThan">
      <formula>-105575</formula>
    </cfRule>
  </conditionalFormatting>
  <conditionalFormatting sqref="BB264:BB267">
    <cfRule type="cellIs" dxfId="14397" priority="5451" operator="lessThan">
      <formula>0</formula>
    </cfRule>
    <cfRule type="cellIs" dxfId="14396" priority="5452" operator="lessThan">
      <formula>-105575</formula>
    </cfRule>
  </conditionalFormatting>
  <conditionalFormatting sqref="BB270:BB272">
    <cfRule type="cellIs" dxfId="14395" priority="5449" operator="lessThan">
      <formula>0</formula>
    </cfRule>
    <cfRule type="cellIs" dxfId="14394" priority="5450" operator="lessThan">
      <formula>-105575</formula>
    </cfRule>
  </conditionalFormatting>
  <conditionalFormatting sqref="BB270:BB272">
    <cfRule type="cellIs" dxfId="14393" priority="5447" operator="lessThan">
      <formula>0</formula>
    </cfRule>
    <cfRule type="cellIs" dxfId="14392" priority="5448" operator="lessThan">
      <formula>-105575</formula>
    </cfRule>
  </conditionalFormatting>
  <conditionalFormatting sqref="BB270:BB272">
    <cfRule type="cellIs" dxfId="14391" priority="5445" operator="lessThan">
      <formula>0</formula>
    </cfRule>
    <cfRule type="cellIs" dxfId="14390" priority="5446" operator="lessThan">
      <formula>-105575</formula>
    </cfRule>
  </conditionalFormatting>
  <conditionalFormatting sqref="BB270:BB272">
    <cfRule type="cellIs" dxfId="14389" priority="5443" operator="lessThan">
      <formula>0</formula>
    </cfRule>
    <cfRule type="cellIs" dxfId="14388" priority="5444" operator="lessThan">
      <formula>-105575</formula>
    </cfRule>
  </conditionalFormatting>
  <conditionalFormatting sqref="BB270:BB272">
    <cfRule type="cellIs" dxfId="14387" priority="5441" operator="lessThan">
      <formula>0</formula>
    </cfRule>
    <cfRule type="cellIs" dxfId="14386" priority="5442" operator="lessThan">
      <formula>-105575</formula>
    </cfRule>
  </conditionalFormatting>
  <conditionalFormatting sqref="BB270:BB272">
    <cfRule type="cellIs" dxfId="14385" priority="5439" operator="lessThan">
      <formula>0</formula>
    </cfRule>
    <cfRule type="cellIs" dxfId="14384" priority="5440" operator="lessThan">
      <formula>-105575</formula>
    </cfRule>
  </conditionalFormatting>
  <conditionalFormatting sqref="BB270:BB272">
    <cfRule type="cellIs" dxfId="14383" priority="5437" operator="lessThan">
      <formula>0</formula>
    </cfRule>
    <cfRule type="cellIs" dxfId="14382" priority="5438" operator="lessThan">
      <formula>-105575</formula>
    </cfRule>
  </conditionalFormatting>
  <conditionalFormatting sqref="BB270:BB272">
    <cfRule type="cellIs" dxfId="14381" priority="5435" operator="lessThan">
      <formula>0</formula>
    </cfRule>
    <cfRule type="cellIs" dxfId="14380" priority="5436" operator="lessThan">
      <formula>-105575</formula>
    </cfRule>
  </conditionalFormatting>
  <conditionalFormatting sqref="BB270:BB272">
    <cfRule type="cellIs" dxfId="14379" priority="5433" operator="lessThan">
      <formula>0</formula>
    </cfRule>
    <cfRule type="cellIs" dxfId="14378" priority="5434" operator="lessThan">
      <formula>-105575</formula>
    </cfRule>
  </conditionalFormatting>
  <conditionalFormatting sqref="BB274:BB275">
    <cfRule type="cellIs" dxfId="14377" priority="5431" operator="lessThan">
      <formula>0</formula>
    </cfRule>
    <cfRule type="cellIs" dxfId="14376" priority="5432" operator="lessThan">
      <formula>-105575</formula>
    </cfRule>
  </conditionalFormatting>
  <conditionalFormatting sqref="BB274:BB275">
    <cfRule type="cellIs" dxfId="14375" priority="5429" operator="lessThan">
      <formula>0</formula>
    </cfRule>
    <cfRule type="cellIs" dxfId="14374" priority="5430" operator="lessThan">
      <formula>-105575</formula>
    </cfRule>
  </conditionalFormatting>
  <conditionalFormatting sqref="BB274:BB275">
    <cfRule type="cellIs" dxfId="14373" priority="5427" operator="lessThan">
      <formula>0</formula>
    </cfRule>
    <cfRule type="cellIs" dxfId="14372" priority="5428" operator="lessThan">
      <formula>-105575</formula>
    </cfRule>
  </conditionalFormatting>
  <conditionalFormatting sqref="BB274:BB275">
    <cfRule type="cellIs" dxfId="14371" priority="5425" operator="lessThan">
      <formula>0</formula>
    </cfRule>
    <cfRule type="cellIs" dxfId="14370" priority="5426" operator="lessThan">
      <formula>-105575</formula>
    </cfRule>
  </conditionalFormatting>
  <conditionalFormatting sqref="BB274:BB275">
    <cfRule type="cellIs" dxfId="14369" priority="5423" operator="lessThan">
      <formula>0</formula>
    </cfRule>
    <cfRule type="cellIs" dxfId="14368" priority="5424" operator="lessThan">
      <formula>-105575</formula>
    </cfRule>
  </conditionalFormatting>
  <conditionalFormatting sqref="BB274:BB275">
    <cfRule type="cellIs" dxfId="14367" priority="5421" operator="lessThan">
      <formula>0</formula>
    </cfRule>
    <cfRule type="cellIs" dxfId="14366" priority="5422" operator="lessThan">
      <formula>-105575</formula>
    </cfRule>
  </conditionalFormatting>
  <conditionalFormatting sqref="BB274:BB275">
    <cfRule type="cellIs" dxfId="14365" priority="5419" operator="lessThan">
      <formula>0</formula>
    </cfRule>
    <cfRule type="cellIs" dxfId="14364" priority="5420" operator="lessThan">
      <formula>-105575</formula>
    </cfRule>
  </conditionalFormatting>
  <conditionalFormatting sqref="BB274:BB275">
    <cfRule type="cellIs" dxfId="14363" priority="5417" operator="lessThan">
      <formula>0</formula>
    </cfRule>
    <cfRule type="cellIs" dxfId="14362" priority="5418" operator="lessThan">
      <formula>-105575</formula>
    </cfRule>
  </conditionalFormatting>
  <conditionalFormatting sqref="BB274:BB275">
    <cfRule type="cellIs" dxfId="14361" priority="5415" operator="lessThan">
      <formula>0</formula>
    </cfRule>
    <cfRule type="cellIs" dxfId="14360" priority="5416" operator="lessThan">
      <formula>-105575</formula>
    </cfRule>
  </conditionalFormatting>
  <conditionalFormatting sqref="BB278:BB282">
    <cfRule type="cellIs" dxfId="14359" priority="5413" operator="lessThan">
      <formula>0</formula>
    </cfRule>
    <cfRule type="cellIs" dxfId="14358" priority="5414" operator="lessThan">
      <formula>-105575</formula>
    </cfRule>
  </conditionalFormatting>
  <conditionalFormatting sqref="BB278:BB282">
    <cfRule type="cellIs" dxfId="14357" priority="5411" operator="lessThan">
      <formula>0</formula>
    </cfRule>
    <cfRule type="cellIs" dxfId="14356" priority="5412" operator="lessThan">
      <formula>-105575</formula>
    </cfRule>
  </conditionalFormatting>
  <conditionalFormatting sqref="BB278:BB282">
    <cfRule type="cellIs" dxfId="14355" priority="5409" operator="lessThan">
      <formula>0</formula>
    </cfRule>
    <cfRule type="cellIs" dxfId="14354" priority="5410" operator="lessThan">
      <formula>-105575</formula>
    </cfRule>
  </conditionalFormatting>
  <conditionalFormatting sqref="BB278:BB282">
    <cfRule type="cellIs" dxfId="14353" priority="5407" operator="lessThan">
      <formula>0</formula>
    </cfRule>
    <cfRule type="cellIs" dxfId="14352" priority="5408" operator="lessThan">
      <formula>-105575</formula>
    </cfRule>
  </conditionalFormatting>
  <conditionalFormatting sqref="BB278:BB282">
    <cfRule type="cellIs" dxfId="14351" priority="5405" operator="lessThan">
      <formula>0</formula>
    </cfRule>
    <cfRule type="cellIs" dxfId="14350" priority="5406" operator="lessThan">
      <formula>-105575</formula>
    </cfRule>
  </conditionalFormatting>
  <conditionalFormatting sqref="BB278:BB282">
    <cfRule type="cellIs" dxfId="14349" priority="5403" operator="lessThan">
      <formula>0</formula>
    </cfRule>
    <cfRule type="cellIs" dxfId="14348" priority="5404" operator="lessThan">
      <formula>-105575</formula>
    </cfRule>
  </conditionalFormatting>
  <conditionalFormatting sqref="BB278:BB282">
    <cfRule type="cellIs" dxfId="14347" priority="5401" operator="lessThan">
      <formula>0</formula>
    </cfRule>
    <cfRule type="cellIs" dxfId="14346" priority="5402" operator="lessThan">
      <formula>-105575</formula>
    </cfRule>
  </conditionalFormatting>
  <conditionalFormatting sqref="BB278:BB282">
    <cfRule type="cellIs" dxfId="14345" priority="5399" operator="lessThan">
      <formula>0</formula>
    </cfRule>
    <cfRule type="cellIs" dxfId="14344" priority="5400" operator="lessThan">
      <formula>-105575</formula>
    </cfRule>
  </conditionalFormatting>
  <conditionalFormatting sqref="BB278:BB282">
    <cfRule type="cellIs" dxfId="14343" priority="5397" operator="lessThan">
      <formula>0</formula>
    </cfRule>
    <cfRule type="cellIs" dxfId="14342" priority="5398" operator="lessThan">
      <formula>-105575</formula>
    </cfRule>
  </conditionalFormatting>
  <conditionalFormatting sqref="BB285:BB288">
    <cfRule type="cellIs" dxfId="14341" priority="5395" operator="lessThan">
      <formula>0</formula>
    </cfRule>
    <cfRule type="cellIs" dxfId="14340" priority="5396" operator="lessThan">
      <formula>-105575</formula>
    </cfRule>
  </conditionalFormatting>
  <conditionalFormatting sqref="BB285:BB288">
    <cfRule type="cellIs" dxfId="14339" priority="5393" operator="lessThan">
      <formula>0</formula>
    </cfRule>
    <cfRule type="cellIs" dxfId="14338" priority="5394" operator="lessThan">
      <formula>-105575</formula>
    </cfRule>
  </conditionalFormatting>
  <conditionalFormatting sqref="BB285:BB288">
    <cfRule type="cellIs" dxfId="14337" priority="5391" operator="lessThan">
      <formula>0</formula>
    </cfRule>
    <cfRule type="cellIs" dxfId="14336" priority="5392" operator="lessThan">
      <formula>-105575</formula>
    </cfRule>
  </conditionalFormatting>
  <conditionalFormatting sqref="BB285:BB288">
    <cfRule type="cellIs" dxfId="14335" priority="5389" operator="lessThan">
      <formula>0</formula>
    </cfRule>
    <cfRule type="cellIs" dxfId="14334" priority="5390" operator="lessThan">
      <formula>-105575</formula>
    </cfRule>
  </conditionalFormatting>
  <conditionalFormatting sqref="BB285:BB288">
    <cfRule type="cellIs" dxfId="14333" priority="5387" operator="lessThan">
      <formula>0</formula>
    </cfRule>
    <cfRule type="cellIs" dxfId="14332" priority="5388" operator="lessThan">
      <formula>-105575</formula>
    </cfRule>
  </conditionalFormatting>
  <conditionalFormatting sqref="BB285:BB288">
    <cfRule type="cellIs" dxfId="14331" priority="5385" operator="lessThan">
      <formula>0</formula>
    </cfRule>
    <cfRule type="cellIs" dxfId="14330" priority="5386" operator="lessThan">
      <formula>-105575</formula>
    </cfRule>
  </conditionalFormatting>
  <conditionalFormatting sqref="BB285:BB288">
    <cfRule type="cellIs" dxfId="14329" priority="5383" operator="lessThan">
      <formula>0</formula>
    </cfRule>
    <cfRule type="cellIs" dxfId="14328" priority="5384" operator="lessThan">
      <formula>-105575</formula>
    </cfRule>
  </conditionalFormatting>
  <conditionalFormatting sqref="BB285:BB288">
    <cfRule type="cellIs" dxfId="14327" priority="5381" operator="lessThan">
      <formula>0</formula>
    </cfRule>
    <cfRule type="cellIs" dxfId="14326" priority="5382" operator="lessThan">
      <formula>-105575</formula>
    </cfRule>
  </conditionalFormatting>
  <conditionalFormatting sqref="BB285:BB288">
    <cfRule type="cellIs" dxfId="14325" priority="5379" operator="lessThan">
      <formula>0</formula>
    </cfRule>
    <cfRule type="cellIs" dxfId="14324" priority="5380" operator="lessThan">
      <formula>-105575</formula>
    </cfRule>
  </conditionalFormatting>
  <conditionalFormatting sqref="BB203 BB220:BB221 BB235:BB243 BB231:BB233 BB212:BB213 BB225:BB226">
    <cfRule type="cellIs" dxfId="14323" priority="5377" operator="lessThan">
      <formula>0</formula>
    </cfRule>
    <cfRule type="cellIs" dxfId="14322" priority="5378" operator="lessThan">
      <formula>-105575</formula>
    </cfRule>
  </conditionalFormatting>
  <conditionalFormatting sqref="BB220 BB212:BB213 BB235:BB238 BB240:BB243 BB225:BB226 BB231:BB233">
    <cfRule type="cellIs" dxfId="14321" priority="5375" operator="lessThan">
      <formula>0</formula>
    </cfRule>
    <cfRule type="cellIs" dxfId="14320" priority="5376" operator="lessThan">
      <formula>-105575</formula>
    </cfRule>
  </conditionalFormatting>
  <conditionalFormatting sqref="BB220:BB221 BB243 BB226 BB231:BB236 BB238:BB241 BB203 BB213">
    <cfRule type="cellIs" dxfId="14319" priority="5373" operator="lessThan">
      <formula>0</formula>
    </cfRule>
    <cfRule type="cellIs" dxfId="14318" priority="5374" operator="lessThan">
      <formula>-105575</formula>
    </cfRule>
  </conditionalFormatting>
  <conditionalFormatting sqref="BB235:BB243 BB231:BB233 BB220 BB212:BB213 BB225:BB226">
    <cfRule type="cellIs" dxfId="14317" priority="5371" operator="lessThan">
      <formula>0</formula>
    </cfRule>
    <cfRule type="cellIs" dxfId="14316" priority="5372" operator="lessThan">
      <formula>-105575</formula>
    </cfRule>
  </conditionalFormatting>
  <conditionalFormatting sqref="BB220:BB221 BB237:BB243 BB203 BB231:BB235 BB212:BB213 BB225:BB226">
    <cfRule type="cellIs" dxfId="14315" priority="5369" operator="lessThan">
      <formula>0</formula>
    </cfRule>
    <cfRule type="cellIs" dxfId="14314" priority="5370" operator="lessThan">
      <formula>-105575</formula>
    </cfRule>
  </conditionalFormatting>
  <conditionalFormatting sqref="BB220:BB221 BB237:BB240 BB242:BB243 BB225:BB226 BB231:BB235">
    <cfRule type="cellIs" dxfId="14313" priority="5367" operator="lessThan">
      <formula>0</formula>
    </cfRule>
    <cfRule type="cellIs" dxfId="14312" priority="5368" operator="lessThan">
      <formula>-105575</formula>
    </cfRule>
  </conditionalFormatting>
  <conditionalFormatting sqref="BB212 BB231 BB233:BB238 BB240:BB243 BB225">
    <cfRule type="cellIs" dxfId="14311" priority="5365" operator="lessThan">
      <formula>0</formula>
    </cfRule>
    <cfRule type="cellIs" dxfId="14310" priority="5366" operator="lessThan">
      <formula>-105575</formula>
    </cfRule>
  </conditionalFormatting>
  <conditionalFormatting sqref="BB237:BB243 BB231:BB235 BB220:BB221 BB225:BB226">
    <cfRule type="cellIs" dxfId="14309" priority="5363" operator="lessThan">
      <formula>0</formula>
    </cfRule>
    <cfRule type="cellIs" dxfId="14308" priority="5364" operator="lessThan">
      <formula>-105575</formula>
    </cfRule>
  </conditionalFormatting>
  <conditionalFormatting sqref="BB233:BB237 BB231 BB239:BB243">
    <cfRule type="cellIs" dxfId="14307" priority="5361" operator="lessThan">
      <formula>0</formula>
    </cfRule>
    <cfRule type="cellIs" dxfId="14306" priority="5362" operator="lessThan">
      <formula>-105575</formula>
    </cfRule>
  </conditionalFormatting>
  <conditionalFormatting sqref="BB233:BB237 BB231 BB239:BB243">
    <cfRule type="cellIs" dxfId="14305" priority="5359" operator="lessThan">
      <formula>0</formula>
    </cfRule>
    <cfRule type="cellIs" dxfId="14304" priority="5360" operator="lessThan">
      <formula>-105575</formula>
    </cfRule>
  </conditionalFormatting>
  <conditionalFormatting sqref="BB119:BB128 BB106:BB117 BB101:BB104 BB80:BB98">
    <cfRule type="cellIs" dxfId="14303" priority="5357" operator="lessThan">
      <formula>0</formula>
    </cfRule>
    <cfRule type="cellIs" dxfId="14302" priority="5358" operator="lessThan">
      <formula>-105575</formula>
    </cfRule>
  </conditionalFormatting>
  <conditionalFormatting sqref="BB130 BB132 BB134">
    <cfRule type="cellIs" dxfId="14301" priority="5355" operator="lessThan">
      <formula>0</formula>
    </cfRule>
    <cfRule type="cellIs" dxfId="14300" priority="5356" operator="lessThan">
      <formula>-105575</formula>
    </cfRule>
  </conditionalFormatting>
  <conditionalFormatting sqref="BB130 BB132 BB134">
    <cfRule type="cellIs" dxfId="14299" priority="5353" operator="lessThan">
      <formula>0</formula>
    </cfRule>
    <cfRule type="cellIs" dxfId="14298" priority="5354" operator="lessThan">
      <formula>-105575</formula>
    </cfRule>
  </conditionalFormatting>
  <conditionalFormatting sqref="BB129 BB131 BB133 BB135">
    <cfRule type="cellIs" dxfId="14297" priority="5351" operator="lessThan">
      <formula>0</formula>
    </cfRule>
    <cfRule type="cellIs" dxfId="14296" priority="5352" operator="lessThan">
      <formula>-105575</formula>
    </cfRule>
  </conditionalFormatting>
  <conditionalFormatting sqref="BB140 BB145 BB142:BB143 BB137:BB138">
    <cfRule type="cellIs" dxfId="14295" priority="5349" operator="lessThan">
      <formula>0</formula>
    </cfRule>
    <cfRule type="cellIs" dxfId="14294" priority="5350" operator="lessThan">
      <formula>-105575</formula>
    </cfRule>
  </conditionalFormatting>
  <conditionalFormatting sqref="BB149">
    <cfRule type="cellIs" dxfId="14293" priority="5347" operator="lessThan">
      <formula>0</formula>
    </cfRule>
    <cfRule type="cellIs" dxfId="14292" priority="5348" operator="lessThan">
      <formula>-105575</formula>
    </cfRule>
  </conditionalFormatting>
  <conditionalFormatting sqref="BB129:BB138 BB140:BB149">
    <cfRule type="cellIs" dxfId="14291" priority="5345" operator="lessThan">
      <formula>0</formula>
    </cfRule>
    <cfRule type="cellIs" dxfId="14290" priority="5346" operator="lessThan">
      <formula>-105575</formula>
    </cfRule>
  </conditionalFormatting>
  <conditionalFormatting sqref="BB94:BB98 BB86:BB87 BB89:BB91 BB141:BB149 BB124:BB133 BB107:BB110 BB112:BB117 BB119:BB122 BB135:BB138 BB101:BB104 BB80:BB84">
    <cfRule type="cellIs" dxfId="14289" priority="5343" operator="lessThan">
      <formula>0</formula>
    </cfRule>
    <cfRule type="cellIs" dxfId="14288" priority="5344" operator="lessThan">
      <formula>-105575</formula>
    </cfRule>
  </conditionalFormatting>
  <conditionalFormatting sqref="BB129 BB131 BB133 BB135">
    <cfRule type="cellIs" dxfId="14287" priority="5341" operator="lessThan">
      <formula>0</formula>
    </cfRule>
    <cfRule type="cellIs" dxfId="14286" priority="5342" operator="lessThan">
      <formula>-105575</formula>
    </cfRule>
  </conditionalFormatting>
  <conditionalFormatting sqref="BB146 BB144 BB141">
    <cfRule type="cellIs" dxfId="14285" priority="5339" operator="lessThan">
      <formula>0</formula>
    </cfRule>
    <cfRule type="cellIs" dxfId="14284" priority="5340" operator="lessThan">
      <formula>-105575</formula>
    </cfRule>
  </conditionalFormatting>
  <conditionalFormatting sqref="BB146 BB144 BB141">
    <cfRule type="cellIs" dxfId="14283" priority="5337" operator="lessThan">
      <formula>0</formula>
    </cfRule>
    <cfRule type="cellIs" dxfId="14282" priority="5338" operator="lessThan">
      <formula>-105575</formula>
    </cfRule>
  </conditionalFormatting>
  <conditionalFormatting sqref="BB140 BB145 BB142:BB143 BB137:BB138">
    <cfRule type="cellIs" dxfId="14281" priority="5335" operator="lessThan">
      <formula>0</formula>
    </cfRule>
    <cfRule type="cellIs" dxfId="14280" priority="5336" operator="lessThan">
      <formula>-105575</formula>
    </cfRule>
  </conditionalFormatting>
  <conditionalFormatting sqref="BB149">
    <cfRule type="cellIs" dxfId="14279" priority="5333" operator="lessThan">
      <formula>0</formula>
    </cfRule>
    <cfRule type="cellIs" dxfId="14278" priority="5334" operator="lessThan">
      <formula>-105575</formula>
    </cfRule>
  </conditionalFormatting>
  <conditionalFormatting sqref="BB94:BB98 BB86:BB87 BB89:BB91 BB141:BB149 BB124:BB133 BB107:BB110 BB112:BB117 BB119:BB122 BB135:BB138 BB101:BB104 BB80:BB84">
    <cfRule type="cellIs" dxfId="14277" priority="5331" operator="lessThan">
      <formula>0</formula>
    </cfRule>
    <cfRule type="cellIs" dxfId="14276" priority="5332" operator="lessThan">
      <formula>-105575</formula>
    </cfRule>
  </conditionalFormatting>
  <conditionalFormatting sqref="BB246:BB249 BB262 BB267 BB279:BB282 BB285:BB288 BB274:BB275 BB306:BB309 BB311:BB325 BB327:BB330 BB332:BB341 BB344:BB347 BB349:BB353 BB355:BB358 BB360:BB384 BB386:BB389 BB392:BB395 BB397:BB411 BB413:BB416 BB418:BB432 BB434:BB437 BB439:BB453 BB455:BB458 BB460:BB469 BB7:BB10 BB12:BB14 BB17:BB18 BB21:BB24 BB26:BB28 BB30:BB36 BB38 BB41:BB43 BB46:BB49 BB51:BB55 BB57:BB59 BB62:BB76 BB251:BB253 BB255:BB257 BB293:BB304 BB264:BB265 BB260 BB290:BB291 BB270:BB272">
    <cfRule type="cellIs" dxfId="14275" priority="5329" operator="lessThan">
      <formula>0</formula>
    </cfRule>
    <cfRule type="cellIs" dxfId="14274" priority="5330" operator="lessThan">
      <formula>-105575</formula>
    </cfRule>
  </conditionalFormatting>
  <conditionalFormatting sqref="BB41">
    <cfRule type="cellIs" dxfId="14273" priority="5327" operator="lessThan">
      <formula>0</formula>
    </cfRule>
    <cfRule type="cellIs" dxfId="14272" priority="5328" operator="lessThan">
      <formula>-105575</formula>
    </cfRule>
  </conditionalFormatting>
  <conditionalFormatting sqref="BB152:BB155">
    <cfRule type="cellIs" dxfId="14271" priority="5325" operator="lessThan">
      <formula>0</formula>
    </cfRule>
    <cfRule type="cellIs" dxfId="14270" priority="5326" operator="lessThan">
      <formula>-105575</formula>
    </cfRule>
  </conditionalFormatting>
  <conditionalFormatting sqref="BB152:BB155">
    <cfRule type="cellIs" dxfId="14269" priority="5323" operator="lessThan">
      <formula>0</formula>
    </cfRule>
    <cfRule type="cellIs" dxfId="14268" priority="5324" operator="lessThan">
      <formula>-105575</formula>
    </cfRule>
  </conditionalFormatting>
  <conditionalFormatting sqref="BB152:BB155">
    <cfRule type="cellIs" dxfId="14267" priority="5321" operator="lessThan">
      <formula>0</formula>
    </cfRule>
    <cfRule type="cellIs" dxfId="14266" priority="5322" operator="lessThan">
      <formula>-105575</formula>
    </cfRule>
  </conditionalFormatting>
  <conditionalFormatting sqref="BB157:BB158">
    <cfRule type="cellIs" dxfId="14265" priority="5319" operator="lessThan">
      <formula>0</formula>
    </cfRule>
    <cfRule type="cellIs" dxfId="14264" priority="5320" operator="lessThan">
      <formula>-105575</formula>
    </cfRule>
  </conditionalFormatting>
  <conditionalFormatting sqref="BB157:BB158">
    <cfRule type="cellIs" dxfId="14263" priority="5317" operator="lessThan">
      <formula>0</formula>
    </cfRule>
    <cfRule type="cellIs" dxfId="14262" priority="5318" operator="lessThan">
      <formula>-105575</formula>
    </cfRule>
  </conditionalFormatting>
  <conditionalFormatting sqref="BB157:BB158">
    <cfRule type="cellIs" dxfId="14261" priority="5315" operator="lessThan">
      <formula>0</formula>
    </cfRule>
    <cfRule type="cellIs" dxfId="14260" priority="5316" operator="lessThan">
      <formula>-105575</formula>
    </cfRule>
  </conditionalFormatting>
  <conditionalFormatting sqref="BB160:BB161">
    <cfRule type="cellIs" dxfId="14259" priority="5313" operator="lessThan">
      <formula>0</formula>
    </cfRule>
    <cfRule type="cellIs" dxfId="14258" priority="5314" operator="lessThan">
      <formula>-105575</formula>
    </cfRule>
  </conditionalFormatting>
  <conditionalFormatting sqref="BB160:BB161">
    <cfRule type="cellIs" dxfId="14257" priority="5311" operator="lessThan">
      <formula>0</formula>
    </cfRule>
    <cfRule type="cellIs" dxfId="14256" priority="5312" operator="lessThan">
      <formula>-105575</formula>
    </cfRule>
  </conditionalFormatting>
  <conditionalFormatting sqref="BB160:BB161">
    <cfRule type="cellIs" dxfId="14255" priority="5309" operator="lessThan">
      <formula>0</formula>
    </cfRule>
    <cfRule type="cellIs" dxfId="14254" priority="5310" operator="lessThan">
      <formula>-105575</formula>
    </cfRule>
  </conditionalFormatting>
  <conditionalFormatting sqref="BB164:BB167">
    <cfRule type="cellIs" dxfId="14253" priority="5307" operator="lessThan">
      <formula>0</formula>
    </cfRule>
    <cfRule type="cellIs" dxfId="14252" priority="5308" operator="lessThan">
      <formula>-105575</formula>
    </cfRule>
  </conditionalFormatting>
  <conditionalFormatting sqref="BB164:BB167">
    <cfRule type="cellIs" dxfId="14251" priority="5305" operator="lessThan">
      <formula>0</formula>
    </cfRule>
    <cfRule type="cellIs" dxfId="14250" priority="5306" operator="lessThan">
      <formula>-105575</formula>
    </cfRule>
  </conditionalFormatting>
  <conditionalFormatting sqref="BB164:BB167">
    <cfRule type="cellIs" dxfId="14249" priority="5303" operator="lessThan">
      <formula>0</formula>
    </cfRule>
    <cfRule type="cellIs" dxfId="14248" priority="5304" operator="lessThan">
      <formula>-105575</formula>
    </cfRule>
  </conditionalFormatting>
  <conditionalFormatting sqref="BB169:BB177">
    <cfRule type="cellIs" dxfId="14247" priority="5301" operator="lessThan">
      <formula>0</formula>
    </cfRule>
    <cfRule type="cellIs" dxfId="14246" priority="5302" operator="lessThan">
      <formula>-105575</formula>
    </cfRule>
  </conditionalFormatting>
  <conditionalFormatting sqref="BB169:BB177">
    <cfRule type="cellIs" dxfId="14245" priority="5299" operator="lessThan">
      <formula>0</formula>
    </cfRule>
    <cfRule type="cellIs" dxfId="14244" priority="5300" operator="lessThan">
      <formula>-105575</formula>
    </cfRule>
  </conditionalFormatting>
  <conditionalFormatting sqref="BB169:BB177">
    <cfRule type="cellIs" dxfId="14243" priority="5297" operator="lessThan">
      <formula>0</formula>
    </cfRule>
    <cfRule type="cellIs" dxfId="14242" priority="5298" operator="lessThan">
      <formula>-105575</formula>
    </cfRule>
  </conditionalFormatting>
  <conditionalFormatting sqref="BB179:BB180">
    <cfRule type="cellIs" dxfId="14241" priority="5295" operator="lessThan">
      <formula>0</formula>
    </cfRule>
    <cfRule type="cellIs" dxfId="14240" priority="5296" operator="lessThan">
      <formula>-105575</formula>
    </cfRule>
  </conditionalFormatting>
  <conditionalFormatting sqref="BB179:BB180">
    <cfRule type="cellIs" dxfId="14239" priority="5293" operator="lessThan">
      <formula>0</formula>
    </cfRule>
    <cfRule type="cellIs" dxfId="14238" priority="5294" operator="lessThan">
      <formula>-105575</formula>
    </cfRule>
  </conditionalFormatting>
  <conditionalFormatting sqref="BB179:BB180">
    <cfRule type="cellIs" dxfId="14237" priority="5291" operator="lessThan">
      <formula>0</formula>
    </cfRule>
    <cfRule type="cellIs" dxfId="14236" priority="5292" operator="lessThan">
      <formula>-105575</formula>
    </cfRule>
  </conditionalFormatting>
  <conditionalFormatting sqref="BB183:BB189">
    <cfRule type="cellIs" dxfId="14235" priority="5289" operator="lessThan">
      <formula>0</formula>
    </cfRule>
    <cfRule type="cellIs" dxfId="14234" priority="5290" operator="lessThan">
      <formula>-105575</formula>
    </cfRule>
  </conditionalFormatting>
  <conditionalFormatting sqref="BB183:BB189">
    <cfRule type="cellIs" dxfId="14233" priority="5287" operator="lessThan">
      <formula>0</formula>
    </cfRule>
    <cfRule type="cellIs" dxfId="14232" priority="5288" operator="lessThan">
      <formula>-105575</formula>
    </cfRule>
  </conditionalFormatting>
  <conditionalFormatting sqref="BB183:BB189">
    <cfRule type="cellIs" dxfId="14231" priority="5285" operator="lessThan">
      <formula>0</formula>
    </cfRule>
    <cfRule type="cellIs" dxfId="14230" priority="5286" operator="lessThan">
      <formula>-105575</formula>
    </cfRule>
  </conditionalFormatting>
  <conditionalFormatting sqref="BB191:BB192">
    <cfRule type="cellIs" dxfId="14229" priority="5283" operator="lessThan">
      <formula>0</formula>
    </cfRule>
    <cfRule type="cellIs" dxfId="14228" priority="5284" operator="lessThan">
      <formula>-105575</formula>
    </cfRule>
  </conditionalFormatting>
  <conditionalFormatting sqref="BB191:BB192">
    <cfRule type="cellIs" dxfId="14227" priority="5281" operator="lessThan">
      <formula>0</formula>
    </cfRule>
    <cfRule type="cellIs" dxfId="14226" priority="5282" operator="lessThan">
      <formula>-105575</formula>
    </cfRule>
  </conditionalFormatting>
  <conditionalFormatting sqref="BB191:BB192">
    <cfRule type="cellIs" dxfId="14225" priority="5279" operator="lessThan">
      <formula>0</formula>
    </cfRule>
    <cfRule type="cellIs" dxfId="14224" priority="5280" operator="lessThan">
      <formula>-105575</formula>
    </cfRule>
  </conditionalFormatting>
  <conditionalFormatting sqref="BB194:BB195">
    <cfRule type="cellIs" dxfId="14223" priority="5277" operator="lessThan">
      <formula>0</formula>
    </cfRule>
    <cfRule type="cellIs" dxfId="14222" priority="5278" operator="lessThan">
      <formula>-105575</formula>
    </cfRule>
  </conditionalFormatting>
  <conditionalFormatting sqref="BB194:BB195">
    <cfRule type="cellIs" dxfId="14221" priority="5275" operator="lessThan">
      <formula>0</formula>
    </cfRule>
    <cfRule type="cellIs" dxfId="14220" priority="5276" operator="lessThan">
      <formula>-105575</formula>
    </cfRule>
  </conditionalFormatting>
  <conditionalFormatting sqref="BB194:BB195">
    <cfRule type="cellIs" dxfId="14219" priority="5273" operator="lessThan">
      <formula>0</formula>
    </cfRule>
    <cfRule type="cellIs" dxfId="14218" priority="5274" operator="lessThan">
      <formula>-105575</formula>
    </cfRule>
  </conditionalFormatting>
  <conditionalFormatting sqref="BB199:BB202">
    <cfRule type="cellIs" dxfId="14217" priority="5271" operator="lessThan">
      <formula>0</formula>
    </cfRule>
    <cfRule type="cellIs" dxfId="14216" priority="5272" operator="lessThan">
      <formula>-105575</formula>
    </cfRule>
  </conditionalFormatting>
  <conditionalFormatting sqref="BB199:BB202">
    <cfRule type="cellIs" dxfId="14215" priority="5269" operator="lessThan">
      <formula>0</formula>
    </cfRule>
    <cfRule type="cellIs" dxfId="14214" priority="5270" operator="lessThan">
      <formula>-105575</formula>
    </cfRule>
  </conditionalFormatting>
  <conditionalFormatting sqref="BB199:BB202">
    <cfRule type="cellIs" dxfId="14213" priority="5267" operator="lessThan">
      <formula>0</formula>
    </cfRule>
    <cfRule type="cellIs" dxfId="14212" priority="5268" operator="lessThan">
      <formula>-105575</formula>
    </cfRule>
  </conditionalFormatting>
  <conditionalFormatting sqref="BB204:BB208">
    <cfRule type="cellIs" dxfId="14211" priority="5265" operator="lessThan">
      <formula>0</formula>
    </cfRule>
    <cfRule type="cellIs" dxfId="14210" priority="5266" operator="lessThan">
      <formula>-105575</formula>
    </cfRule>
  </conditionalFormatting>
  <conditionalFormatting sqref="BB204:BB208">
    <cfRule type="cellIs" dxfId="14209" priority="5263" operator="lessThan">
      <formula>0</formula>
    </cfRule>
    <cfRule type="cellIs" dxfId="14208" priority="5264" operator="lessThan">
      <formula>-105575</formula>
    </cfRule>
  </conditionalFormatting>
  <conditionalFormatting sqref="BB204:BB208">
    <cfRule type="cellIs" dxfId="14207" priority="5261" operator="lessThan">
      <formula>0</formula>
    </cfRule>
    <cfRule type="cellIs" dxfId="14206" priority="5262" operator="lessThan">
      <formula>-105575</formula>
    </cfRule>
  </conditionalFormatting>
  <conditionalFormatting sqref="BB210:BB211">
    <cfRule type="cellIs" dxfId="14205" priority="5259" operator="lessThan">
      <formula>0</formula>
    </cfRule>
    <cfRule type="cellIs" dxfId="14204" priority="5260" operator="lessThan">
      <formula>-105575</formula>
    </cfRule>
  </conditionalFormatting>
  <conditionalFormatting sqref="BB210:BB211">
    <cfRule type="cellIs" dxfId="14203" priority="5257" operator="lessThan">
      <formula>0</formula>
    </cfRule>
    <cfRule type="cellIs" dxfId="14202" priority="5258" operator="lessThan">
      <formula>-105575</formula>
    </cfRule>
  </conditionalFormatting>
  <conditionalFormatting sqref="BB210:BB211">
    <cfRule type="cellIs" dxfId="14201" priority="5255" operator="lessThan">
      <formula>0</formula>
    </cfRule>
    <cfRule type="cellIs" dxfId="14200" priority="5256" operator="lessThan">
      <formula>-105575</formula>
    </cfRule>
  </conditionalFormatting>
  <conditionalFormatting sqref="BB214:BB219">
    <cfRule type="cellIs" dxfId="14199" priority="5253" operator="lessThan">
      <formula>0</formula>
    </cfRule>
    <cfRule type="cellIs" dxfId="14198" priority="5254" operator="lessThan">
      <formula>-105575</formula>
    </cfRule>
  </conditionalFormatting>
  <conditionalFormatting sqref="BB214:BB219">
    <cfRule type="cellIs" dxfId="14197" priority="5251" operator="lessThan">
      <formula>0</formula>
    </cfRule>
    <cfRule type="cellIs" dxfId="14196" priority="5252" operator="lessThan">
      <formula>-105575</formula>
    </cfRule>
  </conditionalFormatting>
  <conditionalFormatting sqref="BB214:BB219">
    <cfRule type="cellIs" dxfId="14195" priority="5249" operator="lessThan">
      <formula>0</formula>
    </cfRule>
    <cfRule type="cellIs" dxfId="14194" priority="5250" operator="lessThan">
      <formula>-105575</formula>
    </cfRule>
  </conditionalFormatting>
  <conditionalFormatting sqref="BB222:BB224">
    <cfRule type="cellIs" dxfId="14193" priority="5247" operator="lessThan">
      <formula>0</formula>
    </cfRule>
    <cfRule type="cellIs" dxfId="14192" priority="5248" operator="lessThan">
      <formula>-105575</formula>
    </cfRule>
  </conditionalFormatting>
  <conditionalFormatting sqref="BB222:BB224">
    <cfRule type="cellIs" dxfId="14191" priority="5245" operator="lessThan">
      <formula>0</formula>
    </cfRule>
    <cfRule type="cellIs" dxfId="14190" priority="5246" operator="lessThan">
      <formula>-105575</formula>
    </cfRule>
  </conditionalFormatting>
  <conditionalFormatting sqref="BB222:BB224">
    <cfRule type="cellIs" dxfId="14189" priority="5243" operator="lessThan">
      <formula>0</formula>
    </cfRule>
    <cfRule type="cellIs" dxfId="14188" priority="5244" operator="lessThan">
      <formula>-105575</formula>
    </cfRule>
  </conditionalFormatting>
  <conditionalFormatting sqref="BB227:BB230">
    <cfRule type="cellIs" dxfId="14187" priority="5241" operator="lessThan">
      <formula>0</formula>
    </cfRule>
    <cfRule type="cellIs" dxfId="14186" priority="5242" operator="lessThan">
      <formula>-105575</formula>
    </cfRule>
  </conditionalFormatting>
  <conditionalFormatting sqref="BB227:BB230">
    <cfRule type="cellIs" dxfId="14185" priority="5239" operator="lessThan">
      <formula>0</formula>
    </cfRule>
    <cfRule type="cellIs" dxfId="14184" priority="5240" operator="lessThan">
      <formula>-105575</formula>
    </cfRule>
  </conditionalFormatting>
  <conditionalFormatting sqref="BB227:BB230">
    <cfRule type="cellIs" dxfId="14183" priority="5237" operator="lessThan">
      <formula>0</formula>
    </cfRule>
    <cfRule type="cellIs" dxfId="14182" priority="5238" operator="lessThan">
      <formula>-105575</formula>
    </cfRule>
  </conditionalFormatting>
  <conditionalFormatting sqref="BB203 BB220:BB221 BB235:BB243 BB231:BB233 BB212:BB213 BB225:BB226">
    <cfRule type="cellIs" dxfId="14181" priority="5235" operator="lessThan">
      <formula>0</formula>
    </cfRule>
    <cfRule type="cellIs" dxfId="14180" priority="5236" operator="lessThan">
      <formula>-105575</formula>
    </cfRule>
  </conditionalFormatting>
  <conditionalFormatting sqref="BB220 BB212:BB213 BB235:BB238 BB240:BB243 BB225:BB226 BB231:BB233">
    <cfRule type="cellIs" dxfId="14179" priority="5233" operator="lessThan">
      <formula>0</formula>
    </cfRule>
    <cfRule type="cellIs" dxfId="14178" priority="5234" operator="lessThan">
      <formula>-105575</formula>
    </cfRule>
  </conditionalFormatting>
  <conditionalFormatting sqref="BB220:BB221 BB243 BB226 BB231:BB236 BB238:BB241 BB203 BB213">
    <cfRule type="cellIs" dxfId="14177" priority="5231" operator="lessThan">
      <formula>0</formula>
    </cfRule>
    <cfRule type="cellIs" dxfId="14176" priority="5232" operator="lessThan">
      <formula>-105575</formula>
    </cfRule>
  </conditionalFormatting>
  <conditionalFormatting sqref="BB235:BB243 BB231:BB233 BB220 BB212:BB213 BB225:BB226">
    <cfRule type="cellIs" dxfId="14175" priority="5229" operator="lessThan">
      <formula>0</formula>
    </cfRule>
    <cfRule type="cellIs" dxfId="14174" priority="5230" operator="lessThan">
      <formula>-105575</formula>
    </cfRule>
  </conditionalFormatting>
  <conditionalFormatting sqref="BB220:BB221 BB237:BB243 BB203 BB231:BB235 BB212:BB213 BB225:BB226">
    <cfRule type="cellIs" dxfId="14173" priority="5227" operator="lessThan">
      <formula>0</formula>
    </cfRule>
    <cfRule type="cellIs" dxfId="14172" priority="5228" operator="lessThan">
      <formula>-105575</formula>
    </cfRule>
  </conditionalFormatting>
  <conditionalFormatting sqref="BB220:BB221 BB237:BB240 BB242:BB243 BB225:BB226 BB231:BB235">
    <cfRule type="cellIs" dxfId="14171" priority="5225" operator="lessThan">
      <formula>0</formula>
    </cfRule>
    <cfRule type="cellIs" dxfId="14170" priority="5226" operator="lessThan">
      <formula>-105575</formula>
    </cfRule>
  </conditionalFormatting>
  <conditionalFormatting sqref="BB212 BB231 BB233:BB238 BB240:BB243 BB225">
    <cfRule type="cellIs" dxfId="14169" priority="5223" operator="lessThan">
      <formula>0</formula>
    </cfRule>
    <cfRule type="cellIs" dxfId="14168" priority="5224" operator="lessThan">
      <formula>-105575</formula>
    </cfRule>
  </conditionalFormatting>
  <conditionalFormatting sqref="BB237:BB243 BB231:BB235 BB220:BB221 BB225:BB226">
    <cfRule type="cellIs" dxfId="14167" priority="5221" operator="lessThan">
      <formula>0</formula>
    </cfRule>
    <cfRule type="cellIs" dxfId="14166" priority="5222" operator="lessThan">
      <formula>-105575</formula>
    </cfRule>
  </conditionalFormatting>
  <conditionalFormatting sqref="BB233:BB237 BB231 BB239:BB243">
    <cfRule type="cellIs" dxfId="14165" priority="5219" operator="lessThan">
      <formula>0</formula>
    </cfRule>
    <cfRule type="cellIs" dxfId="14164" priority="5220" operator="lessThan">
      <formula>-105575</formula>
    </cfRule>
  </conditionalFormatting>
  <conditionalFormatting sqref="BB233:BB237 BB231 BB239:BB243">
    <cfRule type="cellIs" dxfId="14163" priority="5217" operator="lessThan">
      <formula>0</formula>
    </cfRule>
    <cfRule type="cellIs" dxfId="14162" priority="5218" operator="lessThan">
      <formula>-105575</formula>
    </cfRule>
  </conditionalFormatting>
  <conditionalFormatting sqref="BB119:BB128 BB106:BB117 BB101:BB104 BB80:BB98">
    <cfRule type="cellIs" dxfId="14161" priority="5215" operator="lessThan">
      <formula>0</formula>
    </cfRule>
    <cfRule type="cellIs" dxfId="14160" priority="5216" operator="lessThan">
      <formula>-105575</formula>
    </cfRule>
  </conditionalFormatting>
  <conditionalFormatting sqref="BB130 BB132 BB134">
    <cfRule type="cellIs" dxfId="14159" priority="5213" operator="lessThan">
      <formula>0</formula>
    </cfRule>
    <cfRule type="cellIs" dxfId="14158" priority="5214" operator="lessThan">
      <formula>-105575</formula>
    </cfRule>
  </conditionalFormatting>
  <conditionalFormatting sqref="BB130 BB132 BB134">
    <cfRule type="cellIs" dxfId="14157" priority="5211" operator="lessThan">
      <formula>0</formula>
    </cfRule>
    <cfRule type="cellIs" dxfId="14156" priority="5212" operator="lessThan">
      <formula>-105575</formula>
    </cfRule>
  </conditionalFormatting>
  <conditionalFormatting sqref="BB129 BB131 BB133 BB135">
    <cfRule type="cellIs" dxfId="14155" priority="5209" operator="lessThan">
      <formula>0</formula>
    </cfRule>
    <cfRule type="cellIs" dxfId="14154" priority="5210" operator="lessThan">
      <formula>-105575</formula>
    </cfRule>
  </conditionalFormatting>
  <conditionalFormatting sqref="BB140 BB145 BB142:BB143 BB137:BB138">
    <cfRule type="cellIs" dxfId="14153" priority="5207" operator="lessThan">
      <formula>0</formula>
    </cfRule>
    <cfRule type="cellIs" dxfId="14152" priority="5208" operator="lessThan">
      <formula>-105575</formula>
    </cfRule>
  </conditionalFormatting>
  <conditionalFormatting sqref="BB149">
    <cfRule type="cellIs" dxfId="14151" priority="5205" operator="lessThan">
      <formula>0</formula>
    </cfRule>
    <cfRule type="cellIs" dxfId="14150" priority="5206" operator="lessThan">
      <formula>-105575</formula>
    </cfRule>
  </conditionalFormatting>
  <conditionalFormatting sqref="BB129:BB138 BB140:BB149">
    <cfRule type="cellIs" dxfId="14149" priority="5203" operator="lessThan">
      <formula>0</formula>
    </cfRule>
    <cfRule type="cellIs" dxfId="14148" priority="5204" operator="lessThan">
      <formula>-105575</formula>
    </cfRule>
  </conditionalFormatting>
  <conditionalFormatting sqref="BB94:BB98 BB86:BB87 BB89:BB91 BB141:BB149 BB124:BB133 BB107:BB110 BB112:BB117 BB119:BB122 BB135:BB138 BB101:BB104 BB80:BB84">
    <cfRule type="cellIs" dxfId="14147" priority="5201" operator="lessThan">
      <formula>0</formula>
    </cfRule>
    <cfRule type="cellIs" dxfId="14146" priority="5202" operator="lessThan">
      <formula>-105575</formula>
    </cfRule>
  </conditionalFormatting>
  <conditionalFormatting sqref="BB129 BB131 BB133 BB135">
    <cfRule type="cellIs" dxfId="14145" priority="5199" operator="lessThan">
      <formula>0</formula>
    </cfRule>
    <cfRule type="cellIs" dxfId="14144" priority="5200" operator="lessThan">
      <formula>-105575</formula>
    </cfRule>
  </conditionalFormatting>
  <conditionalFormatting sqref="BB146 BB144 BB141">
    <cfRule type="cellIs" dxfId="14143" priority="5197" operator="lessThan">
      <formula>0</formula>
    </cfRule>
    <cfRule type="cellIs" dxfId="14142" priority="5198" operator="lessThan">
      <formula>-105575</formula>
    </cfRule>
  </conditionalFormatting>
  <conditionalFormatting sqref="BB146 BB144 BB141">
    <cfRule type="cellIs" dxfId="14141" priority="5195" operator="lessThan">
      <formula>0</formula>
    </cfRule>
    <cfRule type="cellIs" dxfId="14140" priority="5196" operator="lessThan">
      <formula>-105575</formula>
    </cfRule>
  </conditionalFormatting>
  <conditionalFormatting sqref="BB140 BB145 BB142:BB143 BB137:BB138">
    <cfRule type="cellIs" dxfId="14139" priority="5193" operator="lessThan">
      <formula>0</formula>
    </cfRule>
    <cfRule type="cellIs" dxfId="14138" priority="5194" operator="lessThan">
      <formula>-105575</formula>
    </cfRule>
  </conditionalFormatting>
  <conditionalFormatting sqref="BB149">
    <cfRule type="cellIs" dxfId="14137" priority="5191" operator="lessThan">
      <formula>0</formula>
    </cfRule>
    <cfRule type="cellIs" dxfId="14136" priority="5192" operator="lessThan">
      <formula>-105575</formula>
    </cfRule>
  </conditionalFormatting>
  <conditionalFormatting sqref="BB94:BB98 BB86:BB87 BB89:BB91 BB141:BB149 BB124:BB133 BB107:BB110 BB112:BB117 BB119:BB122 BB135:BB138 BB101:BB104 BB80:BB84">
    <cfRule type="cellIs" dxfId="14135" priority="5189" operator="lessThan">
      <formula>0</formula>
    </cfRule>
    <cfRule type="cellIs" dxfId="14134" priority="5190" operator="lessThan">
      <formula>-105575</formula>
    </cfRule>
  </conditionalFormatting>
  <conditionalFormatting sqref="BB62:BB76 BB306:BB309 BB311:BB325 BB327:BB330 BB332:BB341 BB344:BB347 BB349:BB353 BB355:BB358 BB360:BB384 BB386:BB389 BB392:BB395 BB397:BB411 BB413:BB416 BB418:BB432 BB434:BB437 BB439:BB453 BB455:BB458 BB460:BB469 BB7:BB10 BB12:BB14 BB17:BB18 BB21:BB24 BB26:BB28 BB30:BB36 BB38 BB41:BB43 BB46:BB49 BB51:BB55 BB57:BB59 BB290:BB291 BB293:BB304">
    <cfRule type="cellIs" dxfId="14133" priority="5187" operator="lessThan">
      <formula>0</formula>
    </cfRule>
    <cfRule type="cellIs" dxfId="14132" priority="5188" operator="lessThan">
      <formula>-105575</formula>
    </cfRule>
  </conditionalFormatting>
  <conditionalFormatting sqref="BB41">
    <cfRule type="cellIs" dxfId="14131" priority="5185" operator="lessThan">
      <formula>0</formula>
    </cfRule>
    <cfRule type="cellIs" dxfId="14130" priority="5186" operator="lessThan">
      <formula>-105575</formula>
    </cfRule>
  </conditionalFormatting>
  <conditionalFormatting sqref="BB152:BB155">
    <cfRule type="cellIs" dxfId="14129" priority="5183" operator="lessThan">
      <formula>0</formula>
    </cfRule>
    <cfRule type="cellIs" dxfId="14128" priority="5184" operator="lessThan">
      <formula>-105575</formula>
    </cfRule>
  </conditionalFormatting>
  <conditionalFormatting sqref="BB152:BB155">
    <cfRule type="cellIs" dxfId="14127" priority="5181" operator="lessThan">
      <formula>0</formula>
    </cfRule>
    <cfRule type="cellIs" dxfId="14126" priority="5182" operator="lessThan">
      <formula>-105575</formula>
    </cfRule>
  </conditionalFormatting>
  <conditionalFormatting sqref="BB152:BB155">
    <cfRule type="cellIs" dxfId="14125" priority="5179" operator="lessThan">
      <formula>0</formula>
    </cfRule>
    <cfRule type="cellIs" dxfId="14124" priority="5180" operator="lessThan">
      <formula>-105575</formula>
    </cfRule>
  </conditionalFormatting>
  <conditionalFormatting sqref="BB157:BB158">
    <cfRule type="cellIs" dxfId="14123" priority="5177" operator="lessThan">
      <formula>0</formula>
    </cfRule>
    <cfRule type="cellIs" dxfId="14122" priority="5178" operator="lessThan">
      <formula>-105575</formula>
    </cfRule>
  </conditionalFormatting>
  <conditionalFormatting sqref="BB157:BB158">
    <cfRule type="cellIs" dxfId="14121" priority="5175" operator="lessThan">
      <formula>0</formula>
    </cfRule>
    <cfRule type="cellIs" dxfId="14120" priority="5176" operator="lessThan">
      <formula>-105575</formula>
    </cfRule>
  </conditionalFormatting>
  <conditionalFormatting sqref="BB157:BB158">
    <cfRule type="cellIs" dxfId="14119" priority="5173" operator="lessThan">
      <formula>0</formula>
    </cfRule>
    <cfRule type="cellIs" dxfId="14118" priority="5174" operator="lessThan">
      <formula>-105575</formula>
    </cfRule>
  </conditionalFormatting>
  <conditionalFormatting sqref="BB160:BB161">
    <cfRule type="cellIs" dxfId="14117" priority="5171" operator="lessThan">
      <formula>0</formula>
    </cfRule>
    <cfRule type="cellIs" dxfId="14116" priority="5172" operator="lessThan">
      <formula>-105575</formula>
    </cfRule>
  </conditionalFormatting>
  <conditionalFormatting sqref="BB160:BB161">
    <cfRule type="cellIs" dxfId="14115" priority="5169" operator="lessThan">
      <formula>0</formula>
    </cfRule>
    <cfRule type="cellIs" dxfId="14114" priority="5170" operator="lessThan">
      <formula>-105575</formula>
    </cfRule>
  </conditionalFormatting>
  <conditionalFormatting sqref="BB160:BB161">
    <cfRule type="cellIs" dxfId="14113" priority="5167" operator="lessThan">
      <formula>0</formula>
    </cfRule>
    <cfRule type="cellIs" dxfId="14112" priority="5168" operator="lessThan">
      <formula>-105575</formula>
    </cfRule>
  </conditionalFormatting>
  <conditionalFormatting sqref="BB164:BB167">
    <cfRule type="cellIs" dxfId="14111" priority="5165" operator="lessThan">
      <formula>0</formula>
    </cfRule>
    <cfRule type="cellIs" dxfId="14110" priority="5166" operator="lessThan">
      <formula>-105575</formula>
    </cfRule>
  </conditionalFormatting>
  <conditionalFormatting sqref="BB164:BB167">
    <cfRule type="cellIs" dxfId="14109" priority="5163" operator="lessThan">
      <formula>0</formula>
    </cfRule>
    <cfRule type="cellIs" dxfId="14108" priority="5164" operator="lessThan">
      <formula>-105575</formula>
    </cfRule>
  </conditionalFormatting>
  <conditionalFormatting sqref="BB164:BB167">
    <cfRule type="cellIs" dxfId="14107" priority="5161" operator="lessThan">
      <formula>0</formula>
    </cfRule>
    <cfRule type="cellIs" dxfId="14106" priority="5162" operator="lessThan">
      <formula>-105575</formula>
    </cfRule>
  </conditionalFormatting>
  <conditionalFormatting sqref="BB169:BB177">
    <cfRule type="cellIs" dxfId="14105" priority="5159" operator="lessThan">
      <formula>0</formula>
    </cfRule>
    <cfRule type="cellIs" dxfId="14104" priority="5160" operator="lessThan">
      <formula>-105575</formula>
    </cfRule>
  </conditionalFormatting>
  <conditionalFormatting sqref="BB169:BB177">
    <cfRule type="cellIs" dxfId="14103" priority="5157" operator="lessThan">
      <formula>0</formula>
    </cfRule>
    <cfRule type="cellIs" dxfId="14102" priority="5158" operator="lessThan">
      <formula>-105575</formula>
    </cfRule>
  </conditionalFormatting>
  <conditionalFormatting sqref="BB169:BB177">
    <cfRule type="cellIs" dxfId="14101" priority="5155" operator="lessThan">
      <formula>0</formula>
    </cfRule>
    <cfRule type="cellIs" dxfId="14100" priority="5156" operator="lessThan">
      <formula>-105575</formula>
    </cfRule>
  </conditionalFormatting>
  <conditionalFormatting sqref="BB179:BB180">
    <cfRule type="cellIs" dxfId="14099" priority="5153" operator="lessThan">
      <formula>0</formula>
    </cfRule>
    <cfRule type="cellIs" dxfId="14098" priority="5154" operator="lessThan">
      <formula>-105575</formula>
    </cfRule>
  </conditionalFormatting>
  <conditionalFormatting sqref="BB179:BB180">
    <cfRule type="cellIs" dxfId="14097" priority="5151" operator="lessThan">
      <formula>0</formula>
    </cfRule>
    <cfRule type="cellIs" dxfId="14096" priority="5152" operator="lessThan">
      <formula>-105575</formula>
    </cfRule>
  </conditionalFormatting>
  <conditionalFormatting sqref="BB179:BB180">
    <cfRule type="cellIs" dxfId="14095" priority="5149" operator="lessThan">
      <formula>0</formula>
    </cfRule>
    <cfRule type="cellIs" dxfId="14094" priority="5150" operator="lessThan">
      <formula>-105575</formula>
    </cfRule>
  </conditionalFormatting>
  <conditionalFormatting sqref="BB183:BB189">
    <cfRule type="cellIs" dxfId="14093" priority="5147" operator="lessThan">
      <formula>0</formula>
    </cfRule>
    <cfRule type="cellIs" dxfId="14092" priority="5148" operator="lessThan">
      <formula>-105575</formula>
    </cfRule>
  </conditionalFormatting>
  <conditionalFormatting sqref="BB183:BB189">
    <cfRule type="cellIs" dxfId="14091" priority="5145" operator="lessThan">
      <formula>0</formula>
    </cfRule>
    <cfRule type="cellIs" dxfId="14090" priority="5146" operator="lessThan">
      <formula>-105575</formula>
    </cfRule>
  </conditionalFormatting>
  <conditionalFormatting sqref="BB183:BB189">
    <cfRule type="cellIs" dxfId="14089" priority="5143" operator="lessThan">
      <formula>0</formula>
    </cfRule>
    <cfRule type="cellIs" dxfId="14088" priority="5144" operator="lessThan">
      <formula>-105575</formula>
    </cfRule>
  </conditionalFormatting>
  <conditionalFormatting sqref="BB191:BB192">
    <cfRule type="cellIs" dxfId="14087" priority="5141" operator="lessThan">
      <formula>0</formula>
    </cfRule>
    <cfRule type="cellIs" dxfId="14086" priority="5142" operator="lessThan">
      <formula>-105575</formula>
    </cfRule>
  </conditionalFormatting>
  <conditionalFormatting sqref="BB191:BB192">
    <cfRule type="cellIs" dxfId="14085" priority="5139" operator="lessThan">
      <formula>0</formula>
    </cfRule>
    <cfRule type="cellIs" dxfId="14084" priority="5140" operator="lessThan">
      <formula>-105575</formula>
    </cfRule>
  </conditionalFormatting>
  <conditionalFormatting sqref="BB191:BB192">
    <cfRule type="cellIs" dxfId="14083" priority="5137" operator="lessThan">
      <formula>0</formula>
    </cfRule>
    <cfRule type="cellIs" dxfId="14082" priority="5138" operator="lessThan">
      <formula>-105575</formula>
    </cfRule>
  </conditionalFormatting>
  <conditionalFormatting sqref="BB194:BB195">
    <cfRule type="cellIs" dxfId="14081" priority="5135" operator="lessThan">
      <formula>0</formula>
    </cfRule>
    <cfRule type="cellIs" dxfId="14080" priority="5136" operator="lessThan">
      <formula>-105575</formula>
    </cfRule>
  </conditionalFormatting>
  <conditionalFormatting sqref="BB194:BB195">
    <cfRule type="cellIs" dxfId="14079" priority="5133" operator="lessThan">
      <formula>0</formula>
    </cfRule>
    <cfRule type="cellIs" dxfId="14078" priority="5134" operator="lessThan">
      <formula>-105575</formula>
    </cfRule>
  </conditionalFormatting>
  <conditionalFormatting sqref="BB194:BB195">
    <cfRule type="cellIs" dxfId="14077" priority="5131" operator="lessThan">
      <formula>0</formula>
    </cfRule>
    <cfRule type="cellIs" dxfId="14076" priority="5132" operator="lessThan">
      <formula>-105575</formula>
    </cfRule>
  </conditionalFormatting>
  <conditionalFormatting sqref="BB199:BB202">
    <cfRule type="cellIs" dxfId="14075" priority="5129" operator="lessThan">
      <formula>0</formula>
    </cfRule>
    <cfRule type="cellIs" dxfId="14074" priority="5130" operator="lessThan">
      <formula>-105575</formula>
    </cfRule>
  </conditionalFormatting>
  <conditionalFormatting sqref="BB199:BB202">
    <cfRule type="cellIs" dxfId="14073" priority="5127" operator="lessThan">
      <formula>0</formula>
    </cfRule>
    <cfRule type="cellIs" dxfId="14072" priority="5128" operator="lessThan">
      <formula>-105575</formula>
    </cfRule>
  </conditionalFormatting>
  <conditionalFormatting sqref="BB199:BB202">
    <cfRule type="cellIs" dxfId="14071" priority="5125" operator="lessThan">
      <formula>0</formula>
    </cfRule>
    <cfRule type="cellIs" dxfId="14070" priority="5126" operator="lessThan">
      <formula>-105575</formula>
    </cfRule>
  </conditionalFormatting>
  <conditionalFormatting sqref="BB204:BB208">
    <cfRule type="cellIs" dxfId="14069" priority="5123" operator="lessThan">
      <formula>0</formula>
    </cfRule>
    <cfRule type="cellIs" dxfId="14068" priority="5124" operator="lessThan">
      <formula>-105575</formula>
    </cfRule>
  </conditionalFormatting>
  <conditionalFormatting sqref="BB204:BB208">
    <cfRule type="cellIs" dxfId="14067" priority="5121" operator="lessThan">
      <formula>0</formula>
    </cfRule>
    <cfRule type="cellIs" dxfId="14066" priority="5122" operator="lessThan">
      <formula>-105575</formula>
    </cfRule>
  </conditionalFormatting>
  <conditionalFormatting sqref="BB204:BB208">
    <cfRule type="cellIs" dxfId="14065" priority="5119" operator="lessThan">
      <formula>0</formula>
    </cfRule>
    <cfRule type="cellIs" dxfId="14064" priority="5120" operator="lessThan">
      <formula>-105575</formula>
    </cfRule>
  </conditionalFormatting>
  <conditionalFormatting sqref="BB210:BB211">
    <cfRule type="cellIs" dxfId="14063" priority="5117" operator="lessThan">
      <formula>0</formula>
    </cfRule>
    <cfRule type="cellIs" dxfId="14062" priority="5118" operator="lessThan">
      <formula>-105575</formula>
    </cfRule>
  </conditionalFormatting>
  <conditionalFormatting sqref="BB210:BB211">
    <cfRule type="cellIs" dxfId="14061" priority="5115" operator="lessThan">
      <formula>0</formula>
    </cfRule>
    <cfRule type="cellIs" dxfId="14060" priority="5116" operator="lessThan">
      <formula>-105575</formula>
    </cfRule>
  </conditionalFormatting>
  <conditionalFormatting sqref="BB210:BB211">
    <cfRule type="cellIs" dxfId="14059" priority="5113" operator="lessThan">
      <formula>0</formula>
    </cfRule>
    <cfRule type="cellIs" dxfId="14058" priority="5114" operator="lessThan">
      <formula>-105575</formula>
    </cfRule>
  </conditionalFormatting>
  <conditionalFormatting sqref="BB214:BB219">
    <cfRule type="cellIs" dxfId="14057" priority="5111" operator="lessThan">
      <formula>0</formula>
    </cfRule>
    <cfRule type="cellIs" dxfId="14056" priority="5112" operator="lessThan">
      <formula>-105575</formula>
    </cfRule>
  </conditionalFormatting>
  <conditionalFormatting sqref="BB214:BB219">
    <cfRule type="cellIs" dxfId="14055" priority="5109" operator="lessThan">
      <formula>0</formula>
    </cfRule>
    <cfRule type="cellIs" dxfId="14054" priority="5110" operator="lessThan">
      <formula>-105575</formula>
    </cfRule>
  </conditionalFormatting>
  <conditionalFormatting sqref="BB214:BB219">
    <cfRule type="cellIs" dxfId="14053" priority="5107" operator="lessThan">
      <formula>0</formula>
    </cfRule>
    <cfRule type="cellIs" dxfId="14052" priority="5108" operator="lessThan">
      <formula>-105575</formula>
    </cfRule>
  </conditionalFormatting>
  <conditionalFormatting sqref="BB222:BB224">
    <cfRule type="cellIs" dxfId="14051" priority="5105" operator="lessThan">
      <formula>0</formula>
    </cfRule>
    <cfRule type="cellIs" dxfId="14050" priority="5106" operator="lessThan">
      <formula>-105575</formula>
    </cfRule>
  </conditionalFormatting>
  <conditionalFormatting sqref="BB222:BB224">
    <cfRule type="cellIs" dxfId="14049" priority="5103" operator="lessThan">
      <formula>0</formula>
    </cfRule>
    <cfRule type="cellIs" dxfId="14048" priority="5104" operator="lessThan">
      <formula>-105575</formula>
    </cfRule>
  </conditionalFormatting>
  <conditionalFormatting sqref="BB222:BB224">
    <cfRule type="cellIs" dxfId="14047" priority="5101" operator="lessThan">
      <formula>0</formula>
    </cfRule>
    <cfRule type="cellIs" dxfId="14046" priority="5102" operator="lessThan">
      <formula>-105575</formula>
    </cfRule>
  </conditionalFormatting>
  <conditionalFormatting sqref="BB227:BB230">
    <cfRule type="cellIs" dxfId="14045" priority="5099" operator="lessThan">
      <formula>0</formula>
    </cfRule>
    <cfRule type="cellIs" dxfId="14044" priority="5100" operator="lessThan">
      <formula>-105575</formula>
    </cfRule>
  </conditionalFormatting>
  <conditionalFormatting sqref="BB227:BB230">
    <cfRule type="cellIs" dxfId="14043" priority="5097" operator="lessThan">
      <formula>0</formula>
    </cfRule>
    <cfRule type="cellIs" dxfId="14042" priority="5098" operator="lessThan">
      <formula>-105575</formula>
    </cfRule>
  </conditionalFormatting>
  <conditionalFormatting sqref="BB227:BB230">
    <cfRule type="cellIs" dxfId="14041" priority="5095" operator="lessThan">
      <formula>0</formula>
    </cfRule>
    <cfRule type="cellIs" dxfId="14040" priority="5096" operator="lessThan">
      <formula>-105575</formula>
    </cfRule>
  </conditionalFormatting>
  <conditionalFormatting sqref="BB246:BB249">
    <cfRule type="cellIs" dxfId="14039" priority="5093" operator="lessThan">
      <formula>0</formula>
    </cfRule>
    <cfRule type="cellIs" dxfId="14038" priority="5094" operator="lessThan">
      <formula>-105575</formula>
    </cfRule>
  </conditionalFormatting>
  <conditionalFormatting sqref="BB246:BB249">
    <cfRule type="cellIs" dxfId="14037" priority="5091" operator="lessThan">
      <formula>0</formula>
    </cfRule>
    <cfRule type="cellIs" dxfId="14036" priority="5092" operator="lessThan">
      <formula>-105575</formula>
    </cfRule>
  </conditionalFormatting>
  <conditionalFormatting sqref="BB246:BB249">
    <cfRule type="cellIs" dxfId="14035" priority="5089" operator="lessThan">
      <formula>0</formula>
    </cfRule>
    <cfRule type="cellIs" dxfId="14034" priority="5090" operator="lessThan">
      <formula>-105575</formula>
    </cfRule>
  </conditionalFormatting>
  <conditionalFormatting sqref="BB246:BB249">
    <cfRule type="cellIs" dxfId="14033" priority="5087" operator="lessThan">
      <formula>0</formula>
    </cfRule>
    <cfRule type="cellIs" dxfId="14032" priority="5088" operator="lessThan">
      <formula>-105575</formula>
    </cfRule>
  </conditionalFormatting>
  <conditionalFormatting sqref="BB246:BB249">
    <cfRule type="cellIs" dxfId="14031" priority="5085" operator="lessThan">
      <formula>0</formula>
    </cfRule>
    <cfRule type="cellIs" dxfId="14030" priority="5086" operator="lessThan">
      <formula>-105575</formula>
    </cfRule>
  </conditionalFormatting>
  <conditionalFormatting sqref="BB246:BB249">
    <cfRule type="cellIs" dxfId="14029" priority="5083" operator="lessThan">
      <formula>0</formula>
    </cfRule>
    <cfRule type="cellIs" dxfId="14028" priority="5084" operator="lessThan">
      <formula>-105575</formula>
    </cfRule>
  </conditionalFormatting>
  <conditionalFormatting sqref="BB246:BB249">
    <cfRule type="cellIs" dxfId="14027" priority="5081" operator="lessThan">
      <formula>0</formula>
    </cfRule>
    <cfRule type="cellIs" dxfId="14026" priority="5082" operator="lessThan">
      <formula>-105575</formula>
    </cfRule>
  </conditionalFormatting>
  <conditionalFormatting sqref="BB246:BB249">
    <cfRule type="cellIs" dxfId="14025" priority="5079" operator="lessThan">
      <formula>0</formula>
    </cfRule>
    <cfRule type="cellIs" dxfId="14024" priority="5080" operator="lessThan">
      <formula>-105575</formula>
    </cfRule>
  </conditionalFormatting>
  <conditionalFormatting sqref="BB246:BB249">
    <cfRule type="cellIs" dxfId="14023" priority="5077" operator="lessThan">
      <formula>0</formula>
    </cfRule>
    <cfRule type="cellIs" dxfId="14022" priority="5078" operator="lessThan">
      <formula>-105575</formula>
    </cfRule>
  </conditionalFormatting>
  <conditionalFormatting sqref="BB251:BB253">
    <cfRule type="cellIs" dxfId="14021" priority="5075" operator="lessThan">
      <formula>0</formula>
    </cfRule>
    <cfRule type="cellIs" dxfId="14020" priority="5076" operator="lessThan">
      <formula>-105575</formula>
    </cfRule>
  </conditionalFormatting>
  <conditionalFormatting sqref="BB251:BB253">
    <cfRule type="cellIs" dxfId="14019" priority="5073" operator="lessThan">
      <formula>0</formula>
    </cfRule>
    <cfRule type="cellIs" dxfId="14018" priority="5074" operator="lessThan">
      <formula>-105575</formula>
    </cfRule>
  </conditionalFormatting>
  <conditionalFormatting sqref="BB251:BB253">
    <cfRule type="cellIs" dxfId="14017" priority="5071" operator="lessThan">
      <formula>0</formula>
    </cfRule>
    <cfRule type="cellIs" dxfId="14016" priority="5072" operator="lessThan">
      <formula>-105575</formula>
    </cfRule>
  </conditionalFormatting>
  <conditionalFormatting sqref="BB251:BB253">
    <cfRule type="cellIs" dxfId="14015" priority="5069" operator="lessThan">
      <formula>0</formula>
    </cfRule>
    <cfRule type="cellIs" dxfId="14014" priority="5070" operator="lessThan">
      <formula>-105575</formula>
    </cfRule>
  </conditionalFormatting>
  <conditionalFormatting sqref="BB251:BB253">
    <cfRule type="cellIs" dxfId="14013" priority="5067" operator="lessThan">
      <formula>0</formula>
    </cfRule>
    <cfRule type="cellIs" dxfId="14012" priority="5068" operator="lessThan">
      <formula>-105575</formula>
    </cfRule>
  </conditionalFormatting>
  <conditionalFormatting sqref="BB251:BB253">
    <cfRule type="cellIs" dxfId="14011" priority="5065" operator="lessThan">
      <formula>0</formula>
    </cfRule>
    <cfRule type="cellIs" dxfId="14010" priority="5066" operator="lessThan">
      <formula>-105575</formula>
    </cfRule>
  </conditionalFormatting>
  <conditionalFormatting sqref="BB251:BB253">
    <cfRule type="cellIs" dxfId="14009" priority="5063" operator="lessThan">
      <formula>0</formula>
    </cfRule>
    <cfRule type="cellIs" dxfId="14008" priority="5064" operator="lessThan">
      <formula>-105575</formula>
    </cfRule>
  </conditionalFormatting>
  <conditionalFormatting sqref="BB251:BB253">
    <cfRule type="cellIs" dxfId="14007" priority="5061" operator="lessThan">
      <formula>0</formula>
    </cfRule>
    <cfRule type="cellIs" dxfId="14006" priority="5062" operator="lessThan">
      <formula>-105575</formula>
    </cfRule>
  </conditionalFormatting>
  <conditionalFormatting sqref="BB251:BB253">
    <cfRule type="cellIs" dxfId="14005" priority="5059" operator="lessThan">
      <formula>0</formula>
    </cfRule>
    <cfRule type="cellIs" dxfId="14004" priority="5060" operator="lessThan">
      <formula>-105575</formula>
    </cfRule>
  </conditionalFormatting>
  <conditionalFormatting sqref="BB255:BB257">
    <cfRule type="cellIs" dxfId="14003" priority="5057" operator="lessThan">
      <formula>0</formula>
    </cfRule>
    <cfRule type="cellIs" dxfId="14002" priority="5058" operator="lessThan">
      <formula>-105575</formula>
    </cfRule>
  </conditionalFormatting>
  <conditionalFormatting sqref="BB255:BB257">
    <cfRule type="cellIs" dxfId="14001" priority="5055" operator="lessThan">
      <formula>0</formula>
    </cfRule>
    <cfRule type="cellIs" dxfId="14000" priority="5056" operator="lessThan">
      <formula>-105575</formula>
    </cfRule>
  </conditionalFormatting>
  <conditionalFormatting sqref="BB255:BB257">
    <cfRule type="cellIs" dxfId="13999" priority="5053" operator="lessThan">
      <formula>0</formula>
    </cfRule>
    <cfRule type="cellIs" dxfId="13998" priority="5054" operator="lessThan">
      <formula>-105575</formula>
    </cfRule>
  </conditionalFormatting>
  <conditionalFormatting sqref="BB255:BB257">
    <cfRule type="cellIs" dxfId="13997" priority="5051" operator="lessThan">
      <formula>0</formula>
    </cfRule>
    <cfRule type="cellIs" dxfId="13996" priority="5052" operator="lessThan">
      <formula>-105575</formula>
    </cfRule>
  </conditionalFormatting>
  <conditionalFormatting sqref="BB255:BB257">
    <cfRule type="cellIs" dxfId="13995" priority="5049" operator="lessThan">
      <formula>0</formula>
    </cfRule>
    <cfRule type="cellIs" dxfId="13994" priority="5050" operator="lessThan">
      <formula>-105575</formula>
    </cfRule>
  </conditionalFormatting>
  <conditionalFormatting sqref="BB255:BB257">
    <cfRule type="cellIs" dxfId="13993" priority="5047" operator="lessThan">
      <formula>0</formula>
    </cfRule>
    <cfRule type="cellIs" dxfId="13992" priority="5048" operator="lessThan">
      <formula>-105575</formula>
    </cfRule>
  </conditionalFormatting>
  <conditionalFormatting sqref="BB255:BB257">
    <cfRule type="cellIs" dxfId="13991" priority="5045" operator="lessThan">
      <formula>0</formula>
    </cfRule>
    <cfRule type="cellIs" dxfId="13990" priority="5046" operator="lessThan">
      <formula>-105575</formula>
    </cfRule>
  </conditionalFormatting>
  <conditionalFormatting sqref="BB255:BB257">
    <cfRule type="cellIs" dxfId="13989" priority="5043" operator="lessThan">
      <formula>0</formula>
    </cfRule>
    <cfRule type="cellIs" dxfId="13988" priority="5044" operator="lessThan">
      <formula>-105575</formula>
    </cfRule>
  </conditionalFormatting>
  <conditionalFormatting sqref="BB255:BB257">
    <cfRule type="cellIs" dxfId="13987" priority="5041" operator="lessThan">
      <formula>0</formula>
    </cfRule>
    <cfRule type="cellIs" dxfId="13986" priority="5042" operator="lessThan">
      <formula>-105575</formula>
    </cfRule>
  </conditionalFormatting>
  <conditionalFormatting sqref="BB260:BB262">
    <cfRule type="cellIs" dxfId="13985" priority="5039" operator="lessThan">
      <formula>0</formula>
    </cfRule>
    <cfRule type="cellIs" dxfId="13984" priority="5040" operator="lessThan">
      <formula>-105575</formula>
    </cfRule>
  </conditionalFormatting>
  <conditionalFormatting sqref="BB260:BB262">
    <cfRule type="cellIs" dxfId="13983" priority="5037" operator="lessThan">
      <formula>0</formula>
    </cfRule>
    <cfRule type="cellIs" dxfId="13982" priority="5038" operator="lessThan">
      <formula>-105575</formula>
    </cfRule>
  </conditionalFormatting>
  <conditionalFormatting sqref="BB260:BB262">
    <cfRule type="cellIs" dxfId="13981" priority="5035" operator="lessThan">
      <formula>0</formula>
    </cfRule>
    <cfRule type="cellIs" dxfId="13980" priority="5036" operator="lessThan">
      <formula>-105575</formula>
    </cfRule>
  </conditionalFormatting>
  <conditionalFormatting sqref="BB260:BB262">
    <cfRule type="cellIs" dxfId="13979" priority="5033" operator="lessThan">
      <formula>0</formula>
    </cfRule>
    <cfRule type="cellIs" dxfId="13978" priority="5034" operator="lessThan">
      <formula>-105575</formula>
    </cfRule>
  </conditionalFormatting>
  <conditionalFormatting sqref="BB260:BB262">
    <cfRule type="cellIs" dxfId="13977" priority="5031" operator="lessThan">
      <formula>0</formula>
    </cfRule>
    <cfRule type="cellIs" dxfId="13976" priority="5032" operator="lessThan">
      <formula>-105575</formula>
    </cfRule>
  </conditionalFormatting>
  <conditionalFormatting sqref="BB260:BB262">
    <cfRule type="cellIs" dxfId="13975" priority="5029" operator="lessThan">
      <formula>0</formula>
    </cfRule>
    <cfRule type="cellIs" dxfId="13974" priority="5030" operator="lessThan">
      <formula>-105575</formula>
    </cfRule>
  </conditionalFormatting>
  <conditionalFormatting sqref="BB260:BB262">
    <cfRule type="cellIs" dxfId="13973" priority="5027" operator="lessThan">
      <formula>0</formula>
    </cfRule>
    <cfRule type="cellIs" dxfId="13972" priority="5028" operator="lessThan">
      <formula>-105575</formula>
    </cfRule>
  </conditionalFormatting>
  <conditionalFormatting sqref="BB260:BB262">
    <cfRule type="cellIs" dxfId="13971" priority="5025" operator="lessThan">
      <formula>0</formula>
    </cfRule>
    <cfRule type="cellIs" dxfId="13970" priority="5026" operator="lessThan">
      <formula>-105575</formula>
    </cfRule>
  </conditionalFormatting>
  <conditionalFormatting sqref="BB260:BB262">
    <cfRule type="cellIs" dxfId="13969" priority="5023" operator="lessThan">
      <formula>0</formula>
    </cfRule>
    <cfRule type="cellIs" dxfId="13968" priority="5024" operator="lessThan">
      <formula>-105575</formula>
    </cfRule>
  </conditionalFormatting>
  <conditionalFormatting sqref="BB264:BB267">
    <cfRule type="cellIs" dxfId="13967" priority="5021" operator="lessThan">
      <formula>0</formula>
    </cfRule>
    <cfRule type="cellIs" dxfId="13966" priority="5022" operator="lessThan">
      <formula>-105575</formula>
    </cfRule>
  </conditionalFormatting>
  <conditionalFormatting sqref="BB264:BB267">
    <cfRule type="cellIs" dxfId="13965" priority="5019" operator="lessThan">
      <formula>0</formula>
    </cfRule>
    <cfRule type="cellIs" dxfId="13964" priority="5020" operator="lessThan">
      <formula>-105575</formula>
    </cfRule>
  </conditionalFormatting>
  <conditionalFormatting sqref="BB264:BB267">
    <cfRule type="cellIs" dxfId="13963" priority="5017" operator="lessThan">
      <formula>0</formula>
    </cfRule>
    <cfRule type="cellIs" dxfId="13962" priority="5018" operator="lessThan">
      <formula>-105575</formula>
    </cfRule>
  </conditionalFormatting>
  <conditionalFormatting sqref="BB264:BB267">
    <cfRule type="cellIs" dxfId="13961" priority="5015" operator="lessThan">
      <formula>0</formula>
    </cfRule>
    <cfRule type="cellIs" dxfId="13960" priority="5016" operator="lessThan">
      <formula>-105575</formula>
    </cfRule>
  </conditionalFormatting>
  <conditionalFormatting sqref="BB264:BB267">
    <cfRule type="cellIs" dxfId="13959" priority="5013" operator="lessThan">
      <formula>0</formula>
    </cfRule>
    <cfRule type="cellIs" dxfId="13958" priority="5014" operator="lessThan">
      <formula>-105575</formula>
    </cfRule>
  </conditionalFormatting>
  <conditionalFormatting sqref="BB264:BB267">
    <cfRule type="cellIs" dxfId="13957" priority="5011" operator="lessThan">
      <formula>0</formula>
    </cfRule>
    <cfRule type="cellIs" dxfId="13956" priority="5012" operator="lessThan">
      <formula>-105575</formula>
    </cfRule>
  </conditionalFormatting>
  <conditionalFormatting sqref="BB264:BB267">
    <cfRule type="cellIs" dxfId="13955" priority="5009" operator="lessThan">
      <formula>0</formula>
    </cfRule>
    <cfRule type="cellIs" dxfId="13954" priority="5010" operator="lessThan">
      <formula>-105575</formula>
    </cfRule>
  </conditionalFormatting>
  <conditionalFormatting sqref="BB264:BB267">
    <cfRule type="cellIs" dxfId="13953" priority="5007" operator="lessThan">
      <formula>0</formula>
    </cfRule>
    <cfRule type="cellIs" dxfId="13952" priority="5008" operator="lessThan">
      <formula>-105575</formula>
    </cfRule>
  </conditionalFormatting>
  <conditionalFormatting sqref="BB264:BB267">
    <cfRule type="cellIs" dxfId="13951" priority="5005" operator="lessThan">
      <formula>0</formula>
    </cfRule>
    <cfRule type="cellIs" dxfId="13950" priority="5006" operator="lessThan">
      <formula>-105575</formula>
    </cfRule>
  </conditionalFormatting>
  <conditionalFormatting sqref="BB270:BB272">
    <cfRule type="cellIs" dxfId="13949" priority="5003" operator="lessThan">
      <formula>0</formula>
    </cfRule>
    <cfRule type="cellIs" dxfId="13948" priority="5004" operator="lessThan">
      <formula>-105575</formula>
    </cfRule>
  </conditionalFormatting>
  <conditionalFormatting sqref="BB270:BB272">
    <cfRule type="cellIs" dxfId="13947" priority="5001" operator="lessThan">
      <formula>0</formula>
    </cfRule>
    <cfRule type="cellIs" dxfId="13946" priority="5002" operator="lessThan">
      <formula>-105575</formula>
    </cfRule>
  </conditionalFormatting>
  <conditionalFormatting sqref="BB270:BB272">
    <cfRule type="cellIs" dxfId="13945" priority="4999" operator="lessThan">
      <formula>0</formula>
    </cfRule>
    <cfRule type="cellIs" dxfId="13944" priority="5000" operator="lessThan">
      <formula>-105575</formula>
    </cfRule>
  </conditionalFormatting>
  <conditionalFormatting sqref="BB270:BB272">
    <cfRule type="cellIs" dxfId="13943" priority="4997" operator="lessThan">
      <formula>0</formula>
    </cfRule>
    <cfRule type="cellIs" dxfId="13942" priority="4998" operator="lessThan">
      <formula>-105575</formula>
    </cfRule>
  </conditionalFormatting>
  <conditionalFormatting sqref="BB270:BB272">
    <cfRule type="cellIs" dxfId="13941" priority="4995" operator="lessThan">
      <formula>0</formula>
    </cfRule>
    <cfRule type="cellIs" dxfId="13940" priority="4996" operator="lessThan">
      <formula>-105575</formula>
    </cfRule>
  </conditionalFormatting>
  <conditionalFormatting sqref="BB270:BB272">
    <cfRule type="cellIs" dxfId="13939" priority="4993" operator="lessThan">
      <formula>0</formula>
    </cfRule>
    <cfRule type="cellIs" dxfId="13938" priority="4994" operator="lessThan">
      <formula>-105575</formula>
    </cfRule>
  </conditionalFormatting>
  <conditionalFormatting sqref="BB270:BB272">
    <cfRule type="cellIs" dxfId="13937" priority="4991" operator="lessThan">
      <formula>0</formula>
    </cfRule>
    <cfRule type="cellIs" dxfId="13936" priority="4992" operator="lessThan">
      <formula>-105575</formula>
    </cfRule>
  </conditionalFormatting>
  <conditionalFormatting sqref="BB270:BB272">
    <cfRule type="cellIs" dxfId="13935" priority="4989" operator="lessThan">
      <formula>0</formula>
    </cfRule>
    <cfRule type="cellIs" dxfId="13934" priority="4990" operator="lessThan">
      <formula>-105575</formula>
    </cfRule>
  </conditionalFormatting>
  <conditionalFormatting sqref="BB270:BB272">
    <cfRule type="cellIs" dxfId="13933" priority="4987" operator="lessThan">
      <formula>0</formula>
    </cfRule>
    <cfRule type="cellIs" dxfId="13932" priority="4988" operator="lessThan">
      <formula>-105575</formula>
    </cfRule>
  </conditionalFormatting>
  <conditionalFormatting sqref="BB274:BB275">
    <cfRule type="cellIs" dxfId="13931" priority="4985" operator="lessThan">
      <formula>0</formula>
    </cfRule>
    <cfRule type="cellIs" dxfId="13930" priority="4986" operator="lessThan">
      <formula>-105575</formula>
    </cfRule>
  </conditionalFormatting>
  <conditionalFormatting sqref="BB274:BB275">
    <cfRule type="cellIs" dxfId="13929" priority="4983" operator="lessThan">
      <formula>0</formula>
    </cfRule>
    <cfRule type="cellIs" dxfId="13928" priority="4984" operator="lessThan">
      <formula>-105575</formula>
    </cfRule>
  </conditionalFormatting>
  <conditionalFormatting sqref="BB274:BB275">
    <cfRule type="cellIs" dxfId="13927" priority="4981" operator="lessThan">
      <formula>0</formula>
    </cfRule>
    <cfRule type="cellIs" dxfId="13926" priority="4982" operator="lessThan">
      <formula>-105575</formula>
    </cfRule>
  </conditionalFormatting>
  <conditionalFormatting sqref="BB274:BB275">
    <cfRule type="cellIs" dxfId="13925" priority="4979" operator="lessThan">
      <formula>0</formula>
    </cfRule>
    <cfRule type="cellIs" dxfId="13924" priority="4980" operator="lessThan">
      <formula>-105575</formula>
    </cfRule>
  </conditionalFormatting>
  <conditionalFormatting sqref="BB274:BB275">
    <cfRule type="cellIs" dxfId="13923" priority="4977" operator="lessThan">
      <formula>0</formula>
    </cfRule>
    <cfRule type="cellIs" dxfId="13922" priority="4978" operator="lessThan">
      <formula>-105575</formula>
    </cfRule>
  </conditionalFormatting>
  <conditionalFormatting sqref="BB274:BB275">
    <cfRule type="cellIs" dxfId="13921" priority="4975" operator="lessThan">
      <formula>0</formula>
    </cfRule>
    <cfRule type="cellIs" dxfId="13920" priority="4976" operator="lessThan">
      <formula>-105575</formula>
    </cfRule>
  </conditionalFormatting>
  <conditionalFormatting sqref="BB274:BB275">
    <cfRule type="cellIs" dxfId="13919" priority="4973" operator="lessThan">
      <formula>0</formula>
    </cfRule>
    <cfRule type="cellIs" dxfId="13918" priority="4974" operator="lessThan">
      <formula>-105575</formula>
    </cfRule>
  </conditionalFormatting>
  <conditionalFormatting sqref="BB274:BB275">
    <cfRule type="cellIs" dxfId="13917" priority="4971" operator="lessThan">
      <formula>0</formula>
    </cfRule>
    <cfRule type="cellIs" dxfId="13916" priority="4972" operator="lessThan">
      <formula>-105575</formula>
    </cfRule>
  </conditionalFormatting>
  <conditionalFormatting sqref="BB274:BB275">
    <cfRule type="cellIs" dxfId="13915" priority="4969" operator="lessThan">
      <formula>0</formula>
    </cfRule>
    <cfRule type="cellIs" dxfId="13914" priority="4970" operator="lessThan">
      <formula>-105575</formula>
    </cfRule>
  </conditionalFormatting>
  <conditionalFormatting sqref="BB278:BB282">
    <cfRule type="cellIs" dxfId="13913" priority="4967" operator="lessThan">
      <formula>0</formula>
    </cfRule>
    <cfRule type="cellIs" dxfId="13912" priority="4968" operator="lessThan">
      <formula>-105575</formula>
    </cfRule>
  </conditionalFormatting>
  <conditionalFormatting sqref="BB278:BB282">
    <cfRule type="cellIs" dxfId="13911" priority="4965" operator="lessThan">
      <formula>0</formula>
    </cfRule>
    <cfRule type="cellIs" dxfId="13910" priority="4966" operator="lessThan">
      <formula>-105575</formula>
    </cfRule>
  </conditionalFormatting>
  <conditionalFormatting sqref="BB278:BB282">
    <cfRule type="cellIs" dxfId="13909" priority="4963" operator="lessThan">
      <formula>0</formula>
    </cfRule>
    <cfRule type="cellIs" dxfId="13908" priority="4964" operator="lessThan">
      <formula>-105575</formula>
    </cfRule>
  </conditionalFormatting>
  <conditionalFormatting sqref="BB278:BB282">
    <cfRule type="cellIs" dxfId="13907" priority="4961" operator="lessThan">
      <formula>0</formula>
    </cfRule>
    <cfRule type="cellIs" dxfId="13906" priority="4962" operator="lessThan">
      <formula>-105575</formula>
    </cfRule>
  </conditionalFormatting>
  <conditionalFormatting sqref="BB278:BB282">
    <cfRule type="cellIs" dxfId="13905" priority="4959" operator="lessThan">
      <formula>0</formula>
    </cfRule>
    <cfRule type="cellIs" dxfId="13904" priority="4960" operator="lessThan">
      <formula>-105575</formula>
    </cfRule>
  </conditionalFormatting>
  <conditionalFormatting sqref="BB278:BB282">
    <cfRule type="cellIs" dxfId="13903" priority="4957" operator="lessThan">
      <formula>0</formula>
    </cfRule>
    <cfRule type="cellIs" dxfId="13902" priority="4958" operator="lessThan">
      <formula>-105575</formula>
    </cfRule>
  </conditionalFormatting>
  <conditionalFormatting sqref="BB278:BB282">
    <cfRule type="cellIs" dxfId="13901" priority="4955" operator="lessThan">
      <formula>0</formula>
    </cfRule>
    <cfRule type="cellIs" dxfId="13900" priority="4956" operator="lessThan">
      <formula>-105575</formula>
    </cfRule>
  </conditionalFormatting>
  <conditionalFormatting sqref="BB278:BB282">
    <cfRule type="cellIs" dxfId="13899" priority="4953" operator="lessThan">
      <formula>0</formula>
    </cfRule>
    <cfRule type="cellIs" dxfId="13898" priority="4954" operator="lessThan">
      <formula>-105575</formula>
    </cfRule>
  </conditionalFormatting>
  <conditionalFormatting sqref="BB278:BB282">
    <cfRule type="cellIs" dxfId="13897" priority="4951" operator="lessThan">
      <formula>0</formula>
    </cfRule>
    <cfRule type="cellIs" dxfId="13896" priority="4952" operator="lessThan">
      <formula>-105575</formula>
    </cfRule>
  </conditionalFormatting>
  <conditionalFormatting sqref="BB285:BB288">
    <cfRule type="cellIs" dxfId="13895" priority="4949" operator="lessThan">
      <formula>0</formula>
    </cfRule>
    <cfRule type="cellIs" dxfId="13894" priority="4950" operator="lessThan">
      <formula>-105575</formula>
    </cfRule>
  </conditionalFormatting>
  <conditionalFormatting sqref="BB285:BB288">
    <cfRule type="cellIs" dxfId="13893" priority="4947" operator="lessThan">
      <formula>0</formula>
    </cfRule>
    <cfRule type="cellIs" dxfId="13892" priority="4948" operator="lessThan">
      <formula>-105575</formula>
    </cfRule>
  </conditionalFormatting>
  <conditionalFormatting sqref="BB285:BB288">
    <cfRule type="cellIs" dxfId="13891" priority="4945" operator="lessThan">
      <formula>0</formula>
    </cfRule>
    <cfRule type="cellIs" dxfId="13890" priority="4946" operator="lessThan">
      <formula>-105575</formula>
    </cfRule>
  </conditionalFormatting>
  <conditionalFormatting sqref="BB285:BB288">
    <cfRule type="cellIs" dxfId="13889" priority="4943" operator="lessThan">
      <formula>0</formula>
    </cfRule>
    <cfRule type="cellIs" dxfId="13888" priority="4944" operator="lessThan">
      <formula>-105575</formula>
    </cfRule>
  </conditionalFormatting>
  <conditionalFormatting sqref="BB285:BB288">
    <cfRule type="cellIs" dxfId="13887" priority="4941" operator="lessThan">
      <formula>0</formula>
    </cfRule>
    <cfRule type="cellIs" dxfId="13886" priority="4942" operator="lessThan">
      <formula>-105575</formula>
    </cfRule>
  </conditionalFormatting>
  <conditionalFormatting sqref="BB285:BB288">
    <cfRule type="cellIs" dxfId="13885" priority="4939" operator="lessThan">
      <formula>0</formula>
    </cfRule>
    <cfRule type="cellIs" dxfId="13884" priority="4940" operator="lessThan">
      <formula>-105575</formula>
    </cfRule>
  </conditionalFormatting>
  <conditionalFormatting sqref="BB285:BB288">
    <cfRule type="cellIs" dxfId="13883" priority="4937" operator="lessThan">
      <formula>0</formula>
    </cfRule>
    <cfRule type="cellIs" dxfId="13882" priority="4938" operator="lessThan">
      <formula>-105575</formula>
    </cfRule>
  </conditionalFormatting>
  <conditionalFormatting sqref="BB285:BB288">
    <cfRule type="cellIs" dxfId="13881" priority="4935" operator="lessThan">
      <formula>0</formula>
    </cfRule>
    <cfRule type="cellIs" dxfId="13880" priority="4936" operator="lessThan">
      <formula>-105575</formula>
    </cfRule>
  </conditionalFormatting>
  <conditionalFormatting sqref="BB285:BB288">
    <cfRule type="cellIs" dxfId="13879" priority="4933" operator="lessThan">
      <formula>0</formula>
    </cfRule>
    <cfRule type="cellIs" dxfId="13878" priority="4934" operator="lessThan">
      <formula>-105575</formula>
    </cfRule>
  </conditionalFormatting>
  <conditionalFormatting sqref="BB203 BB220:BB221 BB235:BB243 BB231:BB233 BB212:BB213 BB225:BB226">
    <cfRule type="cellIs" dxfId="13877" priority="4931" operator="lessThan">
      <formula>0</formula>
    </cfRule>
    <cfRule type="cellIs" dxfId="13876" priority="4932" operator="lessThan">
      <formula>-105575</formula>
    </cfRule>
  </conditionalFormatting>
  <conditionalFormatting sqref="BB220 BB212:BB213 BB235:BB238 BB240:BB243 BB225:BB226 BB231:BB233">
    <cfRule type="cellIs" dxfId="13875" priority="4929" operator="lessThan">
      <formula>0</formula>
    </cfRule>
    <cfRule type="cellIs" dxfId="13874" priority="4930" operator="lessThan">
      <formula>-105575</formula>
    </cfRule>
  </conditionalFormatting>
  <conditionalFormatting sqref="BB220:BB221 BB243 BB226 BB231:BB236 BB238:BB241 BB203 BB213">
    <cfRule type="cellIs" dxfId="13873" priority="4927" operator="lessThan">
      <formula>0</formula>
    </cfRule>
    <cfRule type="cellIs" dxfId="13872" priority="4928" operator="lessThan">
      <formula>-105575</formula>
    </cfRule>
  </conditionalFormatting>
  <conditionalFormatting sqref="BB235:BB243 BB231:BB233 BB220 BB212:BB213 BB225:BB226">
    <cfRule type="cellIs" dxfId="13871" priority="4925" operator="lessThan">
      <formula>0</formula>
    </cfRule>
    <cfRule type="cellIs" dxfId="13870" priority="4926" operator="lessThan">
      <formula>-105575</formula>
    </cfRule>
  </conditionalFormatting>
  <conditionalFormatting sqref="BB220:BB221 BB237:BB243 BB203 BB231:BB235 BB212:BB213 BB225:BB226">
    <cfRule type="cellIs" dxfId="13869" priority="4923" operator="lessThan">
      <formula>0</formula>
    </cfRule>
    <cfRule type="cellIs" dxfId="13868" priority="4924" operator="lessThan">
      <formula>-105575</formula>
    </cfRule>
  </conditionalFormatting>
  <conditionalFormatting sqref="BB220:BB221 BB237:BB240 BB242:BB243 BB225:BB226 BB231:BB235">
    <cfRule type="cellIs" dxfId="13867" priority="4921" operator="lessThan">
      <formula>0</formula>
    </cfRule>
    <cfRule type="cellIs" dxfId="13866" priority="4922" operator="lessThan">
      <formula>-105575</formula>
    </cfRule>
  </conditionalFormatting>
  <conditionalFormatting sqref="BB212 BB231 BB233:BB238 BB240:BB243 BB225">
    <cfRule type="cellIs" dxfId="13865" priority="4919" operator="lessThan">
      <formula>0</formula>
    </cfRule>
    <cfRule type="cellIs" dxfId="13864" priority="4920" operator="lessThan">
      <formula>-105575</formula>
    </cfRule>
  </conditionalFormatting>
  <conditionalFormatting sqref="BB237:BB243 BB231:BB235 BB220:BB221 BB225:BB226">
    <cfRule type="cellIs" dxfId="13863" priority="4917" operator="lessThan">
      <formula>0</formula>
    </cfRule>
    <cfRule type="cellIs" dxfId="13862" priority="4918" operator="lessThan">
      <formula>-105575</formula>
    </cfRule>
  </conditionalFormatting>
  <conditionalFormatting sqref="BB233:BB237 BB231 BB239:BB243">
    <cfRule type="cellIs" dxfId="13861" priority="4915" operator="lessThan">
      <formula>0</formula>
    </cfRule>
    <cfRule type="cellIs" dxfId="13860" priority="4916" operator="lessThan">
      <formula>-105575</formula>
    </cfRule>
  </conditionalFormatting>
  <conditionalFormatting sqref="BB233:BB237 BB231 BB239:BB243">
    <cfRule type="cellIs" dxfId="13859" priority="4913" operator="lessThan">
      <formula>0</formula>
    </cfRule>
    <cfRule type="cellIs" dxfId="13858" priority="4914" operator="lessThan">
      <formula>-105575</formula>
    </cfRule>
  </conditionalFormatting>
  <conditionalFormatting sqref="BB119:BB128 BB106:BB117 BB101:BB104 BB80:BB98">
    <cfRule type="cellIs" dxfId="13857" priority="4911" operator="lessThan">
      <formula>0</formula>
    </cfRule>
    <cfRule type="cellIs" dxfId="13856" priority="4912" operator="lessThan">
      <formula>-105575</formula>
    </cfRule>
  </conditionalFormatting>
  <conditionalFormatting sqref="BB130 BB132 BB134">
    <cfRule type="cellIs" dxfId="13855" priority="4909" operator="lessThan">
      <formula>0</formula>
    </cfRule>
    <cfRule type="cellIs" dxfId="13854" priority="4910" operator="lessThan">
      <formula>-105575</formula>
    </cfRule>
  </conditionalFormatting>
  <conditionalFormatting sqref="BB130 BB132 BB134">
    <cfRule type="cellIs" dxfId="13853" priority="4907" operator="lessThan">
      <formula>0</formula>
    </cfRule>
    <cfRule type="cellIs" dxfId="13852" priority="4908" operator="lessThan">
      <formula>-105575</formula>
    </cfRule>
  </conditionalFormatting>
  <conditionalFormatting sqref="BB129 BB131 BB133 BB135">
    <cfRule type="cellIs" dxfId="13851" priority="4905" operator="lessThan">
      <formula>0</formula>
    </cfRule>
    <cfRule type="cellIs" dxfId="13850" priority="4906" operator="lessThan">
      <formula>-105575</formula>
    </cfRule>
  </conditionalFormatting>
  <conditionalFormatting sqref="BB140 BB145 BB142:BB143 BB137:BB138">
    <cfRule type="cellIs" dxfId="13849" priority="4903" operator="lessThan">
      <formula>0</formula>
    </cfRule>
    <cfRule type="cellIs" dxfId="13848" priority="4904" operator="lessThan">
      <formula>-105575</formula>
    </cfRule>
  </conditionalFormatting>
  <conditionalFormatting sqref="BB149">
    <cfRule type="cellIs" dxfId="13847" priority="4901" operator="lessThan">
      <formula>0</formula>
    </cfRule>
    <cfRule type="cellIs" dxfId="13846" priority="4902" operator="lessThan">
      <formula>-105575</formula>
    </cfRule>
  </conditionalFormatting>
  <conditionalFormatting sqref="BB129:BB138 BB140:BB149">
    <cfRule type="cellIs" dxfId="13845" priority="4899" operator="lessThan">
      <formula>0</formula>
    </cfRule>
    <cfRule type="cellIs" dxfId="13844" priority="4900" operator="lessThan">
      <formula>-105575</formula>
    </cfRule>
  </conditionalFormatting>
  <conditionalFormatting sqref="BB94:BB98 BB86:BB87 BB89:BB91 BB141:BB149 BB124:BB133 BB107:BB110 BB112:BB117 BB119:BB122 BB135:BB138 BB101:BB104 BB80:BB84">
    <cfRule type="cellIs" dxfId="13843" priority="4897" operator="lessThan">
      <formula>0</formula>
    </cfRule>
    <cfRule type="cellIs" dxfId="13842" priority="4898" operator="lessThan">
      <formula>-105575</formula>
    </cfRule>
  </conditionalFormatting>
  <conditionalFormatting sqref="BB129 BB131 BB133 BB135">
    <cfRule type="cellIs" dxfId="13841" priority="4895" operator="lessThan">
      <formula>0</formula>
    </cfRule>
    <cfRule type="cellIs" dxfId="13840" priority="4896" operator="lessThan">
      <formula>-105575</formula>
    </cfRule>
  </conditionalFormatting>
  <conditionalFormatting sqref="BB146 BB144 BB141">
    <cfRule type="cellIs" dxfId="13839" priority="4893" operator="lessThan">
      <formula>0</formula>
    </cfRule>
    <cfRule type="cellIs" dxfId="13838" priority="4894" operator="lessThan">
      <formula>-105575</formula>
    </cfRule>
  </conditionalFormatting>
  <conditionalFormatting sqref="BB146 BB144 BB141">
    <cfRule type="cellIs" dxfId="13837" priority="4891" operator="lessThan">
      <formula>0</formula>
    </cfRule>
    <cfRule type="cellIs" dxfId="13836" priority="4892" operator="lessThan">
      <formula>-105575</formula>
    </cfRule>
  </conditionalFormatting>
  <conditionalFormatting sqref="BB140 BB145 BB142:BB143 BB137:BB138">
    <cfRule type="cellIs" dxfId="13835" priority="4889" operator="lessThan">
      <formula>0</formula>
    </cfRule>
    <cfRule type="cellIs" dxfId="13834" priority="4890" operator="lessThan">
      <formula>-105575</formula>
    </cfRule>
  </conditionalFormatting>
  <conditionalFormatting sqref="BB149">
    <cfRule type="cellIs" dxfId="13833" priority="4887" operator="lessThan">
      <formula>0</formula>
    </cfRule>
    <cfRule type="cellIs" dxfId="13832" priority="4888" operator="lessThan">
      <formula>-105575</formula>
    </cfRule>
  </conditionalFormatting>
  <conditionalFormatting sqref="BB94:BB98 BB86:BB87 BB89:BB91 BB141:BB149 BB124:BB133 BB107:BB110 BB112:BB117 BB119:BB122 BB135:BB138 BB101:BB104 BB80:BB84">
    <cfRule type="cellIs" dxfId="13831" priority="4885" operator="lessThan">
      <formula>0</formula>
    </cfRule>
    <cfRule type="cellIs" dxfId="13830" priority="4886" operator="lessThan">
      <formula>-105575</formula>
    </cfRule>
  </conditionalFormatting>
  <conditionalFormatting sqref="BB62:BB76 BB306:BB309 BB311:BB325 BB327:BB330 BB332:BB341 BB344:BB347 BB349:BB353 BB355:BB358 BB360:BB384 BB386:BB389 BB392:BB395 BB397:BB411 BB413:BB416 BB418:BB432 BB434:BB437 BB439:BB453 BB455:BB458 BB460:BB469 BB7:BB10 BB12:BB14 BB17:BB18 BB21:BB24 BB26:BB28 BB30:BB36 BB38 BB41:BB43 BB46:BB49 BB51:BB55 BB57:BB59 BB290:BB291 BB293:BB304">
    <cfRule type="cellIs" dxfId="13829" priority="4883" operator="lessThan">
      <formula>0</formula>
    </cfRule>
    <cfRule type="cellIs" dxfId="13828" priority="4884" operator="lessThan">
      <formula>-105575</formula>
    </cfRule>
  </conditionalFormatting>
  <conditionalFormatting sqref="BB41">
    <cfRule type="cellIs" dxfId="13827" priority="4881" operator="lessThan">
      <formula>0</formula>
    </cfRule>
    <cfRule type="cellIs" dxfId="13826" priority="4882" operator="lessThan">
      <formula>-105575</formula>
    </cfRule>
  </conditionalFormatting>
  <conditionalFormatting sqref="BB152:BB155">
    <cfRule type="cellIs" dxfId="13825" priority="4879" operator="lessThan">
      <formula>0</formula>
    </cfRule>
    <cfRule type="cellIs" dxfId="13824" priority="4880" operator="lessThan">
      <formula>-105575</formula>
    </cfRule>
  </conditionalFormatting>
  <conditionalFormatting sqref="BB152:BB155">
    <cfRule type="cellIs" dxfId="13823" priority="4877" operator="lessThan">
      <formula>0</formula>
    </cfRule>
    <cfRule type="cellIs" dxfId="13822" priority="4878" operator="lessThan">
      <formula>-105575</formula>
    </cfRule>
  </conditionalFormatting>
  <conditionalFormatting sqref="BB152:BB155">
    <cfRule type="cellIs" dxfId="13821" priority="4875" operator="lessThan">
      <formula>0</formula>
    </cfRule>
    <cfRule type="cellIs" dxfId="13820" priority="4876" operator="lessThan">
      <formula>-105575</formula>
    </cfRule>
  </conditionalFormatting>
  <conditionalFormatting sqref="BB157:BB158">
    <cfRule type="cellIs" dxfId="13819" priority="4873" operator="lessThan">
      <formula>0</formula>
    </cfRule>
    <cfRule type="cellIs" dxfId="13818" priority="4874" operator="lessThan">
      <formula>-105575</formula>
    </cfRule>
  </conditionalFormatting>
  <conditionalFormatting sqref="BB157:BB158">
    <cfRule type="cellIs" dxfId="13817" priority="4871" operator="lessThan">
      <formula>0</formula>
    </cfRule>
    <cfRule type="cellIs" dxfId="13816" priority="4872" operator="lessThan">
      <formula>-105575</formula>
    </cfRule>
  </conditionalFormatting>
  <conditionalFormatting sqref="BB157:BB158">
    <cfRule type="cellIs" dxfId="13815" priority="4869" operator="lessThan">
      <formula>0</formula>
    </cfRule>
    <cfRule type="cellIs" dxfId="13814" priority="4870" operator="lessThan">
      <formula>-105575</formula>
    </cfRule>
  </conditionalFormatting>
  <conditionalFormatting sqref="BB160:BB161">
    <cfRule type="cellIs" dxfId="13813" priority="4867" operator="lessThan">
      <formula>0</formula>
    </cfRule>
    <cfRule type="cellIs" dxfId="13812" priority="4868" operator="lessThan">
      <formula>-105575</formula>
    </cfRule>
  </conditionalFormatting>
  <conditionalFormatting sqref="BB160:BB161">
    <cfRule type="cellIs" dxfId="13811" priority="4865" operator="lessThan">
      <formula>0</formula>
    </cfRule>
    <cfRule type="cellIs" dxfId="13810" priority="4866" operator="lessThan">
      <formula>-105575</formula>
    </cfRule>
  </conditionalFormatting>
  <conditionalFormatting sqref="BB160:BB161">
    <cfRule type="cellIs" dxfId="13809" priority="4863" operator="lessThan">
      <formula>0</formula>
    </cfRule>
    <cfRule type="cellIs" dxfId="13808" priority="4864" operator="lessThan">
      <formula>-105575</formula>
    </cfRule>
  </conditionalFormatting>
  <conditionalFormatting sqref="BB164:BB167">
    <cfRule type="cellIs" dxfId="13807" priority="4861" operator="lessThan">
      <formula>0</formula>
    </cfRule>
    <cfRule type="cellIs" dxfId="13806" priority="4862" operator="lessThan">
      <formula>-105575</formula>
    </cfRule>
  </conditionalFormatting>
  <conditionalFormatting sqref="BB164:BB167">
    <cfRule type="cellIs" dxfId="13805" priority="4859" operator="lessThan">
      <formula>0</formula>
    </cfRule>
    <cfRule type="cellIs" dxfId="13804" priority="4860" operator="lessThan">
      <formula>-105575</formula>
    </cfRule>
  </conditionalFormatting>
  <conditionalFormatting sqref="BB164:BB167">
    <cfRule type="cellIs" dxfId="13803" priority="4857" operator="lessThan">
      <formula>0</formula>
    </cfRule>
    <cfRule type="cellIs" dxfId="13802" priority="4858" operator="lessThan">
      <formula>-105575</formula>
    </cfRule>
  </conditionalFormatting>
  <conditionalFormatting sqref="BB169:BB177">
    <cfRule type="cellIs" dxfId="13801" priority="4855" operator="lessThan">
      <formula>0</formula>
    </cfRule>
    <cfRule type="cellIs" dxfId="13800" priority="4856" operator="lessThan">
      <formula>-105575</formula>
    </cfRule>
  </conditionalFormatting>
  <conditionalFormatting sqref="BB169:BB177">
    <cfRule type="cellIs" dxfId="13799" priority="4853" operator="lessThan">
      <formula>0</formula>
    </cfRule>
    <cfRule type="cellIs" dxfId="13798" priority="4854" operator="lessThan">
      <formula>-105575</formula>
    </cfRule>
  </conditionalFormatting>
  <conditionalFormatting sqref="BB169:BB177">
    <cfRule type="cellIs" dxfId="13797" priority="4851" operator="lessThan">
      <formula>0</formula>
    </cfRule>
    <cfRule type="cellIs" dxfId="13796" priority="4852" operator="lessThan">
      <formula>-105575</formula>
    </cfRule>
  </conditionalFormatting>
  <conditionalFormatting sqref="BB179:BB180">
    <cfRule type="cellIs" dxfId="13795" priority="4849" operator="lessThan">
      <formula>0</formula>
    </cfRule>
    <cfRule type="cellIs" dxfId="13794" priority="4850" operator="lessThan">
      <formula>-105575</formula>
    </cfRule>
  </conditionalFormatting>
  <conditionalFormatting sqref="BB179:BB180">
    <cfRule type="cellIs" dxfId="13793" priority="4847" operator="lessThan">
      <formula>0</formula>
    </cfRule>
    <cfRule type="cellIs" dxfId="13792" priority="4848" operator="lessThan">
      <formula>-105575</formula>
    </cfRule>
  </conditionalFormatting>
  <conditionalFormatting sqref="BB179:BB180">
    <cfRule type="cellIs" dxfId="13791" priority="4845" operator="lessThan">
      <formula>0</formula>
    </cfRule>
    <cfRule type="cellIs" dxfId="13790" priority="4846" operator="lessThan">
      <formula>-105575</formula>
    </cfRule>
  </conditionalFormatting>
  <conditionalFormatting sqref="BB183:BB189">
    <cfRule type="cellIs" dxfId="13789" priority="4843" operator="lessThan">
      <formula>0</formula>
    </cfRule>
    <cfRule type="cellIs" dxfId="13788" priority="4844" operator="lessThan">
      <formula>-105575</formula>
    </cfRule>
  </conditionalFormatting>
  <conditionalFormatting sqref="BB183:BB189">
    <cfRule type="cellIs" dxfId="13787" priority="4841" operator="lessThan">
      <formula>0</formula>
    </cfRule>
    <cfRule type="cellIs" dxfId="13786" priority="4842" operator="lessThan">
      <formula>-105575</formula>
    </cfRule>
  </conditionalFormatting>
  <conditionalFormatting sqref="BB183:BB189">
    <cfRule type="cellIs" dxfId="13785" priority="4839" operator="lessThan">
      <formula>0</formula>
    </cfRule>
    <cfRule type="cellIs" dxfId="13784" priority="4840" operator="lessThan">
      <formula>-105575</formula>
    </cfRule>
  </conditionalFormatting>
  <conditionalFormatting sqref="BB191:BB192">
    <cfRule type="cellIs" dxfId="13783" priority="4837" operator="lessThan">
      <formula>0</formula>
    </cfRule>
    <cfRule type="cellIs" dxfId="13782" priority="4838" operator="lessThan">
      <formula>-105575</formula>
    </cfRule>
  </conditionalFormatting>
  <conditionalFormatting sqref="BB191:BB192">
    <cfRule type="cellIs" dxfId="13781" priority="4835" operator="lessThan">
      <formula>0</formula>
    </cfRule>
    <cfRule type="cellIs" dxfId="13780" priority="4836" operator="lessThan">
      <formula>-105575</formula>
    </cfRule>
  </conditionalFormatting>
  <conditionalFormatting sqref="BB191:BB192">
    <cfRule type="cellIs" dxfId="13779" priority="4833" operator="lessThan">
      <formula>0</formula>
    </cfRule>
    <cfRule type="cellIs" dxfId="13778" priority="4834" operator="lessThan">
      <formula>-105575</formula>
    </cfRule>
  </conditionalFormatting>
  <conditionalFormatting sqref="BB194:BB195">
    <cfRule type="cellIs" dxfId="13777" priority="4831" operator="lessThan">
      <formula>0</formula>
    </cfRule>
    <cfRule type="cellIs" dxfId="13776" priority="4832" operator="lessThan">
      <formula>-105575</formula>
    </cfRule>
  </conditionalFormatting>
  <conditionalFormatting sqref="BB194:BB195">
    <cfRule type="cellIs" dxfId="13775" priority="4829" operator="lessThan">
      <formula>0</formula>
    </cfRule>
    <cfRule type="cellIs" dxfId="13774" priority="4830" operator="lessThan">
      <formula>-105575</formula>
    </cfRule>
  </conditionalFormatting>
  <conditionalFormatting sqref="BB194:BB195">
    <cfRule type="cellIs" dxfId="13773" priority="4827" operator="lessThan">
      <formula>0</formula>
    </cfRule>
    <cfRule type="cellIs" dxfId="13772" priority="4828" operator="lessThan">
      <formula>-105575</formula>
    </cfRule>
  </conditionalFormatting>
  <conditionalFormatting sqref="BB199:BB202">
    <cfRule type="cellIs" dxfId="13771" priority="4825" operator="lessThan">
      <formula>0</formula>
    </cfRule>
    <cfRule type="cellIs" dxfId="13770" priority="4826" operator="lessThan">
      <formula>-105575</formula>
    </cfRule>
  </conditionalFormatting>
  <conditionalFormatting sqref="BB199:BB202">
    <cfRule type="cellIs" dxfId="13769" priority="4823" operator="lessThan">
      <formula>0</formula>
    </cfRule>
    <cfRule type="cellIs" dxfId="13768" priority="4824" operator="lessThan">
      <formula>-105575</formula>
    </cfRule>
  </conditionalFormatting>
  <conditionalFormatting sqref="BB199:BB202">
    <cfRule type="cellIs" dxfId="13767" priority="4821" operator="lessThan">
      <formula>0</formula>
    </cfRule>
    <cfRule type="cellIs" dxfId="13766" priority="4822" operator="lessThan">
      <formula>-105575</formula>
    </cfRule>
  </conditionalFormatting>
  <conditionalFormatting sqref="BB204:BB208">
    <cfRule type="cellIs" dxfId="13765" priority="4819" operator="lessThan">
      <formula>0</formula>
    </cfRule>
    <cfRule type="cellIs" dxfId="13764" priority="4820" operator="lessThan">
      <formula>-105575</formula>
    </cfRule>
  </conditionalFormatting>
  <conditionalFormatting sqref="BB204:BB208">
    <cfRule type="cellIs" dxfId="13763" priority="4817" operator="lessThan">
      <formula>0</formula>
    </cfRule>
    <cfRule type="cellIs" dxfId="13762" priority="4818" operator="lessThan">
      <formula>-105575</formula>
    </cfRule>
  </conditionalFormatting>
  <conditionalFormatting sqref="BB204:BB208">
    <cfRule type="cellIs" dxfId="13761" priority="4815" operator="lessThan">
      <formula>0</formula>
    </cfRule>
    <cfRule type="cellIs" dxfId="13760" priority="4816" operator="lessThan">
      <formula>-105575</formula>
    </cfRule>
  </conditionalFormatting>
  <conditionalFormatting sqref="BB210:BB211">
    <cfRule type="cellIs" dxfId="13759" priority="4813" operator="lessThan">
      <formula>0</formula>
    </cfRule>
    <cfRule type="cellIs" dxfId="13758" priority="4814" operator="lessThan">
      <formula>-105575</formula>
    </cfRule>
  </conditionalFormatting>
  <conditionalFormatting sqref="BB210:BB211">
    <cfRule type="cellIs" dxfId="13757" priority="4811" operator="lessThan">
      <formula>0</formula>
    </cfRule>
    <cfRule type="cellIs" dxfId="13756" priority="4812" operator="lessThan">
      <formula>-105575</formula>
    </cfRule>
  </conditionalFormatting>
  <conditionalFormatting sqref="BB210:BB211">
    <cfRule type="cellIs" dxfId="13755" priority="4809" operator="lessThan">
      <formula>0</formula>
    </cfRule>
    <cfRule type="cellIs" dxfId="13754" priority="4810" operator="lessThan">
      <formula>-105575</formula>
    </cfRule>
  </conditionalFormatting>
  <conditionalFormatting sqref="BB214:BB219">
    <cfRule type="cellIs" dxfId="13753" priority="4807" operator="lessThan">
      <formula>0</formula>
    </cfRule>
    <cfRule type="cellIs" dxfId="13752" priority="4808" operator="lessThan">
      <formula>-105575</formula>
    </cfRule>
  </conditionalFormatting>
  <conditionalFormatting sqref="BB214:BB219">
    <cfRule type="cellIs" dxfId="13751" priority="4805" operator="lessThan">
      <formula>0</formula>
    </cfRule>
    <cfRule type="cellIs" dxfId="13750" priority="4806" operator="lessThan">
      <formula>-105575</formula>
    </cfRule>
  </conditionalFormatting>
  <conditionalFormatting sqref="BB214:BB219">
    <cfRule type="cellIs" dxfId="13749" priority="4803" operator="lessThan">
      <formula>0</formula>
    </cfRule>
    <cfRule type="cellIs" dxfId="13748" priority="4804" operator="lessThan">
      <formula>-105575</formula>
    </cfRule>
  </conditionalFormatting>
  <conditionalFormatting sqref="BB222:BB224">
    <cfRule type="cellIs" dxfId="13747" priority="4801" operator="lessThan">
      <formula>0</formula>
    </cfRule>
    <cfRule type="cellIs" dxfId="13746" priority="4802" operator="lessThan">
      <formula>-105575</formula>
    </cfRule>
  </conditionalFormatting>
  <conditionalFormatting sqref="BB222:BB224">
    <cfRule type="cellIs" dxfId="13745" priority="4799" operator="lessThan">
      <formula>0</formula>
    </cfRule>
    <cfRule type="cellIs" dxfId="13744" priority="4800" operator="lessThan">
      <formula>-105575</formula>
    </cfRule>
  </conditionalFormatting>
  <conditionalFormatting sqref="BB222:BB224">
    <cfRule type="cellIs" dxfId="13743" priority="4797" operator="lessThan">
      <formula>0</formula>
    </cfRule>
    <cfRule type="cellIs" dxfId="13742" priority="4798" operator="lessThan">
      <formula>-105575</formula>
    </cfRule>
  </conditionalFormatting>
  <conditionalFormatting sqref="BB227:BB230">
    <cfRule type="cellIs" dxfId="13741" priority="4795" operator="lessThan">
      <formula>0</formula>
    </cfRule>
    <cfRule type="cellIs" dxfId="13740" priority="4796" operator="lessThan">
      <formula>-105575</formula>
    </cfRule>
  </conditionalFormatting>
  <conditionalFormatting sqref="BB227:BB230">
    <cfRule type="cellIs" dxfId="13739" priority="4793" operator="lessThan">
      <formula>0</formula>
    </cfRule>
    <cfRule type="cellIs" dxfId="13738" priority="4794" operator="lessThan">
      <formula>-105575</formula>
    </cfRule>
  </conditionalFormatting>
  <conditionalFormatting sqref="BB227:BB230">
    <cfRule type="cellIs" dxfId="13737" priority="4791" operator="lessThan">
      <formula>0</formula>
    </cfRule>
    <cfRule type="cellIs" dxfId="13736" priority="4792" operator="lessThan">
      <formula>-105575</formula>
    </cfRule>
  </conditionalFormatting>
  <conditionalFormatting sqref="BB246:BB249">
    <cfRule type="cellIs" dxfId="13735" priority="4789" operator="lessThan">
      <formula>0</formula>
    </cfRule>
    <cfRule type="cellIs" dxfId="13734" priority="4790" operator="lessThan">
      <formula>-105575</formula>
    </cfRule>
  </conditionalFormatting>
  <conditionalFormatting sqref="BB246:BB249">
    <cfRule type="cellIs" dxfId="13733" priority="4787" operator="lessThan">
      <formula>0</formula>
    </cfRule>
    <cfRule type="cellIs" dxfId="13732" priority="4788" operator="lessThan">
      <formula>-105575</formula>
    </cfRule>
  </conditionalFormatting>
  <conditionalFormatting sqref="BB246:BB249">
    <cfRule type="cellIs" dxfId="13731" priority="4785" operator="lessThan">
      <formula>0</formula>
    </cfRule>
    <cfRule type="cellIs" dxfId="13730" priority="4786" operator="lessThan">
      <formula>-105575</formula>
    </cfRule>
  </conditionalFormatting>
  <conditionalFormatting sqref="BB246:BB249">
    <cfRule type="cellIs" dxfId="13729" priority="4783" operator="lessThan">
      <formula>0</formula>
    </cfRule>
    <cfRule type="cellIs" dxfId="13728" priority="4784" operator="lessThan">
      <formula>-105575</formula>
    </cfRule>
  </conditionalFormatting>
  <conditionalFormatting sqref="BB246:BB249">
    <cfRule type="cellIs" dxfId="13727" priority="4781" operator="lessThan">
      <formula>0</formula>
    </cfRule>
    <cfRule type="cellIs" dxfId="13726" priority="4782" operator="lessThan">
      <formula>-105575</formula>
    </cfRule>
  </conditionalFormatting>
  <conditionalFormatting sqref="BB246:BB249">
    <cfRule type="cellIs" dxfId="13725" priority="4779" operator="lessThan">
      <formula>0</formula>
    </cfRule>
    <cfRule type="cellIs" dxfId="13724" priority="4780" operator="lessThan">
      <formula>-105575</formula>
    </cfRule>
  </conditionalFormatting>
  <conditionalFormatting sqref="BB246:BB249">
    <cfRule type="cellIs" dxfId="13723" priority="4777" operator="lessThan">
      <formula>0</formula>
    </cfRule>
    <cfRule type="cellIs" dxfId="13722" priority="4778" operator="lessThan">
      <formula>-105575</formula>
    </cfRule>
  </conditionalFormatting>
  <conditionalFormatting sqref="BB246:BB249">
    <cfRule type="cellIs" dxfId="13721" priority="4775" operator="lessThan">
      <formula>0</formula>
    </cfRule>
    <cfRule type="cellIs" dxfId="13720" priority="4776" operator="lessThan">
      <formula>-105575</formula>
    </cfRule>
  </conditionalFormatting>
  <conditionalFormatting sqref="BB246:BB249">
    <cfRule type="cellIs" dxfId="13719" priority="4773" operator="lessThan">
      <formula>0</formula>
    </cfRule>
    <cfRule type="cellIs" dxfId="13718" priority="4774" operator="lessThan">
      <formula>-105575</formula>
    </cfRule>
  </conditionalFormatting>
  <conditionalFormatting sqref="BB251:BB253">
    <cfRule type="cellIs" dxfId="13717" priority="4771" operator="lessThan">
      <formula>0</formula>
    </cfRule>
    <cfRule type="cellIs" dxfId="13716" priority="4772" operator="lessThan">
      <formula>-105575</formula>
    </cfRule>
  </conditionalFormatting>
  <conditionalFormatting sqref="BB251:BB253">
    <cfRule type="cellIs" dxfId="13715" priority="4769" operator="lessThan">
      <formula>0</formula>
    </cfRule>
    <cfRule type="cellIs" dxfId="13714" priority="4770" operator="lessThan">
      <formula>-105575</formula>
    </cfRule>
  </conditionalFormatting>
  <conditionalFormatting sqref="BB251:BB253">
    <cfRule type="cellIs" dxfId="13713" priority="4767" operator="lessThan">
      <formula>0</formula>
    </cfRule>
    <cfRule type="cellIs" dxfId="13712" priority="4768" operator="lessThan">
      <formula>-105575</formula>
    </cfRule>
  </conditionalFormatting>
  <conditionalFormatting sqref="BB251:BB253">
    <cfRule type="cellIs" dxfId="13711" priority="4765" operator="lessThan">
      <formula>0</formula>
    </cfRule>
    <cfRule type="cellIs" dxfId="13710" priority="4766" operator="lessThan">
      <formula>-105575</formula>
    </cfRule>
  </conditionalFormatting>
  <conditionalFormatting sqref="BB251:BB253">
    <cfRule type="cellIs" dxfId="13709" priority="4763" operator="lessThan">
      <formula>0</formula>
    </cfRule>
    <cfRule type="cellIs" dxfId="13708" priority="4764" operator="lessThan">
      <formula>-105575</formula>
    </cfRule>
  </conditionalFormatting>
  <conditionalFormatting sqref="BB251:BB253">
    <cfRule type="cellIs" dxfId="13707" priority="4761" operator="lessThan">
      <formula>0</formula>
    </cfRule>
    <cfRule type="cellIs" dxfId="13706" priority="4762" operator="lessThan">
      <formula>-105575</formula>
    </cfRule>
  </conditionalFormatting>
  <conditionalFormatting sqref="BB251:BB253">
    <cfRule type="cellIs" dxfId="13705" priority="4759" operator="lessThan">
      <formula>0</formula>
    </cfRule>
    <cfRule type="cellIs" dxfId="13704" priority="4760" operator="lessThan">
      <formula>-105575</formula>
    </cfRule>
  </conditionalFormatting>
  <conditionalFormatting sqref="BB251:BB253">
    <cfRule type="cellIs" dxfId="13703" priority="4757" operator="lessThan">
      <formula>0</formula>
    </cfRule>
    <cfRule type="cellIs" dxfId="13702" priority="4758" operator="lessThan">
      <formula>-105575</formula>
    </cfRule>
  </conditionalFormatting>
  <conditionalFormatting sqref="BB251:BB253">
    <cfRule type="cellIs" dxfId="13701" priority="4755" operator="lessThan">
      <formula>0</formula>
    </cfRule>
    <cfRule type="cellIs" dxfId="13700" priority="4756" operator="lessThan">
      <formula>-105575</formula>
    </cfRule>
  </conditionalFormatting>
  <conditionalFormatting sqref="BB255:BB257">
    <cfRule type="cellIs" dxfId="13699" priority="4753" operator="lessThan">
      <formula>0</formula>
    </cfRule>
    <cfRule type="cellIs" dxfId="13698" priority="4754" operator="lessThan">
      <formula>-105575</formula>
    </cfRule>
  </conditionalFormatting>
  <conditionalFormatting sqref="BB255:BB257">
    <cfRule type="cellIs" dxfId="13697" priority="4751" operator="lessThan">
      <formula>0</formula>
    </cfRule>
    <cfRule type="cellIs" dxfId="13696" priority="4752" operator="lessThan">
      <formula>-105575</formula>
    </cfRule>
  </conditionalFormatting>
  <conditionalFormatting sqref="BB255:BB257">
    <cfRule type="cellIs" dxfId="13695" priority="4749" operator="lessThan">
      <formula>0</formula>
    </cfRule>
    <cfRule type="cellIs" dxfId="13694" priority="4750" operator="lessThan">
      <formula>-105575</formula>
    </cfRule>
  </conditionalFormatting>
  <conditionalFormatting sqref="BB255:BB257">
    <cfRule type="cellIs" dxfId="13693" priority="4747" operator="lessThan">
      <formula>0</formula>
    </cfRule>
    <cfRule type="cellIs" dxfId="13692" priority="4748" operator="lessThan">
      <formula>-105575</formula>
    </cfRule>
  </conditionalFormatting>
  <conditionalFormatting sqref="BB255:BB257">
    <cfRule type="cellIs" dxfId="13691" priority="4745" operator="lessThan">
      <formula>0</formula>
    </cfRule>
    <cfRule type="cellIs" dxfId="13690" priority="4746" operator="lessThan">
      <formula>-105575</formula>
    </cfRule>
  </conditionalFormatting>
  <conditionalFormatting sqref="BB255:BB257">
    <cfRule type="cellIs" dxfId="13689" priority="4743" operator="lessThan">
      <formula>0</formula>
    </cfRule>
    <cfRule type="cellIs" dxfId="13688" priority="4744" operator="lessThan">
      <formula>-105575</formula>
    </cfRule>
  </conditionalFormatting>
  <conditionalFormatting sqref="BB255:BB257">
    <cfRule type="cellIs" dxfId="13687" priority="4741" operator="lessThan">
      <formula>0</formula>
    </cfRule>
    <cfRule type="cellIs" dxfId="13686" priority="4742" operator="lessThan">
      <formula>-105575</formula>
    </cfRule>
  </conditionalFormatting>
  <conditionalFormatting sqref="BB255:BB257">
    <cfRule type="cellIs" dxfId="13685" priority="4739" operator="lessThan">
      <formula>0</formula>
    </cfRule>
    <cfRule type="cellIs" dxfId="13684" priority="4740" operator="lessThan">
      <formula>-105575</formula>
    </cfRule>
  </conditionalFormatting>
  <conditionalFormatting sqref="BB255:BB257">
    <cfRule type="cellIs" dxfId="13683" priority="4737" operator="lessThan">
      <formula>0</formula>
    </cfRule>
    <cfRule type="cellIs" dxfId="13682" priority="4738" operator="lessThan">
      <formula>-105575</formula>
    </cfRule>
  </conditionalFormatting>
  <conditionalFormatting sqref="BB260:BB262">
    <cfRule type="cellIs" dxfId="13681" priority="4735" operator="lessThan">
      <formula>0</formula>
    </cfRule>
    <cfRule type="cellIs" dxfId="13680" priority="4736" operator="lessThan">
      <formula>-105575</formula>
    </cfRule>
  </conditionalFormatting>
  <conditionalFormatting sqref="BB260:BB262">
    <cfRule type="cellIs" dxfId="13679" priority="4733" operator="lessThan">
      <formula>0</formula>
    </cfRule>
    <cfRule type="cellIs" dxfId="13678" priority="4734" operator="lessThan">
      <formula>-105575</formula>
    </cfRule>
  </conditionalFormatting>
  <conditionalFormatting sqref="BB260:BB262">
    <cfRule type="cellIs" dxfId="13677" priority="4731" operator="lessThan">
      <formula>0</formula>
    </cfRule>
    <cfRule type="cellIs" dxfId="13676" priority="4732" operator="lessThan">
      <formula>-105575</formula>
    </cfRule>
  </conditionalFormatting>
  <conditionalFormatting sqref="BB260:BB262">
    <cfRule type="cellIs" dxfId="13675" priority="4729" operator="lessThan">
      <formula>0</formula>
    </cfRule>
    <cfRule type="cellIs" dxfId="13674" priority="4730" operator="lessThan">
      <formula>-105575</formula>
    </cfRule>
  </conditionalFormatting>
  <conditionalFormatting sqref="BB260:BB262">
    <cfRule type="cellIs" dxfId="13673" priority="4727" operator="lessThan">
      <formula>0</formula>
    </cfRule>
    <cfRule type="cellIs" dxfId="13672" priority="4728" operator="lessThan">
      <formula>-105575</formula>
    </cfRule>
  </conditionalFormatting>
  <conditionalFormatting sqref="BB260:BB262">
    <cfRule type="cellIs" dxfId="13671" priority="4725" operator="lessThan">
      <formula>0</formula>
    </cfRule>
    <cfRule type="cellIs" dxfId="13670" priority="4726" operator="lessThan">
      <formula>-105575</formula>
    </cfRule>
  </conditionalFormatting>
  <conditionalFormatting sqref="BB260:BB262">
    <cfRule type="cellIs" dxfId="13669" priority="4723" operator="lessThan">
      <formula>0</formula>
    </cfRule>
    <cfRule type="cellIs" dxfId="13668" priority="4724" operator="lessThan">
      <formula>-105575</formula>
    </cfRule>
  </conditionalFormatting>
  <conditionalFormatting sqref="BB260:BB262">
    <cfRule type="cellIs" dxfId="13667" priority="4721" operator="lessThan">
      <formula>0</formula>
    </cfRule>
    <cfRule type="cellIs" dxfId="13666" priority="4722" operator="lessThan">
      <formula>-105575</formula>
    </cfRule>
  </conditionalFormatting>
  <conditionalFormatting sqref="BB260:BB262">
    <cfRule type="cellIs" dxfId="13665" priority="4719" operator="lessThan">
      <formula>0</formula>
    </cfRule>
    <cfRule type="cellIs" dxfId="13664" priority="4720" operator="lessThan">
      <formula>-105575</formula>
    </cfRule>
  </conditionalFormatting>
  <conditionalFormatting sqref="BB264:BB267">
    <cfRule type="cellIs" dxfId="13663" priority="4717" operator="lessThan">
      <formula>0</formula>
    </cfRule>
    <cfRule type="cellIs" dxfId="13662" priority="4718" operator="lessThan">
      <formula>-105575</formula>
    </cfRule>
  </conditionalFormatting>
  <conditionalFormatting sqref="BB264:BB267">
    <cfRule type="cellIs" dxfId="13661" priority="4715" operator="lessThan">
      <formula>0</formula>
    </cfRule>
    <cfRule type="cellIs" dxfId="13660" priority="4716" operator="lessThan">
      <formula>-105575</formula>
    </cfRule>
  </conditionalFormatting>
  <conditionalFormatting sqref="BB264:BB267">
    <cfRule type="cellIs" dxfId="13659" priority="4713" operator="lessThan">
      <formula>0</formula>
    </cfRule>
    <cfRule type="cellIs" dxfId="13658" priority="4714" operator="lessThan">
      <formula>-105575</formula>
    </cfRule>
  </conditionalFormatting>
  <conditionalFormatting sqref="BB264:BB267">
    <cfRule type="cellIs" dxfId="13657" priority="4711" operator="lessThan">
      <formula>0</formula>
    </cfRule>
    <cfRule type="cellIs" dxfId="13656" priority="4712" operator="lessThan">
      <formula>-105575</formula>
    </cfRule>
  </conditionalFormatting>
  <conditionalFormatting sqref="BB264:BB267">
    <cfRule type="cellIs" dxfId="13655" priority="4709" operator="lessThan">
      <formula>0</formula>
    </cfRule>
    <cfRule type="cellIs" dxfId="13654" priority="4710" operator="lessThan">
      <formula>-105575</formula>
    </cfRule>
  </conditionalFormatting>
  <conditionalFormatting sqref="BB264:BB267">
    <cfRule type="cellIs" dxfId="13653" priority="4707" operator="lessThan">
      <formula>0</formula>
    </cfRule>
    <cfRule type="cellIs" dxfId="13652" priority="4708" operator="lessThan">
      <formula>-105575</formula>
    </cfRule>
  </conditionalFormatting>
  <conditionalFormatting sqref="BB264:BB267">
    <cfRule type="cellIs" dxfId="13651" priority="4705" operator="lessThan">
      <formula>0</formula>
    </cfRule>
    <cfRule type="cellIs" dxfId="13650" priority="4706" operator="lessThan">
      <formula>-105575</formula>
    </cfRule>
  </conditionalFormatting>
  <conditionalFormatting sqref="BB264:BB267">
    <cfRule type="cellIs" dxfId="13649" priority="4703" operator="lessThan">
      <formula>0</formula>
    </cfRule>
    <cfRule type="cellIs" dxfId="13648" priority="4704" operator="lessThan">
      <formula>-105575</formula>
    </cfRule>
  </conditionalFormatting>
  <conditionalFormatting sqref="BB264:BB267">
    <cfRule type="cellIs" dxfId="13647" priority="4701" operator="lessThan">
      <formula>0</formula>
    </cfRule>
    <cfRule type="cellIs" dxfId="13646" priority="4702" operator="lessThan">
      <formula>-105575</formula>
    </cfRule>
  </conditionalFormatting>
  <conditionalFormatting sqref="BB270:BB272">
    <cfRule type="cellIs" dxfId="13645" priority="4699" operator="lessThan">
      <formula>0</formula>
    </cfRule>
    <cfRule type="cellIs" dxfId="13644" priority="4700" operator="lessThan">
      <formula>-105575</formula>
    </cfRule>
  </conditionalFormatting>
  <conditionalFormatting sqref="BB270:BB272">
    <cfRule type="cellIs" dxfId="13643" priority="4697" operator="lessThan">
      <formula>0</formula>
    </cfRule>
    <cfRule type="cellIs" dxfId="13642" priority="4698" operator="lessThan">
      <formula>-105575</formula>
    </cfRule>
  </conditionalFormatting>
  <conditionalFormatting sqref="BB270:BB272">
    <cfRule type="cellIs" dxfId="13641" priority="4695" operator="lessThan">
      <formula>0</formula>
    </cfRule>
    <cfRule type="cellIs" dxfId="13640" priority="4696" operator="lessThan">
      <formula>-105575</formula>
    </cfRule>
  </conditionalFormatting>
  <conditionalFormatting sqref="BB270:BB272">
    <cfRule type="cellIs" dxfId="13639" priority="4693" operator="lessThan">
      <formula>0</formula>
    </cfRule>
    <cfRule type="cellIs" dxfId="13638" priority="4694" operator="lessThan">
      <formula>-105575</formula>
    </cfRule>
  </conditionalFormatting>
  <conditionalFormatting sqref="BB270:BB272">
    <cfRule type="cellIs" dxfId="13637" priority="4691" operator="lessThan">
      <formula>0</formula>
    </cfRule>
    <cfRule type="cellIs" dxfId="13636" priority="4692" operator="lessThan">
      <formula>-105575</formula>
    </cfRule>
  </conditionalFormatting>
  <conditionalFormatting sqref="BB270:BB272">
    <cfRule type="cellIs" dxfId="13635" priority="4689" operator="lessThan">
      <formula>0</formula>
    </cfRule>
    <cfRule type="cellIs" dxfId="13634" priority="4690" operator="lessThan">
      <formula>-105575</formula>
    </cfRule>
  </conditionalFormatting>
  <conditionalFormatting sqref="BB270:BB272">
    <cfRule type="cellIs" dxfId="13633" priority="4687" operator="lessThan">
      <formula>0</formula>
    </cfRule>
    <cfRule type="cellIs" dxfId="13632" priority="4688" operator="lessThan">
      <formula>-105575</formula>
    </cfRule>
  </conditionalFormatting>
  <conditionalFormatting sqref="BB270:BB272">
    <cfRule type="cellIs" dxfId="13631" priority="4685" operator="lessThan">
      <formula>0</formula>
    </cfRule>
    <cfRule type="cellIs" dxfId="13630" priority="4686" operator="lessThan">
      <formula>-105575</formula>
    </cfRule>
  </conditionalFormatting>
  <conditionalFormatting sqref="BB270:BB272">
    <cfRule type="cellIs" dxfId="13629" priority="4683" operator="lessThan">
      <formula>0</formula>
    </cfRule>
    <cfRule type="cellIs" dxfId="13628" priority="4684" operator="lessThan">
      <formula>-105575</formula>
    </cfRule>
  </conditionalFormatting>
  <conditionalFormatting sqref="BB274:BB275">
    <cfRule type="cellIs" dxfId="13627" priority="4681" operator="lessThan">
      <formula>0</formula>
    </cfRule>
    <cfRule type="cellIs" dxfId="13626" priority="4682" operator="lessThan">
      <formula>-105575</formula>
    </cfRule>
  </conditionalFormatting>
  <conditionalFormatting sqref="BB274:BB275">
    <cfRule type="cellIs" dxfId="13625" priority="4679" operator="lessThan">
      <formula>0</formula>
    </cfRule>
    <cfRule type="cellIs" dxfId="13624" priority="4680" operator="lessThan">
      <formula>-105575</formula>
    </cfRule>
  </conditionalFormatting>
  <conditionalFormatting sqref="BB274:BB275">
    <cfRule type="cellIs" dxfId="13623" priority="4677" operator="lessThan">
      <formula>0</formula>
    </cfRule>
    <cfRule type="cellIs" dxfId="13622" priority="4678" operator="lessThan">
      <formula>-105575</formula>
    </cfRule>
  </conditionalFormatting>
  <conditionalFormatting sqref="BB274:BB275">
    <cfRule type="cellIs" dxfId="13621" priority="4675" operator="lessThan">
      <formula>0</formula>
    </cfRule>
    <cfRule type="cellIs" dxfId="13620" priority="4676" operator="lessThan">
      <formula>-105575</formula>
    </cfRule>
  </conditionalFormatting>
  <conditionalFormatting sqref="BB274:BB275">
    <cfRule type="cellIs" dxfId="13619" priority="4673" operator="lessThan">
      <formula>0</formula>
    </cfRule>
    <cfRule type="cellIs" dxfId="13618" priority="4674" operator="lessThan">
      <formula>-105575</formula>
    </cfRule>
  </conditionalFormatting>
  <conditionalFormatting sqref="BB274:BB275">
    <cfRule type="cellIs" dxfId="13617" priority="4671" operator="lessThan">
      <formula>0</formula>
    </cfRule>
    <cfRule type="cellIs" dxfId="13616" priority="4672" operator="lessThan">
      <formula>-105575</formula>
    </cfRule>
  </conditionalFormatting>
  <conditionalFormatting sqref="BB274:BB275">
    <cfRule type="cellIs" dxfId="13615" priority="4669" operator="lessThan">
      <formula>0</formula>
    </cfRule>
    <cfRule type="cellIs" dxfId="13614" priority="4670" operator="lessThan">
      <formula>-105575</formula>
    </cfRule>
  </conditionalFormatting>
  <conditionalFormatting sqref="BB274:BB275">
    <cfRule type="cellIs" dxfId="13613" priority="4667" operator="lessThan">
      <formula>0</formula>
    </cfRule>
    <cfRule type="cellIs" dxfId="13612" priority="4668" operator="lessThan">
      <formula>-105575</formula>
    </cfRule>
  </conditionalFormatting>
  <conditionalFormatting sqref="BB274:BB275">
    <cfRule type="cellIs" dxfId="13611" priority="4665" operator="lessThan">
      <formula>0</formula>
    </cfRule>
    <cfRule type="cellIs" dxfId="13610" priority="4666" operator="lessThan">
      <formula>-105575</formula>
    </cfRule>
  </conditionalFormatting>
  <conditionalFormatting sqref="BB278:BB282">
    <cfRule type="cellIs" dxfId="13609" priority="4663" operator="lessThan">
      <formula>0</formula>
    </cfRule>
    <cfRule type="cellIs" dxfId="13608" priority="4664" operator="lessThan">
      <formula>-105575</formula>
    </cfRule>
  </conditionalFormatting>
  <conditionalFormatting sqref="BB278:BB282">
    <cfRule type="cellIs" dxfId="13607" priority="4661" operator="lessThan">
      <formula>0</formula>
    </cfRule>
    <cfRule type="cellIs" dxfId="13606" priority="4662" operator="lessThan">
      <formula>-105575</formula>
    </cfRule>
  </conditionalFormatting>
  <conditionalFormatting sqref="BB278:BB282">
    <cfRule type="cellIs" dxfId="13605" priority="4659" operator="lessThan">
      <formula>0</formula>
    </cfRule>
    <cfRule type="cellIs" dxfId="13604" priority="4660" operator="lessThan">
      <formula>-105575</formula>
    </cfRule>
  </conditionalFormatting>
  <conditionalFormatting sqref="BB278:BB282">
    <cfRule type="cellIs" dxfId="13603" priority="4657" operator="lessThan">
      <formula>0</formula>
    </cfRule>
    <cfRule type="cellIs" dxfId="13602" priority="4658" operator="lessThan">
      <formula>-105575</formula>
    </cfRule>
  </conditionalFormatting>
  <conditionalFormatting sqref="BB278:BB282">
    <cfRule type="cellIs" dxfId="13601" priority="4655" operator="lessThan">
      <formula>0</formula>
    </cfRule>
    <cfRule type="cellIs" dxfId="13600" priority="4656" operator="lessThan">
      <formula>-105575</formula>
    </cfRule>
  </conditionalFormatting>
  <conditionalFormatting sqref="BB278:BB282">
    <cfRule type="cellIs" dxfId="13599" priority="4653" operator="lessThan">
      <formula>0</formula>
    </cfRule>
    <cfRule type="cellIs" dxfId="13598" priority="4654" operator="lessThan">
      <formula>-105575</formula>
    </cfRule>
  </conditionalFormatting>
  <conditionalFormatting sqref="BB278:BB282">
    <cfRule type="cellIs" dxfId="13597" priority="4651" operator="lessThan">
      <formula>0</formula>
    </cfRule>
    <cfRule type="cellIs" dxfId="13596" priority="4652" operator="lessThan">
      <formula>-105575</formula>
    </cfRule>
  </conditionalFormatting>
  <conditionalFormatting sqref="BB278:BB282">
    <cfRule type="cellIs" dxfId="13595" priority="4649" operator="lessThan">
      <formula>0</formula>
    </cfRule>
    <cfRule type="cellIs" dxfId="13594" priority="4650" operator="lessThan">
      <formula>-105575</formula>
    </cfRule>
  </conditionalFormatting>
  <conditionalFormatting sqref="BB278:BB282">
    <cfRule type="cellIs" dxfId="13593" priority="4647" operator="lessThan">
      <formula>0</formula>
    </cfRule>
    <cfRule type="cellIs" dxfId="13592" priority="4648" operator="lessThan">
      <formula>-105575</formula>
    </cfRule>
  </conditionalFormatting>
  <conditionalFormatting sqref="BB285:BB288">
    <cfRule type="cellIs" dxfId="13591" priority="4645" operator="lessThan">
      <formula>0</formula>
    </cfRule>
    <cfRule type="cellIs" dxfId="13590" priority="4646" operator="lessThan">
      <formula>-105575</formula>
    </cfRule>
  </conditionalFormatting>
  <conditionalFormatting sqref="BB285:BB288">
    <cfRule type="cellIs" dxfId="13589" priority="4643" operator="lessThan">
      <formula>0</formula>
    </cfRule>
    <cfRule type="cellIs" dxfId="13588" priority="4644" operator="lessThan">
      <formula>-105575</formula>
    </cfRule>
  </conditionalFormatting>
  <conditionalFormatting sqref="BB285:BB288">
    <cfRule type="cellIs" dxfId="13587" priority="4641" operator="lessThan">
      <formula>0</formula>
    </cfRule>
    <cfRule type="cellIs" dxfId="13586" priority="4642" operator="lessThan">
      <formula>-105575</formula>
    </cfRule>
  </conditionalFormatting>
  <conditionalFormatting sqref="BB285:BB288">
    <cfRule type="cellIs" dxfId="13585" priority="4639" operator="lessThan">
      <formula>0</formula>
    </cfRule>
    <cfRule type="cellIs" dxfId="13584" priority="4640" operator="lessThan">
      <formula>-105575</formula>
    </cfRule>
  </conditionalFormatting>
  <conditionalFormatting sqref="BB285:BB288">
    <cfRule type="cellIs" dxfId="13583" priority="4637" operator="lessThan">
      <formula>0</formula>
    </cfRule>
    <cfRule type="cellIs" dxfId="13582" priority="4638" operator="lessThan">
      <formula>-105575</formula>
    </cfRule>
  </conditionalFormatting>
  <conditionalFormatting sqref="BB285:BB288">
    <cfRule type="cellIs" dxfId="13581" priority="4635" operator="lessThan">
      <formula>0</formula>
    </cfRule>
    <cfRule type="cellIs" dxfId="13580" priority="4636" operator="lessThan">
      <formula>-105575</formula>
    </cfRule>
  </conditionalFormatting>
  <conditionalFormatting sqref="BB285:BB288">
    <cfRule type="cellIs" dxfId="13579" priority="4633" operator="lessThan">
      <formula>0</formula>
    </cfRule>
    <cfRule type="cellIs" dxfId="13578" priority="4634" operator="lessThan">
      <formula>-105575</formula>
    </cfRule>
  </conditionalFormatting>
  <conditionalFormatting sqref="BB285:BB288">
    <cfRule type="cellIs" dxfId="13577" priority="4631" operator="lessThan">
      <formula>0</formula>
    </cfRule>
    <cfRule type="cellIs" dxfId="13576" priority="4632" operator="lessThan">
      <formula>-105575</formula>
    </cfRule>
  </conditionalFormatting>
  <conditionalFormatting sqref="BB285:BB288">
    <cfRule type="cellIs" dxfId="13575" priority="4629" operator="lessThan">
      <formula>0</formula>
    </cfRule>
    <cfRule type="cellIs" dxfId="13574" priority="4630" operator="lessThan">
      <formula>-105575</formula>
    </cfRule>
  </conditionalFormatting>
  <conditionalFormatting sqref="BB203 BB220:BB221 BB235:BB243 BB231:BB233 BB212:BB213 BB225:BB226">
    <cfRule type="cellIs" dxfId="13573" priority="4627" operator="lessThan">
      <formula>0</formula>
    </cfRule>
    <cfRule type="cellIs" dxfId="13572" priority="4628" operator="lessThan">
      <formula>-105575</formula>
    </cfRule>
  </conditionalFormatting>
  <conditionalFormatting sqref="BB220 BB212:BB213 BB235:BB238 BB240:BB243 BB225:BB226 BB231:BB233">
    <cfRule type="cellIs" dxfId="13571" priority="4625" operator="lessThan">
      <formula>0</formula>
    </cfRule>
    <cfRule type="cellIs" dxfId="13570" priority="4626" operator="lessThan">
      <formula>-105575</formula>
    </cfRule>
  </conditionalFormatting>
  <conditionalFormatting sqref="BB220:BB221 BB243 BB226 BB231:BB236 BB238:BB241 BB203 BB213">
    <cfRule type="cellIs" dxfId="13569" priority="4623" operator="lessThan">
      <formula>0</formula>
    </cfRule>
    <cfRule type="cellIs" dxfId="13568" priority="4624" operator="lessThan">
      <formula>-105575</formula>
    </cfRule>
  </conditionalFormatting>
  <conditionalFormatting sqref="BB235:BB243 BB231:BB233 BB220 BB212:BB213 BB225:BB226">
    <cfRule type="cellIs" dxfId="13567" priority="4621" operator="lessThan">
      <formula>0</formula>
    </cfRule>
    <cfRule type="cellIs" dxfId="13566" priority="4622" operator="lessThan">
      <formula>-105575</formula>
    </cfRule>
  </conditionalFormatting>
  <conditionalFormatting sqref="BB220:BB221 BB237:BB243 BB203 BB231:BB235 BB212:BB213 BB225:BB226">
    <cfRule type="cellIs" dxfId="13565" priority="4619" operator="lessThan">
      <formula>0</formula>
    </cfRule>
    <cfRule type="cellIs" dxfId="13564" priority="4620" operator="lessThan">
      <formula>-105575</formula>
    </cfRule>
  </conditionalFormatting>
  <conditionalFormatting sqref="BB220:BB221 BB237:BB240 BB242:BB243 BB225:BB226 BB231:BB235">
    <cfRule type="cellIs" dxfId="13563" priority="4617" operator="lessThan">
      <formula>0</formula>
    </cfRule>
    <cfRule type="cellIs" dxfId="13562" priority="4618" operator="lessThan">
      <formula>-105575</formula>
    </cfRule>
  </conditionalFormatting>
  <conditionalFormatting sqref="BB212 BB231 BB233:BB238 BB240:BB243 BB225">
    <cfRule type="cellIs" dxfId="13561" priority="4615" operator="lessThan">
      <formula>0</formula>
    </cfRule>
    <cfRule type="cellIs" dxfId="13560" priority="4616" operator="lessThan">
      <formula>-105575</formula>
    </cfRule>
  </conditionalFormatting>
  <conditionalFormatting sqref="BB237:BB243 BB231:BB235 BB220:BB221 BB225:BB226">
    <cfRule type="cellIs" dxfId="13559" priority="4613" operator="lessThan">
      <formula>0</formula>
    </cfRule>
    <cfRule type="cellIs" dxfId="13558" priority="4614" operator="lessThan">
      <formula>-105575</formula>
    </cfRule>
  </conditionalFormatting>
  <conditionalFormatting sqref="BB233:BB237 BB231 BB239:BB243">
    <cfRule type="cellIs" dxfId="13557" priority="4611" operator="lessThan">
      <formula>0</formula>
    </cfRule>
    <cfRule type="cellIs" dxfId="13556" priority="4612" operator="lessThan">
      <formula>-105575</formula>
    </cfRule>
  </conditionalFormatting>
  <conditionalFormatting sqref="BB233:BB237 BB231 BB239:BB243">
    <cfRule type="cellIs" dxfId="13555" priority="4609" operator="lessThan">
      <formula>0</formula>
    </cfRule>
    <cfRule type="cellIs" dxfId="13554" priority="4610" operator="lessThan">
      <formula>-105575</formula>
    </cfRule>
  </conditionalFormatting>
  <conditionalFormatting sqref="BB119:BB128 BB106:BB117 BB101:BB104 BB80:BB99">
    <cfRule type="cellIs" dxfId="13553" priority="4607" operator="lessThan">
      <formula>0</formula>
    </cfRule>
    <cfRule type="cellIs" dxfId="13552" priority="4608" operator="lessThan">
      <formula>-105575</formula>
    </cfRule>
  </conditionalFormatting>
  <conditionalFormatting sqref="BB130 BB132 BB134">
    <cfRule type="cellIs" dxfId="13551" priority="4605" operator="lessThan">
      <formula>0</formula>
    </cfRule>
    <cfRule type="cellIs" dxfId="13550" priority="4606" operator="lessThan">
      <formula>-105575</formula>
    </cfRule>
  </conditionalFormatting>
  <conditionalFormatting sqref="BB130 BB132 BB134">
    <cfRule type="cellIs" dxfId="13549" priority="4603" operator="lessThan">
      <formula>0</formula>
    </cfRule>
    <cfRule type="cellIs" dxfId="13548" priority="4604" operator="lessThan">
      <formula>-105575</formula>
    </cfRule>
  </conditionalFormatting>
  <conditionalFormatting sqref="BB129 BB131 BB133 BB135">
    <cfRule type="cellIs" dxfId="13547" priority="4601" operator="lessThan">
      <formula>0</formula>
    </cfRule>
    <cfRule type="cellIs" dxfId="13546" priority="4602" operator="lessThan">
      <formula>-105575</formula>
    </cfRule>
  </conditionalFormatting>
  <conditionalFormatting sqref="BB140 BB145 BB142:BB143 BB137:BB138">
    <cfRule type="cellIs" dxfId="13545" priority="4599" operator="lessThan">
      <formula>0</formula>
    </cfRule>
    <cfRule type="cellIs" dxfId="13544" priority="4600" operator="lessThan">
      <formula>-105575</formula>
    </cfRule>
  </conditionalFormatting>
  <conditionalFormatting sqref="BB149">
    <cfRule type="cellIs" dxfId="13543" priority="4597" operator="lessThan">
      <formula>0</formula>
    </cfRule>
    <cfRule type="cellIs" dxfId="13542" priority="4598" operator="lessThan">
      <formula>-105575</formula>
    </cfRule>
  </conditionalFormatting>
  <conditionalFormatting sqref="BB129:BB138 BB140:BB149">
    <cfRule type="cellIs" dxfId="13541" priority="4595" operator="lessThan">
      <formula>0</formula>
    </cfRule>
    <cfRule type="cellIs" dxfId="13540" priority="4596" operator="lessThan">
      <formula>-105575</formula>
    </cfRule>
  </conditionalFormatting>
  <conditionalFormatting sqref="BB86:BB87 BB89:BB91 BB141:BB149 BB124:BB133 BB107:BB110 BB112:BB117 BB119:BB122 BB135:BB138 BB101:BB104 BB80:BB84 BB94:BB99">
    <cfRule type="cellIs" dxfId="13539" priority="4593" operator="lessThan">
      <formula>0</formula>
    </cfRule>
    <cfRule type="cellIs" dxfId="13538" priority="4594" operator="lessThan">
      <formula>-105575</formula>
    </cfRule>
  </conditionalFormatting>
  <conditionalFormatting sqref="BB129 BB131 BB133 BB135">
    <cfRule type="cellIs" dxfId="13537" priority="4591" operator="lessThan">
      <formula>0</formula>
    </cfRule>
    <cfRule type="cellIs" dxfId="13536" priority="4592" operator="lessThan">
      <formula>-105575</formula>
    </cfRule>
  </conditionalFormatting>
  <conditionalFormatting sqref="BB146 BB144 BB141">
    <cfRule type="cellIs" dxfId="13535" priority="4589" operator="lessThan">
      <formula>0</formula>
    </cfRule>
    <cfRule type="cellIs" dxfId="13534" priority="4590" operator="lessThan">
      <formula>-105575</formula>
    </cfRule>
  </conditionalFormatting>
  <conditionalFormatting sqref="BB146 BB144 BB141">
    <cfRule type="cellIs" dxfId="13533" priority="4587" operator="lessThan">
      <formula>0</formula>
    </cfRule>
    <cfRule type="cellIs" dxfId="13532" priority="4588" operator="lessThan">
      <formula>-105575</formula>
    </cfRule>
  </conditionalFormatting>
  <conditionalFormatting sqref="BB140 BB145 BB142:BB143 BB137:BB138">
    <cfRule type="cellIs" dxfId="13531" priority="4585" operator="lessThan">
      <formula>0</formula>
    </cfRule>
    <cfRule type="cellIs" dxfId="13530" priority="4586" operator="lessThan">
      <formula>-105575</formula>
    </cfRule>
  </conditionalFormatting>
  <conditionalFormatting sqref="BB149">
    <cfRule type="cellIs" dxfId="13529" priority="4583" operator="lessThan">
      <formula>0</formula>
    </cfRule>
    <cfRule type="cellIs" dxfId="13528" priority="4584" operator="lessThan">
      <formula>-105575</formula>
    </cfRule>
  </conditionalFormatting>
  <conditionalFormatting sqref="BB86:BB87 BB89:BB91 BB141:BB149 BB124:BB133 BB107:BB110 BB112:BB117 BB119:BB122 BB135:BB138 BB101:BB104 BB80:BB84 BB94:BB99">
    <cfRule type="cellIs" dxfId="13527" priority="4581" operator="lessThan">
      <formula>0</formula>
    </cfRule>
    <cfRule type="cellIs" dxfId="13526" priority="4582" operator="lessThan">
      <formula>-105575</formula>
    </cfRule>
  </conditionalFormatting>
  <conditionalFormatting sqref="BB306:BB309 BB311:BB325 BB327:BB330 BB332:BB341 BB344:BB347 BB349:BB353 BB355:BB358 BB360:BB384 BB386:BB389 BB392:BB395 BB397:BB411 BB413:BB416 BB418:BB432 BB434:BB437 BB439:BB453 BB455:BB458 BB460:BB469 BB290:BB291 BB293:BB304 BB7:BB10 BB12:BB14 BB17:BB18 BB21:BB24 BB26:BB28 BB30:BB36 BB38 BB41:BB43 BB46:BB49 BB51:BB55 BB57:BB59 BB62:BB76">
    <cfRule type="cellIs" dxfId="13525" priority="4579" operator="lessThan">
      <formula>0</formula>
    </cfRule>
    <cfRule type="cellIs" dxfId="13524" priority="4580" operator="lessThan">
      <formula>-105575</formula>
    </cfRule>
  </conditionalFormatting>
  <conditionalFormatting sqref="BB41">
    <cfRule type="cellIs" dxfId="13523" priority="4577" operator="lessThan">
      <formula>0</formula>
    </cfRule>
    <cfRule type="cellIs" dxfId="13522" priority="4578" operator="lessThan">
      <formula>-105575</formula>
    </cfRule>
  </conditionalFormatting>
  <conditionalFormatting sqref="BB152:BB155">
    <cfRule type="cellIs" dxfId="13521" priority="4575" operator="lessThan">
      <formula>0</formula>
    </cfRule>
    <cfRule type="cellIs" dxfId="13520" priority="4576" operator="lessThan">
      <formula>-105575</formula>
    </cfRule>
  </conditionalFormatting>
  <conditionalFormatting sqref="BB152:BB155">
    <cfRule type="cellIs" dxfId="13519" priority="4573" operator="lessThan">
      <formula>0</formula>
    </cfRule>
    <cfRule type="cellIs" dxfId="13518" priority="4574" operator="lessThan">
      <formula>-105575</formula>
    </cfRule>
  </conditionalFormatting>
  <conditionalFormatting sqref="BB152:BB155">
    <cfRule type="cellIs" dxfId="13517" priority="4571" operator="lessThan">
      <formula>0</formula>
    </cfRule>
    <cfRule type="cellIs" dxfId="13516" priority="4572" operator="lessThan">
      <formula>-105575</formula>
    </cfRule>
  </conditionalFormatting>
  <conditionalFormatting sqref="BB157:BB158">
    <cfRule type="cellIs" dxfId="13515" priority="4569" operator="lessThan">
      <formula>0</formula>
    </cfRule>
    <cfRule type="cellIs" dxfId="13514" priority="4570" operator="lessThan">
      <formula>-105575</formula>
    </cfRule>
  </conditionalFormatting>
  <conditionalFormatting sqref="BB157:BB158">
    <cfRule type="cellIs" dxfId="13513" priority="4567" operator="lessThan">
      <formula>0</formula>
    </cfRule>
    <cfRule type="cellIs" dxfId="13512" priority="4568" operator="lessThan">
      <formula>-105575</formula>
    </cfRule>
  </conditionalFormatting>
  <conditionalFormatting sqref="BB157:BB158">
    <cfRule type="cellIs" dxfId="13511" priority="4565" operator="lessThan">
      <formula>0</formula>
    </cfRule>
    <cfRule type="cellIs" dxfId="13510" priority="4566" operator="lessThan">
      <formula>-105575</formula>
    </cfRule>
  </conditionalFormatting>
  <conditionalFormatting sqref="BB160:BB161">
    <cfRule type="cellIs" dxfId="13509" priority="4563" operator="lessThan">
      <formula>0</formula>
    </cfRule>
    <cfRule type="cellIs" dxfId="13508" priority="4564" operator="lessThan">
      <formula>-105575</formula>
    </cfRule>
  </conditionalFormatting>
  <conditionalFormatting sqref="BB160:BB161">
    <cfRule type="cellIs" dxfId="13507" priority="4561" operator="lessThan">
      <formula>0</formula>
    </cfRule>
    <cfRule type="cellIs" dxfId="13506" priority="4562" operator="lessThan">
      <formula>-105575</formula>
    </cfRule>
  </conditionalFormatting>
  <conditionalFormatting sqref="BB160:BB161">
    <cfRule type="cellIs" dxfId="13505" priority="4559" operator="lessThan">
      <formula>0</formula>
    </cfRule>
    <cfRule type="cellIs" dxfId="13504" priority="4560" operator="lessThan">
      <formula>-105575</formula>
    </cfRule>
  </conditionalFormatting>
  <conditionalFormatting sqref="BB164:BB167">
    <cfRule type="cellIs" dxfId="13503" priority="4557" operator="lessThan">
      <formula>0</formula>
    </cfRule>
    <cfRule type="cellIs" dxfId="13502" priority="4558" operator="lessThan">
      <formula>-105575</formula>
    </cfRule>
  </conditionalFormatting>
  <conditionalFormatting sqref="BB164:BB167">
    <cfRule type="cellIs" dxfId="13501" priority="4555" operator="lessThan">
      <formula>0</formula>
    </cfRule>
    <cfRule type="cellIs" dxfId="13500" priority="4556" operator="lessThan">
      <formula>-105575</formula>
    </cfRule>
  </conditionalFormatting>
  <conditionalFormatting sqref="BB164:BB167">
    <cfRule type="cellIs" dxfId="13499" priority="4553" operator="lessThan">
      <formula>0</formula>
    </cfRule>
    <cfRule type="cellIs" dxfId="13498" priority="4554" operator="lessThan">
      <formula>-105575</formula>
    </cfRule>
  </conditionalFormatting>
  <conditionalFormatting sqref="BB169:BB177">
    <cfRule type="cellIs" dxfId="13497" priority="4551" operator="lessThan">
      <formula>0</formula>
    </cfRule>
    <cfRule type="cellIs" dxfId="13496" priority="4552" operator="lessThan">
      <formula>-105575</formula>
    </cfRule>
  </conditionalFormatting>
  <conditionalFormatting sqref="BB169:BB177">
    <cfRule type="cellIs" dxfId="13495" priority="4549" operator="lessThan">
      <formula>0</formula>
    </cfRule>
    <cfRule type="cellIs" dxfId="13494" priority="4550" operator="lessThan">
      <formula>-105575</formula>
    </cfRule>
  </conditionalFormatting>
  <conditionalFormatting sqref="BB169:BB177">
    <cfRule type="cellIs" dxfId="13493" priority="4547" operator="lessThan">
      <formula>0</formula>
    </cfRule>
    <cfRule type="cellIs" dxfId="13492" priority="4548" operator="lessThan">
      <formula>-105575</formula>
    </cfRule>
  </conditionalFormatting>
  <conditionalFormatting sqref="BB179:BB180">
    <cfRule type="cellIs" dxfId="13491" priority="4545" operator="lessThan">
      <formula>0</formula>
    </cfRule>
    <cfRule type="cellIs" dxfId="13490" priority="4546" operator="lessThan">
      <formula>-105575</formula>
    </cfRule>
  </conditionalFormatting>
  <conditionalFormatting sqref="BB179:BB180">
    <cfRule type="cellIs" dxfId="13489" priority="4543" operator="lessThan">
      <formula>0</formula>
    </cfRule>
    <cfRule type="cellIs" dxfId="13488" priority="4544" operator="lessThan">
      <formula>-105575</formula>
    </cfRule>
  </conditionalFormatting>
  <conditionalFormatting sqref="BB179:BB180">
    <cfRule type="cellIs" dxfId="13487" priority="4541" operator="lessThan">
      <formula>0</formula>
    </cfRule>
    <cfRule type="cellIs" dxfId="13486" priority="4542" operator="lessThan">
      <formula>-105575</formula>
    </cfRule>
  </conditionalFormatting>
  <conditionalFormatting sqref="BB183:BB189">
    <cfRule type="cellIs" dxfId="13485" priority="4539" operator="lessThan">
      <formula>0</formula>
    </cfRule>
    <cfRule type="cellIs" dxfId="13484" priority="4540" operator="lessThan">
      <formula>-105575</formula>
    </cfRule>
  </conditionalFormatting>
  <conditionalFormatting sqref="BB183:BB189">
    <cfRule type="cellIs" dxfId="13483" priority="4537" operator="lessThan">
      <formula>0</formula>
    </cfRule>
    <cfRule type="cellIs" dxfId="13482" priority="4538" operator="lessThan">
      <formula>-105575</formula>
    </cfRule>
  </conditionalFormatting>
  <conditionalFormatting sqref="BB183:BB189">
    <cfRule type="cellIs" dxfId="13481" priority="4535" operator="lessThan">
      <formula>0</formula>
    </cfRule>
    <cfRule type="cellIs" dxfId="13480" priority="4536" operator="lessThan">
      <formula>-105575</formula>
    </cfRule>
  </conditionalFormatting>
  <conditionalFormatting sqref="BB191:BB192">
    <cfRule type="cellIs" dxfId="13479" priority="4533" operator="lessThan">
      <formula>0</formula>
    </cfRule>
    <cfRule type="cellIs" dxfId="13478" priority="4534" operator="lessThan">
      <formula>-105575</formula>
    </cfRule>
  </conditionalFormatting>
  <conditionalFormatting sqref="BB191:BB192">
    <cfRule type="cellIs" dxfId="13477" priority="4531" operator="lessThan">
      <formula>0</formula>
    </cfRule>
    <cfRule type="cellIs" dxfId="13476" priority="4532" operator="lessThan">
      <formula>-105575</formula>
    </cfRule>
  </conditionalFormatting>
  <conditionalFormatting sqref="BB191:BB192">
    <cfRule type="cellIs" dxfId="13475" priority="4529" operator="lessThan">
      <formula>0</formula>
    </cfRule>
    <cfRule type="cellIs" dxfId="13474" priority="4530" operator="lessThan">
      <formula>-105575</formula>
    </cfRule>
  </conditionalFormatting>
  <conditionalFormatting sqref="BB194:BB195">
    <cfRule type="cellIs" dxfId="13473" priority="4527" operator="lessThan">
      <formula>0</formula>
    </cfRule>
    <cfRule type="cellIs" dxfId="13472" priority="4528" operator="lessThan">
      <formula>-105575</formula>
    </cfRule>
  </conditionalFormatting>
  <conditionalFormatting sqref="BB194:BB195">
    <cfRule type="cellIs" dxfId="13471" priority="4525" operator="lessThan">
      <formula>0</formula>
    </cfRule>
    <cfRule type="cellIs" dxfId="13470" priority="4526" operator="lessThan">
      <formula>-105575</formula>
    </cfRule>
  </conditionalFormatting>
  <conditionalFormatting sqref="BB194:BB195">
    <cfRule type="cellIs" dxfId="13469" priority="4523" operator="lessThan">
      <formula>0</formula>
    </cfRule>
    <cfRule type="cellIs" dxfId="13468" priority="4524" operator="lessThan">
      <formula>-105575</formula>
    </cfRule>
  </conditionalFormatting>
  <conditionalFormatting sqref="BB199:BB202">
    <cfRule type="cellIs" dxfId="13467" priority="4521" operator="lessThan">
      <formula>0</formula>
    </cfRule>
    <cfRule type="cellIs" dxfId="13466" priority="4522" operator="lessThan">
      <formula>-105575</formula>
    </cfRule>
  </conditionalFormatting>
  <conditionalFormatting sqref="BB199:BB202">
    <cfRule type="cellIs" dxfId="13465" priority="4519" operator="lessThan">
      <formula>0</formula>
    </cfRule>
    <cfRule type="cellIs" dxfId="13464" priority="4520" operator="lessThan">
      <formula>-105575</formula>
    </cfRule>
  </conditionalFormatting>
  <conditionalFormatting sqref="BB199:BB202">
    <cfRule type="cellIs" dxfId="13463" priority="4517" operator="lessThan">
      <formula>0</formula>
    </cfRule>
    <cfRule type="cellIs" dxfId="13462" priority="4518" operator="lessThan">
      <formula>-105575</formula>
    </cfRule>
  </conditionalFormatting>
  <conditionalFormatting sqref="BB204:BB208">
    <cfRule type="cellIs" dxfId="13461" priority="4515" operator="lessThan">
      <formula>0</formula>
    </cfRule>
    <cfRule type="cellIs" dxfId="13460" priority="4516" operator="lessThan">
      <formula>-105575</formula>
    </cfRule>
  </conditionalFormatting>
  <conditionalFormatting sqref="BB204:BB208">
    <cfRule type="cellIs" dxfId="13459" priority="4513" operator="lessThan">
      <formula>0</formula>
    </cfRule>
    <cfRule type="cellIs" dxfId="13458" priority="4514" operator="lessThan">
      <formula>-105575</formula>
    </cfRule>
  </conditionalFormatting>
  <conditionalFormatting sqref="BB204:BB208">
    <cfRule type="cellIs" dxfId="13457" priority="4511" operator="lessThan">
      <formula>0</formula>
    </cfRule>
    <cfRule type="cellIs" dxfId="13456" priority="4512" operator="lessThan">
      <formula>-105575</formula>
    </cfRule>
  </conditionalFormatting>
  <conditionalFormatting sqref="BB210:BB211">
    <cfRule type="cellIs" dxfId="13455" priority="4509" operator="lessThan">
      <formula>0</formula>
    </cfRule>
    <cfRule type="cellIs" dxfId="13454" priority="4510" operator="lessThan">
      <formula>-105575</formula>
    </cfRule>
  </conditionalFormatting>
  <conditionalFormatting sqref="BB210:BB211">
    <cfRule type="cellIs" dxfId="13453" priority="4507" operator="lessThan">
      <formula>0</formula>
    </cfRule>
    <cfRule type="cellIs" dxfId="13452" priority="4508" operator="lessThan">
      <formula>-105575</formula>
    </cfRule>
  </conditionalFormatting>
  <conditionalFormatting sqref="BB210:BB211">
    <cfRule type="cellIs" dxfId="13451" priority="4505" operator="lessThan">
      <formula>0</formula>
    </cfRule>
    <cfRule type="cellIs" dxfId="13450" priority="4506" operator="lessThan">
      <formula>-105575</formula>
    </cfRule>
  </conditionalFormatting>
  <conditionalFormatting sqref="BB214:BB219">
    <cfRule type="cellIs" dxfId="13449" priority="4503" operator="lessThan">
      <formula>0</formula>
    </cfRule>
    <cfRule type="cellIs" dxfId="13448" priority="4504" operator="lessThan">
      <formula>-105575</formula>
    </cfRule>
  </conditionalFormatting>
  <conditionalFormatting sqref="BB214:BB219">
    <cfRule type="cellIs" dxfId="13447" priority="4501" operator="lessThan">
      <formula>0</formula>
    </cfRule>
    <cfRule type="cellIs" dxfId="13446" priority="4502" operator="lessThan">
      <formula>-105575</formula>
    </cfRule>
  </conditionalFormatting>
  <conditionalFormatting sqref="BB214:BB219">
    <cfRule type="cellIs" dxfId="13445" priority="4499" operator="lessThan">
      <formula>0</formula>
    </cfRule>
    <cfRule type="cellIs" dxfId="13444" priority="4500" operator="lessThan">
      <formula>-105575</formula>
    </cfRule>
  </conditionalFormatting>
  <conditionalFormatting sqref="BB222:BB224">
    <cfRule type="cellIs" dxfId="13443" priority="4497" operator="lessThan">
      <formula>0</formula>
    </cfRule>
    <cfRule type="cellIs" dxfId="13442" priority="4498" operator="lessThan">
      <formula>-105575</formula>
    </cfRule>
  </conditionalFormatting>
  <conditionalFormatting sqref="BB222:BB224">
    <cfRule type="cellIs" dxfId="13441" priority="4495" operator="lessThan">
      <formula>0</formula>
    </cfRule>
    <cfRule type="cellIs" dxfId="13440" priority="4496" operator="lessThan">
      <formula>-105575</formula>
    </cfRule>
  </conditionalFormatting>
  <conditionalFormatting sqref="BB222:BB224">
    <cfRule type="cellIs" dxfId="13439" priority="4493" operator="lessThan">
      <formula>0</formula>
    </cfRule>
    <cfRule type="cellIs" dxfId="13438" priority="4494" operator="lessThan">
      <formula>-105575</formula>
    </cfRule>
  </conditionalFormatting>
  <conditionalFormatting sqref="BB227:BB230">
    <cfRule type="cellIs" dxfId="13437" priority="4491" operator="lessThan">
      <formula>0</formula>
    </cfRule>
    <cfRule type="cellIs" dxfId="13436" priority="4492" operator="lessThan">
      <formula>-105575</formula>
    </cfRule>
  </conditionalFormatting>
  <conditionalFormatting sqref="BB227:BB230">
    <cfRule type="cellIs" dxfId="13435" priority="4489" operator="lessThan">
      <formula>0</formula>
    </cfRule>
    <cfRule type="cellIs" dxfId="13434" priority="4490" operator="lessThan">
      <formula>-105575</formula>
    </cfRule>
  </conditionalFormatting>
  <conditionalFormatting sqref="BB227:BB230">
    <cfRule type="cellIs" dxfId="13433" priority="4487" operator="lessThan">
      <formula>0</formula>
    </cfRule>
    <cfRule type="cellIs" dxfId="13432" priority="4488" operator="lessThan">
      <formula>-105575</formula>
    </cfRule>
  </conditionalFormatting>
  <conditionalFormatting sqref="BB246:BB249">
    <cfRule type="cellIs" dxfId="13431" priority="4485" operator="lessThan">
      <formula>0</formula>
    </cfRule>
    <cfRule type="cellIs" dxfId="13430" priority="4486" operator="lessThan">
      <formula>-105575</formula>
    </cfRule>
  </conditionalFormatting>
  <conditionalFormatting sqref="BB246:BB249">
    <cfRule type="cellIs" dxfId="13429" priority="4483" operator="lessThan">
      <formula>0</formula>
    </cfRule>
    <cfRule type="cellIs" dxfId="13428" priority="4484" operator="lessThan">
      <formula>-105575</formula>
    </cfRule>
  </conditionalFormatting>
  <conditionalFormatting sqref="BB246:BB249">
    <cfRule type="cellIs" dxfId="13427" priority="4481" operator="lessThan">
      <formula>0</formula>
    </cfRule>
    <cfRule type="cellIs" dxfId="13426" priority="4482" operator="lessThan">
      <formula>-105575</formula>
    </cfRule>
  </conditionalFormatting>
  <conditionalFormatting sqref="BB246:BB249">
    <cfRule type="cellIs" dxfId="13425" priority="4479" operator="lessThan">
      <formula>0</formula>
    </cfRule>
    <cfRule type="cellIs" dxfId="13424" priority="4480" operator="lessThan">
      <formula>-105575</formula>
    </cfRule>
  </conditionalFormatting>
  <conditionalFormatting sqref="BB246:BB249">
    <cfRule type="cellIs" dxfId="13423" priority="4477" operator="lessThan">
      <formula>0</formula>
    </cfRule>
    <cfRule type="cellIs" dxfId="13422" priority="4478" operator="lessThan">
      <formula>-105575</formula>
    </cfRule>
  </conditionalFormatting>
  <conditionalFormatting sqref="BB246:BB249">
    <cfRule type="cellIs" dxfId="13421" priority="4475" operator="lessThan">
      <formula>0</formula>
    </cfRule>
    <cfRule type="cellIs" dxfId="13420" priority="4476" operator="lessThan">
      <formula>-105575</formula>
    </cfRule>
  </conditionalFormatting>
  <conditionalFormatting sqref="BB246:BB249">
    <cfRule type="cellIs" dxfId="13419" priority="4473" operator="lessThan">
      <formula>0</formula>
    </cfRule>
    <cfRule type="cellIs" dxfId="13418" priority="4474" operator="lessThan">
      <formula>-105575</formula>
    </cfRule>
  </conditionalFormatting>
  <conditionalFormatting sqref="BB246:BB249">
    <cfRule type="cellIs" dxfId="13417" priority="4471" operator="lessThan">
      <formula>0</formula>
    </cfRule>
    <cfRule type="cellIs" dxfId="13416" priority="4472" operator="lessThan">
      <formula>-105575</formula>
    </cfRule>
  </conditionalFormatting>
  <conditionalFormatting sqref="BB246:BB249">
    <cfRule type="cellIs" dxfId="13415" priority="4469" operator="lessThan">
      <formula>0</formula>
    </cfRule>
    <cfRule type="cellIs" dxfId="13414" priority="4470" operator="lessThan">
      <formula>-105575</formula>
    </cfRule>
  </conditionalFormatting>
  <conditionalFormatting sqref="BB251:BB253">
    <cfRule type="cellIs" dxfId="13413" priority="4467" operator="lessThan">
      <formula>0</formula>
    </cfRule>
    <cfRule type="cellIs" dxfId="13412" priority="4468" operator="lessThan">
      <formula>-105575</formula>
    </cfRule>
  </conditionalFormatting>
  <conditionalFormatting sqref="BB251:BB253">
    <cfRule type="cellIs" dxfId="13411" priority="4465" operator="lessThan">
      <formula>0</formula>
    </cfRule>
    <cfRule type="cellIs" dxfId="13410" priority="4466" operator="lessThan">
      <formula>-105575</formula>
    </cfRule>
  </conditionalFormatting>
  <conditionalFormatting sqref="BB251:BB253">
    <cfRule type="cellIs" dxfId="13409" priority="4463" operator="lessThan">
      <formula>0</formula>
    </cfRule>
    <cfRule type="cellIs" dxfId="13408" priority="4464" operator="lessThan">
      <formula>-105575</formula>
    </cfRule>
  </conditionalFormatting>
  <conditionalFormatting sqref="BB251:BB253">
    <cfRule type="cellIs" dxfId="13407" priority="4461" operator="lessThan">
      <formula>0</formula>
    </cfRule>
    <cfRule type="cellIs" dxfId="13406" priority="4462" operator="lessThan">
      <formula>-105575</formula>
    </cfRule>
  </conditionalFormatting>
  <conditionalFormatting sqref="BB251:BB253">
    <cfRule type="cellIs" dxfId="13405" priority="4459" operator="lessThan">
      <formula>0</formula>
    </cfRule>
    <cfRule type="cellIs" dxfId="13404" priority="4460" operator="lessThan">
      <formula>-105575</formula>
    </cfRule>
  </conditionalFormatting>
  <conditionalFormatting sqref="BB251:BB253">
    <cfRule type="cellIs" dxfId="13403" priority="4457" operator="lessThan">
      <formula>0</formula>
    </cfRule>
    <cfRule type="cellIs" dxfId="13402" priority="4458" operator="lessThan">
      <formula>-105575</formula>
    </cfRule>
  </conditionalFormatting>
  <conditionalFormatting sqref="BB251:BB253">
    <cfRule type="cellIs" dxfId="13401" priority="4455" operator="lessThan">
      <formula>0</formula>
    </cfRule>
    <cfRule type="cellIs" dxfId="13400" priority="4456" operator="lessThan">
      <formula>-105575</formula>
    </cfRule>
  </conditionalFormatting>
  <conditionalFormatting sqref="BB251:BB253">
    <cfRule type="cellIs" dxfId="13399" priority="4453" operator="lessThan">
      <formula>0</formula>
    </cfRule>
    <cfRule type="cellIs" dxfId="13398" priority="4454" operator="lessThan">
      <formula>-105575</formula>
    </cfRule>
  </conditionalFormatting>
  <conditionalFormatting sqref="BB251:BB253">
    <cfRule type="cellIs" dxfId="13397" priority="4451" operator="lessThan">
      <formula>0</formula>
    </cfRule>
    <cfRule type="cellIs" dxfId="13396" priority="4452" operator="lessThan">
      <formula>-105575</formula>
    </cfRule>
  </conditionalFormatting>
  <conditionalFormatting sqref="BB255:BB257">
    <cfRule type="cellIs" dxfId="13395" priority="4449" operator="lessThan">
      <formula>0</formula>
    </cfRule>
    <cfRule type="cellIs" dxfId="13394" priority="4450" operator="lessThan">
      <formula>-105575</formula>
    </cfRule>
  </conditionalFormatting>
  <conditionalFormatting sqref="BB255:BB257">
    <cfRule type="cellIs" dxfId="13393" priority="4447" operator="lessThan">
      <formula>0</formula>
    </cfRule>
    <cfRule type="cellIs" dxfId="13392" priority="4448" operator="lessThan">
      <formula>-105575</formula>
    </cfRule>
  </conditionalFormatting>
  <conditionalFormatting sqref="BB255:BB257">
    <cfRule type="cellIs" dxfId="13391" priority="4445" operator="lessThan">
      <formula>0</formula>
    </cfRule>
    <cfRule type="cellIs" dxfId="13390" priority="4446" operator="lessThan">
      <formula>-105575</formula>
    </cfRule>
  </conditionalFormatting>
  <conditionalFormatting sqref="BB255:BB257">
    <cfRule type="cellIs" dxfId="13389" priority="4443" operator="lessThan">
      <formula>0</formula>
    </cfRule>
    <cfRule type="cellIs" dxfId="13388" priority="4444" operator="lessThan">
      <formula>-105575</formula>
    </cfRule>
  </conditionalFormatting>
  <conditionalFormatting sqref="BB255:BB257">
    <cfRule type="cellIs" dxfId="13387" priority="4441" operator="lessThan">
      <formula>0</formula>
    </cfRule>
    <cfRule type="cellIs" dxfId="13386" priority="4442" operator="lessThan">
      <formula>-105575</formula>
    </cfRule>
  </conditionalFormatting>
  <conditionalFormatting sqref="BB255:BB257">
    <cfRule type="cellIs" dxfId="13385" priority="4439" operator="lessThan">
      <formula>0</formula>
    </cfRule>
    <cfRule type="cellIs" dxfId="13384" priority="4440" operator="lessThan">
      <formula>-105575</formula>
    </cfRule>
  </conditionalFormatting>
  <conditionalFormatting sqref="BB255:BB257">
    <cfRule type="cellIs" dxfId="13383" priority="4437" operator="lessThan">
      <formula>0</formula>
    </cfRule>
    <cfRule type="cellIs" dxfId="13382" priority="4438" operator="lessThan">
      <formula>-105575</formula>
    </cfRule>
  </conditionalFormatting>
  <conditionalFormatting sqref="BB255:BB257">
    <cfRule type="cellIs" dxfId="13381" priority="4435" operator="lessThan">
      <formula>0</formula>
    </cfRule>
    <cfRule type="cellIs" dxfId="13380" priority="4436" operator="lessThan">
      <formula>-105575</formula>
    </cfRule>
  </conditionalFormatting>
  <conditionalFormatting sqref="BB255:BB257">
    <cfRule type="cellIs" dxfId="13379" priority="4433" operator="lessThan">
      <formula>0</formula>
    </cfRule>
    <cfRule type="cellIs" dxfId="13378" priority="4434" operator="lessThan">
      <formula>-105575</formula>
    </cfRule>
  </conditionalFormatting>
  <conditionalFormatting sqref="BB260:BB262">
    <cfRule type="cellIs" dxfId="13377" priority="4431" operator="lessThan">
      <formula>0</formula>
    </cfRule>
    <cfRule type="cellIs" dxfId="13376" priority="4432" operator="lessThan">
      <formula>-105575</formula>
    </cfRule>
  </conditionalFormatting>
  <conditionalFormatting sqref="BB260:BB262">
    <cfRule type="cellIs" dxfId="13375" priority="4429" operator="lessThan">
      <formula>0</formula>
    </cfRule>
    <cfRule type="cellIs" dxfId="13374" priority="4430" operator="lessThan">
      <formula>-105575</formula>
    </cfRule>
  </conditionalFormatting>
  <conditionalFormatting sqref="BB260:BB262">
    <cfRule type="cellIs" dxfId="13373" priority="4427" operator="lessThan">
      <formula>0</formula>
    </cfRule>
    <cfRule type="cellIs" dxfId="13372" priority="4428" operator="lessThan">
      <formula>-105575</formula>
    </cfRule>
  </conditionalFormatting>
  <conditionalFormatting sqref="BB260:BB262">
    <cfRule type="cellIs" dxfId="13371" priority="4425" operator="lessThan">
      <formula>0</formula>
    </cfRule>
    <cfRule type="cellIs" dxfId="13370" priority="4426" operator="lessThan">
      <formula>-105575</formula>
    </cfRule>
  </conditionalFormatting>
  <conditionalFormatting sqref="BB260:BB262">
    <cfRule type="cellIs" dxfId="13369" priority="4423" operator="lessThan">
      <formula>0</formula>
    </cfRule>
    <cfRule type="cellIs" dxfId="13368" priority="4424" operator="lessThan">
      <formula>-105575</formula>
    </cfRule>
  </conditionalFormatting>
  <conditionalFormatting sqref="BB260:BB262">
    <cfRule type="cellIs" dxfId="13367" priority="4421" operator="lessThan">
      <formula>0</formula>
    </cfRule>
    <cfRule type="cellIs" dxfId="13366" priority="4422" operator="lessThan">
      <formula>-105575</formula>
    </cfRule>
  </conditionalFormatting>
  <conditionalFormatting sqref="BB260:BB262">
    <cfRule type="cellIs" dxfId="13365" priority="4419" operator="lessThan">
      <formula>0</formula>
    </cfRule>
    <cfRule type="cellIs" dxfId="13364" priority="4420" operator="lessThan">
      <formula>-105575</formula>
    </cfRule>
  </conditionalFormatting>
  <conditionalFormatting sqref="BB260:BB262">
    <cfRule type="cellIs" dxfId="13363" priority="4417" operator="lessThan">
      <formula>0</formula>
    </cfRule>
    <cfRule type="cellIs" dxfId="13362" priority="4418" operator="lessThan">
      <formula>-105575</formula>
    </cfRule>
  </conditionalFormatting>
  <conditionalFormatting sqref="BB260:BB262">
    <cfRule type="cellIs" dxfId="13361" priority="4415" operator="lessThan">
      <formula>0</formula>
    </cfRule>
    <cfRule type="cellIs" dxfId="13360" priority="4416" operator="lessThan">
      <formula>-105575</formula>
    </cfRule>
  </conditionalFormatting>
  <conditionalFormatting sqref="BB264:BB267">
    <cfRule type="cellIs" dxfId="13359" priority="4413" operator="lessThan">
      <formula>0</formula>
    </cfRule>
    <cfRule type="cellIs" dxfId="13358" priority="4414" operator="lessThan">
      <formula>-105575</formula>
    </cfRule>
  </conditionalFormatting>
  <conditionalFormatting sqref="BB264:BB267">
    <cfRule type="cellIs" dxfId="13357" priority="4411" operator="lessThan">
      <formula>0</formula>
    </cfRule>
    <cfRule type="cellIs" dxfId="13356" priority="4412" operator="lessThan">
      <formula>-105575</formula>
    </cfRule>
  </conditionalFormatting>
  <conditionalFormatting sqref="BB264:BB267">
    <cfRule type="cellIs" dxfId="13355" priority="4409" operator="lessThan">
      <formula>0</formula>
    </cfRule>
    <cfRule type="cellIs" dxfId="13354" priority="4410" operator="lessThan">
      <formula>-105575</formula>
    </cfRule>
  </conditionalFormatting>
  <conditionalFormatting sqref="BB264:BB267">
    <cfRule type="cellIs" dxfId="13353" priority="4407" operator="lessThan">
      <formula>0</formula>
    </cfRule>
    <cfRule type="cellIs" dxfId="13352" priority="4408" operator="lessThan">
      <formula>-105575</formula>
    </cfRule>
  </conditionalFormatting>
  <conditionalFormatting sqref="BB264:BB267">
    <cfRule type="cellIs" dxfId="13351" priority="4405" operator="lessThan">
      <formula>0</formula>
    </cfRule>
    <cfRule type="cellIs" dxfId="13350" priority="4406" operator="lessThan">
      <formula>-105575</formula>
    </cfRule>
  </conditionalFormatting>
  <conditionalFormatting sqref="BB264:BB267">
    <cfRule type="cellIs" dxfId="13349" priority="4403" operator="lessThan">
      <formula>0</formula>
    </cfRule>
    <cfRule type="cellIs" dxfId="13348" priority="4404" operator="lessThan">
      <formula>-105575</formula>
    </cfRule>
  </conditionalFormatting>
  <conditionalFormatting sqref="BB264:BB267">
    <cfRule type="cellIs" dxfId="13347" priority="4401" operator="lessThan">
      <formula>0</formula>
    </cfRule>
    <cfRule type="cellIs" dxfId="13346" priority="4402" operator="lessThan">
      <formula>-105575</formula>
    </cfRule>
  </conditionalFormatting>
  <conditionalFormatting sqref="BB264:BB267">
    <cfRule type="cellIs" dxfId="13345" priority="4399" operator="lessThan">
      <formula>0</formula>
    </cfRule>
    <cfRule type="cellIs" dxfId="13344" priority="4400" operator="lessThan">
      <formula>-105575</formula>
    </cfRule>
  </conditionalFormatting>
  <conditionalFormatting sqref="BB264:BB267">
    <cfRule type="cellIs" dxfId="13343" priority="4397" operator="lessThan">
      <formula>0</formula>
    </cfRule>
    <cfRule type="cellIs" dxfId="13342" priority="4398" operator="lessThan">
      <formula>-105575</formula>
    </cfRule>
  </conditionalFormatting>
  <conditionalFormatting sqref="BB270:BB272">
    <cfRule type="cellIs" dxfId="13341" priority="4395" operator="lessThan">
      <formula>0</formula>
    </cfRule>
    <cfRule type="cellIs" dxfId="13340" priority="4396" operator="lessThan">
      <formula>-105575</formula>
    </cfRule>
  </conditionalFormatting>
  <conditionalFormatting sqref="BB270:BB272">
    <cfRule type="cellIs" dxfId="13339" priority="4393" operator="lessThan">
      <formula>0</formula>
    </cfRule>
    <cfRule type="cellIs" dxfId="13338" priority="4394" operator="lessThan">
      <formula>-105575</formula>
    </cfRule>
  </conditionalFormatting>
  <conditionalFormatting sqref="BB270:BB272">
    <cfRule type="cellIs" dxfId="13337" priority="4391" operator="lessThan">
      <formula>0</formula>
    </cfRule>
    <cfRule type="cellIs" dxfId="13336" priority="4392" operator="lessThan">
      <formula>-105575</formula>
    </cfRule>
  </conditionalFormatting>
  <conditionalFormatting sqref="BB270:BB272">
    <cfRule type="cellIs" dxfId="13335" priority="4389" operator="lessThan">
      <formula>0</formula>
    </cfRule>
    <cfRule type="cellIs" dxfId="13334" priority="4390" operator="lessThan">
      <formula>-105575</formula>
    </cfRule>
  </conditionalFormatting>
  <conditionalFormatting sqref="BB270:BB272">
    <cfRule type="cellIs" dxfId="13333" priority="4387" operator="lessThan">
      <formula>0</formula>
    </cfRule>
    <cfRule type="cellIs" dxfId="13332" priority="4388" operator="lessThan">
      <formula>-105575</formula>
    </cfRule>
  </conditionalFormatting>
  <conditionalFormatting sqref="BB270:BB272">
    <cfRule type="cellIs" dxfId="13331" priority="4385" operator="lessThan">
      <formula>0</formula>
    </cfRule>
    <cfRule type="cellIs" dxfId="13330" priority="4386" operator="lessThan">
      <formula>-105575</formula>
    </cfRule>
  </conditionalFormatting>
  <conditionalFormatting sqref="BB270:BB272">
    <cfRule type="cellIs" dxfId="13329" priority="4383" operator="lessThan">
      <formula>0</formula>
    </cfRule>
    <cfRule type="cellIs" dxfId="13328" priority="4384" operator="lessThan">
      <formula>-105575</formula>
    </cfRule>
  </conditionalFormatting>
  <conditionalFormatting sqref="BB270:BB272">
    <cfRule type="cellIs" dxfId="13327" priority="4381" operator="lessThan">
      <formula>0</formula>
    </cfRule>
    <cfRule type="cellIs" dxfId="13326" priority="4382" operator="lessThan">
      <formula>-105575</formula>
    </cfRule>
  </conditionalFormatting>
  <conditionalFormatting sqref="BB270:BB272">
    <cfRule type="cellIs" dxfId="13325" priority="4379" operator="lessThan">
      <formula>0</formula>
    </cfRule>
    <cfRule type="cellIs" dxfId="13324" priority="4380" operator="lessThan">
      <formula>-105575</formula>
    </cfRule>
  </conditionalFormatting>
  <conditionalFormatting sqref="BB274:BB275">
    <cfRule type="cellIs" dxfId="13323" priority="4377" operator="lessThan">
      <formula>0</formula>
    </cfRule>
    <cfRule type="cellIs" dxfId="13322" priority="4378" operator="lessThan">
      <formula>-105575</formula>
    </cfRule>
  </conditionalFormatting>
  <conditionalFormatting sqref="BB274:BB275">
    <cfRule type="cellIs" dxfId="13321" priority="4375" operator="lessThan">
      <formula>0</formula>
    </cfRule>
    <cfRule type="cellIs" dxfId="13320" priority="4376" operator="lessThan">
      <formula>-105575</formula>
    </cfRule>
  </conditionalFormatting>
  <conditionalFormatting sqref="BB274:BB275">
    <cfRule type="cellIs" dxfId="13319" priority="4373" operator="lessThan">
      <formula>0</formula>
    </cfRule>
    <cfRule type="cellIs" dxfId="13318" priority="4374" operator="lessThan">
      <formula>-105575</formula>
    </cfRule>
  </conditionalFormatting>
  <conditionalFormatting sqref="BB274:BB275">
    <cfRule type="cellIs" dxfId="13317" priority="4371" operator="lessThan">
      <formula>0</formula>
    </cfRule>
    <cfRule type="cellIs" dxfId="13316" priority="4372" operator="lessThan">
      <formula>-105575</formula>
    </cfRule>
  </conditionalFormatting>
  <conditionalFormatting sqref="BB274:BB275">
    <cfRule type="cellIs" dxfId="13315" priority="4369" operator="lessThan">
      <formula>0</formula>
    </cfRule>
    <cfRule type="cellIs" dxfId="13314" priority="4370" operator="lessThan">
      <formula>-105575</formula>
    </cfRule>
  </conditionalFormatting>
  <conditionalFormatting sqref="BB274:BB275">
    <cfRule type="cellIs" dxfId="13313" priority="4367" operator="lessThan">
      <formula>0</formula>
    </cfRule>
    <cfRule type="cellIs" dxfId="13312" priority="4368" operator="lessThan">
      <formula>-105575</formula>
    </cfRule>
  </conditionalFormatting>
  <conditionalFormatting sqref="BB274:BB275">
    <cfRule type="cellIs" dxfId="13311" priority="4365" operator="lessThan">
      <formula>0</formula>
    </cfRule>
    <cfRule type="cellIs" dxfId="13310" priority="4366" operator="lessThan">
      <formula>-105575</formula>
    </cfRule>
  </conditionalFormatting>
  <conditionalFormatting sqref="BB274:BB275">
    <cfRule type="cellIs" dxfId="13309" priority="4363" operator="lessThan">
      <formula>0</formula>
    </cfRule>
    <cfRule type="cellIs" dxfId="13308" priority="4364" operator="lessThan">
      <formula>-105575</formula>
    </cfRule>
  </conditionalFormatting>
  <conditionalFormatting sqref="BB274:BB275">
    <cfRule type="cellIs" dxfId="13307" priority="4361" operator="lessThan">
      <formula>0</formula>
    </cfRule>
    <cfRule type="cellIs" dxfId="13306" priority="4362" operator="lessThan">
      <formula>-105575</formula>
    </cfRule>
  </conditionalFormatting>
  <conditionalFormatting sqref="BB278:BB282">
    <cfRule type="cellIs" dxfId="13305" priority="4359" operator="lessThan">
      <formula>0</formula>
    </cfRule>
    <cfRule type="cellIs" dxfId="13304" priority="4360" operator="lessThan">
      <formula>-105575</formula>
    </cfRule>
  </conditionalFormatting>
  <conditionalFormatting sqref="BB278:BB282">
    <cfRule type="cellIs" dxfId="13303" priority="4357" operator="lessThan">
      <formula>0</formula>
    </cfRule>
    <cfRule type="cellIs" dxfId="13302" priority="4358" operator="lessThan">
      <formula>-105575</formula>
    </cfRule>
  </conditionalFormatting>
  <conditionalFormatting sqref="BB278:BB282">
    <cfRule type="cellIs" dxfId="13301" priority="4355" operator="lessThan">
      <formula>0</formula>
    </cfRule>
    <cfRule type="cellIs" dxfId="13300" priority="4356" operator="lessThan">
      <formula>-105575</formula>
    </cfRule>
  </conditionalFormatting>
  <conditionalFormatting sqref="BB278:BB282">
    <cfRule type="cellIs" dxfId="13299" priority="4353" operator="lessThan">
      <formula>0</formula>
    </cfRule>
    <cfRule type="cellIs" dxfId="13298" priority="4354" operator="lessThan">
      <formula>-105575</formula>
    </cfRule>
  </conditionalFormatting>
  <conditionalFormatting sqref="BB278:BB282">
    <cfRule type="cellIs" dxfId="13297" priority="4351" operator="lessThan">
      <formula>0</formula>
    </cfRule>
    <cfRule type="cellIs" dxfId="13296" priority="4352" operator="lessThan">
      <formula>-105575</formula>
    </cfRule>
  </conditionalFormatting>
  <conditionalFormatting sqref="BB278:BB282">
    <cfRule type="cellIs" dxfId="13295" priority="4349" operator="lessThan">
      <formula>0</formula>
    </cfRule>
    <cfRule type="cellIs" dxfId="13294" priority="4350" operator="lessThan">
      <formula>-105575</formula>
    </cfRule>
  </conditionalFormatting>
  <conditionalFormatting sqref="BB278:BB282">
    <cfRule type="cellIs" dxfId="13293" priority="4347" operator="lessThan">
      <formula>0</formula>
    </cfRule>
    <cfRule type="cellIs" dxfId="13292" priority="4348" operator="lessThan">
      <formula>-105575</formula>
    </cfRule>
  </conditionalFormatting>
  <conditionalFormatting sqref="BB278:BB282">
    <cfRule type="cellIs" dxfId="13291" priority="4345" operator="lessThan">
      <formula>0</formula>
    </cfRule>
    <cfRule type="cellIs" dxfId="13290" priority="4346" operator="lessThan">
      <formula>-105575</formula>
    </cfRule>
  </conditionalFormatting>
  <conditionalFormatting sqref="BB278:BB282">
    <cfRule type="cellIs" dxfId="13289" priority="4343" operator="lessThan">
      <formula>0</formula>
    </cfRule>
    <cfRule type="cellIs" dxfId="13288" priority="4344" operator="lessThan">
      <formula>-105575</formula>
    </cfRule>
  </conditionalFormatting>
  <conditionalFormatting sqref="BB285:BB288">
    <cfRule type="cellIs" dxfId="13287" priority="4341" operator="lessThan">
      <formula>0</formula>
    </cfRule>
    <cfRule type="cellIs" dxfId="13286" priority="4342" operator="lessThan">
      <formula>-105575</formula>
    </cfRule>
  </conditionalFormatting>
  <conditionalFormatting sqref="BB285:BB288">
    <cfRule type="cellIs" dxfId="13285" priority="4339" operator="lessThan">
      <formula>0</formula>
    </cfRule>
    <cfRule type="cellIs" dxfId="13284" priority="4340" operator="lessThan">
      <formula>-105575</formula>
    </cfRule>
  </conditionalFormatting>
  <conditionalFormatting sqref="BB285:BB288">
    <cfRule type="cellIs" dxfId="13283" priority="4337" operator="lessThan">
      <formula>0</formula>
    </cfRule>
    <cfRule type="cellIs" dxfId="13282" priority="4338" operator="lessThan">
      <formula>-105575</formula>
    </cfRule>
  </conditionalFormatting>
  <conditionalFormatting sqref="BB285:BB288">
    <cfRule type="cellIs" dxfId="13281" priority="4335" operator="lessThan">
      <formula>0</formula>
    </cfRule>
    <cfRule type="cellIs" dxfId="13280" priority="4336" operator="lessThan">
      <formula>-105575</formula>
    </cfRule>
  </conditionalFormatting>
  <conditionalFormatting sqref="BB285:BB288">
    <cfRule type="cellIs" dxfId="13279" priority="4333" operator="lessThan">
      <formula>0</formula>
    </cfRule>
    <cfRule type="cellIs" dxfId="13278" priority="4334" operator="lessThan">
      <formula>-105575</formula>
    </cfRule>
  </conditionalFormatting>
  <conditionalFormatting sqref="BB285:BB288">
    <cfRule type="cellIs" dxfId="13277" priority="4331" operator="lessThan">
      <formula>0</formula>
    </cfRule>
    <cfRule type="cellIs" dxfId="13276" priority="4332" operator="lessThan">
      <formula>-105575</formula>
    </cfRule>
  </conditionalFormatting>
  <conditionalFormatting sqref="BB285:BB288">
    <cfRule type="cellIs" dxfId="13275" priority="4329" operator="lessThan">
      <formula>0</formula>
    </cfRule>
    <cfRule type="cellIs" dxfId="13274" priority="4330" operator="lessThan">
      <formula>-105575</formula>
    </cfRule>
  </conditionalFormatting>
  <conditionalFormatting sqref="BB285:BB288">
    <cfRule type="cellIs" dxfId="13273" priority="4327" operator="lessThan">
      <formula>0</formula>
    </cfRule>
    <cfRule type="cellIs" dxfId="13272" priority="4328" operator="lessThan">
      <formula>-105575</formula>
    </cfRule>
  </conditionalFormatting>
  <conditionalFormatting sqref="BB285:BB288">
    <cfRule type="cellIs" dxfId="13271" priority="4325" operator="lessThan">
      <formula>0</formula>
    </cfRule>
    <cfRule type="cellIs" dxfId="13270" priority="4326" operator="lessThan">
      <formula>-105575</formula>
    </cfRule>
  </conditionalFormatting>
  <conditionalFormatting sqref="BB80:BB84">
    <cfRule type="cellIs" dxfId="13269" priority="4323" operator="lessThan">
      <formula>0</formula>
    </cfRule>
    <cfRule type="cellIs" dxfId="13268" priority="4324" operator="lessThan">
      <formula>-105575</formula>
    </cfRule>
  </conditionalFormatting>
  <conditionalFormatting sqref="BB86:BB87">
    <cfRule type="cellIs" dxfId="13267" priority="4321" operator="lessThan">
      <formula>0</formula>
    </cfRule>
    <cfRule type="cellIs" dxfId="13266" priority="4322" operator="lessThan">
      <formula>-105575</formula>
    </cfRule>
  </conditionalFormatting>
  <conditionalFormatting sqref="BB89:BB91">
    <cfRule type="cellIs" dxfId="13265" priority="4319" operator="lessThan">
      <formula>0</formula>
    </cfRule>
    <cfRule type="cellIs" dxfId="13264" priority="4320" operator="lessThan">
      <formula>-105575</formula>
    </cfRule>
  </conditionalFormatting>
  <conditionalFormatting sqref="BB94:BB98">
    <cfRule type="cellIs" dxfId="13263" priority="4317" operator="lessThan">
      <formula>0</formula>
    </cfRule>
    <cfRule type="cellIs" dxfId="13262" priority="4318" operator="lessThan">
      <formula>-105575</formula>
    </cfRule>
  </conditionalFormatting>
  <conditionalFormatting sqref="BB101:BB104">
    <cfRule type="cellIs" dxfId="13261" priority="4315" operator="lessThan">
      <formula>0</formula>
    </cfRule>
    <cfRule type="cellIs" dxfId="13260" priority="4316" operator="lessThan">
      <formula>-105575</formula>
    </cfRule>
  </conditionalFormatting>
  <conditionalFormatting sqref="BB107:BB109">
    <cfRule type="cellIs" dxfId="13259" priority="4313" operator="lessThan">
      <formula>0</formula>
    </cfRule>
    <cfRule type="cellIs" dxfId="13258" priority="4314" operator="lessThan">
      <formula>-105575</formula>
    </cfRule>
  </conditionalFormatting>
  <conditionalFormatting sqref="BB112:BB116">
    <cfRule type="cellIs" dxfId="13257" priority="4311" operator="lessThan">
      <formula>0</formula>
    </cfRule>
    <cfRule type="cellIs" dxfId="13256" priority="4312" operator="lessThan">
      <formula>-105575</formula>
    </cfRule>
  </conditionalFormatting>
  <conditionalFormatting sqref="BB119:BB121">
    <cfRule type="cellIs" dxfId="13255" priority="4309" operator="lessThan">
      <formula>0</formula>
    </cfRule>
    <cfRule type="cellIs" dxfId="13254" priority="4310" operator="lessThan">
      <formula>-105575</formula>
    </cfRule>
  </conditionalFormatting>
  <conditionalFormatting sqref="BB124:BB132">
    <cfRule type="cellIs" dxfId="13253" priority="4307" operator="lessThan">
      <formula>0</formula>
    </cfRule>
    <cfRule type="cellIs" dxfId="13252" priority="4308" operator="lessThan">
      <formula>-105575</formula>
    </cfRule>
  </conditionalFormatting>
  <conditionalFormatting sqref="BB135:BB138">
    <cfRule type="cellIs" dxfId="13251" priority="4305" operator="lessThan">
      <formula>0</formula>
    </cfRule>
    <cfRule type="cellIs" dxfId="13250" priority="4306" operator="lessThan">
      <formula>-105575</formula>
    </cfRule>
  </conditionalFormatting>
  <conditionalFormatting sqref="BB141:BB148">
    <cfRule type="cellIs" dxfId="13249" priority="4303" operator="lessThan">
      <formula>0</formula>
    </cfRule>
    <cfRule type="cellIs" dxfId="13248" priority="4304" operator="lessThan">
      <formula>-105575</formula>
    </cfRule>
  </conditionalFormatting>
  <conditionalFormatting sqref="BB152:BB155">
    <cfRule type="cellIs" dxfId="13247" priority="4301" operator="lessThan">
      <formula>0</formula>
    </cfRule>
    <cfRule type="cellIs" dxfId="13246" priority="4302" operator="lessThan">
      <formula>-105575</formula>
    </cfRule>
  </conditionalFormatting>
  <conditionalFormatting sqref="BB157:BB158">
    <cfRule type="cellIs" dxfId="13245" priority="4299" operator="lessThan">
      <formula>0</formula>
    </cfRule>
    <cfRule type="cellIs" dxfId="13244" priority="4300" operator="lessThan">
      <formula>-105575</formula>
    </cfRule>
  </conditionalFormatting>
  <conditionalFormatting sqref="BB160:BB161">
    <cfRule type="cellIs" dxfId="13243" priority="4297" operator="lessThan">
      <formula>0</formula>
    </cfRule>
    <cfRule type="cellIs" dxfId="13242" priority="4298" operator="lessThan">
      <formula>-105575</formula>
    </cfRule>
  </conditionalFormatting>
  <conditionalFormatting sqref="BB164:BB167">
    <cfRule type="cellIs" dxfId="13241" priority="4295" operator="lessThan">
      <formula>0</formula>
    </cfRule>
    <cfRule type="cellIs" dxfId="13240" priority="4296" operator="lessThan">
      <formula>-105575</formula>
    </cfRule>
  </conditionalFormatting>
  <conditionalFormatting sqref="BB169:BB177">
    <cfRule type="cellIs" dxfId="13239" priority="4293" operator="lessThan">
      <formula>0</formula>
    </cfRule>
    <cfRule type="cellIs" dxfId="13238" priority="4294" operator="lessThan">
      <formula>-105575</formula>
    </cfRule>
  </conditionalFormatting>
  <conditionalFormatting sqref="BB179:BB180">
    <cfRule type="cellIs" dxfId="13237" priority="4291" operator="lessThan">
      <formula>0</formula>
    </cfRule>
    <cfRule type="cellIs" dxfId="13236" priority="4292" operator="lessThan">
      <formula>-105575</formula>
    </cfRule>
  </conditionalFormatting>
  <conditionalFormatting sqref="BB183:BB189">
    <cfRule type="cellIs" dxfId="13235" priority="4289" operator="lessThan">
      <formula>0</formula>
    </cfRule>
    <cfRule type="cellIs" dxfId="13234" priority="4290" operator="lessThan">
      <formula>-105575</formula>
    </cfRule>
  </conditionalFormatting>
  <conditionalFormatting sqref="BB191:BB192">
    <cfRule type="cellIs" dxfId="13233" priority="4287" operator="lessThan">
      <formula>0</formula>
    </cfRule>
    <cfRule type="cellIs" dxfId="13232" priority="4288" operator="lessThan">
      <formula>-105575</formula>
    </cfRule>
  </conditionalFormatting>
  <conditionalFormatting sqref="BB194:BB195">
    <cfRule type="cellIs" dxfId="13231" priority="4285" operator="lessThan">
      <formula>0</formula>
    </cfRule>
    <cfRule type="cellIs" dxfId="13230" priority="4286" operator="lessThan">
      <formula>-105575</formula>
    </cfRule>
  </conditionalFormatting>
  <conditionalFormatting sqref="BB199:BB202">
    <cfRule type="cellIs" dxfId="13229" priority="4283" operator="lessThan">
      <formula>0</formula>
    </cfRule>
    <cfRule type="cellIs" dxfId="13228" priority="4284" operator="lessThan">
      <formula>-105575</formula>
    </cfRule>
  </conditionalFormatting>
  <conditionalFormatting sqref="BB204:BB208">
    <cfRule type="cellIs" dxfId="13227" priority="4281" operator="lessThan">
      <formula>0</formula>
    </cfRule>
    <cfRule type="cellIs" dxfId="13226" priority="4282" operator="lessThan">
      <formula>-105575</formula>
    </cfRule>
  </conditionalFormatting>
  <conditionalFormatting sqref="BB210:BB211">
    <cfRule type="cellIs" dxfId="13225" priority="4279" operator="lessThan">
      <formula>0</formula>
    </cfRule>
    <cfRule type="cellIs" dxfId="13224" priority="4280" operator="lessThan">
      <formula>-105575</formula>
    </cfRule>
  </conditionalFormatting>
  <conditionalFormatting sqref="BB214:BB219">
    <cfRule type="cellIs" dxfId="13223" priority="4277" operator="lessThan">
      <formula>0</formula>
    </cfRule>
    <cfRule type="cellIs" dxfId="13222" priority="4278" operator="lessThan">
      <formula>-105575</formula>
    </cfRule>
  </conditionalFormatting>
  <conditionalFormatting sqref="BB222:BB224">
    <cfRule type="cellIs" dxfId="13221" priority="4275" operator="lessThan">
      <formula>0</formula>
    </cfRule>
    <cfRule type="cellIs" dxfId="13220" priority="4276" operator="lessThan">
      <formula>-105575</formula>
    </cfRule>
  </conditionalFormatting>
  <conditionalFormatting sqref="BB227:BB230">
    <cfRule type="cellIs" dxfId="13219" priority="4273" operator="lessThan">
      <formula>0</formula>
    </cfRule>
    <cfRule type="cellIs" dxfId="13218" priority="4274" operator="lessThan">
      <formula>-105575</formula>
    </cfRule>
  </conditionalFormatting>
  <conditionalFormatting sqref="BB233:BB236">
    <cfRule type="cellIs" dxfId="13217" priority="4271" operator="lessThan">
      <formula>0</formula>
    </cfRule>
    <cfRule type="cellIs" dxfId="13216" priority="4272" operator="lessThan">
      <formula>-105575</formula>
    </cfRule>
  </conditionalFormatting>
  <conditionalFormatting sqref="BB239:BB242">
    <cfRule type="cellIs" dxfId="13215" priority="4269" operator="lessThan">
      <formula>0</formula>
    </cfRule>
    <cfRule type="cellIs" dxfId="13214" priority="4270" operator="lessThan">
      <formula>-105575</formula>
    </cfRule>
  </conditionalFormatting>
  <conditionalFormatting sqref="BB246:BB249">
    <cfRule type="cellIs" dxfId="13213" priority="4267" operator="lessThan">
      <formula>0</formula>
    </cfRule>
    <cfRule type="cellIs" dxfId="13212" priority="4268" operator="lessThan">
      <formula>-105575</formula>
    </cfRule>
  </conditionalFormatting>
  <conditionalFormatting sqref="BB251:BB253">
    <cfRule type="cellIs" dxfId="13211" priority="4265" operator="lessThan">
      <formula>0</formula>
    </cfRule>
    <cfRule type="cellIs" dxfId="13210" priority="4266" operator="lessThan">
      <formula>-105575</formula>
    </cfRule>
  </conditionalFormatting>
  <conditionalFormatting sqref="BB255:BB257">
    <cfRule type="cellIs" dxfId="13209" priority="4263" operator="lessThan">
      <formula>0</formula>
    </cfRule>
    <cfRule type="cellIs" dxfId="13208" priority="4264" operator="lessThan">
      <formula>-105575</formula>
    </cfRule>
  </conditionalFormatting>
  <conditionalFormatting sqref="BB260:BB262">
    <cfRule type="cellIs" dxfId="13207" priority="4261" operator="lessThan">
      <formula>0</formula>
    </cfRule>
    <cfRule type="cellIs" dxfId="13206" priority="4262" operator="lessThan">
      <formula>-105575</formula>
    </cfRule>
  </conditionalFormatting>
  <conditionalFormatting sqref="BB264:BB267">
    <cfRule type="cellIs" dxfId="13205" priority="4259" operator="lessThan">
      <formula>0</formula>
    </cfRule>
    <cfRule type="cellIs" dxfId="13204" priority="4260" operator="lessThan">
      <formula>-105575</formula>
    </cfRule>
  </conditionalFormatting>
  <conditionalFormatting sqref="BB270:BB272">
    <cfRule type="cellIs" dxfId="13203" priority="4257" operator="lessThan">
      <formula>0</formula>
    </cfRule>
    <cfRule type="cellIs" dxfId="13202" priority="4258" operator="lessThan">
      <formula>-105575</formula>
    </cfRule>
  </conditionalFormatting>
  <conditionalFormatting sqref="BB274:BB275">
    <cfRule type="cellIs" dxfId="13201" priority="4255" operator="lessThan">
      <formula>0</formula>
    </cfRule>
    <cfRule type="cellIs" dxfId="13200" priority="4256" operator="lessThan">
      <formula>-105575</formula>
    </cfRule>
  </conditionalFormatting>
  <conditionalFormatting sqref="BB278:BB282">
    <cfRule type="cellIs" dxfId="13199" priority="4253" operator="lessThan">
      <formula>0</formula>
    </cfRule>
    <cfRule type="cellIs" dxfId="13198" priority="4254" operator="lessThan">
      <formula>-105575</formula>
    </cfRule>
  </conditionalFormatting>
  <conditionalFormatting sqref="BB285:BB288">
    <cfRule type="cellIs" dxfId="13197" priority="4251" operator="lessThan">
      <formula>0</formula>
    </cfRule>
    <cfRule type="cellIs" dxfId="13196" priority="4252" operator="lessThan">
      <formula>-105575</formula>
    </cfRule>
  </conditionalFormatting>
  <conditionalFormatting sqref="BB203 BB220:BB221 BB235:BB243 BB231:BB233 BB212:BB213 BB225:BB226">
    <cfRule type="cellIs" dxfId="13195" priority="4249" operator="lessThan">
      <formula>0</formula>
    </cfRule>
    <cfRule type="cellIs" dxfId="13194" priority="4250" operator="lessThan">
      <formula>-105575</formula>
    </cfRule>
  </conditionalFormatting>
  <conditionalFormatting sqref="BB220 BB212:BB213 BB235:BB238 BB240:BB243 BB225:BB226 BB231:BB233">
    <cfRule type="cellIs" dxfId="13193" priority="4247" operator="lessThan">
      <formula>0</formula>
    </cfRule>
    <cfRule type="cellIs" dxfId="13192" priority="4248" operator="lessThan">
      <formula>-105575</formula>
    </cfRule>
  </conditionalFormatting>
  <conditionalFormatting sqref="BB220:BB221 BB243 BB226 BB231:BB236 BB238:BB241 BB203 BB213">
    <cfRule type="cellIs" dxfId="13191" priority="4245" operator="lessThan">
      <formula>0</formula>
    </cfRule>
    <cfRule type="cellIs" dxfId="13190" priority="4246" operator="lessThan">
      <formula>-105575</formula>
    </cfRule>
  </conditionalFormatting>
  <conditionalFormatting sqref="BB235:BB243 BB231:BB233 BB220 BB212:BB213 BB225:BB226">
    <cfRule type="cellIs" dxfId="13189" priority="4243" operator="lessThan">
      <formula>0</formula>
    </cfRule>
    <cfRule type="cellIs" dxfId="13188" priority="4244" operator="lessThan">
      <formula>-105575</formula>
    </cfRule>
  </conditionalFormatting>
  <conditionalFormatting sqref="BB220:BB221 BB237:BB243 BB203 BB231:BB235 BB212:BB213 BB225:BB226">
    <cfRule type="cellIs" dxfId="13187" priority="4241" operator="lessThan">
      <formula>0</formula>
    </cfRule>
    <cfRule type="cellIs" dxfId="13186" priority="4242" operator="lessThan">
      <formula>-105575</formula>
    </cfRule>
  </conditionalFormatting>
  <conditionalFormatting sqref="BB220:BB221 BB237:BB240 BB242:BB243 BB225:BB226 BB231:BB235">
    <cfRule type="cellIs" dxfId="13185" priority="4239" operator="lessThan">
      <formula>0</formula>
    </cfRule>
    <cfRule type="cellIs" dxfId="13184" priority="4240" operator="lessThan">
      <formula>-105575</formula>
    </cfRule>
  </conditionalFormatting>
  <conditionalFormatting sqref="BB212 BB231 BB233:BB238 BB240:BB243 BB225">
    <cfRule type="cellIs" dxfId="13183" priority="4237" operator="lessThan">
      <formula>0</formula>
    </cfRule>
    <cfRule type="cellIs" dxfId="13182" priority="4238" operator="lessThan">
      <formula>-105575</formula>
    </cfRule>
  </conditionalFormatting>
  <conditionalFormatting sqref="BB237:BB243 BB231:BB235 BB220:BB221 BB225:BB226">
    <cfRule type="cellIs" dxfId="13181" priority="4235" operator="lessThan">
      <formula>0</formula>
    </cfRule>
    <cfRule type="cellIs" dxfId="13180" priority="4236" operator="lessThan">
      <formula>-105575</formula>
    </cfRule>
  </conditionalFormatting>
  <conditionalFormatting sqref="BB233:BB237 BB231 BB239:BB243">
    <cfRule type="cellIs" dxfId="13179" priority="4233" operator="lessThan">
      <formula>0</formula>
    </cfRule>
    <cfRule type="cellIs" dxfId="13178" priority="4234" operator="lessThan">
      <formula>-105575</formula>
    </cfRule>
  </conditionalFormatting>
  <conditionalFormatting sqref="BB233:BB237 BB231 BB239:BB243">
    <cfRule type="cellIs" dxfId="13177" priority="4231" operator="lessThan">
      <formula>0</formula>
    </cfRule>
    <cfRule type="cellIs" dxfId="13176" priority="4232" operator="lessThan">
      <formula>-105575</formula>
    </cfRule>
  </conditionalFormatting>
  <conditionalFormatting sqref="BB119:BB128 BB106:BB117 BB101:BB104 BB80:BB98">
    <cfRule type="cellIs" dxfId="13175" priority="4229" operator="lessThan">
      <formula>0</formula>
    </cfRule>
    <cfRule type="cellIs" dxfId="13174" priority="4230" operator="lessThan">
      <formula>-105575</formula>
    </cfRule>
  </conditionalFormatting>
  <conditionalFormatting sqref="BB130 BB132 BB134">
    <cfRule type="cellIs" dxfId="13173" priority="4227" operator="lessThan">
      <formula>0</formula>
    </cfRule>
    <cfRule type="cellIs" dxfId="13172" priority="4228" operator="lessThan">
      <formula>-105575</formula>
    </cfRule>
  </conditionalFormatting>
  <conditionalFormatting sqref="BB130 BB132 BB134">
    <cfRule type="cellIs" dxfId="13171" priority="4225" operator="lessThan">
      <formula>0</formula>
    </cfRule>
    <cfRule type="cellIs" dxfId="13170" priority="4226" operator="lessThan">
      <formula>-105575</formula>
    </cfRule>
  </conditionalFormatting>
  <conditionalFormatting sqref="BB129 BB131 BB133 BB135">
    <cfRule type="cellIs" dxfId="13169" priority="4223" operator="lessThan">
      <formula>0</formula>
    </cfRule>
    <cfRule type="cellIs" dxfId="13168" priority="4224" operator="lessThan">
      <formula>-105575</formula>
    </cfRule>
  </conditionalFormatting>
  <conditionalFormatting sqref="BB140 BB145 BB142:BB143 BB137:BB138">
    <cfRule type="cellIs" dxfId="13167" priority="4221" operator="lessThan">
      <formula>0</formula>
    </cfRule>
    <cfRule type="cellIs" dxfId="13166" priority="4222" operator="lessThan">
      <formula>-105575</formula>
    </cfRule>
  </conditionalFormatting>
  <conditionalFormatting sqref="BB149">
    <cfRule type="cellIs" dxfId="13165" priority="4219" operator="lessThan">
      <formula>0</formula>
    </cfRule>
    <cfRule type="cellIs" dxfId="13164" priority="4220" operator="lessThan">
      <formula>-105575</formula>
    </cfRule>
  </conditionalFormatting>
  <conditionalFormatting sqref="BB129:BB138 BB140:BB149">
    <cfRule type="cellIs" dxfId="13163" priority="4217" operator="lessThan">
      <formula>0</formula>
    </cfRule>
    <cfRule type="cellIs" dxfId="13162" priority="4218" operator="lessThan">
      <formula>-105575</formula>
    </cfRule>
  </conditionalFormatting>
  <conditionalFormatting sqref="BB94:BB98 BB86:BB87 BB89:BB91 BB141:BB149 BB124:BB133 BB107:BB110 BB112:BB117 BB119:BB122 BB135:BB138 BB101:BB104 BB80:BB84">
    <cfRule type="cellIs" dxfId="13161" priority="4215" operator="lessThan">
      <formula>0</formula>
    </cfRule>
    <cfRule type="cellIs" dxfId="13160" priority="4216" operator="lessThan">
      <formula>-105575</formula>
    </cfRule>
  </conditionalFormatting>
  <conditionalFormatting sqref="BB129 BB131 BB133 BB135">
    <cfRule type="cellIs" dxfId="13159" priority="4213" operator="lessThan">
      <formula>0</formula>
    </cfRule>
    <cfRule type="cellIs" dxfId="13158" priority="4214" operator="lessThan">
      <formula>-105575</formula>
    </cfRule>
  </conditionalFormatting>
  <conditionalFormatting sqref="BB146 BB144 BB141">
    <cfRule type="cellIs" dxfId="13157" priority="4211" operator="lessThan">
      <formula>0</formula>
    </cfRule>
    <cfRule type="cellIs" dxfId="13156" priority="4212" operator="lessThan">
      <formula>-105575</formula>
    </cfRule>
  </conditionalFormatting>
  <conditionalFormatting sqref="BB146 BB144 BB141">
    <cfRule type="cellIs" dxfId="13155" priority="4209" operator="lessThan">
      <formula>0</formula>
    </cfRule>
    <cfRule type="cellIs" dxfId="13154" priority="4210" operator="lessThan">
      <formula>-105575</formula>
    </cfRule>
  </conditionalFormatting>
  <conditionalFormatting sqref="BB140 BB145 BB142:BB143 BB137:BB138">
    <cfRule type="cellIs" dxfId="13153" priority="4207" operator="lessThan">
      <formula>0</formula>
    </cfRule>
    <cfRule type="cellIs" dxfId="13152" priority="4208" operator="lessThan">
      <formula>-105575</formula>
    </cfRule>
  </conditionalFormatting>
  <conditionalFormatting sqref="BB149">
    <cfRule type="cellIs" dxfId="13151" priority="4205" operator="lessThan">
      <formula>0</formula>
    </cfRule>
    <cfRule type="cellIs" dxfId="13150" priority="4206" operator="lessThan">
      <formula>-105575</formula>
    </cfRule>
  </conditionalFormatting>
  <conditionalFormatting sqref="BB94:BB98 BB86:BB87 BB89:BB91 BB141:BB149 BB124:BB133 BB107:BB110 BB112:BB117 BB119:BB122 BB135:BB138 BB101:BB104 BB80:BB84">
    <cfRule type="cellIs" dxfId="13149" priority="4203" operator="lessThan">
      <formula>0</formula>
    </cfRule>
    <cfRule type="cellIs" dxfId="13148" priority="4204" operator="lessThan">
      <formula>-105575</formula>
    </cfRule>
  </conditionalFormatting>
  <conditionalFormatting sqref="BB246:BB249 BB262 BB267 BB279:BB282 BB285:BB288 BB274:BB275 BB306:BB309 BB311:BB325 BB327:BB330 BB332:BB341 BB344:BB347 BB349:BB353 BB355:BB358 BB360:BB384 BB386:BB389 BB392:BB395 BB397:BB411 BB413:BB416 BB418:BB432 BB434:BB437 BB439:BB453 BB455:BB458 BB460:BB469 BB7:BB10 BB12:BB14 BB17:BB18 BB21:BB24 BB26:BB28 BB30:BB36 BB38 BB41:BB43 BB46:BB49 BB51:BB55 BB57:BB59 BB62:BB76 BB251:BB253 BB255:BB257 BB293:BB304 BB264:BB265 BB260 BB290:BB291 BB270:BB272">
    <cfRule type="cellIs" dxfId="13147" priority="4201" operator="lessThan">
      <formula>0</formula>
    </cfRule>
    <cfRule type="cellIs" dxfId="13146" priority="4202" operator="lessThan">
      <formula>-105575</formula>
    </cfRule>
  </conditionalFormatting>
  <conditionalFormatting sqref="BB41">
    <cfRule type="cellIs" dxfId="13145" priority="4199" operator="lessThan">
      <formula>0</formula>
    </cfRule>
    <cfRule type="cellIs" dxfId="13144" priority="4200" operator="lessThan">
      <formula>-105575</formula>
    </cfRule>
  </conditionalFormatting>
  <conditionalFormatting sqref="BB152:BB155">
    <cfRule type="cellIs" dxfId="13143" priority="4197" operator="lessThan">
      <formula>0</formula>
    </cfRule>
    <cfRule type="cellIs" dxfId="13142" priority="4198" operator="lessThan">
      <formula>-105575</formula>
    </cfRule>
  </conditionalFormatting>
  <conditionalFormatting sqref="BB152:BB155">
    <cfRule type="cellIs" dxfId="13141" priority="4195" operator="lessThan">
      <formula>0</formula>
    </cfRule>
    <cfRule type="cellIs" dxfId="13140" priority="4196" operator="lessThan">
      <formula>-105575</formula>
    </cfRule>
  </conditionalFormatting>
  <conditionalFormatting sqref="BB152:BB155">
    <cfRule type="cellIs" dxfId="13139" priority="4193" operator="lessThan">
      <formula>0</formula>
    </cfRule>
    <cfRule type="cellIs" dxfId="13138" priority="4194" operator="lessThan">
      <formula>-105575</formula>
    </cfRule>
  </conditionalFormatting>
  <conditionalFormatting sqref="BB157:BB158">
    <cfRule type="cellIs" dxfId="13137" priority="4191" operator="lessThan">
      <formula>0</formula>
    </cfRule>
    <cfRule type="cellIs" dxfId="13136" priority="4192" operator="lessThan">
      <formula>-105575</formula>
    </cfRule>
  </conditionalFormatting>
  <conditionalFormatting sqref="BB157:BB158">
    <cfRule type="cellIs" dxfId="13135" priority="4189" operator="lessThan">
      <formula>0</formula>
    </cfRule>
    <cfRule type="cellIs" dxfId="13134" priority="4190" operator="lessThan">
      <formula>-105575</formula>
    </cfRule>
  </conditionalFormatting>
  <conditionalFormatting sqref="BB157:BB158">
    <cfRule type="cellIs" dxfId="13133" priority="4187" operator="lessThan">
      <formula>0</formula>
    </cfRule>
    <cfRule type="cellIs" dxfId="13132" priority="4188" operator="lessThan">
      <formula>-105575</formula>
    </cfRule>
  </conditionalFormatting>
  <conditionalFormatting sqref="BB160:BB161">
    <cfRule type="cellIs" dxfId="13131" priority="4185" operator="lessThan">
      <formula>0</formula>
    </cfRule>
    <cfRule type="cellIs" dxfId="13130" priority="4186" operator="lessThan">
      <formula>-105575</formula>
    </cfRule>
  </conditionalFormatting>
  <conditionalFormatting sqref="BB160:BB161">
    <cfRule type="cellIs" dxfId="13129" priority="4183" operator="lessThan">
      <formula>0</formula>
    </cfRule>
    <cfRule type="cellIs" dxfId="13128" priority="4184" operator="lessThan">
      <formula>-105575</formula>
    </cfRule>
  </conditionalFormatting>
  <conditionalFormatting sqref="BB160:BB161">
    <cfRule type="cellIs" dxfId="13127" priority="4181" operator="lessThan">
      <formula>0</formula>
    </cfRule>
    <cfRule type="cellIs" dxfId="13126" priority="4182" operator="lessThan">
      <formula>-105575</formula>
    </cfRule>
  </conditionalFormatting>
  <conditionalFormatting sqref="BB164:BB167">
    <cfRule type="cellIs" dxfId="13125" priority="4179" operator="lessThan">
      <formula>0</formula>
    </cfRule>
    <cfRule type="cellIs" dxfId="13124" priority="4180" operator="lessThan">
      <formula>-105575</formula>
    </cfRule>
  </conditionalFormatting>
  <conditionalFormatting sqref="BB164:BB167">
    <cfRule type="cellIs" dxfId="13123" priority="4177" operator="lessThan">
      <formula>0</formula>
    </cfRule>
    <cfRule type="cellIs" dxfId="13122" priority="4178" operator="lessThan">
      <formula>-105575</formula>
    </cfRule>
  </conditionalFormatting>
  <conditionalFormatting sqref="BB164:BB167">
    <cfRule type="cellIs" dxfId="13121" priority="4175" operator="lessThan">
      <formula>0</formula>
    </cfRule>
    <cfRule type="cellIs" dxfId="13120" priority="4176" operator="lessThan">
      <formula>-105575</formula>
    </cfRule>
  </conditionalFormatting>
  <conditionalFormatting sqref="BB169:BB177">
    <cfRule type="cellIs" dxfId="13119" priority="4173" operator="lessThan">
      <formula>0</formula>
    </cfRule>
    <cfRule type="cellIs" dxfId="13118" priority="4174" operator="lessThan">
      <formula>-105575</formula>
    </cfRule>
  </conditionalFormatting>
  <conditionalFormatting sqref="BB169:BB177">
    <cfRule type="cellIs" dxfId="13117" priority="4171" operator="lessThan">
      <formula>0</formula>
    </cfRule>
    <cfRule type="cellIs" dxfId="13116" priority="4172" operator="lessThan">
      <formula>-105575</formula>
    </cfRule>
  </conditionalFormatting>
  <conditionalFormatting sqref="BB169:BB177">
    <cfRule type="cellIs" dxfId="13115" priority="4169" operator="lessThan">
      <formula>0</formula>
    </cfRule>
    <cfRule type="cellIs" dxfId="13114" priority="4170" operator="lessThan">
      <formula>-105575</formula>
    </cfRule>
  </conditionalFormatting>
  <conditionalFormatting sqref="BB179:BB180">
    <cfRule type="cellIs" dxfId="13113" priority="4167" operator="lessThan">
      <formula>0</formula>
    </cfRule>
    <cfRule type="cellIs" dxfId="13112" priority="4168" operator="lessThan">
      <formula>-105575</formula>
    </cfRule>
  </conditionalFormatting>
  <conditionalFormatting sqref="BB179:BB180">
    <cfRule type="cellIs" dxfId="13111" priority="4165" operator="lessThan">
      <formula>0</formula>
    </cfRule>
    <cfRule type="cellIs" dxfId="13110" priority="4166" operator="lessThan">
      <formula>-105575</formula>
    </cfRule>
  </conditionalFormatting>
  <conditionalFormatting sqref="BB179:BB180">
    <cfRule type="cellIs" dxfId="13109" priority="4163" operator="lessThan">
      <formula>0</formula>
    </cfRule>
    <cfRule type="cellIs" dxfId="13108" priority="4164" operator="lessThan">
      <formula>-105575</formula>
    </cfRule>
  </conditionalFormatting>
  <conditionalFormatting sqref="BB183:BB189">
    <cfRule type="cellIs" dxfId="13107" priority="4161" operator="lessThan">
      <formula>0</formula>
    </cfRule>
    <cfRule type="cellIs" dxfId="13106" priority="4162" operator="lessThan">
      <formula>-105575</formula>
    </cfRule>
  </conditionalFormatting>
  <conditionalFormatting sqref="BB183:BB189">
    <cfRule type="cellIs" dxfId="13105" priority="4159" operator="lessThan">
      <formula>0</formula>
    </cfRule>
    <cfRule type="cellIs" dxfId="13104" priority="4160" operator="lessThan">
      <formula>-105575</formula>
    </cfRule>
  </conditionalFormatting>
  <conditionalFormatting sqref="BB183:BB189">
    <cfRule type="cellIs" dxfId="13103" priority="4157" operator="lessThan">
      <formula>0</formula>
    </cfRule>
    <cfRule type="cellIs" dxfId="13102" priority="4158" operator="lessThan">
      <formula>-105575</formula>
    </cfRule>
  </conditionalFormatting>
  <conditionalFormatting sqref="BB191:BB192">
    <cfRule type="cellIs" dxfId="13101" priority="4155" operator="lessThan">
      <formula>0</formula>
    </cfRule>
    <cfRule type="cellIs" dxfId="13100" priority="4156" operator="lessThan">
      <formula>-105575</formula>
    </cfRule>
  </conditionalFormatting>
  <conditionalFormatting sqref="BB191:BB192">
    <cfRule type="cellIs" dxfId="13099" priority="4153" operator="lessThan">
      <formula>0</formula>
    </cfRule>
    <cfRule type="cellIs" dxfId="13098" priority="4154" operator="lessThan">
      <formula>-105575</formula>
    </cfRule>
  </conditionalFormatting>
  <conditionalFormatting sqref="BB191:BB192">
    <cfRule type="cellIs" dxfId="13097" priority="4151" operator="lessThan">
      <formula>0</formula>
    </cfRule>
    <cfRule type="cellIs" dxfId="13096" priority="4152" operator="lessThan">
      <formula>-105575</formula>
    </cfRule>
  </conditionalFormatting>
  <conditionalFormatting sqref="BB194:BB195">
    <cfRule type="cellIs" dxfId="13095" priority="4149" operator="lessThan">
      <formula>0</formula>
    </cfRule>
    <cfRule type="cellIs" dxfId="13094" priority="4150" operator="lessThan">
      <formula>-105575</formula>
    </cfRule>
  </conditionalFormatting>
  <conditionalFormatting sqref="BB194:BB195">
    <cfRule type="cellIs" dxfId="13093" priority="4147" operator="lessThan">
      <formula>0</formula>
    </cfRule>
    <cfRule type="cellIs" dxfId="13092" priority="4148" operator="lessThan">
      <formula>-105575</formula>
    </cfRule>
  </conditionalFormatting>
  <conditionalFormatting sqref="BB194:BB195">
    <cfRule type="cellIs" dxfId="13091" priority="4145" operator="lessThan">
      <formula>0</formula>
    </cfRule>
    <cfRule type="cellIs" dxfId="13090" priority="4146" operator="lessThan">
      <formula>-105575</formula>
    </cfRule>
  </conditionalFormatting>
  <conditionalFormatting sqref="BB199:BB202">
    <cfRule type="cellIs" dxfId="13089" priority="4143" operator="lessThan">
      <formula>0</formula>
    </cfRule>
    <cfRule type="cellIs" dxfId="13088" priority="4144" operator="lessThan">
      <formula>-105575</formula>
    </cfRule>
  </conditionalFormatting>
  <conditionalFormatting sqref="BB199:BB202">
    <cfRule type="cellIs" dxfId="13087" priority="4141" operator="lessThan">
      <formula>0</formula>
    </cfRule>
    <cfRule type="cellIs" dxfId="13086" priority="4142" operator="lessThan">
      <formula>-105575</formula>
    </cfRule>
  </conditionalFormatting>
  <conditionalFormatting sqref="BB199:BB202">
    <cfRule type="cellIs" dxfId="13085" priority="4139" operator="lessThan">
      <formula>0</formula>
    </cfRule>
    <cfRule type="cellIs" dxfId="13084" priority="4140" operator="lessThan">
      <formula>-105575</formula>
    </cfRule>
  </conditionalFormatting>
  <conditionalFormatting sqref="BB204:BB208">
    <cfRule type="cellIs" dxfId="13083" priority="4137" operator="lessThan">
      <formula>0</formula>
    </cfRule>
    <cfRule type="cellIs" dxfId="13082" priority="4138" operator="lessThan">
      <formula>-105575</formula>
    </cfRule>
  </conditionalFormatting>
  <conditionalFormatting sqref="BB204:BB208">
    <cfRule type="cellIs" dxfId="13081" priority="4135" operator="lessThan">
      <formula>0</formula>
    </cfRule>
    <cfRule type="cellIs" dxfId="13080" priority="4136" operator="lessThan">
      <formula>-105575</formula>
    </cfRule>
  </conditionalFormatting>
  <conditionalFormatting sqref="BB204:BB208">
    <cfRule type="cellIs" dxfId="13079" priority="4133" operator="lessThan">
      <formula>0</formula>
    </cfRule>
    <cfRule type="cellIs" dxfId="13078" priority="4134" operator="lessThan">
      <formula>-105575</formula>
    </cfRule>
  </conditionalFormatting>
  <conditionalFormatting sqref="BB210:BB211">
    <cfRule type="cellIs" dxfId="13077" priority="4131" operator="lessThan">
      <formula>0</formula>
    </cfRule>
    <cfRule type="cellIs" dxfId="13076" priority="4132" operator="lessThan">
      <formula>-105575</formula>
    </cfRule>
  </conditionalFormatting>
  <conditionalFormatting sqref="BB210:BB211">
    <cfRule type="cellIs" dxfId="13075" priority="4129" operator="lessThan">
      <formula>0</formula>
    </cfRule>
    <cfRule type="cellIs" dxfId="13074" priority="4130" operator="lessThan">
      <formula>-105575</formula>
    </cfRule>
  </conditionalFormatting>
  <conditionalFormatting sqref="BB210:BB211">
    <cfRule type="cellIs" dxfId="13073" priority="4127" operator="lessThan">
      <formula>0</formula>
    </cfRule>
    <cfRule type="cellIs" dxfId="13072" priority="4128" operator="lessThan">
      <formula>-105575</formula>
    </cfRule>
  </conditionalFormatting>
  <conditionalFormatting sqref="BB214:BB219">
    <cfRule type="cellIs" dxfId="13071" priority="4125" operator="lessThan">
      <formula>0</formula>
    </cfRule>
    <cfRule type="cellIs" dxfId="13070" priority="4126" operator="lessThan">
      <formula>-105575</formula>
    </cfRule>
  </conditionalFormatting>
  <conditionalFormatting sqref="BB214:BB219">
    <cfRule type="cellIs" dxfId="13069" priority="4123" operator="lessThan">
      <formula>0</formula>
    </cfRule>
    <cfRule type="cellIs" dxfId="13068" priority="4124" operator="lessThan">
      <formula>-105575</formula>
    </cfRule>
  </conditionalFormatting>
  <conditionalFormatting sqref="BB214:BB219">
    <cfRule type="cellIs" dxfId="13067" priority="4121" operator="lessThan">
      <formula>0</formula>
    </cfRule>
    <cfRule type="cellIs" dxfId="13066" priority="4122" operator="lessThan">
      <formula>-105575</formula>
    </cfRule>
  </conditionalFormatting>
  <conditionalFormatting sqref="BB222:BB224">
    <cfRule type="cellIs" dxfId="13065" priority="4119" operator="lessThan">
      <formula>0</formula>
    </cfRule>
    <cfRule type="cellIs" dxfId="13064" priority="4120" operator="lessThan">
      <formula>-105575</formula>
    </cfRule>
  </conditionalFormatting>
  <conditionalFormatting sqref="BB222:BB224">
    <cfRule type="cellIs" dxfId="13063" priority="4117" operator="lessThan">
      <formula>0</formula>
    </cfRule>
    <cfRule type="cellIs" dxfId="13062" priority="4118" operator="lessThan">
      <formula>-105575</formula>
    </cfRule>
  </conditionalFormatting>
  <conditionalFormatting sqref="BB222:BB224">
    <cfRule type="cellIs" dxfId="13061" priority="4115" operator="lessThan">
      <formula>0</formula>
    </cfRule>
    <cfRule type="cellIs" dxfId="13060" priority="4116" operator="lessThan">
      <formula>-105575</formula>
    </cfRule>
  </conditionalFormatting>
  <conditionalFormatting sqref="BB227:BB230">
    <cfRule type="cellIs" dxfId="13059" priority="4113" operator="lessThan">
      <formula>0</formula>
    </cfRule>
    <cfRule type="cellIs" dxfId="13058" priority="4114" operator="lessThan">
      <formula>-105575</formula>
    </cfRule>
  </conditionalFormatting>
  <conditionalFormatting sqref="BB227:BB230">
    <cfRule type="cellIs" dxfId="13057" priority="4111" operator="lessThan">
      <formula>0</formula>
    </cfRule>
    <cfRule type="cellIs" dxfId="13056" priority="4112" operator="lessThan">
      <formula>-105575</formula>
    </cfRule>
  </conditionalFormatting>
  <conditionalFormatting sqref="BB227:BB230">
    <cfRule type="cellIs" dxfId="13055" priority="4109" operator="lessThan">
      <formula>0</formula>
    </cfRule>
    <cfRule type="cellIs" dxfId="13054" priority="4110" operator="lessThan">
      <formula>-105575</formula>
    </cfRule>
  </conditionalFormatting>
  <conditionalFormatting sqref="BB203 BB220:BB221 BB235:BB243 BB231:BB233 BB212:BB213 BB225:BB226">
    <cfRule type="cellIs" dxfId="13053" priority="4107" operator="lessThan">
      <formula>0</formula>
    </cfRule>
    <cfRule type="cellIs" dxfId="13052" priority="4108" operator="lessThan">
      <formula>-105575</formula>
    </cfRule>
  </conditionalFormatting>
  <conditionalFormatting sqref="BB220 BB212:BB213 BB235:BB238 BB240:BB243 BB225:BB226 BB231:BB233">
    <cfRule type="cellIs" dxfId="13051" priority="4105" operator="lessThan">
      <formula>0</formula>
    </cfRule>
    <cfRule type="cellIs" dxfId="13050" priority="4106" operator="lessThan">
      <formula>-105575</formula>
    </cfRule>
  </conditionalFormatting>
  <conditionalFormatting sqref="BB220:BB221 BB243 BB226 BB231:BB236 BB238:BB241 BB203 BB213">
    <cfRule type="cellIs" dxfId="13049" priority="4103" operator="lessThan">
      <formula>0</formula>
    </cfRule>
    <cfRule type="cellIs" dxfId="13048" priority="4104" operator="lessThan">
      <formula>-105575</formula>
    </cfRule>
  </conditionalFormatting>
  <conditionalFormatting sqref="BB235:BB243 BB231:BB233 BB220 BB212:BB213 BB225:BB226">
    <cfRule type="cellIs" dxfId="13047" priority="4101" operator="lessThan">
      <formula>0</formula>
    </cfRule>
    <cfRule type="cellIs" dxfId="13046" priority="4102" operator="lessThan">
      <formula>-105575</formula>
    </cfRule>
  </conditionalFormatting>
  <conditionalFormatting sqref="BB220:BB221 BB237:BB243 BB203 BB231:BB235 BB212:BB213 BB225:BB226">
    <cfRule type="cellIs" dxfId="13045" priority="4099" operator="lessThan">
      <formula>0</formula>
    </cfRule>
    <cfRule type="cellIs" dxfId="13044" priority="4100" operator="lessThan">
      <formula>-105575</formula>
    </cfRule>
  </conditionalFormatting>
  <conditionalFormatting sqref="BB220:BB221 BB237:BB240 BB242:BB243 BB225:BB226 BB231:BB235">
    <cfRule type="cellIs" dxfId="13043" priority="4097" operator="lessThan">
      <formula>0</formula>
    </cfRule>
    <cfRule type="cellIs" dxfId="13042" priority="4098" operator="lessThan">
      <formula>-105575</formula>
    </cfRule>
  </conditionalFormatting>
  <conditionalFormatting sqref="BB212 BB231 BB233:BB238 BB240:BB243 BB225">
    <cfRule type="cellIs" dxfId="13041" priority="4095" operator="lessThan">
      <formula>0</formula>
    </cfRule>
    <cfRule type="cellIs" dxfId="13040" priority="4096" operator="lessThan">
      <formula>-105575</formula>
    </cfRule>
  </conditionalFormatting>
  <conditionalFormatting sqref="BB237:BB243 BB231:BB235 BB220:BB221 BB225:BB226">
    <cfRule type="cellIs" dxfId="13039" priority="4093" operator="lessThan">
      <formula>0</formula>
    </cfRule>
    <cfRule type="cellIs" dxfId="13038" priority="4094" operator="lessThan">
      <formula>-105575</formula>
    </cfRule>
  </conditionalFormatting>
  <conditionalFormatting sqref="BB233:BB237 BB231 BB239:BB243">
    <cfRule type="cellIs" dxfId="13037" priority="4091" operator="lessThan">
      <formula>0</formula>
    </cfRule>
    <cfRule type="cellIs" dxfId="13036" priority="4092" operator="lessThan">
      <formula>-105575</formula>
    </cfRule>
  </conditionalFormatting>
  <conditionalFormatting sqref="BB233:BB237 BB231 BB239:BB243">
    <cfRule type="cellIs" dxfId="13035" priority="4089" operator="lessThan">
      <formula>0</formula>
    </cfRule>
    <cfRule type="cellIs" dxfId="13034" priority="4090" operator="lessThan">
      <formula>-105575</formula>
    </cfRule>
  </conditionalFormatting>
  <conditionalFormatting sqref="BB119:BB128 BB106:BB117 BB101:BB104 BB80:BB98">
    <cfRule type="cellIs" dxfId="13033" priority="4087" operator="lessThan">
      <formula>0</formula>
    </cfRule>
    <cfRule type="cellIs" dxfId="13032" priority="4088" operator="lessThan">
      <formula>-105575</formula>
    </cfRule>
  </conditionalFormatting>
  <conditionalFormatting sqref="BB130 BB132 BB134">
    <cfRule type="cellIs" dxfId="13031" priority="4085" operator="lessThan">
      <formula>0</formula>
    </cfRule>
    <cfRule type="cellIs" dxfId="13030" priority="4086" operator="lessThan">
      <formula>-105575</formula>
    </cfRule>
  </conditionalFormatting>
  <conditionalFormatting sqref="BB130 BB132 BB134">
    <cfRule type="cellIs" dxfId="13029" priority="4083" operator="lessThan">
      <formula>0</formula>
    </cfRule>
    <cfRule type="cellIs" dxfId="13028" priority="4084" operator="lessThan">
      <formula>-105575</formula>
    </cfRule>
  </conditionalFormatting>
  <conditionalFormatting sqref="BB129 BB131 BB133 BB135">
    <cfRule type="cellIs" dxfId="13027" priority="4081" operator="lessThan">
      <formula>0</formula>
    </cfRule>
    <cfRule type="cellIs" dxfId="13026" priority="4082" operator="lessThan">
      <formula>-105575</formula>
    </cfRule>
  </conditionalFormatting>
  <conditionalFormatting sqref="BB140 BB145 BB142:BB143 BB137:BB138">
    <cfRule type="cellIs" dxfId="13025" priority="4079" operator="lessThan">
      <formula>0</formula>
    </cfRule>
    <cfRule type="cellIs" dxfId="13024" priority="4080" operator="lessThan">
      <formula>-105575</formula>
    </cfRule>
  </conditionalFormatting>
  <conditionalFormatting sqref="BB149">
    <cfRule type="cellIs" dxfId="13023" priority="4077" operator="lessThan">
      <formula>0</formula>
    </cfRule>
    <cfRule type="cellIs" dxfId="13022" priority="4078" operator="lessThan">
      <formula>-105575</formula>
    </cfRule>
  </conditionalFormatting>
  <conditionalFormatting sqref="BB129:BB138 BB140:BB149">
    <cfRule type="cellIs" dxfId="13021" priority="4075" operator="lessThan">
      <formula>0</formula>
    </cfRule>
    <cfRule type="cellIs" dxfId="13020" priority="4076" operator="lessThan">
      <formula>-105575</formula>
    </cfRule>
  </conditionalFormatting>
  <conditionalFormatting sqref="BB94:BB98 BB86:BB87 BB89:BB91 BB141:BB149 BB124:BB133 BB107:BB110 BB112:BB117 BB119:BB122 BB135:BB138 BB101:BB104 BB80:BB84">
    <cfRule type="cellIs" dxfId="13019" priority="4073" operator="lessThan">
      <formula>0</formula>
    </cfRule>
    <cfRule type="cellIs" dxfId="13018" priority="4074" operator="lessThan">
      <formula>-105575</formula>
    </cfRule>
  </conditionalFormatting>
  <conditionalFormatting sqref="BB129 BB131 BB133 BB135">
    <cfRule type="cellIs" dxfId="13017" priority="4071" operator="lessThan">
      <formula>0</formula>
    </cfRule>
    <cfRule type="cellIs" dxfId="13016" priority="4072" operator="lessThan">
      <formula>-105575</formula>
    </cfRule>
  </conditionalFormatting>
  <conditionalFormatting sqref="BB146 BB144 BB141">
    <cfRule type="cellIs" dxfId="13015" priority="4069" operator="lessThan">
      <formula>0</formula>
    </cfRule>
    <cfRule type="cellIs" dxfId="13014" priority="4070" operator="lessThan">
      <formula>-105575</formula>
    </cfRule>
  </conditionalFormatting>
  <conditionalFormatting sqref="BB146 BB144 BB141">
    <cfRule type="cellIs" dxfId="13013" priority="4067" operator="lessThan">
      <formula>0</formula>
    </cfRule>
    <cfRule type="cellIs" dxfId="13012" priority="4068" operator="lessThan">
      <formula>-105575</formula>
    </cfRule>
  </conditionalFormatting>
  <conditionalFormatting sqref="BB140 BB145 BB142:BB143 BB137:BB138">
    <cfRule type="cellIs" dxfId="13011" priority="4065" operator="lessThan">
      <formula>0</formula>
    </cfRule>
    <cfRule type="cellIs" dxfId="13010" priority="4066" operator="lessThan">
      <formula>-105575</formula>
    </cfRule>
  </conditionalFormatting>
  <conditionalFormatting sqref="BB149">
    <cfRule type="cellIs" dxfId="13009" priority="4063" operator="lessThan">
      <formula>0</formula>
    </cfRule>
    <cfRule type="cellIs" dxfId="13008" priority="4064" operator="lessThan">
      <formula>-105575</formula>
    </cfRule>
  </conditionalFormatting>
  <conditionalFormatting sqref="BB94:BB98 BB86:BB87 BB89:BB91 BB141:BB149 BB124:BB133 BB107:BB110 BB112:BB117 BB119:BB122 BB135:BB138 BB101:BB104 BB80:BB84">
    <cfRule type="cellIs" dxfId="13007" priority="4061" operator="lessThan">
      <formula>0</formula>
    </cfRule>
    <cfRule type="cellIs" dxfId="13006" priority="4062" operator="lessThan">
      <formula>-105575</formula>
    </cfRule>
  </conditionalFormatting>
  <conditionalFormatting sqref="BB62:BB76 BB306:BB309 BB311:BB325 BB327:BB330 BB332:BB341 BB344:BB347 BB349:BB353 BB355:BB358 BB360:BB384 BB386:BB389 BB392:BB395 BB397:BB411 BB413:BB416 BB418:BB432 BB434:BB437 BB439:BB453 BB455:BB458 BB460:BB469 BB7:BB10 BB12:BB14 BB17:BB18 BB21:BB24 BB26:BB28 BB30:BB36 BB38 BB41:BB43 BB46:BB49 BB51:BB55 BB57:BB59 BB290:BB291 BB293:BB304">
    <cfRule type="cellIs" dxfId="13005" priority="4059" operator="lessThan">
      <formula>0</formula>
    </cfRule>
    <cfRule type="cellIs" dxfId="13004" priority="4060" operator="lessThan">
      <formula>-105575</formula>
    </cfRule>
  </conditionalFormatting>
  <conditionalFormatting sqref="BB41">
    <cfRule type="cellIs" dxfId="13003" priority="4057" operator="lessThan">
      <formula>0</formula>
    </cfRule>
    <cfRule type="cellIs" dxfId="13002" priority="4058" operator="lessThan">
      <formula>-105575</formula>
    </cfRule>
  </conditionalFormatting>
  <conditionalFormatting sqref="BB152:BB155">
    <cfRule type="cellIs" dxfId="13001" priority="4055" operator="lessThan">
      <formula>0</formula>
    </cfRule>
    <cfRule type="cellIs" dxfId="13000" priority="4056" operator="lessThan">
      <formula>-105575</formula>
    </cfRule>
  </conditionalFormatting>
  <conditionalFormatting sqref="BB152:BB155">
    <cfRule type="cellIs" dxfId="12999" priority="4053" operator="lessThan">
      <formula>0</formula>
    </cfRule>
    <cfRule type="cellIs" dxfId="12998" priority="4054" operator="lessThan">
      <formula>-105575</formula>
    </cfRule>
  </conditionalFormatting>
  <conditionalFormatting sqref="BB152:BB155">
    <cfRule type="cellIs" dxfId="12997" priority="4051" operator="lessThan">
      <formula>0</formula>
    </cfRule>
    <cfRule type="cellIs" dxfId="12996" priority="4052" operator="lessThan">
      <formula>-105575</formula>
    </cfRule>
  </conditionalFormatting>
  <conditionalFormatting sqref="BB157:BB158">
    <cfRule type="cellIs" dxfId="12995" priority="4049" operator="lessThan">
      <formula>0</formula>
    </cfRule>
    <cfRule type="cellIs" dxfId="12994" priority="4050" operator="lessThan">
      <formula>-105575</formula>
    </cfRule>
  </conditionalFormatting>
  <conditionalFormatting sqref="BB157:BB158">
    <cfRule type="cellIs" dxfId="12993" priority="4047" operator="lessThan">
      <formula>0</formula>
    </cfRule>
    <cfRule type="cellIs" dxfId="12992" priority="4048" operator="lessThan">
      <formula>-105575</formula>
    </cfRule>
  </conditionalFormatting>
  <conditionalFormatting sqref="BB157:BB158">
    <cfRule type="cellIs" dxfId="12991" priority="4045" operator="lessThan">
      <formula>0</formula>
    </cfRule>
    <cfRule type="cellIs" dxfId="12990" priority="4046" operator="lessThan">
      <formula>-105575</formula>
    </cfRule>
  </conditionalFormatting>
  <conditionalFormatting sqref="BB160:BB161">
    <cfRule type="cellIs" dxfId="12989" priority="4043" operator="lessThan">
      <formula>0</formula>
    </cfRule>
    <cfRule type="cellIs" dxfId="12988" priority="4044" operator="lessThan">
      <formula>-105575</formula>
    </cfRule>
  </conditionalFormatting>
  <conditionalFormatting sqref="BB160:BB161">
    <cfRule type="cellIs" dxfId="12987" priority="4041" operator="lessThan">
      <formula>0</formula>
    </cfRule>
    <cfRule type="cellIs" dxfId="12986" priority="4042" operator="lessThan">
      <formula>-105575</formula>
    </cfRule>
  </conditionalFormatting>
  <conditionalFormatting sqref="BB160:BB161">
    <cfRule type="cellIs" dxfId="12985" priority="4039" operator="lessThan">
      <formula>0</formula>
    </cfRule>
    <cfRule type="cellIs" dxfId="12984" priority="4040" operator="lessThan">
      <formula>-105575</formula>
    </cfRule>
  </conditionalFormatting>
  <conditionalFormatting sqref="BB164:BB167">
    <cfRule type="cellIs" dxfId="12983" priority="4037" operator="lessThan">
      <formula>0</formula>
    </cfRule>
    <cfRule type="cellIs" dxfId="12982" priority="4038" operator="lessThan">
      <formula>-105575</formula>
    </cfRule>
  </conditionalFormatting>
  <conditionalFormatting sqref="BB164:BB167">
    <cfRule type="cellIs" dxfId="12981" priority="4035" operator="lessThan">
      <formula>0</formula>
    </cfRule>
    <cfRule type="cellIs" dxfId="12980" priority="4036" operator="lessThan">
      <formula>-105575</formula>
    </cfRule>
  </conditionalFormatting>
  <conditionalFormatting sqref="BB164:BB167">
    <cfRule type="cellIs" dxfId="12979" priority="4033" operator="lessThan">
      <formula>0</formula>
    </cfRule>
    <cfRule type="cellIs" dxfId="12978" priority="4034" operator="lessThan">
      <formula>-105575</formula>
    </cfRule>
  </conditionalFormatting>
  <conditionalFormatting sqref="BB169:BB177">
    <cfRule type="cellIs" dxfId="12977" priority="4031" operator="lessThan">
      <formula>0</formula>
    </cfRule>
    <cfRule type="cellIs" dxfId="12976" priority="4032" operator="lessThan">
      <formula>-105575</formula>
    </cfRule>
  </conditionalFormatting>
  <conditionalFormatting sqref="BB169:BB177">
    <cfRule type="cellIs" dxfId="12975" priority="4029" operator="lessThan">
      <formula>0</formula>
    </cfRule>
    <cfRule type="cellIs" dxfId="12974" priority="4030" operator="lessThan">
      <formula>-105575</formula>
    </cfRule>
  </conditionalFormatting>
  <conditionalFormatting sqref="BB169:BB177">
    <cfRule type="cellIs" dxfId="12973" priority="4027" operator="lessThan">
      <formula>0</formula>
    </cfRule>
    <cfRule type="cellIs" dxfId="12972" priority="4028" operator="lessThan">
      <formula>-105575</formula>
    </cfRule>
  </conditionalFormatting>
  <conditionalFormatting sqref="BB179:BB180">
    <cfRule type="cellIs" dxfId="12971" priority="4025" operator="lessThan">
      <formula>0</formula>
    </cfRule>
    <cfRule type="cellIs" dxfId="12970" priority="4026" operator="lessThan">
      <formula>-105575</formula>
    </cfRule>
  </conditionalFormatting>
  <conditionalFormatting sqref="BB179:BB180">
    <cfRule type="cellIs" dxfId="12969" priority="4023" operator="lessThan">
      <formula>0</formula>
    </cfRule>
    <cfRule type="cellIs" dxfId="12968" priority="4024" operator="lessThan">
      <formula>-105575</formula>
    </cfRule>
  </conditionalFormatting>
  <conditionalFormatting sqref="BB179:BB180">
    <cfRule type="cellIs" dxfId="12967" priority="4021" operator="lessThan">
      <formula>0</formula>
    </cfRule>
    <cfRule type="cellIs" dxfId="12966" priority="4022" operator="lessThan">
      <formula>-105575</formula>
    </cfRule>
  </conditionalFormatting>
  <conditionalFormatting sqref="BB183:BB189">
    <cfRule type="cellIs" dxfId="12965" priority="4019" operator="lessThan">
      <formula>0</formula>
    </cfRule>
    <cfRule type="cellIs" dxfId="12964" priority="4020" operator="lessThan">
      <formula>-105575</formula>
    </cfRule>
  </conditionalFormatting>
  <conditionalFormatting sqref="BB183:BB189">
    <cfRule type="cellIs" dxfId="12963" priority="4017" operator="lessThan">
      <formula>0</formula>
    </cfRule>
    <cfRule type="cellIs" dxfId="12962" priority="4018" operator="lessThan">
      <formula>-105575</formula>
    </cfRule>
  </conditionalFormatting>
  <conditionalFormatting sqref="BB183:BB189">
    <cfRule type="cellIs" dxfId="12961" priority="4015" operator="lessThan">
      <formula>0</formula>
    </cfRule>
    <cfRule type="cellIs" dxfId="12960" priority="4016" operator="lessThan">
      <formula>-105575</formula>
    </cfRule>
  </conditionalFormatting>
  <conditionalFormatting sqref="BB191:BB192">
    <cfRule type="cellIs" dxfId="12959" priority="4013" operator="lessThan">
      <formula>0</formula>
    </cfRule>
    <cfRule type="cellIs" dxfId="12958" priority="4014" operator="lessThan">
      <formula>-105575</formula>
    </cfRule>
  </conditionalFormatting>
  <conditionalFormatting sqref="BB191:BB192">
    <cfRule type="cellIs" dxfId="12957" priority="4011" operator="lessThan">
      <formula>0</formula>
    </cfRule>
    <cfRule type="cellIs" dxfId="12956" priority="4012" operator="lessThan">
      <formula>-105575</formula>
    </cfRule>
  </conditionalFormatting>
  <conditionalFormatting sqref="BB191:BB192">
    <cfRule type="cellIs" dxfId="12955" priority="4009" operator="lessThan">
      <formula>0</formula>
    </cfRule>
    <cfRule type="cellIs" dxfId="12954" priority="4010" operator="lessThan">
      <formula>-105575</formula>
    </cfRule>
  </conditionalFormatting>
  <conditionalFormatting sqref="BB194:BB195">
    <cfRule type="cellIs" dxfId="12953" priority="4007" operator="lessThan">
      <formula>0</formula>
    </cfRule>
    <cfRule type="cellIs" dxfId="12952" priority="4008" operator="lessThan">
      <formula>-105575</formula>
    </cfRule>
  </conditionalFormatting>
  <conditionalFormatting sqref="BB194:BB195">
    <cfRule type="cellIs" dxfId="12951" priority="4005" operator="lessThan">
      <formula>0</formula>
    </cfRule>
    <cfRule type="cellIs" dxfId="12950" priority="4006" operator="lessThan">
      <formula>-105575</formula>
    </cfRule>
  </conditionalFormatting>
  <conditionalFormatting sqref="BB194:BB195">
    <cfRule type="cellIs" dxfId="12949" priority="4003" operator="lessThan">
      <formula>0</formula>
    </cfRule>
    <cfRule type="cellIs" dxfId="12948" priority="4004" operator="lessThan">
      <formula>-105575</formula>
    </cfRule>
  </conditionalFormatting>
  <conditionalFormatting sqref="BB199:BB202">
    <cfRule type="cellIs" dxfId="12947" priority="4001" operator="lessThan">
      <formula>0</formula>
    </cfRule>
    <cfRule type="cellIs" dxfId="12946" priority="4002" operator="lessThan">
      <formula>-105575</formula>
    </cfRule>
  </conditionalFormatting>
  <conditionalFormatting sqref="BB199:BB202">
    <cfRule type="cellIs" dxfId="12945" priority="3999" operator="lessThan">
      <formula>0</formula>
    </cfRule>
    <cfRule type="cellIs" dxfId="12944" priority="4000" operator="lessThan">
      <formula>-105575</formula>
    </cfRule>
  </conditionalFormatting>
  <conditionalFormatting sqref="BB199:BB202">
    <cfRule type="cellIs" dxfId="12943" priority="3997" operator="lessThan">
      <formula>0</formula>
    </cfRule>
    <cfRule type="cellIs" dxfId="12942" priority="3998" operator="lessThan">
      <formula>-105575</formula>
    </cfRule>
  </conditionalFormatting>
  <conditionalFormatting sqref="BB204:BB208">
    <cfRule type="cellIs" dxfId="12941" priority="3995" operator="lessThan">
      <formula>0</formula>
    </cfRule>
    <cfRule type="cellIs" dxfId="12940" priority="3996" operator="lessThan">
      <formula>-105575</formula>
    </cfRule>
  </conditionalFormatting>
  <conditionalFormatting sqref="BB204:BB208">
    <cfRule type="cellIs" dxfId="12939" priority="3993" operator="lessThan">
      <formula>0</formula>
    </cfRule>
    <cfRule type="cellIs" dxfId="12938" priority="3994" operator="lessThan">
      <formula>-105575</formula>
    </cfRule>
  </conditionalFormatting>
  <conditionalFormatting sqref="BB204:BB208">
    <cfRule type="cellIs" dxfId="12937" priority="3991" operator="lessThan">
      <formula>0</formula>
    </cfRule>
    <cfRule type="cellIs" dxfId="12936" priority="3992" operator="lessThan">
      <formula>-105575</formula>
    </cfRule>
  </conditionalFormatting>
  <conditionalFormatting sqref="BB210:BB211">
    <cfRule type="cellIs" dxfId="12935" priority="3989" operator="lessThan">
      <formula>0</formula>
    </cfRule>
    <cfRule type="cellIs" dxfId="12934" priority="3990" operator="lessThan">
      <formula>-105575</formula>
    </cfRule>
  </conditionalFormatting>
  <conditionalFormatting sqref="BB210:BB211">
    <cfRule type="cellIs" dxfId="12933" priority="3987" operator="lessThan">
      <formula>0</formula>
    </cfRule>
    <cfRule type="cellIs" dxfId="12932" priority="3988" operator="lessThan">
      <formula>-105575</formula>
    </cfRule>
  </conditionalFormatting>
  <conditionalFormatting sqref="BB210:BB211">
    <cfRule type="cellIs" dxfId="12931" priority="3985" operator="lessThan">
      <formula>0</formula>
    </cfRule>
    <cfRule type="cellIs" dxfId="12930" priority="3986" operator="lessThan">
      <formula>-105575</formula>
    </cfRule>
  </conditionalFormatting>
  <conditionalFormatting sqref="BB214:BB219">
    <cfRule type="cellIs" dxfId="12929" priority="3983" operator="lessThan">
      <formula>0</formula>
    </cfRule>
    <cfRule type="cellIs" dxfId="12928" priority="3984" operator="lessThan">
      <formula>-105575</formula>
    </cfRule>
  </conditionalFormatting>
  <conditionalFormatting sqref="BB214:BB219">
    <cfRule type="cellIs" dxfId="12927" priority="3981" operator="lessThan">
      <formula>0</formula>
    </cfRule>
    <cfRule type="cellIs" dxfId="12926" priority="3982" operator="lessThan">
      <formula>-105575</formula>
    </cfRule>
  </conditionalFormatting>
  <conditionalFormatting sqref="BB214:BB219">
    <cfRule type="cellIs" dxfId="12925" priority="3979" operator="lessThan">
      <formula>0</formula>
    </cfRule>
    <cfRule type="cellIs" dxfId="12924" priority="3980" operator="lessThan">
      <formula>-105575</formula>
    </cfRule>
  </conditionalFormatting>
  <conditionalFormatting sqref="BB222:BB224">
    <cfRule type="cellIs" dxfId="12923" priority="3977" operator="lessThan">
      <formula>0</formula>
    </cfRule>
    <cfRule type="cellIs" dxfId="12922" priority="3978" operator="lessThan">
      <formula>-105575</formula>
    </cfRule>
  </conditionalFormatting>
  <conditionalFormatting sqref="BB222:BB224">
    <cfRule type="cellIs" dxfId="12921" priority="3975" operator="lessThan">
      <formula>0</formula>
    </cfRule>
    <cfRule type="cellIs" dxfId="12920" priority="3976" operator="lessThan">
      <formula>-105575</formula>
    </cfRule>
  </conditionalFormatting>
  <conditionalFormatting sqref="BB222:BB224">
    <cfRule type="cellIs" dxfId="12919" priority="3973" operator="lessThan">
      <formula>0</formula>
    </cfRule>
    <cfRule type="cellIs" dxfId="12918" priority="3974" operator="lessThan">
      <formula>-105575</formula>
    </cfRule>
  </conditionalFormatting>
  <conditionalFormatting sqref="BB227:BB230">
    <cfRule type="cellIs" dxfId="12917" priority="3971" operator="lessThan">
      <formula>0</formula>
    </cfRule>
    <cfRule type="cellIs" dxfId="12916" priority="3972" operator="lessThan">
      <formula>-105575</formula>
    </cfRule>
  </conditionalFormatting>
  <conditionalFormatting sqref="BB227:BB230">
    <cfRule type="cellIs" dxfId="12915" priority="3969" operator="lessThan">
      <formula>0</formula>
    </cfRule>
    <cfRule type="cellIs" dxfId="12914" priority="3970" operator="lessThan">
      <formula>-105575</formula>
    </cfRule>
  </conditionalFormatting>
  <conditionalFormatting sqref="BB227:BB230">
    <cfRule type="cellIs" dxfId="12913" priority="3967" operator="lessThan">
      <formula>0</formula>
    </cfRule>
    <cfRule type="cellIs" dxfId="12912" priority="3968" operator="lessThan">
      <formula>-105575</formula>
    </cfRule>
  </conditionalFormatting>
  <conditionalFormatting sqref="BB246:BB249">
    <cfRule type="cellIs" dxfId="12911" priority="3965" operator="lessThan">
      <formula>0</formula>
    </cfRule>
    <cfRule type="cellIs" dxfId="12910" priority="3966" operator="lessThan">
      <formula>-105575</formula>
    </cfRule>
  </conditionalFormatting>
  <conditionalFormatting sqref="BB246:BB249">
    <cfRule type="cellIs" dxfId="12909" priority="3963" operator="lessThan">
      <formula>0</formula>
    </cfRule>
    <cfRule type="cellIs" dxfId="12908" priority="3964" operator="lessThan">
      <formula>-105575</formula>
    </cfRule>
  </conditionalFormatting>
  <conditionalFormatting sqref="BB246:BB249">
    <cfRule type="cellIs" dxfId="12907" priority="3961" operator="lessThan">
      <formula>0</formula>
    </cfRule>
    <cfRule type="cellIs" dxfId="12906" priority="3962" operator="lessThan">
      <formula>-105575</formula>
    </cfRule>
  </conditionalFormatting>
  <conditionalFormatting sqref="BB246:BB249">
    <cfRule type="cellIs" dxfId="12905" priority="3959" operator="lessThan">
      <formula>0</formula>
    </cfRule>
    <cfRule type="cellIs" dxfId="12904" priority="3960" operator="lessThan">
      <formula>-105575</formula>
    </cfRule>
  </conditionalFormatting>
  <conditionalFormatting sqref="BB246:BB249">
    <cfRule type="cellIs" dxfId="12903" priority="3957" operator="lessThan">
      <formula>0</formula>
    </cfRule>
    <cfRule type="cellIs" dxfId="12902" priority="3958" operator="lessThan">
      <formula>-105575</formula>
    </cfRule>
  </conditionalFormatting>
  <conditionalFormatting sqref="BB246:BB249">
    <cfRule type="cellIs" dxfId="12901" priority="3955" operator="lessThan">
      <formula>0</formula>
    </cfRule>
    <cfRule type="cellIs" dxfId="12900" priority="3956" operator="lessThan">
      <formula>-105575</formula>
    </cfRule>
  </conditionalFormatting>
  <conditionalFormatting sqref="BB246:BB249">
    <cfRule type="cellIs" dxfId="12899" priority="3953" operator="lessThan">
      <formula>0</formula>
    </cfRule>
    <cfRule type="cellIs" dxfId="12898" priority="3954" operator="lessThan">
      <formula>-105575</formula>
    </cfRule>
  </conditionalFormatting>
  <conditionalFormatting sqref="BB246:BB249">
    <cfRule type="cellIs" dxfId="12897" priority="3951" operator="lessThan">
      <formula>0</formula>
    </cfRule>
    <cfRule type="cellIs" dxfId="12896" priority="3952" operator="lessThan">
      <formula>-105575</formula>
    </cfRule>
  </conditionalFormatting>
  <conditionalFormatting sqref="BB246:BB249">
    <cfRule type="cellIs" dxfId="12895" priority="3949" operator="lessThan">
      <formula>0</formula>
    </cfRule>
    <cfRule type="cellIs" dxfId="12894" priority="3950" operator="lessThan">
      <formula>-105575</formula>
    </cfRule>
  </conditionalFormatting>
  <conditionalFormatting sqref="BB251:BB253">
    <cfRule type="cellIs" dxfId="12893" priority="3947" operator="lessThan">
      <formula>0</formula>
    </cfRule>
    <cfRule type="cellIs" dxfId="12892" priority="3948" operator="lessThan">
      <formula>-105575</formula>
    </cfRule>
  </conditionalFormatting>
  <conditionalFormatting sqref="BB251:BB253">
    <cfRule type="cellIs" dxfId="12891" priority="3945" operator="lessThan">
      <formula>0</formula>
    </cfRule>
    <cfRule type="cellIs" dxfId="12890" priority="3946" operator="lessThan">
      <formula>-105575</formula>
    </cfRule>
  </conditionalFormatting>
  <conditionalFormatting sqref="BB251:BB253">
    <cfRule type="cellIs" dxfId="12889" priority="3943" operator="lessThan">
      <formula>0</formula>
    </cfRule>
    <cfRule type="cellIs" dxfId="12888" priority="3944" operator="lessThan">
      <formula>-105575</formula>
    </cfRule>
  </conditionalFormatting>
  <conditionalFormatting sqref="BB251:BB253">
    <cfRule type="cellIs" dxfId="12887" priority="3941" operator="lessThan">
      <formula>0</formula>
    </cfRule>
    <cfRule type="cellIs" dxfId="12886" priority="3942" operator="lessThan">
      <formula>-105575</formula>
    </cfRule>
  </conditionalFormatting>
  <conditionalFormatting sqref="BB251:BB253">
    <cfRule type="cellIs" dxfId="12885" priority="3939" operator="lessThan">
      <formula>0</formula>
    </cfRule>
    <cfRule type="cellIs" dxfId="12884" priority="3940" operator="lessThan">
      <formula>-105575</formula>
    </cfRule>
  </conditionalFormatting>
  <conditionalFormatting sqref="BB251:BB253">
    <cfRule type="cellIs" dxfId="12883" priority="3937" operator="lessThan">
      <formula>0</formula>
    </cfRule>
    <cfRule type="cellIs" dxfId="12882" priority="3938" operator="lessThan">
      <formula>-105575</formula>
    </cfRule>
  </conditionalFormatting>
  <conditionalFormatting sqref="BB251:BB253">
    <cfRule type="cellIs" dxfId="12881" priority="3935" operator="lessThan">
      <formula>0</formula>
    </cfRule>
    <cfRule type="cellIs" dxfId="12880" priority="3936" operator="lessThan">
      <formula>-105575</formula>
    </cfRule>
  </conditionalFormatting>
  <conditionalFormatting sqref="BB251:BB253">
    <cfRule type="cellIs" dxfId="12879" priority="3933" operator="lessThan">
      <formula>0</formula>
    </cfRule>
    <cfRule type="cellIs" dxfId="12878" priority="3934" operator="lessThan">
      <formula>-105575</formula>
    </cfRule>
  </conditionalFormatting>
  <conditionalFormatting sqref="BB251:BB253">
    <cfRule type="cellIs" dxfId="12877" priority="3931" operator="lessThan">
      <formula>0</formula>
    </cfRule>
    <cfRule type="cellIs" dxfId="12876" priority="3932" operator="lessThan">
      <formula>-105575</formula>
    </cfRule>
  </conditionalFormatting>
  <conditionalFormatting sqref="BB255:BB257">
    <cfRule type="cellIs" dxfId="12875" priority="3929" operator="lessThan">
      <formula>0</formula>
    </cfRule>
    <cfRule type="cellIs" dxfId="12874" priority="3930" operator="lessThan">
      <formula>-105575</formula>
    </cfRule>
  </conditionalFormatting>
  <conditionalFormatting sqref="BB255:BB257">
    <cfRule type="cellIs" dxfId="12873" priority="3927" operator="lessThan">
      <formula>0</formula>
    </cfRule>
    <cfRule type="cellIs" dxfId="12872" priority="3928" operator="lessThan">
      <formula>-105575</formula>
    </cfRule>
  </conditionalFormatting>
  <conditionalFormatting sqref="BB255:BB257">
    <cfRule type="cellIs" dxfId="12871" priority="3925" operator="lessThan">
      <formula>0</formula>
    </cfRule>
    <cfRule type="cellIs" dxfId="12870" priority="3926" operator="lessThan">
      <formula>-105575</formula>
    </cfRule>
  </conditionalFormatting>
  <conditionalFormatting sqref="BB255:BB257">
    <cfRule type="cellIs" dxfId="12869" priority="3923" operator="lessThan">
      <formula>0</formula>
    </cfRule>
    <cfRule type="cellIs" dxfId="12868" priority="3924" operator="lessThan">
      <formula>-105575</formula>
    </cfRule>
  </conditionalFormatting>
  <conditionalFormatting sqref="BB255:BB257">
    <cfRule type="cellIs" dxfId="12867" priority="3921" operator="lessThan">
      <formula>0</formula>
    </cfRule>
    <cfRule type="cellIs" dxfId="12866" priority="3922" operator="lessThan">
      <formula>-105575</formula>
    </cfRule>
  </conditionalFormatting>
  <conditionalFormatting sqref="BB255:BB257">
    <cfRule type="cellIs" dxfId="12865" priority="3919" operator="lessThan">
      <formula>0</formula>
    </cfRule>
    <cfRule type="cellIs" dxfId="12864" priority="3920" operator="lessThan">
      <formula>-105575</formula>
    </cfRule>
  </conditionalFormatting>
  <conditionalFormatting sqref="BB255:BB257">
    <cfRule type="cellIs" dxfId="12863" priority="3917" operator="lessThan">
      <formula>0</formula>
    </cfRule>
    <cfRule type="cellIs" dxfId="12862" priority="3918" operator="lessThan">
      <formula>-105575</formula>
    </cfRule>
  </conditionalFormatting>
  <conditionalFormatting sqref="BB255:BB257">
    <cfRule type="cellIs" dxfId="12861" priority="3915" operator="lessThan">
      <formula>0</formula>
    </cfRule>
    <cfRule type="cellIs" dxfId="12860" priority="3916" operator="lessThan">
      <formula>-105575</formula>
    </cfRule>
  </conditionalFormatting>
  <conditionalFormatting sqref="BB255:BB257">
    <cfRule type="cellIs" dxfId="12859" priority="3913" operator="lessThan">
      <formula>0</formula>
    </cfRule>
    <cfRule type="cellIs" dxfId="12858" priority="3914" operator="lessThan">
      <formula>-105575</formula>
    </cfRule>
  </conditionalFormatting>
  <conditionalFormatting sqref="BB260:BB262">
    <cfRule type="cellIs" dxfId="12857" priority="3911" operator="lessThan">
      <formula>0</formula>
    </cfRule>
    <cfRule type="cellIs" dxfId="12856" priority="3912" operator="lessThan">
      <formula>-105575</formula>
    </cfRule>
  </conditionalFormatting>
  <conditionalFormatting sqref="BB260:BB262">
    <cfRule type="cellIs" dxfId="12855" priority="3909" operator="lessThan">
      <formula>0</formula>
    </cfRule>
    <cfRule type="cellIs" dxfId="12854" priority="3910" operator="lessThan">
      <formula>-105575</formula>
    </cfRule>
  </conditionalFormatting>
  <conditionalFormatting sqref="BB260:BB262">
    <cfRule type="cellIs" dxfId="12853" priority="3907" operator="lessThan">
      <formula>0</formula>
    </cfRule>
    <cfRule type="cellIs" dxfId="12852" priority="3908" operator="lessThan">
      <formula>-105575</formula>
    </cfRule>
  </conditionalFormatting>
  <conditionalFormatting sqref="BB260:BB262">
    <cfRule type="cellIs" dxfId="12851" priority="3905" operator="lessThan">
      <formula>0</formula>
    </cfRule>
    <cfRule type="cellIs" dxfId="12850" priority="3906" operator="lessThan">
      <formula>-105575</formula>
    </cfRule>
  </conditionalFormatting>
  <conditionalFormatting sqref="BB260:BB262">
    <cfRule type="cellIs" dxfId="12849" priority="3903" operator="lessThan">
      <formula>0</formula>
    </cfRule>
    <cfRule type="cellIs" dxfId="12848" priority="3904" operator="lessThan">
      <formula>-105575</formula>
    </cfRule>
  </conditionalFormatting>
  <conditionalFormatting sqref="BB260:BB262">
    <cfRule type="cellIs" dxfId="12847" priority="3901" operator="lessThan">
      <formula>0</formula>
    </cfRule>
    <cfRule type="cellIs" dxfId="12846" priority="3902" operator="lessThan">
      <formula>-105575</formula>
    </cfRule>
  </conditionalFormatting>
  <conditionalFormatting sqref="BB260:BB262">
    <cfRule type="cellIs" dxfId="12845" priority="3899" operator="lessThan">
      <formula>0</formula>
    </cfRule>
    <cfRule type="cellIs" dxfId="12844" priority="3900" operator="lessThan">
      <formula>-105575</formula>
    </cfRule>
  </conditionalFormatting>
  <conditionalFormatting sqref="BB260:BB262">
    <cfRule type="cellIs" dxfId="12843" priority="3897" operator="lessThan">
      <formula>0</formula>
    </cfRule>
    <cfRule type="cellIs" dxfId="12842" priority="3898" operator="lessThan">
      <formula>-105575</formula>
    </cfRule>
  </conditionalFormatting>
  <conditionalFormatting sqref="BB260:BB262">
    <cfRule type="cellIs" dxfId="12841" priority="3895" operator="lessThan">
      <formula>0</formula>
    </cfRule>
    <cfRule type="cellIs" dxfId="12840" priority="3896" operator="lessThan">
      <formula>-105575</formula>
    </cfRule>
  </conditionalFormatting>
  <conditionalFormatting sqref="BB264:BB267">
    <cfRule type="cellIs" dxfId="12839" priority="3893" operator="lessThan">
      <formula>0</formula>
    </cfRule>
    <cfRule type="cellIs" dxfId="12838" priority="3894" operator="lessThan">
      <formula>-105575</formula>
    </cfRule>
  </conditionalFormatting>
  <conditionalFormatting sqref="BB264:BB267">
    <cfRule type="cellIs" dxfId="12837" priority="3891" operator="lessThan">
      <formula>0</formula>
    </cfRule>
    <cfRule type="cellIs" dxfId="12836" priority="3892" operator="lessThan">
      <formula>-105575</formula>
    </cfRule>
  </conditionalFormatting>
  <conditionalFormatting sqref="BB264:BB267">
    <cfRule type="cellIs" dxfId="12835" priority="3889" operator="lessThan">
      <formula>0</formula>
    </cfRule>
    <cfRule type="cellIs" dxfId="12834" priority="3890" operator="lessThan">
      <formula>-105575</formula>
    </cfRule>
  </conditionalFormatting>
  <conditionalFormatting sqref="BB264:BB267">
    <cfRule type="cellIs" dxfId="12833" priority="3887" operator="lessThan">
      <formula>0</formula>
    </cfRule>
    <cfRule type="cellIs" dxfId="12832" priority="3888" operator="lessThan">
      <formula>-105575</formula>
    </cfRule>
  </conditionalFormatting>
  <conditionalFormatting sqref="BB264:BB267">
    <cfRule type="cellIs" dxfId="12831" priority="3885" operator="lessThan">
      <formula>0</formula>
    </cfRule>
    <cfRule type="cellIs" dxfId="12830" priority="3886" operator="lessThan">
      <formula>-105575</formula>
    </cfRule>
  </conditionalFormatting>
  <conditionalFormatting sqref="BB264:BB267">
    <cfRule type="cellIs" dxfId="12829" priority="3883" operator="lessThan">
      <formula>0</formula>
    </cfRule>
    <cfRule type="cellIs" dxfId="12828" priority="3884" operator="lessThan">
      <formula>-105575</formula>
    </cfRule>
  </conditionalFormatting>
  <conditionalFormatting sqref="BB264:BB267">
    <cfRule type="cellIs" dxfId="12827" priority="3881" operator="lessThan">
      <formula>0</formula>
    </cfRule>
    <cfRule type="cellIs" dxfId="12826" priority="3882" operator="lessThan">
      <formula>-105575</formula>
    </cfRule>
  </conditionalFormatting>
  <conditionalFormatting sqref="BB264:BB267">
    <cfRule type="cellIs" dxfId="12825" priority="3879" operator="lessThan">
      <formula>0</formula>
    </cfRule>
    <cfRule type="cellIs" dxfId="12824" priority="3880" operator="lessThan">
      <formula>-105575</formula>
    </cfRule>
  </conditionalFormatting>
  <conditionalFormatting sqref="BB264:BB267">
    <cfRule type="cellIs" dxfId="12823" priority="3877" operator="lessThan">
      <formula>0</formula>
    </cfRule>
    <cfRule type="cellIs" dxfId="12822" priority="3878" operator="lessThan">
      <formula>-105575</formula>
    </cfRule>
  </conditionalFormatting>
  <conditionalFormatting sqref="BB270:BB272">
    <cfRule type="cellIs" dxfId="12821" priority="3875" operator="lessThan">
      <formula>0</formula>
    </cfRule>
    <cfRule type="cellIs" dxfId="12820" priority="3876" operator="lessThan">
      <formula>-105575</formula>
    </cfRule>
  </conditionalFormatting>
  <conditionalFormatting sqref="BB270:BB272">
    <cfRule type="cellIs" dxfId="12819" priority="3873" operator="lessThan">
      <formula>0</formula>
    </cfRule>
    <cfRule type="cellIs" dxfId="12818" priority="3874" operator="lessThan">
      <formula>-105575</formula>
    </cfRule>
  </conditionalFormatting>
  <conditionalFormatting sqref="BB270:BB272">
    <cfRule type="cellIs" dxfId="12817" priority="3871" operator="lessThan">
      <formula>0</formula>
    </cfRule>
    <cfRule type="cellIs" dxfId="12816" priority="3872" operator="lessThan">
      <formula>-105575</formula>
    </cfRule>
  </conditionalFormatting>
  <conditionalFormatting sqref="BB270:BB272">
    <cfRule type="cellIs" dxfId="12815" priority="3869" operator="lessThan">
      <formula>0</formula>
    </cfRule>
    <cfRule type="cellIs" dxfId="12814" priority="3870" operator="lessThan">
      <formula>-105575</formula>
    </cfRule>
  </conditionalFormatting>
  <conditionalFormatting sqref="BB270:BB272">
    <cfRule type="cellIs" dxfId="12813" priority="3867" operator="lessThan">
      <formula>0</formula>
    </cfRule>
    <cfRule type="cellIs" dxfId="12812" priority="3868" operator="lessThan">
      <formula>-105575</formula>
    </cfRule>
  </conditionalFormatting>
  <conditionalFormatting sqref="BB270:BB272">
    <cfRule type="cellIs" dxfId="12811" priority="3865" operator="lessThan">
      <formula>0</formula>
    </cfRule>
    <cfRule type="cellIs" dxfId="12810" priority="3866" operator="lessThan">
      <formula>-105575</formula>
    </cfRule>
  </conditionalFormatting>
  <conditionalFormatting sqref="BB270:BB272">
    <cfRule type="cellIs" dxfId="12809" priority="3863" operator="lessThan">
      <formula>0</formula>
    </cfRule>
    <cfRule type="cellIs" dxfId="12808" priority="3864" operator="lessThan">
      <formula>-105575</formula>
    </cfRule>
  </conditionalFormatting>
  <conditionalFormatting sqref="BB270:BB272">
    <cfRule type="cellIs" dxfId="12807" priority="3861" operator="lessThan">
      <formula>0</formula>
    </cfRule>
    <cfRule type="cellIs" dxfId="12806" priority="3862" operator="lessThan">
      <formula>-105575</formula>
    </cfRule>
  </conditionalFormatting>
  <conditionalFormatting sqref="BB270:BB272">
    <cfRule type="cellIs" dxfId="12805" priority="3859" operator="lessThan">
      <formula>0</formula>
    </cfRule>
    <cfRule type="cellIs" dxfId="12804" priority="3860" operator="lessThan">
      <formula>-105575</formula>
    </cfRule>
  </conditionalFormatting>
  <conditionalFormatting sqref="BB274:BB275">
    <cfRule type="cellIs" dxfId="12803" priority="3857" operator="lessThan">
      <formula>0</formula>
    </cfRule>
    <cfRule type="cellIs" dxfId="12802" priority="3858" operator="lessThan">
      <formula>-105575</formula>
    </cfRule>
  </conditionalFormatting>
  <conditionalFormatting sqref="BB274:BB275">
    <cfRule type="cellIs" dxfId="12801" priority="3855" operator="lessThan">
      <formula>0</formula>
    </cfRule>
    <cfRule type="cellIs" dxfId="12800" priority="3856" operator="lessThan">
      <formula>-105575</formula>
    </cfRule>
  </conditionalFormatting>
  <conditionalFormatting sqref="BB274:BB275">
    <cfRule type="cellIs" dxfId="12799" priority="3853" operator="lessThan">
      <formula>0</formula>
    </cfRule>
    <cfRule type="cellIs" dxfId="12798" priority="3854" operator="lessThan">
      <formula>-105575</formula>
    </cfRule>
  </conditionalFormatting>
  <conditionalFormatting sqref="BB274:BB275">
    <cfRule type="cellIs" dxfId="12797" priority="3851" operator="lessThan">
      <formula>0</formula>
    </cfRule>
    <cfRule type="cellIs" dxfId="12796" priority="3852" operator="lessThan">
      <formula>-105575</formula>
    </cfRule>
  </conditionalFormatting>
  <conditionalFormatting sqref="BB274:BB275">
    <cfRule type="cellIs" dxfId="12795" priority="3849" operator="lessThan">
      <formula>0</formula>
    </cfRule>
    <cfRule type="cellIs" dxfId="12794" priority="3850" operator="lessThan">
      <formula>-105575</formula>
    </cfRule>
  </conditionalFormatting>
  <conditionalFormatting sqref="BB274:BB275">
    <cfRule type="cellIs" dxfId="12793" priority="3847" operator="lessThan">
      <formula>0</formula>
    </cfRule>
    <cfRule type="cellIs" dxfId="12792" priority="3848" operator="lessThan">
      <formula>-105575</formula>
    </cfRule>
  </conditionalFormatting>
  <conditionalFormatting sqref="BB274:BB275">
    <cfRule type="cellIs" dxfId="12791" priority="3845" operator="lessThan">
      <formula>0</formula>
    </cfRule>
    <cfRule type="cellIs" dxfId="12790" priority="3846" operator="lessThan">
      <formula>-105575</formula>
    </cfRule>
  </conditionalFormatting>
  <conditionalFormatting sqref="BB274:BB275">
    <cfRule type="cellIs" dxfId="12789" priority="3843" operator="lessThan">
      <formula>0</formula>
    </cfRule>
    <cfRule type="cellIs" dxfId="12788" priority="3844" operator="lessThan">
      <formula>-105575</formula>
    </cfRule>
  </conditionalFormatting>
  <conditionalFormatting sqref="BB274:BB275">
    <cfRule type="cellIs" dxfId="12787" priority="3841" operator="lessThan">
      <formula>0</formula>
    </cfRule>
    <cfRule type="cellIs" dxfId="12786" priority="3842" operator="lessThan">
      <formula>-105575</formula>
    </cfRule>
  </conditionalFormatting>
  <conditionalFormatting sqref="BB278:BB282">
    <cfRule type="cellIs" dxfId="12785" priority="3839" operator="lessThan">
      <formula>0</formula>
    </cfRule>
    <cfRule type="cellIs" dxfId="12784" priority="3840" operator="lessThan">
      <formula>-105575</formula>
    </cfRule>
  </conditionalFormatting>
  <conditionalFormatting sqref="BB278:BB282">
    <cfRule type="cellIs" dxfId="12783" priority="3837" operator="lessThan">
      <formula>0</formula>
    </cfRule>
    <cfRule type="cellIs" dxfId="12782" priority="3838" operator="lessThan">
      <formula>-105575</formula>
    </cfRule>
  </conditionalFormatting>
  <conditionalFormatting sqref="BB278:BB282">
    <cfRule type="cellIs" dxfId="12781" priority="3835" operator="lessThan">
      <formula>0</formula>
    </cfRule>
    <cfRule type="cellIs" dxfId="12780" priority="3836" operator="lessThan">
      <formula>-105575</formula>
    </cfRule>
  </conditionalFormatting>
  <conditionalFormatting sqref="BB278:BB282">
    <cfRule type="cellIs" dxfId="12779" priority="3833" operator="lessThan">
      <formula>0</formula>
    </cfRule>
    <cfRule type="cellIs" dxfId="12778" priority="3834" operator="lessThan">
      <formula>-105575</formula>
    </cfRule>
  </conditionalFormatting>
  <conditionalFormatting sqref="BB278:BB282">
    <cfRule type="cellIs" dxfId="12777" priority="3831" operator="lessThan">
      <formula>0</formula>
    </cfRule>
    <cfRule type="cellIs" dxfId="12776" priority="3832" operator="lessThan">
      <formula>-105575</formula>
    </cfRule>
  </conditionalFormatting>
  <conditionalFormatting sqref="BB278:BB282">
    <cfRule type="cellIs" dxfId="12775" priority="3829" operator="lessThan">
      <formula>0</formula>
    </cfRule>
    <cfRule type="cellIs" dxfId="12774" priority="3830" operator="lessThan">
      <formula>-105575</formula>
    </cfRule>
  </conditionalFormatting>
  <conditionalFormatting sqref="BB278:BB282">
    <cfRule type="cellIs" dxfId="12773" priority="3827" operator="lessThan">
      <formula>0</formula>
    </cfRule>
    <cfRule type="cellIs" dxfId="12772" priority="3828" operator="lessThan">
      <formula>-105575</formula>
    </cfRule>
  </conditionalFormatting>
  <conditionalFormatting sqref="BB278:BB282">
    <cfRule type="cellIs" dxfId="12771" priority="3825" operator="lessThan">
      <formula>0</formula>
    </cfRule>
    <cfRule type="cellIs" dxfId="12770" priority="3826" operator="lessThan">
      <formula>-105575</formula>
    </cfRule>
  </conditionalFormatting>
  <conditionalFormatting sqref="BB278:BB282">
    <cfRule type="cellIs" dxfId="12769" priority="3823" operator="lessThan">
      <formula>0</formula>
    </cfRule>
    <cfRule type="cellIs" dxfId="12768" priority="3824" operator="lessThan">
      <formula>-105575</formula>
    </cfRule>
  </conditionalFormatting>
  <conditionalFormatting sqref="BB285:BB288">
    <cfRule type="cellIs" dxfId="12767" priority="3821" operator="lessThan">
      <formula>0</formula>
    </cfRule>
    <cfRule type="cellIs" dxfId="12766" priority="3822" operator="lessThan">
      <formula>-105575</formula>
    </cfRule>
  </conditionalFormatting>
  <conditionalFormatting sqref="BB285:BB288">
    <cfRule type="cellIs" dxfId="12765" priority="3819" operator="lessThan">
      <formula>0</formula>
    </cfRule>
    <cfRule type="cellIs" dxfId="12764" priority="3820" operator="lessThan">
      <formula>-105575</formula>
    </cfRule>
  </conditionalFormatting>
  <conditionalFormatting sqref="BB285:BB288">
    <cfRule type="cellIs" dxfId="12763" priority="3817" operator="lessThan">
      <formula>0</formula>
    </cfRule>
    <cfRule type="cellIs" dxfId="12762" priority="3818" operator="lessThan">
      <formula>-105575</formula>
    </cfRule>
  </conditionalFormatting>
  <conditionalFormatting sqref="BB285:BB288">
    <cfRule type="cellIs" dxfId="12761" priority="3815" operator="lessThan">
      <formula>0</formula>
    </cfRule>
    <cfRule type="cellIs" dxfId="12760" priority="3816" operator="lessThan">
      <formula>-105575</formula>
    </cfRule>
  </conditionalFormatting>
  <conditionalFormatting sqref="BB285:BB288">
    <cfRule type="cellIs" dxfId="12759" priority="3813" operator="lessThan">
      <formula>0</formula>
    </cfRule>
    <cfRule type="cellIs" dxfId="12758" priority="3814" operator="lessThan">
      <formula>-105575</formula>
    </cfRule>
  </conditionalFormatting>
  <conditionalFormatting sqref="BB285:BB288">
    <cfRule type="cellIs" dxfId="12757" priority="3811" operator="lessThan">
      <formula>0</formula>
    </cfRule>
    <cfRule type="cellIs" dxfId="12756" priority="3812" operator="lessThan">
      <formula>-105575</formula>
    </cfRule>
  </conditionalFormatting>
  <conditionalFormatting sqref="BB285:BB288">
    <cfRule type="cellIs" dxfId="12755" priority="3809" operator="lessThan">
      <formula>0</formula>
    </cfRule>
    <cfRule type="cellIs" dxfId="12754" priority="3810" operator="lessThan">
      <formula>-105575</formula>
    </cfRule>
  </conditionalFormatting>
  <conditionalFormatting sqref="BB285:BB288">
    <cfRule type="cellIs" dxfId="12753" priority="3807" operator="lessThan">
      <formula>0</formula>
    </cfRule>
    <cfRule type="cellIs" dxfId="12752" priority="3808" operator="lessThan">
      <formula>-105575</formula>
    </cfRule>
  </conditionalFormatting>
  <conditionalFormatting sqref="BB285:BB288">
    <cfRule type="cellIs" dxfId="12751" priority="3805" operator="lessThan">
      <formula>0</formula>
    </cfRule>
    <cfRule type="cellIs" dxfId="12750" priority="3806" operator="lessThan">
      <formula>-105575</formula>
    </cfRule>
  </conditionalFormatting>
  <conditionalFormatting sqref="BB203 BB220:BB221 BB235:BB243 BB231:BB233 BB212:BB213 BB225:BB226">
    <cfRule type="cellIs" dxfId="12749" priority="3803" operator="lessThan">
      <formula>0</formula>
    </cfRule>
    <cfRule type="cellIs" dxfId="12748" priority="3804" operator="lessThan">
      <formula>-105575</formula>
    </cfRule>
  </conditionalFormatting>
  <conditionalFormatting sqref="BB220 BB212:BB213 BB235:BB238 BB240:BB243 BB225:BB226 BB231:BB233">
    <cfRule type="cellIs" dxfId="12747" priority="3801" operator="lessThan">
      <formula>0</formula>
    </cfRule>
    <cfRule type="cellIs" dxfId="12746" priority="3802" operator="lessThan">
      <formula>-105575</formula>
    </cfRule>
  </conditionalFormatting>
  <conditionalFormatting sqref="BB220:BB221 BB243 BB226 BB231:BB236 BB238:BB241 BB203 BB213">
    <cfRule type="cellIs" dxfId="12745" priority="3799" operator="lessThan">
      <formula>0</formula>
    </cfRule>
    <cfRule type="cellIs" dxfId="12744" priority="3800" operator="lessThan">
      <formula>-105575</formula>
    </cfRule>
  </conditionalFormatting>
  <conditionalFormatting sqref="BB235:BB243 BB231:BB233 BB220 BB212:BB213 BB225:BB226">
    <cfRule type="cellIs" dxfId="12743" priority="3797" operator="lessThan">
      <formula>0</formula>
    </cfRule>
    <cfRule type="cellIs" dxfId="12742" priority="3798" operator="lessThan">
      <formula>-105575</formula>
    </cfRule>
  </conditionalFormatting>
  <conditionalFormatting sqref="BB220:BB221 BB237:BB243 BB203 BB231:BB235 BB212:BB213 BB225:BB226">
    <cfRule type="cellIs" dxfId="12741" priority="3795" operator="lessThan">
      <formula>0</formula>
    </cfRule>
    <cfRule type="cellIs" dxfId="12740" priority="3796" operator="lessThan">
      <formula>-105575</formula>
    </cfRule>
  </conditionalFormatting>
  <conditionalFormatting sqref="BB220:BB221 BB237:BB240 BB242:BB243 BB225:BB226 BB231:BB235">
    <cfRule type="cellIs" dxfId="12739" priority="3793" operator="lessThan">
      <formula>0</formula>
    </cfRule>
    <cfRule type="cellIs" dxfId="12738" priority="3794" operator="lessThan">
      <formula>-105575</formula>
    </cfRule>
  </conditionalFormatting>
  <conditionalFormatting sqref="BB212 BB231 BB233:BB238 BB240:BB243 BB225">
    <cfRule type="cellIs" dxfId="12737" priority="3791" operator="lessThan">
      <formula>0</formula>
    </cfRule>
    <cfRule type="cellIs" dxfId="12736" priority="3792" operator="lessThan">
      <formula>-105575</formula>
    </cfRule>
  </conditionalFormatting>
  <conditionalFormatting sqref="BB237:BB243 BB231:BB235 BB220:BB221 BB225:BB226">
    <cfRule type="cellIs" dxfId="12735" priority="3789" operator="lessThan">
      <formula>0</formula>
    </cfRule>
    <cfRule type="cellIs" dxfId="12734" priority="3790" operator="lessThan">
      <formula>-105575</formula>
    </cfRule>
  </conditionalFormatting>
  <conditionalFormatting sqref="BB233:BB237 BB231 BB239:BB243">
    <cfRule type="cellIs" dxfId="12733" priority="3787" operator="lessThan">
      <formula>0</formula>
    </cfRule>
    <cfRule type="cellIs" dxfId="12732" priority="3788" operator="lessThan">
      <formula>-105575</formula>
    </cfRule>
  </conditionalFormatting>
  <conditionalFormatting sqref="BB233:BB237 BB231 BB239:BB243">
    <cfRule type="cellIs" dxfId="12731" priority="3785" operator="lessThan">
      <formula>0</formula>
    </cfRule>
    <cfRule type="cellIs" dxfId="12730" priority="3786" operator="lessThan">
      <formula>-105575</formula>
    </cfRule>
  </conditionalFormatting>
  <conditionalFormatting sqref="BB119:BB128 BB106:BB117 BB101:BB104 BB80:BB98">
    <cfRule type="cellIs" dxfId="12729" priority="3783" operator="lessThan">
      <formula>0</formula>
    </cfRule>
    <cfRule type="cellIs" dxfId="12728" priority="3784" operator="lessThan">
      <formula>-105575</formula>
    </cfRule>
  </conditionalFormatting>
  <conditionalFormatting sqref="BB130 BB132 BB134">
    <cfRule type="cellIs" dxfId="12727" priority="3781" operator="lessThan">
      <formula>0</formula>
    </cfRule>
    <cfRule type="cellIs" dxfId="12726" priority="3782" operator="lessThan">
      <formula>-105575</formula>
    </cfRule>
  </conditionalFormatting>
  <conditionalFormatting sqref="BB130 BB132 BB134">
    <cfRule type="cellIs" dxfId="12725" priority="3779" operator="lessThan">
      <formula>0</formula>
    </cfRule>
    <cfRule type="cellIs" dxfId="12724" priority="3780" operator="lessThan">
      <formula>-105575</formula>
    </cfRule>
  </conditionalFormatting>
  <conditionalFormatting sqref="BB129 BB131 BB133 BB135">
    <cfRule type="cellIs" dxfId="12723" priority="3777" operator="lessThan">
      <formula>0</formula>
    </cfRule>
    <cfRule type="cellIs" dxfId="12722" priority="3778" operator="lessThan">
      <formula>-105575</formula>
    </cfRule>
  </conditionalFormatting>
  <conditionalFormatting sqref="BB140 BB145 BB142:BB143 BB137:BB138">
    <cfRule type="cellIs" dxfId="12721" priority="3775" operator="lessThan">
      <formula>0</formula>
    </cfRule>
    <cfRule type="cellIs" dxfId="12720" priority="3776" operator="lessThan">
      <formula>-105575</formula>
    </cfRule>
  </conditionalFormatting>
  <conditionalFormatting sqref="BB149">
    <cfRule type="cellIs" dxfId="12719" priority="3773" operator="lessThan">
      <formula>0</formula>
    </cfRule>
    <cfRule type="cellIs" dxfId="12718" priority="3774" operator="lessThan">
      <formula>-105575</formula>
    </cfRule>
  </conditionalFormatting>
  <conditionalFormatting sqref="BB129:BB138 BB140:BB149">
    <cfRule type="cellIs" dxfId="12717" priority="3771" operator="lessThan">
      <formula>0</formula>
    </cfRule>
    <cfRule type="cellIs" dxfId="12716" priority="3772" operator="lessThan">
      <formula>-105575</formula>
    </cfRule>
  </conditionalFormatting>
  <conditionalFormatting sqref="BB94:BB98 BB86:BB87 BB89:BB91 BB141:BB149 BB124:BB133 BB107:BB110 BB112:BB117 BB119:BB122 BB135:BB138 BB101:BB104 BB80:BB84">
    <cfRule type="cellIs" dxfId="12715" priority="3769" operator="lessThan">
      <formula>0</formula>
    </cfRule>
    <cfRule type="cellIs" dxfId="12714" priority="3770" operator="lessThan">
      <formula>-105575</formula>
    </cfRule>
  </conditionalFormatting>
  <conditionalFormatting sqref="BB129 BB131 BB133 BB135">
    <cfRule type="cellIs" dxfId="12713" priority="3767" operator="lessThan">
      <formula>0</formula>
    </cfRule>
    <cfRule type="cellIs" dxfId="12712" priority="3768" operator="lessThan">
      <formula>-105575</formula>
    </cfRule>
  </conditionalFormatting>
  <conditionalFormatting sqref="BB146 BB144 BB141">
    <cfRule type="cellIs" dxfId="12711" priority="3765" operator="lessThan">
      <formula>0</formula>
    </cfRule>
    <cfRule type="cellIs" dxfId="12710" priority="3766" operator="lessThan">
      <formula>-105575</formula>
    </cfRule>
  </conditionalFormatting>
  <conditionalFormatting sqref="BB146 BB144 BB141">
    <cfRule type="cellIs" dxfId="12709" priority="3763" operator="lessThan">
      <formula>0</formula>
    </cfRule>
    <cfRule type="cellIs" dxfId="12708" priority="3764" operator="lessThan">
      <formula>-105575</formula>
    </cfRule>
  </conditionalFormatting>
  <conditionalFormatting sqref="BB140 BB145 BB142:BB143 BB137:BB138">
    <cfRule type="cellIs" dxfId="12707" priority="3761" operator="lessThan">
      <formula>0</formula>
    </cfRule>
    <cfRule type="cellIs" dxfId="12706" priority="3762" operator="lessThan">
      <formula>-105575</formula>
    </cfRule>
  </conditionalFormatting>
  <conditionalFormatting sqref="BB149">
    <cfRule type="cellIs" dxfId="12705" priority="3759" operator="lessThan">
      <formula>0</formula>
    </cfRule>
    <cfRule type="cellIs" dxfId="12704" priority="3760" operator="lessThan">
      <formula>-105575</formula>
    </cfRule>
  </conditionalFormatting>
  <conditionalFormatting sqref="BB94:BB98 BB86:BB87 BB89:BB91 BB141:BB149 BB124:BB133 BB107:BB110 BB112:BB117 BB119:BB122 BB135:BB138 BB101:BB104 BB80:BB84">
    <cfRule type="cellIs" dxfId="12703" priority="3757" operator="lessThan">
      <formula>0</formula>
    </cfRule>
    <cfRule type="cellIs" dxfId="12702" priority="3758" operator="lessThan">
      <formula>-105575</formula>
    </cfRule>
  </conditionalFormatting>
  <conditionalFormatting sqref="BB246:BB249 BB262 BB267 BB279:BB282 BB285:BB288 BB274:BB275 BB306:BB309 BB311:BB325 BB327:BB330 BB332:BB341 BB344:BB347 BB349:BB353 BB355:BB358 BB360:BB384 BB386:BB389 BB392:BB395 BB397:BB411 BB413:BB416 BB418:BB432 BB434:BB437 BB439:BB453 BB455:BB458 BB460:BB469 BB7:BB10 BB12:BB14 BB17:BB18 BB21:BB24 BB26:BB28 BB30:BB36 BB38 BB41:BB43 BB46:BB49 BB51:BB55 BB57:BB59 BB62:BB76 BB251:BB253 BB255:BB257 BB293:BB304 BB264:BB265 BB260 BB290:BB291 BB270:BB272">
    <cfRule type="cellIs" dxfId="12701" priority="3755" operator="lessThan">
      <formula>0</formula>
    </cfRule>
    <cfRule type="cellIs" dxfId="12700" priority="3756" operator="lessThan">
      <formula>-105575</formula>
    </cfRule>
  </conditionalFormatting>
  <conditionalFormatting sqref="BB41">
    <cfRule type="cellIs" dxfId="12699" priority="3753" operator="lessThan">
      <formula>0</formula>
    </cfRule>
    <cfRule type="cellIs" dxfId="12698" priority="3754" operator="lessThan">
      <formula>-105575</formula>
    </cfRule>
  </conditionalFormatting>
  <conditionalFormatting sqref="BB152:BB155">
    <cfRule type="cellIs" dxfId="12697" priority="3751" operator="lessThan">
      <formula>0</formula>
    </cfRule>
    <cfRule type="cellIs" dxfId="12696" priority="3752" operator="lessThan">
      <formula>-105575</formula>
    </cfRule>
  </conditionalFormatting>
  <conditionalFormatting sqref="BB152:BB155">
    <cfRule type="cellIs" dxfId="12695" priority="3749" operator="lessThan">
      <formula>0</formula>
    </cfRule>
    <cfRule type="cellIs" dxfId="12694" priority="3750" operator="lessThan">
      <formula>-105575</formula>
    </cfRule>
  </conditionalFormatting>
  <conditionalFormatting sqref="BB152:BB155">
    <cfRule type="cellIs" dxfId="12693" priority="3747" operator="lessThan">
      <formula>0</formula>
    </cfRule>
    <cfRule type="cellIs" dxfId="12692" priority="3748" operator="lessThan">
      <formula>-105575</formula>
    </cfRule>
  </conditionalFormatting>
  <conditionalFormatting sqref="BB157:BB158">
    <cfRule type="cellIs" dxfId="12691" priority="3745" operator="lessThan">
      <formula>0</formula>
    </cfRule>
    <cfRule type="cellIs" dxfId="12690" priority="3746" operator="lessThan">
      <formula>-105575</formula>
    </cfRule>
  </conditionalFormatting>
  <conditionalFormatting sqref="BB157:BB158">
    <cfRule type="cellIs" dxfId="12689" priority="3743" operator="lessThan">
      <formula>0</formula>
    </cfRule>
    <cfRule type="cellIs" dxfId="12688" priority="3744" operator="lessThan">
      <formula>-105575</formula>
    </cfRule>
  </conditionalFormatting>
  <conditionalFormatting sqref="BB157:BB158">
    <cfRule type="cellIs" dxfId="12687" priority="3741" operator="lessThan">
      <formula>0</formula>
    </cfRule>
    <cfRule type="cellIs" dxfId="12686" priority="3742" operator="lessThan">
      <formula>-105575</formula>
    </cfRule>
  </conditionalFormatting>
  <conditionalFormatting sqref="BB160:BB161">
    <cfRule type="cellIs" dxfId="12685" priority="3739" operator="lessThan">
      <formula>0</formula>
    </cfRule>
    <cfRule type="cellIs" dxfId="12684" priority="3740" operator="lessThan">
      <formula>-105575</formula>
    </cfRule>
  </conditionalFormatting>
  <conditionalFormatting sqref="BB160:BB161">
    <cfRule type="cellIs" dxfId="12683" priority="3737" operator="lessThan">
      <formula>0</formula>
    </cfRule>
    <cfRule type="cellIs" dxfId="12682" priority="3738" operator="lessThan">
      <formula>-105575</formula>
    </cfRule>
  </conditionalFormatting>
  <conditionalFormatting sqref="BB160:BB161">
    <cfRule type="cellIs" dxfId="12681" priority="3735" operator="lessThan">
      <formula>0</formula>
    </cfRule>
    <cfRule type="cellIs" dxfId="12680" priority="3736" operator="lessThan">
      <formula>-105575</formula>
    </cfRule>
  </conditionalFormatting>
  <conditionalFormatting sqref="BB164:BB167">
    <cfRule type="cellIs" dxfId="12679" priority="3733" operator="lessThan">
      <formula>0</formula>
    </cfRule>
    <cfRule type="cellIs" dxfId="12678" priority="3734" operator="lessThan">
      <formula>-105575</formula>
    </cfRule>
  </conditionalFormatting>
  <conditionalFormatting sqref="BB164:BB167">
    <cfRule type="cellIs" dxfId="12677" priority="3731" operator="lessThan">
      <formula>0</formula>
    </cfRule>
    <cfRule type="cellIs" dxfId="12676" priority="3732" operator="lessThan">
      <formula>-105575</formula>
    </cfRule>
  </conditionalFormatting>
  <conditionalFormatting sqref="BB164:BB167">
    <cfRule type="cellIs" dxfId="12675" priority="3729" operator="lessThan">
      <formula>0</formula>
    </cfRule>
    <cfRule type="cellIs" dxfId="12674" priority="3730" operator="lessThan">
      <formula>-105575</formula>
    </cfRule>
  </conditionalFormatting>
  <conditionalFormatting sqref="BB169:BB177">
    <cfRule type="cellIs" dxfId="12673" priority="3727" operator="lessThan">
      <formula>0</formula>
    </cfRule>
    <cfRule type="cellIs" dxfId="12672" priority="3728" operator="lessThan">
      <formula>-105575</formula>
    </cfRule>
  </conditionalFormatting>
  <conditionalFormatting sqref="BB169:BB177">
    <cfRule type="cellIs" dxfId="12671" priority="3725" operator="lessThan">
      <formula>0</formula>
    </cfRule>
    <cfRule type="cellIs" dxfId="12670" priority="3726" operator="lessThan">
      <formula>-105575</formula>
    </cfRule>
  </conditionalFormatting>
  <conditionalFormatting sqref="BB169:BB177">
    <cfRule type="cellIs" dxfId="12669" priority="3723" operator="lessThan">
      <formula>0</formula>
    </cfRule>
    <cfRule type="cellIs" dxfId="12668" priority="3724" operator="lessThan">
      <formula>-105575</formula>
    </cfRule>
  </conditionalFormatting>
  <conditionalFormatting sqref="BB179:BB180">
    <cfRule type="cellIs" dxfId="12667" priority="3721" operator="lessThan">
      <formula>0</formula>
    </cfRule>
    <cfRule type="cellIs" dxfId="12666" priority="3722" operator="lessThan">
      <formula>-105575</formula>
    </cfRule>
  </conditionalFormatting>
  <conditionalFormatting sqref="BB179:BB180">
    <cfRule type="cellIs" dxfId="12665" priority="3719" operator="lessThan">
      <formula>0</formula>
    </cfRule>
    <cfRule type="cellIs" dxfId="12664" priority="3720" operator="lessThan">
      <formula>-105575</formula>
    </cfRule>
  </conditionalFormatting>
  <conditionalFormatting sqref="BB179:BB180">
    <cfRule type="cellIs" dxfId="12663" priority="3717" operator="lessThan">
      <formula>0</formula>
    </cfRule>
    <cfRule type="cellIs" dxfId="12662" priority="3718" operator="lessThan">
      <formula>-105575</formula>
    </cfRule>
  </conditionalFormatting>
  <conditionalFormatting sqref="BB183:BB189">
    <cfRule type="cellIs" dxfId="12661" priority="3715" operator="lessThan">
      <formula>0</formula>
    </cfRule>
    <cfRule type="cellIs" dxfId="12660" priority="3716" operator="lessThan">
      <formula>-105575</formula>
    </cfRule>
  </conditionalFormatting>
  <conditionalFormatting sqref="BB183:BB189">
    <cfRule type="cellIs" dxfId="12659" priority="3713" operator="lessThan">
      <formula>0</formula>
    </cfRule>
    <cfRule type="cellIs" dxfId="12658" priority="3714" operator="lessThan">
      <formula>-105575</formula>
    </cfRule>
  </conditionalFormatting>
  <conditionalFormatting sqref="BB183:BB189">
    <cfRule type="cellIs" dxfId="12657" priority="3711" operator="lessThan">
      <formula>0</formula>
    </cfRule>
    <cfRule type="cellIs" dxfId="12656" priority="3712" operator="lessThan">
      <formula>-105575</formula>
    </cfRule>
  </conditionalFormatting>
  <conditionalFormatting sqref="BB191:BB192">
    <cfRule type="cellIs" dxfId="12655" priority="3709" operator="lessThan">
      <formula>0</formula>
    </cfRule>
    <cfRule type="cellIs" dxfId="12654" priority="3710" operator="lessThan">
      <formula>-105575</formula>
    </cfRule>
  </conditionalFormatting>
  <conditionalFormatting sqref="BB191:BB192">
    <cfRule type="cellIs" dxfId="12653" priority="3707" operator="lessThan">
      <formula>0</formula>
    </cfRule>
    <cfRule type="cellIs" dxfId="12652" priority="3708" operator="lessThan">
      <formula>-105575</formula>
    </cfRule>
  </conditionalFormatting>
  <conditionalFormatting sqref="BB191:BB192">
    <cfRule type="cellIs" dxfId="12651" priority="3705" operator="lessThan">
      <formula>0</formula>
    </cfRule>
    <cfRule type="cellIs" dxfId="12650" priority="3706" operator="lessThan">
      <formula>-105575</formula>
    </cfRule>
  </conditionalFormatting>
  <conditionalFormatting sqref="BB194:BB195">
    <cfRule type="cellIs" dxfId="12649" priority="3703" operator="lessThan">
      <formula>0</formula>
    </cfRule>
    <cfRule type="cellIs" dxfId="12648" priority="3704" operator="lessThan">
      <formula>-105575</formula>
    </cfRule>
  </conditionalFormatting>
  <conditionalFormatting sqref="BB194:BB195">
    <cfRule type="cellIs" dxfId="12647" priority="3701" operator="lessThan">
      <formula>0</formula>
    </cfRule>
    <cfRule type="cellIs" dxfId="12646" priority="3702" operator="lessThan">
      <formula>-105575</formula>
    </cfRule>
  </conditionalFormatting>
  <conditionalFormatting sqref="BB194:BB195">
    <cfRule type="cellIs" dxfId="12645" priority="3699" operator="lessThan">
      <formula>0</formula>
    </cfRule>
    <cfRule type="cellIs" dxfId="12644" priority="3700" operator="lessThan">
      <formula>-105575</formula>
    </cfRule>
  </conditionalFormatting>
  <conditionalFormatting sqref="BB199:BB202">
    <cfRule type="cellIs" dxfId="12643" priority="3697" operator="lessThan">
      <formula>0</formula>
    </cfRule>
    <cfRule type="cellIs" dxfId="12642" priority="3698" operator="lessThan">
      <formula>-105575</formula>
    </cfRule>
  </conditionalFormatting>
  <conditionalFormatting sqref="BB199:BB202">
    <cfRule type="cellIs" dxfId="12641" priority="3695" operator="lessThan">
      <formula>0</formula>
    </cfRule>
    <cfRule type="cellIs" dxfId="12640" priority="3696" operator="lessThan">
      <formula>-105575</formula>
    </cfRule>
  </conditionalFormatting>
  <conditionalFormatting sqref="BB199:BB202">
    <cfRule type="cellIs" dxfId="12639" priority="3693" operator="lessThan">
      <formula>0</formula>
    </cfRule>
    <cfRule type="cellIs" dxfId="12638" priority="3694" operator="lessThan">
      <formula>-105575</formula>
    </cfRule>
  </conditionalFormatting>
  <conditionalFormatting sqref="BB204:BB208">
    <cfRule type="cellIs" dxfId="12637" priority="3691" operator="lessThan">
      <formula>0</formula>
    </cfRule>
    <cfRule type="cellIs" dxfId="12636" priority="3692" operator="lessThan">
      <formula>-105575</formula>
    </cfRule>
  </conditionalFormatting>
  <conditionalFormatting sqref="BB204:BB208">
    <cfRule type="cellIs" dxfId="12635" priority="3689" operator="lessThan">
      <formula>0</formula>
    </cfRule>
    <cfRule type="cellIs" dxfId="12634" priority="3690" operator="lessThan">
      <formula>-105575</formula>
    </cfRule>
  </conditionalFormatting>
  <conditionalFormatting sqref="BB204:BB208">
    <cfRule type="cellIs" dxfId="12633" priority="3687" operator="lessThan">
      <formula>0</formula>
    </cfRule>
    <cfRule type="cellIs" dxfId="12632" priority="3688" operator="lessThan">
      <formula>-105575</formula>
    </cfRule>
  </conditionalFormatting>
  <conditionalFormatting sqref="BB210:BB211">
    <cfRule type="cellIs" dxfId="12631" priority="3685" operator="lessThan">
      <formula>0</formula>
    </cfRule>
    <cfRule type="cellIs" dxfId="12630" priority="3686" operator="lessThan">
      <formula>-105575</formula>
    </cfRule>
  </conditionalFormatting>
  <conditionalFormatting sqref="BB210:BB211">
    <cfRule type="cellIs" dxfId="12629" priority="3683" operator="lessThan">
      <formula>0</formula>
    </cfRule>
    <cfRule type="cellIs" dxfId="12628" priority="3684" operator="lessThan">
      <formula>-105575</formula>
    </cfRule>
  </conditionalFormatting>
  <conditionalFormatting sqref="BB210:BB211">
    <cfRule type="cellIs" dxfId="12627" priority="3681" operator="lessThan">
      <formula>0</formula>
    </cfRule>
    <cfRule type="cellIs" dxfId="12626" priority="3682" operator="lessThan">
      <formula>-105575</formula>
    </cfRule>
  </conditionalFormatting>
  <conditionalFormatting sqref="BB214:BB219">
    <cfRule type="cellIs" dxfId="12625" priority="3679" operator="lessThan">
      <formula>0</formula>
    </cfRule>
    <cfRule type="cellIs" dxfId="12624" priority="3680" operator="lessThan">
      <formula>-105575</formula>
    </cfRule>
  </conditionalFormatting>
  <conditionalFormatting sqref="BB214:BB219">
    <cfRule type="cellIs" dxfId="12623" priority="3677" operator="lessThan">
      <formula>0</formula>
    </cfRule>
    <cfRule type="cellIs" dxfId="12622" priority="3678" operator="lessThan">
      <formula>-105575</formula>
    </cfRule>
  </conditionalFormatting>
  <conditionalFormatting sqref="BB214:BB219">
    <cfRule type="cellIs" dxfId="12621" priority="3675" operator="lessThan">
      <formula>0</formula>
    </cfRule>
    <cfRule type="cellIs" dxfId="12620" priority="3676" operator="lessThan">
      <formula>-105575</formula>
    </cfRule>
  </conditionalFormatting>
  <conditionalFormatting sqref="BB222:BB224">
    <cfRule type="cellIs" dxfId="12619" priority="3673" operator="lessThan">
      <formula>0</formula>
    </cfRule>
    <cfRule type="cellIs" dxfId="12618" priority="3674" operator="lessThan">
      <formula>-105575</formula>
    </cfRule>
  </conditionalFormatting>
  <conditionalFormatting sqref="BB222:BB224">
    <cfRule type="cellIs" dxfId="12617" priority="3671" operator="lessThan">
      <formula>0</formula>
    </cfRule>
    <cfRule type="cellIs" dxfId="12616" priority="3672" operator="lessThan">
      <formula>-105575</formula>
    </cfRule>
  </conditionalFormatting>
  <conditionalFormatting sqref="BB222:BB224">
    <cfRule type="cellIs" dxfId="12615" priority="3669" operator="lessThan">
      <formula>0</formula>
    </cfRule>
    <cfRule type="cellIs" dxfId="12614" priority="3670" operator="lessThan">
      <formula>-105575</formula>
    </cfRule>
  </conditionalFormatting>
  <conditionalFormatting sqref="BB227:BB230">
    <cfRule type="cellIs" dxfId="12613" priority="3667" operator="lessThan">
      <formula>0</formula>
    </cfRule>
    <cfRule type="cellIs" dxfId="12612" priority="3668" operator="lessThan">
      <formula>-105575</formula>
    </cfRule>
  </conditionalFormatting>
  <conditionalFormatting sqref="BB227:BB230">
    <cfRule type="cellIs" dxfId="12611" priority="3665" operator="lessThan">
      <formula>0</formula>
    </cfRule>
    <cfRule type="cellIs" dxfId="12610" priority="3666" operator="lessThan">
      <formula>-105575</formula>
    </cfRule>
  </conditionalFormatting>
  <conditionalFormatting sqref="BB227:BB230">
    <cfRule type="cellIs" dxfId="12609" priority="3663" operator="lessThan">
      <formula>0</formula>
    </cfRule>
    <cfRule type="cellIs" dxfId="12608" priority="3664" operator="lessThan">
      <formula>-105575</formula>
    </cfRule>
  </conditionalFormatting>
  <conditionalFormatting sqref="BB203 BB220:BB221 BB235:BB243 BB231:BB233 BB212:BB213 BB225:BB226">
    <cfRule type="cellIs" dxfId="12607" priority="3661" operator="lessThan">
      <formula>0</formula>
    </cfRule>
    <cfRule type="cellIs" dxfId="12606" priority="3662" operator="lessThan">
      <formula>-105575</formula>
    </cfRule>
  </conditionalFormatting>
  <conditionalFormatting sqref="BB220 BB212:BB213 BB235:BB238 BB240:BB243 BB225:BB226 BB231:BB233">
    <cfRule type="cellIs" dxfId="12605" priority="3659" operator="lessThan">
      <formula>0</formula>
    </cfRule>
    <cfRule type="cellIs" dxfId="12604" priority="3660" operator="lessThan">
      <formula>-105575</formula>
    </cfRule>
  </conditionalFormatting>
  <conditionalFormatting sqref="BB220:BB221 BB243 BB226 BB231:BB236 BB238:BB241 BB203 BB213">
    <cfRule type="cellIs" dxfId="12603" priority="3657" operator="lessThan">
      <formula>0</formula>
    </cfRule>
    <cfRule type="cellIs" dxfId="12602" priority="3658" operator="lessThan">
      <formula>-105575</formula>
    </cfRule>
  </conditionalFormatting>
  <conditionalFormatting sqref="BB235:BB243 BB231:BB233 BB220 BB212:BB213 BB225:BB226">
    <cfRule type="cellIs" dxfId="12601" priority="3655" operator="lessThan">
      <formula>0</formula>
    </cfRule>
    <cfRule type="cellIs" dxfId="12600" priority="3656" operator="lessThan">
      <formula>-105575</formula>
    </cfRule>
  </conditionalFormatting>
  <conditionalFormatting sqref="BB220:BB221 BB237:BB243 BB203 BB231:BB235 BB212:BB213 BB225:BB226">
    <cfRule type="cellIs" dxfId="12599" priority="3653" operator="lessThan">
      <formula>0</formula>
    </cfRule>
    <cfRule type="cellIs" dxfId="12598" priority="3654" operator="lessThan">
      <formula>-105575</formula>
    </cfRule>
  </conditionalFormatting>
  <conditionalFormatting sqref="BB220:BB221 BB237:BB240 BB242:BB243 BB225:BB226 BB231:BB235">
    <cfRule type="cellIs" dxfId="12597" priority="3651" operator="lessThan">
      <formula>0</formula>
    </cfRule>
    <cfRule type="cellIs" dxfId="12596" priority="3652" operator="lessThan">
      <formula>-105575</formula>
    </cfRule>
  </conditionalFormatting>
  <conditionalFormatting sqref="BB212 BB231 BB233:BB238 BB240:BB243 BB225">
    <cfRule type="cellIs" dxfId="12595" priority="3649" operator="lessThan">
      <formula>0</formula>
    </cfRule>
    <cfRule type="cellIs" dxfId="12594" priority="3650" operator="lessThan">
      <formula>-105575</formula>
    </cfRule>
  </conditionalFormatting>
  <conditionalFormatting sqref="BB237:BB243 BB231:BB235 BB220:BB221 BB225:BB226">
    <cfRule type="cellIs" dxfId="12593" priority="3647" operator="lessThan">
      <formula>0</formula>
    </cfRule>
    <cfRule type="cellIs" dxfId="12592" priority="3648" operator="lessThan">
      <formula>-105575</formula>
    </cfRule>
  </conditionalFormatting>
  <conditionalFormatting sqref="BB233:BB237 BB231 BB239:BB243">
    <cfRule type="cellIs" dxfId="12591" priority="3645" operator="lessThan">
      <formula>0</formula>
    </cfRule>
    <cfRule type="cellIs" dxfId="12590" priority="3646" operator="lessThan">
      <formula>-105575</formula>
    </cfRule>
  </conditionalFormatting>
  <conditionalFormatting sqref="BB233:BB237 BB231 BB239:BB243">
    <cfRule type="cellIs" dxfId="12589" priority="3643" operator="lessThan">
      <formula>0</formula>
    </cfRule>
    <cfRule type="cellIs" dxfId="12588" priority="3644" operator="lessThan">
      <formula>-105575</formula>
    </cfRule>
  </conditionalFormatting>
  <conditionalFormatting sqref="BB119:BB128 BB106:BB117 BB101:BB104 BB80:BB98">
    <cfRule type="cellIs" dxfId="12587" priority="3641" operator="lessThan">
      <formula>0</formula>
    </cfRule>
    <cfRule type="cellIs" dxfId="12586" priority="3642" operator="lessThan">
      <formula>-105575</formula>
    </cfRule>
  </conditionalFormatting>
  <conditionalFormatting sqref="BB130 BB132 BB134">
    <cfRule type="cellIs" dxfId="12585" priority="3639" operator="lessThan">
      <formula>0</formula>
    </cfRule>
    <cfRule type="cellIs" dxfId="12584" priority="3640" operator="lessThan">
      <formula>-105575</formula>
    </cfRule>
  </conditionalFormatting>
  <conditionalFormatting sqref="BB130 BB132 BB134">
    <cfRule type="cellIs" dxfId="12583" priority="3637" operator="lessThan">
      <formula>0</formula>
    </cfRule>
    <cfRule type="cellIs" dxfId="12582" priority="3638" operator="lessThan">
      <formula>-105575</formula>
    </cfRule>
  </conditionalFormatting>
  <conditionalFormatting sqref="BB129 BB131 BB133 BB135">
    <cfRule type="cellIs" dxfId="12581" priority="3635" operator="lessThan">
      <formula>0</formula>
    </cfRule>
    <cfRule type="cellIs" dxfId="12580" priority="3636" operator="lessThan">
      <formula>-105575</formula>
    </cfRule>
  </conditionalFormatting>
  <conditionalFormatting sqref="BB140 BB145 BB142:BB143 BB137:BB138">
    <cfRule type="cellIs" dxfId="12579" priority="3633" operator="lessThan">
      <formula>0</formula>
    </cfRule>
    <cfRule type="cellIs" dxfId="12578" priority="3634" operator="lessThan">
      <formula>-105575</formula>
    </cfRule>
  </conditionalFormatting>
  <conditionalFormatting sqref="BB149">
    <cfRule type="cellIs" dxfId="12577" priority="3631" operator="lessThan">
      <formula>0</formula>
    </cfRule>
    <cfRule type="cellIs" dxfId="12576" priority="3632" operator="lessThan">
      <formula>-105575</formula>
    </cfRule>
  </conditionalFormatting>
  <conditionalFormatting sqref="BB129:BB138 BB140:BB149">
    <cfRule type="cellIs" dxfId="12575" priority="3629" operator="lessThan">
      <formula>0</formula>
    </cfRule>
    <cfRule type="cellIs" dxfId="12574" priority="3630" operator="lessThan">
      <formula>-105575</formula>
    </cfRule>
  </conditionalFormatting>
  <conditionalFormatting sqref="BB94:BB98 BB86:BB87 BB89:BB91 BB141:BB149 BB124:BB133 BB107:BB110 BB112:BB117 BB119:BB122 BB135:BB138 BB101:BB104 BB80:BB84">
    <cfRule type="cellIs" dxfId="12573" priority="3627" operator="lessThan">
      <formula>0</formula>
    </cfRule>
    <cfRule type="cellIs" dxfId="12572" priority="3628" operator="lessThan">
      <formula>-105575</formula>
    </cfRule>
  </conditionalFormatting>
  <conditionalFormatting sqref="BB129 BB131 BB133 BB135">
    <cfRule type="cellIs" dxfId="12571" priority="3625" operator="lessThan">
      <formula>0</formula>
    </cfRule>
    <cfRule type="cellIs" dxfId="12570" priority="3626" operator="lessThan">
      <formula>-105575</formula>
    </cfRule>
  </conditionalFormatting>
  <conditionalFormatting sqref="BB146 BB144 BB141">
    <cfRule type="cellIs" dxfId="12569" priority="3623" operator="lessThan">
      <formula>0</formula>
    </cfRule>
    <cfRule type="cellIs" dxfId="12568" priority="3624" operator="lessThan">
      <formula>-105575</formula>
    </cfRule>
  </conditionalFormatting>
  <conditionalFormatting sqref="BB146 BB144 BB141">
    <cfRule type="cellIs" dxfId="12567" priority="3621" operator="lessThan">
      <formula>0</formula>
    </cfRule>
    <cfRule type="cellIs" dxfId="12566" priority="3622" operator="lessThan">
      <formula>-105575</formula>
    </cfRule>
  </conditionalFormatting>
  <conditionalFormatting sqref="BB140 BB145 BB142:BB143 BB137:BB138">
    <cfRule type="cellIs" dxfId="12565" priority="3619" operator="lessThan">
      <formula>0</formula>
    </cfRule>
    <cfRule type="cellIs" dxfId="12564" priority="3620" operator="lessThan">
      <formula>-105575</formula>
    </cfRule>
  </conditionalFormatting>
  <conditionalFormatting sqref="BB149">
    <cfRule type="cellIs" dxfId="12563" priority="3617" operator="lessThan">
      <formula>0</formula>
    </cfRule>
    <cfRule type="cellIs" dxfId="12562" priority="3618" operator="lessThan">
      <formula>-105575</formula>
    </cfRule>
  </conditionalFormatting>
  <conditionalFormatting sqref="BB94:BB98 BB86:BB87 BB89:BB91 BB141:BB149 BB124:BB133 BB107:BB110 BB112:BB117 BB119:BB122 BB135:BB138 BB101:BB104 BB80:BB84">
    <cfRule type="cellIs" dxfId="12561" priority="3615" operator="lessThan">
      <formula>0</formula>
    </cfRule>
    <cfRule type="cellIs" dxfId="12560" priority="3616" operator="lessThan">
      <formula>-105575</formula>
    </cfRule>
  </conditionalFormatting>
  <conditionalFormatting sqref="BB62:BB76 BB306:BB309 BB311:BB325 BB327:BB330 BB332:BB341 BB344:BB347 BB349:BB353 BB355:BB358 BB360:BB384 BB386:BB389 BB392:BB395 BB397:BB411 BB413:BB416 BB418:BB432 BB434:BB437 BB439:BB453 BB455:BB458 BB460:BB469 BB7:BB10 BB12:BB14 BB17:BB18 BB21:BB24 BB26:BB28 BB30:BB36 BB38 BB41:BB43 BB46:BB49 BB51:BB55 BB57:BB59 BB290:BB291 BB293:BB304">
    <cfRule type="cellIs" dxfId="12559" priority="3613" operator="lessThan">
      <formula>0</formula>
    </cfRule>
    <cfRule type="cellIs" dxfId="12558" priority="3614" operator="lessThan">
      <formula>-105575</formula>
    </cfRule>
  </conditionalFormatting>
  <conditionalFormatting sqref="BB41">
    <cfRule type="cellIs" dxfId="12557" priority="3611" operator="lessThan">
      <formula>0</formula>
    </cfRule>
    <cfRule type="cellIs" dxfId="12556" priority="3612" operator="lessThan">
      <formula>-105575</formula>
    </cfRule>
  </conditionalFormatting>
  <conditionalFormatting sqref="BB152:BB155">
    <cfRule type="cellIs" dxfId="12555" priority="3609" operator="lessThan">
      <formula>0</formula>
    </cfRule>
    <cfRule type="cellIs" dxfId="12554" priority="3610" operator="lessThan">
      <formula>-105575</formula>
    </cfRule>
  </conditionalFormatting>
  <conditionalFormatting sqref="BB152:BB155">
    <cfRule type="cellIs" dxfId="12553" priority="3607" operator="lessThan">
      <formula>0</formula>
    </cfRule>
    <cfRule type="cellIs" dxfId="12552" priority="3608" operator="lessThan">
      <formula>-105575</formula>
    </cfRule>
  </conditionalFormatting>
  <conditionalFormatting sqref="BB152:BB155">
    <cfRule type="cellIs" dxfId="12551" priority="3605" operator="lessThan">
      <formula>0</formula>
    </cfRule>
    <cfRule type="cellIs" dxfId="12550" priority="3606" operator="lessThan">
      <formula>-105575</formula>
    </cfRule>
  </conditionalFormatting>
  <conditionalFormatting sqref="BB157:BB158">
    <cfRule type="cellIs" dxfId="12549" priority="3603" operator="lessThan">
      <formula>0</formula>
    </cfRule>
    <cfRule type="cellIs" dxfId="12548" priority="3604" operator="lessThan">
      <formula>-105575</formula>
    </cfRule>
  </conditionalFormatting>
  <conditionalFormatting sqref="BB157:BB158">
    <cfRule type="cellIs" dxfId="12547" priority="3601" operator="lessThan">
      <formula>0</formula>
    </cfRule>
    <cfRule type="cellIs" dxfId="12546" priority="3602" operator="lessThan">
      <formula>-105575</formula>
    </cfRule>
  </conditionalFormatting>
  <conditionalFormatting sqref="BB157:BB158">
    <cfRule type="cellIs" dxfId="12545" priority="3599" operator="lessThan">
      <formula>0</formula>
    </cfRule>
    <cfRule type="cellIs" dxfId="12544" priority="3600" operator="lessThan">
      <formula>-105575</formula>
    </cfRule>
  </conditionalFormatting>
  <conditionalFormatting sqref="BB160:BB161">
    <cfRule type="cellIs" dxfId="12543" priority="3597" operator="lessThan">
      <formula>0</formula>
    </cfRule>
    <cfRule type="cellIs" dxfId="12542" priority="3598" operator="lessThan">
      <formula>-105575</formula>
    </cfRule>
  </conditionalFormatting>
  <conditionalFormatting sqref="BB160:BB161">
    <cfRule type="cellIs" dxfId="12541" priority="3595" operator="lessThan">
      <formula>0</formula>
    </cfRule>
    <cfRule type="cellIs" dxfId="12540" priority="3596" operator="lessThan">
      <formula>-105575</formula>
    </cfRule>
  </conditionalFormatting>
  <conditionalFormatting sqref="BB160:BB161">
    <cfRule type="cellIs" dxfId="12539" priority="3593" operator="lessThan">
      <formula>0</formula>
    </cfRule>
    <cfRule type="cellIs" dxfId="12538" priority="3594" operator="lessThan">
      <formula>-105575</formula>
    </cfRule>
  </conditionalFormatting>
  <conditionalFormatting sqref="BB164:BB167">
    <cfRule type="cellIs" dxfId="12537" priority="3591" operator="lessThan">
      <formula>0</formula>
    </cfRule>
    <cfRule type="cellIs" dxfId="12536" priority="3592" operator="lessThan">
      <formula>-105575</formula>
    </cfRule>
  </conditionalFormatting>
  <conditionalFormatting sqref="BB164:BB167">
    <cfRule type="cellIs" dxfId="12535" priority="3589" operator="lessThan">
      <formula>0</formula>
    </cfRule>
    <cfRule type="cellIs" dxfId="12534" priority="3590" operator="lessThan">
      <formula>-105575</formula>
    </cfRule>
  </conditionalFormatting>
  <conditionalFormatting sqref="BB164:BB167">
    <cfRule type="cellIs" dxfId="12533" priority="3587" operator="lessThan">
      <formula>0</formula>
    </cfRule>
    <cfRule type="cellIs" dxfId="12532" priority="3588" operator="lessThan">
      <formula>-105575</formula>
    </cfRule>
  </conditionalFormatting>
  <conditionalFormatting sqref="BB169:BB177">
    <cfRule type="cellIs" dxfId="12531" priority="3585" operator="lessThan">
      <formula>0</formula>
    </cfRule>
    <cfRule type="cellIs" dxfId="12530" priority="3586" operator="lessThan">
      <formula>-105575</formula>
    </cfRule>
  </conditionalFormatting>
  <conditionalFormatting sqref="BB169:BB177">
    <cfRule type="cellIs" dxfId="12529" priority="3583" operator="lessThan">
      <formula>0</formula>
    </cfRule>
    <cfRule type="cellIs" dxfId="12528" priority="3584" operator="lessThan">
      <formula>-105575</formula>
    </cfRule>
  </conditionalFormatting>
  <conditionalFormatting sqref="BB169:BB177">
    <cfRule type="cellIs" dxfId="12527" priority="3581" operator="lessThan">
      <formula>0</formula>
    </cfRule>
    <cfRule type="cellIs" dxfId="12526" priority="3582" operator="lessThan">
      <formula>-105575</formula>
    </cfRule>
  </conditionalFormatting>
  <conditionalFormatting sqref="BB179:BB180">
    <cfRule type="cellIs" dxfId="12525" priority="3579" operator="lessThan">
      <formula>0</formula>
    </cfRule>
    <cfRule type="cellIs" dxfId="12524" priority="3580" operator="lessThan">
      <formula>-105575</formula>
    </cfRule>
  </conditionalFormatting>
  <conditionalFormatting sqref="BB179:BB180">
    <cfRule type="cellIs" dxfId="12523" priority="3577" operator="lessThan">
      <formula>0</formula>
    </cfRule>
    <cfRule type="cellIs" dxfId="12522" priority="3578" operator="lessThan">
      <formula>-105575</formula>
    </cfRule>
  </conditionalFormatting>
  <conditionalFormatting sqref="BB179:BB180">
    <cfRule type="cellIs" dxfId="12521" priority="3575" operator="lessThan">
      <formula>0</formula>
    </cfRule>
    <cfRule type="cellIs" dxfId="12520" priority="3576" operator="lessThan">
      <formula>-105575</formula>
    </cfRule>
  </conditionalFormatting>
  <conditionalFormatting sqref="BB183:BB189">
    <cfRule type="cellIs" dxfId="12519" priority="3573" operator="lessThan">
      <formula>0</formula>
    </cfRule>
    <cfRule type="cellIs" dxfId="12518" priority="3574" operator="lessThan">
      <formula>-105575</formula>
    </cfRule>
  </conditionalFormatting>
  <conditionalFormatting sqref="BB183:BB189">
    <cfRule type="cellIs" dxfId="12517" priority="3571" operator="lessThan">
      <formula>0</formula>
    </cfRule>
    <cfRule type="cellIs" dxfId="12516" priority="3572" operator="lessThan">
      <formula>-105575</formula>
    </cfRule>
  </conditionalFormatting>
  <conditionalFormatting sqref="BB183:BB189">
    <cfRule type="cellIs" dxfId="12515" priority="3569" operator="lessThan">
      <formula>0</formula>
    </cfRule>
    <cfRule type="cellIs" dxfId="12514" priority="3570" operator="lessThan">
      <formula>-105575</formula>
    </cfRule>
  </conditionalFormatting>
  <conditionalFormatting sqref="BB191:BB192">
    <cfRule type="cellIs" dxfId="12513" priority="3567" operator="lessThan">
      <formula>0</formula>
    </cfRule>
    <cfRule type="cellIs" dxfId="12512" priority="3568" operator="lessThan">
      <formula>-105575</formula>
    </cfRule>
  </conditionalFormatting>
  <conditionalFormatting sqref="BB191:BB192">
    <cfRule type="cellIs" dxfId="12511" priority="3565" operator="lessThan">
      <formula>0</formula>
    </cfRule>
    <cfRule type="cellIs" dxfId="12510" priority="3566" operator="lessThan">
      <formula>-105575</formula>
    </cfRule>
  </conditionalFormatting>
  <conditionalFormatting sqref="BB191:BB192">
    <cfRule type="cellIs" dxfId="12509" priority="3563" operator="lessThan">
      <formula>0</formula>
    </cfRule>
    <cfRule type="cellIs" dxfId="12508" priority="3564" operator="lessThan">
      <formula>-105575</formula>
    </cfRule>
  </conditionalFormatting>
  <conditionalFormatting sqref="BB194:BB195">
    <cfRule type="cellIs" dxfId="12507" priority="3561" operator="lessThan">
      <formula>0</formula>
    </cfRule>
    <cfRule type="cellIs" dxfId="12506" priority="3562" operator="lessThan">
      <formula>-105575</formula>
    </cfRule>
  </conditionalFormatting>
  <conditionalFormatting sqref="BB194:BB195">
    <cfRule type="cellIs" dxfId="12505" priority="3559" operator="lessThan">
      <formula>0</formula>
    </cfRule>
    <cfRule type="cellIs" dxfId="12504" priority="3560" operator="lessThan">
      <formula>-105575</formula>
    </cfRule>
  </conditionalFormatting>
  <conditionalFormatting sqref="BB194:BB195">
    <cfRule type="cellIs" dxfId="12503" priority="3557" operator="lessThan">
      <formula>0</formula>
    </cfRule>
    <cfRule type="cellIs" dxfId="12502" priority="3558" operator="lessThan">
      <formula>-105575</formula>
    </cfRule>
  </conditionalFormatting>
  <conditionalFormatting sqref="BB199:BB202">
    <cfRule type="cellIs" dxfId="12501" priority="3555" operator="lessThan">
      <formula>0</formula>
    </cfRule>
    <cfRule type="cellIs" dxfId="12500" priority="3556" operator="lessThan">
      <formula>-105575</formula>
    </cfRule>
  </conditionalFormatting>
  <conditionalFormatting sqref="BB199:BB202">
    <cfRule type="cellIs" dxfId="12499" priority="3553" operator="lessThan">
      <formula>0</formula>
    </cfRule>
    <cfRule type="cellIs" dxfId="12498" priority="3554" operator="lessThan">
      <formula>-105575</formula>
    </cfRule>
  </conditionalFormatting>
  <conditionalFormatting sqref="BB199:BB202">
    <cfRule type="cellIs" dxfId="12497" priority="3551" operator="lessThan">
      <formula>0</formula>
    </cfRule>
    <cfRule type="cellIs" dxfId="12496" priority="3552" operator="lessThan">
      <formula>-105575</formula>
    </cfRule>
  </conditionalFormatting>
  <conditionalFormatting sqref="BB204:BB208">
    <cfRule type="cellIs" dxfId="12495" priority="3549" operator="lessThan">
      <formula>0</formula>
    </cfRule>
    <cfRule type="cellIs" dxfId="12494" priority="3550" operator="lessThan">
      <formula>-105575</formula>
    </cfRule>
  </conditionalFormatting>
  <conditionalFormatting sqref="BB204:BB208">
    <cfRule type="cellIs" dxfId="12493" priority="3547" operator="lessThan">
      <formula>0</formula>
    </cfRule>
    <cfRule type="cellIs" dxfId="12492" priority="3548" operator="lessThan">
      <formula>-105575</formula>
    </cfRule>
  </conditionalFormatting>
  <conditionalFormatting sqref="BB204:BB208">
    <cfRule type="cellIs" dxfId="12491" priority="3545" operator="lessThan">
      <formula>0</formula>
    </cfRule>
    <cfRule type="cellIs" dxfId="12490" priority="3546" operator="lessThan">
      <formula>-105575</formula>
    </cfRule>
  </conditionalFormatting>
  <conditionalFormatting sqref="BB210:BB211">
    <cfRule type="cellIs" dxfId="12489" priority="3543" operator="lessThan">
      <formula>0</formula>
    </cfRule>
    <cfRule type="cellIs" dxfId="12488" priority="3544" operator="lessThan">
      <formula>-105575</formula>
    </cfRule>
  </conditionalFormatting>
  <conditionalFormatting sqref="BB210:BB211">
    <cfRule type="cellIs" dxfId="12487" priority="3541" operator="lessThan">
      <formula>0</formula>
    </cfRule>
    <cfRule type="cellIs" dxfId="12486" priority="3542" operator="lessThan">
      <formula>-105575</formula>
    </cfRule>
  </conditionalFormatting>
  <conditionalFormatting sqref="BB210:BB211">
    <cfRule type="cellIs" dxfId="12485" priority="3539" operator="lessThan">
      <formula>0</formula>
    </cfRule>
    <cfRule type="cellIs" dxfId="12484" priority="3540" operator="lessThan">
      <formula>-105575</formula>
    </cfRule>
  </conditionalFormatting>
  <conditionalFormatting sqref="BB214:BB219">
    <cfRule type="cellIs" dxfId="12483" priority="3537" operator="lessThan">
      <formula>0</formula>
    </cfRule>
    <cfRule type="cellIs" dxfId="12482" priority="3538" operator="lessThan">
      <formula>-105575</formula>
    </cfRule>
  </conditionalFormatting>
  <conditionalFormatting sqref="BB214:BB219">
    <cfRule type="cellIs" dxfId="12481" priority="3535" operator="lessThan">
      <formula>0</formula>
    </cfRule>
    <cfRule type="cellIs" dxfId="12480" priority="3536" operator="lessThan">
      <formula>-105575</formula>
    </cfRule>
  </conditionalFormatting>
  <conditionalFormatting sqref="BB214:BB219">
    <cfRule type="cellIs" dxfId="12479" priority="3533" operator="lessThan">
      <formula>0</formula>
    </cfRule>
    <cfRule type="cellIs" dxfId="12478" priority="3534" operator="lessThan">
      <formula>-105575</formula>
    </cfRule>
  </conditionalFormatting>
  <conditionalFormatting sqref="BB222:BB224">
    <cfRule type="cellIs" dxfId="12477" priority="3531" operator="lessThan">
      <formula>0</formula>
    </cfRule>
    <cfRule type="cellIs" dxfId="12476" priority="3532" operator="lessThan">
      <formula>-105575</formula>
    </cfRule>
  </conditionalFormatting>
  <conditionalFormatting sqref="BB222:BB224">
    <cfRule type="cellIs" dxfId="12475" priority="3529" operator="lessThan">
      <formula>0</formula>
    </cfRule>
    <cfRule type="cellIs" dxfId="12474" priority="3530" operator="lessThan">
      <formula>-105575</formula>
    </cfRule>
  </conditionalFormatting>
  <conditionalFormatting sqref="BB222:BB224">
    <cfRule type="cellIs" dxfId="12473" priority="3527" operator="lessThan">
      <formula>0</formula>
    </cfRule>
    <cfRule type="cellIs" dxfId="12472" priority="3528" operator="lessThan">
      <formula>-105575</formula>
    </cfRule>
  </conditionalFormatting>
  <conditionalFormatting sqref="BB227:BB230">
    <cfRule type="cellIs" dxfId="12471" priority="3525" operator="lessThan">
      <formula>0</formula>
    </cfRule>
    <cfRule type="cellIs" dxfId="12470" priority="3526" operator="lessThan">
      <formula>-105575</formula>
    </cfRule>
  </conditionalFormatting>
  <conditionalFormatting sqref="BB227:BB230">
    <cfRule type="cellIs" dxfId="12469" priority="3523" operator="lessThan">
      <formula>0</formula>
    </cfRule>
    <cfRule type="cellIs" dxfId="12468" priority="3524" operator="lessThan">
      <formula>-105575</formula>
    </cfRule>
  </conditionalFormatting>
  <conditionalFormatting sqref="BB227:BB230">
    <cfRule type="cellIs" dxfId="12467" priority="3521" operator="lessThan">
      <formula>0</formula>
    </cfRule>
    <cfRule type="cellIs" dxfId="12466" priority="3522" operator="lessThan">
      <formula>-105575</formula>
    </cfRule>
  </conditionalFormatting>
  <conditionalFormatting sqref="BB246:BB249">
    <cfRule type="cellIs" dxfId="12465" priority="3519" operator="lessThan">
      <formula>0</formula>
    </cfRule>
    <cfRule type="cellIs" dxfId="12464" priority="3520" operator="lessThan">
      <formula>-105575</formula>
    </cfRule>
  </conditionalFormatting>
  <conditionalFormatting sqref="BB246:BB249">
    <cfRule type="cellIs" dxfId="12463" priority="3517" operator="lessThan">
      <formula>0</formula>
    </cfRule>
    <cfRule type="cellIs" dxfId="12462" priority="3518" operator="lessThan">
      <formula>-105575</formula>
    </cfRule>
  </conditionalFormatting>
  <conditionalFormatting sqref="BB246:BB249">
    <cfRule type="cellIs" dxfId="12461" priority="3515" operator="lessThan">
      <formula>0</formula>
    </cfRule>
    <cfRule type="cellIs" dxfId="12460" priority="3516" operator="lessThan">
      <formula>-105575</formula>
    </cfRule>
  </conditionalFormatting>
  <conditionalFormatting sqref="BB246:BB249">
    <cfRule type="cellIs" dxfId="12459" priority="3513" operator="lessThan">
      <formula>0</formula>
    </cfRule>
    <cfRule type="cellIs" dxfId="12458" priority="3514" operator="lessThan">
      <formula>-105575</formula>
    </cfRule>
  </conditionalFormatting>
  <conditionalFormatting sqref="BB246:BB249">
    <cfRule type="cellIs" dxfId="12457" priority="3511" operator="lessThan">
      <formula>0</formula>
    </cfRule>
    <cfRule type="cellIs" dxfId="12456" priority="3512" operator="lessThan">
      <formula>-105575</formula>
    </cfRule>
  </conditionalFormatting>
  <conditionalFormatting sqref="BB246:BB249">
    <cfRule type="cellIs" dxfId="12455" priority="3509" operator="lessThan">
      <formula>0</formula>
    </cfRule>
    <cfRule type="cellIs" dxfId="12454" priority="3510" operator="lessThan">
      <formula>-105575</formula>
    </cfRule>
  </conditionalFormatting>
  <conditionalFormatting sqref="BB246:BB249">
    <cfRule type="cellIs" dxfId="12453" priority="3507" operator="lessThan">
      <formula>0</formula>
    </cfRule>
    <cfRule type="cellIs" dxfId="12452" priority="3508" operator="lessThan">
      <formula>-105575</formula>
    </cfRule>
  </conditionalFormatting>
  <conditionalFormatting sqref="BB246:BB249">
    <cfRule type="cellIs" dxfId="12451" priority="3505" operator="lessThan">
      <formula>0</formula>
    </cfRule>
    <cfRule type="cellIs" dxfId="12450" priority="3506" operator="lessThan">
      <formula>-105575</formula>
    </cfRule>
  </conditionalFormatting>
  <conditionalFormatting sqref="BB246:BB249">
    <cfRule type="cellIs" dxfId="12449" priority="3503" operator="lessThan">
      <formula>0</formula>
    </cfRule>
    <cfRule type="cellIs" dxfId="12448" priority="3504" operator="lessThan">
      <formula>-105575</formula>
    </cfRule>
  </conditionalFormatting>
  <conditionalFormatting sqref="BB251:BB253">
    <cfRule type="cellIs" dxfId="12447" priority="3501" operator="lessThan">
      <formula>0</formula>
    </cfRule>
    <cfRule type="cellIs" dxfId="12446" priority="3502" operator="lessThan">
      <formula>-105575</formula>
    </cfRule>
  </conditionalFormatting>
  <conditionalFormatting sqref="BB251:BB253">
    <cfRule type="cellIs" dxfId="12445" priority="3499" operator="lessThan">
      <formula>0</formula>
    </cfRule>
    <cfRule type="cellIs" dxfId="12444" priority="3500" operator="lessThan">
      <formula>-105575</formula>
    </cfRule>
  </conditionalFormatting>
  <conditionalFormatting sqref="BB251:BB253">
    <cfRule type="cellIs" dxfId="12443" priority="3497" operator="lessThan">
      <formula>0</formula>
    </cfRule>
    <cfRule type="cellIs" dxfId="12442" priority="3498" operator="lessThan">
      <formula>-105575</formula>
    </cfRule>
  </conditionalFormatting>
  <conditionalFormatting sqref="BB251:BB253">
    <cfRule type="cellIs" dxfId="12441" priority="3495" operator="lessThan">
      <formula>0</formula>
    </cfRule>
    <cfRule type="cellIs" dxfId="12440" priority="3496" operator="lessThan">
      <formula>-105575</formula>
    </cfRule>
  </conditionalFormatting>
  <conditionalFormatting sqref="BB251:BB253">
    <cfRule type="cellIs" dxfId="12439" priority="3493" operator="lessThan">
      <formula>0</formula>
    </cfRule>
    <cfRule type="cellIs" dxfId="12438" priority="3494" operator="lessThan">
      <formula>-105575</formula>
    </cfRule>
  </conditionalFormatting>
  <conditionalFormatting sqref="BB251:BB253">
    <cfRule type="cellIs" dxfId="12437" priority="3491" operator="lessThan">
      <formula>0</formula>
    </cfRule>
    <cfRule type="cellIs" dxfId="12436" priority="3492" operator="lessThan">
      <formula>-105575</formula>
    </cfRule>
  </conditionalFormatting>
  <conditionalFormatting sqref="BB251:BB253">
    <cfRule type="cellIs" dxfId="12435" priority="3489" operator="lessThan">
      <formula>0</formula>
    </cfRule>
    <cfRule type="cellIs" dxfId="12434" priority="3490" operator="lessThan">
      <formula>-105575</formula>
    </cfRule>
  </conditionalFormatting>
  <conditionalFormatting sqref="BB251:BB253">
    <cfRule type="cellIs" dxfId="12433" priority="3487" operator="lessThan">
      <formula>0</formula>
    </cfRule>
    <cfRule type="cellIs" dxfId="12432" priority="3488" operator="lessThan">
      <formula>-105575</formula>
    </cfRule>
  </conditionalFormatting>
  <conditionalFormatting sqref="BB251:BB253">
    <cfRule type="cellIs" dxfId="12431" priority="3485" operator="lessThan">
      <formula>0</formula>
    </cfRule>
    <cfRule type="cellIs" dxfId="12430" priority="3486" operator="lessThan">
      <formula>-105575</formula>
    </cfRule>
  </conditionalFormatting>
  <conditionalFormatting sqref="BB255:BB257">
    <cfRule type="cellIs" dxfId="12429" priority="3483" operator="lessThan">
      <formula>0</formula>
    </cfRule>
    <cfRule type="cellIs" dxfId="12428" priority="3484" operator="lessThan">
      <formula>-105575</formula>
    </cfRule>
  </conditionalFormatting>
  <conditionalFormatting sqref="BB255:BB257">
    <cfRule type="cellIs" dxfId="12427" priority="3481" operator="lessThan">
      <formula>0</formula>
    </cfRule>
    <cfRule type="cellIs" dxfId="12426" priority="3482" operator="lessThan">
      <formula>-105575</formula>
    </cfRule>
  </conditionalFormatting>
  <conditionalFormatting sqref="BB255:BB257">
    <cfRule type="cellIs" dxfId="12425" priority="3479" operator="lessThan">
      <formula>0</formula>
    </cfRule>
    <cfRule type="cellIs" dxfId="12424" priority="3480" operator="lessThan">
      <formula>-105575</formula>
    </cfRule>
  </conditionalFormatting>
  <conditionalFormatting sqref="BB255:BB257">
    <cfRule type="cellIs" dxfId="12423" priority="3477" operator="lessThan">
      <formula>0</formula>
    </cfRule>
    <cfRule type="cellIs" dxfId="12422" priority="3478" operator="lessThan">
      <formula>-105575</formula>
    </cfRule>
  </conditionalFormatting>
  <conditionalFormatting sqref="BB255:BB257">
    <cfRule type="cellIs" dxfId="12421" priority="3475" operator="lessThan">
      <formula>0</formula>
    </cfRule>
    <cfRule type="cellIs" dxfId="12420" priority="3476" operator="lessThan">
      <formula>-105575</formula>
    </cfRule>
  </conditionalFormatting>
  <conditionalFormatting sqref="BB255:BB257">
    <cfRule type="cellIs" dxfId="12419" priority="3473" operator="lessThan">
      <formula>0</formula>
    </cfRule>
    <cfRule type="cellIs" dxfId="12418" priority="3474" operator="lessThan">
      <formula>-105575</formula>
    </cfRule>
  </conditionalFormatting>
  <conditionalFormatting sqref="BB255:BB257">
    <cfRule type="cellIs" dxfId="12417" priority="3471" operator="lessThan">
      <formula>0</formula>
    </cfRule>
    <cfRule type="cellIs" dxfId="12416" priority="3472" operator="lessThan">
      <formula>-105575</formula>
    </cfRule>
  </conditionalFormatting>
  <conditionalFormatting sqref="BB255:BB257">
    <cfRule type="cellIs" dxfId="12415" priority="3469" operator="lessThan">
      <formula>0</formula>
    </cfRule>
    <cfRule type="cellIs" dxfId="12414" priority="3470" operator="lessThan">
      <formula>-105575</formula>
    </cfRule>
  </conditionalFormatting>
  <conditionalFormatting sqref="BB255:BB257">
    <cfRule type="cellIs" dxfId="12413" priority="3467" operator="lessThan">
      <formula>0</formula>
    </cfRule>
    <cfRule type="cellIs" dxfId="12412" priority="3468" operator="lessThan">
      <formula>-105575</formula>
    </cfRule>
  </conditionalFormatting>
  <conditionalFormatting sqref="BB260:BB262">
    <cfRule type="cellIs" dxfId="12411" priority="3465" operator="lessThan">
      <formula>0</formula>
    </cfRule>
    <cfRule type="cellIs" dxfId="12410" priority="3466" operator="lessThan">
      <formula>-105575</formula>
    </cfRule>
  </conditionalFormatting>
  <conditionalFormatting sqref="BB260:BB262">
    <cfRule type="cellIs" dxfId="12409" priority="3463" operator="lessThan">
      <formula>0</formula>
    </cfRule>
    <cfRule type="cellIs" dxfId="12408" priority="3464" operator="lessThan">
      <formula>-105575</formula>
    </cfRule>
  </conditionalFormatting>
  <conditionalFormatting sqref="BB260:BB262">
    <cfRule type="cellIs" dxfId="12407" priority="3461" operator="lessThan">
      <formula>0</formula>
    </cfRule>
    <cfRule type="cellIs" dxfId="12406" priority="3462" operator="lessThan">
      <formula>-105575</formula>
    </cfRule>
  </conditionalFormatting>
  <conditionalFormatting sqref="BB260:BB262">
    <cfRule type="cellIs" dxfId="12405" priority="3459" operator="lessThan">
      <formula>0</formula>
    </cfRule>
    <cfRule type="cellIs" dxfId="12404" priority="3460" operator="lessThan">
      <formula>-105575</formula>
    </cfRule>
  </conditionalFormatting>
  <conditionalFormatting sqref="BB260:BB262">
    <cfRule type="cellIs" dxfId="12403" priority="3457" operator="lessThan">
      <formula>0</formula>
    </cfRule>
    <cfRule type="cellIs" dxfId="12402" priority="3458" operator="lessThan">
      <formula>-105575</formula>
    </cfRule>
  </conditionalFormatting>
  <conditionalFormatting sqref="BB260:BB262">
    <cfRule type="cellIs" dxfId="12401" priority="3455" operator="lessThan">
      <formula>0</formula>
    </cfRule>
    <cfRule type="cellIs" dxfId="12400" priority="3456" operator="lessThan">
      <formula>-105575</formula>
    </cfRule>
  </conditionalFormatting>
  <conditionalFormatting sqref="BB260:BB262">
    <cfRule type="cellIs" dxfId="12399" priority="3453" operator="lessThan">
      <formula>0</formula>
    </cfRule>
    <cfRule type="cellIs" dxfId="12398" priority="3454" operator="lessThan">
      <formula>-105575</formula>
    </cfRule>
  </conditionalFormatting>
  <conditionalFormatting sqref="BB260:BB262">
    <cfRule type="cellIs" dxfId="12397" priority="3451" operator="lessThan">
      <formula>0</formula>
    </cfRule>
    <cfRule type="cellIs" dxfId="12396" priority="3452" operator="lessThan">
      <formula>-105575</formula>
    </cfRule>
  </conditionalFormatting>
  <conditionalFormatting sqref="BB260:BB262">
    <cfRule type="cellIs" dxfId="12395" priority="3449" operator="lessThan">
      <formula>0</formula>
    </cfRule>
    <cfRule type="cellIs" dxfId="12394" priority="3450" operator="lessThan">
      <formula>-105575</formula>
    </cfRule>
  </conditionalFormatting>
  <conditionalFormatting sqref="BB264:BB267">
    <cfRule type="cellIs" dxfId="12393" priority="3447" operator="lessThan">
      <formula>0</formula>
    </cfRule>
    <cfRule type="cellIs" dxfId="12392" priority="3448" operator="lessThan">
      <formula>-105575</formula>
    </cfRule>
  </conditionalFormatting>
  <conditionalFormatting sqref="BB264:BB267">
    <cfRule type="cellIs" dxfId="12391" priority="3445" operator="lessThan">
      <formula>0</formula>
    </cfRule>
    <cfRule type="cellIs" dxfId="12390" priority="3446" operator="lessThan">
      <formula>-105575</formula>
    </cfRule>
  </conditionalFormatting>
  <conditionalFormatting sqref="BB264:BB267">
    <cfRule type="cellIs" dxfId="12389" priority="3443" operator="lessThan">
      <formula>0</formula>
    </cfRule>
    <cfRule type="cellIs" dxfId="12388" priority="3444" operator="lessThan">
      <formula>-105575</formula>
    </cfRule>
  </conditionalFormatting>
  <conditionalFormatting sqref="BB264:BB267">
    <cfRule type="cellIs" dxfId="12387" priority="3441" operator="lessThan">
      <formula>0</formula>
    </cfRule>
    <cfRule type="cellIs" dxfId="12386" priority="3442" operator="lessThan">
      <formula>-105575</formula>
    </cfRule>
  </conditionalFormatting>
  <conditionalFormatting sqref="BB264:BB267">
    <cfRule type="cellIs" dxfId="12385" priority="3439" operator="lessThan">
      <formula>0</formula>
    </cfRule>
    <cfRule type="cellIs" dxfId="12384" priority="3440" operator="lessThan">
      <formula>-105575</formula>
    </cfRule>
  </conditionalFormatting>
  <conditionalFormatting sqref="BB264:BB267">
    <cfRule type="cellIs" dxfId="12383" priority="3437" operator="lessThan">
      <formula>0</formula>
    </cfRule>
    <cfRule type="cellIs" dxfId="12382" priority="3438" operator="lessThan">
      <formula>-105575</formula>
    </cfRule>
  </conditionalFormatting>
  <conditionalFormatting sqref="BB264:BB267">
    <cfRule type="cellIs" dxfId="12381" priority="3435" operator="lessThan">
      <formula>0</formula>
    </cfRule>
    <cfRule type="cellIs" dxfId="12380" priority="3436" operator="lessThan">
      <formula>-105575</formula>
    </cfRule>
  </conditionalFormatting>
  <conditionalFormatting sqref="BB264:BB267">
    <cfRule type="cellIs" dxfId="12379" priority="3433" operator="lessThan">
      <formula>0</formula>
    </cfRule>
    <cfRule type="cellIs" dxfId="12378" priority="3434" operator="lessThan">
      <formula>-105575</formula>
    </cfRule>
  </conditionalFormatting>
  <conditionalFormatting sqref="BB264:BB267">
    <cfRule type="cellIs" dxfId="12377" priority="3431" operator="lessThan">
      <formula>0</formula>
    </cfRule>
    <cfRule type="cellIs" dxfId="12376" priority="3432" operator="lessThan">
      <formula>-105575</formula>
    </cfRule>
  </conditionalFormatting>
  <conditionalFormatting sqref="BB270:BB272">
    <cfRule type="cellIs" dxfId="12375" priority="3429" operator="lessThan">
      <formula>0</formula>
    </cfRule>
    <cfRule type="cellIs" dxfId="12374" priority="3430" operator="lessThan">
      <formula>-105575</formula>
    </cfRule>
  </conditionalFormatting>
  <conditionalFormatting sqref="BB270:BB272">
    <cfRule type="cellIs" dxfId="12373" priority="3427" operator="lessThan">
      <formula>0</formula>
    </cfRule>
    <cfRule type="cellIs" dxfId="12372" priority="3428" operator="lessThan">
      <formula>-105575</formula>
    </cfRule>
  </conditionalFormatting>
  <conditionalFormatting sqref="BB270:BB272">
    <cfRule type="cellIs" dxfId="12371" priority="3425" operator="lessThan">
      <formula>0</formula>
    </cfRule>
    <cfRule type="cellIs" dxfId="12370" priority="3426" operator="lessThan">
      <formula>-105575</formula>
    </cfRule>
  </conditionalFormatting>
  <conditionalFormatting sqref="BB270:BB272">
    <cfRule type="cellIs" dxfId="12369" priority="3423" operator="lessThan">
      <formula>0</formula>
    </cfRule>
    <cfRule type="cellIs" dxfId="12368" priority="3424" operator="lessThan">
      <formula>-105575</formula>
    </cfRule>
  </conditionalFormatting>
  <conditionalFormatting sqref="BB270:BB272">
    <cfRule type="cellIs" dxfId="12367" priority="3421" operator="lessThan">
      <formula>0</formula>
    </cfRule>
    <cfRule type="cellIs" dxfId="12366" priority="3422" operator="lessThan">
      <formula>-105575</formula>
    </cfRule>
  </conditionalFormatting>
  <conditionalFormatting sqref="BB270:BB272">
    <cfRule type="cellIs" dxfId="12365" priority="3419" operator="lessThan">
      <formula>0</formula>
    </cfRule>
    <cfRule type="cellIs" dxfId="12364" priority="3420" operator="lessThan">
      <formula>-105575</formula>
    </cfRule>
  </conditionalFormatting>
  <conditionalFormatting sqref="BB270:BB272">
    <cfRule type="cellIs" dxfId="12363" priority="3417" operator="lessThan">
      <formula>0</formula>
    </cfRule>
    <cfRule type="cellIs" dxfId="12362" priority="3418" operator="lessThan">
      <formula>-105575</formula>
    </cfRule>
  </conditionalFormatting>
  <conditionalFormatting sqref="BB270:BB272">
    <cfRule type="cellIs" dxfId="12361" priority="3415" operator="lessThan">
      <formula>0</formula>
    </cfRule>
    <cfRule type="cellIs" dxfId="12360" priority="3416" operator="lessThan">
      <formula>-105575</formula>
    </cfRule>
  </conditionalFormatting>
  <conditionalFormatting sqref="BB270:BB272">
    <cfRule type="cellIs" dxfId="12359" priority="3413" operator="lessThan">
      <formula>0</formula>
    </cfRule>
    <cfRule type="cellIs" dxfId="12358" priority="3414" operator="lessThan">
      <formula>-105575</formula>
    </cfRule>
  </conditionalFormatting>
  <conditionalFormatting sqref="BB274:BB275">
    <cfRule type="cellIs" dxfId="12357" priority="3411" operator="lessThan">
      <formula>0</formula>
    </cfRule>
    <cfRule type="cellIs" dxfId="12356" priority="3412" operator="lessThan">
      <formula>-105575</formula>
    </cfRule>
  </conditionalFormatting>
  <conditionalFormatting sqref="BB274:BB275">
    <cfRule type="cellIs" dxfId="12355" priority="3409" operator="lessThan">
      <formula>0</formula>
    </cfRule>
    <cfRule type="cellIs" dxfId="12354" priority="3410" operator="lessThan">
      <formula>-105575</formula>
    </cfRule>
  </conditionalFormatting>
  <conditionalFormatting sqref="BB274:BB275">
    <cfRule type="cellIs" dxfId="12353" priority="3407" operator="lessThan">
      <formula>0</formula>
    </cfRule>
    <cfRule type="cellIs" dxfId="12352" priority="3408" operator="lessThan">
      <formula>-105575</formula>
    </cfRule>
  </conditionalFormatting>
  <conditionalFormatting sqref="BB274:BB275">
    <cfRule type="cellIs" dxfId="12351" priority="3405" operator="lessThan">
      <formula>0</formula>
    </cfRule>
    <cfRule type="cellIs" dxfId="12350" priority="3406" operator="lessThan">
      <formula>-105575</formula>
    </cfRule>
  </conditionalFormatting>
  <conditionalFormatting sqref="BB274:BB275">
    <cfRule type="cellIs" dxfId="12349" priority="3403" operator="lessThan">
      <formula>0</formula>
    </cfRule>
    <cfRule type="cellIs" dxfId="12348" priority="3404" operator="lessThan">
      <formula>-105575</formula>
    </cfRule>
  </conditionalFormatting>
  <conditionalFormatting sqref="BB274:BB275">
    <cfRule type="cellIs" dxfId="12347" priority="3401" operator="lessThan">
      <formula>0</formula>
    </cfRule>
    <cfRule type="cellIs" dxfId="12346" priority="3402" operator="lessThan">
      <formula>-105575</formula>
    </cfRule>
  </conditionalFormatting>
  <conditionalFormatting sqref="BB274:BB275">
    <cfRule type="cellIs" dxfId="12345" priority="3399" operator="lessThan">
      <formula>0</formula>
    </cfRule>
    <cfRule type="cellIs" dxfId="12344" priority="3400" operator="lessThan">
      <formula>-105575</formula>
    </cfRule>
  </conditionalFormatting>
  <conditionalFormatting sqref="BB274:BB275">
    <cfRule type="cellIs" dxfId="12343" priority="3397" operator="lessThan">
      <formula>0</formula>
    </cfRule>
    <cfRule type="cellIs" dxfId="12342" priority="3398" operator="lessThan">
      <formula>-105575</formula>
    </cfRule>
  </conditionalFormatting>
  <conditionalFormatting sqref="BB274:BB275">
    <cfRule type="cellIs" dxfId="12341" priority="3395" operator="lessThan">
      <formula>0</formula>
    </cfRule>
    <cfRule type="cellIs" dxfId="12340" priority="3396" operator="lessThan">
      <formula>-105575</formula>
    </cfRule>
  </conditionalFormatting>
  <conditionalFormatting sqref="BB278:BB282">
    <cfRule type="cellIs" dxfId="12339" priority="3393" operator="lessThan">
      <formula>0</formula>
    </cfRule>
    <cfRule type="cellIs" dxfId="12338" priority="3394" operator="lessThan">
      <formula>-105575</formula>
    </cfRule>
  </conditionalFormatting>
  <conditionalFormatting sqref="BB278:BB282">
    <cfRule type="cellIs" dxfId="12337" priority="3391" operator="lessThan">
      <formula>0</formula>
    </cfRule>
    <cfRule type="cellIs" dxfId="12336" priority="3392" operator="lessThan">
      <formula>-105575</formula>
    </cfRule>
  </conditionalFormatting>
  <conditionalFormatting sqref="BB278:BB282">
    <cfRule type="cellIs" dxfId="12335" priority="3389" operator="lessThan">
      <formula>0</formula>
    </cfRule>
    <cfRule type="cellIs" dxfId="12334" priority="3390" operator="lessThan">
      <formula>-105575</formula>
    </cfRule>
  </conditionalFormatting>
  <conditionalFormatting sqref="BB278:BB282">
    <cfRule type="cellIs" dxfId="12333" priority="3387" operator="lessThan">
      <formula>0</formula>
    </cfRule>
    <cfRule type="cellIs" dxfId="12332" priority="3388" operator="lessThan">
      <formula>-105575</formula>
    </cfRule>
  </conditionalFormatting>
  <conditionalFormatting sqref="BB278:BB282">
    <cfRule type="cellIs" dxfId="12331" priority="3385" operator="lessThan">
      <formula>0</formula>
    </cfRule>
    <cfRule type="cellIs" dxfId="12330" priority="3386" operator="lessThan">
      <formula>-105575</formula>
    </cfRule>
  </conditionalFormatting>
  <conditionalFormatting sqref="BB278:BB282">
    <cfRule type="cellIs" dxfId="12329" priority="3383" operator="lessThan">
      <formula>0</formula>
    </cfRule>
    <cfRule type="cellIs" dxfId="12328" priority="3384" operator="lessThan">
      <formula>-105575</formula>
    </cfRule>
  </conditionalFormatting>
  <conditionalFormatting sqref="BB278:BB282">
    <cfRule type="cellIs" dxfId="12327" priority="3381" operator="lessThan">
      <formula>0</formula>
    </cfRule>
    <cfRule type="cellIs" dxfId="12326" priority="3382" operator="lessThan">
      <formula>-105575</formula>
    </cfRule>
  </conditionalFormatting>
  <conditionalFormatting sqref="BB278:BB282">
    <cfRule type="cellIs" dxfId="12325" priority="3379" operator="lessThan">
      <formula>0</formula>
    </cfRule>
    <cfRule type="cellIs" dxfId="12324" priority="3380" operator="lessThan">
      <formula>-105575</formula>
    </cfRule>
  </conditionalFormatting>
  <conditionalFormatting sqref="BB278:BB282">
    <cfRule type="cellIs" dxfId="12323" priority="3377" operator="lessThan">
      <formula>0</formula>
    </cfRule>
    <cfRule type="cellIs" dxfId="12322" priority="3378" operator="lessThan">
      <formula>-105575</formula>
    </cfRule>
  </conditionalFormatting>
  <conditionalFormatting sqref="BB285:BB288">
    <cfRule type="cellIs" dxfId="12321" priority="3375" operator="lessThan">
      <formula>0</formula>
    </cfRule>
    <cfRule type="cellIs" dxfId="12320" priority="3376" operator="lessThan">
      <formula>-105575</formula>
    </cfRule>
  </conditionalFormatting>
  <conditionalFormatting sqref="BB285:BB288">
    <cfRule type="cellIs" dxfId="12319" priority="3373" operator="lessThan">
      <formula>0</formula>
    </cfRule>
    <cfRule type="cellIs" dxfId="12318" priority="3374" operator="lessThan">
      <formula>-105575</formula>
    </cfRule>
  </conditionalFormatting>
  <conditionalFormatting sqref="BB285:BB288">
    <cfRule type="cellIs" dxfId="12317" priority="3371" operator="lessThan">
      <formula>0</formula>
    </cfRule>
    <cfRule type="cellIs" dxfId="12316" priority="3372" operator="lessThan">
      <formula>-105575</formula>
    </cfRule>
  </conditionalFormatting>
  <conditionalFormatting sqref="BB285:BB288">
    <cfRule type="cellIs" dxfId="12315" priority="3369" operator="lessThan">
      <formula>0</formula>
    </cfRule>
    <cfRule type="cellIs" dxfId="12314" priority="3370" operator="lessThan">
      <formula>-105575</formula>
    </cfRule>
  </conditionalFormatting>
  <conditionalFormatting sqref="BB285:BB288">
    <cfRule type="cellIs" dxfId="12313" priority="3367" operator="lessThan">
      <formula>0</formula>
    </cfRule>
    <cfRule type="cellIs" dxfId="12312" priority="3368" operator="lessThan">
      <formula>-105575</formula>
    </cfRule>
  </conditionalFormatting>
  <conditionalFormatting sqref="BB285:BB288">
    <cfRule type="cellIs" dxfId="12311" priority="3365" operator="lessThan">
      <formula>0</formula>
    </cfRule>
    <cfRule type="cellIs" dxfId="12310" priority="3366" operator="lessThan">
      <formula>-105575</formula>
    </cfRule>
  </conditionalFormatting>
  <conditionalFormatting sqref="BB285:BB288">
    <cfRule type="cellIs" dxfId="12309" priority="3363" operator="lessThan">
      <formula>0</formula>
    </cfRule>
    <cfRule type="cellIs" dxfId="12308" priority="3364" operator="lessThan">
      <formula>-105575</formula>
    </cfRule>
  </conditionalFormatting>
  <conditionalFormatting sqref="BB285:BB288">
    <cfRule type="cellIs" dxfId="12307" priority="3361" operator="lessThan">
      <formula>0</formula>
    </cfRule>
    <cfRule type="cellIs" dxfId="12306" priority="3362" operator="lessThan">
      <formula>-105575</formula>
    </cfRule>
  </conditionalFormatting>
  <conditionalFormatting sqref="BB285:BB288">
    <cfRule type="cellIs" dxfId="12305" priority="3359" operator="lessThan">
      <formula>0</formula>
    </cfRule>
    <cfRule type="cellIs" dxfId="12304" priority="3360" operator="lessThan">
      <formula>-105575</formula>
    </cfRule>
  </conditionalFormatting>
  <conditionalFormatting sqref="BB203 BB220:BB221 BB235:BB243 BB231:BB233 BB212:BB213 BB225:BB226">
    <cfRule type="cellIs" dxfId="12303" priority="3357" operator="lessThan">
      <formula>0</formula>
    </cfRule>
    <cfRule type="cellIs" dxfId="12302" priority="3358" operator="lessThan">
      <formula>-105575</formula>
    </cfRule>
  </conditionalFormatting>
  <conditionalFormatting sqref="BB220 BB212:BB213 BB235:BB238 BB240:BB243 BB225:BB226 BB231:BB233">
    <cfRule type="cellIs" dxfId="12301" priority="3355" operator="lessThan">
      <formula>0</formula>
    </cfRule>
    <cfRule type="cellIs" dxfId="12300" priority="3356" operator="lessThan">
      <formula>-105575</formula>
    </cfRule>
  </conditionalFormatting>
  <conditionalFormatting sqref="BB220:BB221 BB243 BB226 BB231:BB236 BB238:BB241 BB203 BB213">
    <cfRule type="cellIs" dxfId="12299" priority="3353" operator="lessThan">
      <formula>0</formula>
    </cfRule>
    <cfRule type="cellIs" dxfId="12298" priority="3354" operator="lessThan">
      <formula>-105575</formula>
    </cfRule>
  </conditionalFormatting>
  <conditionalFormatting sqref="BB235:BB243 BB231:BB233 BB220 BB212:BB213 BB225:BB226">
    <cfRule type="cellIs" dxfId="12297" priority="3351" operator="lessThan">
      <formula>0</formula>
    </cfRule>
    <cfRule type="cellIs" dxfId="12296" priority="3352" operator="lessThan">
      <formula>-105575</formula>
    </cfRule>
  </conditionalFormatting>
  <conditionalFormatting sqref="BB220:BB221 BB237:BB243 BB203 BB231:BB235 BB212:BB213 BB225:BB226">
    <cfRule type="cellIs" dxfId="12295" priority="3349" operator="lessThan">
      <formula>0</formula>
    </cfRule>
    <cfRule type="cellIs" dxfId="12294" priority="3350" operator="lessThan">
      <formula>-105575</formula>
    </cfRule>
  </conditionalFormatting>
  <conditionalFormatting sqref="BB220:BB221 BB237:BB240 BB242:BB243 BB225:BB226 BB231:BB235">
    <cfRule type="cellIs" dxfId="12293" priority="3347" operator="lessThan">
      <formula>0</formula>
    </cfRule>
    <cfRule type="cellIs" dxfId="12292" priority="3348" operator="lessThan">
      <formula>-105575</formula>
    </cfRule>
  </conditionalFormatting>
  <conditionalFormatting sqref="BB212 BB231 BB233:BB238 BB240:BB243 BB225">
    <cfRule type="cellIs" dxfId="12291" priority="3345" operator="lessThan">
      <formula>0</formula>
    </cfRule>
    <cfRule type="cellIs" dxfId="12290" priority="3346" operator="lessThan">
      <formula>-105575</formula>
    </cfRule>
  </conditionalFormatting>
  <conditionalFormatting sqref="BB237:BB243 BB231:BB235 BB220:BB221 BB225:BB226">
    <cfRule type="cellIs" dxfId="12289" priority="3343" operator="lessThan">
      <formula>0</formula>
    </cfRule>
    <cfRule type="cellIs" dxfId="12288" priority="3344" operator="lessThan">
      <formula>-105575</formula>
    </cfRule>
  </conditionalFormatting>
  <conditionalFormatting sqref="BB233:BB237 BB231 BB239:BB243">
    <cfRule type="cellIs" dxfId="12287" priority="3341" operator="lessThan">
      <formula>0</formula>
    </cfRule>
    <cfRule type="cellIs" dxfId="12286" priority="3342" operator="lessThan">
      <formula>-105575</formula>
    </cfRule>
  </conditionalFormatting>
  <conditionalFormatting sqref="BB233:BB237 BB231 BB239:BB243">
    <cfRule type="cellIs" dxfId="12285" priority="3339" operator="lessThan">
      <formula>0</formula>
    </cfRule>
    <cfRule type="cellIs" dxfId="12284" priority="3340" operator="lessThan">
      <formula>-105575</formula>
    </cfRule>
  </conditionalFormatting>
  <conditionalFormatting sqref="BB119:BB128 BB106:BB117 BB101:BB104 BB80:BB98">
    <cfRule type="cellIs" dxfId="12283" priority="3337" operator="lessThan">
      <formula>0</formula>
    </cfRule>
    <cfRule type="cellIs" dxfId="12282" priority="3338" operator="lessThan">
      <formula>-105575</formula>
    </cfRule>
  </conditionalFormatting>
  <conditionalFormatting sqref="BB130 BB132 BB134">
    <cfRule type="cellIs" dxfId="12281" priority="3335" operator="lessThan">
      <formula>0</formula>
    </cfRule>
    <cfRule type="cellIs" dxfId="12280" priority="3336" operator="lessThan">
      <formula>-105575</formula>
    </cfRule>
  </conditionalFormatting>
  <conditionalFormatting sqref="BB130 BB132 BB134">
    <cfRule type="cellIs" dxfId="12279" priority="3333" operator="lessThan">
      <formula>0</formula>
    </cfRule>
    <cfRule type="cellIs" dxfId="12278" priority="3334" operator="lessThan">
      <formula>-105575</formula>
    </cfRule>
  </conditionalFormatting>
  <conditionalFormatting sqref="BB129 BB131 BB133 BB135">
    <cfRule type="cellIs" dxfId="12277" priority="3331" operator="lessThan">
      <formula>0</formula>
    </cfRule>
    <cfRule type="cellIs" dxfId="12276" priority="3332" operator="lessThan">
      <formula>-105575</formula>
    </cfRule>
  </conditionalFormatting>
  <conditionalFormatting sqref="BB140 BB145 BB142:BB143 BB137:BB138">
    <cfRule type="cellIs" dxfId="12275" priority="3329" operator="lessThan">
      <formula>0</formula>
    </cfRule>
    <cfRule type="cellIs" dxfId="12274" priority="3330" operator="lessThan">
      <formula>-105575</formula>
    </cfRule>
  </conditionalFormatting>
  <conditionalFormatting sqref="BB149">
    <cfRule type="cellIs" dxfId="12273" priority="3327" operator="lessThan">
      <formula>0</formula>
    </cfRule>
    <cfRule type="cellIs" dxfId="12272" priority="3328" operator="lessThan">
      <formula>-105575</formula>
    </cfRule>
  </conditionalFormatting>
  <conditionalFormatting sqref="BB129:BB138 BB140:BB149">
    <cfRule type="cellIs" dxfId="12271" priority="3325" operator="lessThan">
      <formula>0</formula>
    </cfRule>
    <cfRule type="cellIs" dxfId="12270" priority="3326" operator="lessThan">
      <formula>-105575</formula>
    </cfRule>
  </conditionalFormatting>
  <conditionalFormatting sqref="BB94:BB98 BB86:BB87 BB89:BB91 BB141:BB149 BB124:BB133 BB107:BB110 BB112:BB117 BB119:BB122 BB135:BB138 BB101:BB104 BB80:BB84">
    <cfRule type="cellIs" dxfId="12269" priority="3323" operator="lessThan">
      <formula>0</formula>
    </cfRule>
    <cfRule type="cellIs" dxfId="12268" priority="3324" operator="lessThan">
      <formula>-105575</formula>
    </cfRule>
  </conditionalFormatting>
  <conditionalFormatting sqref="BB129 BB131 BB133 BB135">
    <cfRule type="cellIs" dxfId="12267" priority="3321" operator="lessThan">
      <formula>0</formula>
    </cfRule>
    <cfRule type="cellIs" dxfId="12266" priority="3322" operator="lessThan">
      <formula>-105575</formula>
    </cfRule>
  </conditionalFormatting>
  <conditionalFormatting sqref="BB146 BB144 BB141">
    <cfRule type="cellIs" dxfId="12265" priority="3319" operator="lessThan">
      <formula>0</formula>
    </cfRule>
    <cfRule type="cellIs" dxfId="12264" priority="3320" operator="lessThan">
      <formula>-105575</formula>
    </cfRule>
  </conditionalFormatting>
  <conditionalFormatting sqref="BB146 BB144 BB141">
    <cfRule type="cellIs" dxfId="12263" priority="3317" operator="lessThan">
      <formula>0</formula>
    </cfRule>
    <cfRule type="cellIs" dxfId="12262" priority="3318" operator="lessThan">
      <formula>-105575</formula>
    </cfRule>
  </conditionalFormatting>
  <conditionalFormatting sqref="BB140 BB145 BB142:BB143 BB137:BB138">
    <cfRule type="cellIs" dxfId="12261" priority="3315" operator="lessThan">
      <formula>0</formula>
    </cfRule>
    <cfRule type="cellIs" dxfId="12260" priority="3316" operator="lessThan">
      <formula>-105575</formula>
    </cfRule>
  </conditionalFormatting>
  <conditionalFormatting sqref="BB149">
    <cfRule type="cellIs" dxfId="12259" priority="3313" operator="lessThan">
      <formula>0</formula>
    </cfRule>
    <cfRule type="cellIs" dxfId="12258" priority="3314" operator="lessThan">
      <formula>-105575</formula>
    </cfRule>
  </conditionalFormatting>
  <conditionalFormatting sqref="BB94:BB98 BB86:BB87 BB89:BB91 BB141:BB149 BB124:BB133 BB107:BB110 BB112:BB117 BB119:BB122 BB135:BB138 BB101:BB104 BB80:BB84">
    <cfRule type="cellIs" dxfId="12257" priority="3311" operator="lessThan">
      <formula>0</formula>
    </cfRule>
    <cfRule type="cellIs" dxfId="12256" priority="3312" operator="lessThan">
      <formula>-105575</formula>
    </cfRule>
  </conditionalFormatting>
  <conditionalFormatting sqref="BB246:BB249 BB262 BB267 BB279:BB282 BB285:BB288 BB274:BB275 BB306:BB309 BB311:BB325 BB327:BB330 BB332:BB341 BB344:BB347 BB349:BB353 BB355:BB358 BB360:BB384 BB386:BB389 BB392:BB395 BB397:BB411 BB413:BB416 BB418:BB432 BB434:BB437 BB439:BB453 BB455:BB458 BB460:BB469 BB7:BB10 BB12:BB14 BB17:BB18 BB21:BB24 BB26:BB28 BB30:BB36 BB38 BB41:BB43 BB46:BB49 BB51:BB55 BB57:BB59 BB62:BB76 BB251:BB253 BB255:BB257 BB293:BB304 BB264:BB265 BB260 BB290:BB291 BB270:BB272">
    <cfRule type="cellIs" dxfId="12255" priority="3309" operator="lessThan">
      <formula>0</formula>
    </cfRule>
    <cfRule type="cellIs" dxfId="12254" priority="3310" operator="lessThan">
      <formula>-105575</formula>
    </cfRule>
  </conditionalFormatting>
  <conditionalFormatting sqref="BB41">
    <cfRule type="cellIs" dxfId="12253" priority="3307" operator="lessThan">
      <formula>0</formula>
    </cfRule>
    <cfRule type="cellIs" dxfId="12252" priority="3308" operator="lessThan">
      <formula>-105575</formula>
    </cfRule>
  </conditionalFormatting>
  <conditionalFormatting sqref="BB152:BB155">
    <cfRule type="cellIs" dxfId="12251" priority="3305" operator="lessThan">
      <formula>0</formula>
    </cfRule>
    <cfRule type="cellIs" dxfId="12250" priority="3306" operator="lessThan">
      <formula>-105575</formula>
    </cfRule>
  </conditionalFormatting>
  <conditionalFormatting sqref="BB152:BB155">
    <cfRule type="cellIs" dxfId="12249" priority="3303" operator="lessThan">
      <formula>0</formula>
    </cfRule>
    <cfRule type="cellIs" dxfId="12248" priority="3304" operator="lessThan">
      <formula>-105575</formula>
    </cfRule>
  </conditionalFormatting>
  <conditionalFormatting sqref="BB152:BB155">
    <cfRule type="cellIs" dxfId="12247" priority="3301" operator="lessThan">
      <formula>0</formula>
    </cfRule>
    <cfRule type="cellIs" dxfId="12246" priority="3302" operator="lessThan">
      <formula>-105575</formula>
    </cfRule>
  </conditionalFormatting>
  <conditionalFormatting sqref="BB157:BB158">
    <cfRule type="cellIs" dxfId="12245" priority="3299" operator="lessThan">
      <formula>0</formula>
    </cfRule>
    <cfRule type="cellIs" dxfId="12244" priority="3300" operator="lessThan">
      <formula>-105575</formula>
    </cfRule>
  </conditionalFormatting>
  <conditionalFormatting sqref="BB157:BB158">
    <cfRule type="cellIs" dxfId="12243" priority="3297" operator="lessThan">
      <formula>0</formula>
    </cfRule>
    <cfRule type="cellIs" dxfId="12242" priority="3298" operator="lessThan">
      <formula>-105575</formula>
    </cfRule>
  </conditionalFormatting>
  <conditionalFormatting sqref="BB157:BB158">
    <cfRule type="cellIs" dxfId="12241" priority="3295" operator="lessThan">
      <formula>0</formula>
    </cfRule>
    <cfRule type="cellIs" dxfId="12240" priority="3296" operator="lessThan">
      <formula>-105575</formula>
    </cfRule>
  </conditionalFormatting>
  <conditionalFormatting sqref="BB160:BB161">
    <cfRule type="cellIs" dxfId="12239" priority="3293" operator="lessThan">
      <formula>0</formula>
    </cfRule>
    <cfRule type="cellIs" dxfId="12238" priority="3294" operator="lessThan">
      <formula>-105575</formula>
    </cfRule>
  </conditionalFormatting>
  <conditionalFormatting sqref="BB160:BB161">
    <cfRule type="cellIs" dxfId="12237" priority="3291" operator="lessThan">
      <formula>0</formula>
    </cfRule>
    <cfRule type="cellIs" dxfId="12236" priority="3292" operator="lessThan">
      <formula>-105575</formula>
    </cfRule>
  </conditionalFormatting>
  <conditionalFormatting sqref="BB160:BB161">
    <cfRule type="cellIs" dxfId="12235" priority="3289" operator="lessThan">
      <formula>0</formula>
    </cfRule>
    <cfRule type="cellIs" dxfId="12234" priority="3290" operator="lessThan">
      <formula>-105575</formula>
    </cfRule>
  </conditionalFormatting>
  <conditionalFormatting sqref="BB164:BB167">
    <cfRule type="cellIs" dxfId="12233" priority="3287" operator="lessThan">
      <formula>0</formula>
    </cfRule>
    <cfRule type="cellIs" dxfId="12232" priority="3288" operator="lessThan">
      <formula>-105575</formula>
    </cfRule>
  </conditionalFormatting>
  <conditionalFormatting sqref="BB164:BB167">
    <cfRule type="cellIs" dxfId="12231" priority="3285" operator="lessThan">
      <formula>0</formula>
    </cfRule>
    <cfRule type="cellIs" dxfId="12230" priority="3286" operator="lessThan">
      <formula>-105575</formula>
    </cfRule>
  </conditionalFormatting>
  <conditionalFormatting sqref="BB164:BB167">
    <cfRule type="cellIs" dxfId="12229" priority="3283" operator="lessThan">
      <formula>0</formula>
    </cfRule>
    <cfRule type="cellIs" dxfId="12228" priority="3284" operator="lessThan">
      <formula>-105575</formula>
    </cfRule>
  </conditionalFormatting>
  <conditionalFormatting sqref="BB169:BB177">
    <cfRule type="cellIs" dxfId="12227" priority="3281" operator="lessThan">
      <formula>0</formula>
    </cfRule>
    <cfRule type="cellIs" dxfId="12226" priority="3282" operator="lessThan">
      <formula>-105575</formula>
    </cfRule>
  </conditionalFormatting>
  <conditionalFormatting sqref="BB169:BB177">
    <cfRule type="cellIs" dxfId="12225" priority="3279" operator="lessThan">
      <formula>0</formula>
    </cfRule>
    <cfRule type="cellIs" dxfId="12224" priority="3280" operator="lessThan">
      <formula>-105575</formula>
    </cfRule>
  </conditionalFormatting>
  <conditionalFormatting sqref="BB169:BB177">
    <cfRule type="cellIs" dxfId="12223" priority="3277" operator="lessThan">
      <formula>0</formula>
    </cfRule>
    <cfRule type="cellIs" dxfId="12222" priority="3278" operator="lessThan">
      <formula>-105575</formula>
    </cfRule>
  </conditionalFormatting>
  <conditionalFormatting sqref="BB179:BB180">
    <cfRule type="cellIs" dxfId="12221" priority="3275" operator="lessThan">
      <formula>0</formula>
    </cfRule>
    <cfRule type="cellIs" dxfId="12220" priority="3276" operator="lessThan">
      <formula>-105575</formula>
    </cfRule>
  </conditionalFormatting>
  <conditionalFormatting sqref="BB179:BB180">
    <cfRule type="cellIs" dxfId="12219" priority="3273" operator="lessThan">
      <formula>0</formula>
    </cfRule>
    <cfRule type="cellIs" dxfId="12218" priority="3274" operator="lessThan">
      <formula>-105575</formula>
    </cfRule>
  </conditionalFormatting>
  <conditionalFormatting sqref="BB179:BB180">
    <cfRule type="cellIs" dxfId="12217" priority="3271" operator="lessThan">
      <formula>0</formula>
    </cfRule>
    <cfRule type="cellIs" dxfId="12216" priority="3272" operator="lessThan">
      <formula>-105575</formula>
    </cfRule>
  </conditionalFormatting>
  <conditionalFormatting sqref="BB183:BB189">
    <cfRule type="cellIs" dxfId="12215" priority="3269" operator="lessThan">
      <formula>0</formula>
    </cfRule>
    <cfRule type="cellIs" dxfId="12214" priority="3270" operator="lessThan">
      <formula>-105575</formula>
    </cfRule>
  </conditionalFormatting>
  <conditionalFormatting sqref="BB183:BB189">
    <cfRule type="cellIs" dxfId="12213" priority="3267" operator="lessThan">
      <formula>0</formula>
    </cfRule>
    <cfRule type="cellIs" dxfId="12212" priority="3268" operator="lessThan">
      <formula>-105575</formula>
    </cfRule>
  </conditionalFormatting>
  <conditionalFormatting sqref="BB183:BB189">
    <cfRule type="cellIs" dxfId="12211" priority="3265" operator="lessThan">
      <formula>0</formula>
    </cfRule>
    <cfRule type="cellIs" dxfId="12210" priority="3266" operator="lessThan">
      <formula>-105575</formula>
    </cfRule>
  </conditionalFormatting>
  <conditionalFormatting sqref="BB191:BB192">
    <cfRule type="cellIs" dxfId="12209" priority="3263" operator="lessThan">
      <formula>0</formula>
    </cfRule>
    <cfRule type="cellIs" dxfId="12208" priority="3264" operator="lessThan">
      <formula>-105575</formula>
    </cfRule>
  </conditionalFormatting>
  <conditionalFormatting sqref="BB191:BB192">
    <cfRule type="cellIs" dxfId="12207" priority="3261" operator="lessThan">
      <formula>0</formula>
    </cfRule>
    <cfRule type="cellIs" dxfId="12206" priority="3262" operator="lessThan">
      <formula>-105575</formula>
    </cfRule>
  </conditionalFormatting>
  <conditionalFormatting sqref="BB191:BB192">
    <cfRule type="cellIs" dxfId="12205" priority="3259" operator="lessThan">
      <formula>0</formula>
    </cfRule>
    <cfRule type="cellIs" dxfId="12204" priority="3260" operator="lessThan">
      <formula>-105575</formula>
    </cfRule>
  </conditionalFormatting>
  <conditionalFormatting sqref="BB194:BB195">
    <cfRule type="cellIs" dxfId="12203" priority="3257" operator="lessThan">
      <formula>0</formula>
    </cfRule>
    <cfRule type="cellIs" dxfId="12202" priority="3258" operator="lessThan">
      <formula>-105575</formula>
    </cfRule>
  </conditionalFormatting>
  <conditionalFormatting sqref="BB194:BB195">
    <cfRule type="cellIs" dxfId="12201" priority="3255" operator="lessThan">
      <formula>0</formula>
    </cfRule>
    <cfRule type="cellIs" dxfId="12200" priority="3256" operator="lessThan">
      <formula>-105575</formula>
    </cfRule>
  </conditionalFormatting>
  <conditionalFormatting sqref="BB194:BB195">
    <cfRule type="cellIs" dxfId="12199" priority="3253" operator="lessThan">
      <formula>0</formula>
    </cfRule>
    <cfRule type="cellIs" dxfId="12198" priority="3254" operator="lessThan">
      <formula>-105575</formula>
    </cfRule>
  </conditionalFormatting>
  <conditionalFormatting sqref="BB199:BB202">
    <cfRule type="cellIs" dxfId="12197" priority="3251" operator="lessThan">
      <formula>0</formula>
    </cfRule>
    <cfRule type="cellIs" dxfId="12196" priority="3252" operator="lessThan">
      <formula>-105575</formula>
    </cfRule>
  </conditionalFormatting>
  <conditionalFormatting sqref="BB199:BB202">
    <cfRule type="cellIs" dxfId="12195" priority="3249" operator="lessThan">
      <formula>0</formula>
    </cfRule>
    <cfRule type="cellIs" dxfId="12194" priority="3250" operator="lessThan">
      <formula>-105575</formula>
    </cfRule>
  </conditionalFormatting>
  <conditionalFormatting sqref="BB199:BB202">
    <cfRule type="cellIs" dxfId="12193" priority="3247" operator="lessThan">
      <formula>0</formula>
    </cfRule>
    <cfRule type="cellIs" dxfId="12192" priority="3248" operator="lessThan">
      <formula>-105575</formula>
    </cfRule>
  </conditionalFormatting>
  <conditionalFormatting sqref="BB204:BB208">
    <cfRule type="cellIs" dxfId="12191" priority="3245" operator="lessThan">
      <formula>0</formula>
    </cfRule>
    <cfRule type="cellIs" dxfId="12190" priority="3246" operator="lessThan">
      <formula>-105575</formula>
    </cfRule>
  </conditionalFormatting>
  <conditionalFormatting sqref="BB204:BB208">
    <cfRule type="cellIs" dxfId="12189" priority="3243" operator="lessThan">
      <formula>0</formula>
    </cfRule>
    <cfRule type="cellIs" dxfId="12188" priority="3244" operator="lessThan">
      <formula>-105575</formula>
    </cfRule>
  </conditionalFormatting>
  <conditionalFormatting sqref="BB204:BB208">
    <cfRule type="cellIs" dxfId="12187" priority="3241" operator="lessThan">
      <formula>0</formula>
    </cfRule>
    <cfRule type="cellIs" dxfId="12186" priority="3242" operator="lessThan">
      <formula>-105575</formula>
    </cfRule>
  </conditionalFormatting>
  <conditionalFormatting sqref="BB210:BB211">
    <cfRule type="cellIs" dxfId="12185" priority="3239" operator="lessThan">
      <formula>0</formula>
    </cfRule>
    <cfRule type="cellIs" dxfId="12184" priority="3240" operator="lessThan">
      <formula>-105575</formula>
    </cfRule>
  </conditionalFormatting>
  <conditionalFormatting sqref="BB210:BB211">
    <cfRule type="cellIs" dxfId="12183" priority="3237" operator="lessThan">
      <formula>0</formula>
    </cfRule>
    <cfRule type="cellIs" dxfId="12182" priority="3238" operator="lessThan">
      <formula>-105575</formula>
    </cfRule>
  </conditionalFormatting>
  <conditionalFormatting sqref="BB210:BB211">
    <cfRule type="cellIs" dxfId="12181" priority="3235" operator="lessThan">
      <formula>0</formula>
    </cfRule>
    <cfRule type="cellIs" dxfId="12180" priority="3236" operator="lessThan">
      <formula>-105575</formula>
    </cfRule>
  </conditionalFormatting>
  <conditionalFormatting sqref="BB214:BB219">
    <cfRule type="cellIs" dxfId="12179" priority="3233" operator="lessThan">
      <formula>0</formula>
    </cfRule>
    <cfRule type="cellIs" dxfId="12178" priority="3234" operator="lessThan">
      <formula>-105575</formula>
    </cfRule>
  </conditionalFormatting>
  <conditionalFormatting sqref="BB214:BB219">
    <cfRule type="cellIs" dxfId="12177" priority="3231" operator="lessThan">
      <formula>0</formula>
    </cfRule>
    <cfRule type="cellIs" dxfId="12176" priority="3232" operator="lessThan">
      <formula>-105575</formula>
    </cfRule>
  </conditionalFormatting>
  <conditionalFormatting sqref="BB214:BB219">
    <cfRule type="cellIs" dxfId="12175" priority="3229" operator="lessThan">
      <formula>0</formula>
    </cfRule>
    <cfRule type="cellIs" dxfId="12174" priority="3230" operator="lessThan">
      <formula>-105575</formula>
    </cfRule>
  </conditionalFormatting>
  <conditionalFormatting sqref="BB222:BB224">
    <cfRule type="cellIs" dxfId="12173" priority="3227" operator="lessThan">
      <formula>0</formula>
    </cfRule>
    <cfRule type="cellIs" dxfId="12172" priority="3228" operator="lessThan">
      <formula>-105575</formula>
    </cfRule>
  </conditionalFormatting>
  <conditionalFormatting sqref="BB222:BB224">
    <cfRule type="cellIs" dxfId="12171" priority="3225" operator="lessThan">
      <formula>0</formula>
    </cfRule>
    <cfRule type="cellIs" dxfId="12170" priority="3226" operator="lessThan">
      <formula>-105575</formula>
    </cfRule>
  </conditionalFormatting>
  <conditionalFormatting sqref="BB222:BB224">
    <cfRule type="cellIs" dxfId="12169" priority="3223" operator="lessThan">
      <formula>0</formula>
    </cfRule>
    <cfRule type="cellIs" dxfId="12168" priority="3224" operator="lessThan">
      <formula>-105575</formula>
    </cfRule>
  </conditionalFormatting>
  <conditionalFormatting sqref="BB227:BB230">
    <cfRule type="cellIs" dxfId="12167" priority="3221" operator="lessThan">
      <formula>0</formula>
    </cfRule>
    <cfRule type="cellIs" dxfId="12166" priority="3222" operator="lessThan">
      <formula>-105575</formula>
    </cfRule>
  </conditionalFormatting>
  <conditionalFormatting sqref="BB227:BB230">
    <cfRule type="cellIs" dxfId="12165" priority="3219" operator="lessThan">
      <formula>0</formula>
    </cfRule>
    <cfRule type="cellIs" dxfId="12164" priority="3220" operator="lessThan">
      <formula>-105575</formula>
    </cfRule>
  </conditionalFormatting>
  <conditionalFormatting sqref="BB227:BB230">
    <cfRule type="cellIs" dxfId="12163" priority="3217" operator="lessThan">
      <formula>0</formula>
    </cfRule>
    <cfRule type="cellIs" dxfId="12162" priority="3218" operator="lessThan">
      <formula>-105575</formula>
    </cfRule>
  </conditionalFormatting>
  <conditionalFormatting sqref="BB203 BB220:BB221 BB235:BB243 BB231:BB233 BB212:BB213 BB225:BB226">
    <cfRule type="cellIs" dxfId="12161" priority="3215" operator="lessThan">
      <formula>0</formula>
    </cfRule>
    <cfRule type="cellIs" dxfId="12160" priority="3216" operator="lessThan">
      <formula>-105575</formula>
    </cfRule>
  </conditionalFormatting>
  <conditionalFormatting sqref="BB220 BB212:BB213 BB235:BB238 BB240:BB243 BB225:BB226 BB231:BB233">
    <cfRule type="cellIs" dxfId="12159" priority="3213" operator="lessThan">
      <formula>0</formula>
    </cfRule>
    <cfRule type="cellIs" dxfId="12158" priority="3214" operator="lessThan">
      <formula>-105575</formula>
    </cfRule>
  </conditionalFormatting>
  <conditionalFormatting sqref="BB220:BB221 BB243 BB226 BB231:BB236 BB238:BB241 BB203 BB213">
    <cfRule type="cellIs" dxfId="12157" priority="3211" operator="lessThan">
      <formula>0</formula>
    </cfRule>
    <cfRule type="cellIs" dxfId="12156" priority="3212" operator="lessThan">
      <formula>-105575</formula>
    </cfRule>
  </conditionalFormatting>
  <conditionalFormatting sqref="BB235:BB243 BB231:BB233 BB220 BB212:BB213 BB225:BB226">
    <cfRule type="cellIs" dxfId="12155" priority="3209" operator="lessThan">
      <formula>0</formula>
    </cfRule>
    <cfRule type="cellIs" dxfId="12154" priority="3210" operator="lessThan">
      <formula>-105575</formula>
    </cfRule>
  </conditionalFormatting>
  <conditionalFormatting sqref="BB220:BB221 BB237:BB243 BB203 BB231:BB235 BB212:BB213 BB225:BB226">
    <cfRule type="cellIs" dxfId="12153" priority="3207" operator="lessThan">
      <formula>0</formula>
    </cfRule>
    <cfRule type="cellIs" dxfId="12152" priority="3208" operator="lessThan">
      <formula>-105575</formula>
    </cfRule>
  </conditionalFormatting>
  <conditionalFormatting sqref="BB220:BB221 BB237:BB240 BB242:BB243 BB225:BB226 BB231:BB235">
    <cfRule type="cellIs" dxfId="12151" priority="3205" operator="lessThan">
      <formula>0</formula>
    </cfRule>
    <cfRule type="cellIs" dxfId="12150" priority="3206" operator="lessThan">
      <formula>-105575</formula>
    </cfRule>
  </conditionalFormatting>
  <conditionalFormatting sqref="BB212 BB231 BB233:BB238 BB240:BB243 BB225">
    <cfRule type="cellIs" dxfId="12149" priority="3203" operator="lessThan">
      <formula>0</formula>
    </cfRule>
    <cfRule type="cellIs" dxfId="12148" priority="3204" operator="lessThan">
      <formula>-105575</formula>
    </cfRule>
  </conditionalFormatting>
  <conditionalFormatting sqref="BB237:BB243 BB231:BB235 BB220:BB221 BB225:BB226">
    <cfRule type="cellIs" dxfId="12147" priority="3201" operator="lessThan">
      <formula>0</formula>
    </cfRule>
    <cfRule type="cellIs" dxfId="12146" priority="3202" operator="lessThan">
      <formula>-105575</formula>
    </cfRule>
  </conditionalFormatting>
  <conditionalFormatting sqref="BB233:BB237 BB231 BB239:BB243">
    <cfRule type="cellIs" dxfId="12145" priority="3199" operator="lessThan">
      <formula>0</formula>
    </cfRule>
    <cfRule type="cellIs" dxfId="12144" priority="3200" operator="lessThan">
      <formula>-105575</formula>
    </cfRule>
  </conditionalFormatting>
  <conditionalFormatting sqref="BB233:BB237 BB231 BB239:BB243">
    <cfRule type="cellIs" dxfId="12143" priority="3197" operator="lessThan">
      <formula>0</formula>
    </cfRule>
    <cfRule type="cellIs" dxfId="12142" priority="3198" operator="lessThan">
      <formula>-105575</formula>
    </cfRule>
  </conditionalFormatting>
  <conditionalFormatting sqref="BB119:BB128 BB106:BB117 BB101:BB104 BB80:BB98">
    <cfRule type="cellIs" dxfId="12141" priority="3195" operator="lessThan">
      <formula>0</formula>
    </cfRule>
    <cfRule type="cellIs" dxfId="12140" priority="3196" operator="lessThan">
      <formula>-105575</formula>
    </cfRule>
  </conditionalFormatting>
  <conditionalFormatting sqref="BB130 BB132 BB134">
    <cfRule type="cellIs" dxfId="12139" priority="3193" operator="lessThan">
      <formula>0</formula>
    </cfRule>
    <cfRule type="cellIs" dxfId="12138" priority="3194" operator="lessThan">
      <formula>-105575</formula>
    </cfRule>
  </conditionalFormatting>
  <conditionalFormatting sqref="BB130 BB132 BB134">
    <cfRule type="cellIs" dxfId="12137" priority="3191" operator="lessThan">
      <formula>0</formula>
    </cfRule>
    <cfRule type="cellIs" dxfId="12136" priority="3192" operator="lessThan">
      <formula>-105575</formula>
    </cfRule>
  </conditionalFormatting>
  <conditionalFormatting sqref="BB129 BB131 BB133 BB135">
    <cfRule type="cellIs" dxfId="12135" priority="3189" operator="lessThan">
      <formula>0</formula>
    </cfRule>
    <cfRule type="cellIs" dxfId="12134" priority="3190" operator="lessThan">
      <formula>-105575</formula>
    </cfRule>
  </conditionalFormatting>
  <conditionalFormatting sqref="BB140 BB145 BB142:BB143 BB137:BB138">
    <cfRule type="cellIs" dxfId="12133" priority="3187" operator="lessThan">
      <formula>0</formula>
    </cfRule>
    <cfRule type="cellIs" dxfId="12132" priority="3188" operator="lessThan">
      <formula>-105575</formula>
    </cfRule>
  </conditionalFormatting>
  <conditionalFormatting sqref="BB149">
    <cfRule type="cellIs" dxfId="12131" priority="3185" operator="lessThan">
      <formula>0</formula>
    </cfRule>
    <cfRule type="cellIs" dxfId="12130" priority="3186" operator="lessThan">
      <formula>-105575</formula>
    </cfRule>
  </conditionalFormatting>
  <conditionalFormatting sqref="BB129:BB138 BB140:BB149">
    <cfRule type="cellIs" dxfId="12129" priority="3183" operator="lessThan">
      <formula>0</formula>
    </cfRule>
    <cfRule type="cellIs" dxfId="12128" priority="3184" operator="lessThan">
      <formula>-105575</formula>
    </cfRule>
  </conditionalFormatting>
  <conditionalFormatting sqref="BB94:BB98 BB86:BB87 BB89:BB91 BB141:BB149 BB124:BB133 BB107:BB110 BB112:BB117 BB119:BB122 BB135:BB138 BB101:BB104 BB80:BB84">
    <cfRule type="cellIs" dxfId="12127" priority="3181" operator="lessThan">
      <formula>0</formula>
    </cfRule>
    <cfRule type="cellIs" dxfId="12126" priority="3182" operator="lessThan">
      <formula>-105575</formula>
    </cfRule>
  </conditionalFormatting>
  <conditionalFormatting sqref="BB129 BB131 BB133 BB135">
    <cfRule type="cellIs" dxfId="12125" priority="3179" operator="lessThan">
      <formula>0</formula>
    </cfRule>
    <cfRule type="cellIs" dxfId="12124" priority="3180" operator="lessThan">
      <formula>-105575</formula>
    </cfRule>
  </conditionalFormatting>
  <conditionalFormatting sqref="BB146 BB144 BB141">
    <cfRule type="cellIs" dxfId="12123" priority="3177" operator="lessThan">
      <formula>0</formula>
    </cfRule>
    <cfRule type="cellIs" dxfId="12122" priority="3178" operator="lessThan">
      <formula>-105575</formula>
    </cfRule>
  </conditionalFormatting>
  <conditionalFormatting sqref="BB146 BB144 BB141">
    <cfRule type="cellIs" dxfId="12121" priority="3175" operator="lessThan">
      <formula>0</formula>
    </cfRule>
    <cfRule type="cellIs" dxfId="12120" priority="3176" operator="lessThan">
      <formula>-105575</formula>
    </cfRule>
  </conditionalFormatting>
  <conditionalFormatting sqref="BB140 BB145 BB142:BB143 BB137:BB138">
    <cfRule type="cellIs" dxfId="12119" priority="3173" operator="lessThan">
      <formula>0</formula>
    </cfRule>
    <cfRule type="cellIs" dxfId="12118" priority="3174" operator="lessThan">
      <formula>-105575</formula>
    </cfRule>
  </conditionalFormatting>
  <conditionalFormatting sqref="BB149">
    <cfRule type="cellIs" dxfId="12117" priority="3171" operator="lessThan">
      <formula>0</formula>
    </cfRule>
    <cfRule type="cellIs" dxfId="12116" priority="3172" operator="lessThan">
      <formula>-105575</formula>
    </cfRule>
  </conditionalFormatting>
  <conditionalFormatting sqref="BB94:BB98 BB86:BB87 BB89:BB91 BB141:BB149 BB124:BB133 BB107:BB110 BB112:BB117 BB119:BB122 BB135:BB138 BB101:BB104 BB80:BB84">
    <cfRule type="cellIs" dxfId="12115" priority="3169" operator="lessThan">
      <formula>0</formula>
    </cfRule>
    <cfRule type="cellIs" dxfId="12114" priority="3170" operator="lessThan">
      <formula>-105575</formula>
    </cfRule>
  </conditionalFormatting>
  <conditionalFormatting sqref="BB62:BB76 BB306:BB309 BB311:BB325 BB327:BB330 BB332:BB341 BB344:BB347 BB349:BB353 BB355:BB358 BB360:BB384 BB386:BB389 BB392:BB395 BB397:BB411 BB413:BB416 BB418:BB432 BB434:BB437 BB439:BB453 BB455:BB458 BB460:BB469 BB7:BB10 BB12:BB14 BB17:BB18 BB21:BB24 BB26:BB28 BB30:BB36 BB38 BB41:BB43 BB46:BB49 BB51:BB55 BB57:BB59 BB290:BB291 BB293:BB304">
    <cfRule type="cellIs" dxfId="12113" priority="3167" operator="lessThan">
      <formula>0</formula>
    </cfRule>
    <cfRule type="cellIs" dxfId="12112" priority="3168" operator="lessThan">
      <formula>-105575</formula>
    </cfRule>
  </conditionalFormatting>
  <conditionalFormatting sqref="BB41">
    <cfRule type="cellIs" dxfId="12111" priority="3165" operator="lessThan">
      <formula>0</formula>
    </cfRule>
    <cfRule type="cellIs" dxfId="12110" priority="3166" operator="lessThan">
      <formula>-105575</formula>
    </cfRule>
  </conditionalFormatting>
  <conditionalFormatting sqref="BB152:BB155">
    <cfRule type="cellIs" dxfId="12109" priority="3163" operator="lessThan">
      <formula>0</formula>
    </cfRule>
    <cfRule type="cellIs" dxfId="12108" priority="3164" operator="lessThan">
      <formula>-105575</formula>
    </cfRule>
  </conditionalFormatting>
  <conditionalFormatting sqref="BB152:BB155">
    <cfRule type="cellIs" dxfId="12107" priority="3161" operator="lessThan">
      <formula>0</formula>
    </cfRule>
    <cfRule type="cellIs" dxfId="12106" priority="3162" operator="lessThan">
      <formula>-105575</formula>
    </cfRule>
  </conditionalFormatting>
  <conditionalFormatting sqref="BB152:BB155">
    <cfRule type="cellIs" dxfId="12105" priority="3159" operator="lessThan">
      <formula>0</formula>
    </cfRule>
    <cfRule type="cellIs" dxfId="12104" priority="3160" operator="lessThan">
      <formula>-105575</formula>
    </cfRule>
  </conditionalFormatting>
  <conditionalFormatting sqref="BB157:BB158">
    <cfRule type="cellIs" dxfId="12103" priority="3157" operator="lessThan">
      <formula>0</formula>
    </cfRule>
    <cfRule type="cellIs" dxfId="12102" priority="3158" operator="lessThan">
      <formula>-105575</formula>
    </cfRule>
  </conditionalFormatting>
  <conditionalFormatting sqref="BB157:BB158">
    <cfRule type="cellIs" dxfId="12101" priority="3155" operator="lessThan">
      <formula>0</formula>
    </cfRule>
    <cfRule type="cellIs" dxfId="12100" priority="3156" operator="lessThan">
      <formula>-105575</formula>
    </cfRule>
  </conditionalFormatting>
  <conditionalFormatting sqref="BB157:BB158">
    <cfRule type="cellIs" dxfId="12099" priority="3153" operator="lessThan">
      <formula>0</formula>
    </cfRule>
    <cfRule type="cellIs" dxfId="12098" priority="3154" operator="lessThan">
      <formula>-105575</formula>
    </cfRule>
  </conditionalFormatting>
  <conditionalFormatting sqref="BB160:BB161">
    <cfRule type="cellIs" dxfId="12097" priority="3151" operator="lessThan">
      <formula>0</formula>
    </cfRule>
    <cfRule type="cellIs" dxfId="12096" priority="3152" operator="lessThan">
      <formula>-105575</formula>
    </cfRule>
  </conditionalFormatting>
  <conditionalFormatting sqref="BB160:BB161">
    <cfRule type="cellIs" dxfId="12095" priority="3149" operator="lessThan">
      <formula>0</formula>
    </cfRule>
    <cfRule type="cellIs" dxfId="12094" priority="3150" operator="lessThan">
      <formula>-105575</formula>
    </cfRule>
  </conditionalFormatting>
  <conditionalFormatting sqref="BB160:BB161">
    <cfRule type="cellIs" dxfId="12093" priority="3147" operator="lessThan">
      <formula>0</formula>
    </cfRule>
    <cfRule type="cellIs" dxfId="12092" priority="3148" operator="lessThan">
      <formula>-105575</formula>
    </cfRule>
  </conditionalFormatting>
  <conditionalFormatting sqref="BB164:BB167">
    <cfRule type="cellIs" dxfId="12091" priority="3145" operator="lessThan">
      <formula>0</formula>
    </cfRule>
    <cfRule type="cellIs" dxfId="12090" priority="3146" operator="lessThan">
      <formula>-105575</formula>
    </cfRule>
  </conditionalFormatting>
  <conditionalFormatting sqref="BB164:BB167">
    <cfRule type="cellIs" dxfId="12089" priority="3143" operator="lessThan">
      <formula>0</formula>
    </cfRule>
    <cfRule type="cellIs" dxfId="12088" priority="3144" operator="lessThan">
      <formula>-105575</formula>
    </cfRule>
  </conditionalFormatting>
  <conditionalFormatting sqref="BB164:BB167">
    <cfRule type="cellIs" dxfId="12087" priority="3141" operator="lessThan">
      <formula>0</formula>
    </cfRule>
    <cfRule type="cellIs" dxfId="12086" priority="3142" operator="lessThan">
      <formula>-105575</formula>
    </cfRule>
  </conditionalFormatting>
  <conditionalFormatting sqref="BB169:BB177">
    <cfRule type="cellIs" dxfId="12085" priority="3139" operator="lessThan">
      <formula>0</formula>
    </cfRule>
    <cfRule type="cellIs" dxfId="12084" priority="3140" operator="lessThan">
      <formula>-105575</formula>
    </cfRule>
  </conditionalFormatting>
  <conditionalFormatting sqref="BB169:BB177">
    <cfRule type="cellIs" dxfId="12083" priority="3137" operator="lessThan">
      <formula>0</formula>
    </cfRule>
    <cfRule type="cellIs" dxfId="12082" priority="3138" operator="lessThan">
      <formula>-105575</formula>
    </cfRule>
  </conditionalFormatting>
  <conditionalFormatting sqref="BB169:BB177">
    <cfRule type="cellIs" dxfId="12081" priority="3135" operator="lessThan">
      <formula>0</formula>
    </cfRule>
    <cfRule type="cellIs" dxfId="12080" priority="3136" operator="lessThan">
      <formula>-105575</formula>
    </cfRule>
  </conditionalFormatting>
  <conditionalFormatting sqref="BB179:BB180">
    <cfRule type="cellIs" dxfId="12079" priority="3133" operator="lessThan">
      <formula>0</formula>
    </cfRule>
    <cfRule type="cellIs" dxfId="12078" priority="3134" operator="lessThan">
      <formula>-105575</formula>
    </cfRule>
  </conditionalFormatting>
  <conditionalFormatting sqref="BB179:BB180">
    <cfRule type="cellIs" dxfId="12077" priority="3131" operator="lessThan">
      <formula>0</formula>
    </cfRule>
    <cfRule type="cellIs" dxfId="12076" priority="3132" operator="lessThan">
      <formula>-105575</formula>
    </cfRule>
  </conditionalFormatting>
  <conditionalFormatting sqref="BB179:BB180">
    <cfRule type="cellIs" dxfId="12075" priority="3129" operator="lessThan">
      <formula>0</formula>
    </cfRule>
    <cfRule type="cellIs" dxfId="12074" priority="3130" operator="lessThan">
      <formula>-105575</formula>
    </cfRule>
  </conditionalFormatting>
  <conditionalFormatting sqref="BB183:BB189">
    <cfRule type="cellIs" dxfId="12073" priority="3127" operator="lessThan">
      <formula>0</formula>
    </cfRule>
    <cfRule type="cellIs" dxfId="12072" priority="3128" operator="lessThan">
      <formula>-105575</formula>
    </cfRule>
  </conditionalFormatting>
  <conditionalFormatting sqref="BB183:BB189">
    <cfRule type="cellIs" dxfId="12071" priority="3125" operator="lessThan">
      <formula>0</formula>
    </cfRule>
    <cfRule type="cellIs" dxfId="12070" priority="3126" operator="lessThan">
      <formula>-105575</formula>
    </cfRule>
  </conditionalFormatting>
  <conditionalFormatting sqref="BB183:BB189">
    <cfRule type="cellIs" dxfId="12069" priority="3123" operator="lessThan">
      <formula>0</formula>
    </cfRule>
    <cfRule type="cellIs" dxfId="12068" priority="3124" operator="lessThan">
      <formula>-105575</formula>
    </cfRule>
  </conditionalFormatting>
  <conditionalFormatting sqref="BB191:BB192">
    <cfRule type="cellIs" dxfId="12067" priority="3121" operator="lessThan">
      <formula>0</formula>
    </cfRule>
    <cfRule type="cellIs" dxfId="12066" priority="3122" operator="lessThan">
      <formula>-105575</formula>
    </cfRule>
  </conditionalFormatting>
  <conditionalFormatting sqref="BB191:BB192">
    <cfRule type="cellIs" dxfId="12065" priority="3119" operator="lessThan">
      <formula>0</formula>
    </cfRule>
    <cfRule type="cellIs" dxfId="12064" priority="3120" operator="lessThan">
      <formula>-105575</formula>
    </cfRule>
  </conditionalFormatting>
  <conditionalFormatting sqref="BB191:BB192">
    <cfRule type="cellIs" dxfId="12063" priority="3117" operator="lessThan">
      <formula>0</formula>
    </cfRule>
    <cfRule type="cellIs" dxfId="12062" priority="3118" operator="lessThan">
      <formula>-105575</formula>
    </cfRule>
  </conditionalFormatting>
  <conditionalFormatting sqref="BB194:BB195">
    <cfRule type="cellIs" dxfId="12061" priority="3115" operator="lessThan">
      <formula>0</formula>
    </cfRule>
    <cfRule type="cellIs" dxfId="12060" priority="3116" operator="lessThan">
      <formula>-105575</formula>
    </cfRule>
  </conditionalFormatting>
  <conditionalFormatting sqref="BB194:BB195">
    <cfRule type="cellIs" dxfId="12059" priority="3113" operator="lessThan">
      <formula>0</formula>
    </cfRule>
    <cfRule type="cellIs" dxfId="12058" priority="3114" operator="lessThan">
      <formula>-105575</formula>
    </cfRule>
  </conditionalFormatting>
  <conditionalFormatting sqref="BB194:BB195">
    <cfRule type="cellIs" dxfId="12057" priority="3111" operator="lessThan">
      <formula>0</formula>
    </cfRule>
    <cfRule type="cellIs" dxfId="12056" priority="3112" operator="lessThan">
      <formula>-105575</formula>
    </cfRule>
  </conditionalFormatting>
  <conditionalFormatting sqref="BB199:BB202">
    <cfRule type="cellIs" dxfId="12055" priority="3109" operator="lessThan">
      <formula>0</formula>
    </cfRule>
    <cfRule type="cellIs" dxfId="12054" priority="3110" operator="lessThan">
      <formula>-105575</formula>
    </cfRule>
  </conditionalFormatting>
  <conditionalFormatting sqref="BB199:BB202">
    <cfRule type="cellIs" dxfId="12053" priority="3107" operator="lessThan">
      <formula>0</formula>
    </cfRule>
    <cfRule type="cellIs" dxfId="12052" priority="3108" operator="lessThan">
      <formula>-105575</formula>
    </cfRule>
  </conditionalFormatting>
  <conditionalFormatting sqref="BB199:BB202">
    <cfRule type="cellIs" dxfId="12051" priority="3105" operator="lessThan">
      <formula>0</formula>
    </cfRule>
    <cfRule type="cellIs" dxfId="12050" priority="3106" operator="lessThan">
      <formula>-105575</formula>
    </cfRule>
  </conditionalFormatting>
  <conditionalFormatting sqref="BB204:BB208">
    <cfRule type="cellIs" dxfId="12049" priority="3103" operator="lessThan">
      <formula>0</formula>
    </cfRule>
    <cfRule type="cellIs" dxfId="12048" priority="3104" operator="lessThan">
      <formula>-105575</formula>
    </cfRule>
  </conditionalFormatting>
  <conditionalFormatting sqref="BB204:BB208">
    <cfRule type="cellIs" dxfId="12047" priority="3101" operator="lessThan">
      <formula>0</formula>
    </cfRule>
    <cfRule type="cellIs" dxfId="12046" priority="3102" operator="lessThan">
      <formula>-105575</formula>
    </cfRule>
  </conditionalFormatting>
  <conditionalFormatting sqref="BB204:BB208">
    <cfRule type="cellIs" dxfId="12045" priority="3099" operator="lessThan">
      <formula>0</formula>
    </cfRule>
    <cfRule type="cellIs" dxfId="12044" priority="3100" operator="lessThan">
      <formula>-105575</formula>
    </cfRule>
  </conditionalFormatting>
  <conditionalFormatting sqref="BB210:BB211">
    <cfRule type="cellIs" dxfId="12043" priority="3097" operator="lessThan">
      <formula>0</formula>
    </cfRule>
    <cfRule type="cellIs" dxfId="12042" priority="3098" operator="lessThan">
      <formula>-105575</formula>
    </cfRule>
  </conditionalFormatting>
  <conditionalFormatting sqref="BB210:BB211">
    <cfRule type="cellIs" dxfId="12041" priority="3095" operator="lessThan">
      <formula>0</formula>
    </cfRule>
    <cfRule type="cellIs" dxfId="12040" priority="3096" operator="lessThan">
      <formula>-105575</formula>
    </cfRule>
  </conditionalFormatting>
  <conditionalFormatting sqref="BB210:BB211">
    <cfRule type="cellIs" dxfId="12039" priority="3093" operator="lessThan">
      <formula>0</formula>
    </cfRule>
    <cfRule type="cellIs" dxfId="12038" priority="3094" operator="lessThan">
      <formula>-105575</formula>
    </cfRule>
  </conditionalFormatting>
  <conditionalFormatting sqref="BB214:BB219">
    <cfRule type="cellIs" dxfId="12037" priority="3091" operator="lessThan">
      <formula>0</formula>
    </cfRule>
    <cfRule type="cellIs" dxfId="12036" priority="3092" operator="lessThan">
      <formula>-105575</formula>
    </cfRule>
  </conditionalFormatting>
  <conditionalFormatting sqref="BB214:BB219">
    <cfRule type="cellIs" dxfId="12035" priority="3089" operator="lessThan">
      <formula>0</formula>
    </cfRule>
    <cfRule type="cellIs" dxfId="12034" priority="3090" operator="lessThan">
      <formula>-105575</formula>
    </cfRule>
  </conditionalFormatting>
  <conditionalFormatting sqref="BB214:BB219">
    <cfRule type="cellIs" dxfId="12033" priority="3087" operator="lessThan">
      <formula>0</formula>
    </cfRule>
    <cfRule type="cellIs" dxfId="12032" priority="3088" operator="lessThan">
      <formula>-105575</formula>
    </cfRule>
  </conditionalFormatting>
  <conditionalFormatting sqref="BB222:BB224">
    <cfRule type="cellIs" dxfId="12031" priority="3085" operator="lessThan">
      <formula>0</formula>
    </cfRule>
    <cfRule type="cellIs" dxfId="12030" priority="3086" operator="lessThan">
      <formula>-105575</formula>
    </cfRule>
  </conditionalFormatting>
  <conditionalFormatting sqref="BB222:BB224">
    <cfRule type="cellIs" dxfId="12029" priority="3083" operator="lessThan">
      <formula>0</formula>
    </cfRule>
    <cfRule type="cellIs" dxfId="12028" priority="3084" operator="lessThan">
      <formula>-105575</formula>
    </cfRule>
  </conditionalFormatting>
  <conditionalFormatting sqref="BB222:BB224">
    <cfRule type="cellIs" dxfId="12027" priority="3081" operator="lessThan">
      <formula>0</formula>
    </cfRule>
    <cfRule type="cellIs" dxfId="12026" priority="3082" operator="lessThan">
      <formula>-105575</formula>
    </cfRule>
  </conditionalFormatting>
  <conditionalFormatting sqref="BB227:BB230">
    <cfRule type="cellIs" dxfId="12025" priority="3079" operator="lessThan">
      <formula>0</formula>
    </cfRule>
    <cfRule type="cellIs" dxfId="12024" priority="3080" operator="lessThan">
      <formula>-105575</formula>
    </cfRule>
  </conditionalFormatting>
  <conditionalFormatting sqref="BB227:BB230">
    <cfRule type="cellIs" dxfId="12023" priority="3077" operator="lessThan">
      <formula>0</formula>
    </cfRule>
    <cfRule type="cellIs" dxfId="12022" priority="3078" operator="lessThan">
      <formula>-105575</formula>
    </cfRule>
  </conditionalFormatting>
  <conditionalFormatting sqref="BB227:BB230">
    <cfRule type="cellIs" dxfId="12021" priority="3075" operator="lessThan">
      <formula>0</formula>
    </cfRule>
    <cfRule type="cellIs" dxfId="12020" priority="3076" operator="lessThan">
      <formula>-105575</formula>
    </cfRule>
  </conditionalFormatting>
  <conditionalFormatting sqref="BB246:BB249">
    <cfRule type="cellIs" dxfId="12019" priority="3073" operator="lessThan">
      <formula>0</formula>
    </cfRule>
    <cfRule type="cellIs" dxfId="12018" priority="3074" operator="lessThan">
      <formula>-105575</formula>
    </cfRule>
  </conditionalFormatting>
  <conditionalFormatting sqref="BB246:BB249">
    <cfRule type="cellIs" dxfId="12017" priority="3071" operator="lessThan">
      <formula>0</formula>
    </cfRule>
    <cfRule type="cellIs" dxfId="12016" priority="3072" operator="lessThan">
      <formula>-105575</formula>
    </cfRule>
  </conditionalFormatting>
  <conditionalFormatting sqref="BB246:BB249">
    <cfRule type="cellIs" dxfId="12015" priority="3069" operator="lessThan">
      <formula>0</formula>
    </cfRule>
    <cfRule type="cellIs" dxfId="12014" priority="3070" operator="lessThan">
      <formula>-105575</formula>
    </cfRule>
  </conditionalFormatting>
  <conditionalFormatting sqref="BB246:BB249">
    <cfRule type="cellIs" dxfId="12013" priority="3067" operator="lessThan">
      <formula>0</formula>
    </cfRule>
    <cfRule type="cellIs" dxfId="12012" priority="3068" operator="lessThan">
      <formula>-105575</formula>
    </cfRule>
  </conditionalFormatting>
  <conditionalFormatting sqref="BB246:BB249">
    <cfRule type="cellIs" dxfId="12011" priority="3065" operator="lessThan">
      <formula>0</formula>
    </cfRule>
    <cfRule type="cellIs" dxfId="12010" priority="3066" operator="lessThan">
      <formula>-105575</formula>
    </cfRule>
  </conditionalFormatting>
  <conditionalFormatting sqref="BB246:BB249">
    <cfRule type="cellIs" dxfId="12009" priority="3063" operator="lessThan">
      <formula>0</formula>
    </cfRule>
    <cfRule type="cellIs" dxfId="12008" priority="3064" operator="lessThan">
      <formula>-105575</formula>
    </cfRule>
  </conditionalFormatting>
  <conditionalFormatting sqref="BB246:BB249">
    <cfRule type="cellIs" dxfId="12007" priority="3061" operator="lessThan">
      <formula>0</formula>
    </cfRule>
    <cfRule type="cellIs" dxfId="12006" priority="3062" operator="lessThan">
      <formula>-105575</formula>
    </cfRule>
  </conditionalFormatting>
  <conditionalFormatting sqref="BB246:BB249">
    <cfRule type="cellIs" dxfId="12005" priority="3059" operator="lessThan">
      <formula>0</formula>
    </cfRule>
    <cfRule type="cellIs" dxfId="12004" priority="3060" operator="lessThan">
      <formula>-105575</formula>
    </cfRule>
  </conditionalFormatting>
  <conditionalFormatting sqref="BB246:BB249">
    <cfRule type="cellIs" dxfId="12003" priority="3057" operator="lessThan">
      <formula>0</formula>
    </cfRule>
    <cfRule type="cellIs" dxfId="12002" priority="3058" operator="lessThan">
      <formula>-105575</formula>
    </cfRule>
  </conditionalFormatting>
  <conditionalFormatting sqref="BB251:BB253">
    <cfRule type="cellIs" dxfId="12001" priority="3055" operator="lessThan">
      <formula>0</formula>
    </cfRule>
    <cfRule type="cellIs" dxfId="12000" priority="3056" operator="lessThan">
      <formula>-105575</formula>
    </cfRule>
  </conditionalFormatting>
  <conditionalFormatting sqref="BB251:BB253">
    <cfRule type="cellIs" dxfId="11999" priority="3053" operator="lessThan">
      <formula>0</formula>
    </cfRule>
    <cfRule type="cellIs" dxfId="11998" priority="3054" operator="lessThan">
      <formula>-105575</formula>
    </cfRule>
  </conditionalFormatting>
  <conditionalFormatting sqref="BB251:BB253">
    <cfRule type="cellIs" dxfId="11997" priority="3051" operator="lessThan">
      <formula>0</formula>
    </cfRule>
    <cfRule type="cellIs" dxfId="11996" priority="3052" operator="lessThan">
      <formula>-105575</formula>
    </cfRule>
  </conditionalFormatting>
  <conditionalFormatting sqref="BB251:BB253">
    <cfRule type="cellIs" dxfId="11995" priority="3049" operator="lessThan">
      <formula>0</formula>
    </cfRule>
    <cfRule type="cellIs" dxfId="11994" priority="3050" operator="lessThan">
      <formula>-105575</formula>
    </cfRule>
  </conditionalFormatting>
  <conditionalFormatting sqref="BB251:BB253">
    <cfRule type="cellIs" dxfId="11993" priority="3047" operator="lessThan">
      <formula>0</formula>
    </cfRule>
    <cfRule type="cellIs" dxfId="11992" priority="3048" operator="lessThan">
      <formula>-105575</formula>
    </cfRule>
  </conditionalFormatting>
  <conditionalFormatting sqref="BB251:BB253">
    <cfRule type="cellIs" dxfId="11991" priority="3045" operator="lessThan">
      <formula>0</formula>
    </cfRule>
    <cfRule type="cellIs" dxfId="11990" priority="3046" operator="lessThan">
      <formula>-105575</formula>
    </cfRule>
  </conditionalFormatting>
  <conditionalFormatting sqref="BB251:BB253">
    <cfRule type="cellIs" dxfId="11989" priority="3043" operator="lessThan">
      <formula>0</formula>
    </cfRule>
    <cfRule type="cellIs" dxfId="11988" priority="3044" operator="lessThan">
      <formula>-105575</formula>
    </cfRule>
  </conditionalFormatting>
  <conditionalFormatting sqref="BB251:BB253">
    <cfRule type="cellIs" dxfId="11987" priority="3041" operator="lessThan">
      <formula>0</formula>
    </cfRule>
    <cfRule type="cellIs" dxfId="11986" priority="3042" operator="lessThan">
      <formula>-105575</formula>
    </cfRule>
  </conditionalFormatting>
  <conditionalFormatting sqref="BB251:BB253">
    <cfRule type="cellIs" dxfId="11985" priority="3039" operator="lessThan">
      <formula>0</formula>
    </cfRule>
    <cfRule type="cellIs" dxfId="11984" priority="3040" operator="lessThan">
      <formula>-105575</formula>
    </cfRule>
  </conditionalFormatting>
  <conditionalFormatting sqref="BB255:BB257">
    <cfRule type="cellIs" dxfId="11983" priority="3037" operator="lessThan">
      <formula>0</formula>
    </cfRule>
    <cfRule type="cellIs" dxfId="11982" priority="3038" operator="lessThan">
      <formula>-105575</formula>
    </cfRule>
  </conditionalFormatting>
  <conditionalFormatting sqref="BB255:BB257">
    <cfRule type="cellIs" dxfId="11981" priority="3035" operator="lessThan">
      <formula>0</formula>
    </cfRule>
    <cfRule type="cellIs" dxfId="11980" priority="3036" operator="lessThan">
      <formula>-105575</formula>
    </cfRule>
  </conditionalFormatting>
  <conditionalFormatting sqref="BB255:BB257">
    <cfRule type="cellIs" dxfId="11979" priority="3033" operator="lessThan">
      <formula>0</formula>
    </cfRule>
    <cfRule type="cellIs" dxfId="11978" priority="3034" operator="lessThan">
      <formula>-105575</formula>
    </cfRule>
  </conditionalFormatting>
  <conditionalFormatting sqref="BB255:BB257">
    <cfRule type="cellIs" dxfId="11977" priority="3031" operator="lessThan">
      <formula>0</formula>
    </cfRule>
    <cfRule type="cellIs" dxfId="11976" priority="3032" operator="lessThan">
      <formula>-105575</formula>
    </cfRule>
  </conditionalFormatting>
  <conditionalFormatting sqref="BB255:BB257">
    <cfRule type="cellIs" dxfId="11975" priority="3029" operator="lessThan">
      <formula>0</formula>
    </cfRule>
    <cfRule type="cellIs" dxfId="11974" priority="3030" operator="lessThan">
      <formula>-105575</formula>
    </cfRule>
  </conditionalFormatting>
  <conditionalFormatting sqref="BB255:BB257">
    <cfRule type="cellIs" dxfId="11973" priority="3027" operator="lessThan">
      <formula>0</formula>
    </cfRule>
    <cfRule type="cellIs" dxfId="11972" priority="3028" operator="lessThan">
      <formula>-105575</formula>
    </cfRule>
  </conditionalFormatting>
  <conditionalFormatting sqref="BB255:BB257">
    <cfRule type="cellIs" dxfId="11971" priority="3025" operator="lessThan">
      <formula>0</formula>
    </cfRule>
    <cfRule type="cellIs" dxfId="11970" priority="3026" operator="lessThan">
      <formula>-105575</formula>
    </cfRule>
  </conditionalFormatting>
  <conditionalFormatting sqref="BB255:BB257">
    <cfRule type="cellIs" dxfId="11969" priority="3023" operator="lessThan">
      <formula>0</formula>
    </cfRule>
    <cfRule type="cellIs" dxfId="11968" priority="3024" operator="lessThan">
      <formula>-105575</formula>
    </cfRule>
  </conditionalFormatting>
  <conditionalFormatting sqref="BB255:BB257">
    <cfRule type="cellIs" dxfId="11967" priority="3021" operator="lessThan">
      <formula>0</formula>
    </cfRule>
    <cfRule type="cellIs" dxfId="11966" priority="3022" operator="lessThan">
      <formula>-105575</formula>
    </cfRule>
  </conditionalFormatting>
  <conditionalFormatting sqref="BB260:BB262">
    <cfRule type="cellIs" dxfId="11965" priority="3019" operator="lessThan">
      <formula>0</formula>
    </cfRule>
    <cfRule type="cellIs" dxfId="11964" priority="3020" operator="lessThan">
      <formula>-105575</formula>
    </cfRule>
  </conditionalFormatting>
  <conditionalFormatting sqref="BB260:BB262">
    <cfRule type="cellIs" dxfId="11963" priority="3017" operator="lessThan">
      <formula>0</formula>
    </cfRule>
    <cfRule type="cellIs" dxfId="11962" priority="3018" operator="lessThan">
      <formula>-105575</formula>
    </cfRule>
  </conditionalFormatting>
  <conditionalFormatting sqref="BB260:BB262">
    <cfRule type="cellIs" dxfId="11961" priority="3015" operator="lessThan">
      <formula>0</formula>
    </cfRule>
    <cfRule type="cellIs" dxfId="11960" priority="3016" operator="lessThan">
      <formula>-105575</formula>
    </cfRule>
  </conditionalFormatting>
  <conditionalFormatting sqref="BB260:BB262">
    <cfRule type="cellIs" dxfId="11959" priority="3013" operator="lessThan">
      <formula>0</formula>
    </cfRule>
    <cfRule type="cellIs" dxfId="11958" priority="3014" operator="lessThan">
      <formula>-105575</formula>
    </cfRule>
  </conditionalFormatting>
  <conditionalFormatting sqref="BB260:BB262">
    <cfRule type="cellIs" dxfId="11957" priority="3011" operator="lessThan">
      <formula>0</formula>
    </cfRule>
    <cfRule type="cellIs" dxfId="11956" priority="3012" operator="lessThan">
      <formula>-105575</formula>
    </cfRule>
  </conditionalFormatting>
  <conditionalFormatting sqref="BB260:BB262">
    <cfRule type="cellIs" dxfId="11955" priority="3009" operator="lessThan">
      <formula>0</formula>
    </cfRule>
    <cfRule type="cellIs" dxfId="11954" priority="3010" operator="lessThan">
      <formula>-105575</formula>
    </cfRule>
  </conditionalFormatting>
  <conditionalFormatting sqref="BB260:BB262">
    <cfRule type="cellIs" dxfId="11953" priority="3007" operator="lessThan">
      <formula>0</formula>
    </cfRule>
    <cfRule type="cellIs" dxfId="11952" priority="3008" operator="lessThan">
      <formula>-105575</formula>
    </cfRule>
  </conditionalFormatting>
  <conditionalFormatting sqref="BB260:BB262">
    <cfRule type="cellIs" dxfId="11951" priority="3005" operator="lessThan">
      <formula>0</formula>
    </cfRule>
    <cfRule type="cellIs" dxfId="11950" priority="3006" operator="lessThan">
      <formula>-105575</formula>
    </cfRule>
  </conditionalFormatting>
  <conditionalFormatting sqref="BB260:BB262">
    <cfRule type="cellIs" dxfId="11949" priority="3003" operator="lessThan">
      <formula>0</formula>
    </cfRule>
    <cfRule type="cellIs" dxfId="11948" priority="3004" operator="lessThan">
      <formula>-105575</formula>
    </cfRule>
  </conditionalFormatting>
  <conditionalFormatting sqref="BB264:BB267">
    <cfRule type="cellIs" dxfId="11947" priority="3001" operator="lessThan">
      <formula>0</formula>
    </cfRule>
    <cfRule type="cellIs" dxfId="11946" priority="3002" operator="lessThan">
      <formula>-105575</formula>
    </cfRule>
  </conditionalFormatting>
  <conditionalFormatting sqref="BB264:BB267">
    <cfRule type="cellIs" dxfId="11945" priority="2999" operator="lessThan">
      <formula>0</formula>
    </cfRule>
    <cfRule type="cellIs" dxfId="11944" priority="3000" operator="lessThan">
      <formula>-105575</formula>
    </cfRule>
  </conditionalFormatting>
  <conditionalFormatting sqref="BB264:BB267">
    <cfRule type="cellIs" dxfId="11943" priority="2997" operator="lessThan">
      <formula>0</formula>
    </cfRule>
    <cfRule type="cellIs" dxfId="11942" priority="2998" operator="lessThan">
      <formula>-105575</formula>
    </cfRule>
  </conditionalFormatting>
  <conditionalFormatting sqref="BB264:BB267">
    <cfRule type="cellIs" dxfId="11941" priority="2995" operator="lessThan">
      <formula>0</formula>
    </cfRule>
    <cfRule type="cellIs" dxfId="11940" priority="2996" operator="lessThan">
      <formula>-105575</formula>
    </cfRule>
  </conditionalFormatting>
  <conditionalFormatting sqref="BB264:BB267">
    <cfRule type="cellIs" dxfId="11939" priority="2993" operator="lessThan">
      <formula>0</formula>
    </cfRule>
    <cfRule type="cellIs" dxfId="11938" priority="2994" operator="lessThan">
      <formula>-105575</formula>
    </cfRule>
  </conditionalFormatting>
  <conditionalFormatting sqref="BB264:BB267">
    <cfRule type="cellIs" dxfId="11937" priority="2991" operator="lessThan">
      <formula>0</formula>
    </cfRule>
    <cfRule type="cellIs" dxfId="11936" priority="2992" operator="lessThan">
      <formula>-105575</formula>
    </cfRule>
  </conditionalFormatting>
  <conditionalFormatting sqref="BB264:BB267">
    <cfRule type="cellIs" dxfId="11935" priority="2989" operator="lessThan">
      <formula>0</formula>
    </cfRule>
    <cfRule type="cellIs" dxfId="11934" priority="2990" operator="lessThan">
      <formula>-105575</formula>
    </cfRule>
  </conditionalFormatting>
  <conditionalFormatting sqref="BB264:BB267">
    <cfRule type="cellIs" dxfId="11933" priority="2987" operator="lessThan">
      <formula>0</formula>
    </cfRule>
    <cfRule type="cellIs" dxfId="11932" priority="2988" operator="lessThan">
      <formula>-105575</formula>
    </cfRule>
  </conditionalFormatting>
  <conditionalFormatting sqref="BB264:BB267">
    <cfRule type="cellIs" dxfId="11931" priority="2985" operator="lessThan">
      <formula>0</formula>
    </cfRule>
    <cfRule type="cellIs" dxfId="11930" priority="2986" operator="lessThan">
      <formula>-105575</formula>
    </cfRule>
  </conditionalFormatting>
  <conditionalFormatting sqref="BB270:BB272">
    <cfRule type="cellIs" dxfId="11929" priority="2983" operator="lessThan">
      <formula>0</formula>
    </cfRule>
    <cfRule type="cellIs" dxfId="11928" priority="2984" operator="lessThan">
      <formula>-105575</formula>
    </cfRule>
  </conditionalFormatting>
  <conditionalFormatting sqref="BB270:BB272">
    <cfRule type="cellIs" dxfId="11927" priority="2981" operator="lessThan">
      <formula>0</formula>
    </cfRule>
    <cfRule type="cellIs" dxfId="11926" priority="2982" operator="lessThan">
      <formula>-105575</formula>
    </cfRule>
  </conditionalFormatting>
  <conditionalFormatting sqref="BB270:BB272">
    <cfRule type="cellIs" dxfId="11925" priority="2979" operator="lessThan">
      <formula>0</formula>
    </cfRule>
    <cfRule type="cellIs" dxfId="11924" priority="2980" operator="lessThan">
      <formula>-105575</formula>
    </cfRule>
  </conditionalFormatting>
  <conditionalFormatting sqref="BB270:BB272">
    <cfRule type="cellIs" dxfId="11923" priority="2977" operator="lessThan">
      <formula>0</formula>
    </cfRule>
    <cfRule type="cellIs" dxfId="11922" priority="2978" operator="lessThan">
      <formula>-105575</formula>
    </cfRule>
  </conditionalFormatting>
  <conditionalFormatting sqref="BB270:BB272">
    <cfRule type="cellIs" dxfId="11921" priority="2975" operator="lessThan">
      <formula>0</formula>
    </cfRule>
    <cfRule type="cellIs" dxfId="11920" priority="2976" operator="lessThan">
      <formula>-105575</formula>
    </cfRule>
  </conditionalFormatting>
  <conditionalFormatting sqref="BB270:BB272">
    <cfRule type="cellIs" dxfId="11919" priority="2973" operator="lessThan">
      <formula>0</formula>
    </cfRule>
    <cfRule type="cellIs" dxfId="11918" priority="2974" operator="lessThan">
      <formula>-105575</formula>
    </cfRule>
  </conditionalFormatting>
  <conditionalFormatting sqref="BB270:BB272">
    <cfRule type="cellIs" dxfId="11917" priority="2971" operator="lessThan">
      <formula>0</formula>
    </cfRule>
    <cfRule type="cellIs" dxfId="11916" priority="2972" operator="lessThan">
      <formula>-105575</formula>
    </cfRule>
  </conditionalFormatting>
  <conditionalFormatting sqref="BB270:BB272">
    <cfRule type="cellIs" dxfId="11915" priority="2969" operator="lessThan">
      <formula>0</formula>
    </cfRule>
    <cfRule type="cellIs" dxfId="11914" priority="2970" operator="lessThan">
      <formula>-105575</formula>
    </cfRule>
  </conditionalFormatting>
  <conditionalFormatting sqref="BB270:BB272">
    <cfRule type="cellIs" dxfId="11913" priority="2967" operator="lessThan">
      <formula>0</formula>
    </cfRule>
    <cfRule type="cellIs" dxfId="11912" priority="2968" operator="lessThan">
      <formula>-105575</formula>
    </cfRule>
  </conditionalFormatting>
  <conditionalFormatting sqref="BB274:BB275">
    <cfRule type="cellIs" dxfId="11911" priority="2965" operator="lessThan">
      <formula>0</formula>
    </cfRule>
    <cfRule type="cellIs" dxfId="11910" priority="2966" operator="lessThan">
      <formula>-105575</formula>
    </cfRule>
  </conditionalFormatting>
  <conditionalFormatting sqref="BB274:BB275">
    <cfRule type="cellIs" dxfId="11909" priority="2963" operator="lessThan">
      <formula>0</formula>
    </cfRule>
    <cfRule type="cellIs" dxfId="11908" priority="2964" operator="lessThan">
      <formula>-105575</formula>
    </cfRule>
  </conditionalFormatting>
  <conditionalFormatting sqref="BB274:BB275">
    <cfRule type="cellIs" dxfId="11907" priority="2961" operator="lessThan">
      <formula>0</formula>
    </cfRule>
    <cfRule type="cellIs" dxfId="11906" priority="2962" operator="lessThan">
      <formula>-105575</formula>
    </cfRule>
  </conditionalFormatting>
  <conditionalFormatting sqref="BB274:BB275">
    <cfRule type="cellIs" dxfId="11905" priority="2959" operator="lessThan">
      <formula>0</formula>
    </cfRule>
    <cfRule type="cellIs" dxfId="11904" priority="2960" operator="lessThan">
      <formula>-105575</formula>
    </cfRule>
  </conditionalFormatting>
  <conditionalFormatting sqref="BB274:BB275">
    <cfRule type="cellIs" dxfId="11903" priority="2957" operator="lessThan">
      <formula>0</formula>
    </cfRule>
    <cfRule type="cellIs" dxfId="11902" priority="2958" operator="lessThan">
      <formula>-105575</formula>
    </cfRule>
  </conditionalFormatting>
  <conditionalFormatting sqref="BB274:BB275">
    <cfRule type="cellIs" dxfId="11901" priority="2955" operator="lessThan">
      <formula>0</formula>
    </cfRule>
    <cfRule type="cellIs" dxfId="11900" priority="2956" operator="lessThan">
      <formula>-105575</formula>
    </cfRule>
  </conditionalFormatting>
  <conditionalFormatting sqref="BB274:BB275">
    <cfRule type="cellIs" dxfId="11899" priority="2953" operator="lessThan">
      <formula>0</formula>
    </cfRule>
    <cfRule type="cellIs" dxfId="11898" priority="2954" operator="lessThan">
      <formula>-105575</formula>
    </cfRule>
  </conditionalFormatting>
  <conditionalFormatting sqref="BB274:BB275">
    <cfRule type="cellIs" dxfId="11897" priority="2951" operator="lessThan">
      <formula>0</formula>
    </cfRule>
    <cfRule type="cellIs" dxfId="11896" priority="2952" operator="lessThan">
      <formula>-105575</formula>
    </cfRule>
  </conditionalFormatting>
  <conditionalFormatting sqref="BB274:BB275">
    <cfRule type="cellIs" dxfId="11895" priority="2949" operator="lessThan">
      <formula>0</formula>
    </cfRule>
    <cfRule type="cellIs" dxfId="11894" priority="2950" operator="lessThan">
      <formula>-105575</formula>
    </cfRule>
  </conditionalFormatting>
  <conditionalFormatting sqref="BB278:BB282">
    <cfRule type="cellIs" dxfId="11893" priority="2947" operator="lessThan">
      <formula>0</formula>
    </cfRule>
    <cfRule type="cellIs" dxfId="11892" priority="2948" operator="lessThan">
      <formula>-105575</formula>
    </cfRule>
  </conditionalFormatting>
  <conditionalFormatting sqref="BB278:BB282">
    <cfRule type="cellIs" dxfId="11891" priority="2945" operator="lessThan">
      <formula>0</formula>
    </cfRule>
    <cfRule type="cellIs" dxfId="11890" priority="2946" operator="lessThan">
      <formula>-105575</formula>
    </cfRule>
  </conditionalFormatting>
  <conditionalFormatting sqref="BB278:BB282">
    <cfRule type="cellIs" dxfId="11889" priority="2943" operator="lessThan">
      <formula>0</formula>
    </cfRule>
    <cfRule type="cellIs" dxfId="11888" priority="2944" operator="lessThan">
      <formula>-105575</formula>
    </cfRule>
  </conditionalFormatting>
  <conditionalFormatting sqref="BB278:BB282">
    <cfRule type="cellIs" dxfId="11887" priority="2941" operator="lessThan">
      <formula>0</formula>
    </cfRule>
    <cfRule type="cellIs" dxfId="11886" priority="2942" operator="lessThan">
      <formula>-105575</formula>
    </cfRule>
  </conditionalFormatting>
  <conditionalFormatting sqref="BB278:BB282">
    <cfRule type="cellIs" dxfId="11885" priority="2939" operator="lessThan">
      <formula>0</formula>
    </cfRule>
    <cfRule type="cellIs" dxfId="11884" priority="2940" operator="lessThan">
      <formula>-105575</formula>
    </cfRule>
  </conditionalFormatting>
  <conditionalFormatting sqref="BB278:BB282">
    <cfRule type="cellIs" dxfId="11883" priority="2937" operator="lessThan">
      <formula>0</formula>
    </cfRule>
    <cfRule type="cellIs" dxfId="11882" priority="2938" operator="lessThan">
      <formula>-105575</formula>
    </cfRule>
  </conditionalFormatting>
  <conditionalFormatting sqref="BB278:BB282">
    <cfRule type="cellIs" dxfId="11881" priority="2935" operator="lessThan">
      <formula>0</formula>
    </cfRule>
    <cfRule type="cellIs" dxfId="11880" priority="2936" operator="lessThan">
      <formula>-105575</formula>
    </cfRule>
  </conditionalFormatting>
  <conditionalFormatting sqref="BB278:BB282">
    <cfRule type="cellIs" dxfId="11879" priority="2933" operator="lessThan">
      <formula>0</formula>
    </cfRule>
    <cfRule type="cellIs" dxfId="11878" priority="2934" operator="lessThan">
      <formula>-105575</formula>
    </cfRule>
  </conditionalFormatting>
  <conditionalFormatting sqref="BB278:BB282">
    <cfRule type="cellIs" dxfId="11877" priority="2931" operator="lessThan">
      <formula>0</formula>
    </cfRule>
    <cfRule type="cellIs" dxfId="11876" priority="2932" operator="lessThan">
      <formula>-105575</formula>
    </cfRule>
  </conditionalFormatting>
  <conditionalFormatting sqref="BB285:BB288">
    <cfRule type="cellIs" dxfId="11875" priority="2929" operator="lessThan">
      <formula>0</formula>
    </cfRule>
    <cfRule type="cellIs" dxfId="11874" priority="2930" operator="lessThan">
      <formula>-105575</formula>
    </cfRule>
  </conditionalFormatting>
  <conditionalFormatting sqref="BB285:BB288">
    <cfRule type="cellIs" dxfId="11873" priority="2927" operator="lessThan">
      <formula>0</formula>
    </cfRule>
    <cfRule type="cellIs" dxfId="11872" priority="2928" operator="lessThan">
      <formula>-105575</formula>
    </cfRule>
  </conditionalFormatting>
  <conditionalFormatting sqref="BB285:BB288">
    <cfRule type="cellIs" dxfId="11871" priority="2925" operator="lessThan">
      <formula>0</formula>
    </cfRule>
    <cfRule type="cellIs" dxfId="11870" priority="2926" operator="lessThan">
      <formula>-105575</formula>
    </cfRule>
  </conditionalFormatting>
  <conditionalFormatting sqref="BB285:BB288">
    <cfRule type="cellIs" dxfId="11869" priority="2923" operator="lessThan">
      <formula>0</formula>
    </cfRule>
    <cfRule type="cellIs" dxfId="11868" priority="2924" operator="lessThan">
      <formula>-105575</formula>
    </cfRule>
  </conditionalFormatting>
  <conditionalFormatting sqref="BB285:BB288">
    <cfRule type="cellIs" dxfId="11867" priority="2921" operator="lessThan">
      <formula>0</formula>
    </cfRule>
    <cfRule type="cellIs" dxfId="11866" priority="2922" operator="lessThan">
      <formula>-105575</formula>
    </cfRule>
  </conditionalFormatting>
  <conditionalFormatting sqref="BB285:BB288">
    <cfRule type="cellIs" dxfId="11865" priority="2919" operator="lessThan">
      <formula>0</formula>
    </cfRule>
    <cfRule type="cellIs" dxfId="11864" priority="2920" operator="lessThan">
      <formula>-105575</formula>
    </cfRule>
  </conditionalFormatting>
  <conditionalFormatting sqref="BB285:BB288">
    <cfRule type="cellIs" dxfId="11863" priority="2917" operator="lessThan">
      <formula>0</formula>
    </cfRule>
    <cfRule type="cellIs" dxfId="11862" priority="2918" operator="lessThan">
      <formula>-105575</formula>
    </cfRule>
  </conditionalFormatting>
  <conditionalFormatting sqref="BB285:BB288">
    <cfRule type="cellIs" dxfId="11861" priority="2915" operator="lessThan">
      <formula>0</formula>
    </cfRule>
    <cfRule type="cellIs" dxfId="11860" priority="2916" operator="lessThan">
      <formula>-105575</formula>
    </cfRule>
  </conditionalFormatting>
  <conditionalFormatting sqref="BB285:BB288">
    <cfRule type="cellIs" dxfId="11859" priority="2913" operator="lessThan">
      <formula>0</formula>
    </cfRule>
    <cfRule type="cellIs" dxfId="11858" priority="2914" operator="lessThan">
      <formula>-105575</formula>
    </cfRule>
  </conditionalFormatting>
  <conditionalFormatting sqref="BB203 BB220:BB221 BB235:BB243 BB231:BB233 BB212:BB213 BB225:BB226">
    <cfRule type="cellIs" dxfId="11857" priority="2911" operator="lessThan">
      <formula>0</formula>
    </cfRule>
    <cfRule type="cellIs" dxfId="11856" priority="2912" operator="lessThan">
      <formula>-105575</formula>
    </cfRule>
  </conditionalFormatting>
  <conditionalFormatting sqref="BB220 BB212:BB213 BB235:BB238 BB240:BB243 BB225:BB226 BB231:BB233">
    <cfRule type="cellIs" dxfId="11855" priority="2909" operator="lessThan">
      <formula>0</formula>
    </cfRule>
    <cfRule type="cellIs" dxfId="11854" priority="2910" operator="lessThan">
      <formula>-105575</formula>
    </cfRule>
  </conditionalFormatting>
  <conditionalFormatting sqref="BB220:BB221 BB243 BB226 BB231:BB236 BB238:BB241 BB203 BB213">
    <cfRule type="cellIs" dxfId="11853" priority="2907" operator="lessThan">
      <formula>0</formula>
    </cfRule>
    <cfRule type="cellIs" dxfId="11852" priority="2908" operator="lessThan">
      <formula>-105575</formula>
    </cfRule>
  </conditionalFormatting>
  <conditionalFormatting sqref="BB235:BB243 BB231:BB233 BB220 BB212:BB213 BB225:BB226">
    <cfRule type="cellIs" dxfId="11851" priority="2905" operator="lessThan">
      <formula>0</formula>
    </cfRule>
    <cfRule type="cellIs" dxfId="11850" priority="2906" operator="lessThan">
      <formula>-105575</formula>
    </cfRule>
  </conditionalFormatting>
  <conditionalFormatting sqref="BB220:BB221 BB237:BB243 BB203 BB231:BB235 BB212:BB213 BB225:BB226">
    <cfRule type="cellIs" dxfId="11849" priority="2903" operator="lessThan">
      <formula>0</formula>
    </cfRule>
    <cfRule type="cellIs" dxfId="11848" priority="2904" operator="lessThan">
      <formula>-105575</formula>
    </cfRule>
  </conditionalFormatting>
  <conditionalFormatting sqref="BB220:BB221 BB237:BB240 BB242:BB243 BB225:BB226 BB231:BB235">
    <cfRule type="cellIs" dxfId="11847" priority="2901" operator="lessThan">
      <formula>0</formula>
    </cfRule>
    <cfRule type="cellIs" dxfId="11846" priority="2902" operator="lessThan">
      <formula>-105575</formula>
    </cfRule>
  </conditionalFormatting>
  <conditionalFormatting sqref="BB212 BB231 BB233:BB238 BB240:BB243 BB225">
    <cfRule type="cellIs" dxfId="11845" priority="2899" operator="lessThan">
      <formula>0</formula>
    </cfRule>
    <cfRule type="cellIs" dxfId="11844" priority="2900" operator="lessThan">
      <formula>-105575</formula>
    </cfRule>
  </conditionalFormatting>
  <conditionalFormatting sqref="BB237:BB243 BB231:BB235 BB220:BB221 BB225:BB226">
    <cfRule type="cellIs" dxfId="11843" priority="2897" operator="lessThan">
      <formula>0</formula>
    </cfRule>
    <cfRule type="cellIs" dxfId="11842" priority="2898" operator="lessThan">
      <formula>-105575</formula>
    </cfRule>
  </conditionalFormatting>
  <conditionalFormatting sqref="BB233:BB237 BB231 BB239:BB243">
    <cfRule type="cellIs" dxfId="11841" priority="2895" operator="lessThan">
      <formula>0</formula>
    </cfRule>
    <cfRule type="cellIs" dxfId="11840" priority="2896" operator="lessThan">
      <formula>-105575</formula>
    </cfRule>
  </conditionalFormatting>
  <conditionalFormatting sqref="BB233:BB237 BB231 BB239:BB243">
    <cfRule type="cellIs" dxfId="11839" priority="2893" operator="lessThan">
      <formula>0</formula>
    </cfRule>
    <cfRule type="cellIs" dxfId="11838" priority="2894" operator="lessThan">
      <formula>-105575</formula>
    </cfRule>
  </conditionalFormatting>
  <conditionalFormatting sqref="BB119:BB128 BB106:BB117 BB101:BB104 BB80:BB98">
    <cfRule type="cellIs" dxfId="11837" priority="2891" operator="lessThan">
      <formula>0</formula>
    </cfRule>
    <cfRule type="cellIs" dxfId="11836" priority="2892" operator="lessThan">
      <formula>-105575</formula>
    </cfRule>
  </conditionalFormatting>
  <conditionalFormatting sqref="BB130 BB132 BB134">
    <cfRule type="cellIs" dxfId="11835" priority="2889" operator="lessThan">
      <formula>0</formula>
    </cfRule>
    <cfRule type="cellIs" dxfId="11834" priority="2890" operator="lessThan">
      <formula>-105575</formula>
    </cfRule>
  </conditionalFormatting>
  <conditionalFormatting sqref="BB130 BB132 BB134">
    <cfRule type="cellIs" dxfId="11833" priority="2887" operator="lessThan">
      <formula>0</formula>
    </cfRule>
    <cfRule type="cellIs" dxfId="11832" priority="2888" operator="lessThan">
      <formula>-105575</formula>
    </cfRule>
  </conditionalFormatting>
  <conditionalFormatting sqref="BB129 BB131 BB133 BB135">
    <cfRule type="cellIs" dxfId="11831" priority="2885" operator="lessThan">
      <formula>0</formula>
    </cfRule>
    <cfRule type="cellIs" dxfId="11830" priority="2886" operator="lessThan">
      <formula>-105575</formula>
    </cfRule>
  </conditionalFormatting>
  <conditionalFormatting sqref="BB140 BB145 BB142:BB143 BB137:BB138">
    <cfRule type="cellIs" dxfId="11829" priority="2883" operator="lessThan">
      <formula>0</formula>
    </cfRule>
    <cfRule type="cellIs" dxfId="11828" priority="2884" operator="lessThan">
      <formula>-105575</formula>
    </cfRule>
  </conditionalFormatting>
  <conditionalFormatting sqref="BB149">
    <cfRule type="cellIs" dxfId="11827" priority="2881" operator="lessThan">
      <formula>0</formula>
    </cfRule>
    <cfRule type="cellIs" dxfId="11826" priority="2882" operator="lessThan">
      <formula>-105575</formula>
    </cfRule>
  </conditionalFormatting>
  <conditionalFormatting sqref="BB129:BB138 BB140:BB149">
    <cfRule type="cellIs" dxfId="11825" priority="2879" operator="lessThan">
      <formula>0</formula>
    </cfRule>
    <cfRule type="cellIs" dxfId="11824" priority="2880" operator="lessThan">
      <formula>-105575</formula>
    </cfRule>
  </conditionalFormatting>
  <conditionalFormatting sqref="BB94:BB98 BB86:BB87 BB89:BB91 BB141:BB149 BB124:BB133 BB107:BB110 BB112:BB117 BB119:BB122 BB135:BB138 BB101:BB104 BB80:BB84">
    <cfRule type="cellIs" dxfId="11823" priority="2877" operator="lessThan">
      <formula>0</formula>
    </cfRule>
    <cfRule type="cellIs" dxfId="11822" priority="2878" operator="lessThan">
      <formula>-105575</formula>
    </cfRule>
  </conditionalFormatting>
  <conditionalFormatting sqref="BB129 BB131 BB133 BB135">
    <cfRule type="cellIs" dxfId="11821" priority="2875" operator="lessThan">
      <formula>0</formula>
    </cfRule>
    <cfRule type="cellIs" dxfId="11820" priority="2876" operator="lessThan">
      <formula>-105575</formula>
    </cfRule>
  </conditionalFormatting>
  <conditionalFormatting sqref="BB146 BB144 BB141">
    <cfRule type="cellIs" dxfId="11819" priority="2873" operator="lessThan">
      <formula>0</formula>
    </cfRule>
    <cfRule type="cellIs" dxfId="11818" priority="2874" operator="lessThan">
      <formula>-105575</formula>
    </cfRule>
  </conditionalFormatting>
  <conditionalFormatting sqref="BB146 BB144 BB141">
    <cfRule type="cellIs" dxfId="11817" priority="2871" operator="lessThan">
      <formula>0</formula>
    </cfRule>
    <cfRule type="cellIs" dxfId="11816" priority="2872" operator="lessThan">
      <formula>-105575</formula>
    </cfRule>
  </conditionalFormatting>
  <conditionalFormatting sqref="BB140 BB145 BB142:BB143 BB137:BB138">
    <cfRule type="cellIs" dxfId="11815" priority="2869" operator="lessThan">
      <formula>0</formula>
    </cfRule>
    <cfRule type="cellIs" dxfId="11814" priority="2870" operator="lessThan">
      <formula>-105575</formula>
    </cfRule>
  </conditionalFormatting>
  <conditionalFormatting sqref="BB149">
    <cfRule type="cellIs" dxfId="11813" priority="2867" operator="lessThan">
      <formula>0</formula>
    </cfRule>
    <cfRule type="cellIs" dxfId="11812" priority="2868" operator="lessThan">
      <formula>-105575</formula>
    </cfRule>
  </conditionalFormatting>
  <conditionalFormatting sqref="BB94:BB98 BB86:BB87 BB89:BB91 BB141:BB149 BB124:BB133 BB107:BB110 BB112:BB117 BB119:BB122 BB135:BB138 BB101:BB104 BB80:BB84">
    <cfRule type="cellIs" dxfId="11811" priority="2865" operator="lessThan">
      <formula>0</formula>
    </cfRule>
    <cfRule type="cellIs" dxfId="11810" priority="2866" operator="lessThan">
      <formula>-105575</formula>
    </cfRule>
  </conditionalFormatting>
  <conditionalFormatting sqref="BB246:BB249 BB262 BB267 BB279:BB282 BB285:BB288 BB274:BB275 BB306:BB309 BB311:BB325 BB327:BB330 BB332:BB341 BB344:BB347 BB349:BB353 BB355:BB358 BB360:BB384 BB386:BB389 BB392:BB395 BB397:BB411 BB413:BB416 BB418:BB432 BB434:BB437 BB439:BB453 BB455:BB458 BB460:BB469 BB7:BB10 BB12:BB14 BB17:BB18 BB21:BB24 BB26:BB28 BB30:BB36 BB38 BB41:BB43 BB46:BB49 BB51:BB55 BB57:BB59 BB62:BB76 BB251:BB253 BB255:BB257 BB293:BB304 BB264:BB265 BB260 BB290:BB291 BB270:BB272">
    <cfRule type="cellIs" dxfId="11809" priority="2863" operator="lessThan">
      <formula>0</formula>
    </cfRule>
    <cfRule type="cellIs" dxfId="11808" priority="2864" operator="lessThan">
      <formula>-105575</formula>
    </cfRule>
  </conditionalFormatting>
  <conditionalFormatting sqref="BB41">
    <cfRule type="cellIs" dxfId="11807" priority="2861" operator="lessThan">
      <formula>0</formula>
    </cfRule>
    <cfRule type="cellIs" dxfId="11806" priority="2862" operator="lessThan">
      <formula>-105575</formula>
    </cfRule>
  </conditionalFormatting>
  <conditionalFormatting sqref="BB152:BB155">
    <cfRule type="cellIs" dxfId="11805" priority="2859" operator="lessThan">
      <formula>0</formula>
    </cfRule>
    <cfRule type="cellIs" dxfId="11804" priority="2860" operator="lessThan">
      <formula>-105575</formula>
    </cfRule>
  </conditionalFormatting>
  <conditionalFormatting sqref="BB152:BB155">
    <cfRule type="cellIs" dxfId="11803" priority="2857" operator="lessThan">
      <formula>0</formula>
    </cfRule>
    <cfRule type="cellIs" dxfId="11802" priority="2858" operator="lessThan">
      <formula>-105575</formula>
    </cfRule>
  </conditionalFormatting>
  <conditionalFormatting sqref="BB152:BB155">
    <cfRule type="cellIs" dxfId="11801" priority="2855" operator="lessThan">
      <formula>0</formula>
    </cfRule>
    <cfRule type="cellIs" dxfId="11800" priority="2856" operator="lessThan">
      <formula>-105575</formula>
    </cfRule>
  </conditionalFormatting>
  <conditionalFormatting sqref="BB157:BB158">
    <cfRule type="cellIs" dxfId="11799" priority="2853" operator="lessThan">
      <formula>0</formula>
    </cfRule>
    <cfRule type="cellIs" dxfId="11798" priority="2854" operator="lessThan">
      <formula>-105575</formula>
    </cfRule>
  </conditionalFormatting>
  <conditionalFormatting sqref="BB157:BB158">
    <cfRule type="cellIs" dxfId="11797" priority="2851" operator="lessThan">
      <formula>0</formula>
    </cfRule>
    <cfRule type="cellIs" dxfId="11796" priority="2852" operator="lessThan">
      <formula>-105575</formula>
    </cfRule>
  </conditionalFormatting>
  <conditionalFormatting sqref="BB157:BB158">
    <cfRule type="cellIs" dxfId="11795" priority="2849" operator="lessThan">
      <formula>0</formula>
    </cfRule>
    <cfRule type="cellIs" dxfId="11794" priority="2850" operator="lessThan">
      <formula>-105575</formula>
    </cfRule>
  </conditionalFormatting>
  <conditionalFormatting sqref="BB160:BB161">
    <cfRule type="cellIs" dxfId="11793" priority="2847" operator="lessThan">
      <formula>0</formula>
    </cfRule>
    <cfRule type="cellIs" dxfId="11792" priority="2848" operator="lessThan">
      <formula>-105575</formula>
    </cfRule>
  </conditionalFormatting>
  <conditionalFormatting sqref="BB160:BB161">
    <cfRule type="cellIs" dxfId="11791" priority="2845" operator="lessThan">
      <formula>0</formula>
    </cfRule>
    <cfRule type="cellIs" dxfId="11790" priority="2846" operator="lessThan">
      <formula>-105575</formula>
    </cfRule>
  </conditionalFormatting>
  <conditionalFormatting sqref="BB160:BB161">
    <cfRule type="cellIs" dxfId="11789" priority="2843" operator="lessThan">
      <formula>0</formula>
    </cfRule>
    <cfRule type="cellIs" dxfId="11788" priority="2844" operator="lessThan">
      <formula>-105575</formula>
    </cfRule>
  </conditionalFormatting>
  <conditionalFormatting sqref="BB164:BB167">
    <cfRule type="cellIs" dxfId="11787" priority="2841" operator="lessThan">
      <formula>0</formula>
    </cfRule>
    <cfRule type="cellIs" dxfId="11786" priority="2842" operator="lessThan">
      <formula>-105575</formula>
    </cfRule>
  </conditionalFormatting>
  <conditionalFormatting sqref="BB164:BB167">
    <cfRule type="cellIs" dxfId="11785" priority="2839" operator="lessThan">
      <formula>0</formula>
    </cfRule>
    <cfRule type="cellIs" dxfId="11784" priority="2840" operator="lessThan">
      <formula>-105575</formula>
    </cfRule>
  </conditionalFormatting>
  <conditionalFormatting sqref="BB164:BB167">
    <cfRule type="cellIs" dxfId="11783" priority="2837" operator="lessThan">
      <formula>0</formula>
    </cfRule>
    <cfRule type="cellIs" dxfId="11782" priority="2838" operator="lessThan">
      <formula>-105575</formula>
    </cfRule>
  </conditionalFormatting>
  <conditionalFormatting sqref="BB169:BB177">
    <cfRule type="cellIs" dxfId="11781" priority="2835" operator="lessThan">
      <formula>0</formula>
    </cfRule>
    <cfRule type="cellIs" dxfId="11780" priority="2836" operator="lessThan">
      <formula>-105575</formula>
    </cfRule>
  </conditionalFormatting>
  <conditionalFormatting sqref="BB169:BB177">
    <cfRule type="cellIs" dxfId="11779" priority="2833" operator="lessThan">
      <formula>0</formula>
    </cfRule>
    <cfRule type="cellIs" dxfId="11778" priority="2834" operator="lessThan">
      <formula>-105575</formula>
    </cfRule>
  </conditionalFormatting>
  <conditionalFormatting sqref="BB169:BB177">
    <cfRule type="cellIs" dxfId="11777" priority="2831" operator="lessThan">
      <formula>0</formula>
    </cfRule>
    <cfRule type="cellIs" dxfId="11776" priority="2832" operator="lessThan">
      <formula>-105575</formula>
    </cfRule>
  </conditionalFormatting>
  <conditionalFormatting sqref="BB179:BB180">
    <cfRule type="cellIs" dxfId="11775" priority="2829" operator="lessThan">
      <formula>0</formula>
    </cfRule>
    <cfRule type="cellIs" dxfId="11774" priority="2830" operator="lessThan">
      <formula>-105575</formula>
    </cfRule>
  </conditionalFormatting>
  <conditionalFormatting sqref="BB179:BB180">
    <cfRule type="cellIs" dxfId="11773" priority="2827" operator="lessThan">
      <formula>0</formula>
    </cfRule>
    <cfRule type="cellIs" dxfId="11772" priority="2828" operator="lessThan">
      <formula>-105575</formula>
    </cfRule>
  </conditionalFormatting>
  <conditionalFormatting sqref="BB179:BB180">
    <cfRule type="cellIs" dxfId="11771" priority="2825" operator="lessThan">
      <formula>0</formula>
    </cfRule>
    <cfRule type="cellIs" dxfId="11770" priority="2826" operator="lessThan">
      <formula>-105575</formula>
    </cfRule>
  </conditionalFormatting>
  <conditionalFormatting sqref="BB183:BB189">
    <cfRule type="cellIs" dxfId="11769" priority="2823" operator="lessThan">
      <formula>0</formula>
    </cfRule>
    <cfRule type="cellIs" dxfId="11768" priority="2824" operator="lessThan">
      <formula>-105575</formula>
    </cfRule>
  </conditionalFormatting>
  <conditionalFormatting sqref="BB183:BB189">
    <cfRule type="cellIs" dxfId="11767" priority="2821" operator="lessThan">
      <formula>0</formula>
    </cfRule>
    <cfRule type="cellIs" dxfId="11766" priority="2822" operator="lessThan">
      <formula>-105575</formula>
    </cfRule>
  </conditionalFormatting>
  <conditionalFormatting sqref="BB183:BB189">
    <cfRule type="cellIs" dxfId="11765" priority="2819" operator="lessThan">
      <formula>0</formula>
    </cfRule>
    <cfRule type="cellIs" dxfId="11764" priority="2820" operator="lessThan">
      <formula>-105575</formula>
    </cfRule>
  </conditionalFormatting>
  <conditionalFormatting sqref="BB191:BB192">
    <cfRule type="cellIs" dxfId="11763" priority="2817" operator="lessThan">
      <formula>0</formula>
    </cfRule>
    <cfRule type="cellIs" dxfId="11762" priority="2818" operator="lessThan">
      <formula>-105575</formula>
    </cfRule>
  </conditionalFormatting>
  <conditionalFormatting sqref="BB191:BB192">
    <cfRule type="cellIs" dxfId="11761" priority="2815" operator="lessThan">
      <formula>0</formula>
    </cfRule>
    <cfRule type="cellIs" dxfId="11760" priority="2816" operator="lessThan">
      <formula>-105575</formula>
    </cfRule>
  </conditionalFormatting>
  <conditionalFormatting sqref="BB191:BB192">
    <cfRule type="cellIs" dxfId="11759" priority="2813" operator="lessThan">
      <formula>0</formula>
    </cfRule>
    <cfRule type="cellIs" dxfId="11758" priority="2814" operator="lessThan">
      <formula>-105575</formula>
    </cfRule>
  </conditionalFormatting>
  <conditionalFormatting sqref="BB194:BB195">
    <cfRule type="cellIs" dxfId="11757" priority="2811" operator="lessThan">
      <formula>0</formula>
    </cfRule>
    <cfRule type="cellIs" dxfId="11756" priority="2812" operator="lessThan">
      <formula>-105575</formula>
    </cfRule>
  </conditionalFormatting>
  <conditionalFormatting sqref="BB194:BB195">
    <cfRule type="cellIs" dxfId="11755" priority="2809" operator="lessThan">
      <formula>0</formula>
    </cfRule>
    <cfRule type="cellIs" dxfId="11754" priority="2810" operator="lessThan">
      <formula>-105575</formula>
    </cfRule>
  </conditionalFormatting>
  <conditionalFormatting sqref="BB194:BB195">
    <cfRule type="cellIs" dxfId="11753" priority="2807" operator="lessThan">
      <formula>0</formula>
    </cfRule>
    <cfRule type="cellIs" dxfId="11752" priority="2808" operator="lessThan">
      <formula>-105575</formula>
    </cfRule>
  </conditionalFormatting>
  <conditionalFormatting sqref="BB199:BB202">
    <cfRule type="cellIs" dxfId="11751" priority="2805" operator="lessThan">
      <formula>0</formula>
    </cfRule>
    <cfRule type="cellIs" dxfId="11750" priority="2806" operator="lessThan">
      <formula>-105575</formula>
    </cfRule>
  </conditionalFormatting>
  <conditionalFormatting sqref="BB199:BB202">
    <cfRule type="cellIs" dxfId="11749" priority="2803" operator="lessThan">
      <formula>0</formula>
    </cfRule>
    <cfRule type="cellIs" dxfId="11748" priority="2804" operator="lessThan">
      <formula>-105575</formula>
    </cfRule>
  </conditionalFormatting>
  <conditionalFormatting sqref="BB199:BB202">
    <cfRule type="cellIs" dxfId="11747" priority="2801" operator="lessThan">
      <formula>0</formula>
    </cfRule>
    <cfRule type="cellIs" dxfId="11746" priority="2802" operator="lessThan">
      <formula>-105575</formula>
    </cfRule>
  </conditionalFormatting>
  <conditionalFormatting sqref="BB204:BB208">
    <cfRule type="cellIs" dxfId="11745" priority="2799" operator="lessThan">
      <formula>0</formula>
    </cfRule>
    <cfRule type="cellIs" dxfId="11744" priority="2800" operator="lessThan">
      <formula>-105575</formula>
    </cfRule>
  </conditionalFormatting>
  <conditionalFormatting sqref="BB204:BB208">
    <cfRule type="cellIs" dxfId="11743" priority="2797" operator="lessThan">
      <formula>0</formula>
    </cfRule>
    <cfRule type="cellIs" dxfId="11742" priority="2798" operator="lessThan">
      <formula>-105575</formula>
    </cfRule>
  </conditionalFormatting>
  <conditionalFormatting sqref="BB204:BB208">
    <cfRule type="cellIs" dxfId="11741" priority="2795" operator="lessThan">
      <formula>0</formula>
    </cfRule>
    <cfRule type="cellIs" dxfId="11740" priority="2796" operator="lessThan">
      <formula>-105575</formula>
    </cfRule>
  </conditionalFormatting>
  <conditionalFormatting sqref="BB210:BB211">
    <cfRule type="cellIs" dxfId="11739" priority="2793" operator="lessThan">
      <formula>0</formula>
    </cfRule>
    <cfRule type="cellIs" dxfId="11738" priority="2794" operator="lessThan">
      <formula>-105575</formula>
    </cfRule>
  </conditionalFormatting>
  <conditionalFormatting sqref="BB210:BB211">
    <cfRule type="cellIs" dxfId="11737" priority="2791" operator="lessThan">
      <formula>0</formula>
    </cfRule>
    <cfRule type="cellIs" dxfId="11736" priority="2792" operator="lessThan">
      <formula>-105575</formula>
    </cfRule>
  </conditionalFormatting>
  <conditionalFormatting sqref="BB210:BB211">
    <cfRule type="cellIs" dxfId="11735" priority="2789" operator="lessThan">
      <formula>0</formula>
    </cfRule>
    <cfRule type="cellIs" dxfId="11734" priority="2790" operator="lessThan">
      <formula>-105575</formula>
    </cfRule>
  </conditionalFormatting>
  <conditionalFormatting sqref="BB214:BB219">
    <cfRule type="cellIs" dxfId="11733" priority="2787" operator="lessThan">
      <formula>0</formula>
    </cfRule>
    <cfRule type="cellIs" dxfId="11732" priority="2788" operator="lessThan">
      <formula>-105575</formula>
    </cfRule>
  </conditionalFormatting>
  <conditionalFormatting sqref="BB214:BB219">
    <cfRule type="cellIs" dxfId="11731" priority="2785" operator="lessThan">
      <formula>0</formula>
    </cfRule>
    <cfRule type="cellIs" dxfId="11730" priority="2786" operator="lessThan">
      <formula>-105575</formula>
    </cfRule>
  </conditionalFormatting>
  <conditionalFormatting sqref="BB214:BB219">
    <cfRule type="cellIs" dxfId="11729" priority="2783" operator="lessThan">
      <formula>0</formula>
    </cfRule>
    <cfRule type="cellIs" dxfId="11728" priority="2784" operator="lessThan">
      <formula>-105575</formula>
    </cfRule>
  </conditionalFormatting>
  <conditionalFormatting sqref="BB222:BB224">
    <cfRule type="cellIs" dxfId="11727" priority="2781" operator="lessThan">
      <formula>0</formula>
    </cfRule>
    <cfRule type="cellIs" dxfId="11726" priority="2782" operator="lessThan">
      <formula>-105575</formula>
    </cfRule>
  </conditionalFormatting>
  <conditionalFormatting sqref="BB222:BB224">
    <cfRule type="cellIs" dxfId="11725" priority="2779" operator="lessThan">
      <formula>0</formula>
    </cfRule>
    <cfRule type="cellIs" dxfId="11724" priority="2780" operator="lessThan">
      <formula>-105575</formula>
    </cfRule>
  </conditionalFormatting>
  <conditionalFormatting sqref="BB222:BB224">
    <cfRule type="cellIs" dxfId="11723" priority="2777" operator="lessThan">
      <formula>0</formula>
    </cfRule>
    <cfRule type="cellIs" dxfId="11722" priority="2778" operator="lessThan">
      <formula>-105575</formula>
    </cfRule>
  </conditionalFormatting>
  <conditionalFormatting sqref="BB227:BB230">
    <cfRule type="cellIs" dxfId="11721" priority="2775" operator="lessThan">
      <formula>0</formula>
    </cfRule>
    <cfRule type="cellIs" dxfId="11720" priority="2776" operator="lessThan">
      <formula>-105575</formula>
    </cfRule>
  </conditionalFormatting>
  <conditionalFormatting sqref="BB227:BB230">
    <cfRule type="cellIs" dxfId="11719" priority="2773" operator="lessThan">
      <formula>0</formula>
    </cfRule>
    <cfRule type="cellIs" dxfId="11718" priority="2774" operator="lessThan">
      <formula>-105575</formula>
    </cfRule>
  </conditionalFormatting>
  <conditionalFormatting sqref="BB227:BB230">
    <cfRule type="cellIs" dxfId="11717" priority="2771" operator="lessThan">
      <formula>0</formula>
    </cfRule>
    <cfRule type="cellIs" dxfId="11716" priority="2772" operator="lessThan">
      <formula>-105575</formula>
    </cfRule>
  </conditionalFormatting>
  <conditionalFormatting sqref="BB203 BB220:BB221 BB235:BB243 BB231:BB233 BB212:BB213 BB225:BB226">
    <cfRule type="cellIs" dxfId="11715" priority="2769" operator="lessThan">
      <formula>0</formula>
    </cfRule>
    <cfRule type="cellIs" dxfId="11714" priority="2770" operator="lessThan">
      <formula>-105575</formula>
    </cfRule>
  </conditionalFormatting>
  <conditionalFormatting sqref="BB220 BB212:BB213 BB235:BB238 BB240:BB243 BB225:BB226 BB231:BB233">
    <cfRule type="cellIs" dxfId="11713" priority="2767" operator="lessThan">
      <formula>0</formula>
    </cfRule>
    <cfRule type="cellIs" dxfId="11712" priority="2768" operator="lessThan">
      <formula>-105575</formula>
    </cfRule>
  </conditionalFormatting>
  <conditionalFormatting sqref="BB220:BB221 BB243 BB226 BB231:BB236 BB238:BB241 BB203 BB213">
    <cfRule type="cellIs" dxfId="11711" priority="2765" operator="lessThan">
      <formula>0</formula>
    </cfRule>
    <cfRule type="cellIs" dxfId="11710" priority="2766" operator="lessThan">
      <formula>-105575</formula>
    </cfRule>
  </conditionalFormatting>
  <conditionalFormatting sqref="BB235:BB243 BB231:BB233 BB220 BB212:BB213 BB225:BB226">
    <cfRule type="cellIs" dxfId="11709" priority="2763" operator="lessThan">
      <formula>0</formula>
    </cfRule>
    <cfRule type="cellIs" dxfId="11708" priority="2764" operator="lessThan">
      <formula>-105575</formula>
    </cfRule>
  </conditionalFormatting>
  <conditionalFormatting sqref="BB220:BB221 BB237:BB243 BB203 BB231:BB235 BB212:BB213 BB225:BB226">
    <cfRule type="cellIs" dxfId="11707" priority="2761" operator="lessThan">
      <formula>0</formula>
    </cfRule>
    <cfRule type="cellIs" dxfId="11706" priority="2762" operator="lessThan">
      <formula>-105575</formula>
    </cfRule>
  </conditionalFormatting>
  <conditionalFormatting sqref="BB220:BB221 BB237:BB240 BB242:BB243 BB225:BB226 BB231:BB235">
    <cfRule type="cellIs" dxfId="11705" priority="2759" operator="lessThan">
      <formula>0</formula>
    </cfRule>
    <cfRule type="cellIs" dxfId="11704" priority="2760" operator="lessThan">
      <formula>-105575</formula>
    </cfRule>
  </conditionalFormatting>
  <conditionalFormatting sqref="BB212 BB231 BB233:BB238 BB240:BB243 BB225">
    <cfRule type="cellIs" dxfId="11703" priority="2757" operator="lessThan">
      <formula>0</formula>
    </cfRule>
    <cfRule type="cellIs" dxfId="11702" priority="2758" operator="lessThan">
      <formula>-105575</formula>
    </cfRule>
  </conditionalFormatting>
  <conditionalFormatting sqref="BB237:BB243 BB231:BB235 BB220:BB221 BB225:BB226">
    <cfRule type="cellIs" dxfId="11701" priority="2755" operator="lessThan">
      <formula>0</formula>
    </cfRule>
    <cfRule type="cellIs" dxfId="11700" priority="2756" operator="lessThan">
      <formula>-105575</formula>
    </cfRule>
  </conditionalFormatting>
  <conditionalFormatting sqref="BB233:BB237 BB231 BB239:BB243">
    <cfRule type="cellIs" dxfId="11699" priority="2753" operator="lessThan">
      <formula>0</formula>
    </cfRule>
    <cfRule type="cellIs" dxfId="11698" priority="2754" operator="lessThan">
      <formula>-105575</formula>
    </cfRule>
  </conditionalFormatting>
  <conditionalFormatting sqref="BB233:BB237 BB231 BB239:BB243">
    <cfRule type="cellIs" dxfId="11697" priority="2751" operator="lessThan">
      <formula>0</formula>
    </cfRule>
    <cfRule type="cellIs" dxfId="11696" priority="2752" operator="lessThan">
      <formula>-105575</formula>
    </cfRule>
  </conditionalFormatting>
  <conditionalFormatting sqref="BB119:BB128 BB106:BB117 BB101:BB104 BB80:BB98">
    <cfRule type="cellIs" dxfId="11695" priority="2749" operator="lessThan">
      <formula>0</formula>
    </cfRule>
    <cfRule type="cellIs" dxfId="11694" priority="2750" operator="lessThan">
      <formula>-105575</formula>
    </cfRule>
  </conditionalFormatting>
  <conditionalFormatting sqref="BB130 BB132 BB134">
    <cfRule type="cellIs" dxfId="11693" priority="2747" operator="lessThan">
      <formula>0</formula>
    </cfRule>
    <cfRule type="cellIs" dxfId="11692" priority="2748" operator="lessThan">
      <formula>-105575</formula>
    </cfRule>
  </conditionalFormatting>
  <conditionalFormatting sqref="BB130 BB132 BB134">
    <cfRule type="cellIs" dxfId="11691" priority="2745" operator="lessThan">
      <formula>0</formula>
    </cfRule>
    <cfRule type="cellIs" dxfId="11690" priority="2746" operator="lessThan">
      <formula>-105575</formula>
    </cfRule>
  </conditionalFormatting>
  <conditionalFormatting sqref="BB129 BB131 BB133 BB135">
    <cfRule type="cellIs" dxfId="11689" priority="2743" operator="lessThan">
      <formula>0</formula>
    </cfRule>
    <cfRule type="cellIs" dxfId="11688" priority="2744" operator="lessThan">
      <formula>-105575</formula>
    </cfRule>
  </conditionalFormatting>
  <conditionalFormatting sqref="BB140 BB145 BB142:BB143 BB137:BB138">
    <cfRule type="cellIs" dxfId="11687" priority="2741" operator="lessThan">
      <formula>0</formula>
    </cfRule>
    <cfRule type="cellIs" dxfId="11686" priority="2742" operator="lessThan">
      <formula>-105575</formula>
    </cfRule>
  </conditionalFormatting>
  <conditionalFormatting sqref="BB149">
    <cfRule type="cellIs" dxfId="11685" priority="2739" operator="lessThan">
      <formula>0</formula>
    </cfRule>
    <cfRule type="cellIs" dxfId="11684" priority="2740" operator="lessThan">
      <formula>-105575</formula>
    </cfRule>
  </conditionalFormatting>
  <conditionalFormatting sqref="BB129:BB138 BB140:BB149">
    <cfRule type="cellIs" dxfId="11683" priority="2737" operator="lessThan">
      <formula>0</formula>
    </cfRule>
    <cfRule type="cellIs" dxfId="11682" priority="2738" operator="lessThan">
      <formula>-105575</formula>
    </cfRule>
  </conditionalFormatting>
  <conditionalFormatting sqref="BB94:BB98 BB86:BB87 BB89:BB91 BB141:BB149 BB124:BB133 BB107:BB110 BB112:BB117 BB119:BB122 BB135:BB138 BB101:BB104 BB80:BB84">
    <cfRule type="cellIs" dxfId="11681" priority="2735" operator="lessThan">
      <formula>0</formula>
    </cfRule>
    <cfRule type="cellIs" dxfId="11680" priority="2736" operator="lessThan">
      <formula>-105575</formula>
    </cfRule>
  </conditionalFormatting>
  <conditionalFormatting sqref="BB129 BB131 BB133 BB135">
    <cfRule type="cellIs" dxfId="11679" priority="2733" operator="lessThan">
      <formula>0</formula>
    </cfRule>
    <cfRule type="cellIs" dxfId="11678" priority="2734" operator="lessThan">
      <formula>-105575</formula>
    </cfRule>
  </conditionalFormatting>
  <conditionalFormatting sqref="BB146 BB144 BB141">
    <cfRule type="cellIs" dxfId="11677" priority="2731" operator="lessThan">
      <formula>0</formula>
    </cfRule>
    <cfRule type="cellIs" dxfId="11676" priority="2732" operator="lessThan">
      <formula>-105575</formula>
    </cfRule>
  </conditionalFormatting>
  <conditionalFormatting sqref="BB146 BB144 BB141">
    <cfRule type="cellIs" dxfId="11675" priority="2729" operator="lessThan">
      <formula>0</formula>
    </cfRule>
    <cfRule type="cellIs" dxfId="11674" priority="2730" operator="lessThan">
      <formula>-105575</formula>
    </cfRule>
  </conditionalFormatting>
  <conditionalFormatting sqref="BB140 BB145 BB142:BB143 BB137:BB138">
    <cfRule type="cellIs" dxfId="11673" priority="2727" operator="lessThan">
      <formula>0</formula>
    </cfRule>
    <cfRule type="cellIs" dxfId="11672" priority="2728" operator="lessThan">
      <formula>-105575</formula>
    </cfRule>
  </conditionalFormatting>
  <conditionalFormatting sqref="BB149">
    <cfRule type="cellIs" dxfId="11671" priority="2725" operator="lessThan">
      <formula>0</formula>
    </cfRule>
    <cfRule type="cellIs" dxfId="11670" priority="2726" operator="lessThan">
      <formula>-105575</formula>
    </cfRule>
  </conditionalFormatting>
  <conditionalFormatting sqref="BB94:BB98 BB86:BB87 BB89:BB91 BB141:BB149 BB124:BB133 BB107:BB110 BB112:BB117 BB119:BB122 BB135:BB138 BB101:BB104 BB80:BB84">
    <cfRule type="cellIs" dxfId="11669" priority="2723" operator="lessThan">
      <formula>0</formula>
    </cfRule>
    <cfRule type="cellIs" dxfId="11668" priority="2724" operator="lessThan">
      <formula>-105575</formula>
    </cfRule>
  </conditionalFormatting>
  <conditionalFormatting sqref="BB62:BB76 BB306:BB309 BB311:BB325 BB327:BB330 BB332:BB341 BB344:BB347 BB349:BB353 BB355:BB358 BB360:BB384 BB386:BB389 BB392:BB395 BB397:BB411 BB413:BB416 BB418:BB432 BB434:BB437 BB439:BB453 BB455:BB458 BB460:BB469 BB7:BB10 BB12:BB14 BB17:BB18 BB21:BB24 BB26:BB28 BB30:BB36 BB38 BB41:BB43 BB46:BB49 BB51:BB55 BB57:BB59 BB290:BB291 BB293:BB304">
    <cfRule type="cellIs" dxfId="11667" priority="2721" operator="lessThan">
      <formula>0</formula>
    </cfRule>
    <cfRule type="cellIs" dxfId="11666" priority="2722" operator="lessThan">
      <formula>-105575</formula>
    </cfRule>
  </conditionalFormatting>
  <conditionalFormatting sqref="BB41">
    <cfRule type="cellIs" dxfId="11665" priority="2719" operator="lessThan">
      <formula>0</formula>
    </cfRule>
    <cfRule type="cellIs" dxfId="11664" priority="2720" operator="lessThan">
      <formula>-105575</formula>
    </cfRule>
  </conditionalFormatting>
  <conditionalFormatting sqref="BB152:BB155">
    <cfRule type="cellIs" dxfId="11663" priority="2717" operator="lessThan">
      <formula>0</formula>
    </cfRule>
    <cfRule type="cellIs" dxfId="11662" priority="2718" operator="lessThan">
      <formula>-105575</formula>
    </cfRule>
  </conditionalFormatting>
  <conditionalFormatting sqref="BB152:BB155">
    <cfRule type="cellIs" dxfId="11661" priority="2715" operator="lessThan">
      <formula>0</formula>
    </cfRule>
    <cfRule type="cellIs" dxfId="11660" priority="2716" operator="lessThan">
      <formula>-105575</formula>
    </cfRule>
  </conditionalFormatting>
  <conditionalFormatting sqref="BB152:BB155">
    <cfRule type="cellIs" dxfId="11659" priority="2713" operator="lessThan">
      <formula>0</formula>
    </cfRule>
    <cfRule type="cellIs" dxfId="11658" priority="2714" operator="lessThan">
      <formula>-105575</formula>
    </cfRule>
  </conditionalFormatting>
  <conditionalFormatting sqref="BB157:BB158">
    <cfRule type="cellIs" dxfId="11657" priority="2711" operator="lessThan">
      <formula>0</formula>
    </cfRule>
    <cfRule type="cellIs" dxfId="11656" priority="2712" operator="lessThan">
      <formula>-105575</formula>
    </cfRule>
  </conditionalFormatting>
  <conditionalFormatting sqref="BB157:BB158">
    <cfRule type="cellIs" dxfId="11655" priority="2709" operator="lessThan">
      <formula>0</formula>
    </cfRule>
    <cfRule type="cellIs" dxfId="11654" priority="2710" operator="lessThan">
      <formula>-105575</formula>
    </cfRule>
  </conditionalFormatting>
  <conditionalFormatting sqref="BB157:BB158">
    <cfRule type="cellIs" dxfId="11653" priority="2707" operator="lessThan">
      <formula>0</formula>
    </cfRule>
    <cfRule type="cellIs" dxfId="11652" priority="2708" operator="lessThan">
      <formula>-105575</formula>
    </cfRule>
  </conditionalFormatting>
  <conditionalFormatting sqref="BB160:BB161">
    <cfRule type="cellIs" dxfId="11651" priority="2705" operator="lessThan">
      <formula>0</formula>
    </cfRule>
    <cfRule type="cellIs" dxfId="11650" priority="2706" operator="lessThan">
      <formula>-105575</formula>
    </cfRule>
  </conditionalFormatting>
  <conditionalFormatting sqref="BB160:BB161">
    <cfRule type="cellIs" dxfId="11649" priority="2703" operator="lessThan">
      <formula>0</formula>
    </cfRule>
    <cfRule type="cellIs" dxfId="11648" priority="2704" operator="lessThan">
      <formula>-105575</formula>
    </cfRule>
  </conditionalFormatting>
  <conditionalFormatting sqref="BB160:BB161">
    <cfRule type="cellIs" dxfId="11647" priority="2701" operator="lessThan">
      <formula>0</formula>
    </cfRule>
    <cfRule type="cellIs" dxfId="11646" priority="2702" operator="lessThan">
      <formula>-105575</formula>
    </cfRule>
  </conditionalFormatting>
  <conditionalFormatting sqref="BB164:BB167">
    <cfRule type="cellIs" dxfId="11645" priority="2699" operator="lessThan">
      <formula>0</formula>
    </cfRule>
    <cfRule type="cellIs" dxfId="11644" priority="2700" operator="lessThan">
      <formula>-105575</formula>
    </cfRule>
  </conditionalFormatting>
  <conditionalFormatting sqref="BB164:BB167">
    <cfRule type="cellIs" dxfId="11643" priority="2697" operator="lessThan">
      <formula>0</formula>
    </cfRule>
    <cfRule type="cellIs" dxfId="11642" priority="2698" operator="lessThan">
      <formula>-105575</formula>
    </cfRule>
  </conditionalFormatting>
  <conditionalFormatting sqref="BB164:BB167">
    <cfRule type="cellIs" dxfId="11641" priority="2695" operator="lessThan">
      <formula>0</formula>
    </cfRule>
    <cfRule type="cellIs" dxfId="11640" priority="2696" operator="lessThan">
      <formula>-105575</formula>
    </cfRule>
  </conditionalFormatting>
  <conditionalFormatting sqref="BB169:BB177">
    <cfRule type="cellIs" dxfId="11639" priority="2693" operator="lessThan">
      <formula>0</formula>
    </cfRule>
    <cfRule type="cellIs" dxfId="11638" priority="2694" operator="lessThan">
      <formula>-105575</formula>
    </cfRule>
  </conditionalFormatting>
  <conditionalFormatting sqref="BB169:BB177">
    <cfRule type="cellIs" dxfId="11637" priority="2691" operator="lessThan">
      <formula>0</formula>
    </cfRule>
    <cfRule type="cellIs" dxfId="11636" priority="2692" operator="lessThan">
      <formula>-105575</formula>
    </cfRule>
  </conditionalFormatting>
  <conditionalFormatting sqref="BB169:BB177">
    <cfRule type="cellIs" dxfId="11635" priority="2689" operator="lessThan">
      <formula>0</formula>
    </cfRule>
    <cfRule type="cellIs" dxfId="11634" priority="2690" operator="lessThan">
      <formula>-105575</formula>
    </cfRule>
  </conditionalFormatting>
  <conditionalFormatting sqref="BB179:BB180">
    <cfRule type="cellIs" dxfId="11633" priority="2687" operator="lessThan">
      <formula>0</formula>
    </cfRule>
    <cfRule type="cellIs" dxfId="11632" priority="2688" operator="lessThan">
      <formula>-105575</formula>
    </cfRule>
  </conditionalFormatting>
  <conditionalFormatting sqref="BB179:BB180">
    <cfRule type="cellIs" dxfId="11631" priority="2685" operator="lessThan">
      <formula>0</formula>
    </cfRule>
    <cfRule type="cellIs" dxfId="11630" priority="2686" operator="lessThan">
      <formula>-105575</formula>
    </cfRule>
  </conditionalFormatting>
  <conditionalFormatting sqref="BB179:BB180">
    <cfRule type="cellIs" dxfId="11629" priority="2683" operator="lessThan">
      <formula>0</formula>
    </cfRule>
    <cfRule type="cellIs" dxfId="11628" priority="2684" operator="lessThan">
      <formula>-105575</formula>
    </cfRule>
  </conditionalFormatting>
  <conditionalFormatting sqref="BB183:BB189">
    <cfRule type="cellIs" dxfId="11627" priority="2681" operator="lessThan">
      <formula>0</formula>
    </cfRule>
    <cfRule type="cellIs" dxfId="11626" priority="2682" operator="lessThan">
      <formula>-105575</formula>
    </cfRule>
  </conditionalFormatting>
  <conditionalFormatting sqref="BB183:BB189">
    <cfRule type="cellIs" dxfId="11625" priority="2679" operator="lessThan">
      <formula>0</formula>
    </cfRule>
    <cfRule type="cellIs" dxfId="11624" priority="2680" operator="lessThan">
      <formula>-105575</formula>
    </cfRule>
  </conditionalFormatting>
  <conditionalFormatting sqref="BB183:BB189">
    <cfRule type="cellIs" dxfId="11623" priority="2677" operator="lessThan">
      <formula>0</formula>
    </cfRule>
    <cfRule type="cellIs" dxfId="11622" priority="2678" operator="lessThan">
      <formula>-105575</formula>
    </cfRule>
  </conditionalFormatting>
  <conditionalFormatting sqref="BB191:BB192">
    <cfRule type="cellIs" dxfId="11621" priority="2675" operator="lessThan">
      <formula>0</formula>
    </cfRule>
    <cfRule type="cellIs" dxfId="11620" priority="2676" operator="lessThan">
      <formula>-105575</formula>
    </cfRule>
  </conditionalFormatting>
  <conditionalFormatting sqref="BB191:BB192">
    <cfRule type="cellIs" dxfId="11619" priority="2673" operator="lessThan">
      <formula>0</formula>
    </cfRule>
    <cfRule type="cellIs" dxfId="11618" priority="2674" operator="lessThan">
      <formula>-105575</formula>
    </cfRule>
  </conditionalFormatting>
  <conditionalFormatting sqref="BB191:BB192">
    <cfRule type="cellIs" dxfId="11617" priority="2671" operator="lessThan">
      <formula>0</formula>
    </cfRule>
    <cfRule type="cellIs" dxfId="11616" priority="2672" operator="lessThan">
      <formula>-105575</formula>
    </cfRule>
  </conditionalFormatting>
  <conditionalFormatting sqref="BB194:BB195">
    <cfRule type="cellIs" dxfId="11615" priority="2669" operator="lessThan">
      <formula>0</formula>
    </cfRule>
    <cfRule type="cellIs" dxfId="11614" priority="2670" operator="lessThan">
      <formula>-105575</formula>
    </cfRule>
  </conditionalFormatting>
  <conditionalFormatting sqref="BB194:BB195">
    <cfRule type="cellIs" dxfId="11613" priority="2667" operator="lessThan">
      <formula>0</formula>
    </cfRule>
    <cfRule type="cellIs" dxfId="11612" priority="2668" operator="lessThan">
      <formula>-105575</formula>
    </cfRule>
  </conditionalFormatting>
  <conditionalFormatting sqref="BB194:BB195">
    <cfRule type="cellIs" dxfId="11611" priority="2665" operator="lessThan">
      <formula>0</formula>
    </cfRule>
    <cfRule type="cellIs" dxfId="11610" priority="2666" operator="lessThan">
      <formula>-105575</formula>
    </cfRule>
  </conditionalFormatting>
  <conditionalFormatting sqref="BB199:BB202">
    <cfRule type="cellIs" dxfId="11609" priority="2663" operator="lessThan">
      <formula>0</formula>
    </cfRule>
    <cfRule type="cellIs" dxfId="11608" priority="2664" operator="lessThan">
      <formula>-105575</formula>
    </cfRule>
  </conditionalFormatting>
  <conditionalFormatting sqref="BB199:BB202">
    <cfRule type="cellIs" dxfId="11607" priority="2661" operator="lessThan">
      <formula>0</formula>
    </cfRule>
    <cfRule type="cellIs" dxfId="11606" priority="2662" operator="lessThan">
      <formula>-105575</formula>
    </cfRule>
  </conditionalFormatting>
  <conditionalFormatting sqref="BB199:BB202">
    <cfRule type="cellIs" dxfId="11605" priority="2659" operator="lessThan">
      <formula>0</formula>
    </cfRule>
    <cfRule type="cellIs" dxfId="11604" priority="2660" operator="lessThan">
      <formula>-105575</formula>
    </cfRule>
  </conditionalFormatting>
  <conditionalFormatting sqref="BB204:BB208">
    <cfRule type="cellIs" dxfId="11603" priority="2657" operator="lessThan">
      <formula>0</formula>
    </cfRule>
    <cfRule type="cellIs" dxfId="11602" priority="2658" operator="lessThan">
      <formula>-105575</formula>
    </cfRule>
  </conditionalFormatting>
  <conditionalFormatting sqref="BB204:BB208">
    <cfRule type="cellIs" dxfId="11601" priority="2655" operator="lessThan">
      <formula>0</formula>
    </cfRule>
    <cfRule type="cellIs" dxfId="11600" priority="2656" operator="lessThan">
      <formula>-105575</formula>
    </cfRule>
  </conditionalFormatting>
  <conditionalFormatting sqref="BB204:BB208">
    <cfRule type="cellIs" dxfId="11599" priority="2653" operator="lessThan">
      <formula>0</formula>
    </cfRule>
    <cfRule type="cellIs" dxfId="11598" priority="2654" operator="lessThan">
      <formula>-105575</formula>
    </cfRule>
  </conditionalFormatting>
  <conditionalFormatting sqref="BB210:BB211">
    <cfRule type="cellIs" dxfId="11597" priority="2651" operator="lessThan">
      <formula>0</formula>
    </cfRule>
    <cfRule type="cellIs" dxfId="11596" priority="2652" operator="lessThan">
      <formula>-105575</formula>
    </cfRule>
  </conditionalFormatting>
  <conditionalFormatting sqref="BB210:BB211">
    <cfRule type="cellIs" dxfId="11595" priority="2649" operator="lessThan">
      <formula>0</formula>
    </cfRule>
    <cfRule type="cellIs" dxfId="11594" priority="2650" operator="lessThan">
      <formula>-105575</formula>
    </cfRule>
  </conditionalFormatting>
  <conditionalFormatting sqref="BB210:BB211">
    <cfRule type="cellIs" dxfId="11593" priority="2647" operator="lessThan">
      <formula>0</formula>
    </cfRule>
    <cfRule type="cellIs" dxfId="11592" priority="2648" operator="lessThan">
      <formula>-105575</formula>
    </cfRule>
  </conditionalFormatting>
  <conditionalFormatting sqref="BB214:BB219">
    <cfRule type="cellIs" dxfId="11591" priority="2645" operator="lessThan">
      <formula>0</formula>
    </cfRule>
    <cfRule type="cellIs" dxfId="11590" priority="2646" operator="lessThan">
      <formula>-105575</formula>
    </cfRule>
  </conditionalFormatting>
  <conditionalFormatting sqref="BB214:BB219">
    <cfRule type="cellIs" dxfId="11589" priority="2643" operator="lessThan">
      <formula>0</formula>
    </cfRule>
    <cfRule type="cellIs" dxfId="11588" priority="2644" operator="lessThan">
      <formula>-105575</formula>
    </cfRule>
  </conditionalFormatting>
  <conditionalFormatting sqref="BB214:BB219">
    <cfRule type="cellIs" dxfId="11587" priority="2641" operator="lessThan">
      <formula>0</formula>
    </cfRule>
    <cfRule type="cellIs" dxfId="11586" priority="2642" operator="lessThan">
      <formula>-105575</formula>
    </cfRule>
  </conditionalFormatting>
  <conditionalFormatting sqref="BB222:BB224">
    <cfRule type="cellIs" dxfId="11585" priority="2639" operator="lessThan">
      <formula>0</formula>
    </cfRule>
    <cfRule type="cellIs" dxfId="11584" priority="2640" operator="lessThan">
      <formula>-105575</formula>
    </cfRule>
  </conditionalFormatting>
  <conditionalFormatting sqref="BB222:BB224">
    <cfRule type="cellIs" dxfId="11583" priority="2637" operator="lessThan">
      <formula>0</formula>
    </cfRule>
    <cfRule type="cellIs" dxfId="11582" priority="2638" operator="lessThan">
      <formula>-105575</formula>
    </cfRule>
  </conditionalFormatting>
  <conditionalFormatting sqref="BB222:BB224">
    <cfRule type="cellIs" dxfId="11581" priority="2635" operator="lessThan">
      <formula>0</formula>
    </cfRule>
    <cfRule type="cellIs" dxfId="11580" priority="2636" operator="lessThan">
      <formula>-105575</formula>
    </cfRule>
  </conditionalFormatting>
  <conditionalFormatting sqref="BB227:BB230">
    <cfRule type="cellIs" dxfId="11579" priority="2633" operator="lessThan">
      <formula>0</formula>
    </cfRule>
    <cfRule type="cellIs" dxfId="11578" priority="2634" operator="lessThan">
      <formula>-105575</formula>
    </cfRule>
  </conditionalFormatting>
  <conditionalFormatting sqref="BB227:BB230">
    <cfRule type="cellIs" dxfId="11577" priority="2631" operator="lessThan">
      <formula>0</formula>
    </cfRule>
    <cfRule type="cellIs" dxfId="11576" priority="2632" operator="lessThan">
      <formula>-105575</formula>
    </cfRule>
  </conditionalFormatting>
  <conditionalFormatting sqref="BB227:BB230">
    <cfRule type="cellIs" dxfId="11575" priority="2629" operator="lessThan">
      <formula>0</formula>
    </cfRule>
    <cfRule type="cellIs" dxfId="11574" priority="2630" operator="lessThan">
      <formula>-105575</formula>
    </cfRule>
  </conditionalFormatting>
  <conditionalFormatting sqref="BB246:BB249">
    <cfRule type="cellIs" dxfId="11573" priority="2627" operator="lessThan">
      <formula>0</formula>
    </cfRule>
    <cfRule type="cellIs" dxfId="11572" priority="2628" operator="lessThan">
      <formula>-105575</formula>
    </cfRule>
  </conditionalFormatting>
  <conditionalFormatting sqref="BB246:BB249">
    <cfRule type="cellIs" dxfId="11571" priority="2625" operator="lessThan">
      <formula>0</formula>
    </cfRule>
    <cfRule type="cellIs" dxfId="11570" priority="2626" operator="lessThan">
      <formula>-105575</formula>
    </cfRule>
  </conditionalFormatting>
  <conditionalFormatting sqref="BB246:BB249">
    <cfRule type="cellIs" dxfId="11569" priority="2623" operator="lessThan">
      <formula>0</formula>
    </cfRule>
    <cfRule type="cellIs" dxfId="11568" priority="2624" operator="lessThan">
      <formula>-105575</formula>
    </cfRule>
  </conditionalFormatting>
  <conditionalFormatting sqref="BB246:BB249">
    <cfRule type="cellIs" dxfId="11567" priority="2621" operator="lessThan">
      <formula>0</formula>
    </cfRule>
    <cfRule type="cellIs" dxfId="11566" priority="2622" operator="lessThan">
      <formula>-105575</formula>
    </cfRule>
  </conditionalFormatting>
  <conditionalFormatting sqref="BB246:BB249">
    <cfRule type="cellIs" dxfId="11565" priority="2619" operator="lessThan">
      <formula>0</formula>
    </cfRule>
    <cfRule type="cellIs" dxfId="11564" priority="2620" operator="lessThan">
      <formula>-105575</formula>
    </cfRule>
  </conditionalFormatting>
  <conditionalFormatting sqref="BB246:BB249">
    <cfRule type="cellIs" dxfId="11563" priority="2617" operator="lessThan">
      <formula>0</formula>
    </cfRule>
    <cfRule type="cellIs" dxfId="11562" priority="2618" operator="lessThan">
      <formula>-105575</formula>
    </cfRule>
  </conditionalFormatting>
  <conditionalFormatting sqref="BB246:BB249">
    <cfRule type="cellIs" dxfId="11561" priority="2615" operator="lessThan">
      <formula>0</formula>
    </cfRule>
    <cfRule type="cellIs" dxfId="11560" priority="2616" operator="lessThan">
      <formula>-105575</formula>
    </cfRule>
  </conditionalFormatting>
  <conditionalFormatting sqref="BB246:BB249">
    <cfRule type="cellIs" dxfId="11559" priority="2613" operator="lessThan">
      <formula>0</formula>
    </cfRule>
    <cfRule type="cellIs" dxfId="11558" priority="2614" operator="lessThan">
      <formula>-105575</formula>
    </cfRule>
  </conditionalFormatting>
  <conditionalFormatting sqref="BB246:BB249">
    <cfRule type="cellIs" dxfId="11557" priority="2611" operator="lessThan">
      <formula>0</formula>
    </cfRule>
    <cfRule type="cellIs" dxfId="11556" priority="2612" operator="lessThan">
      <formula>-105575</formula>
    </cfRule>
  </conditionalFormatting>
  <conditionalFormatting sqref="BB251:BB253">
    <cfRule type="cellIs" dxfId="11555" priority="2609" operator="lessThan">
      <formula>0</formula>
    </cfRule>
    <cfRule type="cellIs" dxfId="11554" priority="2610" operator="lessThan">
      <formula>-105575</formula>
    </cfRule>
  </conditionalFormatting>
  <conditionalFormatting sqref="BB251:BB253">
    <cfRule type="cellIs" dxfId="11553" priority="2607" operator="lessThan">
      <formula>0</formula>
    </cfRule>
    <cfRule type="cellIs" dxfId="11552" priority="2608" operator="lessThan">
      <formula>-105575</formula>
    </cfRule>
  </conditionalFormatting>
  <conditionalFormatting sqref="BB251:BB253">
    <cfRule type="cellIs" dxfId="11551" priority="2605" operator="lessThan">
      <formula>0</formula>
    </cfRule>
    <cfRule type="cellIs" dxfId="11550" priority="2606" operator="lessThan">
      <formula>-105575</formula>
    </cfRule>
  </conditionalFormatting>
  <conditionalFormatting sqref="BB251:BB253">
    <cfRule type="cellIs" dxfId="11549" priority="2603" operator="lessThan">
      <formula>0</formula>
    </cfRule>
    <cfRule type="cellIs" dxfId="11548" priority="2604" operator="lessThan">
      <formula>-105575</formula>
    </cfRule>
  </conditionalFormatting>
  <conditionalFormatting sqref="BB251:BB253">
    <cfRule type="cellIs" dxfId="11547" priority="2601" operator="lessThan">
      <formula>0</formula>
    </cfRule>
    <cfRule type="cellIs" dxfId="11546" priority="2602" operator="lessThan">
      <formula>-105575</formula>
    </cfRule>
  </conditionalFormatting>
  <conditionalFormatting sqref="BB251:BB253">
    <cfRule type="cellIs" dxfId="11545" priority="2599" operator="lessThan">
      <formula>0</formula>
    </cfRule>
    <cfRule type="cellIs" dxfId="11544" priority="2600" operator="lessThan">
      <formula>-105575</formula>
    </cfRule>
  </conditionalFormatting>
  <conditionalFormatting sqref="BB251:BB253">
    <cfRule type="cellIs" dxfId="11543" priority="2597" operator="lessThan">
      <formula>0</formula>
    </cfRule>
    <cfRule type="cellIs" dxfId="11542" priority="2598" operator="lessThan">
      <formula>-105575</formula>
    </cfRule>
  </conditionalFormatting>
  <conditionalFormatting sqref="BB251:BB253">
    <cfRule type="cellIs" dxfId="11541" priority="2595" operator="lessThan">
      <formula>0</formula>
    </cfRule>
    <cfRule type="cellIs" dxfId="11540" priority="2596" operator="lessThan">
      <formula>-105575</formula>
    </cfRule>
  </conditionalFormatting>
  <conditionalFormatting sqref="BB251:BB253">
    <cfRule type="cellIs" dxfId="11539" priority="2593" operator="lessThan">
      <formula>0</formula>
    </cfRule>
    <cfRule type="cellIs" dxfId="11538" priority="2594" operator="lessThan">
      <formula>-105575</formula>
    </cfRule>
  </conditionalFormatting>
  <conditionalFormatting sqref="BB255:BB257">
    <cfRule type="cellIs" dxfId="11537" priority="2591" operator="lessThan">
      <formula>0</formula>
    </cfRule>
    <cfRule type="cellIs" dxfId="11536" priority="2592" operator="lessThan">
      <formula>-105575</formula>
    </cfRule>
  </conditionalFormatting>
  <conditionalFormatting sqref="BB255:BB257">
    <cfRule type="cellIs" dxfId="11535" priority="2589" operator="lessThan">
      <formula>0</formula>
    </cfRule>
    <cfRule type="cellIs" dxfId="11534" priority="2590" operator="lessThan">
      <formula>-105575</formula>
    </cfRule>
  </conditionalFormatting>
  <conditionalFormatting sqref="BB255:BB257">
    <cfRule type="cellIs" dxfId="11533" priority="2587" operator="lessThan">
      <formula>0</formula>
    </cfRule>
    <cfRule type="cellIs" dxfId="11532" priority="2588" operator="lessThan">
      <formula>-105575</formula>
    </cfRule>
  </conditionalFormatting>
  <conditionalFormatting sqref="BB255:BB257">
    <cfRule type="cellIs" dxfId="11531" priority="2585" operator="lessThan">
      <formula>0</formula>
    </cfRule>
    <cfRule type="cellIs" dxfId="11530" priority="2586" operator="lessThan">
      <formula>-105575</formula>
    </cfRule>
  </conditionalFormatting>
  <conditionalFormatting sqref="BB255:BB257">
    <cfRule type="cellIs" dxfId="11529" priority="2583" operator="lessThan">
      <formula>0</formula>
    </cfRule>
    <cfRule type="cellIs" dxfId="11528" priority="2584" operator="lessThan">
      <formula>-105575</formula>
    </cfRule>
  </conditionalFormatting>
  <conditionalFormatting sqref="BB255:BB257">
    <cfRule type="cellIs" dxfId="11527" priority="2581" operator="lessThan">
      <formula>0</formula>
    </cfRule>
    <cfRule type="cellIs" dxfId="11526" priority="2582" operator="lessThan">
      <formula>-105575</formula>
    </cfRule>
  </conditionalFormatting>
  <conditionalFormatting sqref="BB255:BB257">
    <cfRule type="cellIs" dxfId="11525" priority="2579" operator="lessThan">
      <formula>0</formula>
    </cfRule>
    <cfRule type="cellIs" dxfId="11524" priority="2580" operator="lessThan">
      <formula>-105575</formula>
    </cfRule>
  </conditionalFormatting>
  <conditionalFormatting sqref="BB255:BB257">
    <cfRule type="cellIs" dxfId="11523" priority="2577" operator="lessThan">
      <formula>0</formula>
    </cfRule>
    <cfRule type="cellIs" dxfId="11522" priority="2578" operator="lessThan">
      <formula>-105575</formula>
    </cfRule>
  </conditionalFormatting>
  <conditionalFormatting sqref="BB255:BB257">
    <cfRule type="cellIs" dxfId="11521" priority="2575" operator="lessThan">
      <formula>0</formula>
    </cfRule>
    <cfRule type="cellIs" dxfId="11520" priority="2576" operator="lessThan">
      <formula>-105575</formula>
    </cfRule>
  </conditionalFormatting>
  <conditionalFormatting sqref="BB260:BB262">
    <cfRule type="cellIs" dxfId="11519" priority="2573" operator="lessThan">
      <formula>0</formula>
    </cfRule>
    <cfRule type="cellIs" dxfId="11518" priority="2574" operator="lessThan">
      <formula>-105575</formula>
    </cfRule>
  </conditionalFormatting>
  <conditionalFormatting sqref="BB260:BB262">
    <cfRule type="cellIs" dxfId="11517" priority="2571" operator="lessThan">
      <formula>0</formula>
    </cfRule>
    <cfRule type="cellIs" dxfId="11516" priority="2572" operator="lessThan">
      <formula>-105575</formula>
    </cfRule>
  </conditionalFormatting>
  <conditionalFormatting sqref="BB260:BB262">
    <cfRule type="cellIs" dxfId="11515" priority="2569" operator="lessThan">
      <formula>0</formula>
    </cfRule>
    <cfRule type="cellIs" dxfId="11514" priority="2570" operator="lessThan">
      <formula>-105575</formula>
    </cfRule>
  </conditionalFormatting>
  <conditionalFormatting sqref="BB260:BB262">
    <cfRule type="cellIs" dxfId="11513" priority="2567" operator="lessThan">
      <formula>0</formula>
    </cfRule>
    <cfRule type="cellIs" dxfId="11512" priority="2568" operator="lessThan">
      <formula>-105575</formula>
    </cfRule>
  </conditionalFormatting>
  <conditionalFormatting sqref="BB260:BB262">
    <cfRule type="cellIs" dxfId="11511" priority="2565" operator="lessThan">
      <formula>0</formula>
    </cfRule>
    <cfRule type="cellIs" dxfId="11510" priority="2566" operator="lessThan">
      <formula>-105575</formula>
    </cfRule>
  </conditionalFormatting>
  <conditionalFormatting sqref="BB260:BB262">
    <cfRule type="cellIs" dxfId="11509" priority="2563" operator="lessThan">
      <formula>0</formula>
    </cfRule>
    <cfRule type="cellIs" dxfId="11508" priority="2564" operator="lessThan">
      <formula>-105575</formula>
    </cfRule>
  </conditionalFormatting>
  <conditionalFormatting sqref="BB260:BB262">
    <cfRule type="cellIs" dxfId="11507" priority="2561" operator="lessThan">
      <formula>0</formula>
    </cfRule>
    <cfRule type="cellIs" dxfId="11506" priority="2562" operator="lessThan">
      <formula>-105575</formula>
    </cfRule>
  </conditionalFormatting>
  <conditionalFormatting sqref="BB260:BB262">
    <cfRule type="cellIs" dxfId="11505" priority="2559" operator="lessThan">
      <formula>0</formula>
    </cfRule>
    <cfRule type="cellIs" dxfId="11504" priority="2560" operator="lessThan">
      <formula>-105575</formula>
    </cfRule>
  </conditionalFormatting>
  <conditionalFormatting sqref="BB260:BB262">
    <cfRule type="cellIs" dxfId="11503" priority="2557" operator="lessThan">
      <formula>0</formula>
    </cfRule>
    <cfRule type="cellIs" dxfId="11502" priority="2558" operator="lessThan">
      <formula>-105575</formula>
    </cfRule>
  </conditionalFormatting>
  <conditionalFormatting sqref="BB264:BB267">
    <cfRule type="cellIs" dxfId="11501" priority="2555" operator="lessThan">
      <formula>0</formula>
    </cfRule>
    <cfRule type="cellIs" dxfId="11500" priority="2556" operator="lessThan">
      <formula>-105575</formula>
    </cfRule>
  </conditionalFormatting>
  <conditionalFormatting sqref="BB264:BB267">
    <cfRule type="cellIs" dxfId="11499" priority="2553" operator="lessThan">
      <formula>0</formula>
    </cfRule>
    <cfRule type="cellIs" dxfId="11498" priority="2554" operator="lessThan">
      <formula>-105575</formula>
    </cfRule>
  </conditionalFormatting>
  <conditionalFormatting sqref="BB264:BB267">
    <cfRule type="cellIs" dxfId="11497" priority="2551" operator="lessThan">
      <formula>0</formula>
    </cfRule>
    <cfRule type="cellIs" dxfId="11496" priority="2552" operator="lessThan">
      <formula>-105575</formula>
    </cfRule>
  </conditionalFormatting>
  <conditionalFormatting sqref="BB264:BB267">
    <cfRule type="cellIs" dxfId="11495" priority="2549" operator="lessThan">
      <formula>0</formula>
    </cfRule>
    <cfRule type="cellIs" dxfId="11494" priority="2550" operator="lessThan">
      <formula>-105575</formula>
    </cfRule>
  </conditionalFormatting>
  <conditionalFormatting sqref="BB264:BB267">
    <cfRule type="cellIs" dxfId="11493" priority="2547" operator="lessThan">
      <formula>0</formula>
    </cfRule>
    <cfRule type="cellIs" dxfId="11492" priority="2548" operator="lessThan">
      <formula>-105575</formula>
    </cfRule>
  </conditionalFormatting>
  <conditionalFormatting sqref="BB264:BB267">
    <cfRule type="cellIs" dxfId="11491" priority="2545" operator="lessThan">
      <formula>0</formula>
    </cfRule>
    <cfRule type="cellIs" dxfId="11490" priority="2546" operator="lessThan">
      <formula>-105575</formula>
    </cfRule>
  </conditionalFormatting>
  <conditionalFormatting sqref="BB264:BB267">
    <cfRule type="cellIs" dxfId="11489" priority="2543" operator="lessThan">
      <formula>0</formula>
    </cfRule>
    <cfRule type="cellIs" dxfId="11488" priority="2544" operator="lessThan">
      <formula>-105575</formula>
    </cfRule>
  </conditionalFormatting>
  <conditionalFormatting sqref="BB264:BB267">
    <cfRule type="cellIs" dxfId="11487" priority="2541" operator="lessThan">
      <formula>0</formula>
    </cfRule>
    <cfRule type="cellIs" dxfId="11486" priority="2542" operator="lessThan">
      <formula>-105575</formula>
    </cfRule>
  </conditionalFormatting>
  <conditionalFormatting sqref="BB264:BB267">
    <cfRule type="cellIs" dxfId="11485" priority="2539" operator="lessThan">
      <formula>0</formula>
    </cfRule>
    <cfRule type="cellIs" dxfId="11484" priority="2540" operator="lessThan">
      <formula>-105575</formula>
    </cfRule>
  </conditionalFormatting>
  <conditionalFormatting sqref="BB270:BB272">
    <cfRule type="cellIs" dxfId="11483" priority="2537" operator="lessThan">
      <formula>0</formula>
    </cfRule>
    <cfRule type="cellIs" dxfId="11482" priority="2538" operator="lessThan">
      <formula>-105575</formula>
    </cfRule>
  </conditionalFormatting>
  <conditionalFormatting sqref="BB270:BB272">
    <cfRule type="cellIs" dxfId="11481" priority="2535" operator="lessThan">
      <formula>0</formula>
    </cfRule>
    <cfRule type="cellIs" dxfId="11480" priority="2536" operator="lessThan">
      <formula>-105575</formula>
    </cfRule>
  </conditionalFormatting>
  <conditionalFormatting sqref="BB270:BB272">
    <cfRule type="cellIs" dxfId="11479" priority="2533" operator="lessThan">
      <formula>0</formula>
    </cfRule>
    <cfRule type="cellIs" dxfId="11478" priority="2534" operator="lessThan">
      <formula>-105575</formula>
    </cfRule>
  </conditionalFormatting>
  <conditionalFormatting sqref="BB270:BB272">
    <cfRule type="cellIs" dxfId="11477" priority="2531" operator="lessThan">
      <formula>0</formula>
    </cfRule>
    <cfRule type="cellIs" dxfId="11476" priority="2532" operator="lessThan">
      <formula>-105575</formula>
    </cfRule>
  </conditionalFormatting>
  <conditionalFormatting sqref="BB270:BB272">
    <cfRule type="cellIs" dxfId="11475" priority="2529" operator="lessThan">
      <formula>0</formula>
    </cfRule>
    <cfRule type="cellIs" dxfId="11474" priority="2530" operator="lessThan">
      <formula>-105575</formula>
    </cfRule>
  </conditionalFormatting>
  <conditionalFormatting sqref="BB270:BB272">
    <cfRule type="cellIs" dxfId="11473" priority="2527" operator="lessThan">
      <formula>0</formula>
    </cfRule>
    <cfRule type="cellIs" dxfId="11472" priority="2528" operator="lessThan">
      <formula>-105575</formula>
    </cfRule>
  </conditionalFormatting>
  <conditionalFormatting sqref="BB270:BB272">
    <cfRule type="cellIs" dxfId="11471" priority="2525" operator="lessThan">
      <formula>0</formula>
    </cfRule>
    <cfRule type="cellIs" dxfId="11470" priority="2526" operator="lessThan">
      <formula>-105575</formula>
    </cfRule>
  </conditionalFormatting>
  <conditionalFormatting sqref="BB270:BB272">
    <cfRule type="cellIs" dxfId="11469" priority="2523" operator="lessThan">
      <formula>0</formula>
    </cfRule>
    <cfRule type="cellIs" dxfId="11468" priority="2524" operator="lessThan">
      <formula>-105575</formula>
    </cfRule>
  </conditionalFormatting>
  <conditionalFormatting sqref="BB270:BB272">
    <cfRule type="cellIs" dxfId="11467" priority="2521" operator="lessThan">
      <formula>0</formula>
    </cfRule>
    <cfRule type="cellIs" dxfId="11466" priority="2522" operator="lessThan">
      <formula>-105575</formula>
    </cfRule>
  </conditionalFormatting>
  <conditionalFormatting sqref="BB274:BB275">
    <cfRule type="cellIs" dxfId="11465" priority="2519" operator="lessThan">
      <formula>0</formula>
    </cfRule>
    <cfRule type="cellIs" dxfId="11464" priority="2520" operator="lessThan">
      <formula>-105575</formula>
    </cfRule>
  </conditionalFormatting>
  <conditionalFormatting sqref="BB274:BB275">
    <cfRule type="cellIs" dxfId="11463" priority="2517" operator="lessThan">
      <formula>0</formula>
    </cfRule>
    <cfRule type="cellIs" dxfId="11462" priority="2518" operator="lessThan">
      <formula>-105575</formula>
    </cfRule>
  </conditionalFormatting>
  <conditionalFormatting sqref="BB274:BB275">
    <cfRule type="cellIs" dxfId="11461" priority="2515" operator="lessThan">
      <formula>0</formula>
    </cfRule>
    <cfRule type="cellIs" dxfId="11460" priority="2516" operator="lessThan">
      <formula>-105575</formula>
    </cfRule>
  </conditionalFormatting>
  <conditionalFormatting sqref="BB274:BB275">
    <cfRule type="cellIs" dxfId="11459" priority="2513" operator="lessThan">
      <formula>0</formula>
    </cfRule>
    <cfRule type="cellIs" dxfId="11458" priority="2514" operator="lessThan">
      <formula>-105575</formula>
    </cfRule>
  </conditionalFormatting>
  <conditionalFormatting sqref="BB274:BB275">
    <cfRule type="cellIs" dxfId="11457" priority="2511" operator="lessThan">
      <formula>0</formula>
    </cfRule>
    <cfRule type="cellIs" dxfId="11456" priority="2512" operator="lessThan">
      <formula>-105575</formula>
    </cfRule>
  </conditionalFormatting>
  <conditionalFormatting sqref="BB274:BB275">
    <cfRule type="cellIs" dxfId="11455" priority="2509" operator="lessThan">
      <formula>0</formula>
    </cfRule>
    <cfRule type="cellIs" dxfId="11454" priority="2510" operator="lessThan">
      <formula>-105575</formula>
    </cfRule>
  </conditionalFormatting>
  <conditionalFormatting sqref="BB274:BB275">
    <cfRule type="cellIs" dxfId="11453" priority="2507" operator="lessThan">
      <formula>0</formula>
    </cfRule>
    <cfRule type="cellIs" dxfId="11452" priority="2508" operator="lessThan">
      <formula>-105575</formula>
    </cfRule>
  </conditionalFormatting>
  <conditionalFormatting sqref="BB274:BB275">
    <cfRule type="cellIs" dxfId="11451" priority="2505" operator="lessThan">
      <formula>0</formula>
    </cfRule>
    <cfRule type="cellIs" dxfId="11450" priority="2506" operator="lessThan">
      <formula>-105575</formula>
    </cfRule>
  </conditionalFormatting>
  <conditionalFormatting sqref="BB274:BB275">
    <cfRule type="cellIs" dxfId="11449" priority="2503" operator="lessThan">
      <formula>0</formula>
    </cfRule>
    <cfRule type="cellIs" dxfId="11448" priority="2504" operator="lessThan">
      <formula>-105575</formula>
    </cfRule>
  </conditionalFormatting>
  <conditionalFormatting sqref="BB278:BB282">
    <cfRule type="cellIs" dxfId="11447" priority="2501" operator="lessThan">
      <formula>0</formula>
    </cfRule>
    <cfRule type="cellIs" dxfId="11446" priority="2502" operator="lessThan">
      <formula>-105575</formula>
    </cfRule>
  </conditionalFormatting>
  <conditionalFormatting sqref="BB278:BB282">
    <cfRule type="cellIs" dxfId="11445" priority="2499" operator="lessThan">
      <formula>0</formula>
    </cfRule>
    <cfRule type="cellIs" dxfId="11444" priority="2500" operator="lessThan">
      <formula>-105575</formula>
    </cfRule>
  </conditionalFormatting>
  <conditionalFormatting sqref="BB278:BB282">
    <cfRule type="cellIs" dxfId="11443" priority="2497" operator="lessThan">
      <formula>0</formula>
    </cfRule>
    <cfRule type="cellIs" dxfId="11442" priority="2498" operator="lessThan">
      <formula>-105575</formula>
    </cfRule>
  </conditionalFormatting>
  <conditionalFormatting sqref="BB278:BB282">
    <cfRule type="cellIs" dxfId="11441" priority="2495" operator="lessThan">
      <formula>0</formula>
    </cfRule>
    <cfRule type="cellIs" dxfId="11440" priority="2496" operator="lessThan">
      <formula>-105575</formula>
    </cfRule>
  </conditionalFormatting>
  <conditionalFormatting sqref="BB278:BB282">
    <cfRule type="cellIs" dxfId="11439" priority="2493" operator="lessThan">
      <formula>0</formula>
    </cfRule>
    <cfRule type="cellIs" dxfId="11438" priority="2494" operator="lessThan">
      <formula>-105575</formula>
    </cfRule>
  </conditionalFormatting>
  <conditionalFormatting sqref="BB278:BB282">
    <cfRule type="cellIs" dxfId="11437" priority="2491" operator="lessThan">
      <formula>0</formula>
    </cfRule>
    <cfRule type="cellIs" dxfId="11436" priority="2492" operator="lessThan">
      <formula>-105575</formula>
    </cfRule>
  </conditionalFormatting>
  <conditionalFormatting sqref="BB278:BB282">
    <cfRule type="cellIs" dxfId="11435" priority="2489" operator="lessThan">
      <formula>0</formula>
    </cfRule>
    <cfRule type="cellIs" dxfId="11434" priority="2490" operator="lessThan">
      <formula>-105575</formula>
    </cfRule>
  </conditionalFormatting>
  <conditionalFormatting sqref="BB278:BB282">
    <cfRule type="cellIs" dxfId="11433" priority="2487" operator="lessThan">
      <formula>0</formula>
    </cfRule>
    <cfRule type="cellIs" dxfId="11432" priority="2488" operator="lessThan">
      <formula>-105575</formula>
    </cfRule>
  </conditionalFormatting>
  <conditionalFormatting sqref="BB278:BB282">
    <cfRule type="cellIs" dxfId="11431" priority="2485" operator="lessThan">
      <formula>0</formula>
    </cfRule>
    <cfRule type="cellIs" dxfId="11430" priority="2486" operator="lessThan">
      <formula>-105575</formula>
    </cfRule>
  </conditionalFormatting>
  <conditionalFormatting sqref="BB285:BB288">
    <cfRule type="cellIs" dxfId="11429" priority="2483" operator="lessThan">
      <formula>0</formula>
    </cfRule>
    <cfRule type="cellIs" dxfId="11428" priority="2484" operator="lessThan">
      <formula>-105575</formula>
    </cfRule>
  </conditionalFormatting>
  <conditionalFormatting sqref="BB285:BB288">
    <cfRule type="cellIs" dxfId="11427" priority="2481" operator="lessThan">
      <formula>0</formula>
    </cfRule>
    <cfRule type="cellIs" dxfId="11426" priority="2482" operator="lessThan">
      <formula>-105575</formula>
    </cfRule>
  </conditionalFormatting>
  <conditionalFormatting sqref="BB285:BB288">
    <cfRule type="cellIs" dxfId="11425" priority="2479" operator="lessThan">
      <formula>0</formula>
    </cfRule>
    <cfRule type="cellIs" dxfId="11424" priority="2480" operator="lessThan">
      <formula>-105575</formula>
    </cfRule>
  </conditionalFormatting>
  <conditionalFormatting sqref="BB285:BB288">
    <cfRule type="cellIs" dxfId="11423" priority="2477" operator="lessThan">
      <formula>0</formula>
    </cfRule>
    <cfRule type="cellIs" dxfId="11422" priority="2478" operator="lessThan">
      <formula>-105575</formula>
    </cfRule>
  </conditionalFormatting>
  <conditionalFormatting sqref="BB285:BB288">
    <cfRule type="cellIs" dxfId="11421" priority="2475" operator="lessThan">
      <formula>0</formula>
    </cfRule>
    <cfRule type="cellIs" dxfId="11420" priority="2476" operator="lessThan">
      <formula>-105575</formula>
    </cfRule>
  </conditionalFormatting>
  <conditionalFormatting sqref="BB285:BB288">
    <cfRule type="cellIs" dxfId="11419" priority="2473" operator="lessThan">
      <formula>0</formula>
    </cfRule>
    <cfRule type="cellIs" dxfId="11418" priority="2474" operator="lessThan">
      <formula>-105575</formula>
    </cfRule>
  </conditionalFormatting>
  <conditionalFormatting sqref="BB285:BB288">
    <cfRule type="cellIs" dxfId="11417" priority="2471" operator="lessThan">
      <formula>0</formula>
    </cfRule>
    <cfRule type="cellIs" dxfId="11416" priority="2472" operator="lessThan">
      <formula>-105575</formula>
    </cfRule>
  </conditionalFormatting>
  <conditionalFormatting sqref="BB285:BB288">
    <cfRule type="cellIs" dxfId="11415" priority="2469" operator="lessThan">
      <formula>0</formula>
    </cfRule>
    <cfRule type="cellIs" dxfId="11414" priority="2470" operator="lessThan">
      <formula>-105575</formula>
    </cfRule>
  </conditionalFormatting>
  <conditionalFormatting sqref="BB285:BB288">
    <cfRule type="cellIs" dxfId="11413" priority="2467" operator="lessThan">
      <formula>0</formula>
    </cfRule>
    <cfRule type="cellIs" dxfId="11412" priority="2468" operator="lessThan">
      <formula>-105575</formula>
    </cfRule>
  </conditionalFormatting>
  <conditionalFormatting sqref="BB203 BB220:BB221 BB235:BB243 BB231:BB233 BB212:BB213 BB225:BB226">
    <cfRule type="cellIs" dxfId="11411" priority="2465" operator="lessThan">
      <formula>0</formula>
    </cfRule>
    <cfRule type="cellIs" dxfId="11410" priority="2466" operator="lessThan">
      <formula>-105575</formula>
    </cfRule>
  </conditionalFormatting>
  <conditionalFormatting sqref="BB220 BB212:BB213 BB235:BB238 BB240:BB243 BB225:BB226 BB231:BB233">
    <cfRule type="cellIs" dxfId="11409" priority="2463" operator="lessThan">
      <formula>0</formula>
    </cfRule>
    <cfRule type="cellIs" dxfId="11408" priority="2464" operator="lessThan">
      <formula>-105575</formula>
    </cfRule>
  </conditionalFormatting>
  <conditionalFormatting sqref="BB220:BB221 BB243 BB226 BB231:BB236 BB238:BB241 BB203 BB213">
    <cfRule type="cellIs" dxfId="11407" priority="2461" operator="lessThan">
      <formula>0</formula>
    </cfRule>
    <cfRule type="cellIs" dxfId="11406" priority="2462" operator="lessThan">
      <formula>-105575</formula>
    </cfRule>
  </conditionalFormatting>
  <conditionalFormatting sqref="BB235:BB243 BB231:BB233 BB220 BB212:BB213 BB225:BB226">
    <cfRule type="cellIs" dxfId="11405" priority="2459" operator="lessThan">
      <formula>0</formula>
    </cfRule>
    <cfRule type="cellIs" dxfId="11404" priority="2460" operator="lessThan">
      <formula>-105575</formula>
    </cfRule>
  </conditionalFormatting>
  <conditionalFormatting sqref="BB220:BB221 BB237:BB243 BB203 BB231:BB235 BB212:BB213 BB225:BB226">
    <cfRule type="cellIs" dxfId="11403" priority="2457" operator="lessThan">
      <formula>0</formula>
    </cfRule>
    <cfRule type="cellIs" dxfId="11402" priority="2458" operator="lessThan">
      <formula>-105575</formula>
    </cfRule>
  </conditionalFormatting>
  <conditionalFormatting sqref="BB220:BB221 BB237:BB240 BB242:BB243 BB225:BB226 BB231:BB235">
    <cfRule type="cellIs" dxfId="11401" priority="2455" operator="lessThan">
      <formula>0</formula>
    </cfRule>
    <cfRule type="cellIs" dxfId="11400" priority="2456" operator="lessThan">
      <formula>-105575</formula>
    </cfRule>
  </conditionalFormatting>
  <conditionalFormatting sqref="BB212 BB231 BB233:BB238 BB240:BB243 BB225">
    <cfRule type="cellIs" dxfId="11399" priority="2453" operator="lessThan">
      <formula>0</formula>
    </cfRule>
    <cfRule type="cellIs" dxfId="11398" priority="2454" operator="lessThan">
      <formula>-105575</formula>
    </cfRule>
  </conditionalFormatting>
  <conditionalFormatting sqref="BB237:BB243 BB231:BB235 BB220:BB221 BB225:BB226">
    <cfRule type="cellIs" dxfId="11397" priority="2451" operator="lessThan">
      <formula>0</formula>
    </cfRule>
    <cfRule type="cellIs" dxfId="11396" priority="2452" operator="lessThan">
      <formula>-105575</formula>
    </cfRule>
  </conditionalFormatting>
  <conditionalFormatting sqref="BB233:BB237 BB231 BB239:BB243">
    <cfRule type="cellIs" dxfId="11395" priority="2449" operator="lessThan">
      <formula>0</formula>
    </cfRule>
    <cfRule type="cellIs" dxfId="11394" priority="2450" operator="lessThan">
      <formula>-105575</formula>
    </cfRule>
  </conditionalFormatting>
  <conditionalFormatting sqref="BB233:BB237 BB231 BB239:BB243">
    <cfRule type="cellIs" dxfId="11393" priority="2447" operator="lessThan">
      <formula>0</formula>
    </cfRule>
    <cfRule type="cellIs" dxfId="11392" priority="2448" operator="lessThan">
      <formula>-105575</formula>
    </cfRule>
  </conditionalFormatting>
  <conditionalFormatting sqref="BB119:BB128 BB106:BB117 BB101:BB104 BB80:BB98">
    <cfRule type="cellIs" dxfId="11391" priority="2445" operator="lessThan">
      <formula>0</formula>
    </cfRule>
    <cfRule type="cellIs" dxfId="11390" priority="2446" operator="lessThan">
      <formula>-105575</formula>
    </cfRule>
  </conditionalFormatting>
  <conditionalFormatting sqref="BB130 BB132 BB134">
    <cfRule type="cellIs" dxfId="11389" priority="2443" operator="lessThan">
      <formula>0</formula>
    </cfRule>
    <cfRule type="cellIs" dxfId="11388" priority="2444" operator="lessThan">
      <formula>-105575</formula>
    </cfRule>
  </conditionalFormatting>
  <conditionalFormatting sqref="BB130 BB132 BB134">
    <cfRule type="cellIs" dxfId="11387" priority="2441" operator="lessThan">
      <formula>0</formula>
    </cfRule>
    <cfRule type="cellIs" dxfId="11386" priority="2442" operator="lessThan">
      <formula>-105575</formula>
    </cfRule>
  </conditionalFormatting>
  <conditionalFormatting sqref="BB129 BB131 BB133 BB135">
    <cfRule type="cellIs" dxfId="11385" priority="2439" operator="lessThan">
      <formula>0</formula>
    </cfRule>
    <cfRule type="cellIs" dxfId="11384" priority="2440" operator="lessThan">
      <formula>-105575</formula>
    </cfRule>
  </conditionalFormatting>
  <conditionalFormatting sqref="BB140 BB145 BB142:BB143 BB137:BB138">
    <cfRule type="cellIs" dxfId="11383" priority="2437" operator="lessThan">
      <formula>0</formula>
    </cfRule>
    <cfRule type="cellIs" dxfId="11382" priority="2438" operator="lessThan">
      <formula>-105575</formula>
    </cfRule>
  </conditionalFormatting>
  <conditionalFormatting sqref="BB149">
    <cfRule type="cellIs" dxfId="11381" priority="2435" operator="lessThan">
      <formula>0</formula>
    </cfRule>
    <cfRule type="cellIs" dxfId="11380" priority="2436" operator="lessThan">
      <formula>-105575</formula>
    </cfRule>
  </conditionalFormatting>
  <conditionalFormatting sqref="BB129:BB138 BB140:BB149">
    <cfRule type="cellIs" dxfId="11379" priority="2433" operator="lessThan">
      <formula>0</formula>
    </cfRule>
    <cfRule type="cellIs" dxfId="11378" priority="2434" operator="lessThan">
      <formula>-105575</formula>
    </cfRule>
  </conditionalFormatting>
  <conditionalFormatting sqref="BB94:BB98 BB86:BB87 BB89:BB91 BB141:BB149 BB124:BB133 BB107:BB110 BB112:BB117 BB119:BB122 BB135:BB138 BB101:BB104 BB80:BB84">
    <cfRule type="cellIs" dxfId="11377" priority="2431" operator="lessThan">
      <formula>0</formula>
    </cfRule>
    <cfRule type="cellIs" dxfId="11376" priority="2432" operator="lessThan">
      <formula>-105575</formula>
    </cfRule>
  </conditionalFormatting>
  <conditionalFormatting sqref="BB129 BB131 BB133 BB135">
    <cfRule type="cellIs" dxfId="11375" priority="2429" operator="lessThan">
      <formula>0</formula>
    </cfRule>
    <cfRule type="cellIs" dxfId="11374" priority="2430" operator="lessThan">
      <formula>-105575</formula>
    </cfRule>
  </conditionalFormatting>
  <conditionalFormatting sqref="BB146 BB144 BB141">
    <cfRule type="cellIs" dxfId="11373" priority="2427" operator="lessThan">
      <formula>0</formula>
    </cfRule>
    <cfRule type="cellIs" dxfId="11372" priority="2428" operator="lessThan">
      <formula>-105575</formula>
    </cfRule>
  </conditionalFormatting>
  <conditionalFormatting sqref="BB146 BB144 BB141">
    <cfRule type="cellIs" dxfId="11371" priority="2425" operator="lessThan">
      <formula>0</formula>
    </cfRule>
    <cfRule type="cellIs" dxfId="11370" priority="2426" operator="lessThan">
      <formula>-105575</formula>
    </cfRule>
  </conditionalFormatting>
  <conditionalFormatting sqref="BB140 BB145 BB142:BB143 BB137:BB138">
    <cfRule type="cellIs" dxfId="11369" priority="2423" operator="lessThan">
      <formula>0</formula>
    </cfRule>
    <cfRule type="cellIs" dxfId="11368" priority="2424" operator="lessThan">
      <formula>-105575</formula>
    </cfRule>
  </conditionalFormatting>
  <conditionalFormatting sqref="BB149">
    <cfRule type="cellIs" dxfId="11367" priority="2421" operator="lessThan">
      <formula>0</formula>
    </cfRule>
    <cfRule type="cellIs" dxfId="11366" priority="2422" operator="lessThan">
      <formula>-105575</formula>
    </cfRule>
  </conditionalFormatting>
  <conditionalFormatting sqref="BB94:BB98 BB86:BB87 BB89:BB91 BB141:BB149 BB124:BB133 BB107:BB110 BB112:BB117 BB119:BB122 BB135:BB138 BB101:BB104 BB80:BB84">
    <cfRule type="cellIs" dxfId="11365" priority="2419" operator="lessThan">
      <formula>0</formula>
    </cfRule>
    <cfRule type="cellIs" dxfId="11364" priority="2420" operator="lessThan">
      <formula>-105575</formula>
    </cfRule>
  </conditionalFormatting>
  <conditionalFormatting sqref="BB246:BB249 BB262 BB267 BB279:BB282 BB285:BB288 BB274:BB275 BB306:BB309 BB311:BB325 BB327:BB330 BB332:BB341 BB344:BB347 BB349:BB353 BB355:BB358 BB360:BB384 BB386:BB389 BB392:BB395 BB397:BB411 BB413:BB416 BB418:BB432 BB434:BB437 BB439:BB453 BB455:BB458 BB460:BB469 BB7:BB10 BB12:BB14 BB17:BB18 BB21:BB24 BB26:BB28 BB30:BB36 BB38 BB41:BB43 BB46:BB49 BB51:BB55 BB57:BB59 BB62:BB76 BB251:BB253 BB255:BB257 BB293:BB304 BB264:BB265 BB260 BB290:BB291 BB270:BB272">
    <cfRule type="cellIs" dxfId="11363" priority="2417" operator="lessThan">
      <formula>0</formula>
    </cfRule>
    <cfRule type="cellIs" dxfId="11362" priority="2418" operator="lessThan">
      <formula>-105575</formula>
    </cfRule>
  </conditionalFormatting>
  <conditionalFormatting sqref="BB41">
    <cfRule type="cellIs" dxfId="11361" priority="2415" operator="lessThan">
      <formula>0</formula>
    </cfRule>
    <cfRule type="cellIs" dxfId="11360" priority="2416" operator="lessThan">
      <formula>-105575</formula>
    </cfRule>
  </conditionalFormatting>
  <conditionalFormatting sqref="BB152:BB155">
    <cfRule type="cellIs" dxfId="11359" priority="2413" operator="lessThan">
      <formula>0</formula>
    </cfRule>
    <cfRule type="cellIs" dxfId="11358" priority="2414" operator="lessThan">
      <formula>-105575</formula>
    </cfRule>
  </conditionalFormatting>
  <conditionalFormatting sqref="BB152:BB155">
    <cfRule type="cellIs" dxfId="11357" priority="2411" operator="lessThan">
      <formula>0</formula>
    </cfRule>
    <cfRule type="cellIs" dxfId="11356" priority="2412" operator="lessThan">
      <formula>-105575</formula>
    </cfRule>
  </conditionalFormatting>
  <conditionalFormatting sqref="BB152:BB155">
    <cfRule type="cellIs" dxfId="11355" priority="2409" operator="lessThan">
      <formula>0</formula>
    </cfRule>
    <cfRule type="cellIs" dxfId="11354" priority="2410" operator="lessThan">
      <formula>-105575</formula>
    </cfRule>
  </conditionalFormatting>
  <conditionalFormatting sqref="BB157:BB158">
    <cfRule type="cellIs" dxfId="11353" priority="2407" operator="lessThan">
      <formula>0</formula>
    </cfRule>
    <cfRule type="cellIs" dxfId="11352" priority="2408" operator="lessThan">
      <formula>-105575</formula>
    </cfRule>
  </conditionalFormatting>
  <conditionalFormatting sqref="BB157:BB158">
    <cfRule type="cellIs" dxfId="11351" priority="2405" operator="lessThan">
      <formula>0</formula>
    </cfRule>
    <cfRule type="cellIs" dxfId="11350" priority="2406" operator="lessThan">
      <formula>-105575</formula>
    </cfRule>
  </conditionalFormatting>
  <conditionalFormatting sqref="BB157:BB158">
    <cfRule type="cellIs" dxfId="11349" priority="2403" operator="lessThan">
      <formula>0</formula>
    </cfRule>
    <cfRule type="cellIs" dxfId="11348" priority="2404" operator="lessThan">
      <formula>-105575</formula>
    </cfRule>
  </conditionalFormatting>
  <conditionalFormatting sqref="BB160:BB161">
    <cfRule type="cellIs" dxfId="11347" priority="2401" operator="lessThan">
      <formula>0</formula>
    </cfRule>
    <cfRule type="cellIs" dxfId="11346" priority="2402" operator="lessThan">
      <formula>-105575</formula>
    </cfRule>
  </conditionalFormatting>
  <conditionalFormatting sqref="BB160:BB161">
    <cfRule type="cellIs" dxfId="11345" priority="2399" operator="lessThan">
      <formula>0</formula>
    </cfRule>
    <cfRule type="cellIs" dxfId="11344" priority="2400" operator="lessThan">
      <formula>-105575</formula>
    </cfRule>
  </conditionalFormatting>
  <conditionalFormatting sqref="BB160:BB161">
    <cfRule type="cellIs" dxfId="11343" priority="2397" operator="lessThan">
      <formula>0</formula>
    </cfRule>
    <cfRule type="cellIs" dxfId="11342" priority="2398" operator="lessThan">
      <formula>-105575</formula>
    </cfRule>
  </conditionalFormatting>
  <conditionalFormatting sqref="BB164:BB167">
    <cfRule type="cellIs" dxfId="11341" priority="2395" operator="lessThan">
      <formula>0</formula>
    </cfRule>
    <cfRule type="cellIs" dxfId="11340" priority="2396" operator="lessThan">
      <formula>-105575</formula>
    </cfRule>
  </conditionalFormatting>
  <conditionalFormatting sqref="BB164:BB167">
    <cfRule type="cellIs" dxfId="11339" priority="2393" operator="lessThan">
      <formula>0</formula>
    </cfRule>
    <cfRule type="cellIs" dxfId="11338" priority="2394" operator="lessThan">
      <formula>-105575</formula>
    </cfRule>
  </conditionalFormatting>
  <conditionalFormatting sqref="BB164:BB167">
    <cfRule type="cellIs" dxfId="11337" priority="2391" operator="lessThan">
      <formula>0</formula>
    </cfRule>
    <cfRule type="cellIs" dxfId="11336" priority="2392" operator="lessThan">
      <formula>-105575</formula>
    </cfRule>
  </conditionalFormatting>
  <conditionalFormatting sqref="BB169:BB177">
    <cfRule type="cellIs" dxfId="11335" priority="2389" operator="lessThan">
      <formula>0</formula>
    </cfRule>
    <cfRule type="cellIs" dxfId="11334" priority="2390" operator="lessThan">
      <formula>-105575</formula>
    </cfRule>
  </conditionalFormatting>
  <conditionalFormatting sqref="BB169:BB177">
    <cfRule type="cellIs" dxfId="11333" priority="2387" operator="lessThan">
      <formula>0</formula>
    </cfRule>
    <cfRule type="cellIs" dxfId="11332" priority="2388" operator="lessThan">
      <formula>-105575</formula>
    </cfRule>
  </conditionalFormatting>
  <conditionalFormatting sqref="BB169:BB177">
    <cfRule type="cellIs" dxfId="11331" priority="2385" operator="lessThan">
      <formula>0</formula>
    </cfRule>
    <cfRule type="cellIs" dxfId="11330" priority="2386" operator="lessThan">
      <formula>-105575</formula>
    </cfRule>
  </conditionalFormatting>
  <conditionalFormatting sqref="BB179:BB180">
    <cfRule type="cellIs" dxfId="11329" priority="2383" operator="lessThan">
      <formula>0</formula>
    </cfRule>
    <cfRule type="cellIs" dxfId="11328" priority="2384" operator="lessThan">
      <formula>-105575</formula>
    </cfRule>
  </conditionalFormatting>
  <conditionalFormatting sqref="BB179:BB180">
    <cfRule type="cellIs" dxfId="11327" priority="2381" operator="lessThan">
      <formula>0</formula>
    </cfRule>
    <cfRule type="cellIs" dxfId="11326" priority="2382" operator="lessThan">
      <formula>-105575</formula>
    </cfRule>
  </conditionalFormatting>
  <conditionalFormatting sqref="BB179:BB180">
    <cfRule type="cellIs" dxfId="11325" priority="2379" operator="lessThan">
      <formula>0</formula>
    </cfRule>
    <cfRule type="cellIs" dxfId="11324" priority="2380" operator="lessThan">
      <formula>-105575</formula>
    </cfRule>
  </conditionalFormatting>
  <conditionalFormatting sqref="BB183:BB189">
    <cfRule type="cellIs" dxfId="11323" priority="2377" operator="lessThan">
      <formula>0</formula>
    </cfRule>
    <cfRule type="cellIs" dxfId="11322" priority="2378" operator="lessThan">
      <formula>-105575</formula>
    </cfRule>
  </conditionalFormatting>
  <conditionalFormatting sqref="BB183:BB189">
    <cfRule type="cellIs" dxfId="11321" priority="2375" operator="lessThan">
      <formula>0</formula>
    </cfRule>
    <cfRule type="cellIs" dxfId="11320" priority="2376" operator="lessThan">
      <formula>-105575</formula>
    </cfRule>
  </conditionalFormatting>
  <conditionalFormatting sqref="BB183:BB189">
    <cfRule type="cellIs" dxfId="11319" priority="2373" operator="lessThan">
      <formula>0</formula>
    </cfRule>
    <cfRule type="cellIs" dxfId="11318" priority="2374" operator="lessThan">
      <formula>-105575</formula>
    </cfRule>
  </conditionalFormatting>
  <conditionalFormatting sqref="BB191:BB192">
    <cfRule type="cellIs" dxfId="11317" priority="2371" operator="lessThan">
      <formula>0</formula>
    </cfRule>
    <cfRule type="cellIs" dxfId="11316" priority="2372" operator="lessThan">
      <formula>-105575</formula>
    </cfRule>
  </conditionalFormatting>
  <conditionalFormatting sqref="BB191:BB192">
    <cfRule type="cellIs" dxfId="11315" priority="2369" operator="lessThan">
      <formula>0</formula>
    </cfRule>
    <cfRule type="cellIs" dxfId="11314" priority="2370" operator="lessThan">
      <formula>-105575</formula>
    </cfRule>
  </conditionalFormatting>
  <conditionalFormatting sqref="BB191:BB192">
    <cfRule type="cellIs" dxfId="11313" priority="2367" operator="lessThan">
      <formula>0</formula>
    </cfRule>
    <cfRule type="cellIs" dxfId="11312" priority="2368" operator="lessThan">
      <formula>-105575</formula>
    </cfRule>
  </conditionalFormatting>
  <conditionalFormatting sqref="BB194:BB195">
    <cfRule type="cellIs" dxfId="11311" priority="2365" operator="lessThan">
      <formula>0</formula>
    </cfRule>
    <cfRule type="cellIs" dxfId="11310" priority="2366" operator="lessThan">
      <formula>-105575</formula>
    </cfRule>
  </conditionalFormatting>
  <conditionalFormatting sqref="BB194:BB195">
    <cfRule type="cellIs" dxfId="11309" priority="2363" operator="lessThan">
      <formula>0</formula>
    </cfRule>
    <cfRule type="cellIs" dxfId="11308" priority="2364" operator="lessThan">
      <formula>-105575</formula>
    </cfRule>
  </conditionalFormatting>
  <conditionalFormatting sqref="BB194:BB195">
    <cfRule type="cellIs" dxfId="11307" priority="2361" operator="lessThan">
      <formula>0</formula>
    </cfRule>
    <cfRule type="cellIs" dxfId="11306" priority="2362" operator="lessThan">
      <formula>-105575</formula>
    </cfRule>
  </conditionalFormatting>
  <conditionalFormatting sqref="BB199:BB202">
    <cfRule type="cellIs" dxfId="11305" priority="2359" operator="lessThan">
      <formula>0</formula>
    </cfRule>
    <cfRule type="cellIs" dxfId="11304" priority="2360" operator="lessThan">
      <formula>-105575</formula>
    </cfRule>
  </conditionalFormatting>
  <conditionalFormatting sqref="BB199:BB202">
    <cfRule type="cellIs" dxfId="11303" priority="2357" operator="lessThan">
      <formula>0</formula>
    </cfRule>
    <cfRule type="cellIs" dxfId="11302" priority="2358" operator="lessThan">
      <formula>-105575</formula>
    </cfRule>
  </conditionalFormatting>
  <conditionalFormatting sqref="BB199:BB202">
    <cfRule type="cellIs" dxfId="11301" priority="2355" operator="lessThan">
      <formula>0</formula>
    </cfRule>
    <cfRule type="cellIs" dxfId="11300" priority="2356" operator="lessThan">
      <formula>-105575</formula>
    </cfRule>
  </conditionalFormatting>
  <conditionalFormatting sqref="BB204:BB208">
    <cfRule type="cellIs" dxfId="11299" priority="2353" operator="lessThan">
      <formula>0</formula>
    </cfRule>
    <cfRule type="cellIs" dxfId="11298" priority="2354" operator="lessThan">
      <formula>-105575</formula>
    </cfRule>
  </conditionalFormatting>
  <conditionalFormatting sqref="BB204:BB208">
    <cfRule type="cellIs" dxfId="11297" priority="2351" operator="lessThan">
      <formula>0</formula>
    </cfRule>
    <cfRule type="cellIs" dxfId="11296" priority="2352" operator="lessThan">
      <formula>-105575</formula>
    </cfRule>
  </conditionalFormatting>
  <conditionalFormatting sqref="BB204:BB208">
    <cfRule type="cellIs" dxfId="11295" priority="2349" operator="lessThan">
      <formula>0</formula>
    </cfRule>
    <cfRule type="cellIs" dxfId="11294" priority="2350" operator="lessThan">
      <formula>-105575</formula>
    </cfRule>
  </conditionalFormatting>
  <conditionalFormatting sqref="BB210:BB211">
    <cfRule type="cellIs" dxfId="11293" priority="2347" operator="lessThan">
      <formula>0</formula>
    </cfRule>
    <cfRule type="cellIs" dxfId="11292" priority="2348" operator="lessThan">
      <formula>-105575</formula>
    </cfRule>
  </conditionalFormatting>
  <conditionalFormatting sqref="BB210:BB211">
    <cfRule type="cellIs" dxfId="11291" priority="2345" operator="lessThan">
      <formula>0</formula>
    </cfRule>
    <cfRule type="cellIs" dxfId="11290" priority="2346" operator="lessThan">
      <formula>-105575</formula>
    </cfRule>
  </conditionalFormatting>
  <conditionalFormatting sqref="BB210:BB211">
    <cfRule type="cellIs" dxfId="11289" priority="2343" operator="lessThan">
      <formula>0</formula>
    </cfRule>
    <cfRule type="cellIs" dxfId="11288" priority="2344" operator="lessThan">
      <formula>-105575</formula>
    </cfRule>
  </conditionalFormatting>
  <conditionalFormatting sqref="BB214:BB219">
    <cfRule type="cellIs" dxfId="11287" priority="2341" operator="lessThan">
      <formula>0</formula>
    </cfRule>
    <cfRule type="cellIs" dxfId="11286" priority="2342" operator="lessThan">
      <formula>-105575</formula>
    </cfRule>
  </conditionalFormatting>
  <conditionalFormatting sqref="BB214:BB219">
    <cfRule type="cellIs" dxfId="11285" priority="2339" operator="lessThan">
      <formula>0</formula>
    </cfRule>
    <cfRule type="cellIs" dxfId="11284" priority="2340" operator="lessThan">
      <formula>-105575</formula>
    </cfRule>
  </conditionalFormatting>
  <conditionalFormatting sqref="BB214:BB219">
    <cfRule type="cellIs" dxfId="11283" priority="2337" operator="lessThan">
      <formula>0</formula>
    </cfRule>
    <cfRule type="cellIs" dxfId="11282" priority="2338" operator="lessThan">
      <formula>-105575</formula>
    </cfRule>
  </conditionalFormatting>
  <conditionalFormatting sqref="BB222:BB224">
    <cfRule type="cellIs" dxfId="11281" priority="2335" operator="lessThan">
      <formula>0</formula>
    </cfRule>
    <cfRule type="cellIs" dxfId="11280" priority="2336" operator="lessThan">
      <formula>-105575</formula>
    </cfRule>
  </conditionalFormatting>
  <conditionalFormatting sqref="BB222:BB224">
    <cfRule type="cellIs" dxfId="11279" priority="2333" operator="lessThan">
      <formula>0</formula>
    </cfRule>
    <cfRule type="cellIs" dxfId="11278" priority="2334" operator="lessThan">
      <formula>-105575</formula>
    </cfRule>
  </conditionalFormatting>
  <conditionalFormatting sqref="BB222:BB224">
    <cfRule type="cellIs" dxfId="11277" priority="2331" operator="lessThan">
      <formula>0</formula>
    </cfRule>
    <cfRule type="cellIs" dxfId="11276" priority="2332" operator="lessThan">
      <formula>-105575</formula>
    </cfRule>
  </conditionalFormatting>
  <conditionalFormatting sqref="BB227:BB230">
    <cfRule type="cellIs" dxfId="11275" priority="2329" operator="lessThan">
      <formula>0</formula>
    </cfRule>
    <cfRule type="cellIs" dxfId="11274" priority="2330" operator="lessThan">
      <formula>-105575</formula>
    </cfRule>
  </conditionalFormatting>
  <conditionalFormatting sqref="BB227:BB230">
    <cfRule type="cellIs" dxfId="11273" priority="2327" operator="lessThan">
      <formula>0</formula>
    </cfRule>
    <cfRule type="cellIs" dxfId="11272" priority="2328" operator="lessThan">
      <formula>-105575</formula>
    </cfRule>
  </conditionalFormatting>
  <conditionalFormatting sqref="BB227:BB230">
    <cfRule type="cellIs" dxfId="11271" priority="2325" operator="lessThan">
      <formula>0</formula>
    </cfRule>
    <cfRule type="cellIs" dxfId="11270" priority="2326" operator="lessThan">
      <formula>-105575</formula>
    </cfRule>
  </conditionalFormatting>
  <conditionalFormatting sqref="BB203 BB220:BB221 BB235:BB243 BB231:BB233 BB212:BB213 BB225:BB226">
    <cfRule type="cellIs" dxfId="11269" priority="2323" operator="lessThan">
      <formula>0</formula>
    </cfRule>
    <cfRule type="cellIs" dxfId="11268" priority="2324" operator="lessThan">
      <formula>-105575</formula>
    </cfRule>
  </conditionalFormatting>
  <conditionalFormatting sqref="BB220 BB212:BB213 BB235:BB238 BB240:BB243 BB225:BB226 BB231:BB233">
    <cfRule type="cellIs" dxfId="11267" priority="2321" operator="lessThan">
      <formula>0</formula>
    </cfRule>
    <cfRule type="cellIs" dxfId="11266" priority="2322" operator="lessThan">
      <formula>-105575</formula>
    </cfRule>
  </conditionalFormatting>
  <conditionalFormatting sqref="BB220:BB221 BB243 BB226 BB231:BB236 BB238:BB241 BB203 BB213">
    <cfRule type="cellIs" dxfId="11265" priority="2319" operator="lessThan">
      <formula>0</formula>
    </cfRule>
    <cfRule type="cellIs" dxfId="11264" priority="2320" operator="lessThan">
      <formula>-105575</formula>
    </cfRule>
  </conditionalFormatting>
  <conditionalFormatting sqref="BB235:BB243 BB231:BB233 BB220 BB212:BB213 BB225:BB226">
    <cfRule type="cellIs" dxfId="11263" priority="2317" operator="lessThan">
      <formula>0</formula>
    </cfRule>
    <cfRule type="cellIs" dxfId="11262" priority="2318" operator="lessThan">
      <formula>-105575</formula>
    </cfRule>
  </conditionalFormatting>
  <conditionalFormatting sqref="BB220:BB221 BB237:BB243 BB203 BB231:BB235 BB212:BB213 BB225:BB226">
    <cfRule type="cellIs" dxfId="11261" priority="2315" operator="lessThan">
      <formula>0</formula>
    </cfRule>
    <cfRule type="cellIs" dxfId="11260" priority="2316" operator="lessThan">
      <formula>-105575</formula>
    </cfRule>
  </conditionalFormatting>
  <conditionalFormatting sqref="BB220:BB221 BB237:BB240 BB242:BB243 BB225:BB226 BB231:BB235">
    <cfRule type="cellIs" dxfId="11259" priority="2313" operator="lessThan">
      <formula>0</formula>
    </cfRule>
    <cfRule type="cellIs" dxfId="11258" priority="2314" operator="lessThan">
      <formula>-105575</formula>
    </cfRule>
  </conditionalFormatting>
  <conditionalFormatting sqref="BB212 BB231 BB233:BB238 BB240:BB243 BB225">
    <cfRule type="cellIs" dxfId="11257" priority="2311" operator="lessThan">
      <formula>0</formula>
    </cfRule>
    <cfRule type="cellIs" dxfId="11256" priority="2312" operator="lessThan">
      <formula>-105575</formula>
    </cfRule>
  </conditionalFormatting>
  <conditionalFormatting sqref="BB237:BB243 BB231:BB235 BB220:BB221 BB225:BB226">
    <cfRule type="cellIs" dxfId="11255" priority="2309" operator="lessThan">
      <formula>0</formula>
    </cfRule>
    <cfRule type="cellIs" dxfId="11254" priority="2310" operator="lessThan">
      <formula>-105575</formula>
    </cfRule>
  </conditionalFormatting>
  <conditionalFormatting sqref="BB233:BB237 BB231 BB239:BB243">
    <cfRule type="cellIs" dxfId="11253" priority="2307" operator="lessThan">
      <formula>0</formula>
    </cfRule>
    <cfRule type="cellIs" dxfId="11252" priority="2308" operator="lessThan">
      <formula>-105575</formula>
    </cfRule>
  </conditionalFormatting>
  <conditionalFormatting sqref="BB233:BB237 BB231 BB239:BB243">
    <cfRule type="cellIs" dxfId="11251" priority="2305" operator="lessThan">
      <formula>0</formula>
    </cfRule>
    <cfRule type="cellIs" dxfId="11250" priority="2306" operator="lessThan">
      <formula>-105575</formula>
    </cfRule>
  </conditionalFormatting>
  <conditionalFormatting sqref="BB119:BB128 BB106:BB117 BB101:BB104 BB80:BB98">
    <cfRule type="cellIs" dxfId="11249" priority="2303" operator="lessThan">
      <formula>0</formula>
    </cfRule>
    <cfRule type="cellIs" dxfId="11248" priority="2304" operator="lessThan">
      <formula>-105575</formula>
    </cfRule>
  </conditionalFormatting>
  <conditionalFormatting sqref="BB130 BB132 BB134">
    <cfRule type="cellIs" dxfId="11247" priority="2301" operator="lessThan">
      <formula>0</formula>
    </cfRule>
    <cfRule type="cellIs" dxfId="11246" priority="2302" operator="lessThan">
      <formula>-105575</formula>
    </cfRule>
  </conditionalFormatting>
  <conditionalFormatting sqref="BB130 BB132 BB134">
    <cfRule type="cellIs" dxfId="11245" priority="2299" operator="lessThan">
      <formula>0</formula>
    </cfRule>
    <cfRule type="cellIs" dxfId="11244" priority="2300" operator="lessThan">
      <formula>-105575</formula>
    </cfRule>
  </conditionalFormatting>
  <conditionalFormatting sqref="BB129 BB131 BB133 BB135">
    <cfRule type="cellIs" dxfId="11243" priority="2297" operator="lessThan">
      <formula>0</formula>
    </cfRule>
    <cfRule type="cellIs" dxfId="11242" priority="2298" operator="lessThan">
      <formula>-105575</formula>
    </cfRule>
  </conditionalFormatting>
  <conditionalFormatting sqref="BB140 BB145 BB142:BB143 BB137:BB138">
    <cfRule type="cellIs" dxfId="11241" priority="2295" operator="lessThan">
      <formula>0</formula>
    </cfRule>
    <cfRule type="cellIs" dxfId="11240" priority="2296" operator="lessThan">
      <formula>-105575</formula>
    </cfRule>
  </conditionalFormatting>
  <conditionalFormatting sqref="BB149">
    <cfRule type="cellIs" dxfId="11239" priority="2293" operator="lessThan">
      <formula>0</formula>
    </cfRule>
    <cfRule type="cellIs" dxfId="11238" priority="2294" operator="lessThan">
      <formula>-105575</formula>
    </cfRule>
  </conditionalFormatting>
  <conditionalFormatting sqref="BB129:BB138 BB140:BB149">
    <cfRule type="cellIs" dxfId="11237" priority="2291" operator="lessThan">
      <formula>0</formula>
    </cfRule>
    <cfRule type="cellIs" dxfId="11236" priority="2292" operator="lessThan">
      <formula>-105575</formula>
    </cfRule>
  </conditionalFormatting>
  <conditionalFormatting sqref="BB94:BB98 BB86:BB87 BB89:BB91 BB141:BB149 BB124:BB133 BB107:BB110 BB112:BB117 BB119:BB122 BB135:BB138 BB101:BB104 BB80:BB84">
    <cfRule type="cellIs" dxfId="11235" priority="2289" operator="lessThan">
      <formula>0</formula>
    </cfRule>
    <cfRule type="cellIs" dxfId="11234" priority="2290" operator="lessThan">
      <formula>-105575</formula>
    </cfRule>
  </conditionalFormatting>
  <conditionalFormatting sqref="BB129 BB131 BB133 BB135">
    <cfRule type="cellIs" dxfId="11233" priority="2287" operator="lessThan">
      <formula>0</formula>
    </cfRule>
    <cfRule type="cellIs" dxfId="11232" priority="2288" operator="lessThan">
      <formula>-105575</formula>
    </cfRule>
  </conditionalFormatting>
  <conditionalFormatting sqref="BB146 BB144 BB141">
    <cfRule type="cellIs" dxfId="11231" priority="2285" operator="lessThan">
      <formula>0</formula>
    </cfRule>
    <cfRule type="cellIs" dxfId="11230" priority="2286" operator="lessThan">
      <formula>-105575</formula>
    </cfRule>
  </conditionalFormatting>
  <conditionalFormatting sqref="BB146 BB144 BB141">
    <cfRule type="cellIs" dxfId="11229" priority="2283" operator="lessThan">
      <formula>0</formula>
    </cfRule>
    <cfRule type="cellIs" dxfId="11228" priority="2284" operator="lessThan">
      <formula>-105575</formula>
    </cfRule>
  </conditionalFormatting>
  <conditionalFormatting sqref="BB140 BB145 BB142:BB143 BB137:BB138">
    <cfRule type="cellIs" dxfId="11227" priority="2281" operator="lessThan">
      <formula>0</formula>
    </cfRule>
    <cfRule type="cellIs" dxfId="11226" priority="2282" operator="lessThan">
      <formula>-105575</formula>
    </cfRule>
  </conditionalFormatting>
  <conditionalFormatting sqref="BB149">
    <cfRule type="cellIs" dxfId="11225" priority="2279" operator="lessThan">
      <formula>0</formula>
    </cfRule>
    <cfRule type="cellIs" dxfId="11224" priority="2280" operator="lessThan">
      <formula>-105575</formula>
    </cfRule>
  </conditionalFormatting>
  <conditionalFormatting sqref="BB94:BB98 BB86:BB87 BB89:BB91 BB141:BB149 BB124:BB133 BB107:BB110 BB112:BB117 BB119:BB122 BB135:BB138 BB101:BB104 BB80:BB84">
    <cfRule type="cellIs" dxfId="11223" priority="2277" operator="lessThan">
      <formula>0</formula>
    </cfRule>
    <cfRule type="cellIs" dxfId="11222" priority="2278" operator="lessThan">
      <formula>-105575</formula>
    </cfRule>
  </conditionalFormatting>
  <conditionalFormatting sqref="BB62:BB76 BB306:BB309 BB311:BB325 BB327:BB330 BB332:BB341 BB344:BB347 BB349:BB353 BB355:BB358 BB360:BB384 BB386:BB389 BB392:BB395 BB397:BB411 BB413:BB416 BB418:BB432 BB434:BB437 BB439:BB453 BB455:BB458 BB460:BB469 BB7:BB10 BB12:BB14 BB17:BB18 BB21:BB24 BB26:BB28 BB30:BB36 BB38 BB41:BB43 BB46:BB49 BB51:BB55 BB57:BB59 BB290:BB291 BB293:BB304">
    <cfRule type="cellIs" dxfId="11221" priority="2275" operator="lessThan">
      <formula>0</formula>
    </cfRule>
    <cfRule type="cellIs" dxfId="11220" priority="2276" operator="lessThan">
      <formula>-105575</formula>
    </cfRule>
  </conditionalFormatting>
  <conditionalFormatting sqref="BB41">
    <cfRule type="cellIs" dxfId="11219" priority="2273" operator="lessThan">
      <formula>0</formula>
    </cfRule>
    <cfRule type="cellIs" dxfId="11218" priority="2274" operator="lessThan">
      <formula>-105575</formula>
    </cfRule>
  </conditionalFormatting>
  <conditionalFormatting sqref="BB152:BB155">
    <cfRule type="cellIs" dxfId="11217" priority="2271" operator="lessThan">
      <formula>0</formula>
    </cfRule>
    <cfRule type="cellIs" dxfId="11216" priority="2272" operator="lessThan">
      <formula>-105575</formula>
    </cfRule>
  </conditionalFormatting>
  <conditionalFormatting sqref="BB152:BB155">
    <cfRule type="cellIs" dxfId="11215" priority="2269" operator="lessThan">
      <formula>0</formula>
    </cfRule>
    <cfRule type="cellIs" dxfId="11214" priority="2270" operator="lessThan">
      <formula>-105575</formula>
    </cfRule>
  </conditionalFormatting>
  <conditionalFormatting sqref="BB152:BB155">
    <cfRule type="cellIs" dxfId="11213" priority="2267" operator="lessThan">
      <formula>0</formula>
    </cfRule>
    <cfRule type="cellIs" dxfId="11212" priority="2268" operator="lessThan">
      <formula>-105575</formula>
    </cfRule>
  </conditionalFormatting>
  <conditionalFormatting sqref="BB157:BB158">
    <cfRule type="cellIs" dxfId="11211" priority="2265" operator="lessThan">
      <formula>0</formula>
    </cfRule>
    <cfRule type="cellIs" dxfId="11210" priority="2266" operator="lessThan">
      <formula>-105575</formula>
    </cfRule>
  </conditionalFormatting>
  <conditionalFormatting sqref="BB157:BB158">
    <cfRule type="cellIs" dxfId="11209" priority="2263" operator="lessThan">
      <formula>0</formula>
    </cfRule>
    <cfRule type="cellIs" dxfId="11208" priority="2264" operator="lessThan">
      <formula>-105575</formula>
    </cfRule>
  </conditionalFormatting>
  <conditionalFormatting sqref="BB157:BB158">
    <cfRule type="cellIs" dxfId="11207" priority="2261" operator="lessThan">
      <formula>0</formula>
    </cfRule>
    <cfRule type="cellIs" dxfId="11206" priority="2262" operator="lessThan">
      <formula>-105575</formula>
    </cfRule>
  </conditionalFormatting>
  <conditionalFormatting sqref="BB160:BB161">
    <cfRule type="cellIs" dxfId="11205" priority="2259" operator="lessThan">
      <formula>0</formula>
    </cfRule>
    <cfRule type="cellIs" dxfId="11204" priority="2260" operator="lessThan">
      <formula>-105575</formula>
    </cfRule>
  </conditionalFormatting>
  <conditionalFormatting sqref="BB160:BB161">
    <cfRule type="cellIs" dxfId="11203" priority="2257" operator="lessThan">
      <formula>0</formula>
    </cfRule>
    <cfRule type="cellIs" dxfId="11202" priority="2258" operator="lessThan">
      <formula>-105575</formula>
    </cfRule>
  </conditionalFormatting>
  <conditionalFormatting sqref="BB160:BB161">
    <cfRule type="cellIs" dxfId="11201" priority="2255" operator="lessThan">
      <formula>0</formula>
    </cfRule>
    <cfRule type="cellIs" dxfId="11200" priority="2256" operator="lessThan">
      <formula>-105575</formula>
    </cfRule>
  </conditionalFormatting>
  <conditionalFormatting sqref="BB164:BB167">
    <cfRule type="cellIs" dxfId="11199" priority="2253" operator="lessThan">
      <formula>0</formula>
    </cfRule>
    <cfRule type="cellIs" dxfId="11198" priority="2254" operator="lessThan">
      <formula>-105575</formula>
    </cfRule>
  </conditionalFormatting>
  <conditionalFormatting sqref="BB164:BB167">
    <cfRule type="cellIs" dxfId="11197" priority="2251" operator="lessThan">
      <formula>0</formula>
    </cfRule>
    <cfRule type="cellIs" dxfId="11196" priority="2252" operator="lessThan">
      <formula>-105575</formula>
    </cfRule>
  </conditionalFormatting>
  <conditionalFormatting sqref="BB164:BB167">
    <cfRule type="cellIs" dxfId="11195" priority="2249" operator="lessThan">
      <formula>0</formula>
    </cfRule>
    <cfRule type="cellIs" dxfId="11194" priority="2250" operator="lessThan">
      <formula>-105575</formula>
    </cfRule>
  </conditionalFormatting>
  <conditionalFormatting sqref="BB169:BB177">
    <cfRule type="cellIs" dxfId="11193" priority="2247" operator="lessThan">
      <formula>0</formula>
    </cfRule>
    <cfRule type="cellIs" dxfId="11192" priority="2248" operator="lessThan">
      <formula>-105575</formula>
    </cfRule>
  </conditionalFormatting>
  <conditionalFormatting sqref="BB169:BB177">
    <cfRule type="cellIs" dxfId="11191" priority="2245" operator="lessThan">
      <formula>0</formula>
    </cfRule>
    <cfRule type="cellIs" dxfId="11190" priority="2246" operator="lessThan">
      <formula>-105575</formula>
    </cfRule>
  </conditionalFormatting>
  <conditionalFormatting sqref="BB169:BB177">
    <cfRule type="cellIs" dxfId="11189" priority="2243" operator="lessThan">
      <formula>0</formula>
    </cfRule>
    <cfRule type="cellIs" dxfId="11188" priority="2244" operator="lessThan">
      <formula>-105575</formula>
    </cfRule>
  </conditionalFormatting>
  <conditionalFormatting sqref="BB179:BB180">
    <cfRule type="cellIs" dxfId="11187" priority="2241" operator="lessThan">
      <formula>0</formula>
    </cfRule>
    <cfRule type="cellIs" dxfId="11186" priority="2242" operator="lessThan">
      <formula>-105575</formula>
    </cfRule>
  </conditionalFormatting>
  <conditionalFormatting sqref="BB179:BB180">
    <cfRule type="cellIs" dxfId="11185" priority="2239" operator="lessThan">
      <formula>0</formula>
    </cfRule>
    <cfRule type="cellIs" dxfId="11184" priority="2240" operator="lessThan">
      <formula>-105575</formula>
    </cfRule>
  </conditionalFormatting>
  <conditionalFormatting sqref="BB179:BB180">
    <cfRule type="cellIs" dxfId="11183" priority="2237" operator="lessThan">
      <formula>0</formula>
    </cfRule>
    <cfRule type="cellIs" dxfId="11182" priority="2238" operator="lessThan">
      <formula>-105575</formula>
    </cfRule>
  </conditionalFormatting>
  <conditionalFormatting sqref="BB183:BB189">
    <cfRule type="cellIs" dxfId="11181" priority="2235" operator="lessThan">
      <formula>0</formula>
    </cfRule>
    <cfRule type="cellIs" dxfId="11180" priority="2236" operator="lessThan">
      <formula>-105575</formula>
    </cfRule>
  </conditionalFormatting>
  <conditionalFormatting sqref="BB183:BB189">
    <cfRule type="cellIs" dxfId="11179" priority="2233" operator="lessThan">
      <formula>0</formula>
    </cfRule>
    <cfRule type="cellIs" dxfId="11178" priority="2234" operator="lessThan">
      <formula>-105575</formula>
    </cfRule>
  </conditionalFormatting>
  <conditionalFormatting sqref="BB183:BB189">
    <cfRule type="cellIs" dxfId="11177" priority="2231" operator="lessThan">
      <formula>0</formula>
    </cfRule>
    <cfRule type="cellIs" dxfId="11176" priority="2232" operator="lessThan">
      <formula>-105575</formula>
    </cfRule>
  </conditionalFormatting>
  <conditionalFormatting sqref="BB191:BB192">
    <cfRule type="cellIs" dxfId="11175" priority="2229" operator="lessThan">
      <formula>0</formula>
    </cfRule>
    <cfRule type="cellIs" dxfId="11174" priority="2230" operator="lessThan">
      <formula>-105575</formula>
    </cfRule>
  </conditionalFormatting>
  <conditionalFormatting sqref="BB191:BB192">
    <cfRule type="cellIs" dxfId="11173" priority="2227" operator="lessThan">
      <formula>0</formula>
    </cfRule>
    <cfRule type="cellIs" dxfId="11172" priority="2228" operator="lessThan">
      <formula>-105575</formula>
    </cfRule>
  </conditionalFormatting>
  <conditionalFormatting sqref="BB191:BB192">
    <cfRule type="cellIs" dxfId="11171" priority="2225" operator="lessThan">
      <formula>0</formula>
    </cfRule>
    <cfRule type="cellIs" dxfId="11170" priority="2226" operator="lessThan">
      <formula>-105575</formula>
    </cfRule>
  </conditionalFormatting>
  <conditionalFormatting sqref="BB194:BB195">
    <cfRule type="cellIs" dxfId="11169" priority="2223" operator="lessThan">
      <formula>0</formula>
    </cfRule>
    <cfRule type="cellIs" dxfId="11168" priority="2224" operator="lessThan">
      <formula>-105575</formula>
    </cfRule>
  </conditionalFormatting>
  <conditionalFormatting sqref="BB194:BB195">
    <cfRule type="cellIs" dxfId="11167" priority="2221" operator="lessThan">
      <formula>0</formula>
    </cfRule>
    <cfRule type="cellIs" dxfId="11166" priority="2222" operator="lessThan">
      <formula>-105575</formula>
    </cfRule>
  </conditionalFormatting>
  <conditionalFormatting sqref="BB194:BB195">
    <cfRule type="cellIs" dxfId="11165" priority="2219" operator="lessThan">
      <formula>0</formula>
    </cfRule>
    <cfRule type="cellIs" dxfId="11164" priority="2220" operator="lessThan">
      <formula>-105575</formula>
    </cfRule>
  </conditionalFormatting>
  <conditionalFormatting sqref="BB199:BB202">
    <cfRule type="cellIs" dxfId="11163" priority="2217" operator="lessThan">
      <formula>0</formula>
    </cfRule>
    <cfRule type="cellIs" dxfId="11162" priority="2218" operator="lessThan">
      <formula>-105575</formula>
    </cfRule>
  </conditionalFormatting>
  <conditionalFormatting sqref="BB199:BB202">
    <cfRule type="cellIs" dxfId="11161" priority="2215" operator="lessThan">
      <formula>0</formula>
    </cfRule>
    <cfRule type="cellIs" dxfId="11160" priority="2216" operator="lessThan">
      <formula>-105575</formula>
    </cfRule>
  </conditionalFormatting>
  <conditionalFormatting sqref="BB199:BB202">
    <cfRule type="cellIs" dxfId="11159" priority="2213" operator="lessThan">
      <formula>0</formula>
    </cfRule>
    <cfRule type="cellIs" dxfId="11158" priority="2214" operator="lessThan">
      <formula>-105575</formula>
    </cfRule>
  </conditionalFormatting>
  <conditionalFormatting sqref="BB204:BB208">
    <cfRule type="cellIs" dxfId="11157" priority="2211" operator="lessThan">
      <formula>0</formula>
    </cfRule>
    <cfRule type="cellIs" dxfId="11156" priority="2212" operator="lessThan">
      <formula>-105575</formula>
    </cfRule>
  </conditionalFormatting>
  <conditionalFormatting sqref="BB204:BB208">
    <cfRule type="cellIs" dxfId="11155" priority="2209" operator="lessThan">
      <formula>0</formula>
    </cfRule>
    <cfRule type="cellIs" dxfId="11154" priority="2210" operator="lessThan">
      <formula>-105575</formula>
    </cfRule>
  </conditionalFormatting>
  <conditionalFormatting sqref="BB204:BB208">
    <cfRule type="cellIs" dxfId="11153" priority="2207" operator="lessThan">
      <formula>0</formula>
    </cfRule>
    <cfRule type="cellIs" dxfId="11152" priority="2208" operator="lessThan">
      <formula>-105575</formula>
    </cfRule>
  </conditionalFormatting>
  <conditionalFormatting sqref="BB210:BB211">
    <cfRule type="cellIs" dxfId="11151" priority="2205" operator="lessThan">
      <formula>0</formula>
    </cfRule>
    <cfRule type="cellIs" dxfId="11150" priority="2206" operator="lessThan">
      <formula>-105575</formula>
    </cfRule>
  </conditionalFormatting>
  <conditionalFormatting sqref="BB210:BB211">
    <cfRule type="cellIs" dxfId="11149" priority="2203" operator="lessThan">
      <formula>0</formula>
    </cfRule>
    <cfRule type="cellIs" dxfId="11148" priority="2204" operator="lessThan">
      <formula>-105575</formula>
    </cfRule>
  </conditionalFormatting>
  <conditionalFormatting sqref="BB210:BB211">
    <cfRule type="cellIs" dxfId="11147" priority="2201" operator="lessThan">
      <formula>0</formula>
    </cfRule>
    <cfRule type="cellIs" dxfId="11146" priority="2202" operator="lessThan">
      <formula>-105575</formula>
    </cfRule>
  </conditionalFormatting>
  <conditionalFormatting sqref="BB214:BB219">
    <cfRule type="cellIs" dxfId="11145" priority="2199" operator="lessThan">
      <formula>0</formula>
    </cfRule>
    <cfRule type="cellIs" dxfId="11144" priority="2200" operator="lessThan">
      <formula>-105575</formula>
    </cfRule>
  </conditionalFormatting>
  <conditionalFormatting sqref="BB214:BB219">
    <cfRule type="cellIs" dxfId="11143" priority="2197" operator="lessThan">
      <formula>0</formula>
    </cfRule>
    <cfRule type="cellIs" dxfId="11142" priority="2198" operator="lessThan">
      <formula>-105575</formula>
    </cfRule>
  </conditionalFormatting>
  <conditionalFormatting sqref="BB214:BB219">
    <cfRule type="cellIs" dxfId="11141" priority="2195" operator="lessThan">
      <formula>0</formula>
    </cfRule>
    <cfRule type="cellIs" dxfId="11140" priority="2196" operator="lessThan">
      <formula>-105575</formula>
    </cfRule>
  </conditionalFormatting>
  <conditionalFormatting sqref="BB222:BB224">
    <cfRule type="cellIs" dxfId="11139" priority="2193" operator="lessThan">
      <formula>0</formula>
    </cfRule>
    <cfRule type="cellIs" dxfId="11138" priority="2194" operator="lessThan">
      <formula>-105575</formula>
    </cfRule>
  </conditionalFormatting>
  <conditionalFormatting sqref="BB222:BB224">
    <cfRule type="cellIs" dxfId="11137" priority="2191" operator="lessThan">
      <formula>0</formula>
    </cfRule>
    <cfRule type="cellIs" dxfId="11136" priority="2192" operator="lessThan">
      <formula>-105575</formula>
    </cfRule>
  </conditionalFormatting>
  <conditionalFormatting sqref="BB222:BB224">
    <cfRule type="cellIs" dxfId="11135" priority="2189" operator="lessThan">
      <formula>0</formula>
    </cfRule>
    <cfRule type="cellIs" dxfId="11134" priority="2190" operator="lessThan">
      <formula>-105575</formula>
    </cfRule>
  </conditionalFormatting>
  <conditionalFormatting sqref="BB227:BB230">
    <cfRule type="cellIs" dxfId="11133" priority="2187" operator="lessThan">
      <formula>0</formula>
    </cfRule>
    <cfRule type="cellIs" dxfId="11132" priority="2188" operator="lessThan">
      <formula>-105575</formula>
    </cfRule>
  </conditionalFormatting>
  <conditionalFormatting sqref="BB227:BB230">
    <cfRule type="cellIs" dxfId="11131" priority="2185" operator="lessThan">
      <formula>0</formula>
    </cfRule>
    <cfRule type="cellIs" dxfId="11130" priority="2186" operator="lessThan">
      <formula>-105575</formula>
    </cfRule>
  </conditionalFormatting>
  <conditionalFormatting sqref="BB227:BB230">
    <cfRule type="cellIs" dxfId="11129" priority="2183" operator="lessThan">
      <formula>0</formula>
    </cfRule>
    <cfRule type="cellIs" dxfId="11128" priority="2184" operator="lessThan">
      <formula>-105575</formula>
    </cfRule>
  </conditionalFormatting>
  <conditionalFormatting sqref="BB246:BB249">
    <cfRule type="cellIs" dxfId="11127" priority="2181" operator="lessThan">
      <formula>0</formula>
    </cfRule>
    <cfRule type="cellIs" dxfId="11126" priority="2182" operator="lessThan">
      <formula>-105575</formula>
    </cfRule>
  </conditionalFormatting>
  <conditionalFormatting sqref="BB246:BB249">
    <cfRule type="cellIs" dxfId="11125" priority="2179" operator="lessThan">
      <formula>0</formula>
    </cfRule>
    <cfRule type="cellIs" dxfId="11124" priority="2180" operator="lessThan">
      <formula>-105575</formula>
    </cfRule>
  </conditionalFormatting>
  <conditionalFormatting sqref="BB246:BB249">
    <cfRule type="cellIs" dxfId="11123" priority="2177" operator="lessThan">
      <formula>0</formula>
    </cfRule>
    <cfRule type="cellIs" dxfId="11122" priority="2178" operator="lessThan">
      <formula>-105575</formula>
    </cfRule>
  </conditionalFormatting>
  <conditionalFormatting sqref="BB246:BB249">
    <cfRule type="cellIs" dxfId="11121" priority="2175" operator="lessThan">
      <formula>0</formula>
    </cfRule>
    <cfRule type="cellIs" dxfId="11120" priority="2176" operator="lessThan">
      <formula>-105575</formula>
    </cfRule>
  </conditionalFormatting>
  <conditionalFormatting sqref="BB246:BB249">
    <cfRule type="cellIs" dxfId="11119" priority="2173" operator="lessThan">
      <formula>0</formula>
    </cfRule>
    <cfRule type="cellIs" dxfId="11118" priority="2174" operator="lessThan">
      <formula>-105575</formula>
    </cfRule>
  </conditionalFormatting>
  <conditionalFormatting sqref="BB246:BB249">
    <cfRule type="cellIs" dxfId="11117" priority="2171" operator="lessThan">
      <formula>0</formula>
    </cfRule>
    <cfRule type="cellIs" dxfId="11116" priority="2172" operator="lessThan">
      <formula>-105575</formula>
    </cfRule>
  </conditionalFormatting>
  <conditionalFormatting sqref="BB246:BB249">
    <cfRule type="cellIs" dxfId="11115" priority="2169" operator="lessThan">
      <formula>0</formula>
    </cfRule>
    <cfRule type="cellIs" dxfId="11114" priority="2170" operator="lessThan">
      <formula>-105575</formula>
    </cfRule>
  </conditionalFormatting>
  <conditionalFormatting sqref="BB246:BB249">
    <cfRule type="cellIs" dxfId="11113" priority="2167" operator="lessThan">
      <formula>0</formula>
    </cfRule>
    <cfRule type="cellIs" dxfId="11112" priority="2168" operator="lessThan">
      <formula>-105575</formula>
    </cfRule>
  </conditionalFormatting>
  <conditionalFormatting sqref="BB246:BB249">
    <cfRule type="cellIs" dxfId="11111" priority="2165" operator="lessThan">
      <formula>0</formula>
    </cfRule>
    <cfRule type="cellIs" dxfId="11110" priority="2166" operator="lessThan">
      <formula>-105575</formula>
    </cfRule>
  </conditionalFormatting>
  <conditionalFormatting sqref="BB251:BB253">
    <cfRule type="cellIs" dxfId="11109" priority="2163" operator="lessThan">
      <formula>0</formula>
    </cfRule>
    <cfRule type="cellIs" dxfId="11108" priority="2164" operator="lessThan">
      <formula>-105575</formula>
    </cfRule>
  </conditionalFormatting>
  <conditionalFormatting sqref="BB251:BB253">
    <cfRule type="cellIs" dxfId="11107" priority="2161" operator="lessThan">
      <formula>0</formula>
    </cfRule>
    <cfRule type="cellIs" dxfId="11106" priority="2162" operator="lessThan">
      <formula>-105575</formula>
    </cfRule>
  </conditionalFormatting>
  <conditionalFormatting sqref="BB251:BB253">
    <cfRule type="cellIs" dxfId="11105" priority="2159" operator="lessThan">
      <formula>0</formula>
    </cfRule>
    <cfRule type="cellIs" dxfId="11104" priority="2160" operator="lessThan">
      <formula>-105575</formula>
    </cfRule>
  </conditionalFormatting>
  <conditionalFormatting sqref="BB251:BB253">
    <cfRule type="cellIs" dxfId="11103" priority="2157" operator="lessThan">
      <formula>0</formula>
    </cfRule>
    <cfRule type="cellIs" dxfId="11102" priority="2158" operator="lessThan">
      <formula>-105575</formula>
    </cfRule>
  </conditionalFormatting>
  <conditionalFormatting sqref="BB251:BB253">
    <cfRule type="cellIs" dxfId="11101" priority="2155" operator="lessThan">
      <formula>0</formula>
    </cfRule>
    <cfRule type="cellIs" dxfId="11100" priority="2156" operator="lessThan">
      <formula>-105575</formula>
    </cfRule>
  </conditionalFormatting>
  <conditionalFormatting sqref="BB251:BB253">
    <cfRule type="cellIs" dxfId="11099" priority="2153" operator="lessThan">
      <formula>0</formula>
    </cfRule>
    <cfRule type="cellIs" dxfId="11098" priority="2154" operator="lessThan">
      <formula>-105575</formula>
    </cfRule>
  </conditionalFormatting>
  <conditionalFormatting sqref="BB251:BB253">
    <cfRule type="cellIs" dxfId="11097" priority="2151" operator="lessThan">
      <formula>0</formula>
    </cfRule>
    <cfRule type="cellIs" dxfId="11096" priority="2152" operator="lessThan">
      <formula>-105575</formula>
    </cfRule>
  </conditionalFormatting>
  <conditionalFormatting sqref="BB251:BB253">
    <cfRule type="cellIs" dxfId="11095" priority="2149" operator="lessThan">
      <formula>0</formula>
    </cfRule>
    <cfRule type="cellIs" dxfId="11094" priority="2150" operator="lessThan">
      <formula>-105575</formula>
    </cfRule>
  </conditionalFormatting>
  <conditionalFormatting sqref="BB251:BB253">
    <cfRule type="cellIs" dxfId="11093" priority="2147" operator="lessThan">
      <formula>0</formula>
    </cfRule>
    <cfRule type="cellIs" dxfId="11092" priority="2148" operator="lessThan">
      <formula>-105575</formula>
    </cfRule>
  </conditionalFormatting>
  <conditionalFormatting sqref="BB255:BB257">
    <cfRule type="cellIs" dxfId="11091" priority="2145" operator="lessThan">
      <formula>0</formula>
    </cfRule>
    <cfRule type="cellIs" dxfId="11090" priority="2146" operator="lessThan">
      <formula>-105575</formula>
    </cfRule>
  </conditionalFormatting>
  <conditionalFormatting sqref="BB255:BB257">
    <cfRule type="cellIs" dxfId="11089" priority="2143" operator="lessThan">
      <formula>0</formula>
    </cfRule>
    <cfRule type="cellIs" dxfId="11088" priority="2144" operator="lessThan">
      <formula>-105575</formula>
    </cfRule>
  </conditionalFormatting>
  <conditionalFormatting sqref="BB255:BB257">
    <cfRule type="cellIs" dxfId="11087" priority="2141" operator="lessThan">
      <formula>0</formula>
    </cfRule>
    <cfRule type="cellIs" dxfId="11086" priority="2142" operator="lessThan">
      <formula>-105575</formula>
    </cfRule>
  </conditionalFormatting>
  <conditionalFormatting sqref="BB255:BB257">
    <cfRule type="cellIs" dxfId="11085" priority="2139" operator="lessThan">
      <formula>0</formula>
    </cfRule>
    <cfRule type="cellIs" dxfId="11084" priority="2140" operator="lessThan">
      <formula>-105575</formula>
    </cfRule>
  </conditionalFormatting>
  <conditionalFormatting sqref="BB255:BB257">
    <cfRule type="cellIs" dxfId="11083" priority="2137" operator="lessThan">
      <formula>0</formula>
    </cfRule>
    <cfRule type="cellIs" dxfId="11082" priority="2138" operator="lessThan">
      <formula>-105575</formula>
    </cfRule>
  </conditionalFormatting>
  <conditionalFormatting sqref="BB255:BB257">
    <cfRule type="cellIs" dxfId="11081" priority="2135" operator="lessThan">
      <formula>0</formula>
    </cfRule>
    <cfRule type="cellIs" dxfId="11080" priority="2136" operator="lessThan">
      <formula>-105575</formula>
    </cfRule>
  </conditionalFormatting>
  <conditionalFormatting sqref="BB255:BB257">
    <cfRule type="cellIs" dxfId="11079" priority="2133" operator="lessThan">
      <formula>0</formula>
    </cfRule>
    <cfRule type="cellIs" dxfId="11078" priority="2134" operator="lessThan">
      <formula>-105575</formula>
    </cfRule>
  </conditionalFormatting>
  <conditionalFormatting sqref="BB255:BB257">
    <cfRule type="cellIs" dxfId="11077" priority="2131" operator="lessThan">
      <formula>0</formula>
    </cfRule>
    <cfRule type="cellIs" dxfId="11076" priority="2132" operator="lessThan">
      <formula>-105575</formula>
    </cfRule>
  </conditionalFormatting>
  <conditionalFormatting sqref="BB255:BB257">
    <cfRule type="cellIs" dxfId="11075" priority="2129" operator="lessThan">
      <formula>0</formula>
    </cfRule>
    <cfRule type="cellIs" dxfId="11074" priority="2130" operator="lessThan">
      <formula>-105575</formula>
    </cfRule>
  </conditionalFormatting>
  <conditionalFormatting sqref="BB260:BB262">
    <cfRule type="cellIs" dxfId="11073" priority="2127" operator="lessThan">
      <formula>0</formula>
    </cfRule>
    <cfRule type="cellIs" dxfId="11072" priority="2128" operator="lessThan">
      <formula>-105575</formula>
    </cfRule>
  </conditionalFormatting>
  <conditionalFormatting sqref="BB260:BB262">
    <cfRule type="cellIs" dxfId="11071" priority="2125" operator="lessThan">
      <formula>0</formula>
    </cfRule>
    <cfRule type="cellIs" dxfId="11070" priority="2126" operator="lessThan">
      <formula>-105575</formula>
    </cfRule>
  </conditionalFormatting>
  <conditionalFormatting sqref="BB260:BB262">
    <cfRule type="cellIs" dxfId="11069" priority="2123" operator="lessThan">
      <formula>0</formula>
    </cfRule>
    <cfRule type="cellIs" dxfId="11068" priority="2124" operator="lessThan">
      <formula>-105575</formula>
    </cfRule>
  </conditionalFormatting>
  <conditionalFormatting sqref="BB260:BB262">
    <cfRule type="cellIs" dxfId="11067" priority="2121" operator="lessThan">
      <formula>0</formula>
    </cfRule>
    <cfRule type="cellIs" dxfId="11066" priority="2122" operator="lessThan">
      <formula>-105575</formula>
    </cfRule>
  </conditionalFormatting>
  <conditionalFormatting sqref="BB260:BB262">
    <cfRule type="cellIs" dxfId="11065" priority="2119" operator="lessThan">
      <formula>0</formula>
    </cfRule>
    <cfRule type="cellIs" dxfId="11064" priority="2120" operator="lessThan">
      <formula>-105575</formula>
    </cfRule>
  </conditionalFormatting>
  <conditionalFormatting sqref="BB260:BB262">
    <cfRule type="cellIs" dxfId="11063" priority="2117" operator="lessThan">
      <formula>0</formula>
    </cfRule>
    <cfRule type="cellIs" dxfId="11062" priority="2118" operator="lessThan">
      <formula>-105575</formula>
    </cfRule>
  </conditionalFormatting>
  <conditionalFormatting sqref="BB260:BB262">
    <cfRule type="cellIs" dxfId="11061" priority="2115" operator="lessThan">
      <formula>0</formula>
    </cfRule>
    <cfRule type="cellIs" dxfId="11060" priority="2116" operator="lessThan">
      <formula>-105575</formula>
    </cfRule>
  </conditionalFormatting>
  <conditionalFormatting sqref="BB260:BB262">
    <cfRule type="cellIs" dxfId="11059" priority="2113" operator="lessThan">
      <formula>0</formula>
    </cfRule>
    <cfRule type="cellIs" dxfId="11058" priority="2114" operator="lessThan">
      <formula>-105575</formula>
    </cfRule>
  </conditionalFormatting>
  <conditionalFormatting sqref="BB260:BB262">
    <cfRule type="cellIs" dxfId="11057" priority="2111" operator="lessThan">
      <formula>0</formula>
    </cfRule>
    <cfRule type="cellIs" dxfId="11056" priority="2112" operator="lessThan">
      <formula>-105575</formula>
    </cfRule>
  </conditionalFormatting>
  <conditionalFormatting sqref="BB264:BB267">
    <cfRule type="cellIs" dxfId="11055" priority="2109" operator="lessThan">
      <formula>0</formula>
    </cfRule>
    <cfRule type="cellIs" dxfId="11054" priority="2110" operator="lessThan">
      <formula>-105575</formula>
    </cfRule>
  </conditionalFormatting>
  <conditionalFormatting sqref="BB264:BB267">
    <cfRule type="cellIs" dxfId="11053" priority="2107" operator="lessThan">
      <formula>0</formula>
    </cfRule>
    <cfRule type="cellIs" dxfId="11052" priority="2108" operator="lessThan">
      <formula>-105575</formula>
    </cfRule>
  </conditionalFormatting>
  <conditionalFormatting sqref="BB264:BB267">
    <cfRule type="cellIs" dxfId="11051" priority="2105" operator="lessThan">
      <formula>0</formula>
    </cfRule>
    <cfRule type="cellIs" dxfId="11050" priority="2106" operator="lessThan">
      <formula>-105575</formula>
    </cfRule>
  </conditionalFormatting>
  <conditionalFormatting sqref="BB264:BB267">
    <cfRule type="cellIs" dxfId="11049" priority="2103" operator="lessThan">
      <formula>0</formula>
    </cfRule>
    <cfRule type="cellIs" dxfId="11048" priority="2104" operator="lessThan">
      <formula>-105575</formula>
    </cfRule>
  </conditionalFormatting>
  <conditionalFormatting sqref="BB264:BB267">
    <cfRule type="cellIs" dxfId="11047" priority="2101" operator="lessThan">
      <formula>0</formula>
    </cfRule>
    <cfRule type="cellIs" dxfId="11046" priority="2102" operator="lessThan">
      <formula>-105575</formula>
    </cfRule>
  </conditionalFormatting>
  <conditionalFormatting sqref="BB264:BB267">
    <cfRule type="cellIs" dxfId="11045" priority="2099" operator="lessThan">
      <formula>0</formula>
    </cfRule>
    <cfRule type="cellIs" dxfId="11044" priority="2100" operator="lessThan">
      <formula>-105575</formula>
    </cfRule>
  </conditionalFormatting>
  <conditionalFormatting sqref="BB264:BB267">
    <cfRule type="cellIs" dxfId="11043" priority="2097" operator="lessThan">
      <formula>0</formula>
    </cfRule>
    <cfRule type="cellIs" dxfId="11042" priority="2098" operator="lessThan">
      <formula>-105575</formula>
    </cfRule>
  </conditionalFormatting>
  <conditionalFormatting sqref="BB264:BB267">
    <cfRule type="cellIs" dxfId="11041" priority="2095" operator="lessThan">
      <formula>0</formula>
    </cfRule>
    <cfRule type="cellIs" dxfId="11040" priority="2096" operator="lessThan">
      <formula>-105575</formula>
    </cfRule>
  </conditionalFormatting>
  <conditionalFormatting sqref="BB264:BB267">
    <cfRule type="cellIs" dxfId="11039" priority="2093" operator="lessThan">
      <formula>0</formula>
    </cfRule>
    <cfRule type="cellIs" dxfId="11038" priority="2094" operator="lessThan">
      <formula>-105575</formula>
    </cfRule>
  </conditionalFormatting>
  <conditionalFormatting sqref="BB270:BB272">
    <cfRule type="cellIs" dxfId="11037" priority="2091" operator="lessThan">
      <formula>0</formula>
    </cfRule>
    <cfRule type="cellIs" dxfId="11036" priority="2092" operator="lessThan">
      <formula>-105575</formula>
    </cfRule>
  </conditionalFormatting>
  <conditionalFormatting sqref="BB270:BB272">
    <cfRule type="cellIs" dxfId="11035" priority="2089" operator="lessThan">
      <formula>0</formula>
    </cfRule>
    <cfRule type="cellIs" dxfId="11034" priority="2090" operator="lessThan">
      <formula>-105575</formula>
    </cfRule>
  </conditionalFormatting>
  <conditionalFormatting sqref="BB270:BB272">
    <cfRule type="cellIs" dxfId="11033" priority="2087" operator="lessThan">
      <formula>0</formula>
    </cfRule>
    <cfRule type="cellIs" dxfId="11032" priority="2088" operator="lessThan">
      <formula>-105575</formula>
    </cfRule>
  </conditionalFormatting>
  <conditionalFormatting sqref="BB270:BB272">
    <cfRule type="cellIs" dxfId="11031" priority="2085" operator="lessThan">
      <formula>0</formula>
    </cfRule>
    <cfRule type="cellIs" dxfId="11030" priority="2086" operator="lessThan">
      <formula>-105575</formula>
    </cfRule>
  </conditionalFormatting>
  <conditionalFormatting sqref="BB270:BB272">
    <cfRule type="cellIs" dxfId="11029" priority="2083" operator="lessThan">
      <formula>0</formula>
    </cfRule>
    <cfRule type="cellIs" dxfId="11028" priority="2084" operator="lessThan">
      <formula>-105575</formula>
    </cfRule>
  </conditionalFormatting>
  <conditionalFormatting sqref="BB270:BB272">
    <cfRule type="cellIs" dxfId="11027" priority="2081" operator="lessThan">
      <formula>0</formula>
    </cfRule>
    <cfRule type="cellIs" dxfId="11026" priority="2082" operator="lessThan">
      <formula>-105575</formula>
    </cfRule>
  </conditionalFormatting>
  <conditionalFormatting sqref="BB270:BB272">
    <cfRule type="cellIs" dxfId="11025" priority="2079" operator="lessThan">
      <formula>0</formula>
    </cfRule>
    <cfRule type="cellIs" dxfId="11024" priority="2080" operator="lessThan">
      <formula>-105575</formula>
    </cfRule>
  </conditionalFormatting>
  <conditionalFormatting sqref="BB270:BB272">
    <cfRule type="cellIs" dxfId="11023" priority="2077" operator="lessThan">
      <formula>0</formula>
    </cfRule>
    <cfRule type="cellIs" dxfId="11022" priority="2078" operator="lessThan">
      <formula>-105575</formula>
    </cfRule>
  </conditionalFormatting>
  <conditionalFormatting sqref="BB270:BB272">
    <cfRule type="cellIs" dxfId="11021" priority="2075" operator="lessThan">
      <formula>0</formula>
    </cfRule>
    <cfRule type="cellIs" dxfId="11020" priority="2076" operator="lessThan">
      <formula>-105575</formula>
    </cfRule>
  </conditionalFormatting>
  <conditionalFormatting sqref="BB274:BB275">
    <cfRule type="cellIs" dxfId="11019" priority="2073" operator="lessThan">
      <formula>0</formula>
    </cfRule>
    <cfRule type="cellIs" dxfId="11018" priority="2074" operator="lessThan">
      <formula>-105575</formula>
    </cfRule>
  </conditionalFormatting>
  <conditionalFormatting sqref="BB274:BB275">
    <cfRule type="cellIs" dxfId="11017" priority="2071" operator="lessThan">
      <formula>0</formula>
    </cfRule>
    <cfRule type="cellIs" dxfId="11016" priority="2072" operator="lessThan">
      <formula>-105575</formula>
    </cfRule>
  </conditionalFormatting>
  <conditionalFormatting sqref="BB274:BB275">
    <cfRule type="cellIs" dxfId="11015" priority="2069" operator="lessThan">
      <formula>0</formula>
    </cfRule>
    <cfRule type="cellIs" dxfId="11014" priority="2070" operator="lessThan">
      <formula>-105575</formula>
    </cfRule>
  </conditionalFormatting>
  <conditionalFormatting sqref="BB274:BB275">
    <cfRule type="cellIs" dxfId="11013" priority="2067" operator="lessThan">
      <formula>0</formula>
    </cfRule>
    <cfRule type="cellIs" dxfId="11012" priority="2068" operator="lessThan">
      <formula>-105575</formula>
    </cfRule>
  </conditionalFormatting>
  <conditionalFormatting sqref="BB274:BB275">
    <cfRule type="cellIs" dxfId="11011" priority="2065" operator="lessThan">
      <formula>0</formula>
    </cfRule>
    <cfRule type="cellIs" dxfId="11010" priority="2066" operator="lessThan">
      <formula>-105575</formula>
    </cfRule>
  </conditionalFormatting>
  <conditionalFormatting sqref="BB274:BB275">
    <cfRule type="cellIs" dxfId="11009" priority="2063" operator="lessThan">
      <formula>0</formula>
    </cfRule>
    <cfRule type="cellIs" dxfId="11008" priority="2064" operator="lessThan">
      <formula>-105575</formula>
    </cfRule>
  </conditionalFormatting>
  <conditionalFormatting sqref="BB274:BB275">
    <cfRule type="cellIs" dxfId="11007" priority="2061" operator="lessThan">
      <formula>0</formula>
    </cfRule>
    <cfRule type="cellIs" dxfId="11006" priority="2062" operator="lessThan">
      <formula>-105575</formula>
    </cfRule>
  </conditionalFormatting>
  <conditionalFormatting sqref="BB274:BB275">
    <cfRule type="cellIs" dxfId="11005" priority="2059" operator="lessThan">
      <formula>0</formula>
    </cfRule>
    <cfRule type="cellIs" dxfId="11004" priority="2060" operator="lessThan">
      <formula>-105575</formula>
    </cfRule>
  </conditionalFormatting>
  <conditionalFormatting sqref="BB274:BB275">
    <cfRule type="cellIs" dxfId="11003" priority="2057" operator="lessThan">
      <formula>0</formula>
    </cfRule>
    <cfRule type="cellIs" dxfId="11002" priority="2058" operator="lessThan">
      <formula>-105575</formula>
    </cfRule>
  </conditionalFormatting>
  <conditionalFormatting sqref="BB278:BB282">
    <cfRule type="cellIs" dxfId="11001" priority="2055" operator="lessThan">
      <formula>0</formula>
    </cfRule>
    <cfRule type="cellIs" dxfId="11000" priority="2056" operator="lessThan">
      <formula>-105575</formula>
    </cfRule>
  </conditionalFormatting>
  <conditionalFormatting sqref="BB278:BB282">
    <cfRule type="cellIs" dxfId="10999" priority="2053" operator="lessThan">
      <formula>0</formula>
    </cfRule>
    <cfRule type="cellIs" dxfId="10998" priority="2054" operator="lessThan">
      <formula>-105575</formula>
    </cfRule>
  </conditionalFormatting>
  <conditionalFormatting sqref="BB278:BB282">
    <cfRule type="cellIs" dxfId="10997" priority="2051" operator="lessThan">
      <formula>0</formula>
    </cfRule>
    <cfRule type="cellIs" dxfId="10996" priority="2052" operator="lessThan">
      <formula>-105575</formula>
    </cfRule>
  </conditionalFormatting>
  <conditionalFormatting sqref="BB278:BB282">
    <cfRule type="cellIs" dxfId="10995" priority="2049" operator="lessThan">
      <formula>0</formula>
    </cfRule>
    <cfRule type="cellIs" dxfId="10994" priority="2050" operator="lessThan">
      <formula>-105575</formula>
    </cfRule>
  </conditionalFormatting>
  <conditionalFormatting sqref="BB278:BB282">
    <cfRule type="cellIs" dxfId="10993" priority="2047" operator="lessThan">
      <formula>0</formula>
    </cfRule>
    <cfRule type="cellIs" dxfId="10992" priority="2048" operator="lessThan">
      <formula>-105575</formula>
    </cfRule>
  </conditionalFormatting>
  <conditionalFormatting sqref="BB278:BB282">
    <cfRule type="cellIs" dxfId="10991" priority="2045" operator="lessThan">
      <formula>0</formula>
    </cfRule>
    <cfRule type="cellIs" dxfId="10990" priority="2046" operator="lessThan">
      <formula>-105575</formula>
    </cfRule>
  </conditionalFormatting>
  <conditionalFormatting sqref="BB278:BB282">
    <cfRule type="cellIs" dxfId="10989" priority="2043" operator="lessThan">
      <formula>0</formula>
    </cfRule>
    <cfRule type="cellIs" dxfId="10988" priority="2044" operator="lessThan">
      <formula>-105575</formula>
    </cfRule>
  </conditionalFormatting>
  <conditionalFormatting sqref="BB278:BB282">
    <cfRule type="cellIs" dxfId="10987" priority="2041" operator="lessThan">
      <formula>0</formula>
    </cfRule>
    <cfRule type="cellIs" dxfId="10986" priority="2042" operator="lessThan">
      <formula>-105575</formula>
    </cfRule>
  </conditionalFormatting>
  <conditionalFormatting sqref="BB278:BB282">
    <cfRule type="cellIs" dxfId="10985" priority="2039" operator="lessThan">
      <formula>0</formula>
    </cfRule>
    <cfRule type="cellIs" dxfId="10984" priority="2040" operator="lessThan">
      <formula>-105575</formula>
    </cfRule>
  </conditionalFormatting>
  <conditionalFormatting sqref="BB285:BB288">
    <cfRule type="cellIs" dxfId="10983" priority="2037" operator="lessThan">
      <formula>0</formula>
    </cfRule>
    <cfRule type="cellIs" dxfId="10982" priority="2038" operator="lessThan">
      <formula>-105575</formula>
    </cfRule>
  </conditionalFormatting>
  <conditionalFormatting sqref="BB285:BB288">
    <cfRule type="cellIs" dxfId="10981" priority="2035" operator="lessThan">
      <formula>0</formula>
    </cfRule>
    <cfRule type="cellIs" dxfId="10980" priority="2036" operator="lessThan">
      <formula>-105575</formula>
    </cfRule>
  </conditionalFormatting>
  <conditionalFormatting sqref="BB285:BB288">
    <cfRule type="cellIs" dxfId="10979" priority="2033" operator="lessThan">
      <formula>0</formula>
    </cfRule>
    <cfRule type="cellIs" dxfId="10978" priority="2034" operator="lessThan">
      <formula>-105575</formula>
    </cfRule>
  </conditionalFormatting>
  <conditionalFormatting sqref="BB285:BB288">
    <cfRule type="cellIs" dxfId="10977" priority="2031" operator="lessThan">
      <formula>0</formula>
    </cfRule>
    <cfRule type="cellIs" dxfId="10976" priority="2032" operator="lessThan">
      <formula>-105575</formula>
    </cfRule>
  </conditionalFormatting>
  <conditionalFormatting sqref="BB285:BB288">
    <cfRule type="cellIs" dxfId="10975" priority="2029" operator="lessThan">
      <formula>0</formula>
    </cfRule>
    <cfRule type="cellIs" dxfId="10974" priority="2030" operator="lessThan">
      <formula>-105575</formula>
    </cfRule>
  </conditionalFormatting>
  <conditionalFormatting sqref="BB285:BB288">
    <cfRule type="cellIs" dxfId="10973" priority="2027" operator="lessThan">
      <formula>0</formula>
    </cfRule>
    <cfRule type="cellIs" dxfId="10972" priority="2028" operator="lessThan">
      <formula>-105575</formula>
    </cfRule>
  </conditionalFormatting>
  <conditionalFormatting sqref="BB285:BB288">
    <cfRule type="cellIs" dxfId="10971" priority="2025" operator="lessThan">
      <formula>0</formula>
    </cfRule>
    <cfRule type="cellIs" dxfId="10970" priority="2026" operator="lessThan">
      <formula>-105575</formula>
    </cfRule>
  </conditionalFormatting>
  <conditionalFormatting sqref="BB285:BB288">
    <cfRule type="cellIs" dxfId="10969" priority="2023" operator="lessThan">
      <formula>0</formula>
    </cfRule>
    <cfRule type="cellIs" dxfId="10968" priority="2024" operator="lessThan">
      <formula>-105575</formula>
    </cfRule>
  </conditionalFormatting>
  <conditionalFormatting sqref="BB285:BB288">
    <cfRule type="cellIs" dxfId="10967" priority="2021" operator="lessThan">
      <formula>0</formula>
    </cfRule>
    <cfRule type="cellIs" dxfId="10966" priority="2022" operator="lessThan">
      <formula>-105575</formula>
    </cfRule>
  </conditionalFormatting>
  <conditionalFormatting sqref="BB203 BB220:BB221 BB235:BB243 BB231:BB233 BB212:BB213 BB225:BB226">
    <cfRule type="cellIs" dxfId="10965" priority="2019" operator="lessThan">
      <formula>0</formula>
    </cfRule>
    <cfRule type="cellIs" dxfId="10964" priority="2020" operator="lessThan">
      <formula>-105575</formula>
    </cfRule>
  </conditionalFormatting>
  <conditionalFormatting sqref="BB220 BB212:BB213 BB235:BB238 BB240:BB243 BB225:BB226 BB231:BB233">
    <cfRule type="cellIs" dxfId="10963" priority="2017" operator="lessThan">
      <formula>0</formula>
    </cfRule>
    <cfRule type="cellIs" dxfId="10962" priority="2018" operator="lessThan">
      <formula>-105575</formula>
    </cfRule>
  </conditionalFormatting>
  <conditionalFormatting sqref="BB220:BB221 BB243 BB226 BB231:BB236 BB238:BB241 BB203 BB213">
    <cfRule type="cellIs" dxfId="10961" priority="2015" operator="lessThan">
      <formula>0</formula>
    </cfRule>
    <cfRule type="cellIs" dxfId="10960" priority="2016" operator="lessThan">
      <formula>-105575</formula>
    </cfRule>
  </conditionalFormatting>
  <conditionalFormatting sqref="BB235:BB243 BB231:BB233 BB220 BB212:BB213 BB225:BB226">
    <cfRule type="cellIs" dxfId="10959" priority="2013" operator="lessThan">
      <formula>0</formula>
    </cfRule>
    <cfRule type="cellIs" dxfId="10958" priority="2014" operator="lessThan">
      <formula>-105575</formula>
    </cfRule>
  </conditionalFormatting>
  <conditionalFormatting sqref="BB220:BB221 BB237:BB243 BB203 BB231:BB235 BB212:BB213 BB225:BB226">
    <cfRule type="cellIs" dxfId="10957" priority="2011" operator="lessThan">
      <formula>0</formula>
    </cfRule>
    <cfRule type="cellIs" dxfId="10956" priority="2012" operator="lessThan">
      <formula>-105575</formula>
    </cfRule>
  </conditionalFormatting>
  <conditionalFormatting sqref="BB220:BB221 BB237:BB240 BB242:BB243 BB225:BB226 BB231:BB235">
    <cfRule type="cellIs" dxfId="10955" priority="2009" operator="lessThan">
      <formula>0</formula>
    </cfRule>
    <cfRule type="cellIs" dxfId="10954" priority="2010" operator="lessThan">
      <formula>-105575</formula>
    </cfRule>
  </conditionalFormatting>
  <conditionalFormatting sqref="BB212 BB231 BB233:BB238 BB240:BB243 BB225">
    <cfRule type="cellIs" dxfId="10953" priority="2007" operator="lessThan">
      <formula>0</formula>
    </cfRule>
    <cfRule type="cellIs" dxfId="10952" priority="2008" operator="lessThan">
      <formula>-105575</formula>
    </cfRule>
  </conditionalFormatting>
  <conditionalFormatting sqref="BB237:BB243 BB231:BB235 BB220:BB221 BB225:BB226">
    <cfRule type="cellIs" dxfId="10951" priority="2005" operator="lessThan">
      <formula>0</formula>
    </cfRule>
    <cfRule type="cellIs" dxfId="10950" priority="2006" operator="lessThan">
      <formula>-105575</formula>
    </cfRule>
  </conditionalFormatting>
  <conditionalFormatting sqref="BB233:BB237 BB231 BB239:BB243">
    <cfRule type="cellIs" dxfId="10949" priority="2003" operator="lessThan">
      <formula>0</formula>
    </cfRule>
    <cfRule type="cellIs" dxfId="10948" priority="2004" operator="lessThan">
      <formula>-105575</formula>
    </cfRule>
  </conditionalFormatting>
  <conditionalFormatting sqref="BB233:BB237 BB231 BB239:BB243">
    <cfRule type="cellIs" dxfId="10947" priority="2001" operator="lessThan">
      <formula>0</formula>
    </cfRule>
    <cfRule type="cellIs" dxfId="10946" priority="2002" operator="lessThan">
      <formula>-105575</formula>
    </cfRule>
  </conditionalFormatting>
  <conditionalFormatting sqref="BB119:BB128 BB106:BB117 BB101:BB104 BB80:BB98">
    <cfRule type="cellIs" dxfId="10945" priority="1999" operator="lessThan">
      <formula>0</formula>
    </cfRule>
    <cfRule type="cellIs" dxfId="10944" priority="2000" operator="lessThan">
      <formula>-105575</formula>
    </cfRule>
  </conditionalFormatting>
  <conditionalFormatting sqref="BB130 BB132 BB134">
    <cfRule type="cellIs" dxfId="10943" priority="1997" operator="lessThan">
      <formula>0</formula>
    </cfRule>
    <cfRule type="cellIs" dxfId="10942" priority="1998" operator="lessThan">
      <formula>-105575</formula>
    </cfRule>
  </conditionalFormatting>
  <conditionalFormatting sqref="BB130 BB132 BB134">
    <cfRule type="cellIs" dxfId="10941" priority="1995" operator="lessThan">
      <formula>0</formula>
    </cfRule>
    <cfRule type="cellIs" dxfId="10940" priority="1996" operator="lessThan">
      <formula>-105575</formula>
    </cfRule>
  </conditionalFormatting>
  <conditionalFormatting sqref="BB129 BB131 BB133 BB135">
    <cfRule type="cellIs" dxfId="10939" priority="1993" operator="lessThan">
      <formula>0</formula>
    </cfRule>
    <cfRule type="cellIs" dxfId="10938" priority="1994" operator="lessThan">
      <formula>-105575</formula>
    </cfRule>
  </conditionalFormatting>
  <conditionalFormatting sqref="BB140 BB145 BB142:BB143 BB137:BB138">
    <cfRule type="cellIs" dxfId="10937" priority="1991" operator="lessThan">
      <formula>0</formula>
    </cfRule>
    <cfRule type="cellIs" dxfId="10936" priority="1992" operator="lessThan">
      <formula>-105575</formula>
    </cfRule>
  </conditionalFormatting>
  <conditionalFormatting sqref="BB149">
    <cfRule type="cellIs" dxfId="10935" priority="1989" operator="lessThan">
      <formula>0</formula>
    </cfRule>
    <cfRule type="cellIs" dxfId="10934" priority="1990" operator="lessThan">
      <formula>-105575</formula>
    </cfRule>
  </conditionalFormatting>
  <conditionalFormatting sqref="BB129:BB138 BB140:BB149">
    <cfRule type="cellIs" dxfId="10933" priority="1987" operator="lessThan">
      <formula>0</formula>
    </cfRule>
    <cfRule type="cellIs" dxfId="10932" priority="1988" operator="lessThan">
      <formula>-105575</formula>
    </cfRule>
  </conditionalFormatting>
  <conditionalFormatting sqref="BB94:BB98 BB86:BB87 BB89:BB91 BB141:BB149 BB124:BB133 BB107:BB110 BB112:BB117 BB119:BB122 BB135:BB138 BB101:BB104 BB80:BB84">
    <cfRule type="cellIs" dxfId="10931" priority="1985" operator="lessThan">
      <formula>0</formula>
    </cfRule>
    <cfRule type="cellIs" dxfId="10930" priority="1986" operator="lessThan">
      <formula>-105575</formula>
    </cfRule>
  </conditionalFormatting>
  <conditionalFormatting sqref="BB129 BB131 BB133 BB135">
    <cfRule type="cellIs" dxfId="10929" priority="1983" operator="lessThan">
      <formula>0</formula>
    </cfRule>
    <cfRule type="cellIs" dxfId="10928" priority="1984" operator="lessThan">
      <formula>-105575</formula>
    </cfRule>
  </conditionalFormatting>
  <conditionalFormatting sqref="BB146 BB144 BB141">
    <cfRule type="cellIs" dxfId="10927" priority="1981" operator="lessThan">
      <formula>0</formula>
    </cfRule>
    <cfRule type="cellIs" dxfId="10926" priority="1982" operator="lessThan">
      <formula>-105575</formula>
    </cfRule>
  </conditionalFormatting>
  <conditionalFormatting sqref="BB146 BB144 BB141">
    <cfRule type="cellIs" dxfId="10925" priority="1979" operator="lessThan">
      <formula>0</formula>
    </cfRule>
    <cfRule type="cellIs" dxfId="10924" priority="1980" operator="lessThan">
      <formula>-105575</formula>
    </cfRule>
  </conditionalFormatting>
  <conditionalFormatting sqref="BB140 BB145 BB142:BB143 BB137:BB138">
    <cfRule type="cellIs" dxfId="10923" priority="1977" operator="lessThan">
      <formula>0</formula>
    </cfRule>
    <cfRule type="cellIs" dxfId="10922" priority="1978" operator="lessThan">
      <formula>-105575</formula>
    </cfRule>
  </conditionalFormatting>
  <conditionalFormatting sqref="BB149">
    <cfRule type="cellIs" dxfId="10921" priority="1975" operator="lessThan">
      <formula>0</formula>
    </cfRule>
    <cfRule type="cellIs" dxfId="10920" priority="1976" operator="lessThan">
      <formula>-105575</formula>
    </cfRule>
  </conditionalFormatting>
  <conditionalFormatting sqref="BB94:BB98 BB86:BB87 BB89:BB91 BB141:BB149 BB124:BB133 BB107:BB110 BB112:BB117 BB119:BB122 BB135:BB138 BB101:BB104 BB80:BB84">
    <cfRule type="cellIs" dxfId="10919" priority="1973" operator="lessThan">
      <formula>0</formula>
    </cfRule>
    <cfRule type="cellIs" dxfId="10918" priority="1974" operator="lessThan">
      <formula>-105575</formula>
    </cfRule>
  </conditionalFormatting>
  <conditionalFormatting sqref="BB246:BB249 BB262 BB267 BB279:BB282 BB285:BB288 BB274:BB275 BB306:BB309 BB311:BB325 BB327:BB330 BB332:BB341 BB344:BB347 BB349:BB353 BB355:BB358 BB360:BB384 BB386:BB389 BB392:BB395 BB397:BB411 BB413:BB416 BB418:BB432 BB434:BB437 BB439:BB453 BB455:BB458 BB460:BB469 BB7:BB10 BB12:BB14 BB17:BB18 BB21:BB24 BB26:BB28 BB30:BB36 BB38 BB41:BB43 BB46:BB49 BB51:BB55 BB57:BB59 BB62:BB76 BB251:BB253 BB255:BB257 BB293:BB304 BB264:BB265 BB260 BB290:BB291 BB270:BB272">
    <cfRule type="cellIs" dxfId="10917" priority="1971" operator="lessThan">
      <formula>0</formula>
    </cfRule>
    <cfRule type="cellIs" dxfId="10916" priority="1972" operator="lessThan">
      <formula>-105575</formula>
    </cfRule>
  </conditionalFormatting>
  <conditionalFormatting sqref="BB41">
    <cfRule type="cellIs" dxfId="10915" priority="1969" operator="lessThan">
      <formula>0</formula>
    </cfRule>
    <cfRule type="cellIs" dxfId="10914" priority="1970" operator="lessThan">
      <formula>-105575</formula>
    </cfRule>
  </conditionalFormatting>
  <conditionalFormatting sqref="BB152:BB155">
    <cfRule type="cellIs" dxfId="10913" priority="1967" operator="lessThan">
      <formula>0</formula>
    </cfRule>
    <cfRule type="cellIs" dxfId="10912" priority="1968" operator="lessThan">
      <formula>-105575</formula>
    </cfRule>
  </conditionalFormatting>
  <conditionalFormatting sqref="BB152:BB155">
    <cfRule type="cellIs" dxfId="10911" priority="1965" operator="lessThan">
      <formula>0</formula>
    </cfRule>
    <cfRule type="cellIs" dxfId="10910" priority="1966" operator="lessThan">
      <formula>-105575</formula>
    </cfRule>
  </conditionalFormatting>
  <conditionalFormatting sqref="BB152:BB155">
    <cfRule type="cellIs" dxfId="10909" priority="1963" operator="lessThan">
      <formula>0</formula>
    </cfRule>
    <cfRule type="cellIs" dxfId="10908" priority="1964" operator="lessThan">
      <formula>-105575</formula>
    </cfRule>
  </conditionalFormatting>
  <conditionalFormatting sqref="BB157:BB158">
    <cfRule type="cellIs" dxfId="10907" priority="1961" operator="lessThan">
      <formula>0</formula>
    </cfRule>
    <cfRule type="cellIs" dxfId="10906" priority="1962" operator="lessThan">
      <formula>-105575</formula>
    </cfRule>
  </conditionalFormatting>
  <conditionalFormatting sqref="BB157:BB158">
    <cfRule type="cellIs" dxfId="10905" priority="1959" operator="lessThan">
      <formula>0</formula>
    </cfRule>
    <cfRule type="cellIs" dxfId="10904" priority="1960" operator="lessThan">
      <formula>-105575</formula>
    </cfRule>
  </conditionalFormatting>
  <conditionalFormatting sqref="BB157:BB158">
    <cfRule type="cellIs" dxfId="10903" priority="1957" operator="lessThan">
      <formula>0</formula>
    </cfRule>
    <cfRule type="cellIs" dxfId="10902" priority="1958" operator="lessThan">
      <formula>-105575</formula>
    </cfRule>
  </conditionalFormatting>
  <conditionalFormatting sqref="BB160:BB161">
    <cfRule type="cellIs" dxfId="10901" priority="1955" operator="lessThan">
      <formula>0</formula>
    </cfRule>
    <cfRule type="cellIs" dxfId="10900" priority="1956" operator="lessThan">
      <formula>-105575</formula>
    </cfRule>
  </conditionalFormatting>
  <conditionalFormatting sqref="BB160:BB161">
    <cfRule type="cellIs" dxfId="10899" priority="1953" operator="lessThan">
      <formula>0</formula>
    </cfRule>
    <cfRule type="cellIs" dxfId="10898" priority="1954" operator="lessThan">
      <formula>-105575</formula>
    </cfRule>
  </conditionalFormatting>
  <conditionalFormatting sqref="BB160:BB161">
    <cfRule type="cellIs" dxfId="10897" priority="1951" operator="lessThan">
      <formula>0</formula>
    </cfRule>
    <cfRule type="cellIs" dxfId="10896" priority="1952" operator="lessThan">
      <formula>-105575</formula>
    </cfRule>
  </conditionalFormatting>
  <conditionalFormatting sqref="BB164:BB167">
    <cfRule type="cellIs" dxfId="10895" priority="1949" operator="lessThan">
      <formula>0</formula>
    </cfRule>
    <cfRule type="cellIs" dxfId="10894" priority="1950" operator="lessThan">
      <formula>-105575</formula>
    </cfRule>
  </conditionalFormatting>
  <conditionalFormatting sqref="BB164:BB167">
    <cfRule type="cellIs" dxfId="10893" priority="1947" operator="lessThan">
      <formula>0</formula>
    </cfRule>
    <cfRule type="cellIs" dxfId="10892" priority="1948" operator="lessThan">
      <formula>-105575</formula>
    </cfRule>
  </conditionalFormatting>
  <conditionalFormatting sqref="BB164:BB167">
    <cfRule type="cellIs" dxfId="10891" priority="1945" operator="lessThan">
      <formula>0</formula>
    </cfRule>
    <cfRule type="cellIs" dxfId="10890" priority="1946" operator="lessThan">
      <formula>-105575</formula>
    </cfRule>
  </conditionalFormatting>
  <conditionalFormatting sqref="BB169:BB177">
    <cfRule type="cellIs" dxfId="10889" priority="1943" operator="lessThan">
      <formula>0</formula>
    </cfRule>
    <cfRule type="cellIs" dxfId="10888" priority="1944" operator="lessThan">
      <formula>-105575</formula>
    </cfRule>
  </conditionalFormatting>
  <conditionalFormatting sqref="BB169:BB177">
    <cfRule type="cellIs" dxfId="10887" priority="1941" operator="lessThan">
      <formula>0</formula>
    </cfRule>
    <cfRule type="cellIs" dxfId="10886" priority="1942" operator="lessThan">
      <formula>-105575</formula>
    </cfRule>
  </conditionalFormatting>
  <conditionalFormatting sqref="BB169:BB177">
    <cfRule type="cellIs" dxfId="10885" priority="1939" operator="lessThan">
      <formula>0</formula>
    </cfRule>
    <cfRule type="cellIs" dxfId="10884" priority="1940" operator="lessThan">
      <formula>-105575</formula>
    </cfRule>
  </conditionalFormatting>
  <conditionalFormatting sqref="BB179:BB180">
    <cfRule type="cellIs" dxfId="10883" priority="1937" operator="lessThan">
      <formula>0</formula>
    </cfRule>
    <cfRule type="cellIs" dxfId="10882" priority="1938" operator="lessThan">
      <formula>-105575</formula>
    </cfRule>
  </conditionalFormatting>
  <conditionalFormatting sqref="BB179:BB180">
    <cfRule type="cellIs" dxfId="10881" priority="1935" operator="lessThan">
      <formula>0</formula>
    </cfRule>
    <cfRule type="cellIs" dxfId="10880" priority="1936" operator="lessThan">
      <formula>-105575</formula>
    </cfRule>
  </conditionalFormatting>
  <conditionalFormatting sqref="BB179:BB180">
    <cfRule type="cellIs" dxfId="10879" priority="1933" operator="lessThan">
      <formula>0</formula>
    </cfRule>
    <cfRule type="cellIs" dxfId="10878" priority="1934" operator="lessThan">
      <formula>-105575</formula>
    </cfRule>
  </conditionalFormatting>
  <conditionalFormatting sqref="BB183:BB189">
    <cfRule type="cellIs" dxfId="10877" priority="1931" operator="lessThan">
      <formula>0</formula>
    </cfRule>
    <cfRule type="cellIs" dxfId="10876" priority="1932" operator="lessThan">
      <formula>-105575</formula>
    </cfRule>
  </conditionalFormatting>
  <conditionalFormatting sqref="BB183:BB189">
    <cfRule type="cellIs" dxfId="10875" priority="1929" operator="lessThan">
      <formula>0</formula>
    </cfRule>
    <cfRule type="cellIs" dxfId="10874" priority="1930" operator="lessThan">
      <formula>-105575</formula>
    </cfRule>
  </conditionalFormatting>
  <conditionalFormatting sqref="BB183:BB189">
    <cfRule type="cellIs" dxfId="10873" priority="1927" operator="lessThan">
      <formula>0</formula>
    </cfRule>
    <cfRule type="cellIs" dxfId="10872" priority="1928" operator="lessThan">
      <formula>-105575</formula>
    </cfRule>
  </conditionalFormatting>
  <conditionalFormatting sqref="BB191:BB192">
    <cfRule type="cellIs" dxfId="10871" priority="1925" operator="lessThan">
      <formula>0</formula>
    </cfRule>
    <cfRule type="cellIs" dxfId="10870" priority="1926" operator="lessThan">
      <formula>-105575</formula>
    </cfRule>
  </conditionalFormatting>
  <conditionalFormatting sqref="BB191:BB192">
    <cfRule type="cellIs" dxfId="10869" priority="1923" operator="lessThan">
      <formula>0</formula>
    </cfRule>
    <cfRule type="cellIs" dxfId="10868" priority="1924" operator="lessThan">
      <formula>-105575</formula>
    </cfRule>
  </conditionalFormatting>
  <conditionalFormatting sqref="BB191:BB192">
    <cfRule type="cellIs" dxfId="10867" priority="1921" operator="lessThan">
      <formula>0</formula>
    </cfRule>
    <cfRule type="cellIs" dxfId="10866" priority="1922" operator="lessThan">
      <formula>-105575</formula>
    </cfRule>
  </conditionalFormatting>
  <conditionalFormatting sqref="BB194:BB195">
    <cfRule type="cellIs" dxfId="10865" priority="1919" operator="lessThan">
      <formula>0</formula>
    </cfRule>
    <cfRule type="cellIs" dxfId="10864" priority="1920" operator="lessThan">
      <formula>-105575</formula>
    </cfRule>
  </conditionalFormatting>
  <conditionalFormatting sqref="BB194:BB195">
    <cfRule type="cellIs" dxfId="10863" priority="1917" operator="lessThan">
      <formula>0</formula>
    </cfRule>
    <cfRule type="cellIs" dxfId="10862" priority="1918" operator="lessThan">
      <formula>-105575</formula>
    </cfRule>
  </conditionalFormatting>
  <conditionalFormatting sqref="BB194:BB195">
    <cfRule type="cellIs" dxfId="10861" priority="1915" operator="lessThan">
      <formula>0</formula>
    </cfRule>
    <cfRule type="cellIs" dxfId="10860" priority="1916" operator="lessThan">
      <formula>-105575</formula>
    </cfRule>
  </conditionalFormatting>
  <conditionalFormatting sqref="BB199:BB202">
    <cfRule type="cellIs" dxfId="10859" priority="1913" operator="lessThan">
      <formula>0</formula>
    </cfRule>
    <cfRule type="cellIs" dxfId="10858" priority="1914" operator="lessThan">
      <formula>-105575</formula>
    </cfRule>
  </conditionalFormatting>
  <conditionalFormatting sqref="BB199:BB202">
    <cfRule type="cellIs" dxfId="10857" priority="1911" operator="lessThan">
      <formula>0</formula>
    </cfRule>
    <cfRule type="cellIs" dxfId="10856" priority="1912" operator="lessThan">
      <formula>-105575</formula>
    </cfRule>
  </conditionalFormatting>
  <conditionalFormatting sqref="BB199:BB202">
    <cfRule type="cellIs" dxfId="10855" priority="1909" operator="lessThan">
      <formula>0</formula>
    </cfRule>
    <cfRule type="cellIs" dxfId="10854" priority="1910" operator="lessThan">
      <formula>-105575</formula>
    </cfRule>
  </conditionalFormatting>
  <conditionalFormatting sqref="BB204:BB208">
    <cfRule type="cellIs" dxfId="10853" priority="1907" operator="lessThan">
      <formula>0</formula>
    </cfRule>
    <cfRule type="cellIs" dxfId="10852" priority="1908" operator="lessThan">
      <formula>-105575</formula>
    </cfRule>
  </conditionalFormatting>
  <conditionalFormatting sqref="BB204:BB208">
    <cfRule type="cellIs" dxfId="10851" priority="1905" operator="lessThan">
      <formula>0</formula>
    </cfRule>
    <cfRule type="cellIs" dxfId="10850" priority="1906" operator="lessThan">
      <formula>-105575</formula>
    </cfRule>
  </conditionalFormatting>
  <conditionalFormatting sqref="BB204:BB208">
    <cfRule type="cellIs" dxfId="10849" priority="1903" operator="lessThan">
      <formula>0</formula>
    </cfRule>
    <cfRule type="cellIs" dxfId="10848" priority="1904" operator="lessThan">
      <formula>-105575</formula>
    </cfRule>
  </conditionalFormatting>
  <conditionalFormatting sqref="BB210:BB211">
    <cfRule type="cellIs" dxfId="10847" priority="1901" operator="lessThan">
      <formula>0</formula>
    </cfRule>
    <cfRule type="cellIs" dxfId="10846" priority="1902" operator="lessThan">
      <formula>-105575</formula>
    </cfRule>
  </conditionalFormatting>
  <conditionalFormatting sqref="BB210:BB211">
    <cfRule type="cellIs" dxfId="10845" priority="1899" operator="lessThan">
      <formula>0</formula>
    </cfRule>
    <cfRule type="cellIs" dxfId="10844" priority="1900" operator="lessThan">
      <formula>-105575</formula>
    </cfRule>
  </conditionalFormatting>
  <conditionalFormatting sqref="BB210:BB211">
    <cfRule type="cellIs" dxfId="10843" priority="1897" operator="lessThan">
      <formula>0</formula>
    </cfRule>
    <cfRule type="cellIs" dxfId="10842" priority="1898" operator="lessThan">
      <formula>-105575</formula>
    </cfRule>
  </conditionalFormatting>
  <conditionalFormatting sqref="BB214:BB219">
    <cfRule type="cellIs" dxfId="10841" priority="1895" operator="lessThan">
      <formula>0</formula>
    </cfRule>
    <cfRule type="cellIs" dxfId="10840" priority="1896" operator="lessThan">
      <formula>-105575</formula>
    </cfRule>
  </conditionalFormatting>
  <conditionalFormatting sqref="BB214:BB219">
    <cfRule type="cellIs" dxfId="10839" priority="1893" operator="lessThan">
      <formula>0</formula>
    </cfRule>
    <cfRule type="cellIs" dxfId="10838" priority="1894" operator="lessThan">
      <formula>-105575</formula>
    </cfRule>
  </conditionalFormatting>
  <conditionalFormatting sqref="BB214:BB219">
    <cfRule type="cellIs" dxfId="10837" priority="1891" operator="lessThan">
      <formula>0</formula>
    </cfRule>
    <cfRule type="cellIs" dxfId="10836" priority="1892" operator="lessThan">
      <formula>-105575</formula>
    </cfRule>
  </conditionalFormatting>
  <conditionalFormatting sqref="BB222:BB224">
    <cfRule type="cellIs" dxfId="10835" priority="1889" operator="lessThan">
      <formula>0</formula>
    </cfRule>
    <cfRule type="cellIs" dxfId="10834" priority="1890" operator="lessThan">
      <formula>-105575</formula>
    </cfRule>
  </conditionalFormatting>
  <conditionalFormatting sqref="BB222:BB224">
    <cfRule type="cellIs" dxfId="10833" priority="1887" operator="lessThan">
      <formula>0</formula>
    </cfRule>
    <cfRule type="cellIs" dxfId="10832" priority="1888" operator="lessThan">
      <formula>-105575</formula>
    </cfRule>
  </conditionalFormatting>
  <conditionalFormatting sqref="BB222:BB224">
    <cfRule type="cellIs" dxfId="10831" priority="1885" operator="lessThan">
      <formula>0</formula>
    </cfRule>
    <cfRule type="cellIs" dxfId="10830" priority="1886" operator="lessThan">
      <formula>-105575</formula>
    </cfRule>
  </conditionalFormatting>
  <conditionalFormatting sqref="BB227:BB230">
    <cfRule type="cellIs" dxfId="10829" priority="1883" operator="lessThan">
      <formula>0</formula>
    </cfRule>
    <cfRule type="cellIs" dxfId="10828" priority="1884" operator="lessThan">
      <formula>-105575</formula>
    </cfRule>
  </conditionalFormatting>
  <conditionalFormatting sqref="BB227:BB230">
    <cfRule type="cellIs" dxfId="10827" priority="1881" operator="lessThan">
      <formula>0</formula>
    </cfRule>
    <cfRule type="cellIs" dxfId="10826" priority="1882" operator="lessThan">
      <formula>-105575</formula>
    </cfRule>
  </conditionalFormatting>
  <conditionalFormatting sqref="BB227:BB230">
    <cfRule type="cellIs" dxfId="10825" priority="1879" operator="lessThan">
      <formula>0</formula>
    </cfRule>
    <cfRule type="cellIs" dxfId="10824" priority="1880" operator="lessThan">
      <formula>-105575</formula>
    </cfRule>
  </conditionalFormatting>
  <conditionalFormatting sqref="BB203 BB220:BB221 BB235:BB243 BB231:BB233 BB212:BB213 BB225:BB226">
    <cfRule type="cellIs" dxfId="10823" priority="1877" operator="lessThan">
      <formula>0</formula>
    </cfRule>
    <cfRule type="cellIs" dxfId="10822" priority="1878" operator="lessThan">
      <formula>-105575</formula>
    </cfRule>
  </conditionalFormatting>
  <conditionalFormatting sqref="BB220 BB212:BB213 BB235:BB238 BB240:BB243 BB225:BB226 BB231:BB233">
    <cfRule type="cellIs" dxfId="10821" priority="1875" operator="lessThan">
      <formula>0</formula>
    </cfRule>
    <cfRule type="cellIs" dxfId="10820" priority="1876" operator="lessThan">
      <formula>-105575</formula>
    </cfRule>
  </conditionalFormatting>
  <conditionalFormatting sqref="BB220:BB221 BB243 BB226 BB231:BB236 BB238:BB241 BB203 BB213">
    <cfRule type="cellIs" dxfId="10819" priority="1873" operator="lessThan">
      <formula>0</formula>
    </cfRule>
    <cfRule type="cellIs" dxfId="10818" priority="1874" operator="lessThan">
      <formula>-105575</formula>
    </cfRule>
  </conditionalFormatting>
  <conditionalFormatting sqref="BB235:BB243 BB231:BB233 BB220 BB212:BB213 BB225:BB226">
    <cfRule type="cellIs" dxfId="10817" priority="1871" operator="lessThan">
      <formula>0</formula>
    </cfRule>
    <cfRule type="cellIs" dxfId="10816" priority="1872" operator="lessThan">
      <formula>-105575</formula>
    </cfRule>
  </conditionalFormatting>
  <conditionalFormatting sqref="BB220:BB221 BB237:BB243 BB203 BB231:BB235 BB212:BB213 BB225:BB226">
    <cfRule type="cellIs" dxfId="10815" priority="1869" operator="lessThan">
      <formula>0</formula>
    </cfRule>
    <cfRule type="cellIs" dxfId="10814" priority="1870" operator="lessThan">
      <formula>-105575</formula>
    </cfRule>
  </conditionalFormatting>
  <conditionalFormatting sqref="BB220:BB221 BB237:BB240 BB242:BB243 BB225:BB226 BB231:BB235">
    <cfRule type="cellIs" dxfId="10813" priority="1867" operator="lessThan">
      <formula>0</formula>
    </cfRule>
    <cfRule type="cellIs" dxfId="10812" priority="1868" operator="lessThan">
      <formula>-105575</formula>
    </cfRule>
  </conditionalFormatting>
  <conditionalFormatting sqref="BB212 BB231 BB233:BB238 BB240:BB243 BB225">
    <cfRule type="cellIs" dxfId="10811" priority="1865" operator="lessThan">
      <formula>0</formula>
    </cfRule>
    <cfRule type="cellIs" dxfId="10810" priority="1866" operator="lessThan">
      <formula>-105575</formula>
    </cfRule>
  </conditionalFormatting>
  <conditionalFormatting sqref="BB237:BB243 BB231:BB235 BB220:BB221 BB225:BB226">
    <cfRule type="cellIs" dxfId="10809" priority="1863" operator="lessThan">
      <formula>0</formula>
    </cfRule>
    <cfRule type="cellIs" dxfId="10808" priority="1864" operator="lessThan">
      <formula>-105575</formula>
    </cfRule>
  </conditionalFormatting>
  <conditionalFormatting sqref="BB233:BB237 BB231 BB239:BB243">
    <cfRule type="cellIs" dxfId="10807" priority="1861" operator="lessThan">
      <formula>0</formula>
    </cfRule>
    <cfRule type="cellIs" dxfId="10806" priority="1862" operator="lessThan">
      <formula>-105575</formula>
    </cfRule>
  </conditionalFormatting>
  <conditionalFormatting sqref="BB233:BB237 BB231 BB239:BB243">
    <cfRule type="cellIs" dxfId="10805" priority="1859" operator="lessThan">
      <formula>0</formula>
    </cfRule>
    <cfRule type="cellIs" dxfId="10804" priority="1860" operator="lessThan">
      <formula>-105575</formula>
    </cfRule>
  </conditionalFormatting>
  <conditionalFormatting sqref="BB119:BB128 BB106:BB117 BB101:BB104 BB80:BB98">
    <cfRule type="cellIs" dxfId="10803" priority="1857" operator="lessThan">
      <formula>0</formula>
    </cfRule>
    <cfRule type="cellIs" dxfId="10802" priority="1858" operator="lessThan">
      <formula>-105575</formula>
    </cfRule>
  </conditionalFormatting>
  <conditionalFormatting sqref="BB130 BB132 BB134">
    <cfRule type="cellIs" dxfId="10801" priority="1855" operator="lessThan">
      <formula>0</formula>
    </cfRule>
    <cfRule type="cellIs" dxfId="10800" priority="1856" operator="lessThan">
      <formula>-105575</formula>
    </cfRule>
  </conditionalFormatting>
  <conditionalFormatting sqref="BB130 BB132 BB134">
    <cfRule type="cellIs" dxfId="10799" priority="1853" operator="lessThan">
      <formula>0</formula>
    </cfRule>
    <cfRule type="cellIs" dxfId="10798" priority="1854" operator="lessThan">
      <formula>-105575</formula>
    </cfRule>
  </conditionalFormatting>
  <conditionalFormatting sqref="BB129 BB131 BB133 BB135">
    <cfRule type="cellIs" dxfId="10797" priority="1851" operator="lessThan">
      <formula>0</formula>
    </cfRule>
    <cfRule type="cellIs" dxfId="10796" priority="1852" operator="lessThan">
      <formula>-105575</formula>
    </cfRule>
  </conditionalFormatting>
  <conditionalFormatting sqref="BB140 BB145 BB142:BB143 BB137:BB138">
    <cfRule type="cellIs" dxfId="10795" priority="1849" operator="lessThan">
      <formula>0</formula>
    </cfRule>
    <cfRule type="cellIs" dxfId="10794" priority="1850" operator="lessThan">
      <formula>-105575</formula>
    </cfRule>
  </conditionalFormatting>
  <conditionalFormatting sqref="BB149">
    <cfRule type="cellIs" dxfId="10793" priority="1847" operator="lessThan">
      <formula>0</formula>
    </cfRule>
    <cfRule type="cellIs" dxfId="10792" priority="1848" operator="lessThan">
      <formula>-105575</formula>
    </cfRule>
  </conditionalFormatting>
  <conditionalFormatting sqref="BB129:BB138 BB140:BB149">
    <cfRule type="cellIs" dxfId="10791" priority="1845" operator="lessThan">
      <formula>0</formula>
    </cfRule>
    <cfRule type="cellIs" dxfId="10790" priority="1846" operator="lessThan">
      <formula>-105575</formula>
    </cfRule>
  </conditionalFormatting>
  <conditionalFormatting sqref="BB94:BB98 BB86:BB87 BB89:BB91 BB141:BB149 BB124:BB133 BB107:BB110 BB112:BB117 BB119:BB122 BB135:BB138 BB101:BB104 BB80:BB84">
    <cfRule type="cellIs" dxfId="10789" priority="1843" operator="lessThan">
      <formula>0</formula>
    </cfRule>
    <cfRule type="cellIs" dxfId="10788" priority="1844" operator="lessThan">
      <formula>-105575</formula>
    </cfRule>
  </conditionalFormatting>
  <conditionalFormatting sqref="BB129 BB131 BB133 BB135">
    <cfRule type="cellIs" dxfId="10787" priority="1841" operator="lessThan">
      <formula>0</formula>
    </cfRule>
    <cfRule type="cellIs" dxfId="10786" priority="1842" operator="lessThan">
      <formula>-105575</formula>
    </cfRule>
  </conditionalFormatting>
  <conditionalFormatting sqref="BB146 BB144 BB141">
    <cfRule type="cellIs" dxfId="10785" priority="1839" operator="lessThan">
      <formula>0</formula>
    </cfRule>
    <cfRule type="cellIs" dxfId="10784" priority="1840" operator="lessThan">
      <formula>-105575</formula>
    </cfRule>
  </conditionalFormatting>
  <conditionalFormatting sqref="BB146 BB144 BB141">
    <cfRule type="cellIs" dxfId="10783" priority="1837" operator="lessThan">
      <formula>0</formula>
    </cfRule>
    <cfRule type="cellIs" dxfId="10782" priority="1838" operator="lessThan">
      <formula>-105575</formula>
    </cfRule>
  </conditionalFormatting>
  <conditionalFormatting sqref="BB140 BB145 BB142:BB143 BB137:BB138">
    <cfRule type="cellIs" dxfId="10781" priority="1835" operator="lessThan">
      <formula>0</formula>
    </cfRule>
    <cfRule type="cellIs" dxfId="10780" priority="1836" operator="lessThan">
      <formula>-105575</formula>
    </cfRule>
  </conditionalFormatting>
  <conditionalFormatting sqref="BB149">
    <cfRule type="cellIs" dxfId="10779" priority="1833" operator="lessThan">
      <formula>0</formula>
    </cfRule>
    <cfRule type="cellIs" dxfId="10778" priority="1834" operator="lessThan">
      <formula>-105575</formula>
    </cfRule>
  </conditionalFormatting>
  <conditionalFormatting sqref="BB94:BB98 BB86:BB87 BB89:BB91 BB141:BB149 BB124:BB133 BB107:BB110 BB112:BB117 BB119:BB122 BB135:BB138 BB101:BB104 BB80:BB84">
    <cfRule type="cellIs" dxfId="10777" priority="1831" operator="lessThan">
      <formula>0</formula>
    </cfRule>
    <cfRule type="cellIs" dxfId="10776" priority="1832" operator="lessThan">
      <formula>-105575</formula>
    </cfRule>
  </conditionalFormatting>
  <conditionalFormatting sqref="BB62:BB76 BB306:BB309 BB311:BB325 BB327:BB330 BB332:BB341 BB344:BB347 BB349:BB353 BB355:BB358 BB360:BB384 BB386:BB389 BB392:BB395 BB397:BB411 BB413:BB416 BB418:BB432 BB434:BB437 BB439:BB453 BB455:BB458 BB460:BB469 BB7:BB10 BB12:BB14 BB17:BB18 BB21:BB24 BB26:BB28 BB30:BB36 BB38 BB41:BB43 BB46:BB49 BB51:BB55 BB57:BB59 BB290:BB291 BB293:BB304">
    <cfRule type="cellIs" dxfId="10775" priority="1829" operator="lessThan">
      <formula>0</formula>
    </cfRule>
    <cfRule type="cellIs" dxfId="10774" priority="1830" operator="lessThan">
      <formula>-105575</formula>
    </cfRule>
  </conditionalFormatting>
  <conditionalFormatting sqref="BB41">
    <cfRule type="cellIs" dxfId="10773" priority="1827" operator="lessThan">
      <formula>0</formula>
    </cfRule>
    <cfRule type="cellIs" dxfId="10772" priority="1828" operator="lessThan">
      <formula>-105575</formula>
    </cfRule>
  </conditionalFormatting>
  <conditionalFormatting sqref="BB152:BB155">
    <cfRule type="cellIs" dxfId="10771" priority="1825" operator="lessThan">
      <formula>0</formula>
    </cfRule>
    <cfRule type="cellIs" dxfId="10770" priority="1826" operator="lessThan">
      <formula>-105575</formula>
    </cfRule>
  </conditionalFormatting>
  <conditionalFormatting sqref="BB152:BB155">
    <cfRule type="cellIs" dxfId="10769" priority="1823" operator="lessThan">
      <formula>0</formula>
    </cfRule>
    <cfRule type="cellIs" dxfId="10768" priority="1824" operator="lessThan">
      <formula>-105575</formula>
    </cfRule>
  </conditionalFormatting>
  <conditionalFormatting sqref="BB152:BB155">
    <cfRule type="cellIs" dxfId="10767" priority="1821" operator="lessThan">
      <formula>0</formula>
    </cfRule>
    <cfRule type="cellIs" dxfId="10766" priority="1822" operator="lessThan">
      <formula>-105575</formula>
    </cfRule>
  </conditionalFormatting>
  <conditionalFormatting sqref="BB157:BB158">
    <cfRule type="cellIs" dxfId="10765" priority="1819" operator="lessThan">
      <formula>0</formula>
    </cfRule>
    <cfRule type="cellIs" dxfId="10764" priority="1820" operator="lessThan">
      <formula>-105575</formula>
    </cfRule>
  </conditionalFormatting>
  <conditionalFormatting sqref="BB157:BB158">
    <cfRule type="cellIs" dxfId="10763" priority="1817" operator="lessThan">
      <formula>0</formula>
    </cfRule>
    <cfRule type="cellIs" dxfId="10762" priority="1818" operator="lessThan">
      <formula>-105575</formula>
    </cfRule>
  </conditionalFormatting>
  <conditionalFormatting sqref="BB157:BB158">
    <cfRule type="cellIs" dxfId="10761" priority="1815" operator="lessThan">
      <formula>0</formula>
    </cfRule>
    <cfRule type="cellIs" dxfId="10760" priority="1816" operator="lessThan">
      <formula>-105575</formula>
    </cfRule>
  </conditionalFormatting>
  <conditionalFormatting sqref="BB160:BB161">
    <cfRule type="cellIs" dxfId="10759" priority="1813" operator="lessThan">
      <formula>0</formula>
    </cfRule>
    <cfRule type="cellIs" dxfId="10758" priority="1814" operator="lessThan">
      <formula>-105575</formula>
    </cfRule>
  </conditionalFormatting>
  <conditionalFormatting sqref="BB160:BB161">
    <cfRule type="cellIs" dxfId="10757" priority="1811" operator="lessThan">
      <formula>0</formula>
    </cfRule>
    <cfRule type="cellIs" dxfId="10756" priority="1812" operator="lessThan">
      <formula>-105575</formula>
    </cfRule>
  </conditionalFormatting>
  <conditionalFormatting sqref="BB160:BB161">
    <cfRule type="cellIs" dxfId="10755" priority="1809" operator="lessThan">
      <formula>0</formula>
    </cfRule>
    <cfRule type="cellIs" dxfId="10754" priority="1810" operator="lessThan">
      <formula>-105575</formula>
    </cfRule>
  </conditionalFormatting>
  <conditionalFormatting sqref="BB164:BB167">
    <cfRule type="cellIs" dxfId="10753" priority="1807" operator="lessThan">
      <formula>0</formula>
    </cfRule>
    <cfRule type="cellIs" dxfId="10752" priority="1808" operator="lessThan">
      <formula>-105575</formula>
    </cfRule>
  </conditionalFormatting>
  <conditionalFormatting sqref="BB164:BB167">
    <cfRule type="cellIs" dxfId="10751" priority="1805" operator="lessThan">
      <formula>0</formula>
    </cfRule>
    <cfRule type="cellIs" dxfId="10750" priority="1806" operator="lessThan">
      <formula>-105575</formula>
    </cfRule>
  </conditionalFormatting>
  <conditionalFormatting sqref="BB164:BB167">
    <cfRule type="cellIs" dxfId="10749" priority="1803" operator="lessThan">
      <formula>0</formula>
    </cfRule>
    <cfRule type="cellIs" dxfId="10748" priority="1804" operator="lessThan">
      <formula>-105575</formula>
    </cfRule>
  </conditionalFormatting>
  <conditionalFormatting sqref="BB169:BB177">
    <cfRule type="cellIs" dxfId="10747" priority="1801" operator="lessThan">
      <formula>0</formula>
    </cfRule>
    <cfRule type="cellIs" dxfId="10746" priority="1802" operator="lessThan">
      <formula>-105575</formula>
    </cfRule>
  </conditionalFormatting>
  <conditionalFormatting sqref="BB169:BB177">
    <cfRule type="cellIs" dxfId="10745" priority="1799" operator="lessThan">
      <formula>0</formula>
    </cfRule>
    <cfRule type="cellIs" dxfId="10744" priority="1800" operator="lessThan">
      <formula>-105575</formula>
    </cfRule>
  </conditionalFormatting>
  <conditionalFormatting sqref="BB169:BB177">
    <cfRule type="cellIs" dxfId="10743" priority="1797" operator="lessThan">
      <formula>0</formula>
    </cfRule>
    <cfRule type="cellIs" dxfId="10742" priority="1798" operator="lessThan">
      <formula>-105575</formula>
    </cfRule>
  </conditionalFormatting>
  <conditionalFormatting sqref="BB179:BB180">
    <cfRule type="cellIs" dxfId="10741" priority="1795" operator="lessThan">
      <formula>0</formula>
    </cfRule>
    <cfRule type="cellIs" dxfId="10740" priority="1796" operator="lessThan">
      <formula>-105575</formula>
    </cfRule>
  </conditionalFormatting>
  <conditionalFormatting sqref="BB179:BB180">
    <cfRule type="cellIs" dxfId="10739" priority="1793" operator="lessThan">
      <formula>0</formula>
    </cfRule>
    <cfRule type="cellIs" dxfId="10738" priority="1794" operator="lessThan">
      <formula>-105575</formula>
    </cfRule>
  </conditionalFormatting>
  <conditionalFormatting sqref="BB179:BB180">
    <cfRule type="cellIs" dxfId="10737" priority="1791" operator="lessThan">
      <formula>0</formula>
    </cfRule>
    <cfRule type="cellIs" dxfId="10736" priority="1792" operator="lessThan">
      <formula>-105575</formula>
    </cfRule>
  </conditionalFormatting>
  <conditionalFormatting sqref="BB183:BB189">
    <cfRule type="cellIs" dxfId="10735" priority="1789" operator="lessThan">
      <formula>0</formula>
    </cfRule>
    <cfRule type="cellIs" dxfId="10734" priority="1790" operator="lessThan">
      <formula>-105575</formula>
    </cfRule>
  </conditionalFormatting>
  <conditionalFormatting sqref="BB183:BB189">
    <cfRule type="cellIs" dxfId="10733" priority="1787" operator="lessThan">
      <formula>0</formula>
    </cfRule>
    <cfRule type="cellIs" dxfId="10732" priority="1788" operator="lessThan">
      <formula>-105575</formula>
    </cfRule>
  </conditionalFormatting>
  <conditionalFormatting sqref="BB183:BB189">
    <cfRule type="cellIs" dxfId="10731" priority="1785" operator="lessThan">
      <formula>0</formula>
    </cfRule>
    <cfRule type="cellIs" dxfId="10730" priority="1786" operator="lessThan">
      <formula>-105575</formula>
    </cfRule>
  </conditionalFormatting>
  <conditionalFormatting sqref="BB191:BB192">
    <cfRule type="cellIs" dxfId="10729" priority="1783" operator="lessThan">
      <formula>0</formula>
    </cfRule>
    <cfRule type="cellIs" dxfId="10728" priority="1784" operator="lessThan">
      <formula>-105575</formula>
    </cfRule>
  </conditionalFormatting>
  <conditionalFormatting sqref="BB191:BB192">
    <cfRule type="cellIs" dxfId="10727" priority="1781" operator="lessThan">
      <formula>0</formula>
    </cfRule>
    <cfRule type="cellIs" dxfId="10726" priority="1782" operator="lessThan">
      <formula>-105575</formula>
    </cfRule>
  </conditionalFormatting>
  <conditionalFormatting sqref="BB191:BB192">
    <cfRule type="cellIs" dxfId="10725" priority="1779" operator="lessThan">
      <formula>0</formula>
    </cfRule>
    <cfRule type="cellIs" dxfId="10724" priority="1780" operator="lessThan">
      <formula>-105575</formula>
    </cfRule>
  </conditionalFormatting>
  <conditionalFormatting sqref="BB194:BB195">
    <cfRule type="cellIs" dxfId="10723" priority="1777" operator="lessThan">
      <formula>0</formula>
    </cfRule>
    <cfRule type="cellIs" dxfId="10722" priority="1778" operator="lessThan">
      <formula>-105575</formula>
    </cfRule>
  </conditionalFormatting>
  <conditionalFormatting sqref="BB194:BB195">
    <cfRule type="cellIs" dxfId="10721" priority="1775" operator="lessThan">
      <formula>0</formula>
    </cfRule>
    <cfRule type="cellIs" dxfId="10720" priority="1776" operator="lessThan">
      <formula>-105575</formula>
    </cfRule>
  </conditionalFormatting>
  <conditionalFormatting sqref="BB194:BB195">
    <cfRule type="cellIs" dxfId="10719" priority="1773" operator="lessThan">
      <formula>0</formula>
    </cfRule>
    <cfRule type="cellIs" dxfId="10718" priority="1774" operator="lessThan">
      <formula>-105575</formula>
    </cfRule>
  </conditionalFormatting>
  <conditionalFormatting sqref="BB199:BB202">
    <cfRule type="cellIs" dxfId="10717" priority="1771" operator="lessThan">
      <formula>0</formula>
    </cfRule>
    <cfRule type="cellIs" dxfId="10716" priority="1772" operator="lessThan">
      <formula>-105575</formula>
    </cfRule>
  </conditionalFormatting>
  <conditionalFormatting sqref="BB199:BB202">
    <cfRule type="cellIs" dxfId="10715" priority="1769" operator="lessThan">
      <formula>0</formula>
    </cfRule>
    <cfRule type="cellIs" dxfId="10714" priority="1770" operator="lessThan">
      <formula>-105575</formula>
    </cfRule>
  </conditionalFormatting>
  <conditionalFormatting sqref="BB199:BB202">
    <cfRule type="cellIs" dxfId="10713" priority="1767" operator="lessThan">
      <formula>0</formula>
    </cfRule>
    <cfRule type="cellIs" dxfId="10712" priority="1768" operator="lessThan">
      <formula>-105575</formula>
    </cfRule>
  </conditionalFormatting>
  <conditionalFormatting sqref="BB204:BB208">
    <cfRule type="cellIs" dxfId="10711" priority="1765" operator="lessThan">
      <formula>0</formula>
    </cfRule>
    <cfRule type="cellIs" dxfId="10710" priority="1766" operator="lessThan">
      <formula>-105575</formula>
    </cfRule>
  </conditionalFormatting>
  <conditionalFormatting sqref="BB204:BB208">
    <cfRule type="cellIs" dxfId="10709" priority="1763" operator="lessThan">
      <formula>0</formula>
    </cfRule>
    <cfRule type="cellIs" dxfId="10708" priority="1764" operator="lessThan">
      <formula>-105575</formula>
    </cfRule>
  </conditionalFormatting>
  <conditionalFormatting sqref="BB204:BB208">
    <cfRule type="cellIs" dxfId="10707" priority="1761" operator="lessThan">
      <formula>0</formula>
    </cfRule>
    <cfRule type="cellIs" dxfId="10706" priority="1762" operator="lessThan">
      <formula>-105575</formula>
    </cfRule>
  </conditionalFormatting>
  <conditionalFormatting sqref="BB210:BB211">
    <cfRule type="cellIs" dxfId="10705" priority="1759" operator="lessThan">
      <formula>0</formula>
    </cfRule>
    <cfRule type="cellIs" dxfId="10704" priority="1760" operator="lessThan">
      <formula>-105575</formula>
    </cfRule>
  </conditionalFormatting>
  <conditionalFormatting sqref="BB210:BB211">
    <cfRule type="cellIs" dxfId="10703" priority="1757" operator="lessThan">
      <formula>0</formula>
    </cfRule>
    <cfRule type="cellIs" dxfId="10702" priority="1758" operator="lessThan">
      <formula>-105575</formula>
    </cfRule>
  </conditionalFormatting>
  <conditionalFormatting sqref="BB210:BB211">
    <cfRule type="cellIs" dxfId="10701" priority="1755" operator="lessThan">
      <formula>0</formula>
    </cfRule>
    <cfRule type="cellIs" dxfId="10700" priority="1756" operator="lessThan">
      <formula>-105575</formula>
    </cfRule>
  </conditionalFormatting>
  <conditionalFormatting sqref="BB214:BB219">
    <cfRule type="cellIs" dxfId="10699" priority="1753" operator="lessThan">
      <formula>0</formula>
    </cfRule>
    <cfRule type="cellIs" dxfId="10698" priority="1754" operator="lessThan">
      <formula>-105575</formula>
    </cfRule>
  </conditionalFormatting>
  <conditionalFormatting sqref="BB214:BB219">
    <cfRule type="cellIs" dxfId="10697" priority="1751" operator="lessThan">
      <formula>0</formula>
    </cfRule>
    <cfRule type="cellIs" dxfId="10696" priority="1752" operator="lessThan">
      <formula>-105575</formula>
    </cfRule>
  </conditionalFormatting>
  <conditionalFormatting sqref="BB214:BB219">
    <cfRule type="cellIs" dxfId="10695" priority="1749" operator="lessThan">
      <formula>0</formula>
    </cfRule>
    <cfRule type="cellIs" dxfId="10694" priority="1750" operator="lessThan">
      <formula>-105575</formula>
    </cfRule>
  </conditionalFormatting>
  <conditionalFormatting sqref="BB222:BB224">
    <cfRule type="cellIs" dxfId="10693" priority="1747" operator="lessThan">
      <formula>0</formula>
    </cfRule>
    <cfRule type="cellIs" dxfId="10692" priority="1748" operator="lessThan">
      <formula>-105575</formula>
    </cfRule>
  </conditionalFormatting>
  <conditionalFormatting sqref="BB222:BB224">
    <cfRule type="cellIs" dxfId="10691" priority="1745" operator="lessThan">
      <formula>0</formula>
    </cfRule>
    <cfRule type="cellIs" dxfId="10690" priority="1746" operator="lessThan">
      <formula>-105575</formula>
    </cfRule>
  </conditionalFormatting>
  <conditionalFormatting sqref="BB222:BB224">
    <cfRule type="cellIs" dxfId="10689" priority="1743" operator="lessThan">
      <formula>0</formula>
    </cfRule>
    <cfRule type="cellIs" dxfId="10688" priority="1744" operator="lessThan">
      <formula>-105575</formula>
    </cfRule>
  </conditionalFormatting>
  <conditionalFormatting sqref="BB227:BB230">
    <cfRule type="cellIs" dxfId="10687" priority="1741" operator="lessThan">
      <formula>0</formula>
    </cfRule>
    <cfRule type="cellIs" dxfId="10686" priority="1742" operator="lessThan">
      <formula>-105575</formula>
    </cfRule>
  </conditionalFormatting>
  <conditionalFormatting sqref="BB227:BB230">
    <cfRule type="cellIs" dxfId="10685" priority="1739" operator="lessThan">
      <formula>0</formula>
    </cfRule>
    <cfRule type="cellIs" dxfId="10684" priority="1740" operator="lessThan">
      <formula>-105575</formula>
    </cfRule>
  </conditionalFormatting>
  <conditionalFormatting sqref="BB227:BB230">
    <cfRule type="cellIs" dxfId="10683" priority="1737" operator="lessThan">
      <formula>0</formula>
    </cfRule>
    <cfRule type="cellIs" dxfId="10682" priority="1738" operator="lessThan">
      <formula>-105575</formula>
    </cfRule>
  </conditionalFormatting>
  <conditionalFormatting sqref="BB246:BB249">
    <cfRule type="cellIs" dxfId="10681" priority="1735" operator="lessThan">
      <formula>0</formula>
    </cfRule>
    <cfRule type="cellIs" dxfId="10680" priority="1736" operator="lessThan">
      <formula>-105575</formula>
    </cfRule>
  </conditionalFormatting>
  <conditionalFormatting sqref="BB246:BB249">
    <cfRule type="cellIs" dxfId="10679" priority="1733" operator="lessThan">
      <formula>0</formula>
    </cfRule>
    <cfRule type="cellIs" dxfId="10678" priority="1734" operator="lessThan">
      <formula>-105575</formula>
    </cfRule>
  </conditionalFormatting>
  <conditionalFormatting sqref="BB246:BB249">
    <cfRule type="cellIs" dxfId="10677" priority="1731" operator="lessThan">
      <formula>0</formula>
    </cfRule>
    <cfRule type="cellIs" dxfId="10676" priority="1732" operator="lessThan">
      <formula>-105575</formula>
    </cfRule>
  </conditionalFormatting>
  <conditionalFormatting sqref="BB246:BB249">
    <cfRule type="cellIs" dxfId="10675" priority="1729" operator="lessThan">
      <formula>0</formula>
    </cfRule>
    <cfRule type="cellIs" dxfId="10674" priority="1730" operator="lessThan">
      <formula>-105575</formula>
    </cfRule>
  </conditionalFormatting>
  <conditionalFormatting sqref="BB246:BB249">
    <cfRule type="cellIs" dxfId="10673" priority="1727" operator="lessThan">
      <formula>0</formula>
    </cfRule>
    <cfRule type="cellIs" dxfId="10672" priority="1728" operator="lessThan">
      <formula>-105575</formula>
    </cfRule>
  </conditionalFormatting>
  <conditionalFormatting sqref="BB246:BB249">
    <cfRule type="cellIs" dxfId="10671" priority="1725" operator="lessThan">
      <formula>0</formula>
    </cfRule>
    <cfRule type="cellIs" dxfId="10670" priority="1726" operator="lessThan">
      <formula>-105575</formula>
    </cfRule>
  </conditionalFormatting>
  <conditionalFormatting sqref="BB246:BB249">
    <cfRule type="cellIs" dxfId="10669" priority="1723" operator="lessThan">
      <formula>0</formula>
    </cfRule>
    <cfRule type="cellIs" dxfId="10668" priority="1724" operator="lessThan">
      <formula>-105575</formula>
    </cfRule>
  </conditionalFormatting>
  <conditionalFormatting sqref="BB246:BB249">
    <cfRule type="cellIs" dxfId="10667" priority="1721" operator="lessThan">
      <formula>0</formula>
    </cfRule>
    <cfRule type="cellIs" dxfId="10666" priority="1722" operator="lessThan">
      <formula>-105575</formula>
    </cfRule>
  </conditionalFormatting>
  <conditionalFormatting sqref="BB246:BB249">
    <cfRule type="cellIs" dxfId="10665" priority="1719" operator="lessThan">
      <formula>0</formula>
    </cfRule>
    <cfRule type="cellIs" dxfId="10664" priority="1720" operator="lessThan">
      <formula>-105575</formula>
    </cfRule>
  </conditionalFormatting>
  <conditionalFormatting sqref="BB251:BB253">
    <cfRule type="cellIs" dxfId="10663" priority="1717" operator="lessThan">
      <formula>0</formula>
    </cfRule>
    <cfRule type="cellIs" dxfId="10662" priority="1718" operator="lessThan">
      <formula>-105575</formula>
    </cfRule>
  </conditionalFormatting>
  <conditionalFormatting sqref="BB251:BB253">
    <cfRule type="cellIs" dxfId="10661" priority="1715" operator="lessThan">
      <formula>0</formula>
    </cfRule>
    <cfRule type="cellIs" dxfId="10660" priority="1716" operator="lessThan">
      <formula>-105575</formula>
    </cfRule>
  </conditionalFormatting>
  <conditionalFormatting sqref="BB251:BB253">
    <cfRule type="cellIs" dxfId="10659" priority="1713" operator="lessThan">
      <formula>0</formula>
    </cfRule>
    <cfRule type="cellIs" dxfId="10658" priority="1714" operator="lessThan">
      <formula>-105575</formula>
    </cfRule>
  </conditionalFormatting>
  <conditionalFormatting sqref="BB251:BB253">
    <cfRule type="cellIs" dxfId="10657" priority="1711" operator="lessThan">
      <formula>0</formula>
    </cfRule>
    <cfRule type="cellIs" dxfId="10656" priority="1712" operator="lessThan">
      <formula>-105575</formula>
    </cfRule>
  </conditionalFormatting>
  <conditionalFormatting sqref="BB251:BB253">
    <cfRule type="cellIs" dxfId="10655" priority="1709" operator="lessThan">
      <formula>0</formula>
    </cfRule>
    <cfRule type="cellIs" dxfId="10654" priority="1710" operator="lessThan">
      <formula>-105575</formula>
    </cfRule>
  </conditionalFormatting>
  <conditionalFormatting sqref="BB251:BB253">
    <cfRule type="cellIs" dxfId="10653" priority="1707" operator="lessThan">
      <formula>0</formula>
    </cfRule>
    <cfRule type="cellIs" dxfId="10652" priority="1708" operator="lessThan">
      <formula>-105575</formula>
    </cfRule>
  </conditionalFormatting>
  <conditionalFormatting sqref="BB251:BB253">
    <cfRule type="cellIs" dxfId="10651" priority="1705" operator="lessThan">
      <formula>0</formula>
    </cfRule>
    <cfRule type="cellIs" dxfId="10650" priority="1706" operator="lessThan">
      <formula>-105575</formula>
    </cfRule>
  </conditionalFormatting>
  <conditionalFormatting sqref="BB251:BB253">
    <cfRule type="cellIs" dxfId="10649" priority="1703" operator="lessThan">
      <formula>0</formula>
    </cfRule>
    <cfRule type="cellIs" dxfId="10648" priority="1704" operator="lessThan">
      <formula>-105575</formula>
    </cfRule>
  </conditionalFormatting>
  <conditionalFormatting sqref="BB251:BB253">
    <cfRule type="cellIs" dxfId="10647" priority="1701" operator="lessThan">
      <formula>0</formula>
    </cfRule>
    <cfRule type="cellIs" dxfId="10646" priority="1702" operator="lessThan">
      <formula>-105575</formula>
    </cfRule>
  </conditionalFormatting>
  <conditionalFormatting sqref="BB255:BB257">
    <cfRule type="cellIs" dxfId="10645" priority="1699" operator="lessThan">
      <formula>0</formula>
    </cfRule>
    <cfRule type="cellIs" dxfId="10644" priority="1700" operator="lessThan">
      <formula>-105575</formula>
    </cfRule>
  </conditionalFormatting>
  <conditionalFormatting sqref="BB255:BB257">
    <cfRule type="cellIs" dxfId="10643" priority="1697" operator="lessThan">
      <formula>0</formula>
    </cfRule>
    <cfRule type="cellIs" dxfId="10642" priority="1698" operator="lessThan">
      <formula>-105575</formula>
    </cfRule>
  </conditionalFormatting>
  <conditionalFormatting sqref="BB255:BB257">
    <cfRule type="cellIs" dxfId="10641" priority="1695" operator="lessThan">
      <formula>0</formula>
    </cfRule>
    <cfRule type="cellIs" dxfId="10640" priority="1696" operator="lessThan">
      <formula>-105575</formula>
    </cfRule>
  </conditionalFormatting>
  <conditionalFormatting sqref="BB255:BB257">
    <cfRule type="cellIs" dxfId="10639" priority="1693" operator="lessThan">
      <formula>0</formula>
    </cfRule>
    <cfRule type="cellIs" dxfId="10638" priority="1694" operator="lessThan">
      <formula>-105575</formula>
    </cfRule>
  </conditionalFormatting>
  <conditionalFormatting sqref="BB255:BB257">
    <cfRule type="cellIs" dxfId="10637" priority="1691" operator="lessThan">
      <formula>0</formula>
    </cfRule>
    <cfRule type="cellIs" dxfId="10636" priority="1692" operator="lessThan">
      <formula>-105575</formula>
    </cfRule>
  </conditionalFormatting>
  <conditionalFormatting sqref="BB255:BB257">
    <cfRule type="cellIs" dxfId="10635" priority="1689" operator="lessThan">
      <formula>0</formula>
    </cfRule>
    <cfRule type="cellIs" dxfId="10634" priority="1690" operator="lessThan">
      <formula>-105575</formula>
    </cfRule>
  </conditionalFormatting>
  <conditionalFormatting sqref="BB255:BB257">
    <cfRule type="cellIs" dxfId="10633" priority="1687" operator="lessThan">
      <formula>0</formula>
    </cfRule>
    <cfRule type="cellIs" dxfId="10632" priority="1688" operator="lessThan">
      <formula>-105575</formula>
    </cfRule>
  </conditionalFormatting>
  <conditionalFormatting sqref="BB255:BB257">
    <cfRule type="cellIs" dxfId="10631" priority="1685" operator="lessThan">
      <formula>0</formula>
    </cfRule>
    <cfRule type="cellIs" dxfId="10630" priority="1686" operator="lessThan">
      <formula>-105575</formula>
    </cfRule>
  </conditionalFormatting>
  <conditionalFormatting sqref="BB255:BB257">
    <cfRule type="cellIs" dxfId="10629" priority="1683" operator="lessThan">
      <formula>0</formula>
    </cfRule>
    <cfRule type="cellIs" dxfId="10628" priority="1684" operator="lessThan">
      <formula>-105575</formula>
    </cfRule>
  </conditionalFormatting>
  <conditionalFormatting sqref="BB260:BB262">
    <cfRule type="cellIs" dxfId="10627" priority="1681" operator="lessThan">
      <formula>0</formula>
    </cfRule>
    <cfRule type="cellIs" dxfId="10626" priority="1682" operator="lessThan">
      <formula>-105575</formula>
    </cfRule>
  </conditionalFormatting>
  <conditionalFormatting sqref="BB260:BB262">
    <cfRule type="cellIs" dxfId="10625" priority="1679" operator="lessThan">
      <formula>0</formula>
    </cfRule>
    <cfRule type="cellIs" dxfId="10624" priority="1680" operator="lessThan">
      <formula>-105575</formula>
    </cfRule>
  </conditionalFormatting>
  <conditionalFormatting sqref="BB260:BB262">
    <cfRule type="cellIs" dxfId="10623" priority="1677" operator="lessThan">
      <formula>0</formula>
    </cfRule>
    <cfRule type="cellIs" dxfId="10622" priority="1678" operator="lessThan">
      <formula>-105575</formula>
    </cfRule>
  </conditionalFormatting>
  <conditionalFormatting sqref="BB260:BB262">
    <cfRule type="cellIs" dxfId="10621" priority="1675" operator="lessThan">
      <formula>0</formula>
    </cfRule>
    <cfRule type="cellIs" dxfId="10620" priority="1676" operator="lessThan">
      <formula>-105575</formula>
    </cfRule>
  </conditionalFormatting>
  <conditionalFormatting sqref="BB260:BB262">
    <cfRule type="cellIs" dxfId="10619" priority="1673" operator="lessThan">
      <formula>0</formula>
    </cfRule>
    <cfRule type="cellIs" dxfId="10618" priority="1674" operator="lessThan">
      <formula>-105575</formula>
    </cfRule>
  </conditionalFormatting>
  <conditionalFormatting sqref="BB260:BB262">
    <cfRule type="cellIs" dxfId="10617" priority="1671" operator="lessThan">
      <formula>0</formula>
    </cfRule>
    <cfRule type="cellIs" dxfId="10616" priority="1672" operator="lessThan">
      <formula>-105575</formula>
    </cfRule>
  </conditionalFormatting>
  <conditionalFormatting sqref="BB260:BB262">
    <cfRule type="cellIs" dxfId="10615" priority="1669" operator="lessThan">
      <formula>0</formula>
    </cfRule>
    <cfRule type="cellIs" dxfId="10614" priority="1670" operator="lessThan">
      <formula>-105575</formula>
    </cfRule>
  </conditionalFormatting>
  <conditionalFormatting sqref="BB260:BB262">
    <cfRule type="cellIs" dxfId="10613" priority="1667" operator="lessThan">
      <formula>0</formula>
    </cfRule>
    <cfRule type="cellIs" dxfId="10612" priority="1668" operator="lessThan">
      <formula>-105575</formula>
    </cfRule>
  </conditionalFormatting>
  <conditionalFormatting sqref="BB260:BB262">
    <cfRule type="cellIs" dxfId="10611" priority="1665" operator="lessThan">
      <formula>0</formula>
    </cfRule>
    <cfRule type="cellIs" dxfId="10610" priority="1666" operator="lessThan">
      <formula>-105575</formula>
    </cfRule>
  </conditionalFormatting>
  <conditionalFormatting sqref="BB264:BB267">
    <cfRule type="cellIs" dxfId="10609" priority="1663" operator="lessThan">
      <formula>0</formula>
    </cfRule>
    <cfRule type="cellIs" dxfId="10608" priority="1664" operator="lessThan">
      <formula>-105575</formula>
    </cfRule>
  </conditionalFormatting>
  <conditionalFormatting sqref="BB264:BB267">
    <cfRule type="cellIs" dxfId="10607" priority="1661" operator="lessThan">
      <formula>0</formula>
    </cfRule>
    <cfRule type="cellIs" dxfId="10606" priority="1662" operator="lessThan">
      <formula>-105575</formula>
    </cfRule>
  </conditionalFormatting>
  <conditionalFormatting sqref="BB264:BB267">
    <cfRule type="cellIs" dxfId="10605" priority="1659" operator="lessThan">
      <formula>0</formula>
    </cfRule>
    <cfRule type="cellIs" dxfId="10604" priority="1660" operator="lessThan">
      <formula>-105575</formula>
    </cfRule>
  </conditionalFormatting>
  <conditionalFormatting sqref="BB264:BB267">
    <cfRule type="cellIs" dxfId="10603" priority="1657" operator="lessThan">
      <formula>0</formula>
    </cfRule>
    <cfRule type="cellIs" dxfId="10602" priority="1658" operator="lessThan">
      <formula>-105575</formula>
    </cfRule>
  </conditionalFormatting>
  <conditionalFormatting sqref="BB264:BB267">
    <cfRule type="cellIs" dxfId="10601" priority="1655" operator="lessThan">
      <formula>0</formula>
    </cfRule>
    <cfRule type="cellIs" dxfId="10600" priority="1656" operator="lessThan">
      <formula>-105575</formula>
    </cfRule>
  </conditionalFormatting>
  <conditionalFormatting sqref="BB264:BB267">
    <cfRule type="cellIs" dxfId="10599" priority="1653" operator="lessThan">
      <formula>0</formula>
    </cfRule>
    <cfRule type="cellIs" dxfId="10598" priority="1654" operator="lessThan">
      <formula>-105575</formula>
    </cfRule>
  </conditionalFormatting>
  <conditionalFormatting sqref="BB264:BB267">
    <cfRule type="cellIs" dxfId="10597" priority="1651" operator="lessThan">
      <formula>0</formula>
    </cfRule>
    <cfRule type="cellIs" dxfId="10596" priority="1652" operator="lessThan">
      <formula>-105575</formula>
    </cfRule>
  </conditionalFormatting>
  <conditionalFormatting sqref="BB264:BB267">
    <cfRule type="cellIs" dxfId="10595" priority="1649" operator="lessThan">
      <formula>0</formula>
    </cfRule>
    <cfRule type="cellIs" dxfId="10594" priority="1650" operator="lessThan">
      <formula>-105575</formula>
    </cfRule>
  </conditionalFormatting>
  <conditionalFormatting sqref="BB264:BB267">
    <cfRule type="cellIs" dxfId="10593" priority="1647" operator="lessThan">
      <formula>0</formula>
    </cfRule>
    <cfRule type="cellIs" dxfId="10592" priority="1648" operator="lessThan">
      <formula>-105575</formula>
    </cfRule>
  </conditionalFormatting>
  <conditionalFormatting sqref="BB270:BB272">
    <cfRule type="cellIs" dxfId="10591" priority="1645" operator="lessThan">
      <formula>0</formula>
    </cfRule>
    <cfRule type="cellIs" dxfId="10590" priority="1646" operator="lessThan">
      <formula>-105575</formula>
    </cfRule>
  </conditionalFormatting>
  <conditionalFormatting sqref="BB270:BB272">
    <cfRule type="cellIs" dxfId="10589" priority="1643" operator="lessThan">
      <formula>0</formula>
    </cfRule>
    <cfRule type="cellIs" dxfId="10588" priority="1644" operator="lessThan">
      <formula>-105575</formula>
    </cfRule>
  </conditionalFormatting>
  <conditionalFormatting sqref="BB270:BB272">
    <cfRule type="cellIs" dxfId="10587" priority="1641" operator="lessThan">
      <formula>0</formula>
    </cfRule>
    <cfRule type="cellIs" dxfId="10586" priority="1642" operator="lessThan">
      <formula>-105575</formula>
    </cfRule>
  </conditionalFormatting>
  <conditionalFormatting sqref="BB270:BB272">
    <cfRule type="cellIs" dxfId="10585" priority="1639" operator="lessThan">
      <formula>0</formula>
    </cfRule>
    <cfRule type="cellIs" dxfId="10584" priority="1640" operator="lessThan">
      <formula>-105575</formula>
    </cfRule>
  </conditionalFormatting>
  <conditionalFormatting sqref="BB270:BB272">
    <cfRule type="cellIs" dxfId="10583" priority="1637" operator="lessThan">
      <formula>0</formula>
    </cfRule>
    <cfRule type="cellIs" dxfId="10582" priority="1638" operator="lessThan">
      <formula>-105575</formula>
    </cfRule>
  </conditionalFormatting>
  <conditionalFormatting sqref="BB270:BB272">
    <cfRule type="cellIs" dxfId="10581" priority="1635" operator="lessThan">
      <formula>0</formula>
    </cfRule>
    <cfRule type="cellIs" dxfId="10580" priority="1636" operator="lessThan">
      <formula>-105575</formula>
    </cfRule>
  </conditionalFormatting>
  <conditionalFormatting sqref="BB270:BB272">
    <cfRule type="cellIs" dxfId="10579" priority="1633" operator="lessThan">
      <formula>0</formula>
    </cfRule>
    <cfRule type="cellIs" dxfId="10578" priority="1634" operator="lessThan">
      <formula>-105575</formula>
    </cfRule>
  </conditionalFormatting>
  <conditionalFormatting sqref="BB270:BB272">
    <cfRule type="cellIs" dxfId="10577" priority="1631" operator="lessThan">
      <formula>0</formula>
    </cfRule>
    <cfRule type="cellIs" dxfId="10576" priority="1632" operator="lessThan">
      <formula>-105575</formula>
    </cfRule>
  </conditionalFormatting>
  <conditionalFormatting sqref="BB270:BB272">
    <cfRule type="cellIs" dxfId="10575" priority="1629" operator="lessThan">
      <formula>0</formula>
    </cfRule>
    <cfRule type="cellIs" dxfId="10574" priority="1630" operator="lessThan">
      <formula>-105575</formula>
    </cfRule>
  </conditionalFormatting>
  <conditionalFormatting sqref="BB274:BB275">
    <cfRule type="cellIs" dxfId="10573" priority="1627" operator="lessThan">
      <formula>0</formula>
    </cfRule>
    <cfRule type="cellIs" dxfId="10572" priority="1628" operator="lessThan">
      <formula>-105575</formula>
    </cfRule>
  </conditionalFormatting>
  <conditionalFormatting sqref="BB274:BB275">
    <cfRule type="cellIs" dxfId="10571" priority="1625" operator="lessThan">
      <formula>0</formula>
    </cfRule>
    <cfRule type="cellIs" dxfId="10570" priority="1626" operator="lessThan">
      <formula>-105575</formula>
    </cfRule>
  </conditionalFormatting>
  <conditionalFormatting sqref="BB274:BB275">
    <cfRule type="cellIs" dxfId="10569" priority="1623" operator="lessThan">
      <formula>0</formula>
    </cfRule>
    <cfRule type="cellIs" dxfId="10568" priority="1624" operator="lessThan">
      <formula>-105575</formula>
    </cfRule>
  </conditionalFormatting>
  <conditionalFormatting sqref="BB274:BB275">
    <cfRule type="cellIs" dxfId="10567" priority="1621" operator="lessThan">
      <formula>0</formula>
    </cfRule>
    <cfRule type="cellIs" dxfId="10566" priority="1622" operator="lessThan">
      <formula>-105575</formula>
    </cfRule>
  </conditionalFormatting>
  <conditionalFormatting sqref="BB274:BB275">
    <cfRule type="cellIs" dxfId="10565" priority="1619" operator="lessThan">
      <formula>0</formula>
    </cfRule>
    <cfRule type="cellIs" dxfId="10564" priority="1620" operator="lessThan">
      <formula>-105575</formula>
    </cfRule>
  </conditionalFormatting>
  <conditionalFormatting sqref="BB274:BB275">
    <cfRule type="cellIs" dxfId="10563" priority="1617" operator="lessThan">
      <formula>0</formula>
    </cfRule>
    <cfRule type="cellIs" dxfId="10562" priority="1618" operator="lessThan">
      <formula>-105575</formula>
    </cfRule>
  </conditionalFormatting>
  <conditionalFormatting sqref="BB274:BB275">
    <cfRule type="cellIs" dxfId="10561" priority="1615" operator="lessThan">
      <formula>0</formula>
    </cfRule>
    <cfRule type="cellIs" dxfId="10560" priority="1616" operator="lessThan">
      <formula>-105575</formula>
    </cfRule>
  </conditionalFormatting>
  <conditionalFormatting sqref="BB274:BB275">
    <cfRule type="cellIs" dxfId="10559" priority="1613" operator="lessThan">
      <formula>0</formula>
    </cfRule>
    <cfRule type="cellIs" dxfId="10558" priority="1614" operator="lessThan">
      <formula>-105575</formula>
    </cfRule>
  </conditionalFormatting>
  <conditionalFormatting sqref="BB274:BB275">
    <cfRule type="cellIs" dxfId="10557" priority="1611" operator="lessThan">
      <formula>0</formula>
    </cfRule>
    <cfRule type="cellIs" dxfId="10556" priority="1612" operator="lessThan">
      <formula>-105575</formula>
    </cfRule>
  </conditionalFormatting>
  <conditionalFormatting sqref="BB278:BB282">
    <cfRule type="cellIs" dxfId="10555" priority="1609" operator="lessThan">
      <formula>0</formula>
    </cfRule>
    <cfRule type="cellIs" dxfId="10554" priority="1610" operator="lessThan">
      <formula>-105575</formula>
    </cfRule>
  </conditionalFormatting>
  <conditionalFormatting sqref="BB278:BB282">
    <cfRule type="cellIs" dxfId="10553" priority="1607" operator="lessThan">
      <formula>0</formula>
    </cfRule>
    <cfRule type="cellIs" dxfId="10552" priority="1608" operator="lessThan">
      <formula>-105575</formula>
    </cfRule>
  </conditionalFormatting>
  <conditionalFormatting sqref="BB278:BB282">
    <cfRule type="cellIs" dxfId="10551" priority="1605" operator="lessThan">
      <formula>0</formula>
    </cfRule>
    <cfRule type="cellIs" dxfId="10550" priority="1606" operator="lessThan">
      <formula>-105575</formula>
    </cfRule>
  </conditionalFormatting>
  <conditionalFormatting sqref="BB278:BB282">
    <cfRule type="cellIs" dxfId="10549" priority="1603" operator="lessThan">
      <formula>0</formula>
    </cfRule>
    <cfRule type="cellIs" dxfId="10548" priority="1604" operator="lessThan">
      <formula>-105575</formula>
    </cfRule>
  </conditionalFormatting>
  <conditionalFormatting sqref="BB278:BB282">
    <cfRule type="cellIs" dxfId="10547" priority="1601" operator="lessThan">
      <formula>0</formula>
    </cfRule>
    <cfRule type="cellIs" dxfId="10546" priority="1602" operator="lessThan">
      <formula>-105575</formula>
    </cfRule>
  </conditionalFormatting>
  <conditionalFormatting sqref="BB278:BB282">
    <cfRule type="cellIs" dxfId="10545" priority="1599" operator="lessThan">
      <formula>0</formula>
    </cfRule>
    <cfRule type="cellIs" dxfId="10544" priority="1600" operator="lessThan">
      <formula>-105575</formula>
    </cfRule>
  </conditionalFormatting>
  <conditionalFormatting sqref="BB278:BB282">
    <cfRule type="cellIs" dxfId="10543" priority="1597" operator="lessThan">
      <formula>0</formula>
    </cfRule>
    <cfRule type="cellIs" dxfId="10542" priority="1598" operator="lessThan">
      <formula>-105575</formula>
    </cfRule>
  </conditionalFormatting>
  <conditionalFormatting sqref="BB278:BB282">
    <cfRule type="cellIs" dxfId="10541" priority="1595" operator="lessThan">
      <formula>0</formula>
    </cfRule>
    <cfRule type="cellIs" dxfId="10540" priority="1596" operator="lessThan">
      <formula>-105575</formula>
    </cfRule>
  </conditionalFormatting>
  <conditionalFormatting sqref="BB278:BB282">
    <cfRule type="cellIs" dxfId="10539" priority="1593" operator="lessThan">
      <formula>0</formula>
    </cfRule>
    <cfRule type="cellIs" dxfId="10538" priority="1594" operator="lessThan">
      <formula>-105575</formula>
    </cfRule>
  </conditionalFormatting>
  <conditionalFormatting sqref="BB285:BB288">
    <cfRule type="cellIs" dxfId="10537" priority="1591" operator="lessThan">
      <formula>0</formula>
    </cfRule>
    <cfRule type="cellIs" dxfId="10536" priority="1592" operator="lessThan">
      <formula>-105575</formula>
    </cfRule>
  </conditionalFormatting>
  <conditionalFormatting sqref="BB285:BB288">
    <cfRule type="cellIs" dxfId="10535" priority="1589" operator="lessThan">
      <formula>0</formula>
    </cfRule>
    <cfRule type="cellIs" dxfId="10534" priority="1590" operator="lessThan">
      <formula>-105575</formula>
    </cfRule>
  </conditionalFormatting>
  <conditionalFormatting sqref="BB285:BB288">
    <cfRule type="cellIs" dxfId="10533" priority="1587" operator="lessThan">
      <formula>0</formula>
    </cfRule>
    <cfRule type="cellIs" dxfId="10532" priority="1588" operator="lessThan">
      <formula>-105575</formula>
    </cfRule>
  </conditionalFormatting>
  <conditionalFormatting sqref="BB285:BB288">
    <cfRule type="cellIs" dxfId="10531" priority="1585" operator="lessThan">
      <formula>0</formula>
    </cfRule>
    <cfRule type="cellIs" dxfId="10530" priority="1586" operator="lessThan">
      <formula>-105575</formula>
    </cfRule>
  </conditionalFormatting>
  <conditionalFormatting sqref="BB285:BB288">
    <cfRule type="cellIs" dxfId="10529" priority="1583" operator="lessThan">
      <formula>0</formula>
    </cfRule>
    <cfRule type="cellIs" dxfId="10528" priority="1584" operator="lessThan">
      <formula>-105575</formula>
    </cfRule>
  </conditionalFormatting>
  <conditionalFormatting sqref="BB285:BB288">
    <cfRule type="cellIs" dxfId="10527" priority="1581" operator="lessThan">
      <formula>0</formula>
    </cfRule>
    <cfRule type="cellIs" dxfId="10526" priority="1582" operator="lessThan">
      <formula>-105575</formula>
    </cfRule>
  </conditionalFormatting>
  <conditionalFormatting sqref="BB285:BB288">
    <cfRule type="cellIs" dxfId="10525" priority="1579" operator="lessThan">
      <formula>0</formula>
    </cfRule>
    <cfRule type="cellIs" dxfId="10524" priority="1580" operator="lessThan">
      <formula>-105575</formula>
    </cfRule>
  </conditionalFormatting>
  <conditionalFormatting sqref="BB285:BB288">
    <cfRule type="cellIs" dxfId="10523" priority="1577" operator="lessThan">
      <formula>0</formula>
    </cfRule>
    <cfRule type="cellIs" dxfId="10522" priority="1578" operator="lessThan">
      <formula>-105575</formula>
    </cfRule>
  </conditionalFormatting>
  <conditionalFormatting sqref="BB285:BB288">
    <cfRule type="cellIs" dxfId="10521" priority="1575" operator="lessThan">
      <formula>0</formula>
    </cfRule>
    <cfRule type="cellIs" dxfId="10520" priority="1576" operator="lessThan">
      <formula>-105575</formula>
    </cfRule>
  </conditionalFormatting>
  <conditionalFormatting sqref="BB203 BB220:BB221 BB235:BB243 BB231:BB233 BB212:BB213 BB225:BB226">
    <cfRule type="cellIs" dxfId="10519" priority="1573" operator="lessThan">
      <formula>0</formula>
    </cfRule>
    <cfRule type="cellIs" dxfId="10518" priority="1574" operator="lessThan">
      <formula>-105575</formula>
    </cfRule>
  </conditionalFormatting>
  <conditionalFormatting sqref="BB220 BB212:BB213 BB235:BB238 BB240:BB243 BB225:BB226 BB231:BB233">
    <cfRule type="cellIs" dxfId="10517" priority="1571" operator="lessThan">
      <formula>0</formula>
    </cfRule>
    <cfRule type="cellIs" dxfId="10516" priority="1572" operator="lessThan">
      <formula>-105575</formula>
    </cfRule>
  </conditionalFormatting>
  <conditionalFormatting sqref="BB220:BB221 BB243 BB226 BB231:BB236 BB238:BB241 BB203 BB213">
    <cfRule type="cellIs" dxfId="10515" priority="1569" operator="lessThan">
      <formula>0</formula>
    </cfRule>
    <cfRule type="cellIs" dxfId="10514" priority="1570" operator="lessThan">
      <formula>-105575</formula>
    </cfRule>
  </conditionalFormatting>
  <conditionalFormatting sqref="BB235:BB243 BB231:BB233 BB220 BB212:BB213 BB225:BB226">
    <cfRule type="cellIs" dxfId="10513" priority="1567" operator="lessThan">
      <formula>0</formula>
    </cfRule>
    <cfRule type="cellIs" dxfId="10512" priority="1568" operator="lessThan">
      <formula>-105575</formula>
    </cfRule>
  </conditionalFormatting>
  <conditionalFormatting sqref="BB220:BB221 BB237:BB243 BB203 BB231:BB235 BB212:BB213 BB225:BB226">
    <cfRule type="cellIs" dxfId="10511" priority="1565" operator="lessThan">
      <formula>0</formula>
    </cfRule>
    <cfRule type="cellIs" dxfId="10510" priority="1566" operator="lessThan">
      <formula>-105575</formula>
    </cfRule>
  </conditionalFormatting>
  <conditionalFormatting sqref="BB220:BB221 BB237:BB240 BB242:BB243 BB225:BB226 BB231:BB235">
    <cfRule type="cellIs" dxfId="10509" priority="1563" operator="lessThan">
      <formula>0</formula>
    </cfRule>
    <cfRule type="cellIs" dxfId="10508" priority="1564" operator="lessThan">
      <formula>-105575</formula>
    </cfRule>
  </conditionalFormatting>
  <conditionalFormatting sqref="BB212 BB231 BB233:BB238 BB240:BB243 BB225">
    <cfRule type="cellIs" dxfId="10507" priority="1561" operator="lessThan">
      <formula>0</formula>
    </cfRule>
    <cfRule type="cellIs" dxfId="10506" priority="1562" operator="lessThan">
      <formula>-105575</formula>
    </cfRule>
  </conditionalFormatting>
  <conditionalFormatting sqref="BB237:BB243 BB231:BB235 BB220:BB221 BB225:BB226">
    <cfRule type="cellIs" dxfId="10505" priority="1559" operator="lessThan">
      <formula>0</formula>
    </cfRule>
    <cfRule type="cellIs" dxfId="10504" priority="1560" operator="lessThan">
      <formula>-105575</formula>
    </cfRule>
  </conditionalFormatting>
  <conditionalFormatting sqref="BB233:BB237 BB231 BB239:BB243">
    <cfRule type="cellIs" dxfId="10503" priority="1557" operator="lessThan">
      <formula>0</formula>
    </cfRule>
    <cfRule type="cellIs" dxfId="10502" priority="1558" operator="lessThan">
      <formula>-105575</formula>
    </cfRule>
  </conditionalFormatting>
  <conditionalFormatting sqref="BB233:BB237 BB231 BB239:BB243">
    <cfRule type="cellIs" dxfId="10501" priority="1555" operator="lessThan">
      <formula>0</formula>
    </cfRule>
    <cfRule type="cellIs" dxfId="10500" priority="1556" operator="lessThan">
      <formula>-105575</formula>
    </cfRule>
  </conditionalFormatting>
  <conditionalFormatting sqref="BB119:BB128 BB106:BB117 BB101:BB104 BB80:BB98">
    <cfRule type="cellIs" dxfId="10499" priority="1553" operator="lessThan">
      <formula>0</formula>
    </cfRule>
    <cfRule type="cellIs" dxfId="10498" priority="1554" operator="lessThan">
      <formula>-105575</formula>
    </cfRule>
  </conditionalFormatting>
  <conditionalFormatting sqref="BB130 BB132 BB134">
    <cfRule type="cellIs" dxfId="10497" priority="1551" operator="lessThan">
      <formula>0</formula>
    </cfRule>
    <cfRule type="cellIs" dxfId="10496" priority="1552" operator="lessThan">
      <formula>-105575</formula>
    </cfRule>
  </conditionalFormatting>
  <conditionalFormatting sqref="BB130 BB132 BB134">
    <cfRule type="cellIs" dxfId="10495" priority="1549" operator="lessThan">
      <formula>0</formula>
    </cfRule>
    <cfRule type="cellIs" dxfId="10494" priority="1550" operator="lessThan">
      <formula>-105575</formula>
    </cfRule>
  </conditionalFormatting>
  <conditionalFormatting sqref="BB129 BB131 BB133 BB135">
    <cfRule type="cellIs" dxfId="10493" priority="1547" operator="lessThan">
      <formula>0</formula>
    </cfRule>
    <cfRule type="cellIs" dxfId="10492" priority="1548" operator="lessThan">
      <formula>-105575</formula>
    </cfRule>
  </conditionalFormatting>
  <conditionalFormatting sqref="BB140 BB145 BB142:BB143 BB137:BB138">
    <cfRule type="cellIs" dxfId="10491" priority="1545" operator="lessThan">
      <formula>0</formula>
    </cfRule>
    <cfRule type="cellIs" dxfId="10490" priority="1546" operator="lessThan">
      <formula>-105575</formula>
    </cfRule>
  </conditionalFormatting>
  <conditionalFormatting sqref="BB149">
    <cfRule type="cellIs" dxfId="10489" priority="1543" operator="lessThan">
      <formula>0</formula>
    </cfRule>
    <cfRule type="cellIs" dxfId="10488" priority="1544" operator="lessThan">
      <formula>-105575</formula>
    </cfRule>
  </conditionalFormatting>
  <conditionalFormatting sqref="BB129:BB138 BB140:BB149">
    <cfRule type="cellIs" dxfId="10487" priority="1541" operator="lessThan">
      <formula>0</formula>
    </cfRule>
    <cfRule type="cellIs" dxfId="10486" priority="1542" operator="lessThan">
      <formula>-105575</formula>
    </cfRule>
  </conditionalFormatting>
  <conditionalFormatting sqref="BB94:BB98 BB86:BB87 BB89:BB91 BB141:BB149 BB124:BB133 BB107:BB110 BB112:BB117 BB119:BB122 BB135:BB138 BB101:BB104 BB80:BB84">
    <cfRule type="cellIs" dxfId="10485" priority="1539" operator="lessThan">
      <formula>0</formula>
    </cfRule>
    <cfRule type="cellIs" dxfId="10484" priority="1540" operator="lessThan">
      <formula>-105575</formula>
    </cfRule>
  </conditionalFormatting>
  <conditionalFormatting sqref="BB129 BB131 BB133 BB135">
    <cfRule type="cellIs" dxfId="10483" priority="1537" operator="lessThan">
      <formula>0</formula>
    </cfRule>
    <cfRule type="cellIs" dxfId="10482" priority="1538" operator="lessThan">
      <formula>-105575</formula>
    </cfRule>
  </conditionalFormatting>
  <conditionalFormatting sqref="BB146 BB144 BB141">
    <cfRule type="cellIs" dxfId="10481" priority="1535" operator="lessThan">
      <formula>0</formula>
    </cfRule>
    <cfRule type="cellIs" dxfId="10480" priority="1536" operator="lessThan">
      <formula>-105575</formula>
    </cfRule>
  </conditionalFormatting>
  <conditionalFormatting sqref="BB146 BB144 BB141">
    <cfRule type="cellIs" dxfId="10479" priority="1533" operator="lessThan">
      <formula>0</formula>
    </cfRule>
    <cfRule type="cellIs" dxfId="10478" priority="1534" operator="lessThan">
      <formula>-105575</formula>
    </cfRule>
  </conditionalFormatting>
  <conditionalFormatting sqref="BB140 BB145 BB142:BB143 BB137:BB138">
    <cfRule type="cellIs" dxfId="10477" priority="1531" operator="lessThan">
      <formula>0</formula>
    </cfRule>
    <cfRule type="cellIs" dxfId="10476" priority="1532" operator="lessThan">
      <formula>-105575</formula>
    </cfRule>
  </conditionalFormatting>
  <conditionalFormatting sqref="BB149">
    <cfRule type="cellIs" dxfId="10475" priority="1529" operator="lessThan">
      <formula>0</formula>
    </cfRule>
    <cfRule type="cellIs" dxfId="10474" priority="1530" operator="lessThan">
      <formula>-105575</formula>
    </cfRule>
  </conditionalFormatting>
  <conditionalFormatting sqref="BB94:BB98 BB86:BB87 BB89:BB91 BB141:BB149 BB124:BB133 BB107:BB110 BB112:BB117 BB119:BB122 BB135:BB138 BB101:BB104 BB80:BB84">
    <cfRule type="cellIs" dxfId="10473" priority="1527" operator="lessThan">
      <formula>0</formula>
    </cfRule>
    <cfRule type="cellIs" dxfId="10472" priority="1528" operator="lessThan">
      <formula>-105575</formula>
    </cfRule>
  </conditionalFormatting>
  <conditionalFormatting sqref="BB246:BB249 BB262 BB267 BB279:BB282 BB285:BB288 BB274:BB275 BB306:BB309 BB311:BB325 BB327:BB330 BB332:BB341 BB344:BB347 BB349:BB353 BB355:BB358 BB360:BB384 BB386:BB389 BB392:BB395 BB397:BB411 BB413:BB416 BB418:BB432 BB434:BB437 BB439:BB453 BB455:BB458 BB460:BB469 BB7:BB10 BB12:BB14 BB17:BB18 BB21:BB24 BB26:BB28 BB30:BB36 BB38 BB41:BB43 BB46:BB49 BB51:BB55 BB57:BB59 BB62:BB76 BB251:BB253 BB255:BB257 BB293:BB304 BB264:BB265 BB260 BB290:BB291 BB270:BB272">
    <cfRule type="cellIs" dxfId="10471" priority="1525" operator="lessThan">
      <formula>0</formula>
    </cfRule>
    <cfRule type="cellIs" dxfId="10470" priority="1526" operator="lessThan">
      <formula>-105575</formula>
    </cfRule>
  </conditionalFormatting>
  <conditionalFormatting sqref="BB41">
    <cfRule type="cellIs" dxfId="10469" priority="1523" operator="lessThan">
      <formula>0</formula>
    </cfRule>
    <cfRule type="cellIs" dxfId="10468" priority="1524" operator="lessThan">
      <formula>-105575</formula>
    </cfRule>
  </conditionalFormatting>
  <conditionalFormatting sqref="BB152:BB155">
    <cfRule type="cellIs" dxfId="10467" priority="1521" operator="lessThan">
      <formula>0</formula>
    </cfRule>
    <cfRule type="cellIs" dxfId="10466" priority="1522" operator="lessThan">
      <formula>-105575</formula>
    </cfRule>
  </conditionalFormatting>
  <conditionalFormatting sqref="BB152:BB155">
    <cfRule type="cellIs" dxfId="10465" priority="1519" operator="lessThan">
      <formula>0</formula>
    </cfRule>
    <cfRule type="cellIs" dxfId="10464" priority="1520" operator="lessThan">
      <formula>-105575</formula>
    </cfRule>
  </conditionalFormatting>
  <conditionalFormatting sqref="BB152:BB155">
    <cfRule type="cellIs" dxfId="10463" priority="1517" operator="lessThan">
      <formula>0</formula>
    </cfRule>
    <cfRule type="cellIs" dxfId="10462" priority="1518" operator="lessThan">
      <formula>-105575</formula>
    </cfRule>
  </conditionalFormatting>
  <conditionalFormatting sqref="BB157:BB158">
    <cfRule type="cellIs" dxfId="10461" priority="1515" operator="lessThan">
      <formula>0</formula>
    </cfRule>
    <cfRule type="cellIs" dxfId="10460" priority="1516" operator="lessThan">
      <formula>-105575</formula>
    </cfRule>
  </conditionalFormatting>
  <conditionalFormatting sqref="BB157:BB158">
    <cfRule type="cellIs" dxfId="10459" priority="1513" operator="lessThan">
      <formula>0</formula>
    </cfRule>
    <cfRule type="cellIs" dxfId="10458" priority="1514" operator="lessThan">
      <formula>-105575</formula>
    </cfRule>
  </conditionalFormatting>
  <conditionalFormatting sqref="BB157:BB158">
    <cfRule type="cellIs" dxfId="10457" priority="1511" operator="lessThan">
      <formula>0</formula>
    </cfRule>
    <cfRule type="cellIs" dxfId="10456" priority="1512" operator="lessThan">
      <formula>-105575</formula>
    </cfRule>
  </conditionalFormatting>
  <conditionalFormatting sqref="BB160:BB161">
    <cfRule type="cellIs" dxfId="10455" priority="1509" operator="lessThan">
      <formula>0</formula>
    </cfRule>
    <cfRule type="cellIs" dxfId="10454" priority="1510" operator="lessThan">
      <formula>-105575</formula>
    </cfRule>
  </conditionalFormatting>
  <conditionalFormatting sqref="BB160:BB161">
    <cfRule type="cellIs" dxfId="10453" priority="1507" operator="lessThan">
      <formula>0</formula>
    </cfRule>
    <cfRule type="cellIs" dxfId="10452" priority="1508" operator="lessThan">
      <formula>-105575</formula>
    </cfRule>
  </conditionalFormatting>
  <conditionalFormatting sqref="BB160:BB161">
    <cfRule type="cellIs" dxfId="10451" priority="1505" operator="lessThan">
      <formula>0</formula>
    </cfRule>
    <cfRule type="cellIs" dxfId="10450" priority="1506" operator="lessThan">
      <formula>-105575</formula>
    </cfRule>
  </conditionalFormatting>
  <conditionalFormatting sqref="BB164:BB167">
    <cfRule type="cellIs" dxfId="10449" priority="1503" operator="lessThan">
      <formula>0</formula>
    </cfRule>
    <cfRule type="cellIs" dxfId="10448" priority="1504" operator="lessThan">
      <formula>-105575</formula>
    </cfRule>
  </conditionalFormatting>
  <conditionalFormatting sqref="BB164:BB167">
    <cfRule type="cellIs" dxfId="10447" priority="1501" operator="lessThan">
      <formula>0</formula>
    </cfRule>
    <cfRule type="cellIs" dxfId="10446" priority="1502" operator="lessThan">
      <formula>-105575</formula>
    </cfRule>
  </conditionalFormatting>
  <conditionalFormatting sqref="BB164:BB167">
    <cfRule type="cellIs" dxfId="10445" priority="1499" operator="lessThan">
      <formula>0</formula>
    </cfRule>
    <cfRule type="cellIs" dxfId="10444" priority="1500" operator="lessThan">
      <formula>-105575</formula>
    </cfRule>
  </conditionalFormatting>
  <conditionalFormatting sqref="BB169:BB177">
    <cfRule type="cellIs" dxfId="10443" priority="1497" operator="lessThan">
      <formula>0</formula>
    </cfRule>
    <cfRule type="cellIs" dxfId="10442" priority="1498" operator="lessThan">
      <formula>-105575</formula>
    </cfRule>
  </conditionalFormatting>
  <conditionalFormatting sqref="BB169:BB177">
    <cfRule type="cellIs" dxfId="10441" priority="1495" operator="lessThan">
      <formula>0</formula>
    </cfRule>
    <cfRule type="cellIs" dxfId="10440" priority="1496" operator="lessThan">
      <formula>-105575</formula>
    </cfRule>
  </conditionalFormatting>
  <conditionalFormatting sqref="BB169:BB177">
    <cfRule type="cellIs" dxfId="10439" priority="1493" operator="lessThan">
      <formula>0</formula>
    </cfRule>
    <cfRule type="cellIs" dxfId="10438" priority="1494" operator="lessThan">
      <formula>-105575</formula>
    </cfRule>
  </conditionalFormatting>
  <conditionalFormatting sqref="BB179:BB180">
    <cfRule type="cellIs" dxfId="10437" priority="1491" operator="lessThan">
      <formula>0</formula>
    </cfRule>
    <cfRule type="cellIs" dxfId="10436" priority="1492" operator="lessThan">
      <formula>-105575</formula>
    </cfRule>
  </conditionalFormatting>
  <conditionalFormatting sqref="BB179:BB180">
    <cfRule type="cellIs" dxfId="10435" priority="1489" operator="lessThan">
      <formula>0</formula>
    </cfRule>
    <cfRule type="cellIs" dxfId="10434" priority="1490" operator="lessThan">
      <formula>-105575</formula>
    </cfRule>
  </conditionalFormatting>
  <conditionalFormatting sqref="BB179:BB180">
    <cfRule type="cellIs" dxfId="10433" priority="1487" operator="lessThan">
      <formula>0</formula>
    </cfRule>
    <cfRule type="cellIs" dxfId="10432" priority="1488" operator="lessThan">
      <formula>-105575</formula>
    </cfRule>
  </conditionalFormatting>
  <conditionalFormatting sqref="BB183:BB189">
    <cfRule type="cellIs" dxfId="10431" priority="1485" operator="lessThan">
      <formula>0</formula>
    </cfRule>
    <cfRule type="cellIs" dxfId="10430" priority="1486" operator="lessThan">
      <formula>-105575</formula>
    </cfRule>
  </conditionalFormatting>
  <conditionalFormatting sqref="BB183:BB189">
    <cfRule type="cellIs" dxfId="10429" priority="1483" operator="lessThan">
      <formula>0</formula>
    </cfRule>
    <cfRule type="cellIs" dxfId="10428" priority="1484" operator="lessThan">
      <formula>-105575</formula>
    </cfRule>
  </conditionalFormatting>
  <conditionalFormatting sqref="BB183:BB189">
    <cfRule type="cellIs" dxfId="10427" priority="1481" operator="lessThan">
      <formula>0</formula>
    </cfRule>
    <cfRule type="cellIs" dxfId="10426" priority="1482" operator="lessThan">
      <formula>-105575</formula>
    </cfRule>
  </conditionalFormatting>
  <conditionalFormatting sqref="BB191:BB192">
    <cfRule type="cellIs" dxfId="10425" priority="1479" operator="lessThan">
      <formula>0</formula>
    </cfRule>
    <cfRule type="cellIs" dxfId="10424" priority="1480" operator="lessThan">
      <formula>-105575</formula>
    </cfRule>
  </conditionalFormatting>
  <conditionalFormatting sqref="BB191:BB192">
    <cfRule type="cellIs" dxfId="10423" priority="1477" operator="lessThan">
      <formula>0</formula>
    </cfRule>
    <cfRule type="cellIs" dxfId="10422" priority="1478" operator="lessThan">
      <formula>-105575</formula>
    </cfRule>
  </conditionalFormatting>
  <conditionalFormatting sqref="BB191:BB192">
    <cfRule type="cellIs" dxfId="10421" priority="1475" operator="lessThan">
      <formula>0</formula>
    </cfRule>
    <cfRule type="cellIs" dxfId="10420" priority="1476" operator="lessThan">
      <formula>-105575</formula>
    </cfRule>
  </conditionalFormatting>
  <conditionalFormatting sqref="BB194:BB195">
    <cfRule type="cellIs" dxfId="10419" priority="1473" operator="lessThan">
      <formula>0</formula>
    </cfRule>
    <cfRule type="cellIs" dxfId="10418" priority="1474" operator="lessThan">
      <formula>-105575</formula>
    </cfRule>
  </conditionalFormatting>
  <conditionalFormatting sqref="BB194:BB195">
    <cfRule type="cellIs" dxfId="10417" priority="1471" operator="lessThan">
      <formula>0</formula>
    </cfRule>
    <cfRule type="cellIs" dxfId="10416" priority="1472" operator="lessThan">
      <formula>-105575</formula>
    </cfRule>
  </conditionalFormatting>
  <conditionalFormatting sqref="BB194:BB195">
    <cfRule type="cellIs" dxfId="10415" priority="1469" operator="lessThan">
      <formula>0</formula>
    </cfRule>
    <cfRule type="cellIs" dxfId="10414" priority="1470" operator="lessThan">
      <formula>-105575</formula>
    </cfRule>
  </conditionalFormatting>
  <conditionalFormatting sqref="BB199:BB202">
    <cfRule type="cellIs" dxfId="10413" priority="1467" operator="lessThan">
      <formula>0</formula>
    </cfRule>
    <cfRule type="cellIs" dxfId="10412" priority="1468" operator="lessThan">
      <formula>-105575</formula>
    </cfRule>
  </conditionalFormatting>
  <conditionalFormatting sqref="BB199:BB202">
    <cfRule type="cellIs" dxfId="10411" priority="1465" operator="lessThan">
      <formula>0</formula>
    </cfRule>
    <cfRule type="cellIs" dxfId="10410" priority="1466" operator="lessThan">
      <formula>-105575</formula>
    </cfRule>
  </conditionalFormatting>
  <conditionalFormatting sqref="BB199:BB202">
    <cfRule type="cellIs" dxfId="10409" priority="1463" operator="lessThan">
      <formula>0</formula>
    </cfRule>
    <cfRule type="cellIs" dxfId="10408" priority="1464" operator="lessThan">
      <formula>-105575</formula>
    </cfRule>
  </conditionalFormatting>
  <conditionalFormatting sqref="BB204:BB208">
    <cfRule type="cellIs" dxfId="10407" priority="1461" operator="lessThan">
      <formula>0</formula>
    </cfRule>
    <cfRule type="cellIs" dxfId="10406" priority="1462" operator="lessThan">
      <formula>-105575</formula>
    </cfRule>
  </conditionalFormatting>
  <conditionalFormatting sqref="BB204:BB208">
    <cfRule type="cellIs" dxfId="10405" priority="1459" operator="lessThan">
      <formula>0</formula>
    </cfRule>
    <cfRule type="cellIs" dxfId="10404" priority="1460" operator="lessThan">
      <formula>-105575</formula>
    </cfRule>
  </conditionalFormatting>
  <conditionalFormatting sqref="BB204:BB208">
    <cfRule type="cellIs" dxfId="10403" priority="1457" operator="lessThan">
      <formula>0</formula>
    </cfRule>
    <cfRule type="cellIs" dxfId="10402" priority="1458" operator="lessThan">
      <formula>-105575</formula>
    </cfRule>
  </conditionalFormatting>
  <conditionalFormatting sqref="BB210:BB211">
    <cfRule type="cellIs" dxfId="10401" priority="1455" operator="lessThan">
      <formula>0</formula>
    </cfRule>
    <cfRule type="cellIs" dxfId="10400" priority="1456" operator="lessThan">
      <formula>-105575</formula>
    </cfRule>
  </conditionalFormatting>
  <conditionalFormatting sqref="BB210:BB211">
    <cfRule type="cellIs" dxfId="10399" priority="1453" operator="lessThan">
      <formula>0</formula>
    </cfRule>
    <cfRule type="cellIs" dxfId="10398" priority="1454" operator="lessThan">
      <formula>-105575</formula>
    </cfRule>
  </conditionalFormatting>
  <conditionalFormatting sqref="BB210:BB211">
    <cfRule type="cellIs" dxfId="10397" priority="1451" operator="lessThan">
      <formula>0</formula>
    </cfRule>
    <cfRule type="cellIs" dxfId="10396" priority="1452" operator="lessThan">
      <formula>-105575</formula>
    </cfRule>
  </conditionalFormatting>
  <conditionalFormatting sqref="BB214:BB219">
    <cfRule type="cellIs" dxfId="10395" priority="1449" operator="lessThan">
      <formula>0</formula>
    </cfRule>
    <cfRule type="cellIs" dxfId="10394" priority="1450" operator="lessThan">
      <formula>-105575</formula>
    </cfRule>
  </conditionalFormatting>
  <conditionalFormatting sqref="BB214:BB219">
    <cfRule type="cellIs" dxfId="10393" priority="1447" operator="lessThan">
      <formula>0</formula>
    </cfRule>
    <cfRule type="cellIs" dxfId="10392" priority="1448" operator="lessThan">
      <formula>-105575</formula>
    </cfRule>
  </conditionalFormatting>
  <conditionalFormatting sqref="BB214:BB219">
    <cfRule type="cellIs" dxfId="10391" priority="1445" operator="lessThan">
      <formula>0</formula>
    </cfRule>
    <cfRule type="cellIs" dxfId="10390" priority="1446" operator="lessThan">
      <formula>-105575</formula>
    </cfRule>
  </conditionalFormatting>
  <conditionalFormatting sqref="BB222:BB224">
    <cfRule type="cellIs" dxfId="10389" priority="1443" operator="lessThan">
      <formula>0</formula>
    </cfRule>
    <cfRule type="cellIs" dxfId="10388" priority="1444" operator="lessThan">
      <formula>-105575</formula>
    </cfRule>
  </conditionalFormatting>
  <conditionalFormatting sqref="BB222:BB224">
    <cfRule type="cellIs" dxfId="10387" priority="1441" operator="lessThan">
      <formula>0</formula>
    </cfRule>
    <cfRule type="cellIs" dxfId="10386" priority="1442" operator="lessThan">
      <formula>-105575</formula>
    </cfRule>
  </conditionalFormatting>
  <conditionalFormatting sqref="BB222:BB224">
    <cfRule type="cellIs" dxfId="10385" priority="1439" operator="lessThan">
      <formula>0</formula>
    </cfRule>
    <cfRule type="cellIs" dxfId="10384" priority="1440" operator="lessThan">
      <formula>-105575</formula>
    </cfRule>
  </conditionalFormatting>
  <conditionalFormatting sqref="BB227:BB230">
    <cfRule type="cellIs" dxfId="10383" priority="1437" operator="lessThan">
      <formula>0</formula>
    </cfRule>
    <cfRule type="cellIs" dxfId="10382" priority="1438" operator="lessThan">
      <formula>-105575</formula>
    </cfRule>
  </conditionalFormatting>
  <conditionalFormatting sqref="BB227:BB230">
    <cfRule type="cellIs" dxfId="10381" priority="1435" operator="lessThan">
      <formula>0</formula>
    </cfRule>
    <cfRule type="cellIs" dxfId="10380" priority="1436" operator="lessThan">
      <formula>-105575</formula>
    </cfRule>
  </conditionalFormatting>
  <conditionalFormatting sqref="BB227:BB230">
    <cfRule type="cellIs" dxfId="10379" priority="1433" operator="lessThan">
      <formula>0</formula>
    </cfRule>
    <cfRule type="cellIs" dxfId="10378" priority="1434" operator="lessThan">
      <formula>-105575</formula>
    </cfRule>
  </conditionalFormatting>
  <conditionalFormatting sqref="BB203 BB220:BB221 BB235:BB243 BB231:BB233 BB212:BB213 BB225:BB226">
    <cfRule type="cellIs" dxfId="10377" priority="1431" operator="lessThan">
      <formula>0</formula>
    </cfRule>
    <cfRule type="cellIs" dxfId="10376" priority="1432" operator="lessThan">
      <formula>-105575</formula>
    </cfRule>
  </conditionalFormatting>
  <conditionalFormatting sqref="BB220 BB212:BB213 BB235:BB238 BB240:BB243 BB225:BB226 BB231:BB233">
    <cfRule type="cellIs" dxfId="10375" priority="1429" operator="lessThan">
      <formula>0</formula>
    </cfRule>
    <cfRule type="cellIs" dxfId="10374" priority="1430" operator="lessThan">
      <formula>-105575</formula>
    </cfRule>
  </conditionalFormatting>
  <conditionalFormatting sqref="BB220:BB221 BB243 BB226 BB231:BB236 BB238:BB241 BB203 BB213">
    <cfRule type="cellIs" dxfId="10373" priority="1427" operator="lessThan">
      <formula>0</formula>
    </cfRule>
    <cfRule type="cellIs" dxfId="10372" priority="1428" operator="lessThan">
      <formula>-105575</formula>
    </cfRule>
  </conditionalFormatting>
  <conditionalFormatting sqref="BB235:BB243 BB231:BB233 BB220 BB212:BB213 BB225:BB226">
    <cfRule type="cellIs" dxfId="10371" priority="1425" operator="lessThan">
      <formula>0</formula>
    </cfRule>
    <cfRule type="cellIs" dxfId="10370" priority="1426" operator="lessThan">
      <formula>-105575</formula>
    </cfRule>
  </conditionalFormatting>
  <conditionalFormatting sqref="BB220:BB221 BB237:BB243 BB203 BB231:BB235 BB212:BB213 BB225:BB226">
    <cfRule type="cellIs" dxfId="10369" priority="1423" operator="lessThan">
      <formula>0</formula>
    </cfRule>
    <cfRule type="cellIs" dxfId="10368" priority="1424" operator="lessThan">
      <formula>-105575</formula>
    </cfRule>
  </conditionalFormatting>
  <conditionalFormatting sqref="BB220:BB221 BB237:BB240 BB242:BB243 BB225:BB226 BB231:BB235">
    <cfRule type="cellIs" dxfId="10367" priority="1421" operator="lessThan">
      <formula>0</formula>
    </cfRule>
    <cfRule type="cellIs" dxfId="10366" priority="1422" operator="lessThan">
      <formula>-105575</formula>
    </cfRule>
  </conditionalFormatting>
  <conditionalFormatting sqref="BB212 BB231 BB233:BB238 BB240:BB243 BB225">
    <cfRule type="cellIs" dxfId="10365" priority="1419" operator="lessThan">
      <formula>0</formula>
    </cfRule>
    <cfRule type="cellIs" dxfId="10364" priority="1420" operator="lessThan">
      <formula>-105575</formula>
    </cfRule>
  </conditionalFormatting>
  <conditionalFormatting sqref="BB237:BB243 BB231:BB235 BB220:BB221 BB225:BB226">
    <cfRule type="cellIs" dxfId="10363" priority="1417" operator="lessThan">
      <formula>0</formula>
    </cfRule>
    <cfRule type="cellIs" dxfId="10362" priority="1418" operator="lessThan">
      <formula>-105575</formula>
    </cfRule>
  </conditionalFormatting>
  <conditionalFormatting sqref="BB233:BB237 BB231 BB239:BB243">
    <cfRule type="cellIs" dxfId="10361" priority="1415" operator="lessThan">
      <formula>0</formula>
    </cfRule>
    <cfRule type="cellIs" dxfId="10360" priority="1416" operator="lessThan">
      <formula>-105575</formula>
    </cfRule>
  </conditionalFormatting>
  <conditionalFormatting sqref="BB233:BB237 BB231 BB239:BB243">
    <cfRule type="cellIs" dxfId="10359" priority="1413" operator="lessThan">
      <formula>0</formula>
    </cfRule>
    <cfRule type="cellIs" dxfId="10358" priority="1414" operator="lessThan">
      <formula>-105575</formula>
    </cfRule>
  </conditionalFormatting>
  <conditionalFormatting sqref="BB119:BB128 BB106:BB117 BB101:BB104 BB80:BB98">
    <cfRule type="cellIs" dxfId="10357" priority="1411" operator="lessThan">
      <formula>0</formula>
    </cfRule>
    <cfRule type="cellIs" dxfId="10356" priority="1412" operator="lessThan">
      <formula>-105575</formula>
    </cfRule>
  </conditionalFormatting>
  <conditionalFormatting sqref="BB130 BB132 BB134">
    <cfRule type="cellIs" dxfId="10355" priority="1409" operator="lessThan">
      <formula>0</formula>
    </cfRule>
    <cfRule type="cellIs" dxfId="10354" priority="1410" operator="lessThan">
      <formula>-105575</formula>
    </cfRule>
  </conditionalFormatting>
  <conditionalFormatting sqref="BB130 BB132 BB134">
    <cfRule type="cellIs" dxfId="10353" priority="1407" operator="lessThan">
      <formula>0</formula>
    </cfRule>
    <cfRule type="cellIs" dxfId="10352" priority="1408" operator="lessThan">
      <formula>-105575</formula>
    </cfRule>
  </conditionalFormatting>
  <conditionalFormatting sqref="BB129 BB131 BB133 BB135">
    <cfRule type="cellIs" dxfId="10351" priority="1405" operator="lessThan">
      <formula>0</formula>
    </cfRule>
    <cfRule type="cellIs" dxfId="10350" priority="1406" operator="lessThan">
      <formula>-105575</formula>
    </cfRule>
  </conditionalFormatting>
  <conditionalFormatting sqref="BB140 BB145 BB142:BB143 BB137:BB138">
    <cfRule type="cellIs" dxfId="10349" priority="1403" operator="lessThan">
      <formula>0</formula>
    </cfRule>
    <cfRule type="cellIs" dxfId="10348" priority="1404" operator="lessThan">
      <formula>-105575</formula>
    </cfRule>
  </conditionalFormatting>
  <conditionalFormatting sqref="BB149">
    <cfRule type="cellIs" dxfId="10347" priority="1401" operator="lessThan">
      <formula>0</formula>
    </cfRule>
    <cfRule type="cellIs" dxfId="10346" priority="1402" operator="lessThan">
      <formula>-105575</formula>
    </cfRule>
  </conditionalFormatting>
  <conditionalFormatting sqref="BB129:BB138 BB140:BB149">
    <cfRule type="cellIs" dxfId="10345" priority="1399" operator="lessThan">
      <formula>0</formula>
    </cfRule>
    <cfRule type="cellIs" dxfId="10344" priority="1400" operator="lessThan">
      <formula>-105575</formula>
    </cfRule>
  </conditionalFormatting>
  <conditionalFormatting sqref="BB94:BB98 BB86:BB87 BB89:BB91 BB141:BB149 BB124:BB133 BB107:BB110 BB112:BB117 BB119:BB122 BB135:BB138 BB101:BB104 BB80:BB84">
    <cfRule type="cellIs" dxfId="10343" priority="1397" operator="lessThan">
      <formula>0</formula>
    </cfRule>
    <cfRule type="cellIs" dxfId="10342" priority="1398" operator="lessThan">
      <formula>-105575</formula>
    </cfRule>
  </conditionalFormatting>
  <conditionalFormatting sqref="BB129 BB131 BB133 BB135">
    <cfRule type="cellIs" dxfId="10341" priority="1395" operator="lessThan">
      <formula>0</formula>
    </cfRule>
    <cfRule type="cellIs" dxfId="10340" priority="1396" operator="lessThan">
      <formula>-105575</formula>
    </cfRule>
  </conditionalFormatting>
  <conditionalFormatting sqref="BB146 BB144 BB141">
    <cfRule type="cellIs" dxfId="10339" priority="1393" operator="lessThan">
      <formula>0</formula>
    </cfRule>
    <cfRule type="cellIs" dxfId="10338" priority="1394" operator="lessThan">
      <formula>-105575</formula>
    </cfRule>
  </conditionalFormatting>
  <conditionalFormatting sqref="BB146 BB144 BB141">
    <cfRule type="cellIs" dxfId="10337" priority="1391" operator="lessThan">
      <formula>0</formula>
    </cfRule>
    <cfRule type="cellIs" dxfId="10336" priority="1392" operator="lessThan">
      <formula>-105575</formula>
    </cfRule>
  </conditionalFormatting>
  <conditionalFormatting sqref="BB140 BB145 BB142:BB143 BB137:BB138">
    <cfRule type="cellIs" dxfId="10335" priority="1389" operator="lessThan">
      <formula>0</formula>
    </cfRule>
    <cfRule type="cellIs" dxfId="10334" priority="1390" operator="lessThan">
      <formula>-105575</formula>
    </cfRule>
  </conditionalFormatting>
  <conditionalFormatting sqref="BB149">
    <cfRule type="cellIs" dxfId="10333" priority="1387" operator="lessThan">
      <formula>0</formula>
    </cfRule>
    <cfRule type="cellIs" dxfId="10332" priority="1388" operator="lessThan">
      <formula>-105575</formula>
    </cfRule>
  </conditionalFormatting>
  <conditionalFormatting sqref="BB94:BB98 BB86:BB87 BB89:BB91 BB141:BB149 BB124:BB133 BB107:BB110 BB112:BB117 BB119:BB122 BB135:BB138 BB101:BB104 BB80:BB84">
    <cfRule type="cellIs" dxfId="10331" priority="1385" operator="lessThan">
      <formula>0</formula>
    </cfRule>
    <cfRule type="cellIs" dxfId="10330" priority="1386" operator="lessThan">
      <formula>-105575</formula>
    </cfRule>
  </conditionalFormatting>
  <conditionalFormatting sqref="BB62:BB76 BB306:BB309 BB311:BB325 BB327:BB330 BB332:BB341 BB344:BB347 BB349:BB353 BB355:BB358 BB360:BB384 BB386:BB389 BB392:BB395 BB397:BB411 BB413:BB416 BB418:BB432 BB434:BB437 BB439:BB453 BB455:BB458 BB460:BB469 BB7:BB10 BB12:BB14 BB17:BB18 BB21:BB24 BB26:BB28 BB30:BB36 BB38 BB41:BB43 BB46:BB49 BB51:BB55 BB57:BB59 BB290:BB291 BB293:BB304">
    <cfRule type="cellIs" dxfId="10329" priority="1383" operator="lessThan">
      <formula>0</formula>
    </cfRule>
    <cfRule type="cellIs" dxfId="10328" priority="1384" operator="lessThan">
      <formula>-105575</formula>
    </cfRule>
  </conditionalFormatting>
  <conditionalFormatting sqref="BB41">
    <cfRule type="cellIs" dxfId="10327" priority="1381" operator="lessThan">
      <formula>0</formula>
    </cfRule>
    <cfRule type="cellIs" dxfId="10326" priority="1382" operator="lessThan">
      <formula>-105575</formula>
    </cfRule>
  </conditionalFormatting>
  <conditionalFormatting sqref="BB152:BB155">
    <cfRule type="cellIs" dxfId="10325" priority="1379" operator="lessThan">
      <formula>0</formula>
    </cfRule>
    <cfRule type="cellIs" dxfId="10324" priority="1380" operator="lessThan">
      <formula>-105575</formula>
    </cfRule>
  </conditionalFormatting>
  <conditionalFormatting sqref="BB152:BB155">
    <cfRule type="cellIs" dxfId="10323" priority="1377" operator="lessThan">
      <formula>0</formula>
    </cfRule>
    <cfRule type="cellIs" dxfId="10322" priority="1378" operator="lessThan">
      <formula>-105575</formula>
    </cfRule>
  </conditionalFormatting>
  <conditionalFormatting sqref="BB152:BB155">
    <cfRule type="cellIs" dxfId="10321" priority="1375" operator="lessThan">
      <formula>0</formula>
    </cfRule>
    <cfRule type="cellIs" dxfId="10320" priority="1376" operator="lessThan">
      <formula>-105575</formula>
    </cfRule>
  </conditionalFormatting>
  <conditionalFormatting sqref="BB157:BB158">
    <cfRule type="cellIs" dxfId="10319" priority="1373" operator="lessThan">
      <formula>0</formula>
    </cfRule>
    <cfRule type="cellIs" dxfId="10318" priority="1374" operator="lessThan">
      <formula>-105575</formula>
    </cfRule>
  </conditionalFormatting>
  <conditionalFormatting sqref="BB157:BB158">
    <cfRule type="cellIs" dxfId="10317" priority="1371" operator="lessThan">
      <formula>0</formula>
    </cfRule>
    <cfRule type="cellIs" dxfId="10316" priority="1372" operator="lessThan">
      <formula>-105575</formula>
    </cfRule>
  </conditionalFormatting>
  <conditionalFormatting sqref="BB157:BB158">
    <cfRule type="cellIs" dxfId="10315" priority="1369" operator="lessThan">
      <formula>0</formula>
    </cfRule>
    <cfRule type="cellIs" dxfId="10314" priority="1370" operator="lessThan">
      <formula>-105575</formula>
    </cfRule>
  </conditionalFormatting>
  <conditionalFormatting sqref="BB160:BB161">
    <cfRule type="cellIs" dxfId="10313" priority="1367" operator="lessThan">
      <formula>0</formula>
    </cfRule>
    <cfRule type="cellIs" dxfId="10312" priority="1368" operator="lessThan">
      <formula>-105575</formula>
    </cfRule>
  </conditionalFormatting>
  <conditionalFormatting sqref="BB160:BB161">
    <cfRule type="cellIs" dxfId="10311" priority="1365" operator="lessThan">
      <formula>0</formula>
    </cfRule>
    <cfRule type="cellIs" dxfId="10310" priority="1366" operator="lessThan">
      <formula>-105575</formula>
    </cfRule>
  </conditionalFormatting>
  <conditionalFormatting sqref="BB160:BB161">
    <cfRule type="cellIs" dxfId="10309" priority="1363" operator="lessThan">
      <formula>0</formula>
    </cfRule>
    <cfRule type="cellIs" dxfId="10308" priority="1364" operator="lessThan">
      <formula>-105575</formula>
    </cfRule>
  </conditionalFormatting>
  <conditionalFormatting sqref="BB164:BB167">
    <cfRule type="cellIs" dxfId="10307" priority="1361" operator="lessThan">
      <formula>0</formula>
    </cfRule>
    <cfRule type="cellIs" dxfId="10306" priority="1362" operator="lessThan">
      <formula>-105575</formula>
    </cfRule>
  </conditionalFormatting>
  <conditionalFormatting sqref="BB164:BB167">
    <cfRule type="cellIs" dxfId="10305" priority="1359" operator="lessThan">
      <formula>0</formula>
    </cfRule>
    <cfRule type="cellIs" dxfId="10304" priority="1360" operator="lessThan">
      <formula>-105575</formula>
    </cfRule>
  </conditionalFormatting>
  <conditionalFormatting sqref="BB164:BB167">
    <cfRule type="cellIs" dxfId="10303" priority="1357" operator="lessThan">
      <formula>0</formula>
    </cfRule>
    <cfRule type="cellIs" dxfId="10302" priority="1358" operator="lessThan">
      <formula>-105575</formula>
    </cfRule>
  </conditionalFormatting>
  <conditionalFormatting sqref="BB169:BB177">
    <cfRule type="cellIs" dxfId="10301" priority="1355" operator="lessThan">
      <formula>0</formula>
    </cfRule>
    <cfRule type="cellIs" dxfId="10300" priority="1356" operator="lessThan">
      <formula>-105575</formula>
    </cfRule>
  </conditionalFormatting>
  <conditionalFormatting sqref="BB169:BB177">
    <cfRule type="cellIs" dxfId="10299" priority="1353" operator="lessThan">
      <formula>0</formula>
    </cfRule>
    <cfRule type="cellIs" dxfId="10298" priority="1354" operator="lessThan">
      <formula>-105575</formula>
    </cfRule>
  </conditionalFormatting>
  <conditionalFormatting sqref="BB169:BB177">
    <cfRule type="cellIs" dxfId="10297" priority="1351" operator="lessThan">
      <formula>0</formula>
    </cfRule>
    <cfRule type="cellIs" dxfId="10296" priority="1352" operator="lessThan">
      <formula>-105575</formula>
    </cfRule>
  </conditionalFormatting>
  <conditionalFormatting sqref="BB179:BB180">
    <cfRule type="cellIs" dxfId="10295" priority="1349" operator="lessThan">
      <formula>0</formula>
    </cfRule>
    <cfRule type="cellIs" dxfId="10294" priority="1350" operator="lessThan">
      <formula>-105575</formula>
    </cfRule>
  </conditionalFormatting>
  <conditionalFormatting sqref="BB179:BB180">
    <cfRule type="cellIs" dxfId="10293" priority="1347" operator="lessThan">
      <formula>0</formula>
    </cfRule>
    <cfRule type="cellIs" dxfId="10292" priority="1348" operator="lessThan">
      <formula>-105575</formula>
    </cfRule>
  </conditionalFormatting>
  <conditionalFormatting sqref="BB179:BB180">
    <cfRule type="cellIs" dxfId="10291" priority="1345" operator="lessThan">
      <formula>0</formula>
    </cfRule>
    <cfRule type="cellIs" dxfId="10290" priority="1346" operator="lessThan">
      <formula>-105575</formula>
    </cfRule>
  </conditionalFormatting>
  <conditionalFormatting sqref="BB183:BB189">
    <cfRule type="cellIs" dxfId="10289" priority="1343" operator="lessThan">
      <formula>0</formula>
    </cfRule>
    <cfRule type="cellIs" dxfId="10288" priority="1344" operator="lessThan">
      <formula>-105575</formula>
    </cfRule>
  </conditionalFormatting>
  <conditionalFormatting sqref="BB183:BB189">
    <cfRule type="cellIs" dxfId="10287" priority="1341" operator="lessThan">
      <formula>0</formula>
    </cfRule>
    <cfRule type="cellIs" dxfId="10286" priority="1342" operator="lessThan">
      <formula>-105575</formula>
    </cfRule>
  </conditionalFormatting>
  <conditionalFormatting sqref="BB183:BB189">
    <cfRule type="cellIs" dxfId="10285" priority="1339" operator="lessThan">
      <formula>0</formula>
    </cfRule>
    <cfRule type="cellIs" dxfId="10284" priority="1340" operator="lessThan">
      <formula>-105575</formula>
    </cfRule>
  </conditionalFormatting>
  <conditionalFormatting sqref="BB191:BB192">
    <cfRule type="cellIs" dxfId="10283" priority="1337" operator="lessThan">
      <formula>0</formula>
    </cfRule>
    <cfRule type="cellIs" dxfId="10282" priority="1338" operator="lessThan">
      <formula>-105575</formula>
    </cfRule>
  </conditionalFormatting>
  <conditionalFormatting sqref="BB191:BB192">
    <cfRule type="cellIs" dxfId="10281" priority="1335" operator="lessThan">
      <formula>0</formula>
    </cfRule>
    <cfRule type="cellIs" dxfId="10280" priority="1336" operator="lessThan">
      <formula>-105575</formula>
    </cfRule>
  </conditionalFormatting>
  <conditionalFormatting sqref="BB191:BB192">
    <cfRule type="cellIs" dxfId="10279" priority="1333" operator="lessThan">
      <formula>0</formula>
    </cfRule>
    <cfRule type="cellIs" dxfId="10278" priority="1334" operator="lessThan">
      <formula>-105575</formula>
    </cfRule>
  </conditionalFormatting>
  <conditionalFormatting sqref="BB194:BB195">
    <cfRule type="cellIs" dxfId="10277" priority="1331" operator="lessThan">
      <formula>0</formula>
    </cfRule>
    <cfRule type="cellIs" dxfId="10276" priority="1332" operator="lessThan">
      <formula>-105575</formula>
    </cfRule>
  </conditionalFormatting>
  <conditionalFormatting sqref="BB194:BB195">
    <cfRule type="cellIs" dxfId="10275" priority="1329" operator="lessThan">
      <formula>0</formula>
    </cfRule>
    <cfRule type="cellIs" dxfId="10274" priority="1330" operator="lessThan">
      <formula>-105575</formula>
    </cfRule>
  </conditionalFormatting>
  <conditionalFormatting sqref="BB194:BB195">
    <cfRule type="cellIs" dxfId="10273" priority="1327" operator="lessThan">
      <formula>0</formula>
    </cfRule>
    <cfRule type="cellIs" dxfId="10272" priority="1328" operator="lessThan">
      <formula>-105575</formula>
    </cfRule>
  </conditionalFormatting>
  <conditionalFormatting sqref="BB199:BB202">
    <cfRule type="cellIs" dxfId="10271" priority="1325" operator="lessThan">
      <formula>0</formula>
    </cfRule>
    <cfRule type="cellIs" dxfId="10270" priority="1326" operator="lessThan">
      <formula>-105575</formula>
    </cfRule>
  </conditionalFormatting>
  <conditionalFormatting sqref="BB199:BB202">
    <cfRule type="cellIs" dxfId="10269" priority="1323" operator="lessThan">
      <formula>0</formula>
    </cfRule>
    <cfRule type="cellIs" dxfId="10268" priority="1324" operator="lessThan">
      <formula>-105575</formula>
    </cfRule>
  </conditionalFormatting>
  <conditionalFormatting sqref="BB199:BB202">
    <cfRule type="cellIs" dxfId="10267" priority="1321" operator="lessThan">
      <formula>0</formula>
    </cfRule>
    <cfRule type="cellIs" dxfId="10266" priority="1322" operator="lessThan">
      <formula>-105575</formula>
    </cfRule>
  </conditionalFormatting>
  <conditionalFormatting sqref="BB204:BB208">
    <cfRule type="cellIs" dxfId="10265" priority="1319" operator="lessThan">
      <formula>0</formula>
    </cfRule>
    <cfRule type="cellIs" dxfId="10264" priority="1320" operator="lessThan">
      <formula>-105575</formula>
    </cfRule>
  </conditionalFormatting>
  <conditionalFormatting sqref="BB204:BB208">
    <cfRule type="cellIs" dxfId="10263" priority="1317" operator="lessThan">
      <formula>0</formula>
    </cfRule>
    <cfRule type="cellIs" dxfId="10262" priority="1318" operator="lessThan">
      <formula>-105575</formula>
    </cfRule>
  </conditionalFormatting>
  <conditionalFormatting sqref="BB204:BB208">
    <cfRule type="cellIs" dxfId="10261" priority="1315" operator="lessThan">
      <formula>0</formula>
    </cfRule>
    <cfRule type="cellIs" dxfId="10260" priority="1316" operator="lessThan">
      <formula>-105575</formula>
    </cfRule>
  </conditionalFormatting>
  <conditionalFormatting sqref="BB210:BB211">
    <cfRule type="cellIs" dxfId="10259" priority="1313" operator="lessThan">
      <formula>0</formula>
    </cfRule>
    <cfRule type="cellIs" dxfId="10258" priority="1314" operator="lessThan">
      <formula>-105575</formula>
    </cfRule>
  </conditionalFormatting>
  <conditionalFormatting sqref="BB210:BB211">
    <cfRule type="cellIs" dxfId="10257" priority="1311" operator="lessThan">
      <formula>0</formula>
    </cfRule>
    <cfRule type="cellIs" dxfId="10256" priority="1312" operator="lessThan">
      <formula>-105575</formula>
    </cfRule>
  </conditionalFormatting>
  <conditionalFormatting sqref="BB210:BB211">
    <cfRule type="cellIs" dxfId="10255" priority="1309" operator="lessThan">
      <formula>0</formula>
    </cfRule>
    <cfRule type="cellIs" dxfId="10254" priority="1310" operator="lessThan">
      <formula>-105575</formula>
    </cfRule>
  </conditionalFormatting>
  <conditionalFormatting sqref="BB214:BB219">
    <cfRule type="cellIs" dxfId="10253" priority="1307" operator="lessThan">
      <formula>0</formula>
    </cfRule>
    <cfRule type="cellIs" dxfId="10252" priority="1308" operator="lessThan">
      <formula>-105575</formula>
    </cfRule>
  </conditionalFormatting>
  <conditionalFormatting sqref="BB214:BB219">
    <cfRule type="cellIs" dxfId="10251" priority="1305" operator="lessThan">
      <formula>0</formula>
    </cfRule>
    <cfRule type="cellIs" dxfId="10250" priority="1306" operator="lessThan">
      <formula>-105575</formula>
    </cfRule>
  </conditionalFormatting>
  <conditionalFormatting sqref="BB214:BB219">
    <cfRule type="cellIs" dxfId="10249" priority="1303" operator="lessThan">
      <formula>0</formula>
    </cfRule>
    <cfRule type="cellIs" dxfId="10248" priority="1304" operator="lessThan">
      <formula>-105575</formula>
    </cfRule>
  </conditionalFormatting>
  <conditionalFormatting sqref="BB222:BB224">
    <cfRule type="cellIs" dxfId="10247" priority="1301" operator="lessThan">
      <formula>0</formula>
    </cfRule>
    <cfRule type="cellIs" dxfId="10246" priority="1302" operator="lessThan">
      <formula>-105575</formula>
    </cfRule>
  </conditionalFormatting>
  <conditionalFormatting sqref="BB222:BB224">
    <cfRule type="cellIs" dxfId="10245" priority="1299" operator="lessThan">
      <formula>0</formula>
    </cfRule>
    <cfRule type="cellIs" dxfId="10244" priority="1300" operator="lessThan">
      <formula>-105575</formula>
    </cfRule>
  </conditionalFormatting>
  <conditionalFormatting sqref="BB222:BB224">
    <cfRule type="cellIs" dxfId="10243" priority="1297" operator="lessThan">
      <formula>0</formula>
    </cfRule>
    <cfRule type="cellIs" dxfId="10242" priority="1298" operator="lessThan">
      <formula>-105575</formula>
    </cfRule>
  </conditionalFormatting>
  <conditionalFormatting sqref="BB227:BB230">
    <cfRule type="cellIs" dxfId="10241" priority="1295" operator="lessThan">
      <formula>0</formula>
    </cfRule>
    <cfRule type="cellIs" dxfId="10240" priority="1296" operator="lessThan">
      <formula>-105575</formula>
    </cfRule>
  </conditionalFormatting>
  <conditionalFormatting sqref="BB227:BB230">
    <cfRule type="cellIs" dxfId="10239" priority="1293" operator="lessThan">
      <formula>0</formula>
    </cfRule>
    <cfRule type="cellIs" dxfId="10238" priority="1294" operator="lessThan">
      <formula>-105575</formula>
    </cfRule>
  </conditionalFormatting>
  <conditionalFormatting sqref="BB227:BB230">
    <cfRule type="cellIs" dxfId="10237" priority="1291" operator="lessThan">
      <formula>0</formula>
    </cfRule>
    <cfRule type="cellIs" dxfId="10236" priority="1292" operator="lessThan">
      <formula>-105575</formula>
    </cfRule>
  </conditionalFormatting>
  <conditionalFormatting sqref="BB246:BB249">
    <cfRule type="cellIs" dxfId="10235" priority="1289" operator="lessThan">
      <formula>0</formula>
    </cfRule>
    <cfRule type="cellIs" dxfId="10234" priority="1290" operator="lessThan">
      <formula>-105575</formula>
    </cfRule>
  </conditionalFormatting>
  <conditionalFormatting sqref="BB246:BB249">
    <cfRule type="cellIs" dxfId="10233" priority="1287" operator="lessThan">
      <formula>0</formula>
    </cfRule>
    <cfRule type="cellIs" dxfId="10232" priority="1288" operator="lessThan">
      <formula>-105575</formula>
    </cfRule>
  </conditionalFormatting>
  <conditionalFormatting sqref="BB246:BB249">
    <cfRule type="cellIs" dxfId="10231" priority="1285" operator="lessThan">
      <formula>0</formula>
    </cfRule>
    <cfRule type="cellIs" dxfId="10230" priority="1286" operator="lessThan">
      <formula>-105575</formula>
    </cfRule>
  </conditionalFormatting>
  <conditionalFormatting sqref="BB246:BB249">
    <cfRule type="cellIs" dxfId="10229" priority="1283" operator="lessThan">
      <formula>0</formula>
    </cfRule>
    <cfRule type="cellIs" dxfId="10228" priority="1284" operator="lessThan">
      <formula>-105575</formula>
    </cfRule>
  </conditionalFormatting>
  <conditionalFormatting sqref="BB246:BB249">
    <cfRule type="cellIs" dxfId="10227" priority="1281" operator="lessThan">
      <formula>0</formula>
    </cfRule>
    <cfRule type="cellIs" dxfId="10226" priority="1282" operator="lessThan">
      <formula>-105575</formula>
    </cfRule>
  </conditionalFormatting>
  <conditionalFormatting sqref="BB246:BB249">
    <cfRule type="cellIs" dxfId="10225" priority="1279" operator="lessThan">
      <formula>0</formula>
    </cfRule>
    <cfRule type="cellIs" dxfId="10224" priority="1280" operator="lessThan">
      <formula>-105575</formula>
    </cfRule>
  </conditionalFormatting>
  <conditionalFormatting sqref="BB246:BB249">
    <cfRule type="cellIs" dxfId="10223" priority="1277" operator="lessThan">
      <formula>0</formula>
    </cfRule>
    <cfRule type="cellIs" dxfId="10222" priority="1278" operator="lessThan">
      <formula>-105575</formula>
    </cfRule>
  </conditionalFormatting>
  <conditionalFormatting sqref="BB246:BB249">
    <cfRule type="cellIs" dxfId="10221" priority="1275" operator="lessThan">
      <formula>0</formula>
    </cfRule>
    <cfRule type="cellIs" dxfId="10220" priority="1276" operator="lessThan">
      <formula>-105575</formula>
    </cfRule>
  </conditionalFormatting>
  <conditionalFormatting sqref="BB246:BB249">
    <cfRule type="cellIs" dxfId="10219" priority="1273" operator="lessThan">
      <formula>0</formula>
    </cfRule>
    <cfRule type="cellIs" dxfId="10218" priority="1274" operator="lessThan">
      <formula>-105575</formula>
    </cfRule>
  </conditionalFormatting>
  <conditionalFormatting sqref="BB251:BB253">
    <cfRule type="cellIs" dxfId="10217" priority="1271" operator="lessThan">
      <formula>0</formula>
    </cfRule>
    <cfRule type="cellIs" dxfId="10216" priority="1272" operator="lessThan">
      <formula>-105575</formula>
    </cfRule>
  </conditionalFormatting>
  <conditionalFormatting sqref="BB251:BB253">
    <cfRule type="cellIs" dxfId="10215" priority="1269" operator="lessThan">
      <formula>0</formula>
    </cfRule>
    <cfRule type="cellIs" dxfId="10214" priority="1270" operator="lessThan">
      <formula>-105575</formula>
    </cfRule>
  </conditionalFormatting>
  <conditionalFormatting sqref="BB251:BB253">
    <cfRule type="cellIs" dxfId="10213" priority="1267" operator="lessThan">
      <formula>0</formula>
    </cfRule>
    <cfRule type="cellIs" dxfId="10212" priority="1268" operator="lessThan">
      <formula>-105575</formula>
    </cfRule>
  </conditionalFormatting>
  <conditionalFormatting sqref="BB251:BB253">
    <cfRule type="cellIs" dxfId="10211" priority="1265" operator="lessThan">
      <formula>0</formula>
    </cfRule>
    <cfRule type="cellIs" dxfId="10210" priority="1266" operator="lessThan">
      <formula>-105575</formula>
    </cfRule>
  </conditionalFormatting>
  <conditionalFormatting sqref="BB251:BB253">
    <cfRule type="cellIs" dxfId="10209" priority="1263" operator="lessThan">
      <formula>0</formula>
    </cfRule>
    <cfRule type="cellIs" dxfId="10208" priority="1264" operator="lessThan">
      <formula>-105575</formula>
    </cfRule>
  </conditionalFormatting>
  <conditionalFormatting sqref="BB251:BB253">
    <cfRule type="cellIs" dxfId="10207" priority="1261" operator="lessThan">
      <formula>0</formula>
    </cfRule>
    <cfRule type="cellIs" dxfId="10206" priority="1262" operator="lessThan">
      <formula>-105575</formula>
    </cfRule>
  </conditionalFormatting>
  <conditionalFormatting sqref="BB251:BB253">
    <cfRule type="cellIs" dxfId="10205" priority="1259" operator="lessThan">
      <formula>0</formula>
    </cfRule>
    <cfRule type="cellIs" dxfId="10204" priority="1260" operator="lessThan">
      <formula>-105575</formula>
    </cfRule>
  </conditionalFormatting>
  <conditionalFormatting sqref="BB251:BB253">
    <cfRule type="cellIs" dxfId="10203" priority="1257" operator="lessThan">
      <formula>0</formula>
    </cfRule>
    <cfRule type="cellIs" dxfId="10202" priority="1258" operator="lessThan">
      <formula>-105575</formula>
    </cfRule>
  </conditionalFormatting>
  <conditionalFormatting sqref="BB251:BB253">
    <cfRule type="cellIs" dxfId="10201" priority="1255" operator="lessThan">
      <formula>0</formula>
    </cfRule>
    <cfRule type="cellIs" dxfId="10200" priority="1256" operator="lessThan">
      <formula>-105575</formula>
    </cfRule>
  </conditionalFormatting>
  <conditionalFormatting sqref="BB255:BB257">
    <cfRule type="cellIs" dxfId="10199" priority="1253" operator="lessThan">
      <formula>0</formula>
    </cfRule>
    <cfRule type="cellIs" dxfId="10198" priority="1254" operator="lessThan">
      <formula>-105575</formula>
    </cfRule>
  </conditionalFormatting>
  <conditionalFormatting sqref="BB255:BB257">
    <cfRule type="cellIs" dxfId="10197" priority="1251" operator="lessThan">
      <formula>0</formula>
    </cfRule>
    <cfRule type="cellIs" dxfId="10196" priority="1252" operator="lessThan">
      <formula>-105575</formula>
    </cfRule>
  </conditionalFormatting>
  <conditionalFormatting sqref="BB255:BB257">
    <cfRule type="cellIs" dxfId="10195" priority="1249" operator="lessThan">
      <formula>0</formula>
    </cfRule>
    <cfRule type="cellIs" dxfId="10194" priority="1250" operator="lessThan">
      <formula>-105575</formula>
    </cfRule>
  </conditionalFormatting>
  <conditionalFormatting sqref="BB255:BB257">
    <cfRule type="cellIs" dxfId="10193" priority="1247" operator="lessThan">
      <formula>0</formula>
    </cfRule>
    <cfRule type="cellIs" dxfId="10192" priority="1248" operator="lessThan">
      <formula>-105575</formula>
    </cfRule>
  </conditionalFormatting>
  <conditionalFormatting sqref="BB255:BB257">
    <cfRule type="cellIs" dxfId="10191" priority="1245" operator="lessThan">
      <formula>0</formula>
    </cfRule>
    <cfRule type="cellIs" dxfId="10190" priority="1246" operator="lessThan">
      <formula>-105575</formula>
    </cfRule>
  </conditionalFormatting>
  <conditionalFormatting sqref="BB255:BB257">
    <cfRule type="cellIs" dxfId="10189" priority="1243" operator="lessThan">
      <formula>0</formula>
    </cfRule>
    <cfRule type="cellIs" dxfId="10188" priority="1244" operator="lessThan">
      <formula>-105575</formula>
    </cfRule>
  </conditionalFormatting>
  <conditionalFormatting sqref="BB255:BB257">
    <cfRule type="cellIs" dxfId="10187" priority="1241" operator="lessThan">
      <formula>0</formula>
    </cfRule>
    <cfRule type="cellIs" dxfId="10186" priority="1242" operator="lessThan">
      <formula>-105575</formula>
    </cfRule>
  </conditionalFormatting>
  <conditionalFormatting sqref="BB255:BB257">
    <cfRule type="cellIs" dxfId="10185" priority="1239" operator="lessThan">
      <formula>0</formula>
    </cfRule>
    <cfRule type="cellIs" dxfId="10184" priority="1240" operator="lessThan">
      <formula>-105575</formula>
    </cfRule>
  </conditionalFormatting>
  <conditionalFormatting sqref="BB255:BB257">
    <cfRule type="cellIs" dxfId="10183" priority="1237" operator="lessThan">
      <formula>0</formula>
    </cfRule>
    <cfRule type="cellIs" dxfId="10182" priority="1238" operator="lessThan">
      <formula>-105575</formula>
    </cfRule>
  </conditionalFormatting>
  <conditionalFormatting sqref="BB260:BB262">
    <cfRule type="cellIs" dxfId="10181" priority="1235" operator="lessThan">
      <formula>0</formula>
    </cfRule>
    <cfRule type="cellIs" dxfId="10180" priority="1236" operator="lessThan">
      <formula>-105575</formula>
    </cfRule>
  </conditionalFormatting>
  <conditionalFormatting sqref="BB260:BB262">
    <cfRule type="cellIs" dxfId="10179" priority="1233" operator="lessThan">
      <formula>0</formula>
    </cfRule>
    <cfRule type="cellIs" dxfId="10178" priority="1234" operator="lessThan">
      <formula>-105575</formula>
    </cfRule>
  </conditionalFormatting>
  <conditionalFormatting sqref="BB260:BB262">
    <cfRule type="cellIs" dxfId="10177" priority="1231" operator="lessThan">
      <formula>0</formula>
    </cfRule>
    <cfRule type="cellIs" dxfId="10176" priority="1232" operator="lessThan">
      <formula>-105575</formula>
    </cfRule>
  </conditionalFormatting>
  <conditionalFormatting sqref="BB260:BB262">
    <cfRule type="cellIs" dxfId="10175" priority="1229" operator="lessThan">
      <formula>0</formula>
    </cfRule>
    <cfRule type="cellIs" dxfId="10174" priority="1230" operator="lessThan">
      <formula>-105575</formula>
    </cfRule>
  </conditionalFormatting>
  <conditionalFormatting sqref="BB260:BB262">
    <cfRule type="cellIs" dxfId="10173" priority="1227" operator="lessThan">
      <formula>0</formula>
    </cfRule>
    <cfRule type="cellIs" dxfId="10172" priority="1228" operator="lessThan">
      <formula>-105575</formula>
    </cfRule>
  </conditionalFormatting>
  <conditionalFormatting sqref="BB260:BB262">
    <cfRule type="cellIs" dxfId="10171" priority="1225" operator="lessThan">
      <formula>0</formula>
    </cfRule>
    <cfRule type="cellIs" dxfId="10170" priority="1226" operator="lessThan">
      <formula>-105575</formula>
    </cfRule>
  </conditionalFormatting>
  <conditionalFormatting sqref="BB260:BB262">
    <cfRule type="cellIs" dxfId="10169" priority="1223" operator="lessThan">
      <formula>0</formula>
    </cfRule>
    <cfRule type="cellIs" dxfId="10168" priority="1224" operator="lessThan">
      <formula>-105575</formula>
    </cfRule>
  </conditionalFormatting>
  <conditionalFormatting sqref="BB260:BB262">
    <cfRule type="cellIs" dxfId="10167" priority="1221" operator="lessThan">
      <formula>0</formula>
    </cfRule>
    <cfRule type="cellIs" dxfId="10166" priority="1222" operator="lessThan">
      <formula>-105575</formula>
    </cfRule>
  </conditionalFormatting>
  <conditionalFormatting sqref="BB260:BB262">
    <cfRule type="cellIs" dxfId="10165" priority="1219" operator="lessThan">
      <formula>0</formula>
    </cfRule>
    <cfRule type="cellIs" dxfId="10164" priority="1220" operator="lessThan">
      <formula>-105575</formula>
    </cfRule>
  </conditionalFormatting>
  <conditionalFormatting sqref="BB264:BB267">
    <cfRule type="cellIs" dxfId="10163" priority="1217" operator="lessThan">
      <formula>0</formula>
    </cfRule>
    <cfRule type="cellIs" dxfId="10162" priority="1218" operator="lessThan">
      <formula>-105575</formula>
    </cfRule>
  </conditionalFormatting>
  <conditionalFormatting sqref="BB264:BB267">
    <cfRule type="cellIs" dxfId="10161" priority="1215" operator="lessThan">
      <formula>0</formula>
    </cfRule>
    <cfRule type="cellIs" dxfId="10160" priority="1216" operator="lessThan">
      <formula>-105575</formula>
    </cfRule>
  </conditionalFormatting>
  <conditionalFormatting sqref="BB264:BB267">
    <cfRule type="cellIs" dxfId="10159" priority="1213" operator="lessThan">
      <formula>0</formula>
    </cfRule>
    <cfRule type="cellIs" dxfId="10158" priority="1214" operator="lessThan">
      <formula>-105575</formula>
    </cfRule>
  </conditionalFormatting>
  <conditionalFormatting sqref="BB264:BB267">
    <cfRule type="cellIs" dxfId="10157" priority="1211" operator="lessThan">
      <formula>0</formula>
    </cfRule>
    <cfRule type="cellIs" dxfId="10156" priority="1212" operator="lessThan">
      <formula>-105575</formula>
    </cfRule>
  </conditionalFormatting>
  <conditionalFormatting sqref="BB264:BB267">
    <cfRule type="cellIs" dxfId="10155" priority="1209" operator="lessThan">
      <formula>0</formula>
    </cfRule>
    <cfRule type="cellIs" dxfId="10154" priority="1210" operator="lessThan">
      <formula>-105575</formula>
    </cfRule>
  </conditionalFormatting>
  <conditionalFormatting sqref="BB264:BB267">
    <cfRule type="cellIs" dxfId="10153" priority="1207" operator="lessThan">
      <formula>0</formula>
    </cfRule>
    <cfRule type="cellIs" dxfId="10152" priority="1208" operator="lessThan">
      <formula>-105575</formula>
    </cfRule>
  </conditionalFormatting>
  <conditionalFormatting sqref="BB264:BB267">
    <cfRule type="cellIs" dxfId="10151" priority="1205" operator="lessThan">
      <formula>0</formula>
    </cfRule>
    <cfRule type="cellIs" dxfId="10150" priority="1206" operator="lessThan">
      <formula>-105575</formula>
    </cfRule>
  </conditionalFormatting>
  <conditionalFormatting sqref="BB264:BB267">
    <cfRule type="cellIs" dxfId="10149" priority="1203" operator="lessThan">
      <formula>0</formula>
    </cfRule>
    <cfRule type="cellIs" dxfId="10148" priority="1204" operator="lessThan">
      <formula>-105575</formula>
    </cfRule>
  </conditionalFormatting>
  <conditionalFormatting sqref="BB264:BB267">
    <cfRule type="cellIs" dxfId="10147" priority="1201" operator="lessThan">
      <formula>0</formula>
    </cfRule>
    <cfRule type="cellIs" dxfId="10146" priority="1202" operator="lessThan">
      <formula>-105575</formula>
    </cfRule>
  </conditionalFormatting>
  <conditionalFormatting sqref="BB270:BB272">
    <cfRule type="cellIs" dxfId="10145" priority="1199" operator="lessThan">
      <formula>0</formula>
    </cfRule>
    <cfRule type="cellIs" dxfId="10144" priority="1200" operator="lessThan">
      <formula>-105575</formula>
    </cfRule>
  </conditionalFormatting>
  <conditionalFormatting sqref="BB270:BB272">
    <cfRule type="cellIs" dxfId="10143" priority="1197" operator="lessThan">
      <formula>0</formula>
    </cfRule>
    <cfRule type="cellIs" dxfId="10142" priority="1198" operator="lessThan">
      <formula>-105575</formula>
    </cfRule>
  </conditionalFormatting>
  <conditionalFormatting sqref="BB270:BB272">
    <cfRule type="cellIs" dxfId="10141" priority="1195" operator="lessThan">
      <formula>0</formula>
    </cfRule>
    <cfRule type="cellIs" dxfId="10140" priority="1196" operator="lessThan">
      <formula>-105575</formula>
    </cfRule>
  </conditionalFormatting>
  <conditionalFormatting sqref="BB270:BB272">
    <cfRule type="cellIs" dxfId="10139" priority="1193" operator="lessThan">
      <formula>0</formula>
    </cfRule>
    <cfRule type="cellIs" dxfId="10138" priority="1194" operator="lessThan">
      <formula>-105575</formula>
    </cfRule>
  </conditionalFormatting>
  <conditionalFormatting sqref="BB270:BB272">
    <cfRule type="cellIs" dxfId="10137" priority="1191" operator="lessThan">
      <formula>0</formula>
    </cfRule>
    <cfRule type="cellIs" dxfId="10136" priority="1192" operator="lessThan">
      <formula>-105575</formula>
    </cfRule>
  </conditionalFormatting>
  <conditionalFormatting sqref="BB270:BB272">
    <cfRule type="cellIs" dxfId="10135" priority="1189" operator="lessThan">
      <formula>0</formula>
    </cfRule>
    <cfRule type="cellIs" dxfId="10134" priority="1190" operator="lessThan">
      <formula>-105575</formula>
    </cfRule>
  </conditionalFormatting>
  <conditionalFormatting sqref="BB270:BB272">
    <cfRule type="cellIs" dxfId="10133" priority="1187" operator="lessThan">
      <formula>0</formula>
    </cfRule>
    <cfRule type="cellIs" dxfId="10132" priority="1188" operator="lessThan">
      <formula>-105575</formula>
    </cfRule>
  </conditionalFormatting>
  <conditionalFormatting sqref="BB270:BB272">
    <cfRule type="cellIs" dxfId="10131" priority="1185" operator="lessThan">
      <formula>0</formula>
    </cfRule>
    <cfRule type="cellIs" dxfId="10130" priority="1186" operator="lessThan">
      <formula>-105575</formula>
    </cfRule>
  </conditionalFormatting>
  <conditionalFormatting sqref="BB270:BB272">
    <cfRule type="cellIs" dxfId="10129" priority="1183" operator="lessThan">
      <formula>0</formula>
    </cfRule>
    <cfRule type="cellIs" dxfId="10128" priority="1184" operator="lessThan">
      <formula>-105575</formula>
    </cfRule>
  </conditionalFormatting>
  <conditionalFormatting sqref="BB274:BB275">
    <cfRule type="cellIs" dxfId="10127" priority="1181" operator="lessThan">
      <formula>0</formula>
    </cfRule>
    <cfRule type="cellIs" dxfId="10126" priority="1182" operator="lessThan">
      <formula>-105575</formula>
    </cfRule>
  </conditionalFormatting>
  <conditionalFormatting sqref="BB274:BB275">
    <cfRule type="cellIs" dxfId="10125" priority="1179" operator="lessThan">
      <formula>0</formula>
    </cfRule>
    <cfRule type="cellIs" dxfId="10124" priority="1180" operator="lessThan">
      <formula>-105575</formula>
    </cfRule>
  </conditionalFormatting>
  <conditionalFormatting sqref="BB274:BB275">
    <cfRule type="cellIs" dxfId="10123" priority="1177" operator="lessThan">
      <formula>0</formula>
    </cfRule>
    <cfRule type="cellIs" dxfId="10122" priority="1178" operator="lessThan">
      <formula>-105575</formula>
    </cfRule>
  </conditionalFormatting>
  <conditionalFormatting sqref="BB274:BB275">
    <cfRule type="cellIs" dxfId="10121" priority="1175" operator="lessThan">
      <formula>0</formula>
    </cfRule>
    <cfRule type="cellIs" dxfId="10120" priority="1176" operator="lessThan">
      <formula>-105575</formula>
    </cfRule>
  </conditionalFormatting>
  <conditionalFormatting sqref="BB274:BB275">
    <cfRule type="cellIs" dxfId="10119" priority="1173" operator="lessThan">
      <formula>0</formula>
    </cfRule>
    <cfRule type="cellIs" dxfId="10118" priority="1174" operator="lessThan">
      <formula>-105575</formula>
    </cfRule>
  </conditionalFormatting>
  <conditionalFormatting sqref="BB274:BB275">
    <cfRule type="cellIs" dxfId="10117" priority="1171" operator="lessThan">
      <formula>0</formula>
    </cfRule>
    <cfRule type="cellIs" dxfId="10116" priority="1172" operator="lessThan">
      <formula>-105575</formula>
    </cfRule>
  </conditionalFormatting>
  <conditionalFormatting sqref="BB274:BB275">
    <cfRule type="cellIs" dxfId="10115" priority="1169" operator="lessThan">
      <formula>0</formula>
    </cfRule>
    <cfRule type="cellIs" dxfId="10114" priority="1170" operator="lessThan">
      <formula>-105575</formula>
    </cfRule>
  </conditionalFormatting>
  <conditionalFormatting sqref="BB274:BB275">
    <cfRule type="cellIs" dxfId="10113" priority="1167" operator="lessThan">
      <formula>0</formula>
    </cfRule>
    <cfRule type="cellIs" dxfId="10112" priority="1168" operator="lessThan">
      <formula>-105575</formula>
    </cfRule>
  </conditionalFormatting>
  <conditionalFormatting sqref="BB274:BB275">
    <cfRule type="cellIs" dxfId="10111" priority="1165" operator="lessThan">
      <formula>0</formula>
    </cfRule>
    <cfRule type="cellIs" dxfId="10110" priority="1166" operator="lessThan">
      <formula>-105575</formula>
    </cfRule>
  </conditionalFormatting>
  <conditionalFormatting sqref="BB278:BB282">
    <cfRule type="cellIs" dxfId="10109" priority="1163" operator="lessThan">
      <formula>0</formula>
    </cfRule>
    <cfRule type="cellIs" dxfId="10108" priority="1164" operator="lessThan">
      <formula>-105575</formula>
    </cfRule>
  </conditionalFormatting>
  <conditionalFormatting sqref="BB278:BB282">
    <cfRule type="cellIs" dxfId="10107" priority="1161" operator="lessThan">
      <formula>0</formula>
    </cfRule>
    <cfRule type="cellIs" dxfId="10106" priority="1162" operator="lessThan">
      <formula>-105575</formula>
    </cfRule>
  </conditionalFormatting>
  <conditionalFormatting sqref="BB278:BB282">
    <cfRule type="cellIs" dxfId="10105" priority="1159" operator="lessThan">
      <formula>0</formula>
    </cfRule>
    <cfRule type="cellIs" dxfId="10104" priority="1160" operator="lessThan">
      <formula>-105575</formula>
    </cfRule>
  </conditionalFormatting>
  <conditionalFormatting sqref="BB278:BB282">
    <cfRule type="cellIs" dxfId="10103" priority="1157" operator="lessThan">
      <formula>0</formula>
    </cfRule>
    <cfRule type="cellIs" dxfId="10102" priority="1158" operator="lessThan">
      <formula>-105575</formula>
    </cfRule>
  </conditionalFormatting>
  <conditionalFormatting sqref="BB278:BB282">
    <cfRule type="cellIs" dxfId="10101" priority="1155" operator="lessThan">
      <formula>0</formula>
    </cfRule>
    <cfRule type="cellIs" dxfId="10100" priority="1156" operator="lessThan">
      <formula>-105575</formula>
    </cfRule>
  </conditionalFormatting>
  <conditionalFormatting sqref="BB278:BB282">
    <cfRule type="cellIs" dxfId="10099" priority="1153" operator="lessThan">
      <formula>0</formula>
    </cfRule>
    <cfRule type="cellIs" dxfId="10098" priority="1154" operator="lessThan">
      <formula>-105575</formula>
    </cfRule>
  </conditionalFormatting>
  <conditionalFormatting sqref="BB278:BB282">
    <cfRule type="cellIs" dxfId="10097" priority="1151" operator="lessThan">
      <formula>0</formula>
    </cfRule>
    <cfRule type="cellIs" dxfId="10096" priority="1152" operator="lessThan">
      <formula>-105575</formula>
    </cfRule>
  </conditionalFormatting>
  <conditionalFormatting sqref="BB278:BB282">
    <cfRule type="cellIs" dxfId="10095" priority="1149" operator="lessThan">
      <formula>0</formula>
    </cfRule>
    <cfRule type="cellIs" dxfId="10094" priority="1150" operator="lessThan">
      <formula>-105575</formula>
    </cfRule>
  </conditionalFormatting>
  <conditionalFormatting sqref="BB278:BB282">
    <cfRule type="cellIs" dxfId="10093" priority="1147" operator="lessThan">
      <formula>0</formula>
    </cfRule>
    <cfRule type="cellIs" dxfId="10092" priority="1148" operator="lessThan">
      <formula>-105575</formula>
    </cfRule>
  </conditionalFormatting>
  <conditionalFormatting sqref="BB285:BB288">
    <cfRule type="cellIs" dxfId="10091" priority="1145" operator="lessThan">
      <formula>0</formula>
    </cfRule>
    <cfRule type="cellIs" dxfId="10090" priority="1146" operator="lessThan">
      <formula>-105575</formula>
    </cfRule>
  </conditionalFormatting>
  <conditionalFormatting sqref="BB285:BB288">
    <cfRule type="cellIs" dxfId="10089" priority="1143" operator="lessThan">
      <formula>0</formula>
    </cfRule>
    <cfRule type="cellIs" dxfId="10088" priority="1144" operator="lessThan">
      <formula>-105575</formula>
    </cfRule>
  </conditionalFormatting>
  <conditionalFormatting sqref="BB285:BB288">
    <cfRule type="cellIs" dxfId="10087" priority="1141" operator="lessThan">
      <formula>0</formula>
    </cfRule>
    <cfRule type="cellIs" dxfId="10086" priority="1142" operator="lessThan">
      <formula>-105575</formula>
    </cfRule>
  </conditionalFormatting>
  <conditionalFormatting sqref="BB285:BB288">
    <cfRule type="cellIs" dxfId="10085" priority="1139" operator="lessThan">
      <formula>0</formula>
    </cfRule>
    <cfRule type="cellIs" dxfId="10084" priority="1140" operator="lessThan">
      <formula>-105575</formula>
    </cfRule>
  </conditionalFormatting>
  <conditionalFormatting sqref="BB285:BB288">
    <cfRule type="cellIs" dxfId="10083" priority="1137" operator="lessThan">
      <formula>0</formula>
    </cfRule>
    <cfRule type="cellIs" dxfId="10082" priority="1138" operator="lessThan">
      <formula>-105575</formula>
    </cfRule>
  </conditionalFormatting>
  <conditionalFormatting sqref="BB285:BB288">
    <cfRule type="cellIs" dxfId="10081" priority="1135" operator="lessThan">
      <formula>0</formula>
    </cfRule>
    <cfRule type="cellIs" dxfId="10080" priority="1136" operator="lessThan">
      <formula>-105575</formula>
    </cfRule>
  </conditionalFormatting>
  <conditionalFormatting sqref="BB285:BB288">
    <cfRule type="cellIs" dxfId="10079" priority="1133" operator="lessThan">
      <formula>0</formula>
    </cfRule>
    <cfRule type="cellIs" dxfId="10078" priority="1134" operator="lessThan">
      <formula>-105575</formula>
    </cfRule>
  </conditionalFormatting>
  <conditionalFormatting sqref="BB285:BB288">
    <cfRule type="cellIs" dxfId="10077" priority="1131" operator="lessThan">
      <formula>0</formula>
    </cfRule>
    <cfRule type="cellIs" dxfId="10076" priority="1132" operator="lessThan">
      <formula>-105575</formula>
    </cfRule>
  </conditionalFormatting>
  <conditionalFormatting sqref="BB285:BB288">
    <cfRule type="cellIs" dxfId="10075" priority="1129" operator="lessThan">
      <formula>0</formula>
    </cfRule>
    <cfRule type="cellIs" dxfId="10074" priority="1130" operator="lessThan">
      <formula>-105575</formula>
    </cfRule>
  </conditionalFormatting>
  <conditionalFormatting sqref="BB203 BB220:BB221 BB235:BB243 BB231:BB233 BB212:BB213 BB225:BB226">
    <cfRule type="cellIs" dxfId="10073" priority="1127" operator="lessThan">
      <formula>0</formula>
    </cfRule>
    <cfRule type="cellIs" dxfId="10072" priority="1128" operator="lessThan">
      <formula>-105575</formula>
    </cfRule>
  </conditionalFormatting>
  <conditionalFormatting sqref="BB220 BB212:BB213 BB235:BB238 BB240:BB243 BB225:BB226 BB231:BB233">
    <cfRule type="cellIs" dxfId="10071" priority="1125" operator="lessThan">
      <formula>0</formula>
    </cfRule>
    <cfRule type="cellIs" dxfId="10070" priority="1126" operator="lessThan">
      <formula>-105575</formula>
    </cfRule>
  </conditionalFormatting>
  <conditionalFormatting sqref="BB220:BB221 BB243 BB226 BB231:BB236 BB238:BB241 BB203 BB213">
    <cfRule type="cellIs" dxfId="10069" priority="1123" operator="lessThan">
      <formula>0</formula>
    </cfRule>
    <cfRule type="cellIs" dxfId="10068" priority="1124" operator="lessThan">
      <formula>-105575</formula>
    </cfRule>
  </conditionalFormatting>
  <conditionalFormatting sqref="BB235:BB243 BB231:BB233 BB220 BB212:BB213 BB225:BB226">
    <cfRule type="cellIs" dxfId="10067" priority="1121" operator="lessThan">
      <formula>0</formula>
    </cfRule>
    <cfRule type="cellIs" dxfId="10066" priority="1122" operator="lessThan">
      <formula>-105575</formula>
    </cfRule>
  </conditionalFormatting>
  <conditionalFormatting sqref="BB220:BB221 BB237:BB243 BB203 BB231:BB235 BB212:BB213 BB225:BB226">
    <cfRule type="cellIs" dxfId="10065" priority="1119" operator="lessThan">
      <formula>0</formula>
    </cfRule>
    <cfRule type="cellIs" dxfId="10064" priority="1120" operator="lessThan">
      <formula>-105575</formula>
    </cfRule>
  </conditionalFormatting>
  <conditionalFormatting sqref="BB220:BB221 BB237:BB240 BB242:BB243 BB225:BB226 BB231:BB235">
    <cfRule type="cellIs" dxfId="10063" priority="1117" operator="lessThan">
      <formula>0</formula>
    </cfRule>
    <cfRule type="cellIs" dxfId="10062" priority="1118" operator="lessThan">
      <formula>-105575</formula>
    </cfRule>
  </conditionalFormatting>
  <conditionalFormatting sqref="BB212 BB231 BB233:BB238 BB240:BB243 BB225">
    <cfRule type="cellIs" dxfId="10061" priority="1115" operator="lessThan">
      <formula>0</formula>
    </cfRule>
    <cfRule type="cellIs" dxfId="10060" priority="1116" operator="lessThan">
      <formula>-105575</formula>
    </cfRule>
  </conditionalFormatting>
  <conditionalFormatting sqref="BB237:BB243 BB231:BB235 BB220:BB221 BB225:BB226">
    <cfRule type="cellIs" dxfId="10059" priority="1113" operator="lessThan">
      <formula>0</formula>
    </cfRule>
    <cfRule type="cellIs" dxfId="10058" priority="1114" operator="lessThan">
      <formula>-105575</formula>
    </cfRule>
  </conditionalFormatting>
  <conditionalFormatting sqref="BB233:BB237 BB231 BB239:BB243">
    <cfRule type="cellIs" dxfId="10057" priority="1111" operator="lessThan">
      <formula>0</formula>
    </cfRule>
    <cfRule type="cellIs" dxfId="10056" priority="1112" operator="lessThan">
      <formula>-105575</formula>
    </cfRule>
  </conditionalFormatting>
  <conditionalFormatting sqref="BB233:BB237 BB231 BB239:BB243">
    <cfRule type="cellIs" dxfId="10055" priority="1109" operator="lessThan">
      <formula>0</formula>
    </cfRule>
    <cfRule type="cellIs" dxfId="10054" priority="1110" operator="lessThan">
      <formula>-105575</formula>
    </cfRule>
  </conditionalFormatting>
  <conditionalFormatting sqref="BB119:BB128 BB106:BB117 BB101:BB104 BB80:BB98">
    <cfRule type="cellIs" dxfId="10053" priority="1107" operator="lessThan">
      <formula>0</formula>
    </cfRule>
    <cfRule type="cellIs" dxfId="10052" priority="1108" operator="lessThan">
      <formula>-105575</formula>
    </cfRule>
  </conditionalFormatting>
  <conditionalFormatting sqref="BB130 BB132 BB134">
    <cfRule type="cellIs" dxfId="10051" priority="1105" operator="lessThan">
      <formula>0</formula>
    </cfRule>
    <cfRule type="cellIs" dxfId="10050" priority="1106" operator="lessThan">
      <formula>-105575</formula>
    </cfRule>
  </conditionalFormatting>
  <conditionalFormatting sqref="BB130 BB132 BB134">
    <cfRule type="cellIs" dxfId="10049" priority="1103" operator="lessThan">
      <formula>0</formula>
    </cfRule>
    <cfRule type="cellIs" dxfId="10048" priority="1104" operator="lessThan">
      <formula>-105575</formula>
    </cfRule>
  </conditionalFormatting>
  <conditionalFormatting sqref="BB129 BB131 BB133 BB135">
    <cfRule type="cellIs" dxfId="10047" priority="1101" operator="lessThan">
      <formula>0</formula>
    </cfRule>
    <cfRule type="cellIs" dxfId="10046" priority="1102" operator="lessThan">
      <formula>-105575</formula>
    </cfRule>
  </conditionalFormatting>
  <conditionalFormatting sqref="BB140 BB145 BB142:BB143 BB137:BB138">
    <cfRule type="cellIs" dxfId="10045" priority="1099" operator="lessThan">
      <formula>0</formula>
    </cfRule>
    <cfRule type="cellIs" dxfId="10044" priority="1100" operator="lessThan">
      <formula>-105575</formula>
    </cfRule>
  </conditionalFormatting>
  <conditionalFormatting sqref="BB149">
    <cfRule type="cellIs" dxfId="10043" priority="1097" operator="lessThan">
      <formula>0</formula>
    </cfRule>
    <cfRule type="cellIs" dxfId="10042" priority="1098" operator="lessThan">
      <formula>-105575</formula>
    </cfRule>
  </conditionalFormatting>
  <conditionalFormatting sqref="BB129:BB138 BB140:BB149">
    <cfRule type="cellIs" dxfId="10041" priority="1095" operator="lessThan">
      <formula>0</formula>
    </cfRule>
    <cfRule type="cellIs" dxfId="10040" priority="1096" operator="lessThan">
      <formula>-105575</formula>
    </cfRule>
  </conditionalFormatting>
  <conditionalFormatting sqref="BB94:BB98 BB86:BB87 BB89:BB91 BB141:BB149 BB124:BB133 BB107:BB110 BB112:BB117 BB119:BB122 BB135:BB138 BB101:BB104 BB80:BB84">
    <cfRule type="cellIs" dxfId="10039" priority="1093" operator="lessThan">
      <formula>0</formula>
    </cfRule>
    <cfRule type="cellIs" dxfId="10038" priority="1094" operator="lessThan">
      <formula>-105575</formula>
    </cfRule>
  </conditionalFormatting>
  <conditionalFormatting sqref="BB129 BB131 BB133 BB135">
    <cfRule type="cellIs" dxfId="10037" priority="1091" operator="lessThan">
      <formula>0</formula>
    </cfRule>
    <cfRule type="cellIs" dxfId="10036" priority="1092" operator="lessThan">
      <formula>-105575</formula>
    </cfRule>
  </conditionalFormatting>
  <conditionalFormatting sqref="BB146 BB144 BB141">
    <cfRule type="cellIs" dxfId="10035" priority="1089" operator="lessThan">
      <formula>0</formula>
    </cfRule>
    <cfRule type="cellIs" dxfId="10034" priority="1090" operator="lessThan">
      <formula>-105575</formula>
    </cfRule>
  </conditionalFormatting>
  <conditionalFormatting sqref="BB146 BB144 BB141">
    <cfRule type="cellIs" dxfId="10033" priority="1087" operator="lessThan">
      <formula>0</formula>
    </cfRule>
    <cfRule type="cellIs" dxfId="10032" priority="1088" operator="lessThan">
      <formula>-105575</formula>
    </cfRule>
  </conditionalFormatting>
  <conditionalFormatting sqref="BB140 BB145 BB142:BB143 BB137:BB138">
    <cfRule type="cellIs" dxfId="10031" priority="1085" operator="lessThan">
      <formula>0</formula>
    </cfRule>
    <cfRule type="cellIs" dxfId="10030" priority="1086" operator="lessThan">
      <formula>-105575</formula>
    </cfRule>
  </conditionalFormatting>
  <conditionalFormatting sqref="BB149">
    <cfRule type="cellIs" dxfId="10029" priority="1083" operator="lessThan">
      <formula>0</formula>
    </cfRule>
    <cfRule type="cellIs" dxfId="10028" priority="1084" operator="lessThan">
      <formula>-105575</formula>
    </cfRule>
  </conditionalFormatting>
  <conditionalFormatting sqref="BB94:BB98 BB86:BB87 BB89:BB91 BB141:BB149 BB124:BB133 BB107:BB110 BB112:BB117 BB119:BB122 BB135:BB138 BB101:BB104 BB80:BB84">
    <cfRule type="cellIs" dxfId="10027" priority="1081" operator="lessThan">
      <formula>0</formula>
    </cfRule>
    <cfRule type="cellIs" dxfId="10026" priority="1082" operator="lessThan">
      <formula>-105575</formula>
    </cfRule>
  </conditionalFormatting>
  <conditionalFormatting sqref="BB246:BB249 BB262 BB267 BB279:BB282 BB285:BB288 BB274:BB275 BB306:BB309 BB311:BB325 BB327:BB330 BB332:BB341 BB344:BB347 BB349:BB353 BB355:BB358 BB360:BB384 BB386:BB389 BB392:BB395 BB397:BB411 BB413:BB416 BB418:BB432 BB434:BB437 BB439:BB453 BB455:BB458 BB460:BB469 BB7:BB10 BB12:BB14 BB17:BB18 BB21:BB24 BB26:BB28 BB30:BB36 BB38 BB41:BB43 BB46:BB49 BB51:BB55 BB57:BB59 BB62:BB76 BB251:BB253 BB255:BB257 BB293:BB304 BB264:BB265 BB260 BB290:BB291 BB270:BB272">
    <cfRule type="cellIs" dxfId="10025" priority="1079" operator="lessThan">
      <formula>0</formula>
    </cfRule>
    <cfRule type="cellIs" dxfId="10024" priority="1080" operator="lessThan">
      <formula>-105575</formula>
    </cfRule>
  </conditionalFormatting>
  <conditionalFormatting sqref="BB41">
    <cfRule type="cellIs" dxfId="10023" priority="1077" operator="lessThan">
      <formula>0</formula>
    </cfRule>
    <cfRule type="cellIs" dxfId="10022" priority="1078" operator="lessThan">
      <formula>-105575</formula>
    </cfRule>
  </conditionalFormatting>
  <conditionalFormatting sqref="BB152:BB155">
    <cfRule type="cellIs" dxfId="10021" priority="1075" operator="lessThan">
      <formula>0</formula>
    </cfRule>
    <cfRule type="cellIs" dxfId="10020" priority="1076" operator="lessThan">
      <formula>-105575</formula>
    </cfRule>
  </conditionalFormatting>
  <conditionalFormatting sqref="BB152:BB155">
    <cfRule type="cellIs" dxfId="10019" priority="1073" operator="lessThan">
      <formula>0</formula>
    </cfRule>
    <cfRule type="cellIs" dxfId="10018" priority="1074" operator="lessThan">
      <formula>-105575</formula>
    </cfRule>
  </conditionalFormatting>
  <conditionalFormatting sqref="BB152:BB155">
    <cfRule type="cellIs" dxfId="10017" priority="1071" operator="lessThan">
      <formula>0</formula>
    </cfRule>
    <cfRule type="cellIs" dxfId="10016" priority="1072" operator="lessThan">
      <formula>-105575</formula>
    </cfRule>
  </conditionalFormatting>
  <conditionalFormatting sqref="BB157:BB158">
    <cfRule type="cellIs" dxfId="10015" priority="1069" operator="lessThan">
      <formula>0</formula>
    </cfRule>
    <cfRule type="cellIs" dxfId="10014" priority="1070" operator="lessThan">
      <formula>-105575</formula>
    </cfRule>
  </conditionalFormatting>
  <conditionalFormatting sqref="BB157:BB158">
    <cfRule type="cellIs" dxfId="10013" priority="1067" operator="lessThan">
      <formula>0</formula>
    </cfRule>
    <cfRule type="cellIs" dxfId="10012" priority="1068" operator="lessThan">
      <formula>-105575</formula>
    </cfRule>
  </conditionalFormatting>
  <conditionalFormatting sqref="BB157:BB158">
    <cfRule type="cellIs" dxfId="10011" priority="1065" operator="lessThan">
      <formula>0</formula>
    </cfRule>
    <cfRule type="cellIs" dxfId="10010" priority="1066" operator="lessThan">
      <formula>-105575</formula>
    </cfRule>
  </conditionalFormatting>
  <conditionalFormatting sqref="BB160:BB161">
    <cfRule type="cellIs" dxfId="10009" priority="1063" operator="lessThan">
      <formula>0</formula>
    </cfRule>
    <cfRule type="cellIs" dxfId="10008" priority="1064" operator="lessThan">
      <formula>-105575</formula>
    </cfRule>
  </conditionalFormatting>
  <conditionalFormatting sqref="BB160:BB161">
    <cfRule type="cellIs" dxfId="10007" priority="1061" operator="lessThan">
      <formula>0</formula>
    </cfRule>
    <cfRule type="cellIs" dxfId="10006" priority="1062" operator="lessThan">
      <formula>-105575</formula>
    </cfRule>
  </conditionalFormatting>
  <conditionalFormatting sqref="BB160:BB161">
    <cfRule type="cellIs" dxfId="10005" priority="1059" operator="lessThan">
      <formula>0</formula>
    </cfRule>
    <cfRule type="cellIs" dxfId="10004" priority="1060" operator="lessThan">
      <formula>-105575</formula>
    </cfRule>
  </conditionalFormatting>
  <conditionalFormatting sqref="BB164:BB167">
    <cfRule type="cellIs" dxfId="10003" priority="1057" operator="lessThan">
      <formula>0</formula>
    </cfRule>
    <cfRule type="cellIs" dxfId="10002" priority="1058" operator="lessThan">
      <formula>-105575</formula>
    </cfRule>
  </conditionalFormatting>
  <conditionalFormatting sqref="BB164:BB167">
    <cfRule type="cellIs" dxfId="10001" priority="1055" operator="lessThan">
      <formula>0</formula>
    </cfRule>
    <cfRule type="cellIs" dxfId="10000" priority="1056" operator="lessThan">
      <formula>-105575</formula>
    </cfRule>
  </conditionalFormatting>
  <conditionalFormatting sqref="BB164:BB167">
    <cfRule type="cellIs" dxfId="9999" priority="1053" operator="lessThan">
      <formula>0</formula>
    </cfRule>
    <cfRule type="cellIs" dxfId="9998" priority="1054" operator="lessThan">
      <formula>-105575</formula>
    </cfRule>
  </conditionalFormatting>
  <conditionalFormatting sqref="BB169:BB177">
    <cfRule type="cellIs" dxfId="9997" priority="1051" operator="lessThan">
      <formula>0</formula>
    </cfRule>
    <cfRule type="cellIs" dxfId="9996" priority="1052" operator="lessThan">
      <formula>-105575</formula>
    </cfRule>
  </conditionalFormatting>
  <conditionalFormatting sqref="BB169:BB177">
    <cfRule type="cellIs" dxfId="9995" priority="1049" operator="lessThan">
      <formula>0</formula>
    </cfRule>
    <cfRule type="cellIs" dxfId="9994" priority="1050" operator="lessThan">
      <formula>-105575</formula>
    </cfRule>
  </conditionalFormatting>
  <conditionalFormatting sqref="BB169:BB177">
    <cfRule type="cellIs" dxfId="9993" priority="1047" operator="lessThan">
      <formula>0</formula>
    </cfRule>
    <cfRule type="cellIs" dxfId="9992" priority="1048" operator="lessThan">
      <formula>-105575</formula>
    </cfRule>
  </conditionalFormatting>
  <conditionalFormatting sqref="BB179:BB180">
    <cfRule type="cellIs" dxfId="9991" priority="1045" operator="lessThan">
      <formula>0</formula>
    </cfRule>
    <cfRule type="cellIs" dxfId="9990" priority="1046" operator="lessThan">
      <formula>-105575</formula>
    </cfRule>
  </conditionalFormatting>
  <conditionalFormatting sqref="BB179:BB180">
    <cfRule type="cellIs" dxfId="9989" priority="1043" operator="lessThan">
      <formula>0</formula>
    </cfRule>
    <cfRule type="cellIs" dxfId="9988" priority="1044" operator="lessThan">
      <formula>-105575</formula>
    </cfRule>
  </conditionalFormatting>
  <conditionalFormatting sqref="BB179:BB180">
    <cfRule type="cellIs" dxfId="9987" priority="1041" operator="lessThan">
      <formula>0</formula>
    </cfRule>
    <cfRule type="cellIs" dxfId="9986" priority="1042" operator="lessThan">
      <formula>-105575</formula>
    </cfRule>
  </conditionalFormatting>
  <conditionalFormatting sqref="BB183:BB189">
    <cfRule type="cellIs" dxfId="9985" priority="1039" operator="lessThan">
      <formula>0</formula>
    </cfRule>
    <cfRule type="cellIs" dxfId="9984" priority="1040" operator="lessThan">
      <formula>-105575</formula>
    </cfRule>
  </conditionalFormatting>
  <conditionalFormatting sqref="BB183:BB189">
    <cfRule type="cellIs" dxfId="9983" priority="1037" operator="lessThan">
      <formula>0</formula>
    </cfRule>
    <cfRule type="cellIs" dxfId="9982" priority="1038" operator="lessThan">
      <formula>-105575</formula>
    </cfRule>
  </conditionalFormatting>
  <conditionalFormatting sqref="BB183:BB189">
    <cfRule type="cellIs" dxfId="9981" priority="1035" operator="lessThan">
      <formula>0</formula>
    </cfRule>
    <cfRule type="cellIs" dxfId="9980" priority="1036" operator="lessThan">
      <formula>-105575</formula>
    </cfRule>
  </conditionalFormatting>
  <conditionalFormatting sqref="BB191:BB192">
    <cfRule type="cellIs" dxfId="9979" priority="1033" operator="lessThan">
      <formula>0</formula>
    </cfRule>
    <cfRule type="cellIs" dxfId="9978" priority="1034" operator="lessThan">
      <formula>-105575</formula>
    </cfRule>
  </conditionalFormatting>
  <conditionalFormatting sqref="BB191:BB192">
    <cfRule type="cellIs" dxfId="9977" priority="1031" operator="lessThan">
      <formula>0</formula>
    </cfRule>
    <cfRule type="cellIs" dxfId="9976" priority="1032" operator="lessThan">
      <formula>-105575</formula>
    </cfRule>
  </conditionalFormatting>
  <conditionalFormatting sqref="BB191:BB192">
    <cfRule type="cellIs" dxfId="9975" priority="1029" operator="lessThan">
      <formula>0</formula>
    </cfRule>
    <cfRule type="cellIs" dxfId="9974" priority="1030" operator="lessThan">
      <formula>-105575</formula>
    </cfRule>
  </conditionalFormatting>
  <conditionalFormatting sqref="BB194:BB195">
    <cfRule type="cellIs" dxfId="9973" priority="1027" operator="lessThan">
      <formula>0</formula>
    </cfRule>
    <cfRule type="cellIs" dxfId="9972" priority="1028" operator="lessThan">
      <formula>-105575</formula>
    </cfRule>
  </conditionalFormatting>
  <conditionalFormatting sqref="BB194:BB195">
    <cfRule type="cellIs" dxfId="9971" priority="1025" operator="lessThan">
      <formula>0</formula>
    </cfRule>
    <cfRule type="cellIs" dxfId="9970" priority="1026" operator="lessThan">
      <formula>-105575</formula>
    </cfRule>
  </conditionalFormatting>
  <conditionalFormatting sqref="BB194:BB195">
    <cfRule type="cellIs" dxfId="9969" priority="1023" operator="lessThan">
      <formula>0</formula>
    </cfRule>
    <cfRule type="cellIs" dxfId="9968" priority="1024" operator="lessThan">
      <formula>-105575</formula>
    </cfRule>
  </conditionalFormatting>
  <conditionalFormatting sqref="BB199:BB202">
    <cfRule type="cellIs" dxfId="9967" priority="1021" operator="lessThan">
      <formula>0</formula>
    </cfRule>
    <cfRule type="cellIs" dxfId="9966" priority="1022" operator="lessThan">
      <formula>-105575</formula>
    </cfRule>
  </conditionalFormatting>
  <conditionalFormatting sqref="BB199:BB202">
    <cfRule type="cellIs" dxfId="9965" priority="1019" operator="lessThan">
      <formula>0</formula>
    </cfRule>
    <cfRule type="cellIs" dxfId="9964" priority="1020" operator="lessThan">
      <formula>-105575</formula>
    </cfRule>
  </conditionalFormatting>
  <conditionalFormatting sqref="BB199:BB202">
    <cfRule type="cellIs" dxfId="9963" priority="1017" operator="lessThan">
      <formula>0</formula>
    </cfRule>
    <cfRule type="cellIs" dxfId="9962" priority="1018" operator="lessThan">
      <formula>-105575</formula>
    </cfRule>
  </conditionalFormatting>
  <conditionalFormatting sqref="BB204:BB208">
    <cfRule type="cellIs" dxfId="9961" priority="1015" operator="lessThan">
      <formula>0</formula>
    </cfRule>
    <cfRule type="cellIs" dxfId="9960" priority="1016" operator="lessThan">
      <formula>-105575</formula>
    </cfRule>
  </conditionalFormatting>
  <conditionalFormatting sqref="BB204:BB208">
    <cfRule type="cellIs" dxfId="9959" priority="1013" operator="lessThan">
      <formula>0</formula>
    </cfRule>
    <cfRule type="cellIs" dxfId="9958" priority="1014" operator="lessThan">
      <formula>-105575</formula>
    </cfRule>
  </conditionalFormatting>
  <conditionalFormatting sqref="BB204:BB208">
    <cfRule type="cellIs" dxfId="9957" priority="1011" operator="lessThan">
      <formula>0</formula>
    </cfRule>
    <cfRule type="cellIs" dxfId="9956" priority="1012" operator="lessThan">
      <formula>-105575</formula>
    </cfRule>
  </conditionalFormatting>
  <conditionalFormatting sqref="BB210:BB211">
    <cfRule type="cellIs" dxfId="9955" priority="1009" operator="lessThan">
      <formula>0</formula>
    </cfRule>
    <cfRule type="cellIs" dxfId="9954" priority="1010" operator="lessThan">
      <formula>-105575</formula>
    </cfRule>
  </conditionalFormatting>
  <conditionalFormatting sqref="BB210:BB211">
    <cfRule type="cellIs" dxfId="9953" priority="1007" operator="lessThan">
      <formula>0</formula>
    </cfRule>
    <cfRule type="cellIs" dxfId="9952" priority="1008" operator="lessThan">
      <formula>-105575</formula>
    </cfRule>
  </conditionalFormatting>
  <conditionalFormatting sqref="BB210:BB211">
    <cfRule type="cellIs" dxfId="9951" priority="1005" operator="lessThan">
      <formula>0</formula>
    </cfRule>
    <cfRule type="cellIs" dxfId="9950" priority="1006" operator="lessThan">
      <formula>-105575</formula>
    </cfRule>
  </conditionalFormatting>
  <conditionalFormatting sqref="BB214:BB219">
    <cfRule type="cellIs" dxfId="9949" priority="1003" operator="lessThan">
      <formula>0</formula>
    </cfRule>
    <cfRule type="cellIs" dxfId="9948" priority="1004" operator="lessThan">
      <formula>-105575</formula>
    </cfRule>
  </conditionalFormatting>
  <conditionalFormatting sqref="BB214:BB219">
    <cfRule type="cellIs" dxfId="9947" priority="1001" operator="lessThan">
      <formula>0</formula>
    </cfRule>
    <cfRule type="cellIs" dxfId="9946" priority="1002" operator="lessThan">
      <formula>-105575</formula>
    </cfRule>
  </conditionalFormatting>
  <conditionalFormatting sqref="BB214:BB219">
    <cfRule type="cellIs" dxfId="9945" priority="999" operator="lessThan">
      <formula>0</formula>
    </cfRule>
    <cfRule type="cellIs" dxfId="9944" priority="1000" operator="lessThan">
      <formula>-105575</formula>
    </cfRule>
  </conditionalFormatting>
  <conditionalFormatting sqref="BB222:BB224">
    <cfRule type="cellIs" dxfId="9943" priority="997" operator="lessThan">
      <formula>0</formula>
    </cfRule>
    <cfRule type="cellIs" dxfId="9942" priority="998" operator="lessThan">
      <formula>-105575</formula>
    </cfRule>
  </conditionalFormatting>
  <conditionalFormatting sqref="BB222:BB224">
    <cfRule type="cellIs" dxfId="9941" priority="995" operator="lessThan">
      <formula>0</formula>
    </cfRule>
    <cfRule type="cellIs" dxfId="9940" priority="996" operator="lessThan">
      <formula>-105575</formula>
    </cfRule>
  </conditionalFormatting>
  <conditionalFormatting sqref="BB222:BB224">
    <cfRule type="cellIs" dxfId="9939" priority="993" operator="lessThan">
      <formula>0</formula>
    </cfRule>
    <cfRule type="cellIs" dxfId="9938" priority="994" operator="lessThan">
      <formula>-105575</formula>
    </cfRule>
  </conditionalFormatting>
  <conditionalFormatting sqref="BB227:BB230">
    <cfRule type="cellIs" dxfId="9937" priority="991" operator="lessThan">
      <formula>0</formula>
    </cfRule>
    <cfRule type="cellIs" dxfId="9936" priority="992" operator="lessThan">
      <formula>-105575</formula>
    </cfRule>
  </conditionalFormatting>
  <conditionalFormatting sqref="BB227:BB230">
    <cfRule type="cellIs" dxfId="9935" priority="989" operator="lessThan">
      <formula>0</formula>
    </cfRule>
    <cfRule type="cellIs" dxfId="9934" priority="990" operator="lessThan">
      <formula>-105575</formula>
    </cfRule>
  </conditionalFormatting>
  <conditionalFormatting sqref="BB227:BB230">
    <cfRule type="cellIs" dxfId="9933" priority="987" operator="lessThan">
      <formula>0</formula>
    </cfRule>
    <cfRule type="cellIs" dxfId="9932" priority="988" operator="lessThan">
      <formula>-105575</formula>
    </cfRule>
  </conditionalFormatting>
  <conditionalFormatting sqref="BB203 BB220:BB221 BB235:BB243 BB231:BB233 BB212:BB213 BB225:BB226">
    <cfRule type="cellIs" dxfId="9931" priority="985" operator="lessThan">
      <formula>0</formula>
    </cfRule>
    <cfRule type="cellIs" dxfId="9930" priority="986" operator="lessThan">
      <formula>-105575</formula>
    </cfRule>
  </conditionalFormatting>
  <conditionalFormatting sqref="BB220 BB212:BB213 BB235:BB238 BB240:BB243 BB225:BB226 BB231:BB233">
    <cfRule type="cellIs" dxfId="9929" priority="983" operator="lessThan">
      <formula>0</formula>
    </cfRule>
    <cfRule type="cellIs" dxfId="9928" priority="984" operator="lessThan">
      <formula>-105575</formula>
    </cfRule>
  </conditionalFormatting>
  <conditionalFormatting sqref="BB220:BB221 BB243 BB226 BB231:BB236 BB238:BB241 BB203 BB213">
    <cfRule type="cellIs" dxfId="9927" priority="981" operator="lessThan">
      <formula>0</formula>
    </cfRule>
    <cfRule type="cellIs" dxfId="9926" priority="982" operator="lessThan">
      <formula>-105575</formula>
    </cfRule>
  </conditionalFormatting>
  <conditionalFormatting sqref="BB235:BB243 BB231:BB233 BB220 BB212:BB213 BB225:BB226">
    <cfRule type="cellIs" dxfId="9925" priority="979" operator="lessThan">
      <formula>0</formula>
    </cfRule>
    <cfRule type="cellIs" dxfId="9924" priority="980" operator="lessThan">
      <formula>-105575</formula>
    </cfRule>
  </conditionalFormatting>
  <conditionalFormatting sqref="BB220:BB221 BB237:BB243 BB203 BB231:BB235 BB212:BB213 BB225:BB226">
    <cfRule type="cellIs" dxfId="9923" priority="977" operator="lessThan">
      <formula>0</formula>
    </cfRule>
    <cfRule type="cellIs" dxfId="9922" priority="978" operator="lessThan">
      <formula>-105575</formula>
    </cfRule>
  </conditionalFormatting>
  <conditionalFormatting sqref="BB220:BB221 BB237:BB240 BB242:BB243 BB225:BB226 BB231:BB235">
    <cfRule type="cellIs" dxfId="9921" priority="975" operator="lessThan">
      <formula>0</formula>
    </cfRule>
    <cfRule type="cellIs" dxfId="9920" priority="976" operator="lessThan">
      <formula>-105575</formula>
    </cfRule>
  </conditionalFormatting>
  <conditionalFormatting sqref="BB212 BB231 BB233:BB238 BB240:BB243 BB225">
    <cfRule type="cellIs" dxfId="9919" priority="973" operator="lessThan">
      <formula>0</formula>
    </cfRule>
    <cfRule type="cellIs" dxfId="9918" priority="974" operator="lessThan">
      <formula>-105575</formula>
    </cfRule>
  </conditionalFormatting>
  <conditionalFormatting sqref="BB237:BB243 BB231:BB235 BB220:BB221 BB225:BB226">
    <cfRule type="cellIs" dxfId="9917" priority="971" operator="lessThan">
      <formula>0</formula>
    </cfRule>
    <cfRule type="cellIs" dxfId="9916" priority="972" operator="lessThan">
      <formula>-105575</formula>
    </cfRule>
  </conditionalFormatting>
  <conditionalFormatting sqref="BB233:BB237 BB231 BB239:BB243">
    <cfRule type="cellIs" dxfId="9915" priority="969" operator="lessThan">
      <formula>0</formula>
    </cfRule>
    <cfRule type="cellIs" dxfId="9914" priority="970" operator="lessThan">
      <formula>-105575</formula>
    </cfRule>
  </conditionalFormatting>
  <conditionalFormatting sqref="BB233:BB237 BB231 BB239:BB243">
    <cfRule type="cellIs" dxfId="9913" priority="967" operator="lessThan">
      <formula>0</formula>
    </cfRule>
    <cfRule type="cellIs" dxfId="9912" priority="968" operator="lessThan">
      <formula>-105575</formula>
    </cfRule>
  </conditionalFormatting>
  <conditionalFormatting sqref="BB119:BB128 BB106:BB117 BB101:BB104 BB80:BB98">
    <cfRule type="cellIs" dxfId="9911" priority="965" operator="lessThan">
      <formula>0</formula>
    </cfRule>
    <cfRule type="cellIs" dxfId="9910" priority="966" operator="lessThan">
      <formula>-105575</formula>
    </cfRule>
  </conditionalFormatting>
  <conditionalFormatting sqref="BB130 BB132 BB134">
    <cfRule type="cellIs" dxfId="9909" priority="963" operator="lessThan">
      <formula>0</formula>
    </cfRule>
    <cfRule type="cellIs" dxfId="9908" priority="964" operator="lessThan">
      <formula>-105575</formula>
    </cfRule>
  </conditionalFormatting>
  <conditionalFormatting sqref="BB130 BB132 BB134">
    <cfRule type="cellIs" dxfId="9907" priority="961" operator="lessThan">
      <formula>0</formula>
    </cfRule>
    <cfRule type="cellIs" dxfId="9906" priority="962" operator="lessThan">
      <formula>-105575</formula>
    </cfRule>
  </conditionalFormatting>
  <conditionalFormatting sqref="BB129 BB131 BB133 BB135">
    <cfRule type="cellIs" dxfId="9905" priority="959" operator="lessThan">
      <formula>0</formula>
    </cfRule>
    <cfRule type="cellIs" dxfId="9904" priority="960" operator="lessThan">
      <formula>-105575</formula>
    </cfRule>
  </conditionalFormatting>
  <conditionalFormatting sqref="BB140 BB145 BB142:BB143 BB137:BB138">
    <cfRule type="cellIs" dxfId="9903" priority="957" operator="lessThan">
      <formula>0</formula>
    </cfRule>
    <cfRule type="cellIs" dxfId="9902" priority="958" operator="lessThan">
      <formula>-105575</formula>
    </cfRule>
  </conditionalFormatting>
  <conditionalFormatting sqref="BB149">
    <cfRule type="cellIs" dxfId="9901" priority="955" operator="lessThan">
      <formula>0</formula>
    </cfRule>
    <cfRule type="cellIs" dxfId="9900" priority="956" operator="lessThan">
      <formula>-105575</formula>
    </cfRule>
  </conditionalFormatting>
  <conditionalFormatting sqref="BB129:BB138 BB140:BB149">
    <cfRule type="cellIs" dxfId="9899" priority="953" operator="lessThan">
      <formula>0</formula>
    </cfRule>
    <cfRule type="cellIs" dxfId="9898" priority="954" operator="lessThan">
      <formula>-105575</formula>
    </cfRule>
  </conditionalFormatting>
  <conditionalFormatting sqref="BB94:BB98 BB86:BB87 BB89:BB91 BB141:BB149 BB124:BB133 BB107:BB110 BB112:BB117 BB119:BB122 BB135:BB138 BB101:BB104 BB80:BB84">
    <cfRule type="cellIs" dxfId="9897" priority="951" operator="lessThan">
      <formula>0</formula>
    </cfRule>
    <cfRule type="cellIs" dxfId="9896" priority="952" operator="lessThan">
      <formula>-105575</formula>
    </cfRule>
  </conditionalFormatting>
  <conditionalFormatting sqref="BB129 BB131 BB133 BB135">
    <cfRule type="cellIs" dxfId="9895" priority="949" operator="lessThan">
      <formula>0</formula>
    </cfRule>
    <cfRule type="cellIs" dxfId="9894" priority="950" operator="lessThan">
      <formula>-105575</formula>
    </cfRule>
  </conditionalFormatting>
  <conditionalFormatting sqref="BB146 BB144 BB141">
    <cfRule type="cellIs" dxfId="9893" priority="947" operator="lessThan">
      <formula>0</formula>
    </cfRule>
    <cfRule type="cellIs" dxfId="9892" priority="948" operator="lessThan">
      <formula>-105575</formula>
    </cfRule>
  </conditionalFormatting>
  <conditionalFormatting sqref="BB146 BB144 BB141">
    <cfRule type="cellIs" dxfId="9891" priority="945" operator="lessThan">
      <formula>0</formula>
    </cfRule>
    <cfRule type="cellIs" dxfId="9890" priority="946" operator="lessThan">
      <formula>-105575</formula>
    </cfRule>
  </conditionalFormatting>
  <conditionalFormatting sqref="BB140 BB145 BB142:BB143 BB137:BB138">
    <cfRule type="cellIs" dxfId="9889" priority="943" operator="lessThan">
      <formula>0</formula>
    </cfRule>
    <cfRule type="cellIs" dxfId="9888" priority="944" operator="lessThan">
      <formula>-105575</formula>
    </cfRule>
  </conditionalFormatting>
  <conditionalFormatting sqref="BB149">
    <cfRule type="cellIs" dxfId="9887" priority="941" operator="lessThan">
      <formula>0</formula>
    </cfRule>
    <cfRule type="cellIs" dxfId="9886" priority="942" operator="lessThan">
      <formula>-105575</formula>
    </cfRule>
  </conditionalFormatting>
  <conditionalFormatting sqref="BB94:BB98 BB86:BB87 BB89:BB91 BB141:BB149 BB124:BB133 BB107:BB110 BB112:BB117 BB119:BB122 BB135:BB138 BB101:BB104 BB80:BB84">
    <cfRule type="cellIs" dxfId="9885" priority="939" operator="lessThan">
      <formula>0</formula>
    </cfRule>
    <cfRule type="cellIs" dxfId="9884" priority="940" operator="lessThan">
      <formula>-105575</formula>
    </cfRule>
  </conditionalFormatting>
  <conditionalFormatting sqref="BB62:BB76 BB306:BB309 BB311:BB325 BB327:BB330 BB332:BB341 BB344:BB347 BB349:BB353 BB355:BB358 BB360:BB384 BB386:BB389 BB392:BB395 BB397:BB411 BB413:BB416 BB418:BB432 BB434:BB437 BB439:BB453 BB455:BB458 BB460:BB469 BB7:BB10 BB12:BB14 BB17:BB18 BB21:BB24 BB26:BB28 BB30:BB36 BB38 BB41:BB43 BB46:BB49 BB51:BB55 BB57:BB59 BB290:BB291 BB293:BB304">
    <cfRule type="cellIs" dxfId="9883" priority="937" operator="lessThan">
      <formula>0</formula>
    </cfRule>
    <cfRule type="cellIs" dxfId="9882" priority="938" operator="lessThan">
      <formula>-105575</formula>
    </cfRule>
  </conditionalFormatting>
  <conditionalFormatting sqref="BB41">
    <cfRule type="cellIs" dxfId="9881" priority="935" operator="lessThan">
      <formula>0</formula>
    </cfRule>
    <cfRule type="cellIs" dxfId="9880" priority="936" operator="lessThan">
      <formula>-105575</formula>
    </cfRule>
  </conditionalFormatting>
  <conditionalFormatting sqref="BB152:BB155">
    <cfRule type="cellIs" dxfId="9879" priority="933" operator="lessThan">
      <formula>0</formula>
    </cfRule>
    <cfRule type="cellIs" dxfId="9878" priority="934" operator="lessThan">
      <formula>-105575</formula>
    </cfRule>
  </conditionalFormatting>
  <conditionalFormatting sqref="BB152:BB155">
    <cfRule type="cellIs" dxfId="9877" priority="931" operator="lessThan">
      <formula>0</formula>
    </cfRule>
    <cfRule type="cellIs" dxfId="9876" priority="932" operator="lessThan">
      <formula>-105575</formula>
    </cfRule>
  </conditionalFormatting>
  <conditionalFormatting sqref="BB152:BB155">
    <cfRule type="cellIs" dxfId="9875" priority="929" operator="lessThan">
      <formula>0</formula>
    </cfRule>
    <cfRule type="cellIs" dxfId="9874" priority="930" operator="lessThan">
      <formula>-105575</formula>
    </cfRule>
  </conditionalFormatting>
  <conditionalFormatting sqref="BB157:BB158">
    <cfRule type="cellIs" dxfId="9873" priority="927" operator="lessThan">
      <formula>0</formula>
    </cfRule>
    <cfRule type="cellIs" dxfId="9872" priority="928" operator="lessThan">
      <formula>-105575</formula>
    </cfRule>
  </conditionalFormatting>
  <conditionalFormatting sqref="BB157:BB158">
    <cfRule type="cellIs" dxfId="9871" priority="925" operator="lessThan">
      <formula>0</formula>
    </cfRule>
    <cfRule type="cellIs" dxfId="9870" priority="926" operator="lessThan">
      <formula>-105575</formula>
    </cfRule>
  </conditionalFormatting>
  <conditionalFormatting sqref="BB157:BB158">
    <cfRule type="cellIs" dxfId="9869" priority="923" operator="lessThan">
      <formula>0</formula>
    </cfRule>
    <cfRule type="cellIs" dxfId="9868" priority="924" operator="lessThan">
      <formula>-105575</formula>
    </cfRule>
  </conditionalFormatting>
  <conditionalFormatting sqref="BB160:BB161">
    <cfRule type="cellIs" dxfId="9867" priority="921" operator="lessThan">
      <formula>0</formula>
    </cfRule>
    <cfRule type="cellIs" dxfId="9866" priority="922" operator="lessThan">
      <formula>-105575</formula>
    </cfRule>
  </conditionalFormatting>
  <conditionalFormatting sqref="BB160:BB161">
    <cfRule type="cellIs" dxfId="9865" priority="919" operator="lessThan">
      <formula>0</formula>
    </cfRule>
    <cfRule type="cellIs" dxfId="9864" priority="920" operator="lessThan">
      <formula>-105575</formula>
    </cfRule>
  </conditionalFormatting>
  <conditionalFormatting sqref="BB160:BB161">
    <cfRule type="cellIs" dxfId="9863" priority="917" operator="lessThan">
      <formula>0</formula>
    </cfRule>
    <cfRule type="cellIs" dxfId="9862" priority="918" operator="lessThan">
      <formula>-105575</formula>
    </cfRule>
  </conditionalFormatting>
  <conditionalFormatting sqref="BB164:BB167">
    <cfRule type="cellIs" dxfId="9861" priority="915" operator="lessThan">
      <formula>0</formula>
    </cfRule>
    <cfRule type="cellIs" dxfId="9860" priority="916" operator="lessThan">
      <formula>-105575</formula>
    </cfRule>
  </conditionalFormatting>
  <conditionalFormatting sqref="BB164:BB167">
    <cfRule type="cellIs" dxfId="9859" priority="913" operator="lessThan">
      <formula>0</formula>
    </cfRule>
    <cfRule type="cellIs" dxfId="9858" priority="914" operator="lessThan">
      <formula>-105575</formula>
    </cfRule>
  </conditionalFormatting>
  <conditionalFormatting sqref="BB164:BB167">
    <cfRule type="cellIs" dxfId="9857" priority="911" operator="lessThan">
      <formula>0</formula>
    </cfRule>
    <cfRule type="cellIs" dxfId="9856" priority="912" operator="lessThan">
      <formula>-105575</formula>
    </cfRule>
  </conditionalFormatting>
  <conditionalFormatting sqref="BB169:BB177">
    <cfRule type="cellIs" dxfId="9855" priority="909" operator="lessThan">
      <formula>0</formula>
    </cfRule>
    <cfRule type="cellIs" dxfId="9854" priority="910" operator="lessThan">
      <formula>-105575</formula>
    </cfRule>
  </conditionalFormatting>
  <conditionalFormatting sqref="BB169:BB177">
    <cfRule type="cellIs" dxfId="9853" priority="907" operator="lessThan">
      <formula>0</formula>
    </cfRule>
    <cfRule type="cellIs" dxfId="9852" priority="908" operator="lessThan">
      <formula>-105575</formula>
    </cfRule>
  </conditionalFormatting>
  <conditionalFormatting sqref="BB169:BB177">
    <cfRule type="cellIs" dxfId="9851" priority="905" operator="lessThan">
      <formula>0</formula>
    </cfRule>
    <cfRule type="cellIs" dxfId="9850" priority="906" operator="lessThan">
      <formula>-105575</formula>
    </cfRule>
  </conditionalFormatting>
  <conditionalFormatting sqref="BB179:BB180">
    <cfRule type="cellIs" dxfId="9849" priority="903" operator="lessThan">
      <formula>0</formula>
    </cfRule>
    <cfRule type="cellIs" dxfId="9848" priority="904" operator="lessThan">
      <formula>-105575</formula>
    </cfRule>
  </conditionalFormatting>
  <conditionalFormatting sqref="BB179:BB180">
    <cfRule type="cellIs" dxfId="9847" priority="901" operator="lessThan">
      <formula>0</formula>
    </cfRule>
    <cfRule type="cellIs" dxfId="9846" priority="902" operator="lessThan">
      <formula>-105575</formula>
    </cfRule>
  </conditionalFormatting>
  <conditionalFormatting sqref="BB179:BB180">
    <cfRule type="cellIs" dxfId="9845" priority="899" operator="lessThan">
      <formula>0</formula>
    </cfRule>
    <cfRule type="cellIs" dxfId="9844" priority="900" operator="lessThan">
      <formula>-105575</formula>
    </cfRule>
  </conditionalFormatting>
  <conditionalFormatting sqref="BB183:BB189">
    <cfRule type="cellIs" dxfId="9843" priority="897" operator="lessThan">
      <formula>0</formula>
    </cfRule>
    <cfRule type="cellIs" dxfId="9842" priority="898" operator="lessThan">
      <formula>-105575</formula>
    </cfRule>
  </conditionalFormatting>
  <conditionalFormatting sqref="BB183:BB189">
    <cfRule type="cellIs" dxfId="9841" priority="895" operator="lessThan">
      <formula>0</formula>
    </cfRule>
    <cfRule type="cellIs" dxfId="9840" priority="896" operator="lessThan">
      <formula>-105575</formula>
    </cfRule>
  </conditionalFormatting>
  <conditionalFormatting sqref="BB183:BB189">
    <cfRule type="cellIs" dxfId="9839" priority="893" operator="lessThan">
      <formula>0</formula>
    </cfRule>
    <cfRule type="cellIs" dxfId="9838" priority="894" operator="lessThan">
      <formula>-105575</formula>
    </cfRule>
  </conditionalFormatting>
  <conditionalFormatting sqref="BB191:BB192">
    <cfRule type="cellIs" dxfId="9837" priority="891" operator="lessThan">
      <formula>0</formula>
    </cfRule>
    <cfRule type="cellIs" dxfId="9836" priority="892" operator="lessThan">
      <formula>-105575</formula>
    </cfRule>
  </conditionalFormatting>
  <conditionalFormatting sqref="BB191:BB192">
    <cfRule type="cellIs" dxfId="9835" priority="889" operator="lessThan">
      <formula>0</formula>
    </cfRule>
    <cfRule type="cellIs" dxfId="9834" priority="890" operator="lessThan">
      <formula>-105575</formula>
    </cfRule>
  </conditionalFormatting>
  <conditionalFormatting sqref="BB191:BB192">
    <cfRule type="cellIs" dxfId="9833" priority="887" operator="lessThan">
      <formula>0</formula>
    </cfRule>
    <cfRule type="cellIs" dxfId="9832" priority="888" operator="lessThan">
      <formula>-105575</formula>
    </cfRule>
  </conditionalFormatting>
  <conditionalFormatting sqref="BB194:BB195">
    <cfRule type="cellIs" dxfId="9831" priority="885" operator="lessThan">
      <formula>0</formula>
    </cfRule>
    <cfRule type="cellIs" dxfId="9830" priority="886" operator="lessThan">
      <formula>-105575</formula>
    </cfRule>
  </conditionalFormatting>
  <conditionalFormatting sqref="BB194:BB195">
    <cfRule type="cellIs" dxfId="9829" priority="883" operator="lessThan">
      <formula>0</formula>
    </cfRule>
    <cfRule type="cellIs" dxfId="9828" priority="884" operator="lessThan">
      <formula>-105575</formula>
    </cfRule>
  </conditionalFormatting>
  <conditionalFormatting sqref="BB194:BB195">
    <cfRule type="cellIs" dxfId="9827" priority="881" operator="lessThan">
      <formula>0</formula>
    </cfRule>
    <cfRule type="cellIs" dxfId="9826" priority="882" operator="lessThan">
      <formula>-105575</formula>
    </cfRule>
  </conditionalFormatting>
  <conditionalFormatting sqref="BB199:BB202">
    <cfRule type="cellIs" dxfId="9825" priority="879" operator="lessThan">
      <formula>0</formula>
    </cfRule>
    <cfRule type="cellIs" dxfId="9824" priority="880" operator="lessThan">
      <formula>-105575</formula>
    </cfRule>
  </conditionalFormatting>
  <conditionalFormatting sqref="BB199:BB202">
    <cfRule type="cellIs" dxfId="9823" priority="877" operator="lessThan">
      <formula>0</formula>
    </cfRule>
    <cfRule type="cellIs" dxfId="9822" priority="878" operator="lessThan">
      <formula>-105575</formula>
    </cfRule>
  </conditionalFormatting>
  <conditionalFormatting sqref="BB199:BB202">
    <cfRule type="cellIs" dxfId="9821" priority="875" operator="lessThan">
      <formula>0</formula>
    </cfRule>
    <cfRule type="cellIs" dxfId="9820" priority="876" operator="lessThan">
      <formula>-105575</formula>
    </cfRule>
  </conditionalFormatting>
  <conditionalFormatting sqref="BB204:BB208">
    <cfRule type="cellIs" dxfId="9819" priority="873" operator="lessThan">
      <formula>0</formula>
    </cfRule>
    <cfRule type="cellIs" dxfId="9818" priority="874" operator="lessThan">
      <formula>-105575</formula>
    </cfRule>
  </conditionalFormatting>
  <conditionalFormatting sqref="BB204:BB208">
    <cfRule type="cellIs" dxfId="9817" priority="871" operator="lessThan">
      <formula>0</formula>
    </cfRule>
    <cfRule type="cellIs" dxfId="9816" priority="872" operator="lessThan">
      <formula>-105575</formula>
    </cfRule>
  </conditionalFormatting>
  <conditionalFormatting sqref="BB204:BB208">
    <cfRule type="cellIs" dxfId="9815" priority="869" operator="lessThan">
      <formula>0</formula>
    </cfRule>
    <cfRule type="cellIs" dxfId="9814" priority="870" operator="lessThan">
      <formula>-105575</formula>
    </cfRule>
  </conditionalFormatting>
  <conditionalFormatting sqref="BB210:BB211">
    <cfRule type="cellIs" dxfId="9813" priority="867" operator="lessThan">
      <formula>0</formula>
    </cfRule>
    <cfRule type="cellIs" dxfId="9812" priority="868" operator="lessThan">
      <formula>-105575</formula>
    </cfRule>
  </conditionalFormatting>
  <conditionalFormatting sqref="BB210:BB211">
    <cfRule type="cellIs" dxfId="9811" priority="865" operator="lessThan">
      <formula>0</formula>
    </cfRule>
    <cfRule type="cellIs" dxfId="9810" priority="866" operator="lessThan">
      <formula>-105575</formula>
    </cfRule>
  </conditionalFormatting>
  <conditionalFormatting sqref="BB210:BB211">
    <cfRule type="cellIs" dxfId="9809" priority="863" operator="lessThan">
      <formula>0</formula>
    </cfRule>
    <cfRule type="cellIs" dxfId="9808" priority="864" operator="lessThan">
      <formula>-105575</formula>
    </cfRule>
  </conditionalFormatting>
  <conditionalFormatting sqref="BB214:BB219">
    <cfRule type="cellIs" dxfId="9807" priority="861" operator="lessThan">
      <formula>0</formula>
    </cfRule>
    <cfRule type="cellIs" dxfId="9806" priority="862" operator="lessThan">
      <formula>-105575</formula>
    </cfRule>
  </conditionalFormatting>
  <conditionalFormatting sqref="BB214:BB219">
    <cfRule type="cellIs" dxfId="9805" priority="859" operator="lessThan">
      <formula>0</formula>
    </cfRule>
    <cfRule type="cellIs" dxfId="9804" priority="860" operator="lessThan">
      <formula>-105575</formula>
    </cfRule>
  </conditionalFormatting>
  <conditionalFormatting sqref="BB214:BB219">
    <cfRule type="cellIs" dxfId="9803" priority="857" operator="lessThan">
      <formula>0</formula>
    </cfRule>
    <cfRule type="cellIs" dxfId="9802" priority="858" operator="lessThan">
      <formula>-105575</formula>
    </cfRule>
  </conditionalFormatting>
  <conditionalFormatting sqref="BB222:BB224">
    <cfRule type="cellIs" dxfId="9801" priority="855" operator="lessThan">
      <formula>0</formula>
    </cfRule>
    <cfRule type="cellIs" dxfId="9800" priority="856" operator="lessThan">
      <formula>-105575</formula>
    </cfRule>
  </conditionalFormatting>
  <conditionalFormatting sqref="BB222:BB224">
    <cfRule type="cellIs" dxfId="9799" priority="853" operator="lessThan">
      <formula>0</formula>
    </cfRule>
    <cfRule type="cellIs" dxfId="9798" priority="854" operator="lessThan">
      <formula>-105575</formula>
    </cfRule>
  </conditionalFormatting>
  <conditionalFormatting sqref="BB222:BB224">
    <cfRule type="cellIs" dxfId="9797" priority="851" operator="lessThan">
      <formula>0</formula>
    </cfRule>
    <cfRule type="cellIs" dxfId="9796" priority="852" operator="lessThan">
      <formula>-105575</formula>
    </cfRule>
  </conditionalFormatting>
  <conditionalFormatting sqref="BB227:BB230">
    <cfRule type="cellIs" dxfId="9795" priority="849" operator="lessThan">
      <formula>0</formula>
    </cfRule>
    <cfRule type="cellIs" dxfId="9794" priority="850" operator="lessThan">
      <formula>-105575</formula>
    </cfRule>
  </conditionalFormatting>
  <conditionalFormatting sqref="BB227:BB230">
    <cfRule type="cellIs" dxfId="9793" priority="847" operator="lessThan">
      <formula>0</formula>
    </cfRule>
    <cfRule type="cellIs" dxfId="9792" priority="848" operator="lessThan">
      <formula>-105575</formula>
    </cfRule>
  </conditionalFormatting>
  <conditionalFormatting sqref="BB227:BB230">
    <cfRule type="cellIs" dxfId="9791" priority="845" operator="lessThan">
      <formula>0</formula>
    </cfRule>
    <cfRule type="cellIs" dxfId="9790" priority="846" operator="lessThan">
      <formula>-105575</formula>
    </cfRule>
  </conditionalFormatting>
  <conditionalFormatting sqref="BB246:BB249">
    <cfRule type="cellIs" dxfId="9789" priority="843" operator="lessThan">
      <formula>0</formula>
    </cfRule>
    <cfRule type="cellIs" dxfId="9788" priority="844" operator="lessThan">
      <formula>-105575</formula>
    </cfRule>
  </conditionalFormatting>
  <conditionalFormatting sqref="BB246:BB249">
    <cfRule type="cellIs" dxfId="9787" priority="841" operator="lessThan">
      <formula>0</formula>
    </cfRule>
    <cfRule type="cellIs" dxfId="9786" priority="842" operator="lessThan">
      <formula>-105575</formula>
    </cfRule>
  </conditionalFormatting>
  <conditionalFormatting sqref="BB246:BB249">
    <cfRule type="cellIs" dxfId="9785" priority="839" operator="lessThan">
      <formula>0</formula>
    </cfRule>
    <cfRule type="cellIs" dxfId="9784" priority="840" operator="lessThan">
      <formula>-105575</formula>
    </cfRule>
  </conditionalFormatting>
  <conditionalFormatting sqref="BB246:BB249">
    <cfRule type="cellIs" dxfId="9783" priority="837" operator="lessThan">
      <formula>0</formula>
    </cfRule>
    <cfRule type="cellIs" dxfId="9782" priority="838" operator="lessThan">
      <formula>-105575</formula>
    </cfRule>
  </conditionalFormatting>
  <conditionalFormatting sqref="BB246:BB249">
    <cfRule type="cellIs" dxfId="9781" priority="835" operator="lessThan">
      <formula>0</formula>
    </cfRule>
    <cfRule type="cellIs" dxfId="9780" priority="836" operator="lessThan">
      <formula>-105575</formula>
    </cfRule>
  </conditionalFormatting>
  <conditionalFormatting sqref="BB246:BB249">
    <cfRule type="cellIs" dxfId="9779" priority="833" operator="lessThan">
      <formula>0</formula>
    </cfRule>
    <cfRule type="cellIs" dxfId="9778" priority="834" operator="lessThan">
      <formula>-105575</formula>
    </cfRule>
  </conditionalFormatting>
  <conditionalFormatting sqref="BB246:BB249">
    <cfRule type="cellIs" dxfId="9777" priority="831" operator="lessThan">
      <formula>0</formula>
    </cfRule>
    <cfRule type="cellIs" dxfId="9776" priority="832" operator="lessThan">
      <formula>-105575</formula>
    </cfRule>
  </conditionalFormatting>
  <conditionalFormatting sqref="BB246:BB249">
    <cfRule type="cellIs" dxfId="9775" priority="829" operator="lessThan">
      <formula>0</formula>
    </cfRule>
    <cfRule type="cellIs" dxfId="9774" priority="830" operator="lessThan">
      <formula>-105575</formula>
    </cfRule>
  </conditionalFormatting>
  <conditionalFormatting sqref="BB246:BB249">
    <cfRule type="cellIs" dxfId="9773" priority="827" operator="lessThan">
      <formula>0</formula>
    </cfRule>
    <cfRule type="cellIs" dxfId="9772" priority="828" operator="lessThan">
      <formula>-105575</formula>
    </cfRule>
  </conditionalFormatting>
  <conditionalFormatting sqref="BB251:BB253">
    <cfRule type="cellIs" dxfId="9771" priority="825" operator="lessThan">
      <formula>0</formula>
    </cfRule>
    <cfRule type="cellIs" dxfId="9770" priority="826" operator="lessThan">
      <formula>-105575</formula>
    </cfRule>
  </conditionalFormatting>
  <conditionalFormatting sqref="BB251:BB253">
    <cfRule type="cellIs" dxfId="9769" priority="823" operator="lessThan">
      <formula>0</formula>
    </cfRule>
    <cfRule type="cellIs" dxfId="9768" priority="824" operator="lessThan">
      <formula>-105575</formula>
    </cfRule>
  </conditionalFormatting>
  <conditionalFormatting sqref="BB251:BB253">
    <cfRule type="cellIs" dxfId="9767" priority="821" operator="lessThan">
      <formula>0</formula>
    </cfRule>
    <cfRule type="cellIs" dxfId="9766" priority="822" operator="lessThan">
      <formula>-105575</formula>
    </cfRule>
  </conditionalFormatting>
  <conditionalFormatting sqref="BB251:BB253">
    <cfRule type="cellIs" dxfId="9765" priority="819" operator="lessThan">
      <formula>0</formula>
    </cfRule>
    <cfRule type="cellIs" dxfId="9764" priority="820" operator="lessThan">
      <formula>-105575</formula>
    </cfRule>
  </conditionalFormatting>
  <conditionalFormatting sqref="BB251:BB253">
    <cfRule type="cellIs" dxfId="9763" priority="817" operator="lessThan">
      <formula>0</formula>
    </cfRule>
    <cfRule type="cellIs" dxfId="9762" priority="818" operator="lessThan">
      <formula>-105575</formula>
    </cfRule>
  </conditionalFormatting>
  <conditionalFormatting sqref="BB251:BB253">
    <cfRule type="cellIs" dxfId="9761" priority="815" operator="lessThan">
      <formula>0</formula>
    </cfRule>
    <cfRule type="cellIs" dxfId="9760" priority="816" operator="lessThan">
      <formula>-105575</formula>
    </cfRule>
  </conditionalFormatting>
  <conditionalFormatting sqref="BB251:BB253">
    <cfRule type="cellIs" dxfId="9759" priority="813" operator="lessThan">
      <formula>0</formula>
    </cfRule>
    <cfRule type="cellIs" dxfId="9758" priority="814" operator="lessThan">
      <formula>-105575</formula>
    </cfRule>
  </conditionalFormatting>
  <conditionalFormatting sqref="BB251:BB253">
    <cfRule type="cellIs" dxfId="9757" priority="811" operator="lessThan">
      <formula>0</formula>
    </cfRule>
    <cfRule type="cellIs" dxfId="9756" priority="812" operator="lessThan">
      <formula>-105575</formula>
    </cfRule>
  </conditionalFormatting>
  <conditionalFormatting sqref="BB251:BB253">
    <cfRule type="cellIs" dxfId="9755" priority="809" operator="lessThan">
      <formula>0</formula>
    </cfRule>
    <cfRule type="cellIs" dxfId="9754" priority="810" operator="lessThan">
      <formula>-105575</formula>
    </cfRule>
  </conditionalFormatting>
  <conditionalFormatting sqref="BB255:BB257">
    <cfRule type="cellIs" dxfId="9753" priority="807" operator="lessThan">
      <formula>0</formula>
    </cfRule>
    <cfRule type="cellIs" dxfId="9752" priority="808" operator="lessThan">
      <formula>-105575</formula>
    </cfRule>
  </conditionalFormatting>
  <conditionalFormatting sqref="BB255:BB257">
    <cfRule type="cellIs" dxfId="9751" priority="805" operator="lessThan">
      <formula>0</formula>
    </cfRule>
    <cfRule type="cellIs" dxfId="9750" priority="806" operator="lessThan">
      <formula>-105575</formula>
    </cfRule>
  </conditionalFormatting>
  <conditionalFormatting sqref="BB255:BB257">
    <cfRule type="cellIs" dxfId="9749" priority="803" operator="lessThan">
      <formula>0</formula>
    </cfRule>
    <cfRule type="cellIs" dxfId="9748" priority="804" operator="lessThan">
      <formula>-105575</formula>
    </cfRule>
  </conditionalFormatting>
  <conditionalFormatting sqref="BB255:BB257">
    <cfRule type="cellIs" dxfId="9747" priority="801" operator="lessThan">
      <formula>0</formula>
    </cfRule>
    <cfRule type="cellIs" dxfId="9746" priority="802" operator="lessThan">
      <formula>-105575</formula>
    </cfRule>
  </conditionalFormatting>
  <conditionalFormatting sqref="BB255:BB257">
    <cfRule type="cellIs" dxfId="9745" priority="799" operator="lessThan">
      <formula>0</formula>
    </cfRule>
    <cfRule type="cellIs" dxfId="9744" priority="800" operator="lessThan">
      <formula>-105575</formula>
    </cfRule>
  </conditionalFormatting>
  <conditionalFormatting sqref="BB255:BB257">
    <cfRule type="cellIs" dxfId="9743" priority="797" operator="lessThan">
      <formula>0</formula>
    </cfRule>
    <cfRule type="cellIs" dxfId="9742" priority="798" operator="lessThan">
      <formula>-105575</formula>
    </cfRule>
  </conditionalFormatting>
  <conditionalFormatting sqref="BB255:BB257">
    <cfRule type="cellIs" dxfId="9741" priority="795" operator="lessThan">
      <formula>0</formula>
    </cfRule>
    <cfRule type="cellIs" dxfId="9740" priority="796" operator="lessThan">
      <formula>-105575</formula>
    </cfRule>
  </conditionalFormatting>
  <conditionalFormatting sqref="BB255:BB257">
    <cfRule type="cellIs" dxfId="9739" priority="793" operator="lessThan">
      <formula>0</formula>
    </cfRule>
    <cfRule type="cellIs" dxfId="9738" priority="794" operator="lessThan">
      <formula>-105575</formula>
    </cfRule>
  </conditionalFormatting>
  <conditionalFormatting sqref="BB255:BB257">
    <cfRule type="cellIs" dxfId="9737" priority="791" operator="lessThan">
      <formula>0</formula>
    </cfRule>
    <cfRule type="cellIs" dxfId="9736" priority="792" operator="lessThan">
      <formula>-105575</formula>
    </cfRule>
  </conditionalFormatting>
  <conditionalFormatting sqref="BB260:BB262">
    <cfRule type="cellIs" dxfId="9735" priority="789" operator="lessThan">
      <formula>0</formula>
    </cfRule>
    <cfRule type="cellIs" dxfId="9734" priority="790" operator="lessThan">
      <formula>-105575</formula>
    </cfRule>
  </conditionalFormatting>
  <conditionalFormatting sqref="BB260:BB262">
    <cfRule type="cellIs" dxfId="9733" priority="787" operator="lessThan">
      <formula>0</formula>
    </cfRule>
    <cfRule type="cellIs" dxfId="9732" priority="788" operator="lessThan">
      <formula>-105575</formula>
    </cfRule>
  </conditionalFormatting>
  <conditionalFormatting sqref="BB260:BB262">
    <cfRule type="cellIs" dxfId="9731" priority="785" operator="lessThan">
      <formula>0</formula>
    </cfRule>
    <cfRule type="cellIs" dxfId="9730" priority="786" operator="lessThan">
      <formula>-105575</formula>
    </cfRule>
  </conditionalFormatting>
  <conditionalFormatting sqref="BB260:BB262">
    <cfRule type="cellIs" dxfId="9729" priority="783" operator="lessThan">
      <formula>0</formula>
    </cfRule>
    <cfRule type="cellIs" dxfId="9728" priority="784" operator="lessThan">
      <formula>-105575</formula>
    </cfRule>
  </conditionalFormatting>
  <conditionalFormatting sqref="BB260:BB262">
    <cfRule type="cellIs" dxfId="9727" priority="781" operator="lessThan">
      <formula>0</formula>
    </cfRule>
    <cfRule type="cellIs" dxfId="9726" priority="782" operator="lessThan">
      <formula>-105575</formula>
    </cfRule>
  </conditionalFormatting>
  <conditionalFormatting sqref="BB260:BB262">
    <cfRule type="cellIs" dxfId="9725" priority="779" operator="lessThan">
      <formula>0</formula>
    </cfRule>
    <cfRule type="cellIs" dxfId="9724" priority="780" operator="lessThan">
      <formula>-105575</formula>
    </cfRule>
  </conditionalFormatting>
  <conditionalFormatting sqref="BB260:BB262">
    <cfRule type="cellIs" dxfId="9723" priority="777" operator="lessThan">
      <formula>0</formula>
    </cfRule>
    <cfRule type="cellIs" dxfId="9722" priority="778" operator="lessThan">
      <formula>-105575</formula>
    </cfRule>
  </conditionalFormatting>
  <conditionalFormatting sqref="BB260:BB262">
    <cfRule type="cellIs" dxfId="9721" priority="775" operator="lessThan">
      <formula>0</formula>
    </cfRule>
    <cfRule type="cellIs" dxfId="9720" priority="776" operator="lessThan">
      <formula>-105575</formula>
    </cfRule>
  </conditionalFormatting>
  <conditionalFormatting sqref="BB260:BB262">
    <cfRule type="cellIs" dxfId="9719" priority="773" operator="lessThan">
      <formula>0</formula>
    </cfRule>
    <cfRule type="cellIs" dxfId="9718" priority="774" operator="lessThan">
      <formula>-105575</formula>
    </cfRule>
  </conditionalFormatting>
  <conditionalFormatting sqref="BB264:BB267">
    <cfRule type="cellIs" dxfId="9717" priority="771" operator="lessThan">
      <formula>0</formula>
    </cfRule>
    <cfRule type="cellIs" dxfId="9716" priority="772" operator="lessThan">
      <formula>-105575</formula>
    </cfRule>
  </conditionalFormatting>
  <conditionalFormatting sqref="BB264:BB267">
    <cfRule type="cellIs" dxfId="9715" priority="769" operator="lessThan">
      <formula>0</formula>
    </cfRule>
    <cfRule type="cellIs" dxfId="9714" priority="770" operator="lessThan">
      <formula>-105575</formula>
    </cfRule>
  </conditionalFormatting>
  <conditionalFormatting sqref="BB264:BB267">
    <cfRule type="cellIs" dxfId="9713" priority="767" operator="lessThan">
      <formula>0</formula>
    </cfRule>
    <cfRule type="cellIs" dxfId="9712" priority="768" operator="lessThan">
      <formula>-105575</formula>
    </cfRule>
  </conditionalFormatting>
  <conditionalFormatting sqref="BB264:BB267">
    <cfRule type="cellIs" dxfId="9711" priority="765" operator="lessThan">
      <formula>0</formula>
    </cfRule>
    <cfRule type="cellIs" dxfId="9710" priority="766" operator="lessThan">
      <formula>-105575</formula>
    </cfRule>
  </conditionalFormatting>
  <conditionalFormatting sqref="BB264:BB267">
    <cfRule type="cellIs" dxfId="9709" priority="763" operator="lessThan">
      <formula>0</formula>
    </cfRule>
    <cfRule type="cellIs" dxfId="9708" priority="764" operator="lessThan">
      <formula>-105575</formula>
    </cfRule>
  </conditionalFormatting>
  <conditionalFormatting sqref="BB264:BB267">
    <cfRule type="cellIs" dxfId="9707" priority="761" operator="lessThan">
      <formula>0</formula>
    </cfRule>
    <cfRule type="cellIs" dxfId="9706" priority="762" operator="lessThan">
      <formula>-105575</formula>
    </cfRule>
  </conditionalFormatting>
  <conditionalFormatting sqref="BB264:BB267">
    <cfRule type="cellIs" dxfId="9705" priority="759" operator="lessThan">
      <formula>0</formula>
    </cfRule>
    <cfRule type="cellIs" dxfId="9704" priority="760" operator="lessThan">
      <formula>-105575</formula>
    </cfRule>
  </conditionalFormatting>
  <conditionalFormatting sqref="BB264:BB267">
    <cfRule type="cellIs" dxfId="9703" priority="757" operator="lessThan">
      <formula>0</formula>
    </cfRule>
    <cfRule type="cellIs" dxfId="9702" priority="758" operator="lessThan">
      <formula>-105575</formula>
    </cfRule>
  </conditionalFormatting>
  <conditionalFormatting sqref="BB264:BB267">
    <cfRule type="cellIs" dxfId="9701" priority="755" operator="lessThan">
      <formula>0</formula>
    </cfRule>
    <cfRule type="cellIs" dxfId="9700" priority="756" operator="lessThan">
      <formula>-105575</formula>
    </cfRule>
  </conditionalFormatting>
  <conditionalFormatting sqref="BB270:BB272">
    <cfRule type="cellIs" dxfId="9699" priority="753" operator="lessThan">
      <formula>0</formula>
    </cfRule>
    <cfRule type="cellIs" dxfId="9698" priority="754" operator="lessThan">
      <formula>-105575</formula>
    </cfRule>
  </conditionalFormatting>
  <conditionalFormatting sqref="BB270:BB272">
    <cfRule type="cellIs" dxfId="9697" priority="751" operator="lessThan">
      <formula>0</formula>
    </cfRule>
    <cfRule type="cellIs" dxfId="9696" priority="752" operator="lessThan">
      <formula>-105575</formula>
    </cfRule>
  </conditionalFormatting>
  <conditionalFormatting sqref="BB270:BB272">
    <cfRule type="cellIs" dxfId="9695" priority="749" operator="lessThan">
      <formula>0</formula>
    </cfRule>
    <cfRule type="cellIs" dxfId="9694" priority="750" operator="lessThan">
      <formula>-105575</formula>
    </cfRule>
  </conditionalFormatting>
  <conditionalFormatting sqref="BB270:BB272">
    <cfRule type="cellIs" dxfId="9693" priority="747" operator="lessThan">
      <formula>0</formula>
    </cfRule>
    <cfRule type="cellIs" dxfId="9692" priority="748" operator="lessThan">
      <formula>-105575</formula>
    </cfRule>
  </conditionalFormatting>
  <conditionalFormatting sqref="BB270:BB272">
    <cfRule type="cellIs" dxfId="9691" priority="745" operator="lessThan">
      <formula>0</formula>
    </cfRule>
    <cfRule type="cellIs" dxfId="9690" priority="746" operator="lessThan">
      <formula>-105575</formula>
    </cfRule>
  </conditionalFormatting>
  <conditionalFormatting sqref="BB270:BB272">
    <cfRule type="cellIs" dxfId="9689" priority="743" operator="lessThan">
      <formula>0</formula>
    </cfRule>
    <cfRule type="cellIs" dxfId="9688" priority="744" operator="lessThan">
      <formula>-105575</formula>
    </cfRule>
  </conditionalFormatting>
  <conditionalFormatting sqref="BB270:BB272">
    <cfRule type="cellIs" dxfId="9687" priority="741" operator="lessThan">
      <formula>0</formula>
    </cfRule>
    <cfRule type="cellIs" dxfId="9686" priority="742" operator="lessThan">
      <formula>-105575</formula>
    </cfRule>
  </conditionalFormatting>
  <conditionalFormatting sqref="BB270:BB272">
    <cfRule type="cellIs" dxfId="9685" priority="739" operator="lessThan">
      <formula>0</formula>
    </cfRule>
    <cfRule type="cellIs" dxfId="9684" priority="740" operator="lessThan">
      <formula>-105575</formula>
    </cfRule>
  </conditionalFormatting>
  <conditionalFormatting sqref="BB270:BB272">
    <cfRule type="cellIs" dxfId="9683" priority="737" operator="lessThan">
      <formula>0</formula>
    </cfRule>
    <cfRule type="cellIs" dxfId="9682" priority="738" operator="lessThan">
      <formula>-105575</formula>
    </cfRule>
  </conditionalFormatting>
  <conditionalFormatting sqref="BB274:BB275">
    <cfRule type="cellIs" dxfId="9681" priority="735" operator="lessThan">
      <formula>0</formula>
    </cfRule>
    <cfRule type="cellIs" dxfId="9680" priority="736" operator="lessThan">
      <formula>-105575</formula>
    </cfRule>
  </conditionalFormatting>
  <conditionalFormatting sqref="BB274:BB275">
    <cfRule type="cellIs" dxfId="9679" priority="733" operator="lessThan">
      <formula>0</formula>
    </cfRule>
    <cfRule type="cellIs" dxfId="9678" priority="734" operator="lessThan">
      <formula>-105575</formula>
    </cfRule>
  </conditionalFormatting>
  <conditionalFormatting sqref="BB274:BB275">
    <cfRule type="cellIs" dxfId="9677" priority="731" operator="lessThan">
      <formula>0</formula>
    </cfRule>
    <cfRule type="cellIs" dxfId="9676" priority="732" operator="lessThan">
      <formula>-105575</formula>
    </cfRule>
  </conditionalFormatting>
  <conditionalFormatting sqref="BB274:BB275">
    <cfRule type="cellIs" dxfId="9675" priority="729" operator="lessThan">
      <formula>0</formula>
    </cfRule>
    <cfRule type="cellIs" dxfId="9674" priority="730" operator="lessThan">
      <formula>-105575</formula>
    </cfRule>
  </conditionalFormatting>
  <conditionalFormatting sqref="BB274:BB275">
    <cfRule type="cellIs" dxfId="9673" priority="727" operator="lessThan">
      <formula>0</formula>
    </cfRule>
    <cfRule type="cellIs" dxfId="9672" priority="728" operator="lessThan">
      <formula>-105575</formula>
    </cfRule>
  </conditionalFormatting>
  <conditionalFormatting sqref="BB274:BB275">
    <cfRule type="cellIs" dxfId="9671" priority="725" operator="lessThan">
      <formula>0</formula>
    </cfRule>
    <cfRule type="cellIs" dxfId="9670" priority="726" operator="lessThan">
      <formula>-105575</formula>
    </cfRule>
  </conditionalFormatting>
  <conditionalFormatting sqref="BB274:BB275">
    <cfRule type="cellIs" dxfId="9669" priority="723" operator="lessThan">
      <formula>0</formula>
    </cfRule>
    <cfRule type="cellIs" dxfId="9668" priority="724" operator="lessThan">
      <formula>-105575</formula>
    </cfRule>
  </conditionalFormatting>
  <conditionalFormatting sqref="BB274:BB275">
    <cfRule type="cellIs" dxfId="9667" priority="721" operator="lessThan">
      <formula>0</formula>
    </cfRule>
    <cfRule type="cellIs" dxfId="9666" priority="722" operator="lessThan">
      <formula>-105575</formula>
    </cfRule>
  </conditionalFormatting>
  <conditionalFormatting sqref="BB274:BB275">
    <cfRule type="cellIs" dxfId="9665" priority="719" operator="lessThan">
      <formula>0</formula>
    </cfRule>
    <cfRule type="cellIs" dxfId="9664" priority="720" operator="lessThan">
      <formula>-105575</formula>
    </cfRule>
  </conditionalFormatting>
  <conditionalFormatting sqref="BB278:BB282">
    <cfRule type="cellIs" dxfId="9663" priority="717" operator="lessThan">
      <formula>0</formula>
    </cfRule>
    <cfRule type="cellIs" dxfId="9662" priority="718" operator="lessThan">
      <formula>-105575</formula>
    </cfRule>
  </conditionalFormatting>
  <conditionalFormatting sqref="BB278:BB282">
    <cfRule type="cellIs" dxfId="9661" priority="715" operator="lessThan">
      <formula>0</formula>
    </cfRule>
    <cfRule type="cellIs" dxfId="9660" priority="716" operator="lessThan">
      <formula>-105575</formula>
    </cfRule>
  </conditionalFormatting>
  <conditionalFormatting sqref="BB278:BB282">
    <cfRule type="cellIs" dxfId="9659" priority="713" operator="lessThan">
      <formula>0</formula>
    </cfRule>
    <cfRule type="cellIs" dxfId="9658" priority="714" operator="lessThan">
      <formula>-105575</formula>
    </cfRule>
  </conditionalFormatting>
  <conditionalFormatting sqref="BB278:BB282">
    <cfRule type="cellIs" dxfId="9657" priority="711" operator="lessThan">
      <formula>0</formula>
    </cfRule>
    <cfRule type="cellIs" dxfId="9656" priority="712" operator="lessThan">
      <formula>-105575</formula>
    </cfRule>
  </conditionalFormatting>
  <conditionalFormatting sqref="BB278:BB282">
    <cfRule type="cellIs" dxfId="9655" priority="709" operator="lessThan">
      <formula>0</formula>
    </cfRule>
    <cfRule type="cellIs" dxfId="9654" priority="710" operator="lessThan">
      <formula>-105575</formula>
    </cfRule>
  </conditionalFormatting>
  <conditionalFormatting sqref="BB278:BB282">
    <cfRule type="cellIs" dxfId="9653" priority="707" operator="lessThan">
      <formula>0</formula>
    </cfRule>
    <cfRule type="cellIs" dxfId="9652" priority="708" operator="lessThan">
      <formula>-105575</formula>
    </cfRule>
  </conditionalFormatting>
  <conditionalFormatting sqref="BB278:BB282">
    <cfRule type="cellIs" dxfId="9651" priority="705" operator="lessThan">
      <formula>0</formula>
    </cfRule>
    <cfRule type="cellIs" dxfId="9650" priority="706" operator="lessThan">
      <formula>-105575</formula>
    </cfRule>
  </conditionalFormatting>
  <conditionalFormatting sqref="BB278:BB282">
    <cfRule type="cellIs" dxfId="9649" priority="703" operator="lessThan">
      <formula>0</formula>
    </cfRule>
    <cfRule type="cellIs" dxfId="9648" priority="704" operator="lessThan">
      <formula>-105575</formula>
    </cfRule>
  </conditionalFormatting>
  <conditionalFormatting sqref="BB278:BB282">
    <cfRule type="cellIs" dxfId="9647" priority="701" operator="lessThan">
      <formula>0</formula>
    </cfRule>
    <cfRule type="cellIs" dxfId="9646" priority="702" operator="lessThan">
      <formula>-105575</formula>
    </cfRule>
  </conditionalFormatting>
  <conditionalFormatting sqref="BB285:BB288">
    <cfRule type="cellIs" dxfId="9645" priority="699" operator="lessThan">
      <formula>0</formula>
    </cfRule>
    <cfRule type="cellIs" dxfId="9644" priority="700" operator="lessThan">
      <formula>-105575</formula>
    </cfRule>
  </conditionalFormatting>
  <conditionalFormatting sqref="BB285:BB288">
    <cfRule type="cellIs" dxfId="9643" priority="697" operator="lessThan">
      <formula>0</formula>
    </cfRule>
    <cfRule type="cellIs" dxfId="9642" priority="698" operator="lessThan">
      <formula>-105575</formula>
    </cfRule>
  </conditionalFormatting>
  <conditionalFormatting sqref="BB285:BB288">
    <cfRule type="cellIs" dxfId="9641" priority="695" operator="lessThan">
      <formula>0</formula>
    </cfRule>
    <cfRule type="cellIs" dxfId="9640" priority="696" operator="lessThan">
      <formula>-105575</formula>
    </cfRule>
  </conditionalFormatting>
  <conditionalFormatting sqref="BB285:BB288">
    <cfRule type="cellIs" dxfId="9639" priority="693" operator="lessThan">
      <formula>0</formula>
    </cfRule>
    <cfRule type="cellIs" dxfId="9638" priority="694" operator="lessThan">
      <formula>-105575</formula>
    </cfRule>
  </conditionalFormatting>
  <conditionalFormatting sqref="BB285:BB288">
    <cfRule type="cellIs" dxfId="9637" priority="691" operator="lessThan">
      <formula>0</formula>
    </cfRule>
    <cfRule type="cellIs" dxfId="9636" priority="692" operator="lessThan">
      <formula>-105575</formula>
    </cfRule>
  </conditionalFormatting>
  <conditionalFormatting sqref="BB285:BB288">
    <cfRule type="cellIs" dxfId="9635" priority="689" operator="lessThan">
      <formula>0</formula>
    </cfRule>
    <cfRule type="cellIs" dxfId="9634" priority="690" operator="lessThan">
      <formula>-105575</formula>
    </cfRule>
  </conditionalFormatting>
  <conditionalFormatting sqref="BB285:BB288">
    <cfRule type="cellIs" dxfId="9633" priority="687" operator="lessThan">
      <formula>0</formula>
    </cfRule>
    <cfRule type="cellIs" dxfId="9632" priority="688" operator="lessThan">
      <formula>-105575</formula>
    </cfRule>
  </conditionalFormatting>
  <conditionalFormatting sqref="BB285:BB288">
    <cfRule type="cellIs" dxfId="9631" priority="685" operator="lessThan">
      <formula>0</formula>
    </cfRule>
    <cfRule type="cellIs" dxfId="9630" priority="686" operator="lessThan">
      <formula>-105575</formula>
    </cfRule>
  </conditionalFormatting>
  <conditionalFormatting sqref="BB285:BB288">
    <cfRule type="cellIs" dxfId="9629" priority="683" operator="lessThan">
      <formula>0</formula>
    </cfRule>
    <cfRule type="cellIs" dxfId="9628" priority="684" operator="lessThan">
      <formula>-105575</formula>
    </cfRule>
  </conditionalFormatting>
  <conditionalFormatting sqref="BB203 BB220:BB221 BB235:BB243 BB231:BB233 BB212:BB213 BB225:BB226">
    <cfRule type="cellIs" dxfId="9627" priority="681" operator="lessThan">
      <formula>0</formula>
    </cfRule>
    <cfRule type="cellIs" dxfId="9626" priority="682" operator="lessThan">
      <formula>-105575</formula>
    </cfRule>
  </conditionalFormatting>
  <conditionalFormatting sqref="BB220 BB212:BB213 BB235:BB238 BB240:BB243 BB225:BB226 BB231:BB233">
    <cfRule type="cellIs" dxfId="9625" priority="679" operator="lessThan">
      <formula>0</formula>
    </cfRule>
    <cfRule type="cellIs" dxfId="9624" priority="680" operator="lessThan">
      <formula>-105575</formula>
    </cfRule>
  </conditionalFormatting>
  <conditionalFormatting sqref="BB220:BB221 BB243 BB226 BB231:BB236 BB238:BB241 BB203 BB213">
    <cfRule type="cellIs" dxfId="9623" priority="677" operator="lessThan">
      <formula>0</formula>
    </cfRule>
    <cfRule type="cellIs" dxfId="9622" priority="678" operator="lessThan">
      <formula>-105575</formula>
    </cfRule>
  </conditionalFormatting>
  <conditionalFormatting sqref="BB235:BB243 BB231:BB233 BB220 BB212:BB213 BB225:BB226">
    <cfRule type="cellIs" dxfId="9621" priority="675" operator="lessThan">
      <formula>0</formula>
    </cfRule>
    <cfRule type="cellIs" dxfId="9620" priority="676" operator="lessThan">
      <formula>-105575</formula>
    </cfRule>
  </conditionalFormatting>
  <conditionalFormatting sqref="BB220:BB221 BB237:BB243 BB203 BB231:BB235 BB212:BB213 BB225:BB226">
    <cfRule type="cellIs" dxfId="9619" priority="673" operator="lessThan">
      <formula>0</formula>
    </cfRule>
    <cfRule type="cellIs" dxfId="9618" priority="674" operator="lessThan">
      <formula>-105575</formula>
    </cfRule>
  </conditionalFormatting>
  <conditionalFormatting sqref="BB220:BB221 BB237:BB240 BB242:BB243 BB225:BB226 BB231:BB235">
    <cfRule type="cellIs" dxfId="9617" priority="671" operator="lessThan">
      <formula>0</formula>
    </cfRule>
    <cfRule type="cellIs" dxfId="9616" priority="672" operator="lessThan">
      <formula>-105575</formula>
    </cfRule>
  </conditionalFormatting>
  <conditionalFormatting sqref="BB212 BB231 BB233:BB238 BB240:BB243 BB225">
    <cfRule type="cellIs" dxfId="9615" priority="669" operator="lessThan">
      <formula>0</formula>
    </cfRule>
    <cfRule type="cellIs" dxfId="9614" priority="670" operator="lessThan">
      <formula>-105575</formula>
    </cfRule>
  </conditionalFormatting>
  <conditionalFormatting sqref="BB237:BB243 BB231:BB235 BB220:BB221 BB225:BB226">
    <cfRule type="cellIs" dxfId="9613" priority="667" operator="lessThan">
      <formula>0</formula>
    </cfRule>
    <cfRule type="cellIs" dxfId="9612" priority="668" operator="lessThan">
      <formula>-105575</formula>
    </cfRule>
  </conditionalFormatting>
  <conditionalFormatting sqref="BB233:BB237 BB231 BB239:BB243">
    <cfRule type="cellIs" dxfId="9611" priority="665" operator="lessThan">
      <formula>0</formula>
    </cfRule>
    <cfRule type="cellIs" dxfId="9610" priority="666" operator="lessThan">
      <formula>-105575</formula>
    </cfRule>
  </conditionalFormatting>
  <conditionalFormatting sqref="BB233:BB237 BB231 BB239:BB243">
    <cfRule type="cellIs" dxfId="9609" priority="663" operator="lessThan">
      <formula>0</formula>
    </cfRule>
    <cfRule type="cellIs" dxfId="9608" priority="664" operator="lessThan">
      <formula>-105575</formula>
    </cfRule>
  </conditionalFormatting>
  <conditionalFormatting sqref="BB119:BB128 BB106:BB117 BB101:BB104 BB80:BB98">
    <cfRule type="cellIs" dxfId="9607" priority="661" operator="lessThan">
      <formula>0</formula>
    </cfRule>
    <cfRule type="cellIs" dxfId="9606" priority="662" operator="lessThan">
      <formula>-105575</formula>
    </cfRule>
  </conditionalFormatting>
  <conditionalFormatting sqref="BB130 BB132 BB134">
    <cfRule type="cellIs" dxfId="9605" priority="659" operator="lessThan">
      <formula>0</formula>
    </cfRule>
    <cfRule type="cellIs" dxfId="9604" priority="660" operator="lessThan">
      <formula>-105575</formula>
    </cfRule>
  </conditionalFormatting>
  <conditionalFormatting sqref="BB130 BB132 BB134">
    <cfRule type="cellIs" dxfId="9603" priority="657" operator="lessThan">
      <formula>0</formula>
    </cfRule>
    <cfRule type="cellIs" dxfId="9602" priority="658" operator="lessThan">
      <formula>-105575</formula>
    </cfRule>
  </conditionalFormatting>
  <conditionalFormatting sqref="BB129 BB131 BB133 BB135">
    <cfRule type="cellIs" dxfId="9601" priority="655" operator="lessThan">
      <formula>0</formula>
    </cfRule>
    <cfRule type="cellIs" dxfId="9600" priority="656" operator="lessThan">
      <formula>-105575</formula>
    </cfRule>
  </conditionalFormatting>
  <conditionalFormatting sqref="BB140 BB145 BB142:BB143 BB137:BB138">
    <cfRule type="cellIs" dxfId="9599" priority="653" operator="lessThan">
      <formula>0</formula>
    </cfRule>
    <cfRule type="cellIs" dxfId="9598" priority="654" operator="lessThan">
      <formula>-105575</formula>
    </cfRule>
  </conditionalFormatting>
  <conditionalFormatting sqref="BB149">
    <cfRule type="cellIs" dxfId="9597" priority="651" operator="lessThan">
      <formula>0</formula>
    </cfRule>
    <cfRule type="cellIs" dxfId="9596" priority="652" operator="lessThan">
      <formula>-105575</formula>
    </cfRule>
  </conditionalFormatting>
  <conditionalFormatting sqref="BB129:BB138 BB140:BB149">
    <cfRule type="cellIs" dxfId="9595" priority="649" operator="lessThan">
      <formula>0</formula>
    </cfRule>
    <cfRule type="cellIs" dxfId="9594" priority="650" operator="lessThan">
      <formula>-105575</formula>
    </cfRule>
  </conditionalFormatting>
  <conditionalFormatting sqref="BB94:BB98 BB86:BB87 BB89:BB91 BB141:BB149 BB124:BB133 BB107:BB110 BB112:BB117 BB119:BB122 BB135:BB138 BB101:BB104 BB80:BB84">
    <cfRule type="cellIs" dxfId="9593" priority="647" operator="lessThan">
      <formula>0</formula>
    </cfRule>
    <cfRule type="cellIs" dxfId="9592" priority="648" operator="lessThan">
      <formula>-105575</formula>
    </cfRule>
  </conditionalFormatting>
  <conditionalFormatting sqref="BB129 BB131 BB133 BB135">
    <cfRule type="cellIs" dxfId="9591" priority="645" operator="lessThan">
      <formula>0</formula>
    </cfRule>
    <cfRule type="cellIs" dxfId="9590" priority="646" operator="lessThan">
      <formula>-105575</formula>
    </cfRule>
  </conditionalFormatting>
  <conditionalFormatting sqref="BB146 BB144 BB141">
    <cfRule type="cellIs" dxfId="9589" priority="643" operator="lessThan">
      <formula>0</formula>
    </cfRule>
    <cfRule type="cellIs" dxfId="9588" priority="644" operator="lessThan">
      <formula>-105575</formula>
    </cfRule>
  </conditionalFormatting>
  <conditionalFormatting sqref="BB146 BB144 BB141">
    <cfRule type="cellIs" dxfId="9587" priority="641" operator="lessThan">
      <formula>0</formula>
    </cfRule>
    <cfRule type="cellIs" dxfId="9586" priority="642" operator="lessThan">
      <formula>-105575</formula>
    </cfRule>
  </conditionalFormatting>
  <conditionalFormatting sqref="BB140 BB145 BB142:BB143 BB137:BB138">
    <cfRule type="cellIs" dxfId="9585" priority="639" operator="lessThan">
      <formula>0</formula>
    </cfRule>
    <cfRule type="cellIs" dxfId="9584" priority="640" operator="lessThan">
      <formula>-105575</formula>
    </cfRule>
  </conditionalFormatting>
  <conditionalFormatting sqref="BB149">
    <cfRule type="cellIs" dxfId="9583" priority="637" operator="lessThan">
      <formula>0</formula>
    </cfRule>
    <cfRule type="cellIs" dxfId="9582" priority="638" operator="lessThan">
      <formula>-105575</formula>
    </cfRule>
  </conditionalFormatting>
  <conditionalFormatting sqref="BB94:BB98 BB86:BB87 BB89:BB91 BB141:BB149 BB124:BB133 BB107:BB110 BB112:BB117 BB119:BB122 BB135:BB138 BB101:BB104 BB80:BB84">
    <cfRule type="cellIs" dxfId="9581" priority="635" operator="lessThan">
      <formula>0</formula>
    </cfRule>
    <cfRule type="cellIs" dxfId="9580" priority="636" operator="lessThan">
      <formula>-105575</formula>
    </cfRule>
  </conditionalFormatting>
  <conditionalFormatting sqref="BB62:BB76 BB306:BB309 BB311:BB325 BB327:BB330 BB332:BB341 BB344:BB347 BB349:BB353 BB355:BB358 BB360:BB384 BB386:BB389 BB392:BB395 BB397:BB411 BB413:BB416 BB418:BB432 BB434:BB437 BB439:BB453 BB455:BB458 BB460:BB469 BB7:BB10 BB12:BB14 BB17:BB18 BB21:BB24 BB26:BB28 BB30:BB36 BB38 BB41:BB43 BB46:BB49 BB51:BB55 BB57:BB59 BB290:BB291 BB293:BB304">
    <cfRule type="cellIs" dxfId="9579" priority="633" operator="lessThan">
      <formula>0</formula>
    </cfRule>
    <cfRule type="cellIs" dxfId="9578" priority="634" operator="lessThan">
      <formula>-105575</formula>
    </cfRule>
  </conditionalFormatting>
  <conditionalFormatting sqref="BB41">
    <cfRule type="cellIs" dxfId="9577" priority="631" operator="lessThan">
      <formula>0</formula>
    </cfRule>
    <cfRule type="cellIs" dxfId="9576" priority="632" operator="lessThan">
      <formula>-105575</formula>
    </cfRule>
  </conditionalFormatting>
  <conditionalFormatting sqref="BB152:BB155">
    <cfRule type="cellIs" dxfId="9575" priority="629" operator="lessThan">
      <formula>0</formula>
    </cfRule>
    <cfRule type="cellIs" dxfId="9574" priority="630" operator="lessThan">
      <formula>-105575</formula>
    </cfRule>
  </conditionalFormatting>
  <conditionalFormatting sqref="BB152:BB155">
    <cfRule type="cellIs" dxfId="9573" priority="627" operator="lessThan">
      <formula>0</formula>
    </cfRule>
    <cfRule type="cellIs" dxfId="9572" priority="628" operator="lessThan">
      <formula>-105575</formula>
    </cfRule>
  </conditionalFormatting>
  <conditionalFormatting sqref="BB152:BB155">
    <cfRule type="cellIs" dxfId="9571" priority="625" operator="lessThan">
      <formula>0</formula>
    </cfRule>
    <cfRule type="cellIs" dxfId="9570" priority="626" operator="lessThan">
      <formula>-105575</formula>
    </cfRule>
  </conditionalFormatting>
  <conditionalFormatting sqref="BB157:BB158">
    <cfRule type="cellIs" dxfId="9569" priority="623" operator="lessThan">
      <formula>0</formula>
    </cfRule>
    <cfRule type="cellIs" dxfId="9568" priority="624" operator="lessThan">
      <formula>-105575</formula>
    </cfRule>
  </conditionalFormatting>
  <conditionalFormatting sqref="BB157:BB158">
    <cfRule type="cellIs" dxfId="9567" priority="621" operator="lessThan">
      <formula>0</formula>
    </cfRule>
    <cfRule type="cellIs" dxfId="9566" priority="622" operator="lessThan">
      <formula>-105575</formula>
    </cfRule>
  </conditionalFormatting>
  <conditionalFormatting sqref="BB157:BB158">
    <cfRule type="cellIs" dxfId="9565" priority="619" operator="lessThan">
      <formula>0</formula>
    </cfRule>
    <cfRule type="cellIs" dxfId="9564" priority="620" operator="lessThan">
      <formula>-105575</formula>
    </cfRule>
  </conditionalFormatting>
  <conditionalFormatting sqref="BB160:BB161">
    <cfRule type="cellIs" dxfId="9563" priority="617" operator="lessThan">
      <formula>0</formula>
    </cfRule>
    <cfRule type="cellIs" dxfId="9562" priority="618" operator="lessThan">
      <formula>-105575</formula>
    </cfRule>
  </conditionalFormatting>
  <conditionalFormatting sqref="BB160:BB161">
    <cfRule type="cellIs" dxfId="9561" priority="615" operator="lessThan">
      <formula>0</formula>
    </cfRule>
    <cfRule type="cellIs" dxfId="9560" priority="616" operator="lessThan">
      <formula>-105575</formula>
    </cfRule>
  </conditionalFormatting>
  <conditionalFormatting sqref="BB160:BB161">
    <cfRule type="cellIs" dxfId="9559" priority="613" operator="lessThan">
      <formula>0</formula>
    </cfRule>
    <cfRule type="cellIs" dxfId="9558" priority="614" operator="lessThan">
      <formula>-105575</formula>
    </cfRule>
  </conditionalFormatting>
  <conditionalFormatting sqref="BB164:BB167">
    <cfRule type="cellIs" dxfId="9557" priority="611" operator="lessThan">
      <formula>0</formula>
    </cfRule>
    <cfRule type="cellIs" dxfId="9556" priority="612" operator="lessThan">
      <formula>-105575</formula>
    </cfRule>
  </conditionalFormatting>
  <conditionalFormatting sqref="BB164:BB167">
    <cfRule type="cellIs" dxfId="9555" priority="609" operator="lessThan">
      <formula>0</formula>
    </cfRule>
    <cfRule type="cellIs" dxfId="9554" priority="610" operator="lessThan">
      <formula>-105575</formula>
    </cfRule>
  </conditionalFormatting>
  <conditionalFormatting sqref="BB164:BB167">
    <cfRule type="cellIs" dxfId="9553" priority="607" operator="lessThan">
      <formula>0</formula>
    </cfRule>
    <cfRule type="cellIs" dxfId="9552" priority="608" operator="lessThan">
      <formula>-105575</formula>
    </cfRule>
  </conditionalFormatting>
  <conditionalFormatting sqref="BB169:BB177">
    <cfRule type="cellIs" dxfId="9551" priority="605" operator="lessThan">
      <formula>0</formula>
    </cfRule>
    <cfRule type="cellIs" dxfId="9550" priority="606" operator="lessThan">
      <formula>-105575</formula>
    </cfRule>
  </conditionalFormatting>
  <conditionalFormatting sqref="BB169:BB177">
    <cfRule type="cellIs" dxfId="9549" priority="603" operator="lessThan">
      <formula>0</formula>
    </cfRule>
    <cfRule type="cellIs" dxfId="9548" priority="604" operator="lessThan">
      <formula>-105575</formula>
    </cfRule>
  </conditionalFormatting>
  <conditionalFormatting sqref="BB169:BB177">
    <cfRule type="cellIs" dxfId="9547" priority="601" operator="lessThan">
      <formula>0</formula>
    </cfRule>
    <cfRule type="cellIs" dxfId="9546" priority="602" operator="lessThan">
      <formula>-105575</formula>
    </cfRule>
  </conditionalFormatting>
  <conditionalFormatting sqref="BB179:BB180">
    <cfRule type="cellIs" dxfId="9545" priority="599" operator="lessThan">
      <formula>0</formula>
    </cfRule>
    <cfRule type="cellIs" dxfId="9544" priority="600" operator="lessThan">
      <formula>-105575</formula>
    </cfRule>
  </conditionalFormatting>
  <conditionalFormatting sqref="BB179:BB180">
    <cfRule type="cellIs" dxfId="9543" priority="597" operator="lessThan">
      <formula>0</formula>
    </cfRule>
    <cfRule type="cellIs" dxfId="9542" priority="598" operator="lessThan">
      <formula>-105575</formula>
    </cfRule>
  </conditionalFormatting>
  <conditionalFormatting sqref="BB179:BB180">
    <cfRule type="cellIs" dxfId="9541" priority="595" operator="lessThan">
      <formula>0</formula>
    </cfRule>
    <cfRule type="cellIs" dxfId="9540" priority="596" operator="lessThan">
      <formula>-105575</formula>
    </cfRule>
  </conditionalFormatting>
  <conditionalFormatting sqref="BB183:BB189">
    <cfRule type="cellIs" dxfId="9539" priority="593" operator="lessThan">
      <formula>0</formula>
    </cfRule>
    <cfRule type="cellIs" dxfId="9538" priority="594" operator="lessThan">
      <formula>-105575</formula>
    </cfRule>
  </conditionalFormatting>
  <conditionalFormatting sqref="BB183:BB189">
    <cfRule type="cellIs" dxfId="9537" priority="591" operator="lessThan">
      <formula>0</formula>
    </cfRule>
    <cfRule type="cellIs" dxfId="9536" priority="592" operator="lessThan">
      <formula>-105575</formula>
    </cfRule>
  </conditionalFormatting>
  <conditionalFormatting sqref="BB183:BB189">
    <cfRule type="cellIs" dxfId="9535" priority="589" operator="lessThan">
      <formula>0</formula>
    </cfRule>
    <cfRule type="cellIs" dxfId="9534" priority="590" operator="lessThan">
      <formula>-105575</formula>
    </cfRule>
  </conditionalFormatting>
  <conditionalFormatting sqref="BB191:BB192">
    <cfRule type="cellIs" dxfId="9533" priority="587" operator="lessThan">
      <formula>0</formula>
    </cfRule>
    <cfRule type="cellIs" dxfId="9532" priority="588" operator="lessThan">
      <formula>-105575</formula>
    </cfRule>
  </conditionalFormatting>
  <conditionalFormatting sqref="BB191:BB192">
    <cfRule type="cellIs" dxfId="9531" priority="585" operator="lessThan">
      <formula>0</formula>
    </cfRule>
    <cfRule type="cellIs" dxfId="9530" priority="586" operator="lessThan">
      <formula>-105575</formula>
    </cfRule>
  </conditionalFormatting>
  <conditionalFormatting sqref="BB191:BB192">
    <cfRule type="cellIs" dxfId="9529" priority="583" operator="lessThan">
      <formula>0</formula>
    </cfRule>
    <cfRule type="cellIs" dxfId="9528" priority="584" operator="lessThan">
      <formula>-105575</formula>
    </cfRule>
  </conditionalFormatting>
  <conditionalFormatting sqref="BB194:BB195">
    <cfRule type="cellIs" dxfId="9527" priority="581" operator="lessThan">
      <formula>0</formula>
    </cfRule>
    <cfRule type="cellIs" dxfId="9526" priority="582" operator="lessThan">
      <formula>-105575</formula>
    </cfRule>
  </conditionalFormatting>
  <conditionalFormatting sqref="BB194:BB195">
    <cfRule type="cellIs" dxfId="9525" priority="579" operator="lessThan">
      <formula>0</formula>
    </cfRule>
    <cfRule type="cellIs" dxfId="9524" priority="580" operator="lessThan">
      <formula>-105575</formula>
    </cfRule>
  </conditionalFormatting>
  <conditionalFormatting sqref="BB194:BB195">
    <cfRule type="cellIs" dxfId="9523" priority="577" operator="lessThan">
      <formula>0</formula>
    </cfRule>
    <cfRule type="cellIs" dxfId="9522" priority="578" operator="lessThan">
      <formula>-105575</formula>
    </cfRule>
  </conditionalFormatting>
  <conditionalFormatting sqref="BB199:BB202">
    <cfRule type="cellIs" dxfId="9521" priority="575" operator="lessThan">
      <formula>0</formula>
    </cfRule>
    <cfRule type="cellIs" dxfId="9520" priority="576" operator="lessThan">
      <formula>-105575</formula>
    </cfRule>
  </conditionalFormatting>
  <conditionalFormatting sqref="BB199:BB202">
    <cfRule type="cellIs" dxfId="9519" priority="573" operator="lessThan">
      <formula>0</formula>
    </cfRule>
    <cfRule type="cellIs" dxfId="9518" priority="574" operator="lessThan">
      <formula>-105575</formula>
    </cfRule>
  </conditionalFormatting>
  <conditionalFormatting sqref="BB199:BB202">
    <cfRule type="cellIs" dxfId="9517" priority="571" operator="lessThan">
      <formula>0</formula>
    </cfRule>
    <cfRule type="cellIs" dxfId="9516" priority="572" operator="lessThan">
      <formula>-105575</formula>
    </cfRule>
  </conditionalFormatting>
  <conditionalFormatting sqref="BB204:BB208">
    <cfRule type="cellIs" dxfId="9515" priority="569" operator="lessThan">
      <formula>0</formula>
    </cfRule>
    <cfRule type="cellIs" dxfId="9514" priority="570" operator="lessThan">
      <formula>-105575</formula>
    </cfRule>
  </conditionalFormatting>
  <conditionalFormatting sqref="BB204:BB208">
    <cfRule type="cellIs" dxfId="9513" priority="567" operator="lessThan">
      <formula>0</formula>
    </cfRule>
    <cfRule type="cellIs" dxfId="9512" priority="568" operator="lessThan">
      <formula>-105575</formula>
    </cfRule>
  </conditionalFormatting>
  <conditionalFormatting sqref="BB204:BB208">
    <cfRule type="cellIs" dxfId="9511" priority="565" operator="lessThan">
      <formula>0</formula>
    </cfRule>
    <cfRule type="cellIs" dxfId="9510" priority="566" operator="lessThan">
      <formula>-105575</formula>
    </cfRule>
  </conditionalFormatting>
  <conditionalFormatting sqref="BB210:BB211">
    <cfRule type="cellIs" dxfId="9509" priority="563" operator="lessThan">
      <formula>0</formula>
    </cfRule>
    <cfRule type="cellIs" dxfId="9508" priority="564" operator="lessThan">
      <formula>-105575</formula>
    </cfRule>
  </conditionalFormatting>
  <conditionalFormatting sqref="BB210:BB211">
    <cfRule type="cellIs" dxfId="9507" priority="561" operator="lessThan">
      <formula>0</formula>
    </cfRule>
    <cfRule type="cellIs" dxfId="9506" priority="562" operator="lessThan">
      <formula>-105575</formula>
    </cfRule>
  </conditionalFormatting>
  <conditionalFormatting sqref="BB210:BB211">
    <cfRule type="cellIs" dxfId="9505" priority="559" operator="lessThan">
      <formula>0</formula>
    </cfRule>
    <cfRule type="cellIs" dxfId="9504" priority="560" operator="lessThan">
      <formula>-105575</formula>
    </cfRule>
  </conditionalFormatting>
  <conditionalFormatting sqref="BB214:BB219">
    <cfRule type="cellIs" dxfId="9503" priority="557" operator="lessThan">
      <formula>0</formula>
    </cfRule>
    <cfRule type="cellIs" dxfId="9502" priority="558" operator="lessThan">
      <formula>-105575</formula>
    </cfRule>
  </conditionalFormatting>
  <conditionalFormatting sqref="BB214:BB219">
    <cfRule type="cellIs" dxfId="9501" priority="555" operator="lessThan">
      <formula>0</formula>
    </cfRule>
    <cfRule type="cellIs" dxfId="9500" priority="556" operator="lessThan">
      <formula>-105575</formula>
    </cfRule>
  </conditionalFormatting>
  <conditionalFormatting sqref="BB214:BB219">
    <cfRule type="cellIs" dxfId="9499" priority="553" operator="lessThan">
      <formula>0</formula>
    </cfRule>
    <cfRule type="cellIs" dxfId="9498" priority="554" operator="lessThan">
      <formula>-105575</formula>
    </cfRule>
  </conditionalFormatting>
  <conditionalFormatting sqref="BB222:BB224">
    <cfRule type="cellIs" dxfId="9497" priority="551" operator="lessThan">
      <formula>0</formula>
    </cfRule>
    <cfRule type="cellIs" dxfId="9496" priority="552" operator="lessThan">
      <formula>-105575</formula>
    </cfRule>
  </conditionalFormatting>
  <conditionalFormatting sqref="BB222:BB224">
    <cfRule type="cellIs" dxfId="9495" priority="549" operator="lessThan">
      <formula>0</formula>
    </cfRule>
    <cfRule type="cellIs" dxfId="9494" priority="550" operator="lessThan">
      <formula>-105575</formula>
    </cfRule>
  </conditionalFormatting>
  <conditionalFormatting sqref="BB222:BB224">
    <cfRule type="cellIs" dxfId="9493" priority="547" operator="lessThan">
      <formula>0</formula>
    </cfRule>
    <cfRule type="cellIs" dxfId="9492" priority="548" operator="lessThan">
      <formula>-105575</formula>
    </cfRule>
  </conditionalFormatting>
  <conditionalFormatting sqref="BB227:BB230">
    <cfRule type="cellIs" dxfId="9491" priority="545" operator="lessThan">
      <formula>0</formula>
    </cfRule>
    <cfRule type="cellIs" dxfId="9490" priority="546" operator="lessThan">
      <formula>-105575</formula>
    </cfRule>
  </conditionalFormatting>
  <conditionalFormatting sqref="BB227:BB230">
    <cfRule type="cellIs" dxfId="9489" priority="543" operator="lessThan">
      <formula>0</formula>
    </cfRule>
    <cfRule type="cellIs" dxfId="9488" priority="544" operator="lessThan">
      <formula>-105575</formula>
    </cfRule>
  </conditionalFormatting>
  <conditionalFormatting sqref="BB227:BB230">
    <cfRule type="cellIs" dxfId="9487" priority="541" operator="lessThan">
      <formula>0</formula>
    </cfRule>
    <cfRule type="cellIs" dxfId="9486" priority="542" operator="lessThan">
      <formula>-105575</formula>
    </cfRule>
  </conditionalFormatting>
  <conditionalFormatting sqref="BB246:BB249">
    <cfRule type="cellIs" dxfId="9485" priority="539" operator="lessThan">
      <formula>0</formula>
    </cfRule>
    <cfRule type="cellIs" dxfId="9484" priority="540" operator="lessThan">
      <formula>-105575</formula>
    </cfRule>
  </conditionalFormatting>
  <conditionalFormatting sqref="BB246:BB249">
    <cfRule type="cellIs" dxfId="9483" priority="537" operator="lessThan">
      <formula>0</formula>
    </cfRule>
    <cfRule type="cellIs" dxfId="9482" priority="538" operator="lessThan">
      <formula>-105575</formula>
    </cfRule>
  </conditionalFormatting>
  <conditionalFormatting sqref="BB246:BB249">
    <cfRule type="cellIs" dxfId="9481" priority="535" operator="lessThan">
      <formula>0</formula>
    </cfRule>
    <cfRule type="cellIs" dxfId="9480" priority="536" operator="lessThan">
      <formula>-105575</formula>
    </cfRule>
  </conditionalFormatting>
  <conditionalFormatting sqref="BB246:BB249">
    <cfRule type="cellIs" dxfId="9479" priority="533" operator="lessThan">
      <formula>0</formula>
    </cfRule>
    <cfRule type="cellIs" dxfId="9478" priority="534" operator="lessThan">
      <formula>-105575</formula>
    </cfRule>
  </conditionalFormatting>
  <conditionalFormatting sqref="BB246:BB249">
    <cfRule type="cellIs" dxfId="9477" priority="531" operator="lessThan">
      <formula>0</formula>
    </cfRule>
    <cfRule type="cellIs" dxfId="9476" priority="532" operator="lessThan">
      <formula>-105575</formula>
    </cfRule>
  </conditionalFormatting>
  <conditionalFormatting sqref="BB246:BB249">
    <cfRule type="cellIs" dxfId="9475" priority="529" operator="lessThan">
      <formula>0</formula>
    </cfRule>
    <cfRule type="cellIs" dxfId="9474" priority="530" operator="lessThan">
      <formula>-105575</formula>
    </cfRule>
  </conditionalFormatting>
  <conditionalFormatting sqref="BB246:BB249">
    <cfRule type="cellIs" dxfId="9473" priority="527" operator="lessThan">
      <formula>0</formula>
    </cfRule>
    <cfRule type="cellIs" dxfId="9472" priority="528" operator="lessThan">
      <formula>-105575</formula>
    </cfRule>
  </conditionalFormatting>
  <conditionalFormatting sqref="BB246:BB249">
    <cfRule type="cellIs" dxfId="9471" priority="525" operator="lessThan">
      <formula>0</formula>
    </cfRule>
    <cfRule type="cellIs" dxfId="9470" priority="526" operator="lessThan">
      <formula>-105575</formula>
    </cfRule>
  </conditionalFormatting>
  <conditionalFormatting sqref="BB246:BB249">
    <cfRule type="cellIs" dxfId="9469" priority="523" operator="lessThan">
      <formula>0</formula>
    </cfRule>
    <cfRule type="cellIs" dxfId="9468" priority="524" operator="lessThan">
      <formula>-105575</formula>
    </cfRule>
  </conditionalFormatting>
  <conditionalFormatting sqref="BB251:BB253">
    <cfRule type="cellIs" dxfId="9467" priority="521" operator="lessThan">
      <formula>0</formula>
    </cfRule>
    <cfRule type="cellIs" dxfId="9466" priority="522" operator="lessThan">
      <formula>-105575</formula>
    </cfRule>
  </conditionalFormatting>
  <conditionalFormatting sqref="BB251:BB253">
    <cfRule type="cellIs" dxfId="9465" priority="519" operator="lessThan">
      <formula>0</formula>
    </cfRule>
    <cfRule type="cellIs" dxfId="9464" priority="520" operator="lessThan">
      <formula>-105575</formula>
    </cfRule>
  </conditionalFormatting>
  <conditionalFormatting sqref="BB251:BB253">
    <cfRule type="cellIs" dxfId="9463" priority="517" operator="lessThan">
      <formula>0</formula>
    </cfRule>
    <cfRule type="cellIs" dxfId="9462" priority="518" operator="lessThan">
      <formula>-105575</formula>
    </cfRule>
  </conditionalFormatting>
  <conditionalFormatting sqref="BB251:BB253">
    <cfRule type="cellIs" dxfId="9461" priority="515" operator="lessThan">
      <formula>0</formula>
    </cfRule>
    <cfRule type="cellIs" dxfId="9460" priority="516" operator="lessThan">
      <formula>-105575</formula>
    </cfRule>
  </conditionalFormatting>
  <conditionalFormatting sqref="BB251:BB253">
    <cfRule type="cellIs" dxfId="9459" priority="513" operator="lessThan">
      <formula>0</formula>
    </cfRule>
    <cfRule type="cellIs" dxfId="9458" priority="514" operator="lessThan">
      <formula>-105575</formula>
    </cfRule>
  </conditionalFormatting>
  <conditionalFormatting sqref="BB251:BB253">
    <cfRule type="cellIs" dxfId="9457" priority="511" operator="lessThan">
      <formula>0</formula>
    </cfRule>
    <cfRule type="cellIs" dxfId="9456" priority="512" operator="lessThan">
      <formula>-105575</formula>
    </cfRule>
  </conditionalFormatting>
  <conditionalFormatting sqref="BB251:BB253">
    <cfRule type="cellIs" dxfId="9455" priority="509" operator="lessThan">
      <formula>0</formula>
    </cfRule>
    <cfRule type="cellIs" dxfId="9454" priority="510" operator="lessThan">
      <formula>-105575</formula>
    </cfRule>
  </conditionalFormatting>
  <conditionalFormatting sqref="BB251:BB253">
    <cfRule type="cellIs" dxfId="9453" priority="507" operator="lessThan">
      <formula>0</formula>
    </cfRule>
    <cfRule type="cellIs" dxfId="9452" priority="508" operator="lessThan">
      <formula>-105575</formula>
    </cfRule>
  </conditionalFormatting>
  <conditionalFormatting sqref="BB251:BB253">
    <cfRule type="cellIs" dxfId="9451" priority="505" operator="lessThan">
      <formula>0</formula>
    </cfRule>
    <cfRule type="cellIs" dxfId="9450" priority="506" operator="lessThan">
      <formula>-105575</formula>
    </cfRule>
  </conditionalFormatting>
  <conditionalFormatting sqref="BB255:BB257">
    <cfRule type="cellIs" dxfId="9449" priority="503" operator="lessThan">
      <formula>0</formula>
    </cfRule>
    <cfRule type="cellIs" dxfId="9448" priority="504" operator="lessThan">
      <formula>-105575</formula>
    </cfRule>
  </conditionalFormatting>
  <conditionalFormatting sqref="BB255:BB257">
    <cfRule type="cellIs" dxfId="9447" priority="501" operator="lessThan">
      <formula>0</formula>
    </cfRule>
    <cfRule type="cellIs" dxfId="9446" priority="502" operator="lessThan">
      <formula>-105575</formula>
    </cfRule>
  </conditionalFormatting>
  <conditionalFormatting sqref="BB255:BB257">
    <cfRule type="cellIs" dxfId="9445" priority="499" operator="lessThan">
      <formula>0</formula>
    </cfRule>
    <cfRule type="cellIs" dxfId="9444" priority="500" operator="lessThan">
      <formula>-105575</formula>
    </cfRule>
  </conditionalFormatting>
  <conditionalFormatting sqref="BB255:BB257">
    <cfRule type="cellIs" dxfId="9443" priority="497" operator="lessThan">
      <formula>0</formula>
    </cfRule>
    <cfRule type="cellIs" dxfId="9442" priority="498" operator="lessThan">
      <formula>-105575</formula>
    </cfRule>
  </conditionalFormatting>
  <conditionalFormatting sqref="BB255:BB257">
    <cfRule type="cellIs" dxfId="9441" priority="495" operator="lessThan">
      <formula>0</formula>
    </cfRule>
    <cfRule type="cellIs" dxfId="9440" priority="496" operator="lessThan">
      <formula>-105575</formula>
    </cfRule>
  </conditionalFormatting>
  <conditionalFormatting sqref="BB255:BB257">
    <cfRule type="cellIs" dxfId="9439" priority="493" operator="lessThan">
      <formula>0</formula>
    </cfRule>
    <cfRule type="cellIs" dxfId="9438" priority="494" operator="lessThan">
      <formula>-105575</formula>
    </cfRule>
  </conditionalFormatting>
  <conditionalFormatting sqref="BB255:BB257">
    <cfRule type="cellIs" dxfId="9437" priority="491" operator="lessThan">
      <formula>0</formula>
    </cfRule>
    <cfRule type="cellIs" dxfId="9436" priority="492" operator="lessThan">
      <formula>-105575</formula>
    </cfRule>
  </conditionalFormatting>
  <conditionalFormatting sqref="BB255:BB257">
    <cfRule type="cellIs" dxfId="9435" priority="489" operator="lessThan">
      <formula>0</formula>
    </cfRule>
    <cfRule type="cellIs" dxfId="9434" priority="490" operator="lessThan">
      <formula>-105575</formula>
    </cfRule>
  </conditionalFormatting>
  <conditionalFormatting sqref="BB255:BB257">
    <cfRule type="cellIs" dxfId="9433" priority="487" operator="lessThan">
      <formula>0</formula>
    </cfRule>
    <cfRule type="cellIs" dxfId="9432" priority="488" operator="lessThan">
      <formula>-105575</formula>
    </cfRule>
  </conditionalFormatting>
  <conditionalFormatting sqref="BB260:BB262">
    <cfRule type="cellIs" dxfId="9431" priority="485" operator="lessThan">
      <formula>0</formula>
    </cfRule>
    <cfRule type="cellIs" dxfId="9430" priority="486" operator="lessThan">
      <formula>-105575</formula>
    </cfRule>
  </conditionalFormatting>
  <conditionalFormatting sqref="BB260:BB262">
    <cfRule type="cellIs" dxfId="9429" priority="483" operator="lessThan">
      <formula>0</formula>
    </cfRule>
    <cfRule type="cellIs" dxfId="9428" priority="484" operator="lessThan">
      <formula>-105575</formula>
    </cfRule>
  </conditionalFormatting>
  <conditionalFormatting sqref="BB260:BB262">
    <cfRule type="cellIs" dxfId="9427" priority="481" operator="lessThan">
      <formula>0</formula>
    </cfRule>
    <cfRule type="cellIs" dxfId="9426" priority="482" operator="lessThan">
      <formula>-105575</formula>
    </cfRule>
  </conditionalFormatting>
  <conditionalFormatting sqref="BB260:BB262">
    <cfRule type="cellIs" dxfId="9425" priority="479" operator="lessThan">
      <formula>0</formula>
    </cfRule>
    <cfRule type="cellIs" dxfId="9424" priority="480" operator="lessThan">
      <formula>-105575</formula>
    </cfRule>
  </conditionalFormatting>
  <conditionalFormatting sqref="BB260:BB262">
    <cfRule type="cellIs" dxfId="9423" priority="477" operator="lessThan">
      <formula>0</formula>
    </cfRule>
    <cfRule type="cellIs" dxfId="9422" priority="478" operator="lessThan">
      <formula>-105575</formula>
    </cfRule>
  </conditionalFormatting>
  <conditionalFormatting sqref="BB260:BB262">
    <cfRule type="cellIs" dxfId="9421" priority="475" operator="lessThan">
      <formula>0</formula>
    </cfRule>
    <cfRule type="cellIs" dxfId="9420" priority="476" operator="lessThan">
      <formula>-105575</formula>
    </cfRule>
  </conditionalFormatting>
  <conditionalFormatting sqref="BB260:BB262">
    <cfRule type="cellIs" dxfId="9419" priority="473" operator="lessThan">
      <formula>0</formula>
    </cfRule>
    <cfRule type="cellIs" dxfId="9418" priority="474" operator="lessThan">
      <formula>-105575</formula>
    </cfRule>
  </conditionalFormatting>
  <conditionalFormatting sqref="BB260:BB262">
    <cfRule type="cellIs" dxfId="9417" priority="471" operator="lessThan">
      <formula>0</formula>
    </cfRule>
    <cfRule type="cellIs" dxfId="9416" priority="472" operator="lessThan">
      <formula>-105575</formula>
    </cfRule>
  </conditionalFormatting>
  <conditionalFormatting sqref="BB260:BB262">
    <cfRule type="cellIs" dxfId="9415" priority="469" operator="lessThan">
      <formula>0</formula>
    </cfRule>
    <cfRule type="cellIs" dxfId="9414" priority="470" operator="lessThan">
      <formula>-105575</formula>
    </cfRule>
  </conditionalFormatting>
  <conditionalFormatting sqref="BB264:BB267">
    <cfRule type="cellIs" dxfId="9413" priority="467" operator="lessThan">
      <formula>0</formula>
    </cfRule>
    <cfRule type="cellIs" dxfId="9412" priority="468" operator="lessThan">
      <formula>-105575</formula>
    </cfRule>
  </conditionalFormatting>
  <conditionalFormatting sqref="BB264:BB267">
    <cfRule type="cellIs" dxfId="9411" priority="465" operator="lessThan">
      <formula>0</formula>
    </cfRule>
    <cfRule type="cellIs" dxfId="9410" priority="466" operator="lessThan">
      <formula>-105575</formula>
    </cfRule>
  </conditionalFormatting>
  <conditionalFormatting sqref="BB264:BB267">
    <cfRule type="cellIs" dxfId="9409" priority="463" operator="lessThan">
      <formula>0</formula>
    </cfRule>
    <cfRule type="cellIs" dxfId="9408" priority="464" operator="lessThan">
      <formula>-105575</formula>
    </cfRule>
  </conditionalFormatting>
  <conditionalFormatting sqref="BB264:BB267">
    <cfRule type="cellIs" dxfId="9407" priority="461" operator="lessThan">
      <formula>0</formula>
    </cfRule>
    <cfRule type="cellIs" dxfId="9406" priority="462" operator="lessThan">
      <formula>-105575</formula>
    </cfRule>
  </conditionalFormatting>
  <conditionalFormatting sqref="BB264:BB267">
    <cfRule type="cellIs" dxfId="9405" priority="459" operator="lessThan">
      <formula>0</formula>
    </cfRule>
    <cfRule type="cellIs" dxfId="9404" priority="460" operator="lessThan">
      <formula>-105575</formula>
    </cfRule>
  </conditionalFormatting>
  <conditionalFormatting sqref="BB264:BB267">
    <cfRule type="cellIs" dxfId="9403" priority="457" operator="lessThan">
      <formula>0</formula>
    </cfRule>
    <cfRule type="cellIs" dxfId="9402" priority="458" operator="lessThan">
      <formula>-105575</formula>
    </cfRule>
  </conditionalFormatting>
  <conditionalFormatting sqref="BB264:BB267">
    <cfRule type="cellIs" dxfId="9401" priority="455" operator="lessThan">
      <formula>0</formula>
    </cfRule>
    <cfRule type="cellIs" dxfId="9400" priority="456" operator="lessThan">
      <formula>-105575</formula>
    </cfRule>
  </conditionalFormatting>
  <conditionalFormatting sqref="BB264:BB267">
    <cfRule type="cellIs" dxfId="9399" priority="453" operator="lessThan">
      <formula>0</formula>
    </cfRule>
    <cfRule type="cellIs" dxfId="9398" priority="454" operator="lessThan">
      <formula>-105575</formula>
    </cfRule>
  </conditionalFormatting>
  <conditionalFormatting sqref="BB264:BB267">
    <cfRule type="cellIs" dxfId="9397" priority="451" operator="lessThan">
      <formula>0</formula>
    </cfRule>
    <cfRule type="cellIs" dxfId="9396" priority="452" operator="lessThan">
      <formula>-105575</formula>
    </cfRule>
  </conditionalFormatting>
  <conditionalFormatting sqref="BB270:BB272">
    <cfRule type="cellIs" dxfId="9395" priority="449" operator="lessThan">
      <formula>0</formula>
    </cfRule>
    <cfRule type="cellIs" dxfId="9394" priority="450" operator="lessThan">
      <formula>-105575</formula>
    </cfRule>
  </conditionalFormatting>
  <conditionalFormatting sqref="BB270:BB272">
    <cfRule type="cellIs" dxfId="9393" priority="447" operator="lessThan">
      <formula>0</formula>
    </cfRule>
    <cfRule type="cellIs" dxfId="9392" priority="448" operator="lessThan">
      <formula>-105575</formula>
    </cfRule>
  </conditionalFormatting>
  <conditionalFormatting sqref="BB270:BB272">
    <cfRule type="cellIs" dxfId="9391" priority="445" operator="lessThan">
      <formula>0</formula>
    </cfRule>
    <cfRule type="cellIs" dxfId="9390" priority="446" operator="lessThan">
      <formula>-105575</formula>
    </cfRule>
  </conditionalFormatting>
  <conditionalFormatting sqref="BB270:BB272">
    <cfRule type="cellIs" dxfId="9389" priority="443" operator="lessThan">
      <formula>0</formula>
    </cfRule>
    <cfRule type="cellIs" dxfId="9388" priority="444" operator="lessThan">
      <formula>-105575</formula>
    </cfRule>
  </conditionalFormatting>
  <conditionalFormatting sqref="BB270:BB272">
    <cfRule type="cellIs" dxfId="9387" priority="441" operator="lessThan">
      <formula>0</formula>
    </cfRule>
    <cfRule type="cellIs" dxfId="9386" priority="442" operator="lessThan">
      <formula>-105575</formula>
    </cfRule>
  </conditionalFormatting>
  <conditionalFormatting sqref="BB270:BB272">
    <cfRule type="cellIs" dxfId="9385" priority="439" operator="lessThan">
      <formula>0</formula>
    </cfRule>
    <cfRule type="cellIs" dxfId="9384" priority="440" operator="lessThan">
      <formula>-105575</formula>
    </cfRule>
  </conditionalFormatting>
  <conditionalFormatting sqref="BB270:BB272">
    <cfRule type="cellIs" dxfId="9383" priority="437" operator="lessThan">
      <formula>0</formula>
    </cfRule>
    <cfRule type="cellIs" dxfId="9382" priority="438" operator="lessThan">
      <formula>-105575</formula>
    </cfRule>
  </conditionalFormatting>
  <conditionalFormatting sqref="BB270:BB272">
    <cfRule type="cellIs" dxfId="9381" priority="435" operator="lessThan">
      <formula>0</formula>
    </cfRule>
    <cfRule type="cellIs" dxfId="9380" priority="436" operator="lessThan">
      <formula>-105575</formula>
    </cfRule>
  </conditionalFormatting>
  <conditionalFormatting sqref="BB270:BB272">
    <cfRule type="cellIs" dxfId="9379" priority="433" operator="lessThan">
      <formula>0</formula>
    </cfRule>
    <cfRule type="cellIs" dxfId="9378" priority="434" operator="lessThan">
      <formula>-105575</formula>
    </cfRule>
  </conditionalFormatting>
  <conditionalFormatting sqref="BB274:BB275">
    <cfRule type="cellIs" dxfId="9377" priority="431" operator="lessThan">
      <formula>0</formula>
    </cfRule>
    <cfRule type="cellIs" dxfId="9376" priority="432" operator="lessThan">
      <formula>-105575</formula>
    </cfRule>
  </conditionalFormatting>
  <conditionalFormatting sqref="BB274:BB275">
    <cfRule type="cellIs" dxfId="9375" priority="429" operator="lessThan">
      <formula>0</formula>
    </cfRule>
    <cfRule type="cellIs" dxfId="9374" priority="430" operator="lessThan">
      <formula>-105575</formula>
    </cfRule>
  </conditionalFormatting>
  <conditionalFormatting sqref="BB274:BB275">
    <cfRule type="cellIs" dxfId="9373" priority="427" operator="lessThan">
      <formula>0</formula>
    </cfRule>
    <cfRule type="cellIs" dxfId="9372" priority="428" operator="lessThan">
      <formula>-105575</formula>
    </cfRule>
  </conditionalFormatting>
  <conditionalFormatting sqref="BB274:BB275">
    <cfRule type="cellIs" dxfId="9371" priority="425" operator="lessThan">
      <formula>0</formula>
    </cfRule>
    <cfRule type="cellIs" dxfId="9370" priority="426" operator="lessThan">
      <formula>-105575</formula>
    </cfRule>
  </conditionalFormatting>
  <conditionalFormatting sqref="BB274:BB275">
    <cfRule type="cellIs" dxfId="9369" priority="423" operator="lessThan">
      <formula>0</formula>
    </cfRule>
    <cfRule type="cellIs" dxfId="9368" priority="424" operator="lessThan">
      <formula>-105575</formula>
    </cfRule>
  </conditionalFormatting>
  <conditionalFormatting sqref="BB274:BB275">
    <cfRule type="cellIs" dxfId="9367" priority="421" operator="lessThan">
      <formula>0</formula>
    </cfRule>
    <cfRule type="cellIs" dxfId="9366" priority="422" operator="lessThan">
      <formula>-105575</formula>
    </cfRule>
  </conditionalFormatting>
  <conditionalFormatting sqref="BB274:BB275">
    <cfRule type="cellIs" dxfId="9365" priority="419" operator="lessThan">
      <formula>0</formula>
    </cfRule>
    <cfRule type="cellIs" dxfId="9364" priority="420" operator="lessThan">
      <formula>-105575</formula>
    </cfRule>
  </conditionalFormatting>
  <conditionalFormatting sqref="BB274:BB275">
    <cfRule type="cellIs" dxfId="9363" priority="417" operator="lessThan">
      <formula>0</formula>
    </cfRule>
    <cfRule type="cellIs" dxfId="9362" priority="418" operator="lessThan">
      <formula>-105575</formula>
    </cfRule>
  </conditionalFormatting>
  <conditionalFormatting sqref="BB274:BB275">
    <cfRule type="cellIs" dxfId="9361" priority="415" operator="lessThan">
      <formula>0</formula>
    </cfRule>
    <cfRule type="cellIs" dxfId="9360" priority="416" operator="lessThan">
      <formula>-105575</formula>
    </cfRule>
  </conditionalFormatting>
  <conditionalFormatting sqref="BB278:BB282">
    <cfRule type="cellIs" dxfId="9359" priority="413" operator="lessThan">
      <formula>0</formula>
    </cfRule>
    <cfRule type="cellIs" dxfId="9358" priority="414" operator="lessThan">
      <formula>-105575</formula>
    </cfRule>
  </conditionalFormatting>
  <conditionalFormatting sqref="BB278:BB282">
    <cfRule type="cellIs" dxfId="9357" priority="411" operator="lessThan">
      <formula>0</formula>
    </cfRule>
    <cfRule type="cellIs" dxfId="9356" priority="412" operator="lessThan">
      <formula>-105575</formula>
    </cfRule>
  </conditionalFormatting>
  <conditionalFormatting sqref="BB278:BB282">
    <cfRule type="cellIs" dxfId="9355" priority="409" operator="lessThan">
      <formula>0</formula>
    </cfRule>
    <cfRule type="cellIs" dxfId="9354" priority="410" operator="lessThan">
      <formula>-105575</formula>
    </cfRule>
  </conditionalFormatting>
  <conditionalFormatting sqref="BB278:BB282">
    <cfRule type="cellIs" dxfId="9353" priority="407" operator="lessThan">
      <formula>0</formula>
    </cfRule>
    <cfRule type="cellIs" dxfId="9352" priority="408" operator="lessThan">
      <formula>-105575</formula>
    </cfRule>
  </conditionalFormatting>
  <conditionalFormatting sqref="BB278:BB282">
    <cfRule type="cellIs" dxfId="9351" priority="405" operator="lessThan">
      <formula>0</formula>
    </cfRule>
    <cfRule type="cellIs" dxfId="9350" priority="406" operator="lessThan">
      <formula>-105575</formula>
    </cfRule>
  </conditionalFormatting>
  <conditionalFormatting sqref="BB278:BB282">
    <cfRule type="cellIs" dxfId="9349" priority="403" operator="lessThan">
      <formula>0</formula>
    </cfRule>
    <cfRule type="cellIs" dxfId="9348" priority="404" operator="lessThan">
      <formula>-105575</formula>
    </cfRule>
  </conditionalFormatting>
  <conditionalFormatting sqref="BB278:BB282">
    <cfRule type="cellIs" dxfId="9347" priority="401" operator="lessThan">
      <formula>0</formula>
    </cfRule>
    <cfRule type="cellIs" dxfId="9346" priority="402" operator="lessThan">
      <formula>-105575</formula>
    </cfRule>
  </conditionalFormatting>
  <conditionalFormatting sqref="BB278:BB282">
    <cfRule type="cellIs" dxfId="9345" priority="399" operator="lessThan">
      <formula>0</formula>
    </cfRule>
    <cfRule type="cellIs" dxfId="9344" priority="400" operator="lessThan">
      <formula>-105575</formula>
    </cfRule>
  </conditionalFormatting>
  <conditionalFormatting sqref="BB278:BB282">
    <cfRule type="cellIs" dxfId="9343" priority="397" operator="lessThan">
      <formula>0</formula>
    </cfRule>
    <cfRule type="cellIs" dxfId="9342" priority="398" operator="lessThan">
      <formula>-105575</formula>
    </cfRule>
  </conditionalFormatting>
  <conditionalFormatting sqref="BB285:BB288">
    <cfRule type="cellIs" dxfId="9341" priority="395" operator="lessThan">
      <formula>0</formula>
    </cfRule>
    <cfRule type="cellIs" dxfId="9340" priority="396" operator="lessThan">
      <formula>-105575</formula>
    </cfRule>
  </conditionalFormatting>
  <conditionalFormatting sqref="BB285:BB288">
    <cfRule type="cellIs" dxfId="9339" priority="393" operator="lessThan">
      <formula>0</formula>
    </cfRule>
    <cfRule type="cellIs" dxfId="9338" priority="394" operator="lessThan">
      <formula>-105575</formula>
    </cfRule>
  </conditionalFormatting>
  <conditionalFormatting sqref="BB285:BB288">
    <cfRule type="cellIs" dxfId="9337" priority="391" operator="lessThan">
      <formula>0</formula>
    </cfRule>
    <cfRule type="cellIs" dxfId="9336" priority="392" operator="lessThan">
      <formula>-105575</formula>
    </cfRule>
  </conditionalFormatting>
  <conditionalFormatting sqref="BB285:BB288">
    <cfRule type="cellIs" dxfId="9335" priority="389" operator="lessThan">
      <formula>0</formula>
    </cfRule>
    <cfRule type="cellIs" dxfId="9334" priority="390" operator="lessThan">
      <formula>-105575</formula>
    </cfRule>
  </conditionalFormatting>
  <conditionalFormatting sqref="BB285:BB288">
    <cfRule type="cellIs" dxfId="9333" priority="387" operator="lessThan">
      <formula>0</formula>
    </cfRule>
    <cfRule type="cellIs" dxfId="9332" priority="388" operator="lessThan">
      <formula>-105575</formula>
    </cfRule>
  </conditionalFormatting>
  <conditionalFormatting sqref="BB285:BB288">
    <cfRule type="cellIs" dxfId="9331" priority="385" operator="lessThan">
      <formula>0</formula>
    </cfRule>
    <cfRule type="cellIs" dxfId="9330" priority="386" operator="lessThan">
      <formula>-105575</formula>
    </cfRule>
  </conditionalFormatting>
  <conditionalFormatting sqref="BB285:BB288">
    <cfRule type="cellIs" dxfId="9329" priority="383" operator="lessThan">
      <formula>0</formula>
    </cfRule>
    <cfRule type="cellIs" dxfId="9328" priority="384" operator="lessThan">
      <formula>-105575</formula>
    </cfRule>
  </conditionalFormatting>
  <conditionalFormatting sqref="BB285:BB288">
    <cfRule type="cellIs" dxfId="9327" priority="381" operator="lessThan">
      <formula>0</formula>
    </cfRule>
    <cfRule type="cellIs" dxfId="9326" priority="382" operator="lessThan">
      <formula>-105575</formula>
    </cfRule>
  </conditionalFormatting>
  <conditionalFormatting sqref="BB285:BB288">
    <cfRule type="cellIs" dxfId="9325" priority="379" operator="lessThan">
      <formula>0</formula>
    </cfRule>
    <cfRule type="cellIs" dxfId="9324" priority="380" operator="lessThan">
      <formula>-105575</formula>
    </cfRule>
  </conditionalFormatting>
  <conditionalFormatting sqref="BB203 BB220:BB221 BB235:BB243 BB231:BB233 BB212:BB213 BB225:BB226">
    <cfRule type="cellIs" dxfId="9323" priority="377" operator="lessThan">
      <formula>0</formula>
    </cfRule>
    <cfRule type="cellIs" dxfId="9322" priority="378" operator="lessThan">
      <formula>-105575</formula>
    </cfRule>
  </conditionalFormatting>
  <conditionalFormatting sqref="BB220 BB212:BB213 BB235:BB238 BB240:BB243 BB225:BB226 BB231:BB233">
    <cfRule type="cellIs" dxfId="9321" priority="375" operator="lessThan">
      <formula>0</formula>
    </cfRule>
    <cfRule type="cellIs" dxfId="9320" priority="376" operator="lessThan">
      <formula>-105575</formula>
    </cfRule>
  </conditionalFormatting>
  <conditionalFormatting sqref="BB220:BB221 BB243 BB226 BB231:BB236 BB238:BB241 BB203 BB213">
    <cfRule type="cellIs" dxfId="9319" priority="373" operator="lessThan">
      <formula>0</formula>
    </cfRule>
    <cfRule type="cellIs" dxfId="9318" priority="374" operator="lessThan">
      <formula>-105575</formula>
    </cfRule>
  </conditionalFormatting>
  <conditionalFormatting sqref="BB235:BB243 BB231:BB233 BB220 BB212:BB213 BB225:BB226">
    <cfRule type="cellIs" dxfId="9317" priority="371" operator="lessThan">
      <formula>0</formula>
    </cfRule>
    <cfRule type="cellIs" dxfId="9316" priority="372" operator="lessThan">
      <formula>-105575</formula>
    </cfRule>
  </conditionalFormatting>
  <conditionalFormatting sqref="BB220:BB221 BB237:BB243 BB203 BB231:BB235 BB212:BB213 BB225:BB226">
    <cfRule type="cellIs" dxfId="9315" priority="369" operator="lessThan">
      <formula>0</formula>
    </cfRule>
    <cfRule type="cellIs" dxfId="9314" priority="370" operator="lessThan">
      <formula>-105575</formula>
    </cfRule>
  </conditionalFormatting>
  <conditionalFormatting sqref="BB220:BB221 BB237:BB240 BB242:BB243 BB225:BB226 BB231:BB235">
    <cfRule type="cellIs" dxfId="9313" priority="367" operator="lessThan">
      <formula>0</formula>
    </cfRule>
    <cfRule type="cellIs" dxfId="9312" priority="368" operator="lessThan">
      <formula>-105575</formula>
    </cfRule>
  </conditionalFormatting>
  <conditionalFormatting sqref="BB212 BB231 BB233:BB238 BB240:BB243 BB225">
    <cfRule type="cellIs" dxfId="9311" priority="365" operator="lessThan">
      <formula>0</formula>
    </cfRule>
    <cfRule type="cellIs" dxfId="9310" priority="366" operator="lessThan">
      <formula>-105575</formula>
    </cfRule>
  </conditionalFormatting>
  <conditionalFormatting sqref="BB237:BB243 BB231:BB235 BB220:BB221 BB225:BB226">
    <cfRule type="cellIs" dxfId="9309" priority="363" operator="lessThan">
      <formula>0</formula>
    </cfRule>
    <cfRule type="cellIs" dxfId="9308" priority="364" operator="lessThan">
      <formula>-105575</formula>
    </cfRule>
  </conditionalFormatting>
  <conditionalFormatting sqref="BB233:BB237 BB231 BB239:BB243">
    <cfRule type="cellIs" dxfId="9307" priority="361" operator="lessThan">
      <formula>0</formula>
    </cfRule>
    <cfRule type="cellIs" dxfId="9306" priority="362" operator="lessThan">
      <formula>-105575</formula>
    </cfRule>
  </conditionalFormatting>
  <conditionalFormatting sqref="BB233:BB237 BB231 BB239:BB243">
    <cfRule type="cellIs" dxfId="9305" priority="359" operator="lessThan">
      <formula>0</formula>
    </cfRule>
    <cfRule type="cellIs" dxfId="9304" priority="360" operator="lessThan">
      <formula>-105575</formula>
    </cfRule>
  </conditionalFormatting>
  <conditionalFormatting sqref="BB119:BB128 BB106:BB117 BB101:BB104 BB80:BB99">
    <cfRule type="cellIs" dxfId="9303" priority="357" operator="lessThan">
      <formula>0</formula>
    </cfRule>
    <cfRule type="cellIs" dxfId="9302" priority="358" operator="lessThan">
      <formula>-105575</formula>
    </cfRule>
  </conditionalFormatting>
  <conditionalFormatting sqref="BB130 BB132 BB134">
    <cfRule type="cellIs" dxfId="9301" priority="355" operator="lessThan">
      <formula>0</formula>
    </cfRule>
    <cfRule type="cellIs" dxfId="9300" priority="356" operator="lessThan">
      <formula>-105575</formula>
    </cfRule>
  </conditionalFormatting>
  <conditionalFormatting sqref="BB130 BB132 BB134">
    <cfRule type="cellIs" dxfId="9299" priority="353" operator="lessThan">
      <formula>0</formula>
    </cfRule>
    <cfRule type="cellIs" dxfId="9298" priority="354" operator="lessThan">
      <formula>-105575</formula>
    </cfRule>
  </conditionalFormatting>
  <conditionalFormatting sqref="BB129 BB131 BB133 BB135">
    <cfRule type="cellIs" dxfId="9297" priority="351" operator="lessThan">
      <formula>0</formula>
    </cfRule>
    <cfRule type="cellIs" dxfId="9296" priority="352" operator="lessThan">
      <formula>-105575</formula>
    </cfRule>
  </conditionalFormatting>
  <conditionalFormatting sqref="BB140 BB145 BB142:BB143 BB137:BB138">
    <cfRule type="cellIs" dxfId="9295" priority="349" operator="lessThan">
      <formula>0</formula>
    </cfRule>
    <cfRule type="cellIs" dxfId="9294" priority="350" operator="lessThan">
      <formula>-105575</formula>
    </cfRule>
  </conditionalFormatting>
  <conditionalFormatting sqref="BB149">
    <cfRule type="cellIs" dxfId="9293" priority="347" operator="lessThan">
      <formula>0</formula>
    </cfRule>
    <cfRule type="cellIs" dxfId="9292" priority="348" operator="lessThan">
      <formula>-105575</formula>
    </cfRule>
  </conditionalFormatting>
  <conditionalFormatting sqref="BB129:BB138 BB140:BB149">
    <cfRule type="cellIs" dxfId="9291" priority="345" operator="lessThan">
      <formula>0</formula>
    </cfRule>
    <cfRule type="cellIs" dxfId="9290" priority="346" operator="lessThan">
      <formula>-105575</formula>
    </cfRule>
  </conditionalFormatting>
  <conditionalFormatting sqref="BB86:BB87 BB89:BB91 BB141:BB149 BB124:BB133 BB107:BB110 BB112:BB117 BB119:BB122 BB135:BB138 BB101:BB104 BB80:BB84 BB94:BB99">
    <cfRule type="cellIs" dxfId="9289" priority="343" operator="lessThan">
      <formula>0</formula>
    </cfRule>
    <cfRule type="cellIs" dxfId="9288" priority="344" operator="lessThan">
      <formula>-105575</formula>
    </cfRule>
  </conditionalFormatting>
  <conditionalFormatting sqref="BB129 BB131 BB133 BB135">
    <cfRule type="cellIs" dxfId="9287" priority="341" operator="lessThan">
      <formula>0</formula>
    </cfRule>
    <cfRule type="cellIs" dxfId="9286" priority="342" operator="lessThan">
      <formula>-105575</formula>
    </cfRule>
  </conditionalFormatting>
  <conditionalFormatting sqref="BB146 BB144 BB141">
    <cfRule type="cellIs" dxfId="9285" priority="339" operator="lessThan">
      <formula>0</formula>
    </cfRule>
    <cfRule type="cellIs" dxfId="9284" priority="340" operator="lessThan">
      <formula>-105575</formula>
    </cfRule>
  </conditionalFormatting>
  <conditionalFormatting sqref="BB146 BB144 BB141">
    <cfRule type="cellIs" dxfId="9283" priority="337" operator="lessThan">
      <formula>0</formula>
    </cfRule>
    <cfRule type="cellIs" dxfId="9282" priority="338" operator="lessThan">
      <formula>-105575</formula>
    </cfRule>
  </conditionalFormatting>
  <conditionalFormatting sqref="BB140 BB145 BB142:BB143 BB137:BB138">
    <cfRule type="cellIs" dxfId="9281" priority="335" operator="lessThan">
      <formula>0</formula>
    </cfRule>
    <cfRule type="cellIs" dxfId="9280" priority="336" operator="lessThan">
      <formula>-105575</formula>
    </cfRule>
  </conditionalFormatting>
  <conditionalFormatting sqref="BB149">
    <cfRule type="cellIs" dxfId="9279" priority="333" operator="lessThan">
      <formula>0</formula>
    </cfRule>
    <cfRule type="cellIs" dxfId="9278" priority="334" operator="lessThan">
      <formula>-105575</formula>
    </cfRule>
  </conditionalFormatting>
  <conditionalFormatting sqref="BB86:BB87 BB89:BB91 BB141:BB149 BB124:BB133 BB107:BB110 BB112:BB117 BB119:BB122 BB135:BB138 BB101:BB104 BB80:BB84 BB94:BB99">
    <cfRule type="cellIs" dxfId="9277" priority="331" operator="lessThan">
      <formula>0</formula>
    </cfRule>
    <cfRule type="cellIs" dxfId="9276" priority="332" operator="lessThan">
      <formula>-105575</formula>
    </cfRule>
  </conditionalFormatting>
  <conditionalFormatting sqref="BB306:BB309 BB311:BB325 BB327:BB330 BB332:BB341 BB344:BB347 BB349:BB353 BB355:BB358 BB360:BB384 BB386:BB389 BB392:BB395 BB397:BB411 BB413:BB416 BB418:BB432 BB434:BB437 BB439:BB453 BB455:BB458 BB460:BB469 BB290:BB291 BB293:BB304 BB7:BB10 BB12:BB14 BB17:BB18 BB21:BB24 BB26:BB28 BB30:BB36 BB38 BB41:BB43 BB46:BB49 BB51:BB55 BB57:BB59 BB62:BB76">
    <cfRule type="cellIs" dxfId="9275" priority="329" operator="lessThan">
      <formula>0</formula>
    </cfRule>
    <cfRule type="cellIs" dxfId="9274" priority="330" operator="lessThan">
      <formula>-105575</formula>
    </cfRule>
  </conditionalFormatting>
  <conditionalFormatting sqref="BB41">
    <cfRule type="cellIs" dxfId="9273" priority="327" operator="lessThan">
      <formula>0</formula>
    </cfRule>
    <cfRule type="cellIs" dxfId="9272" priority="328" operator="lessThan">
      <formula>-105575</formula>
    </cfRule>
  </conditionalFormatting>
  <conditionalFormatting sqref="BB152:BB155">
    <cfRule type="cellIs" dxfId="9271" priority="325" operator="lessThan">
      <formula>0</formula>
    </cfRule>
    <cfRule type="cellIs" dxfId="9270" priority="326" operator="lessThan">
      <formula>-105575</formula>
    </cfRule>
  </conditionalFormatting>
  <conditionalFormatting sqref="BB152:BB155">
    <cfRule type="cellIs" dxfId="9269" priority="323" operator="lessThan">
      <formula>0</formula>
    </cfRule>
    <cfRule type="cellIs" dxfId="9268" priority="324" operator="lessThan">
      <formula>-105575</formula>
    </cfRule>
  </conditionalFormatting>
  <conditionalFormatting sqref="BB152:BB155">
    <cfRule type="cellIs" dxfId="9267" priority="321" operator="lessThan">
      <formula>0</formula>
    </cfRule>
    <cfRule type="cellIs" dxfId="9266" priority="322" operator="lessThan">
      <formula>-105575</formula>
    </cfRule>
  </conditionalFormatting>
  <conditionalFormatting sqref="BB157:BB158">
    <cfRule type="cellIs" dxfId="9265" priority="319" operator="lessThan">
      <formula>0</formula>
    </cfRule>
    <cfRule type="cellIs" dxfId="9264" priority="320" operator="lessThan">
      <formula>-105575</formula>
    </cfRule>
  </conditionalFormatting>
  <conditionalFormatting sqref="BB157:BB158">
    <cfRule type="cellIs" dxfId="9263" priority="317" operator="lessThan">
      <formula>0</formula>
    </cfRule>
    <cfRule type="cellIs" dxfId="9262" priority="318" operator="lessThan">
      <formula>-105575</formula>
    </cfRule>
  </conditionalFormatting>
  <conditionalFormatting sqref="BB157:BB158">
    <cfRule type="cellIs" dxfId="9261" priority="315" operator="lessThan">
      <formula>0</formula>
    </cfRule>
    <cfRule type="cellIs" dxfId="9260" priority="316" operator="lessThan">
      <formula>-105575</formula>
    </cfRule>
  </conditionalFormatting>
  <conditionalFormatting sqref="BB160:BB161">
    <cfRule type="cellIs" dxfId="9259" priority="313" operator="lessThan">
      <formula>0</formula>
    </cfRule>
    <cfRule type="cellIs" dxfId="9258" priority="314" operator="lessThan">
      <formula>-105575</formula>
    </cfRule>
  </conditionalFormatting>
  <conditionalFormatting sqref="BB160:BB161">
    <cfRule type="cellIs" dxfId="9257" priority="311" operator="lessThan">
      <formula>0</formula>
    </cfRule>
    <cfRule type="cellIs" dxfId="9256" priority="312" operator="lessThan">
      <formula>-105575</formula>
    </cfRule>
  </conditionalFormatting>
  <conditionalFormatting sqref="BB160:BB161">
    <cfRule type="cellIs" dxfId="9255" priority="309" operator="lessThan">
      <formula>0</formula>
    </cfRule>
    <cfRule type="cellIs" dxfId="9254" priority="310" operator="lessThan">
      <formula>-105575</formula>
    </cfRule>
  </conditionalFormatting>
  <conditionalFormatting sqref="BB164:BB167">
    <cfRule type="cellIs" dxfId="9253" priority="307" operator="lessThan">
      <formula>0</formula>
    </cfRule>
    <cfRule type="cellIs" dxfId="9252" priority="308" operator="lessThan">
      <formula>-105575</formula>
    </cfRule>
  </conditionalFormatting>
  <conditionalFormatting sqref="BB164:BB167">
    <cfRule type="cellIs" dxfId="9251" priority="305" operator="lessThan">
      <formula>0</formula>
    </cfRule>
    <cfRule type="cellIs" dxfId="9250" priority="306" operator="lessThan">
      <formula>-105575</formula>
    </cfRule>
  </conditionalFormatting>
  <conditionalFormatting sqref="BB164:BB167">
    <cfRule type="cellIs" dxfId="9249" priority="303" operator="lessThan">
      <formula>0</formula>
    </cfRule>
    <cfRule type="cellIs" dxfId="9248" priority="304" operator="lessThan">
      <formula>-105575</formula>
    </cfRule>
  </conditionalFormatting>
  <conditionalFormatting sqref="BB169:BB177">
    <cfRule type="cellIs" dxfId="9247" priority="301" operator="lessThan">
      <formula>0</formula>
    </cfRule>
    <cfRule type="cellIs" dxfId="9246" priority="302" operator="lessThan">
      <formula>-105575</formula>
    </cfRule>
  </conditionalFormatting>
  <conditionalFormatting sqref="BB169:BB177">
    <cfRule type="cellIs" dxfId="9245" priority="299" operator="lessThan">
      <formula>0</formula>
    </cfRule>
    <cfRule type="cellIs" dxfId="9244" priority="300" operator="lessThan">
      <formula>-105575</formula>
    </cfRule>
  </conditionalFormatting>
  <conditionalFormatting sqref="BB169:BB177">
    <cfRule type="cellIs" dxfId="9243" priority="297" operator="lessThan">
      <formula>0</formula>
    </cfRule>
    <cfRule type="cellIs" dxfId="9242" priority="298" operator="lessThan">
      <formula>-105575</formula>
    </cfRule>
  </conditionalFormatting>
  <conditionalFormatting sqref="BB179:BB180">
    <cfRule type="cellIs" dxfId="9241" priority="295" operator="lessThan">
      <formula>0</formula>
    </cfRule>
    <cfRule type="cellIs" dxfId="9240" priority="296" operator="lessThan">
      <formula>-105575</formula>
    </cfRule>
  </conditionalFormatting>
  <conditionalFormatting sqref="BB179:BB180">
    <cfRule type="cellIs" dxfId="9239" priority="293" operator="lessThan">
      <formula>0</formula>
    </cfRule>
    <cfRule type="cellIs" dxfId="9238" priority="294" operator="lessThan">
      <formula>-105575</formula>
    </cfRule>
  </conditionalFormatting>
  <conditionalFormatting sqref="BB179:BB180">
    <cfRule type="cellIs" dxfId="9237" priority="291" operator="lessThan">
      <formula>0</formula>
    </cfRule>
    <cfRule type="cellIs" dxfId="9236" priority="292" operator="lessThan">
      <formula>-105575</formula>
    </cfRule>
  </conditionalFormatting>
  <conditionalFormatting sqref="BB183:BB189">
    <cfRule type="cellIs" dxfId="9235" priority="289" operator="lessThan">
      <formula>0</formula>
    </cfRule>
    <cfRule type="cellIs" dxfId="9234" priority="290" operator="lessThan">
      <formula>-105575</formula>
    </cfRule>
  </conditionalFormatting>
  <conditionalFormatting sqref="BB183:BB189">
    <cfRule type="cellIs" dxfId="9233" priority="287" operator="lessThan">
      <formula>0</formula>
    </cfRule>
    <cfRule type="cellIs" dxfId="9232" priority="288" operator="lessThan">
      <formula>-105575</formula>
    </cfRule>
  </conditionalFormatting>
  <conditionalFormatting sqref="BB183:BB189">
    <cfRule type="cellIs" dxfId="9231" priority="285" operator="lessThan">
      <formula>0</formula>
    </cfRule>
    <cfRule type="cellIs" dxfId="9230" priority="286" operator="lessThan">
      <formula>-105575</formula>
    </cfRule>
  </conditionalFormatting>
  <conditionalFormatting sqref="BB191:BB192">
    <cfRule type="cellIs" dxfId="9229" priority="283" operator="lessThan">
      <formula>0</formula>
    </cfRule>
    <cfRule type="cellIs" dxfId="9228" priority="284" operator="lessThan">
      <formula>-105575</formula>
    </cfRule>
  </conditionalFormatting>
  <conditionalFormatting sqref="BB191:BB192">
    <cfRule type="cellIs" dxfId="9227" priority="281" operator="lessThan">
      <formula>0</formula>
    </cfRule>
    <cfRule type="cellIs" dxfId="9226" priority="282" operator="lessThan">
      <formula>-105575</formula>
    </cfRule>
  </conditionalFormatting>
  <conditionalFormatting sqref="BB191:BB192">
    <cfRule type="cellIs" dxfId="9225" priority="279" operator="lessThan">
      <formula>0</formula>
    </cfRule>
    <cfRule type="cellIs" dxfId="9224" priority="280" operator="lessThan">
      <formula>-105575</formula>
    </cfRule>
  </conditionalFormatting>
  <conditionalFormatting sqref="BB194:BB195">
    <cfRule type="cellIs" dxfId="9223" priority="277" operator="lessThan">
      <formula>0</formula>
    </cfRule>
    <cfRule type="cellIs" dxfId="9222" priority="278" operator="lessThan">
      <formula>-105575</formula>
    </cfRule>
  </conditionalFormatting>
  <conditionalFormatting sqref="BB194:BB195">
    <cfRule type="cellIs" dxfId="9221" priority="275" operator="lessThan">
      <formula>0</formula>
    </cfRule>
    <cfRule type="cellIs" dxfId="9220" priority="276" operator="lessThan">
      <formula>-105575</formula>
    </cfRule>
  </conditionalFormatting>
  <conditionalFormatting sqref="BB194:BB195">
    <cfRule type="cellIs" dxfId="9219" priority="273" operator="lessThan">
      <formula>0</formula>
    </cfRule>
    <cfRule type="cellIs" dxfId="9218" priority="274" operator="lessThan">
      <formula>-105575</formula>
    </cfRule>
  </conditionalFormatting>
  <conditionalFormatting sqref="BB199:BB202">
    <cfRule type="cellIs" dxfId="9217" priority="271" operator="lessThan">
      <formula>0</formula>
    </cfRule>
    <cfRule type="cellIs" dxfId="9216" priority="272" operator="lessThan">
      <formula>-105575</formula>
    </cfRule>
  </conditionalFormatting>
  <conditionalFormatting sqref="BB199:BB202">
    <cfRule type="cellIs" dxfId="9215" priority="269" operator="lessThan">
      <formula>0</formula>
    </cfRule>
    <cfRule type="cellIs" dxfId="9214" priority="270" operator="lessThan">
      <formula>-105575</formula>
    </cfRule>
  </conditionalFormatting>
  <conditionalFormatting sqref="BB199:BB202">
    <cfRule type="cellIs" dxfId="9213" priority="267" operator="lessThan">
      <formula>0</formula>
    </cfRule>
    <cfRule type="cellIs" dxfId="9212" priority="268" operator="lessThan">
      <formula>-105575</formula>
    </cfRule>
  </conditionalFormatting>
  <conditionalFormatting sqref="BB204:BB208">
    <cfRule type="cellIs" dxfId="9211" priority="265" operator="lessThan">
      <formula>0</formula>
    </cfRule>
    <cfRule type="cellIs" dxfId="9210" priority="266" operator="lessThan">
      <formula>-105575</formula>
    </cfRule>
  </conditionalFormatting>
  <conditionalFormatting sqref="BB204:BB208">
    <cfRule type="cellIs" dxfId="9209" priority="263" operator="lessThan">
      <formula>0</formula>
    </cfRule>
    <cfRule type="cellIs" dxfId="9208" priority="264" operator="lessThan">
      <formula>-105575</formula>
    </cfRule>
  </conditionalFormatting>
  <conditionalFormatting sqref="BB204:BB208">
    <cfRule type="cellIs" dxfId="9207" priority="261" operator="lessThan">
      <formula>0</formula>
    </cfRule>
    <cfRule type="cellIs" dxfId="9206" priority="262" operator="lessThan">
      <formula>-105575</formula>
    </cfRule>
  </conditionalFormatting>
  <conditionalFormatting sqref="BB210:BB211">
    <cfRule type="cellIs" dxfId="9205" priority="259" operator="lessThan">
      <formula>0</formula>
    </cfRule>
    <cfRule type="cellIs" dxfId="9204" priority="260" operator="lessThan">
      <formula>-105575</formula>
    </cfRule>
  </conditionalFormatting>
  <conditionalFormatting sqref="BB210:BB211">
    <cfRule type="cellIs" dxfId="9203" priority="257" operator="lessThan">
      <formula>0</formula>
    </cfRule>
    <cfRule type="cellIs" dxfId="9202" priority="258" operator="lessThan">
      <formula>-105575</formula>
    </cfRule>
  </conditionalFormatting>
  <conditionalFormatting sqref="BB210:BB211">
    <cfRule type="cellIs" dxfId="9201" priority="255" operator="lessThan">
      <formula>0</formula>
    </cfRule>
    <cfRule type="cellIs" dxfId="9200" priority="256" operator="lessThan">
      <formula>-105575</formula>
    </cfRule>
  </conditionalFormatting>
  <conditionalFormatting sqref="BB214:BB219">
    <cfRule type="cellIs" dxfId="9199" priority="253" operator="lessThan">
      <formula>0</formula>
    </cfRule>
    <cfRule type="cellIs" dxfId="9198" priority="254" operator="lessThan">
      <formula>-105575</formula>
    </cfRule>
  </conditionalFormatting>
  <conditionalFormatting sqref="BB214:BB219">
    <cfRule type="cellIs" dxfId="9197" priority="251" operator="lessThan">
      <formula>0</formula>
    </cfRule>
    <cfRule type="cellIs" dxfId="9196" priority="252" operator="lessThan">
      <formula>-105575</formula>
    </cfRule>
  </conditionalFormatting>
  <conditionalFormatting sqref="BB214:BB219">
    <cfRule type="cellIs" dxfId="9195" priority="249" operator="lessThan">
      <formula>0</formula>
    </cfRule>
    <cfRule type="cellIs" dxfId="9194" priority="250" operator="lessThan">
      <formula>-105575</formula>
    </cfRule>
  </conditionalFormatting>
  <conditionalFormatting sqref="BB222:BB224">
    <cfRule type="cellIs" dxfId="9193" priority="247" operator="lessThan">
      <formula>0</formula>
    </cfRule>
    <cfRule type="cellIs" dxfId="9192" priority="248" operator="lessThan">
      <formula>-105575</formula>
    </cfRule>
  </conditionalFormatting>
  <conditionalFormatting sqref="BB222:BB224">
    <cfRule type="cellIs" dxfId="9191" priority="245" operator="lessThan">
      <formula>0</formula>
    </cfRule>
    <cfRule type="cellIs" dxfId="9190" priority="246" operator="lessThan">
      <formula>-105575</formula>
    </cfRule>
  </conditionalFormatting>
  <conditionalFormatting sqref="BB222:BB224">
    <cfRule type="cellIs" dxfId="9189" priority="243" operator="lessThan">
      <formula>0</formula>
    </cfRule>
    <cfRule type="cellIs" dxfId="9188" priority="244" operator="lessThan">
      <formula>-105575</formula>
    </cfRule>
  </conditionalFormatting>
  <conditionalFormatting sqref="BB227:BB230">
    <cfRule type="cellIs" dxfId="9187" priority="241" operator="lessThan">
      <formula>0</formula>
    </cfRule>
    <cfRule type="cellIs" dxfId="9186" priority="242" operator="lessThan">
      <formula>-105575</formula>
    </cfRule>
  </conditionalFormatting>
  <conditionalFormatting sqref="BB227:BB230">
    <cfRule type="cellIs" dxfId="9185" priority="239" operator="lessThan">
      <formula>0</formula>
    </cfRule>
    <cfRule type="cellIs" dxfId="9184" priority="240" operator="lessThan">
      <formula>-105575</formula>
    </cfRule>
  </conditionalFormatting>
  <conditionalFormatting sqref="BB227:BB230">
    <cfRule type="cellIs" dxfId="9183" priority="237" operator="lessThan">
      <formula>0</formula>
    </cfRule>
    <cfRule type="cellIs" dxfId="9182" priority="238" operator="lessThan">
      <formula>-105575</formula>
    </cfRule>
  </conditionalFormatting>
  <conditionalFormatting sqref="BB246:BB249">
    <cfRule type="cellIs" dxfId="9181" priority="235" operator="lessThan">
      <formula>0</formula>
    </cfRule>
    <cfRule type="cellIs" dxfId="9180" priority="236" operator="lessThan">
      <formula>-105575</formula>
    </cfRule>
  </conditionalFormatting>
  <conditionalFormatting sqref="BB246:BB249">
    <cfRule type="cellIs" dxfId="9179" priority="233" operator="lessThan">
      <formula>0</formula>
    </cfRule>
    <cfRule type="cellIs" dxfId="9178" priority="234" operator="lessThan">
      <formula>-105575</formula>
    </cfRule>
  </conditionalFormatting>
  <conditionalFormatting sqref="BB246:BB249">
    <cfRule type="cellIs" dxfId="9177" priority="231" operator="lessThan">
      <formula>0</formula>
    </cfRule>
    <cfRule type="cellIs" dxfId="9176" priority="232" operator="lessThan">
      <formula>-105575</formula>
    </cfRule>
  </conditionalFormatting>
  <conditionalFormatting sqref="BB246:BB249">
    <cfRule type="cellIs" dxfId="9175" priority="229" operator="lessThan">
      <formula>0</formula>
    </cfRule>
    <cfRule type="cellIs" dxfId="9174" priority="230" operator="lessThan">
      <formula>-105575</formula>
    </cfRule>
  </conditionalFormatting>
  <conditionalFormatting sqref="BB246:BB249">
    <cfRule type="cellIs" dxfId="9173" priority="227" operator="lessThan">
      <formula>0</formula>
    </cfRule>
    <cfRule type="cellIs" dxfId="9172" priority="228" operator="lessThan">
      <formula>-105575</formula>
    </cfRule>
  </conditionalFormatting>
  <conditionalFormatting sqref="BB246:BB249">
    <cfRule type="cellIs" dxfId="9171" priority="225" operator="lessThan">
      <formula>0</formula>
    </cfRule>
    <cfRule type="cellIs" dxfId="9170" priority="226" operator="lessThan">
      <formula>-105575</formula>
    </cfRule>
  </conditionalFormatting>
  <conditionalFormatting sqref="BB246:BB249">
    <cfRule type="cellIs" dxfId="9169" priority="223" operator="lessThan">
      <formula>0</formula>
    </cfRule>
    <cfRule type="cellIs" dxfId="9168" priority="224" operator="lessThan">
      <formula>-105575</formula>
    </cfRule>
  </conditionalFormatting>
  <conditionalFormatting sqref="BB246:BB249">
    <cfRule type="cellIs" dxfId="9167" priority="221" operator="lessThan">
      <formula>0</formula>
    </cfRule>
    <cfRule type="cellIs" dxfId="9166" priority="222" operator="lessThan">
      <formula>-105575</formula>
    </cfRule>
  </conditionalFormatting>
  <conditionalFormatting sqref="BB246:BB249">
    <cfRule type="cellIs" dxfId="9165" priority="219" operator="lessThan">
      <formula>0</formula>
    </cfRule>
    <cfRule type="cellIs" dxfId="9164" priority="220" operator="lessThan">
      <formula>-105575</formula>
    </cfRule>
  </conditionalFormatting>
  <conditionalFormatting sqref="BB251:BB253">
    <cfRule type="cellIs" dxfId="9163" priority="217" operator="lessThan">
      <formula>0</formula>
    </cfRule>
    <cfRule type="cellIs" dxfId="9162" priority="218" operator="lessThan">
      <formula>-105575</formula>
    </cfRule>
  </conditionalFormatting>
  <conditionalFormatting sqref="BB251:BB253">
    <cfRule type="cellIs" dxfId="9161" priority="215" operator="lessThan">
      <formula>0</formula>
    </cfRule>
    <cfRule type="cellIs" dxfId="9160" priority="216" operator="lessThan">
      <formula>-105575</formula>
    </cfRule>
  </conditionalFormatting>
  <conditionalFormatting sqref="BB251:BB253">
    <cfRule type="cellIs" dxfId="9159" priority="213" operator="lessThan">
      <formula>0</formula>
    </cfRule>
    <cfRule type="cellIs" dxfId="9158" priority="214" operator="lessThan">
      <formula>-105575</formula>
    </cfRule>
  </conditionalFormatting>
  <conditionalFormatting sqref="BB251:BB253">
    <cfRule type="cellIs" dxfId="9157" priority="211" operator="lessThan">
      <formula>0</formula>
    </cfRule>
    <cfRule type="cellIs" dxfId="9156" priority="212" operator="lessThan">
      <formula>-105575</formula>
    </cfRule>
  </conditionalFormatting>
  <conditionalFormatting sqref="BB251:BB253">
    <cfRule type="cellIs" dxfId="9155" priority="209" operator="lessThan">
      <formula>0</formula>
    </cfRule>
    <cfRule type="cellIs" dxfId="9154" priority="210" operator="lessThan">
      <formula>-105575</formula>
    </cfRule>
  </conditionalFormatting>
  <conditionalFormatting sqref="BB251:BB253">
    <cfRule type="cellIs" dxfId="9153" priority="207" operator="lessThan">
      <formula>0</formula>
    </cfRule>
    <cfRule type="cellIs" dxfId="9152" priority="208" operator="lessThan">
      <formula>-105575</formula>
    </cfRule>
  </conditionalFormatting>
  <conditionalFormatting sqref="BB251:BB253">
    <cfRule type="cellIs" dxfId="9151" priority="205" operator="lessThan">
      <formula>0</formula>
    </cfRule>
    <cfRule type="cellIs" dxfId="9150" priority="206" operator="lessThan">
      <formula>-105575</formula>
    </cfRule>
  </conditionalFormatting>
  <conditionalFormatting sqref="BB251:BB253">
    <cfRule type="cellIs" dxfId="9149" priority="203" operator="lessThan">
      <formula>0</formula>
    </cfRule>
    <cfRule type="cellIs" dxfId="9148" priority="204" operator="lessThan">
      <formula>-105575</formula>
    </cfRule>
  </conditionalFormatting>
  <conditionalFormatting sqref="BB251:BB253">
    <cfRule type="cellIs" dxfId="9147" priority="201" operator="lessThan">
      <formula>0</formula>
    </cfRule>
    <cfRule type="cellIs" dxfId="9146" priority="202" operator="lessThan">
      <formula>-105575</formula>
    </cfRule>
  </conditionalFormatting>
  <conditionalFormatting sqref="BB255:BB257">
    <cfRule type="cellIs" dxfId="9145" priority="199" operator="lessThan">
      <formula>0</formula>
    </cfRule>
    <cfRule type="cellIs" dxfId="9144" priority="200" operator="lessThan">
      <formula>-105575</formula>
    </cfRule>
  </conditionalFormatting>
  <conditionalFormatting sqref="BB255:BB257">
    <cfRule type="cellIs" dxfId="9143" priority="197" operator="lessThan">
      <formula>0</formula>
    </cfRule>
    <cfRule type="cellIs" dxfId="9142" priority="198" operator="lessThan">
      <formula>-105575</formula>
    </cfRule>
  </conditionalFormatting>
  <conditionalFormatting sqref="BB255:BB257">
    <cfRule type="cellIs" dxfId="9141" priority="195" operator="lessThan">
      <formula>0</formula>
    </cfRule>
    <cfRule type="cellIs" dxfId="9140" priority="196" operator="lessThan">
      <formula>-105575</formula>
    </cfRule>
  </conditionalFormatting>
  <conditionalFormatting sqref="BB255:BB257">
    <cfRule type="cellIs" dxfId="9139" priority="193" operator="lessThan">
      <formula>0</formula>
    </cfRule>
    <cfRule type="cellIs" dxfId="9138" priority="194" operator="lessThan">
      <formula>-105575</formula>
    </cfRule>
  </conditionalFormatting>
  <conditionalFormatting sqref="BB255:BB257">
    <cfRule type="cellIs" dxfId="9137" priority="191" operator="lessThan">
      <formula>0</formula>
    </cfRule>
    <cfRule type="cellIs" dxfId="9136" priority="192" operator="lessThan">
      <formula>-105575</formula>
    </cfRule>
  </conditionalFormatting>
  <conditionalFormatting sqref="BB255:BB257">
    <cfRule type="cellIs" dxfId="9135" priority="189" operator="lessThan">
      <formula>0</formula>
    </cfRule>
    <cfRule type="cellIs" dxfId="9134" priority="190" operator="lessThan">
      <formula>-105575</formula>
    </cfRule>
  </conditionalFormatting>
  <conditionalFormatting sqref="BB255:BB257">
    <cfRule type="cellIs" dxfId="9133" priority="187" operator="lessThan">
      <formula>0</formula>
    </cfRule>
    <cfRule type="cellIs" dxfId="9132" priority="188" operator="lessThan">
      <formula>-105575</formula>
    </cfRule>
  </conditionalFormatting>
  <conditionalFormatting sqref="BB255:BB257">
    <cfRule type="cellIs" dxfId="9131" priority="185" operator="lessThan">
      <formula>0</formula>
    </cfRule>
    <cfRule type="cellIs" dxfId="9130" priority="186" operator="lessThan">
      <formula>-105575</formula>
    </cfRule>
  </conditionalFormatting>
  <conditionalFormatting sqref="BB255:BB257">
    <cfRule type="cellIs" dxfId="9129" priority="183" operator="lessThan">
      <formula>0</formula>
    </cfRule>
    <cfRule type="cellIs" dxfId="9128" priority="184" operator="lessThan">
      <formula>-105575</formula>
    </cfRule>
  </conditionalFormatting>
  <conditionalFormatting sqref="BB260:BB262">
    <cfRule type="cellIs" dxfId="9127" priority="181" operator="lessThan">
      <formula>0</formula>
    </cfRule>
    <cfRule type="cellIs" dxfId="9126" priority="182" operator="lessThan">
      <formula>-105575</formula>
    </cfRule>
  </conditionalFormatting>
  <conditionalFormatting sqref="BB260:BB262">
    <cfRule type="cellIs" dxfId="9125" priority="179" operator="lessThan">
      <formula>0</formula>
    </cfRule>
    <cfRule type="cellIs" dxfId="9124" priority="180" operator="lessThan">
      <formula>-105575</formula>
    </cfRule>
  </conditionalFormatting>
  <conditionalFormatting sqref="BB260:BB262">
    <cfRule type="cellIs" dxfId="9123" priority="177" operator="lessThan">
      <formula>0</formula>
    </cfRule>
    <cfRule type="cellIs" dxfId="9122" priority="178" operator="lessThan">
      <formula>-105575</formula>
    </cfRule>
  </conditionalFormatting>
  <conditionalFormatting sqref="BB260:BB262">
    <cfRule type="cellIs" dxfId="9121" priority="175" operator="lessThan">
      <formula>0</formula>
    </cfRule>
    <cfRule type="cellIs" dxfId="9120" priority="176" operator="lessThan">
      <formula>-105575</formula>
    </cfRule>
  </conditionalFormatting>
  <conditionalFormatting sqref="BB260:BB262">
    <cfRule type="cellIs" dxfId="9119" priority="173" operator="lessThan">
      <formula>0</formula>
    </cfRule>
    <cfRule type="cellIs" dxfId="9118" priority="174" operator="lessThan">
      <formula>-105575</formula>
    </cfRule>
  </conditionalFormatting>
  <conditionalFormatting sqref="BB260:BB262">
    <cfRule type="cellIs" dxfId="9117" priority="171" operator="lessThan">
      <formula>0</formula>
    </cfRule>
    <cfRule type="cellIs" dxfId="9116" priority="172" operator="lessThan">
      <formula>-105575</formula>
    </cfRule>
  </conditionalFormatting>
  <conditionalFormatting sqref="BB260:BB262">
    <cfRule type="cellIs" dxfId="9115" priority="169" operator="lessThan">
      <formula>0</formula>
    </cfRule>
    <cfRule type="cellIs" dxfId="9114" priority="170" operator="lessThan">
      <formula>-105575</formula>
    </cfRule>
  </conditionalFormatting>
  <conditionalFormatting sqref="BB260:BB262">
    <cfRule type="cellIs" dxfId="9113" priority="167" operator="lessThan">
      <formula>0</formula>
    </cfRule>
    <cfRule type="cellIs" dxfId="9112" priority="168" operator="lessThan">
      <formula>-105575</formula>
    </cfRule>
  </conditionalFormatting>
  <conditionalFormatting sqref="BB260:BB262">
    <cfRule type="cellIs" dxfId="9111" priority="165" operator="lessThan">
      <formula>0</formula>
    </cfRule>
    <cfRule type="cellIs" dxfId="9110" priority="166" operator="lessThan">
      <formula>-105575</formula>
    </cfRule>
  </conditionalFormatting>
  <conditionalFormatting sqref="BB264:BB267">
    <cfRule type="cellIs" dxfId="9109" priority="163" operator="lessThan">
      <formula>0</formula>
    </cfRule>
    <cfRule type="cellIs" dxfId="9108" priority="164" operator="lessThan">
      <formula>-105575</formula>
    </cfRule>
  </conditionalFormatting>
  <conditionalFormatting sqref="BB264:BB267">
    <cfRule type="cellIs" dxfId="9107" priority="161" operator="lessThan">
      <formula>0</formula>
    </cfRule>
    <cfRule type="cellIs" dxfId="9106" priority="162" operator="lessThan">
      <formula>-105575</formula>
    </cfRule>
  </conditionalFormatting>
  <conditionalFormatting sqref="BB264:BB267">
    <cfRule type="cellIs" dxfId="9105" priority="159" operator="lessThan">
      <formula>0</formula>
    </cfRule>
    <cfRule type="cellIs" dxfId="9104" priority="160" operator="lessThan">
      <formula>-105575</formula>
    </cfRule>
  </conditionalFormatting>
  <conditionalFormatting sqref="BB264:BB267">
    <cfRule type="cellIs" dxfId="9103" priority="157" operator="lessThan">
      <formula>0</formula>
    </cfRule>
    <cfRule type="cellIs" dxfId="9102" priority="158" operator="lessThan">
      <formula>-105575</formula>
    </cfRule>
  </conditionalFormatting>
  <conditionalFormatting sqref="BB264:BB267">
    <cfRule type="cellIs" dxfId="9101" priority="155" operator="lessThan">
      <formula>0</formula>
    </cfRule>
    <cfRule type="cellIs" dxfId="9100" priority="156" operator="lessThan">
      <formula>-105575</formula>
    </cfRule>
  </conditionalFormatting>
  <conditionalFormatting sqref="BB264:BB267">
    <cfRule type="cellIs" dxfId="9099" priority="153" operator="lessThan">
      <formula>0</formula>
    </cfRule>
    <cfRule type="cellIs" dxfId="9098" priority="154" operator="lessThan">
      <formula>-105575</formula>
    </cfRule>
  </conditionalFormatting>
  <conditionalFormatting sqref="BB264:BB267">
    <cfRule type="cellIs" dxfId="9097" priority="151" operator="lessThan">
      <formula>0</formula>
    </cfRule>
    <cfRule type="cellIs" dxfId="9096" priority="152" operator="lessThan">
      <formula>-105575</formula>
    </cfRule>
  </conditionalFormatting>
  <conditionalFormatting sqref="BB264:BB267">
    <cfRule type="cellIs" dxfId="9095" priority="149" operator="lessThan">
      <formula>0</formula>
    </cfRule>
    <cfRule type="cellIs" dxfId="9094" priority="150" operator="lessThan">
      <formula>-105575</formula>
    </cfRule>
  </conditionalFormatting>
  <conditionalFormatting sqref="BB264:BB267">
    <cfRule type="cellIs" dxfId="9093" priority="147" operator="lessThan">
      <formula>0</formula>
    </cfRule>
    <cfRule type="cellIs" dxfId="9092" priority="148" operator="lessThan">
      <formula>-105575</formula>
    </cfRule>
  </conditionalFormatting>
  <conditionalFormatting sqref="BB270:BB272">
    <cfRule type="cellIs" dxfId="9091" priority="145" operator="lessThan">
      <formula>0</formula>
    </cfRule>
    <cfRule type="cellIs" dxfId="9090" priority="146" operator="lessThan">
      <formula>-105575</formula>
    </cfRule>
  </conditionalFormatting>
  <conditionalFormatting sqref="BB270:BB272">
    <cfRule type="cellIs" dxfId="9089" priority="143" operator="lessThan">
      <formula>0</formula>
    </cfRule>
    <cfRule type="cellIs" dxfId="9088" priority="144" operator="lessThan">
      <formula>-105575</formula>
    </cfRule>
  </conditionalFormatting>
  <conditionalFormatting sqref="BB270:BB272">
    <cfRule type="cellIs" dxfId="9087" priority="141" operator="lessThan">
      <formula>0</formula>
    </cfRule>
    <cfRule type="cellIs" dxfId="9086" priority="142" operator="lessThan">
      <formula>-105575</formula>
    </cfRule>
  </conditionalFormatting>
  <conditionalFormatting sqref="BB270:BB272">
    <cfRule type="cellIs" dxfId="9085" priority="139" operator="lessThan">
      <formula>0</formula>
    </cfRule>
    <cfRule type="cellIs" dxfId="9084" priority="140" operator="lessThan">
      <formula>-105575</formula>
    </cfRule>
  </conditionalFormatting>
  <conditionalFormatting sqref="BB270:BB272">
    <cfRule type="cellIs" dxfId="9083" priority="137" operator="lessThan">
      <formula>0</formula>
    </cfRule>
    <cfRule type="cellIs" dxfId="9082" priority="138" operator="lessThan">
      <formula>-105575</formula>
    </cfRule>
  </conditionalFormatting>
  <conditionalFormatting sqref="BB270:BB272">
    <cfRule type="cellIs" dxfId="9081" priority="135" operator="lessThan">
      <formula>0</formula>
    </cfRule>
    <cfRule type="cellIs" dxfId="9080" priority="136" operator="lessThan">
      <formula>-105575</formula>
    </cfRule>
  </conditionalFormatting>
  <conditionalFormatting sqref="BB270:BB272">
    <cfRule type="cellIs" dxfId="9079" priority="133" operator="lessThan">
      <formula>0</formula>
    </cfRule>
    <cfRule type="cellIs" dxfId="9078" priority="134" operator="lessThan">
      <formula>-105575</formula>
    </cfRule>
  </conditionalFormatting>
  <conditionalFormatting sqref="BB270:BB272">
    <cfRule type="cellIs" dxfId="9077" priority="131" operator="lessThan">
      <formula>0</formula>
    </cfRule>
    <cfRule type="cellIs" dxfId="9076" priority="132" operator="lessThan">
      <formula>-105575</formula>
    </cfRule>
  </conditionalFormatting>
  <conditionalFormatting sqref="BB270:BB272">
    <cfRule type="cellIs" dxfId="9075" priority="129" operator="lessThan">
      <formula>0</formula>
    </cfRule>
    <cfRule type="cellIs" dxfId="9074" priority="130" operator="lessThan">
      <formula>-105575</formula>
    </cfRule>
  </conditionalFormatting>
  <conditionalFormatting sqref="BB274:BB275">
    <cfRule type="cellIs" dxfId="9073" priority="127" operator="lessThan">
      <formula>0</formula>
    </cfRule>
    <cfRule type="cellIs" dxfId="9072" priority="128" operator="lessThan">
      <formula>-105575</formula>
    </cfRule>
  </conditionalFormatting>
  <conditionalFormatting sqref="BB274:BB275">
    <cfRule type="cellIs" dxfId="9071" priority="125" operator="lessThan">
      <formula>0</formula>
    </cfRule>
    <cfRule type="cellIs" dxfId="9070" priority="126" operator="lessThan">
      <formula>-105575</formula>
    </cfRule>
  </conditionalFormatting>
  <conditionalFormatting sqref="BB274:BB275">
    <cfRule type="cellIs" dxfId="9069" priority="123" operator="lessThan">
      <formula>0</formula>
    </cfRule>
    <cfRule type="cellIs" dxfId="9068" priority="124" operator="lessThan">
      <formula>-105575</formula>
    </cfRule>
  </conditionalFormatting>
  <conditionalFormatting sqref="BB274:BB275">
    <cfRule type="cellIs" dxfId="9067" priority="121" operator="lessThan">
      <formula>0</formula>
    </cfRule>
    <cfRule type="cellIs" dxfId="9066" priority="122" operator="lessThan">
      <formula>-105575</formula>
    </cfRule>
  </conditionalFormatting>
  <conditionalFormatting sqref="BB274:BB275">
    <cfRule type="cellIs" dxfId="9065" priority="119" operator="lessThan">
      <formula>0</formula>
    </cfRule>
    <cfRule type="cellIs" dxfId="9064" priority="120" operator="lessThan">
      <formula>-105575</formula>
    </cfRule>
  </conditionalFormatting>
  <conditionalFormatting sqref="BB274:BB275">
    <cfRule type="cellIs" dxfId="9063" priority="117" operator="lessThan">
      <formula>0</formula>
    </cfRule>
    <cfRule type="cellIs" dxfId="9062" priority="118" operator="lessThan">
      <formula>-105575</formula>
    </cfRule>
  </conditionalFormatting>
  <conditionalFormatting sqref="BB274:BB275">
    <cfRule type="cellIs" dxfId="9061" priority="115" operator="lessThan">
      <formula>0</formula>
    </cfRule>
    <cfRule type="cellIs" dxfId="9060" priority="116" operator="lessThan">
      <formula>-105575</formula>
    </cfRule>
  </conditionalFormatting>
  <conditionalFormatting sqref="BB274:BB275">
    <cfRule type="cellIs" dxfId="9059" priority="113" operator="lessThan">
      <formula>0</formula>
    </cfRule>
    <cfRule type="cellIs" dxfId="9058" priority="114" operator="lessThan">
      <formula>-105575</formula>
    </cfRule>
  </conditionalFormatting>
  <conditionalFormatting sqref="BB274:BB275">
    <cfRule type="cellIs" dxfId="9057" priority="111" operator="lessThan">
      <formula>0</formula>
    </cfRule>
    <cfRule type="cellIs" dxfId="9056" priority="112" operator="lessThan">
      <formula>-105575</formula>
    </cfRule>
  </conditionalFormatting>
  <conditionalFormatting sqref="BB278:BB282">
    <cfRule type="cellIs" dxfId="9055" priority="109" operator="lessThan">
      <formula>0</formula>
    </cfRule>
    <cfRule type="cellIs" dxfId="9054" priority="110" operator="lessThan">
      <formula>-105575</formula>
    </cfRule>
  </conditionalFormatting>
  <conditionalFormatting sqref="BB278:BB282">
    <cfRule type="cellIs" dxfId="9053" priority="107" operator="lessThan">
      <formula>0</formula>
    </cfRule>
    <cfRule type="cellIs" dxfId="9052" priority="108" operator="lessThan">
      <formula>-105575</formula>
    </cfRule>
  </conditionalFormatting>
  <conditionalFormatting sqref="BB278:BB282">
    <cfRule type="cellIs" dxfId="9051" priority="105" operator="lessThan">
      <formula>0</formula>
    </cfRule>
    <cfRule type="cellIs" dxfId="9050" priority="106" operator="lessThan">
      <formula>-105575</formula>
    </cfRule>
  </conditionalFormatting>
  <conditionalFormatting sqref="BB278:BB282">
    <cfRule type="cellIs" dxfId="9049" priority="103" operator="lessThan">
      <formula>0</formula>
    </cfRule>
    <cfRule type="cellIs" dxfId="9048" priority="104" operator="lessThan">
      <formula>-105575</formula>
    </cfRule>
  </conditionalFormatting>
  <conditionalFormatting sqref="BB278:BB282">
    <cfRule type="cellIs" dxfId="9047" priority="101" operator="lessThan">
      <formula>0</formula>
    </cfRule>
    <cfRule type="cellIs" dxfId="9046" priority="102" operator="lessThan">
      <formula>-105575</formula>
    </cfRule>
  </conditionalFormatting>
  <conditionalFormatting sqref="BB278:BB282">
    <cfRule type="cellIs" dxfId="9045" priority="99" operator="lessThan">
      <formula>0</formula>
    </cfRule>
    <cfRule type="cellIs" dxfId="9044" priority="100" operator="lessThan">
      <formula>-105575</formula>
    </cfRule>
  </conditionalFormatting>
  <conditionalFormatting sqref="BB278:BB282">
    <cfRule type="cellIs" dxfId="9043" priority="97" operator="lessThan">
      <formula>0</formula>
    </cfRule>
    <cfRule type="cellIs" dxfId="9042" priority="98" operator="lessThan">
      <formula>-105575</formula>
    </cfRule>
  </conditionalFormatting>
  <conditionalFormatting sqref="BB278:BB282">
    <cfRule type="cellIs" dxfId="9041" priority="95" operator="lessThan">
      <formula>0</formula>
    </cfRule>
    <cfRule type="cellIs" dxfId="9040" priority="96" operator="lessThan">
      <formula>-105575</formula>
    </cfRule>
  </conditionalFormatting>
  <conditionalFormatting sqref="BB278:BB282">
    <cfRule type="cellIs" dxfId="9039" priority="93" operator="lessThan">
      <formula>0</formula>
    </cfRule>
    <cfRule type="cellIs" dxfId="9038" priority="94" operator="lessThan">
      <formula>-105575</formula>
    </cfRule>
  </conditionalFormatting>
  <conditionalFormatting sqref="BB285:BB288">
    <cfRule type="cellIs" dxfId="9037" priority="91" operator="lessThan">
      <formula>0</formula>
    </cfRule>
    <cfRule type="cellIs" dxfId="9036" priority="92" operator="lessThan">
      <formula>-105575</formula>
    </cfRule>
  </conditionalFormatting>
  <conditionalFormatting sqref="BB285:BB288">
    <cfRule type="cellIs" dxfId="9035" priority="89" operator="lessThan">
      <formula>0</formula>
    </cfRule>
    <cfRule type="cellIs" dxfId="9034" priority="90" operator="lessThan">
      <formula>-105575</formula>
    </cfRule>
  </conditionalFormatting>
  <conditionalFormatting sqref="BB285:BB288">
    <cfRule type="cellIs" dxfId="9033" priority="87" operator="lessThan">
      <formula>0</formula>
    </cfRule>
    <cfRule type="cellIs" dxfId="9032" priority="88" operator="lessThan">
      <formula>-105575</formula>
    </cfRule>
  </conditionalFormatting>
  <conditionalFormatting sqref="BB285:BB288">
    <cfRule type="cellIs" dxfId="9031" priority="85" operator="lessThan">
      <formula>0</formula>
    </cfRule>
    <cfRule type="cellIs" dxfId="9030" priority="86" operator="lessThan">
      <formula>-105575</formula>
    </cfRule>
  </conditionalFormatting>
  <conditionalFormatting sqref="BB285:BB288">
    <cfRule type="cellIs" dxfId="9029" priority="83" operator="lessThan">
      <formula>0</formula>
    </cfRule>
    <cfRule type="cellIs" dxfId="9028" priority="84" operator="lessThan">
      <formula>-105575</formula>
    </cfRule>
  </conditionalFormatting>
  <conditionalFormatting sqref="BB285:BB288">
    <cfRule type="cellIs" dxfId="9027" priority="81" operator="lessThan">
      <formula>0</formula>
    </cfRule>
    <cfRule type="cellIs" dxfId="9026" priority="82" operator="lessThan">
      <formula>-105575</formula>
    </cfRule>
  </conditionalFormatting>
  <conditionalFormatting sqref="BB285:BB288">
    <cfRule type="cellIs" dxfId="9025" priority="79" operator="lessThan">
      <formula>0</formula>
    </cfRule>
    <cfRule type="cellIs" dxfId="9024" priority="80" operator="lessThan">
      <formula>-105575</formula>
    </cfRule>
  </conditionalFormatting>
  <conditionalFormatting sqref="BB285:BB288">
    <cfRule type="cellIs" dxfId="9023" priority="77" operator="lessThan">
      <formula>0</formula>
    </cfRule>
    <cfRule type="cellIs" dxfId="9022" priority="78" operator="lessThan">
      <formula>-105575</formula>
    </cfRule>
  </conditionalFormatting>
  <conditionalFormatting sqref="BB285:BB288">
    <cfRule type="cellIs" dxfId="9021" priority="75" operator="lessThan">
      <formula>0</formula>
    </cfRule>
    <cfRule type="cellIs" dxfId="9020" priority="76" operator="lessThan">
      <formula>-105575</formula>
    </cfRule>
  </conditionalFormatting>
  <conditionalFormatting sqref="BB80:BB84">
    <cfRule type="cellIs" dxfId="9019" priority="73" operator="lessThan">
      <formula>0</formula>
    </cfRule>
    <cfRule type="cellIs" dxfId="9018" priority="74" operator="lessThan">
      <formula>-105575</formula>
    </cfRule>
  </conditionalFormatting>
  <conditionalFormatting sqref="BB86:BB87">
    <cfRule type="cellIs" dxfId="9017" priority="71" operator="lessThan">
      <formula>0</formula>
    </cfRule>
    <cfRule type="cellIs" dxfId="9016" priority="72" operator="lessThan">
      <formula>-105575</formula>
    </cfRule>
  </conditionalFormatting>
  <conditionalFormatting sqref="BB89:BB91">
    <cfRule type="cellIs" dxfId="9015" priority="69" operator="lessThan">
      <formula>0</formula>
    </cfRule>
    <cfRule type="cellIs" dxfId="9014" priority="70" operator="lessThan">
      <formula>-105575</formula>
    </cfRule>
  </conditionalFormatting>
  <conditionalFormatting sqref="BB94:BB98">
    <cfRule type="cellIs" dxfId="9013" priority="67" operator="lessThan">
      <formula>0</formula>
    </cfRule>
    <cfRule type="cellIs" dxfId="9012" priority="68" operator="lessThan">
      <formula>-105575</formula>
    </cfRule>
  </conditionalFormatting>
  <conditionalFormatting sqref="BB101:BB104">
    <cfRule type="cellIs" dxfId="9011" priority="65" operator="lessThan">
      <formula>0</formula>
    </cfRule>
    <cfRule type="cellIs" dxfId="9010" priority="66" operator="lessThan">
      <formula>-105575</formula>
    </cfRule>
  </conditionalFormatting>
  <conditionalFormatting sqref="BB107:BB109">
    <cfRule type="cellIs" dxfId="9009" priority="63" operator="lessThan">
      <formula>0</formula>
    </cfRule>
    <cfRule type="cellIs" dxfId="9008" priority="64" operator="lessThan">
      <formula>-105575</formula>
    </cfRule>
  </conditionalFormatting>
  <conditionalFormatting sqref="BB112:BB116">
    <cfRule type="cellIs" dxfId="9007" priority="61" operator="lessThan">
      <formula>0</formula>
    </cfRule>
    <cfRule type="cellIs" dxfId="9006" priority="62" operator="lessThan">
      <formula>-105575</formula>
    </cfRule>
  </conditionalFormatting>
  <conditionalFormatting sqref="BB119:BB121">
    <cfRule type="cellIs" dxfId="9005" priority="59" operator="lessThan">
      <formula>0</formula>
    </cfRule>
    <cfRule type="cellIs" dxfId="9004" priority="60" operator="lessThan">
      <formula>-105575</formula>
    </cfRule>
  </conditionalFormatting>
  <conditionalFormatting sqref="BB124:BB132">
    <cfRule type="cellIs" dxfId="9003" priority="57" operator="lessThan">
      <formula>0</formula>
    </cfRule>
    <cfRule type="cellIs" dxfId="9002" priority="58" operator="lessThan">
      <formula>-105575</formula>
    </cfRule>
  </conditionalFormatting>
  <conditionalFormatting sqref="BB135:BB138">
    <cfRule type="cellIs" dxfId="9001" priority="55" operator="lessThan">
      <formula>0</formula>
    </cfRule>
    <cfRule type="cellIs" dxfId="9000" priority="56" operator="lessThan">
      <formula>-105575</formula>
    </cfRule>
  </conditionalFormatting>
  <conditionalFormatting sqref="BB141:BB148">
    <cfRule type="cellIs" dxfId="8999" priority="53" operator="lessThan">
      <formula>0</formula>
    </cfRule>
    <cfRule type="cellIs" dxfId="8998" priority="54" operator="lessThan">
      <formula>-105575</formula>
    </cfRule>
  </conditionalFormatting>
  <conditionalFormatting sqref="BB152:BB155">
    <cfRule type="cellIs" dxfId="8997" priority="51" operator="lessThan">
      <formula>0</formula>
    </cfRule>
    <cfRule type="cellIs" dxfId="8996" priority="52" operator="lessThan">
      <formula>-105575</formula>
    </cfRule>
  </conditionalFormatting>
  <conditionalFormatting sqref="BB157:BB158">
    <cfRule type="cellIs" dxfId="8995" priority="49" operator="lessThan">
      <formula>0</formula>
    </cfRule>
    <cfRule type="cellIs" dxfId="8994" priority="50" operator="lessThan">
      <formula>-105575</formula>
    </cfRule>
  </conditionalFormatting>
  <conditionalFormatting sqref="BB160:BB161">
    <cfRule type="cellIs" dxfId="8993" priority="47" operator="lessThan">
      <formula>0</formula>
    </cfRule>
    <cfRule type="cellIs" dxfId="8992" priority="48" operator="lessThan">
      <formula>-105575</formula>
    </cfRule>
  </conditionalFormatting>
  <conditionalFormatting sqref="BB164:BB167">
    <cfRule type="cellIs" dxfId="8991" priority="45" operator="lessThan">
      <formula>0</formula>
    </cfRule>
    <cfRule type="cellIs" dxfId="8990" priority="46" operator="lessThan">
      <formula>-105575</formula>
    </cfRule>
  </conditionalFormatting>
  <conditionalFormatting sqref="BB169:BB177">
    <cfRule type="cellIs" dxfId="8989" priority="43" operator="lessThan">
      <formula>0</formula>
    </cfRule>
    <cfRule type="cellIs" dxfId="8988" priority="44" operator="lessThan">
      <formula>-105575</formula>
    </cfRule>
  </conditionalFormatting>
  <conditionalFormatting sqref="BB179:BB180">
    <cfRule type="cellIs" dxfId="8987" priority="41" operator="lessThan">
      <formula>0</formula>
    </cfRule>
    <cfRule type="cellIs" dxfId="8986" priority="42" operator="lessThan">
      <formula>-105575</formula>
    </cfRule>
  </conditionalFormatting>
  <conditionalFormatting sqref="BB183:BB189">
    <cfRule type="cellIs" dxfId="8985" priority="39" operator="lessThan">
      <formula>0</formula>
    </cfRule>
    <cfRule type="cellIs" dxfId="8984" priority="40" operator="lessThan">
      <formula>-105575</formula>
    </cfRule>
  </conditionalFormatting>
  <conditionalFormatting sqref="BB191:BB192">
    <cfRule type="cellIs" dxfId="8983" priority="37" operator="lessThan">
      <formula>0</formula>
    </cfRule>
    <cfRule type="cellIs" dxfId="8982" priority="38" operator="lessThan">
      <formula>-105575</formula>
    </cfRule>
  </conditionalFormatting>
  <conditionalFormatting sqref="BB194:BB195">
    <cfRule type="cellIs" dxfId="8981" priority="35" operator="lessThan">
      <formula>0</formula>
    </cfRule>
    <cfRule type="cellIs" dxfId="8980" priority="36" operator="lessThan">
      <formula>-105575</formula>
    </cfRule>
  </conditionalFormatting>
  <conditionalFormatting sqref="BB199:BB202">
    <cfRule type="cellIs" dxfId="8979" priority="33" operator="lessThan">
      <formula>0</formula>
    </cfRule>
    <cfRule type="cellIs" dxfId="8978" priority="34" operator="lessThan">
      <formula>-105575</formula>
    </cfRule>
  </conditionalFormatting>
  <conditionalFormatting sqref="BB204:BB208">
    <cfRule type="cellIs" dxfId="8977" priority="31" operator="lessThan">
      <formula>0</formula>
    </cfRule>
    <cfRule type="cellIs" dxfId="8976" priority="32" operator="lessThan">
      <formula>-105575</formula>
    </cfRule>
  </conditionalFormatting>
  <conditionalFormatting sqref="BB210:BB211">
    <cfRule type="cellIs" dxfId="8975" priority="29" operator="lessThan">
      <formula>0</formula>
    </cfRule>
    <cfRule type="cellIs" dxfId="8974" priority="30" operator="lessThan">
      <formula>-105575</formula>
    </cfRule>
  </conditionalFormatting>
  <conditionalFormatting sqref="BB214:BB219">
    <cfRule type="cellIs" dxfId="8973" priority="27" operator="lessThan">
      <formula>0</formula>
    </cfRule>
    <cfRule type="cellIs" dxfId="8972" priority="28" operator="lessThan">
      <formula>-105575</formula>
    </cfRule>
  </conditionalFormatting>
  <conditionalFormatting sqref="BB222:BB224">
    <cfRule type="cellIs" dxfId="8971" priority="25" operator="lessThan">
      <formula>0</formula>
    </cfRule>
    <cfRule type="cellIs" dxfId="8970" priority="26" operator="lessThan">
      <formula>-105575</formula>
    </cfRule>
  </conditionalFormatting>
  <conditionalFormatting sqref="BB227:BB230">
    <cfRule type="cellIs" dxfId="8969" priority="23" operator="lessThan">
      <formula>0</formula>
    </cfRule>
    <cfRule type="cellIs" dxfId="8968" priority="24" operator="lessThan">
      <formula>-105575</formula>
    </cfRule>
  </conditionalFormatting>
  <conditionalFormatting sqref="BB233:BB236">
    <cfRule type="cellIs" dxfId="8967" priority="21" operator="lessThan">
      <formula>0</formula>
    </cfRule>
    <cfRule type="cellIs" dxfId="8966" priority="22" operator="lessThan">
      <formula>-105575</formula>
    </cfRule>
  </conditionalFormatting>
  <conditionalFormatting sqref="BB239:BB242">
    <cfRule type="cellIs" dxfId="8965" priority="19" operator="lessThan">
      <formula>0</formula>
    </cfRule>
    <cfRule type="cellIs" dxfId="8964" priority="20" operator="lessThan">
      <formula>-105575</formula>
    </cfRule>
  </conditionalFormatting>
  <conditionalFormatting sqref="BB246:BB249">
    <cfRule type="cellIs" dxfId="8963" priority="17" operator="lessThan">
      <formula>0</formula>
    </cfRule>
    <cfRule type="cellIs" dxfId="8962" priority="18" operator="lessThan">
      <formula>-105575</formula>
    </cfRule>
  </conditionalFormatting>
  <conditionalFormatting sqref="BB251:BB253">
    <cfRule type="cellIs" dxfId="8961" priority="15" operator="lessThan">
      <formula>0</formula>
    </cfRule>
    <cfRule type="cellIs" dxfId="8960" priority="16" operator="lessThan">
      <formula>-105575</formula>
    </cfRule>
  </conditionalFormatting>
  <conditionalFormatting sqref="BB255:BB257">
    <cfRule type="cellIs" dxfId="8959" priority="13" operator="lessThan">
      <formula>0</formula>
    </cfRule>
    <cfRule type="cellIs" dxfId="8958" priority="14" operator="lessThan">
      <formula>-105575</formula>
    </cfRule>
  </conditionalFormatting>
  <conditionalFormatting sqref="BB260:BB262">
    <cfRule type="cellIs" dxfId="8957" priority="11" operator="lessThan">
      <formula>0</formula>
    </cfRule>
    <cfRule type="cellIs" dxfId="8956" priority="12" operator="lessThan">
      <formula>-105575</formula>
    </cfRule>
  </conditionalFormatting>
  <conditionalFormatting sqref="BB264:BB267">
    <cfRule type="cellIs" dxfId="8955" priority="9" operator="lessThan">
      <formula>0</formula>
    </cfRule>
    <cfRule type="cellIs" dxfId="8954" priority="10" operator="lessThan">
      <formula>-105575</formula>
    </cfRule>
  </conditionalFormatting>
  <conditionalFormatting sqref="BB270:BB272">
    <cfRule type="cellIs" dxfId="8953" priority="7" operator="lessThan">
      <formula>0</formula>
    </cfRule>
    <cfRule type="cellIs" dxfId="8952" priority="8" operator="lessThan">
      <formula>-105575</formula>
    </cfRule>
  </conditionalFormatting>
  <conditionalFormatting sqref="BB274:BB275">
    <cfRule type="cellIs" dxfId="8951" priority="5" operator="lessThan">
      <formula>0</formula>
    </cfRule>
    <cfRule type="cellIs" dxfId="8950" priority="6" operator="lessThan">
      <formula>-105575</formula>
    </cfRule>
  </conditionalFormatting>
  <conditionalFormatting sqref="BB278:BB282">
    <cfRule type="cellIs" dxfId="8949" priority="3" operator="lessThan">
      <formula>0</formula>
    </cfRule>
    <cfRule type="cellIs" dxfId="8948" priority="4" operator="lessThan">
      <formula>-105575</formula>
    </cfRule>
  </conditionalFormatting>
  <conditionalFormatting sqref="BB285:BB288">
    <cfRule type="cellIs" dxfId="8947" priority="1" operator="lessThan">
      <formula>0</formula>
    </cfRule>
    <cfRule type="cellIs" dxfId="8946" priority="2" operator="lessThan">
      <formula>-105575</formula>
    </cfRule>
  </conditionalFormatting>
  <pageMargins left="0.7" right="0.7" top="0.75" bottom="0.75" header="0.3" footer="0.3"/>
  <pageSetup orientation="portrait" horizontalDpi="1200" verticalDpi="12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12</vt:i4>
      </vt:variant>
    </vt:vector>
  </HeadingPairs>
  <TitlesOfParts>
    <vt:vector size="12" baseType="lpstr">
      <vt:lpstr>1. Standard_Cost</vt:lpstr>
      <vt:lpstr>Incremental_Cost Year 1</vt:lpstr>
      <vt:lpstr>Incremental_Cost Year 2</vt:lpstr>
      <vt:lpstr>Incremental_Cost Year 3</vt:lpstr>
      <vt:lpstr>Incremental_Cost Year 4</vt:lpstr>
      <vt:lpstr>Incremental_Cost Year 5</vt:lpstr>
      <vt:lpstr>Incremental_Cost Year 6</vt:lpstr>
      <vt:lpstr>Incremental_Cost Year 7</vt:lpstr>
      <vt:lpstr>Incremental_Cost Year 8</vt:lpstr>
      <vt:lpstr>Incremental_Cost Year 9</vt:lpstr>
      <vt:lpstr>Incremental_Cost Year 10</vt:lpstr>
      <vt:lpstr>Summary for IPSIS</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albana alizoti</dc:creator>
  <cp:lastModifiedBy>Merita Xhafaj</cp:lastModifiedBy>
  <cp:lastPrinted>2017-12-26T13:23:52Z</cp:lastPrinted>
  <dcterms:created xsi:type="dcterms:W3CDTF">2017-09-20T16:24:27Z</dcterms:created>
  <dcterms:modified xsi:type="dcterms:W3CDTF">2022-01-05T14:32:10Z</dcterms:modified>
</cp:coreProperties>
</file>